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sydne\Downloads\"/>
    </mc:Choice>
  </mc:AlternateContent>
  <xr:revisionPtr revIDLastSave="0" documentId="13_ncr:1_{394CC3D1-64BA-4BC2-A5C6-4E5485E7EB4C}" xr6:coauthVersionLast="45" xr6:coauthVersionMax="45" xr10:uidLastSave="{00000000-0000-0000-0000-000000000000}"/>
  <bookViews>
    <workbookView xWindow="1030" yWindow="370" windowWidth="16330" windowHeight="9080" xr2:uid="{00000000-000D-0000-FFFF-FFFF00000000}"/>
  </bookViews>
  <sheets>
    <sheet name="2020" sheetId="13" r:id="rId1"/>
    <sheet name="2019" sheetId="1" r:id="rId2"/>
    <sheet name="2018" sheetId="11" r:id="rId3"/>
    <sheet name="2017" sheetId="3" r:id="rId4"/>
    <sheet name="2016" sheetId="4" r:id="rId5"/>
    <sheet name="2015" sheetId="5" r:id="rId6"/>
    <sheet name="2014" sheetId="6" r:id="rId7"/>
    <sheet name="2013" sheetId="7" r:id="rId8"/>
    <sheet name="2012" sheetId="8" r:id="rId9"/>
    <sheet name="2011" sheetId="9" r:id="rId10"/>
    <sheet name="2010" sheetId="1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388" i="13" l="1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388" i="13"/>
  <c r="A388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A387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A386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A385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384" i="13"/>
  <c r="A384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A383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A382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A381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380" i="13"/>
  <c r="A380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A379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A378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A377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376" i="13"/>
  <c r="A376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A375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A374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A373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372" i="13"/>
  <c r="A372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A371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A370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369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368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367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366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365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364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363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362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361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360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359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358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357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356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355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354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353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352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351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350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349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348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347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346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345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344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343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342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341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340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339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A338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A337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336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335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334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333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332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331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330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329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328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327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326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325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324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323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322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321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320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319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318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317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316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315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314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313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312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311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310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309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308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307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306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305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304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303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302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301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300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299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298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297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A296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295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294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293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292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291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290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289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288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287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286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285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284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283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282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281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280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279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278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277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276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275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274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273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272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271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270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269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268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267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266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265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264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263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262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261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260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259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258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257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256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255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A254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A253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252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251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250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249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248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247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246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245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244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243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242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241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240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239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238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237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236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235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234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233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232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231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230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229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228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227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226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225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224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223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222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221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220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219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218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217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216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215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214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213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A212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A211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210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209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208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207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206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205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204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203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202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201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200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199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198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197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196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195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194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193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192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191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190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189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188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187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186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185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184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183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182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181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180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179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178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177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176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175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174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173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172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171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A170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A169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168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167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166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165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164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163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162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161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160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159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158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157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156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155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154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153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152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151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150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149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148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147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146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145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144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143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142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141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140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139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138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137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136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135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134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133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132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131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130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129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A128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A127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126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125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124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123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122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121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120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119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118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117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116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115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114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113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112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111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110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109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108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107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106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105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101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98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97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86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2" i="13"/>
  <c r="AF1" i="13"/>
  <c r="AE1" i="13"/>
  <c r="AD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E1" i="13"/>
  <c r="D1" i="13"/>
  <c r="C1" i="13"/>
  <c r="B1" i="13"/>
  <c r="A1" i="13"/>
  <c r="AF388" i="11"/>
  <c r="AE388" i="11"/>
  <c r="AD388" i="11"/>
  <c r="AC388" i="11"/>
  <c r="AB388" i="11"/>
  <c r="AA388" i="11"/>
  <c r="Z388" i="11"/>
  <c r="Y388" i="11"/>
  <c r="X388" i="11"/>
  <c r="W388" i="11"/>
  <c r="V388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D388" i="11"/>
  <c r="C388" i="11"/>
  <c r="B388" i="11"/>
  <c r="A388" i="11"/>
  <c r="AF387" i="11"/>
  <c r="AE387" i="11"/>
  <c r="AD387" i="11"/>
  <c r="AC387" i="11"/>
  <c r="AB387" i="11"/>
  <c r="AA387" i="11"/>
  <c r="Z387" i="11"/>
  <c r="Y387" i="11"/>
  <c r="X387" i="11"/>
  <c r="W387" i="11"/>
  <c r="V387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D387" i="11"/>
  <c r="C387" i="11"/>
  <c r="B387" i="11"/>
  <c r="A387" i="11"/>
  <c r="AF386" i="11"/>
  <c r="AE386" i="11"/>
  <c r="AD386" i="11"/>
  <c r="AC386" i="11"/>
  <c r="AB386" i="11"/>
  <c r="AA386" i="11"/>
  <c r="Z386" i="11"/>
  <c r="Y386" i="11"/>
  <c r="X386" i="11"/>
  <c r="W386" i="11"/>
  <c r="V386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D386" i="11"/>
  <c r="C386" i="11"/>
  <c r="B386" i="11"/>
  <c r="A386" i="11"/>
  <c r="AF385" i="11"/>
  <c r="AE385" i="11"/>
  <c r="AD385" i="11"/>
  <c r="AC385" i="11"/>
  <c r="AB385" i="11"/>
  <c r="AA385" i="11"/>
  <c r="Z385" i="11"/>
  <c r="Y385" i="11"/>
  <c r="X385" i="11"/>
  <c r="W385" i="11"/>
  <c r="V385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D385" i="11"/>
  <c r="C385" i="11"/>
  <c r="B385" i="11"/>
  <c r="A385" i="11"/>
  <c r="AF384" i="11"/>
  <c r="AE384" i="11"/>
  <c r="AD384" i="11"/>
  <c r="AC384" i="11"/>
  <c r="AB384" i="11"/>
  <c r="AA384" i="11"/>
  <c r="Z384" i="11"/>
  <c r="Y384" i="11"/>
  <c r="X384" i="11"/>
  <c r="W384" i="11"/>
  <c r="V384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D384" i="11"/>
  <c r="C384" i="11"/>
  <c r="B384" i="11"/>
  <c r="A384" i="11"/>
  <c r="AF383" i="11"/>
  <c r="AE383" i="11"/>
  <c r="AD383" i="11"/>
  <c r="AC383" i="11"/>
  <c r="AB383" i="11"/>
  <c r="AA383" i="11"/>
  <c r="Z383" i="11"/>
  <c r="Y383" i="11"/>
  <c r="X383" i="11"/>
  <c r="W383" i="11"/>
  <c r="V383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D383" i="11"/>
  <c r="C383" i="11"/>
  <c r="B383" i="11"/>
  <c r="A383" i="11"/>
  <c r="AF382" i="11"/>
  <c r="AE382" i="11"/>
  <c r="AD382" i="11"/>
  <c r="AC382" i="11"/>
  <c r="AB382" i="11"/>
  <c r="AA382" i="11"/>
  <c r="Z382" i="11"/>
  <c r="Y382" i="11"/>
  <c r="X382" i="11"/>
  <c r="W382" i="11"/>
  <c r="V382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D382" i="11"/>
  <c r="C382" i="11"/>
  <c r="B382" i="11"/>
  <c r="A382" i="11"/>
  <c r="AF381" i="11"/>
  <c r="AE381" i="11"/>
  <c r="AD381" i="11"/>
  <c r="AC381" i="11"/>
  <c r="AB381" i="11"/>
  <c r="AA381" i="11"/>
  <c r="Z381" i="11"/>
  <c r="Y381" i="11"/>
  <c r="X381" i="11"/>
  <c r="W381" i="11"/>
  <c r="V381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D381" i="11"/>
  <c r="C381" i="11"/>
  <c r="B381" i="11"/>
  <c r="A381" i="11"/>
  <c r="AF380" i="11"/>
  <c r="AE380" i="11"/>
  <c r="AD380" i="11"/>
  <c r="AC380" i="11"/>
  <c r="AB380" i="11"/>
  <c r="AA380" i="11"/>
  <c r="Z380" i="11"/>
  <c r="Y380" i="11"/>
  <c r="X380" i="11"/>
  <c r="W380" i="11"/>
  <c r="V380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D380" i="11"/>
  <c r="C380" i="11"/>
  <c r="B380" i="11"/>
  <c r="A380" i="11"/>
  <c r="AF379" i="11"/>
  <c r="AE379" i="11"/>
  <c r="AD379" i="11"/>
  <c r="AC379" i="11"/>
  <c r="AB379" i="11"/>
  <c r="AA379" i="11"/>
  <c r="Z379" i="11"/>
  <c r="Y379" i="11"/>
  <c r="X379" i="11"/>
  <c r="W379" i="11"/>
  <c r="V379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D379" i="11"/>
  <c r="C379" i="11"/>
  <c r="B379" i="11"/>
  <c r="A379" i="11"/>
  <c r="AF378" i="11"/>
  <c r="AE378" i="11"/>
  <c r="AD378" i="11"/>
  <c r="AC378" i="11"/>
  <c r="AB378" i="11"/>
  <c r="AA378" i="11"/>
  <c r="Z378" i="11"/>
  <c r="Y378" i="11"/>
  <c r="X378" i="11"/>
  <c r="W378" i="11"/>
  <c r="V378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D378" i="11"/>
  <c r="C378" i="11"/>
  <c r="B378" i="11"/>
  <c r="A378" i="11"/>
  <c r="AF377" i="11"/>
  <c r="AE377" i="11"/>
  <c r="AD377" i="11"/>
  <c r="AC377" i="11"/>
  <c r="AB377" i="11"/>
  <c r="AA377" i="11"/>
  <c r="Z377" i="11"/>
  <c r="Y377" i="11"/>
  <c r="X377" i="11"/>
  <c r="W377" i="11"/>
  <c r="V377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D377" i="11"/>
  <c r="C377" i="11"/>
  <c r="B377" i="11"/>
  <c r="A377" i="11"/>
  <c r="AF376" i="11"/>
  <c r="AE376" i="11"/>
  <c r="AD376" i="11"/>
  <c r="AC376" i="11"/>
  <c r="AB376" i="11"/>
  <c r="AA376" i="11"/>
  <c r="Z376" i="11"/>
  <c r="Y376" i="11"/>
  <c r="X376" i="11"/>
  <c r="W376" i="11"/>
  <c r="V376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D376" i="11"/>
  <c r="C376" i="11"/>
  <c r="B376" i="11"/>
  <c r="A376" i="11"/>
  <c r="AF375" i="11"/>
  <c r="AE375" i="11"/>
  <c r="AD375" i="11"/>
  <c r="AC375" i="11"/>
  <c r="AB375" i="11"/>
  <c r="AA375" i="11"/>
  <c r="Z375" i="11"/>
  <c r="Y375" i="11"/>
  <c r="X375" i="11"/>
  <c r="W375" i="11"/>
  <c r="V375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D375" i="11"/>
  <c r="C375" i="11"/>
  <c r="B375" i="11"/>
  <c r="A375" i="11"/>
  <c r="AF374" i="11"/>
  <c r="AE374" i="11"/>
  <c r="AD374" i="11"/>
  <c r="AC374" i="11"/>
  <c r="AB374" i="11"/>
  <c r="AA374" i="11"/>
  <c r="Z374" i="11"/>
  <c r="Y374" i="11"/>
  <c r="X374" i="11"/>
  <c r="W374" i="11"/>
  <c r="V374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D374" i="11"/>
  <c r="C374" i="11"/>
  <c r="B374" i="11"/>
  <c r="A374" i="11"/>
  <c r="AF373" i="11"/>
  <c r="AE373" i="11"/>
  <c r="AD373" i="11"/>
  <c r="AC373" i="11"/>
  <c r="AB373" i="11"/>
  <c r="AA373" i="11"/>
  <c r="Z373" i="11"/>
  <c r="Y373" i="11"/>
  <c r="X373" i="11"/>
  <c r="W373" i="11"/>
  <c r="V373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D373" i="11"/>
  <c r="C373" i="11"/>
  <c r="B373" i="11"/>
  <c r="A373" i="11"/>
  <c r="AF372" i="11"/>
  <c r="AE372" i="11"/>
  <c r="AD372" i="11"/>
  <c r="AC372" i="11"/>
  <c r="AB372" i="11"/>
  <c r="AA372" i="11"/>
  <c r="Z372" i="11"/>
  <c r="Y372" i="11"/>
  <c r="X372" i="11"/>
  <c r="W372" i="11"/>
  <c r="V372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D372" i="11"/>
  <c r="C372" i="11"/>
  <c r="B372" i="11"/>
  <c r="A372" i="11"/>
  <c r="AF371" i="11"/>
  <c r="AE371" i="11"/>
  <c r="AD371" i="11"/>
  <c r="AC371" i="11"/>
  <c r="AB371" i="11"/>
  <c r="AA371" i="11"/>
  <c r="Z371" i="11"/>
  <c r="Y371" i="11"/>
  <c r="X371" i="11"/>
  <c r="W371" i="11"/>
  <c r="V371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D371" i="11"/>
  <c r="C371" i="11"/>
  <c r="B371" i="11"/>
  <c r="A371" i="11"/>
  <c r="AF370" i="11"/>
  <c r="AE370" i="11"/>
  <c r="AD370" i="11"/>
  <c r="AC370" i="11"/>
  <c r="AB370" i="11"/>
  <c r="AA370" i="11"/>
  <c r="Z370" i="11"/>
  <c r="Y370" i="11"/>
  <c r="X370" i="11"/>
  <c r="W370" i="11"/>
  <c r="V370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D370" i="11"/>
  <c r="C370" i="11"/>
  <c r="B370" i="11"/>
  <c r="A370" i="11"/>
  <c r="AF369" i="11"/>
  <c r="AE369" i="11"/>
  <c r="AD369" i="11"/>
  <c r="AC369" i="11"/>
  <c r="AB369" i="11"/>
  <c r="AA369" i="11"/>
  <c r="Z369" i="11"/>
  <c r="Y369" i="11"/>
  <c r="X369" i="11"/>
  <c r="W369" i="11"/>
  <c r="V369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D369" i="11"/>
  <c r="C369" i="11"/>
  <c r="B369" i="11"/>
  <c r="A369" i="11"/>
  <c r="AF368" i="11"/>
  <c r="AE368" i="11"/>
  <c r="AD368" i="11"/>
  <c r="AC368" i="11"/>
  <c r="AB368" i="11"/>
  <c r="AA368" i="11"/>
  <c r="Z368" i="11"/>
  <c r="Y368" i="11"/>
  <c r="X368" i="11"/>
  <c r="W368" i="11"/>
  <c r="V368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D368" i="11"/>
  <c r="C368" i="11"/>
  <c r="B368" i="11"/>
  <c r="A368" i="11"/>
  <c r="AF367" i="11"/>
  <c r="AE367" i="11"/>
  <c r="AD367" i="11"/>
  <c r="AC367" i="11"/>
  <c r="AB367" i="11"/>
  <c r="AA367" i="11"/>
  <c r="Z367" i="11"/>
  <c r="Y367" i="11"/>
  <c r="X367" i="11"/>
  <c r="W367" i="11"/>
  <c r="V367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D367" i="11"/>
  <c r="C367" i="11"/>
  <c r="B367" i="11"/>
  <c r="A367" i="11"/>
  <c r="AF366" i="11"/>
  <c r="AE366" i="11"/>
  <c r="AD366" i="11"/>
  <c r="AC366" i="11"/>
  <c r="AB366" i="11"/>
  <c r="AA366" i="11"/>
  <c r="Z366" i="11"/>
  <c r="Y366" i="11"/>
  <c r="X366" i="11"/>
  <c r="W366" i="11"/>
  <c r="V366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D366" i="11"/>
  <c r="C366" i="11"/>
  <c r="B366" i="11"/>
  <c r="A366" i="11"/>
  <c r="AF365" i="11"/>
  <c r="AE365" i="11"/>
  <c r="AD365" i="11"/>
  <c r="AC365" i="11"/>
  <c r="AB365" i="11"/>
  <c r="AA365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D365" i="11"/>
  <c r="C365" i="11"/>
  <c r="B365" i="11"/>
  <c r="A365" i="11"/>
  <c r="AF364" i="11"/>
  <c r="AE364" i="11"/>
  <c r="AD364" i="11"/>
  <c r="AC364" i="11"/>
  <c r="AB364" i="11"/>
  <c r="AA364" i="11"/>
  <c r="Z364" i="11"/>
  <c r="Y364" i="11"/>
  <c r="X364" i="11"/>
  <c r="W364" i="11"/>
  <c r="V364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D364" i="11"/>
  <c r="C364" i="11"/>
  <c r="B364" i="11"/>
  <c r="A364" i="11"/>
  <c r="AF363" i="11"/>
  <c r="AE363" i="11"/>
  <c r="AD363" i="11"/>
  <c r="AC363" i="11"/>
  <c r="AB363" i="11"/>
  <c r="AA363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D363" i="11"/>
  <c r="C363" i="11"/>
  <c r="B363" i="11"/>
  <c r="A363" i="11"/>
  <c r="AF362" i="11"/>
  <c r="AE362" i="11"/>
  <c r="AD362" i="11"/>
  <c r="AC362" i="11"/>
  <c r="AB362" i="11"/>
  <c r="AA362" i="11"/>
  <c r="Z362" i="11"/>
  <c r="Y362" i="11"/>
  <c r="X362" i="11"/>
  <c r="W362" i="11"/>
  <c r="V362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D362" i="11"/>
  <c r="C362" i="11"/>
  <c r="B362" i="11"/>
  <c r="A362" i="11"/>
  <c r="AF361" i="11"/>
  <c r="AE361" i="11"/>
  <c r="AD361" i="11"/>
  <c r="AC361" i="11"/>
  <c r="AB361" i="11"/>
  <c r="AA361" i="11"/>
  <c r="Z361" i="11"/>
  <c r="Y361" i="11"/>
  <c r="X361" i="11"/>
  <c r="W361" i="11"/>
  <c r="V361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D361" i="11"/>
  <c r="C361" i="11"/>
  <c r="B361" i="11"/>
  <c r="A361" i="11"/>
  <c r="AF360" i="11"/>
  <c r="AE360" i="11"/>
  <c r="AD360" i="11"/>
  <c r="AC360" i="11"/>
  <c r="AB360" i="11"/>
  <c r="AA360" i="11"/>
  <c r="Z360" i="11"/>
  <c r="Y360" i="11"/>
  <c r="X360" i="11"/>
  <c r="W360" i="11"/>
  <c r="V360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D360" i="11"/>
  <c r="C360" i="11"/>
  <c r="B360" i="11"/>
  <c r="A360" i="11"/>
  <c r="AF359" i="11"/>
  <c r="AE359" i="11"/>
  <c r="AD359" i="11"/>
  <c r="AC359" i="11"/>
  <c r="AB359" i="11"/>
  <c r="AA359" i="11"/>
  <c r="Z359" i="11"/>
  <c r="Y359" i="11"/>
  <c r="X359" i="11"/>
  <c r="W359" i="11"/>
  <c r="V359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D359" i="11"/>
  <c r="C359" i="11"/>
  <c r="B359" i="11"/>
  <c r="A359" i="11"/>
  <c r="AF358" i="11"/>
  <c r="AE358" i="11"/>
  <c r="AD358" i="11"/>
  <c r="AC358" i="11"/>
  <c r="AB358" i="11"/>
  <c r="AA358" i="11"/>
  <c r="Z358" i="11"/>
  <c r="Y358" i="11"/>
  <c r="X358" i="11"/>
  <c r="W358" i="11"/>
  <c r="V358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D358" i="11"/>
  <c r="C358" i="11"/>
  <c r="B358" i="11"/>
  <c r="A358" i="11"/>
  <c r="AF357" i="11"/>
  <c r="AE357" i="11"/>
  <c r="AD357" i="11"/>
  <c r="AC357" i="11"/>
  <c r="AB357" i="11"/>
  <c r="AA357" i="11"/>
  <c r="Z357" i="11"/>
  <c r="Y357" i="11"/>
  <c r="X357" i="11"/>
  <c r="W357" i="11"/>
  <c r="V357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D357" i="11"/>
  <c r="C357" i="11"/>
  <c r="B357" i="11"/>
  <c r="A357" i="11"/>
  <c r="AF356" i="11"/>
  <c r="AE356" i="11"/>
  <c r="AD356" i="11"/>
  <c r="AC356" i="11"/>
  <c r="AB356" i="11"/>
  <c r="AA356" i="11"/>
  <c r="Z356" i="11"/>
  <c r="Y356" i="11"/>
  <c r="X356" i="11"/>
  <c r="W356" i="11"/>
  <c r="V356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D356" i="11"/>
  <c r="C356" i="11"/>
  <c r="B356" i="11"/>
  <c r="A356" i="11"/>
  <c r="AF355" i="11"/>
  <c r="AE355" i="11"/>
  <c r="AD355" i="11"/>
  <c r="AC355" i="11"/>
  <c r="AB355" i="11"/>
  <c r="AA355" i="11"/>
  <c r="Z355" i="11"/>
  <c r="Y355" i="11"/>
  <c r="X355" i="11"/>
  <c r="W355" i="11"/>
  <c r="V355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D355" i="11"/>
  <c r="C355" i="11"/>
  <c r="B355" i="11"/>
  <c r="A355" i="11"/>
  <c r="AF354" i="11"/>
  <c r="AE354" i="11"/>
  <c r="AD354" i="11"/>
  <c r="AC354" i="11"/>
  <c r="AB354" i="11"/>
  <c r="AA354" i="11"/>
  <c r="Z354" i="11"/>
  <c r="Y354" i="11"/>
  <c r="X354" i="11"/>
  <c r="W354" i="11"/>
  <c r="V354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D354" i="11"/>
  <c r="C354" i="11"/>
  <c r="B354" i="11"/>
  <c r="A354" i="11"/>
  <c r="AF353" i="11"/>
  <c r="AE353" i="11"/>
  <c r="AD353" i="11"/>
  <c r="AC353" i="11"/>
  <c r="AB353" i="11"/>
  <c r="AA353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D353" i="11"/>
  <c r="C353" i="11"/>
  <c r="B353" i="11"/>
  <c r="A353" i="11"/>
  <c r="AF352" i="11"/>
  <c r="AE352" i="11"/>
  <c r="AD352" i="11"/>
  <c r="AC352" i="11"/>
  <c r="AB352" i="11"/>
  <c r="AA352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D352" i="11"/>
  <c r="C352" i="11"/>
  <c r="B352" i="11"/>
  <c r="A352" i="11"/>
  <c r="AF351" i="11"/>
  <c r="AE351" i="11"/>
  <c r="AD351" i="11"/>
  <c r="AC351" i="11"/>
  <c r="AB351" i="11"/>
  <c r="AA351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D351" i="11"/>
  <c r="C351" i="11"/>
  <c r="B351" i="11"/>
  <c r="A351" i="11"/>
  <c r="AF350" i="11"/>
  <c r="AE350" i="11"/>
  <c r="AD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D350" i="11"/>
  <c r="C350" i="11"/>
  <c r="B350" i="11"/>
  <c r="A350" i="11"/>
  <c r="AF349" i="11"/>
  <c r="AE349" i="11"/>
  <c r="AD349" i="11"/>
  <c r="AC349" i="11"/>
  <c r="AB349" i="11"/>
  <c r="AA349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D349" i="11"/>
  <c r="C349" i="11"/>
  <c r="B349" i="11"/>
  <c r="A349" i="11"/>
  <c r="AF348" i="11"/>
  <c r="AE348" i="11"/>
  <c r="AD348" i="11"/>
  <c r="AC348" i="11"/>
  <c r="AB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D348" i="11"/>
  <c r="C348" i="11"/>
  <c r="B348" i="11"/>
  <c r="A348" i="11"/>
  <c r="AF347" i="11"/>
  <c r="AE347" i="11"/>
  <c r="AD347" i="11"/>
  <c r="AC347" i="11"/>
  <c r="AB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D347" i="11"/>
  <c r="C347" i="11"/>
  <c r="B347" i="11"/>
  <c r="A347" i="11"/>
  <c r="AF346" i="11"/>
  <c r="AE346" i="11"/>
  <c r="AD346" i="11"/>
  <c r="AC346" i="11"/>
  <c r="AB346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D346" i="11"/>
  <c r="C346" i="11"/>
  <c r="B346" i="11"/>
  <c r="A346" i="11"/>
  <c r="AF345" i="11"/>
  <c r="AE345" i="11"/>
  <c r="AD345" i="11"/>
  <c r="AC345" i="11"/>
  <c r="AB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D345" i="11"/>
  <c r="C345" i="11"/>
  <c r="B345" i="11"/>
  <c r="A345" i="11"/>
  <c r="AF344" i="11"/>
  <c r="AE344" i="11"/>
  <c r="AD344" i="11"/>
  <c r="AC344" i="11"/>
  <c r="AB344" i="11"/>
  <c r="AA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D344" i="11"/>
  <c r="C344" i="11"/>
  <c r="B344" i="11"/>
  <c r="A344" i="11"/>
  <c r="AF343" i="11"/>
  <c r="AE343" i="11"/>
  <c r="AD343" i="11"/>
  <c r="AC343" i="11"/>
  <c r="AB343" i="11"/>
  <c r="AA343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D343" i="11"/>
  <c r="C343" i="11"/>
  <c r="B343" i="11"/>
  <c r="A343" i="11"/>
  <c r="AF342" i="11"/>
  <c r="AE342" i="11"/>
  <c r="AD342" i="11"/>
  <c r="AC342" i="11"/>
  <c r="AB342" i="11"/>
  <c r="AA342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D342" i="11"/>
  <c r="C342" i="11"/>
  <c r="B342" i="11"/>
  <c r="A342" i="11"/>
  <c r="AF341" i="11"/>
  <c r="AE341" i="11"/>
  <c r="AD341" i="11"/>
  <c r="AC341" i="11"/>
  <c r="AB341" i="11"/>
  <c r="AA341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D341" i="11"/>
  <c r="C341" i="11"/>
  <c r="B341" i="11"/>
  <c r="A341" i="11"/>
  <c r="AF340" i="11"/>
  <c r="AE340" i="11"/>
  <c r="AD340" i="11"/>
  <c r="AC340" i="11"/>
  <c r="AB340" i="11"/>
  <c r="AA340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D340" i="11"/>
  <c r="C340" i="11"/>
  <c r="B340" i="11"/>
  <c r="A340" i="11"/>
  <c r="AF339" i="11"/>
  <c r="AE339" i="11"/>
  <c r="AD339" i="11"/>
  <c r="AC339" i="11"/>
  <c r="AB339" i="11"/>
  <c r="AA339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D339" i="11"/>
  <c r="C339" i="11"/>
  <c r="B339" i="11"/>
  <c r="A339" i="11"/>
  <c r="AF338" i="11"/>
  <c r="AE338" i="11"/>
  <c r="AD338" i="11"/>
  <c r="AC338" i="11"/>
  <c r="AB338" i="11"/>
  <c r="AA338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D338" i="11"/>
  <c r="C338" i="11"/>
  <c r="B338" i="11"/>
  <c r="A338" i="11"/>
  <c r="AF337" i="11"/>
  <c r="AE337" i="11"/>
  <c r="AD337" i="11"/>
  <c r="AC337" i="11"/>
  <c r="AB337" i="11"/>
  <c r="AA337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D337" i="11"/>
  <c r="C337" i="11"/>
  <c r="B337" i="11"/>
  <c r="A337" i="11"/>
  <c r="AF336" i="11"/>
  <c r="AE336" i="11"/>
  <c r="AD336" i="11"/>
  <c r="AC336" i="11"/>
  <c r="AB336" i="11"/>
  <c r="AA336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D336" i="11"/>
  <c r="C336" i="11"/>
  <c r="B336" i="11"/>
  <c r="A336" i="11"/>
  <c r="AF335" i="11"/>
  <c r="AE335" i="11"/>
  <c r="AD335" i="11"/>
  <c r="AC335" i="11"/>
  <c r="AB335" i="11"/>
  <c r="AA335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D335" i="11"/>
  <c r="C335" i="11"/>
  <c r="B335" i="11"/>
  <c r="A335" i="11"/>
  <c r="AF334" i="11"/>
  <c r="AE334" i="11"/>
  <c r="AD334" i="11"/>
  <c r="AC334" i="11"/>
  <c r="AB334" i="11"/>
  <c r="AA334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D334" i="11"/>
  <c r="C334" i="11"/>
  <c r="B334" i="11"/>
  <c r="A334" i="11"/>
  <c r="AF333" i="11"/>
  <c r="AE333" i="11"/>
  <c r="AD333" i="11"/>
  <c r="AC333" i="11"/>
  <c r="AB333" i="11"/>
  <c r="AA333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D333" i="11"/>
  <c r="C333" i="11"/>
  <c r="B333" i="11"/>
  <c r="A333" i="11"/>
  <c r="AF332" i="11"/>
  <c r="AE332" i="11"/>
  <c r="AD332" i="11"/>
  <c r="AC332" i="11"/>
  <c r="AB332" i="11"/>
  <c r="AA332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D332" i="11"/>
  <c r="C332" i="11"/>
  <c r="B332" i="11"/>
  <c r="A332" i="11"/>
  <c r="AF331" i="11"/>
  <c r="AE331" i="11"/>
  <c r="AD331" i="11"/>
  <c r="AC331" i="11"/>
  <c r="AB331" i="11"/>
  <c r="AA331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D331" i="11"/>
  <c r="C331" i="11"/>
  <c r="B331" i="11"/>
  <c r="A331" i="11"/>
  <c r="AF330" i="11"/>
  <c r="AE330" i="11"/>
  <c r="AD330" i="11"/>
  <c r="AC330" i="11"/>
  <c r="AB330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D330" i="11"/>
  <c r="C330" i="11"/>
  <c r="B330" i="11"/>
  <c r="A330" i="11"/>
  <c r="AF329" i="11"/>
  <c r="AE329" i="11"/>
  <c r="AD329" i="11"/>
  <c r="AC329" i="11"/>
  <c r="AB329" i="11"/>
  <c r="AA329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D329" i="11"/>
  <c r="C329" i="11"/>
  <c r="B329" i="11"/>
  <c r="A329" i="11"/>
  <c r="AF328" i="11"/>
  <c r="AE328" i="11"/>
  <c r="AD328" i="11"/>
  <c r="AC328" i="11"/>
  <c r="AB328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D328" i="11"/>
  <c r="C328" i="11"/>
  <c r="B328" i="11"/>
  <c r="A328" i="11"/>
  <c r="AF327" i="11"/>
  <c r="AE327" i="11"/>
  <c r="AD327" i="11"/>
  <c r="AC327" i="11"/>
  <c r="AB327" i="11"/>
  <c r="AA327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D327" i="11"/>
  <c r="C327" i="11"/>
  <c r="B327" i="11"/>
  <c r="A327" i="11"/>
  <c r="AF326" i="11"/>
  <c r="AE326" i="11"/>
  <c r="AD326" i="11"/>
  <c r="AC326" i="11"/>
  <c r="AB326" i="11"/>
  <c r="AA326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D326" i="11"/>
  <c r="C326" i="11"/>
  <c r="B326" i="11"/>
  <c r="A326" i="11"/>
  <c r="AF325" i="11"/>
  <c r="AE325" i="11"/>
  <c r="AD325" i="11"/>
  <c r="AC325" i="11"/>
  <c r="AB325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D325" i="11"/>
  <c r="C325" i="11"/>
  <c r="B325" i="11"/>
  <c r="A325" i="11"/>
  <c r="AF324" i="11"/>
  <c r="AE324" i="11"/>
  <c r="AD324" i="11"/>
  <c r="AC324" i="11"/>
  <c r="AB324" i="11"/>
  <c r="AA324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D324" i="11"/>
  <c r="C324" i="11"/>
  <c r="B324" i="11"/>
  <c r="A324" i="11"/>
  <c r="AF323" i="11"/>
  <c r="AE323" i="11"/>
  <c r="AD323" i="11"/>
  <c r="AC323" i="11"/>
  <c r="AB323" i="11"/>
  <c r="AA323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D323" i="11"/>
  <c r="C323" i="11"/>
  <c r="B323" i="11"/>
  <c r="A323" i="11"/>
  <c r="AF322" i="11"/>
  <c r="AE322" i="11"/>
  <c r="AD322" i="11"/>
  <c r="AC322" i="11"/>
  <c r="AB322" i="11"/>
  <c r="AA322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D322" i="11"/>
  <c r="C322" i="11"/>
  <c r="B322" i="11"/>
  <c r="A322" i="11"/>
  <c r="AF321" i="11"/>
  <c r="AE321" i="11"/>
  <c r="AD321" i="11"/>
  <c r="AC321" i="11"/>
  <c r="AB321" i="11"/>
  <c r="AA321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D321" i="11"/>
  <c r="C321" i="11"/>
  <c r="B321" i="11"/>
  <c r="A321" i="11"/>
  <c r="AF320" i="11"/>
  <c r="AE320" i="11"/>
  <c r="AD320" i="11"/>
  <c r="AC320" i="11"/>
  <c r="AB320" i="11"/>
  <c r="AA320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D320" i="11"/>
  <c r="C320" i="11"/>
  <c r="B320" i="11"/>
  <c r="A320" i="11"/>
  <c r="AF319" i="11"/>
  <c r="AE319" i="11"/>
  <c r="AD319" i="11"/>
  <c r="AC319" i="11"/>
  <c r="AB319" i="11"/>
  <c r="AA319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D319" i="11"/>
  <c r="C319" i="11"/>
  <c r="B319" i="11"/>
  <c r="A319" i="11"/>
  <c r="AF318" i="11"/>
  <c r="AE318" i="11"/>
  <c r="AD318" i="11"/>
  <c r="AC318" i="11"/>
  <c r="AB318" i="11"/>
  <c r="AA318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D318" i="11"/>
  <c r="C318" i="11"/>
  <c r="B318" i="11"/>
  <c r="A318" i="11"/>
  <c r="AF317" i="11"/>
  <c r="AE317" i="11"/>
  <c r="AD317" i="11"/>
  <c r="AC317" i="11"/>
  <c r="AB317" i="11"/>
  <c r="AA317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D317" i="11"/>
  <c r="C317" i="11"/>
  <c r="B317" i="11"/>
  <c r="A317" i="11"/>
  <c r="AF316" i="11"/>
  <c r="AE316" i="11"/>
  <c r="AD316" i="11"/>
  <c r="AC316" i="11"/>
  <c r="AB316" i="11"/>
  <c r="AA316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D316" i="11"/>
  <c r="C316" i="11"/>
  <c r="B316" i="11"/>
  <c r="A316" i="11"/>
  <c r="AF315" i="11"/>
  <c r="AE315" i="11"/>
  <c r="AD315" i="11"/>
  <c r="AC315" i="11"/>
  <c r="AB315" i="11"/>
  <c r="AA315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D315" i="11"/>
  <c r="C315" i="11"/>
  <c r="B315" i="11"/>
  <c r="A315" i="11"/>
  <c r="AF314" i="11"/>
  <c r="AE314" i="11"/>
  <c r="AD314" i="11"/>
  <c r="AC314" i="11"/>
  <c r="AB314" i="11"/>
  <c r="AA314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D314" i="11"/>
  <c r="C314" i="11"/>
  <c r="B314" i="11"/>
  <c r="A314" i="11"/>
  <c r="AF313" i="11"/>
  <c r="AE313" i="11"/>
  <c r="AD313" i="11"/>
  <c r="AC313" i="11"/>
  <c r="AB313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D313" i="11"/>
  <c r="C313" i="11"/>
  <c r="B313" i="11"/>
  <c r="A313" i="11"/>
  <c r="AF312" i="11"/>
  <c r="AE312" i="11"/>
  <c r="AD312" i="11"/>
  <c r="AC312" i="11"/>
  <c r="AB312" i="11"/>
  <c r="AA312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D312" i="11"/>
  <c r="C312" i="11"/>
  <c r="B312" i="11"/>
  <c r="A312" i="11"/>
  <c r="AF311" i="11"/>
  <c r="AE311" i="11"/>
  <c r="AD311" i="11"/>
  <c r="AC311" i="11"/>
  <c r="AB311" i="11"/>
  <c r="AA311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D311" i="11"/>
  <c r="C311" i="11"/>
  <c r="B311" i="11"/>
  <c r="A311" i="11"/>
  <c r="AF310" i="11"/>
  <c r="AE310" i="11"/>
  <c r="AD310" i="11"/>
  <c r="AC310" i="11"/>
  <c r="AB310" i="11"/>
  <c r="AA310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D310" i="11"/>
  <c r="C310" i="11"/>
  <c r="B310" i="11"/>
  <c r="A310" i="11"/>
  <c r="AF309" i="11"/>
  <c r="AE309" i="11"/>
  <c r="AD309" i="11"/>
  <c r="AC309" i="11"/>
  <c r="AB309" i="11"/>
  <c r="AA309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D309" i="11"/>
  <c r="C309" i="11"/>
  <c r="B309" i="11"/>
  <c r="A309" i="11"/>
  <c r="AF308" i="11"/>
  <c r="AE308" i="11"/>
  <c r="AD308" i="11"/>
  <c r="AC308" i="11"/>
  <c r="AB308" i="11"/>
  <c r="AA308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D308" i="11"/>
  <c r="C308" i="11"/>
  <c r="B308" i="11"/>
  <c r="A308" i="11"/>
  <c r="AF307" i="11"/>
  <c r="AE307" i="11"/>
  <c r="AD307" i="11"/>
  <c r="AC307" i="11"/>
  <c r="AB307" i="11"/>
  <c r="AA307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D307" i="11"/>
  <c r="C307" i="11"/>
  <c r="B307" i="11"/>
  <c r="A307" i="11"/>
  <c r="AF306" i="11"/>
  <c r="AE306" i="11"/>
  <c r="AD306" i="11"/>
  <c r="AC306" i="11"/>
  <c r="AB306" i="11"/>
  <c r="AA306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D306" i="11"/>
  <c r="C306" i="11"/>
  <c r="B306" i="11"/>
  <c r="A306" i="11"/>
  <c r="AF305" i="11"/>
  <c r="AE305" i="11"/>
  <c r="AD305" i="11"/>
  <c r="AC305" i="11"/>
  <c r="AB305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D305" i="11"/>
  <c r="C305" i="11"/>
  <c r="B305" i="11"/>
  <c r="A305" i="11"/>
  <c r="AF304" i="11"/>
  <c r="AE304" i="11"/>
  <c r="AD304" i="11"/>
  <c r="AC304" i="11"/>
  <c r="AB304" i="11"/>
  <c r="AA304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D304" i="11"/>
  <c r="C304" i="11"/>
  <c r="B304" i="11"/>
  <c r="A304" i="11"/>
  <c r="AF303" i="11"/>
  <c r="AE303" i="11"/>
  <c r="AD303" i="11"/>
  <c r="AC303" i="11"/>
  <c r="AB303" i="11"/>
  <c r="AA303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D303" i="11"/>
  <c r="C303" i="11"/>
  <c r="B303" i="11"/>
  <c r="A303" i="11"/>
  <c r="AF302" i="11"/>
  <c r="AE302" i="11"/>
  <c r="AD302" i="11"/>
  <c r="AC302" i="11"/>
  <c r="AB302" i="11"/>
  <c r="AA302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D302" i="11"/>
  <c r="C302" i="11"/>
  <c r="B302" i="11"/>
  <c r="A302" i="11"/>
  <c r="AF301" i="11"/>
  <c r="AE301" i="11"/>
  <c r="AD301" i="11"/>
  <c r="AC301" i="11"/>
  <c r="AB301" i="11"/>
  <c r="AA301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D301" i="11"/>
  <c r="C301" i="11"/>
  <c r="B301" i="11"/>
  <c r="A301" i="11"/>
  <c r="AF300" i="11"/>
  <c r="AE300" i="11"/>
  <c r="AD300" i="11"/>
  <c r="AC300" i="11"/>
  <c r="AB300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D300" i="11"/>
  <c r="C300" i="11"/>
  <c r="B300" i="11"/>
  <c r="A300" i="11"/>
  <c r="AF299" i="11"/>
  <c r="AE299" i="11"/>
  <c r="AD299" i="11"/>
  <c r="AC299" i="11"/>
  <c r="AB299" i="11"/>
  <c r="AA299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D299" i="11"/>
  <c r="C299" i="11"/>
  <c r="B299" i="11"/>
  <c r="A299" i="11"/>
  <c r="AF298" i="11"/>
  <c r="AE298" i="11"/>
  <c r="AD298" i="11"/>
  <c r="AC298" i="11"/>
  <c r="AB298" i="11"/>
  <c r="AA298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D298" i="11"/>
  <c r="C298" i="11"/>
  <c r="B298" i="11"/>
  <c r="A298" i="11"/>
  <c r="AF297" i="11"/>
  <c r="AE297" i="11"/>
  <c r="AD297" i="11"/>
  <c r="AC297" i="11"/>
  <c r="AB297" i="11"/>
  <c r="AA297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D297" i="11"/>
  <c r="C297" i="11"/>
  <c r="B297" i="11"/>
  <c r="A297" i="11"/>
  <c r="AF296" i="11"/>
  <c r="AE296" i="11"/>
  <c r="AD296" i="11"/>
  <c r="AC296" i="11"/>
  <c r="AB296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D296" i="11"/>
  <c r="C296" i="11"/>
  <c r="B296" i="11"/>
  <c r="A296" i="11"/>
  <c r="AF295" i="11"/>
  <c r="AE295" i="11"/>
  <c r="AD295" i="11"/>
  <c r="AC295" i="11"/>
  <c r="AB295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D295" i="11"/>
  <c r="C295" i="11"/>
  <c r="B295" i="11"/>
  <c r="A295" i="11"/>
  <c r="AF294" i="11"/>
  <c r="AE294" i="11"/>
  <c r="AD294" i="11"/>
  <c r="AC294" i="11"/>
  <c r="AB294" i="11"/>
  <c r="AA294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D294" i="11"/>
  <c r="C294" i="11"/>
  <c r="B294" i="11"/>
  <c r="A294" i="11"/>
  <c r="AF293" i="11"/>
  <c r="AE293" i="11"/>
  <c r="AD293" i="11"/>
  <c r="AC293" i="11"/>
  <c r="AB293" i="11"/>
  <c r="AA293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D293" i="11"/>
  <c r="C293" i="11"/>
  <c r="B293" i="11"/>
  <c r="A293" i="11"/>
  <c r="AF292" i="11"/>
  <c r="AE292" i="11"/>
  <c r="AD292" i="11"/>
  <c r="AC292" i="11"/>
  <c r="AB292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D292" i="11"/>
  <c r="C292" i="11"/>
  <c r="B292" i="11"/>
  <c r="A292" i="11"/>
  <c r="AF291" i="11"/>
  <c r="AE291" i="11"/>
  <c r="AD291" i="11"/>
  <c r="AC291" i="11"/>
  <c r="AB291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D291" i="11"/>
  <c r="C291" i="11"/>
  <c r="B291" i="11"/>
  <c r="A291" i="11"/>
  <c r="AF290" i="11"/>
  <c r="AE290" i="11"/>
  <c r="AD290" i="11"/>
  <c r="AC290" i="11"/>
  <c r="AB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D290" i="11"/>
  <c r="C290" i="11"/>
  <c r="B290" i="11"/>
  <c r="A290" i="11"/>
  <c r="AF289" i="11"/>
  <c r="AE289" i="11"/>
  <c r="AD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D289" i="11"/>
  <c r="C289" i="11"/>
  <c r="B289" i="11"/>
  <c r="A289" i="11"/>
  <c r="AF288" i="11"/>
  <c r="AE288" i="11"/>
  <c r="AD288" i="11"/>
  <c r="AC288" i="11"/>
  <c r="AB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D288" i="11"/>
  <c r="C288" i="11"/>
  <c r="B288" i="11"/>
  <c r="A288" i="11"/>
  <c r="AF287" i="11"/>
  <c r="AE287" i="11"/>
  <c r="AD287" i="11"/>
  <c r="AC287" i="11"/>
  <c r="AB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D287" i="11"/>
  <c r="C287" i="11"/>
  <c r="B287" i="11"/>
  <c r="A287" i="11"/>
  <c r="AF286" i="11"/>
  <c r="AE286" i="11"/>
  <c r="AD286" i="11"/>
  <c r="AC286" i="11"/>
  <c r="AB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D286" i="11"/>
  <c r="C286" i="11"/>
  <c r="B286" i="11"/>
  <c r="A286" i="11"/>
  <c r="AF285" i="11"/>
  <c r="AE285" i="11"/>
  <c r="AD285" i="11"/>
  <c r="AC285" i="11"/>
  <c r="AB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D285" i="11"/>
  <c r="C285" i="11"/>
  <c r="B285" i="11"/>
  <c r="A285" i="11"/>
  <c r="AF284" i="11"/>
  <c r="AE284" i="11"/>
  <c r="AD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D284" i="11"/>
  <c r="C284" i="11"/>
  <c r="B284" i="11"/>
  <c r="A284" i="11"/>
  <c r="AF283" i="11"/>
  <c r="AE283" i="11"/>
  <c r="AD283" i="11"/>
  <c r="AC283" i="11"/>
  <c r="AB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D283" i="11"/>
  <c r="C283" i="11"/>
  <c r="B283" i="11"/>
  <c r="A283" i="11"/>
  <c r="AF282" i="11"/>
  <c r="AE282" i="11"/>
  <c r="AD282" i="11"/>
  <c r="AC282" i="11"/>
  <c r="AB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D282" i="11"/>
  <c r="C282" i="11"/>
  <c r="B282" i="11"/>
  <c r="A282" i="11"/>
  <c r="AF281" i="11"/>
  <c r="AE281" i="11"/>
  <c r="AD281" i="11"/>
  <c r="AC281" i="11"/>
  <c r="AB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C281" i="11"/>
  <c r="B281" i="11"/>
  <c r="A281" i="11"/>
  <c r="AF280" i="11"/>
  <c r="AE280" i="11"/>
  <c r="AD280" i="11"/>
  <c r="AC280" i="11"/>
  <c r="AB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D280" i="11"/>
  <c r="C280" i="11"/>
  <c r="B280" i="11"/>
  <c r="A280" i="11"/>
  <c r="AF279" i="11"/>
  <c r="AE279" i="11"/>
  <c r="AD279" i="11"/>
  <c r="AC279" i="11"/>
  <c r="AB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279" i="11"/>
  <c r="C279" i="11"/>
  <c r="B279" i="11"/>
  <c r="A279" i="11"/>
  <c r="AF278" i="11"/>
  <c r="AE278" i="11"/>
  <c r="AD278" i="11"/>
  <c r="AC278" i="11"/>
  <c r="AB278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D278" i="11"/>
  <c r="C278" i="11"/>
  <c r="B278" i="11"/>
  <c r="A278" i="11"/>
  <c r="AF277" i="11"/>
  <c r="AE277" i="11"/>
  <c r="AD277" i="11"/>
  <c r="AC277" i="11"/>
  <c r="AB277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D277" i="11"/>
  <c r="C277" i="11"/>
  <c r="B277" i="11"/>
  <c r="A277" i="11"/>
  <c r="AF276" i="11"/>
  <c r="AE276" i="11"/>
  <c r="AD276" i="11"/>
  <c r="AC276" i="11"/>
  <c r="AB276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D276" i="11"/>
  <c r="C276" i="11"/>
  <c r="B276" i="11"/>
  <c r="A276" i="11"/>
  <c r="AF275" i="11"/>
  <c r="AE275" i="11"/>
  <c r="AD275" i="11"/>
  <c r="AC275" i="11"/>
  <c r="AB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C275" i="11"/>
  <c r="B275" i="11"/>
  <c r="A275" i="11"/>
  <c r="AF274" i="11"/>
  <c r="AE274" i="11"/>
  <c r="AD274" i="11"/>
  <c r="AC274" i="11"/>
  <c r="AB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C274" i="11"/>
  <c r="B274" i="11"/>
  <c r="A274" i="11"/>
  <c r="AF273" i="11"/>
  <c r="AE273" i="11"/>
  <c r="AD273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C273" i="11"/>
  <c r="B273" i="11"/>
  <c r="A273" i="11"/>
  <c r="AF272" i="11"/>
  <c r="AE272" i="11"/>
  <c r="AD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C272" i="11"/>
  <c r="B272" i="11"/>
  <c r="A272" i="11"/>
  <c r="AF271" i="11"/>
  <c r="AE271" i="11"/>
  <c r="AD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C271" i="11"/>
  <c r="B271" i="11"/>
  <c r="A271" i="11"/>
  <c r="AF270" i="11"/>
  <c r="AE270" i="11"/>
  <c r="AD270" i="11"/>
  <c r="AC270" i="11"/>
  <c r="AB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C270" i="11"/>
  <c r="B270" i="11"/>
  <c r="A270" i="11"/>
  <c r="AF269" i="11"/>
  <c r="AE269" i="11"/>
  <c r="AD269" i="11"/>
  <c r="AC269" i="11"/>
  <c r="AB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C269" i="11"/>
  <c r="B269" i="11"/>
  <c r="A269" i="11"/>
  <c r="AF268" i="11"/>
  <c r="AE268" i="11"/>
  <c r="AD268" i="11"/>
  <c r="AC268" i="11"/>
  <c r="AB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C268" i="11"/>
  <c r="B268" i="11"/>
  <c r="A268" i="11"/>
  <c r="AF267" i="11"/>
  <c r="AE267" i="11"/>
  <c r="AD267" i="11"/>
  <c r="AC267" i="11"/>
  <c r="AB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D267" i="11"/>
  <c r="C267" i="11"/>
  <c r="B267" i="11"/>
  <c r="A267" i="11"/>
  <c r="AF266" i="11"/>
  <c r="AE266" i="11"/>
  <c r="AD266" i="11"/>
  <c r="AC266" i="11"/>
  <c r="AB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D266" i="11"/>
  <c r="C266" i="11"/>
  <c r="B266" i="11"/>
  <c r="A266" i="11"/>
  <c r="AF265" i="11"/>
  <c r="AE265" i="11"/>
  <c r="AD265" i="11"/>
  <c r="AC265" i="11"/>
  <c r="AB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D265" i="11"/>
  <c r="C265" i="11"/>
  <c r="B265" i="11"/>
  <c r="A265" i="11"/>
  <c r="AF264" i="11"/>
  <c r="AE264" i="11"/>
  <c r="AD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D264" i="11"/>
  <c r="C264" i="11"/>
  <c r="B264" i="11"/>
  <c r="A264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C263" i="11"/>
  <c r="B263" i="11"/>
  <c r="A263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C262" i="11"/>
  <c r="B262" i="11"/>
  <c r="A262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C261" i="11"/>
  <c r="B261" i="11"/>
  <c r="A261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C260" i="11"/>
  <c r="B260" i="11"/>
  <c r="A260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C259" i="11"/>
  <c r="B259" i="11"/>
  <c r="A259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C258" i="11"/>
  <c r="B258" i="11"/>
  <c r="A258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C257" i="11"/>
  <c r="B257" i="11"/>
  <c r="A257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C256" i="11"/>
  <c r="B256" i="11"/>
  <c r="A256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C255" i="11"/>
  <c r="B255" i="11"/>
  <c r="A255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C254" i="11"/>
  <c r="B254" i="11"/>
  <c r="A254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C253" i="11"/>
  <c r="B253" i="11"/>
  <c r="A253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C252" i="11"/>
  <c r="B252" i="11"/>
  <c r="A252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C251" i="11"/>
  <c r="B251" i="11"/>
  <c r="A251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C250" i="11"/>
  <c r="B250" i="11"/>
  <c r="A250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C249" i="11"/>
  <c r="B249" i="11"/>
  <c r="A249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C248" i="11"/>
  <c r="B248" i="11"/>
  <c r="A248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C247" i="11"/>
  <c r="B247" i="11"/>
  <c r="A247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C246" i="11"/>
  <c r="B246" i="11"/>
  <c r="A246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C245" i="11"/>
  <c r="B245" i="11"/>
  <c r="A245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C244" i="11"/>
  <c r="B244" i="11"/>
  <c r="A244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C243" i="11"/>
  <c r="B243" i="11"/>
  <c r="A243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C242" i="11"/>
  <c r="B242" i="11"/>
  <c r="A242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C241" i="11"/>
  <c r="B241" i="11"/>
  <c r="A241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B240" i="11"/>
  <c r="A240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B239" i="11"/>
  <c r="A239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B238" i="11"/>
  <c r="A238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B237" i="11"/>
  <c r="A237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B236" i="11"/>
  <c r="A236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B235" i="11"/>
  <c r="A235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B234" i="11"/>
  <c r="A234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B233" i="11"/>
  <c r="A233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B232" i="11"/>
  <c r="A232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C231" i="11"/>
  <c r="B231" i="11"/>
  <c r="A231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B230" i="11"/>
  <c r="A230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229" i="11"/>
  <c r="A229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B228" i="11"/>
  <c r="A228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B227" i="11"/>
  <c r="A227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B226" i="11"/>
  <c r="A226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B225" i="11"/>
  <c r="A225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C224" i="11"/>
  <c r="B224" i="11"/>
  <c r="A224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C223" i="11"/>
  <c r="B223" i="11"/>
  <c r="A223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C222" i="11"/>
  <c r="B222" i="11"/>
  <c r="A222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C221" i="11"/>
  <c r="B221" i="11"/>
  <c r="A221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B220" i="11"/>
  <c r="A220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C219" i="11"/>
  <c r="B219" i="11"/>
  <c r="A219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B218" i="11"/>
  <c r="A218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217" i="11"/>
  <c r="B217" i="11"/>
  <c r="A217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C216" i="11"/>
  <c r="B216" i="11"/>
  <c r="A216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B215" i="11"/>
  <c r="A215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214" i="11"/>
  <c r="A214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C213" i="11"/>
  <c r="B213" i="11"/>
  <c r="A213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C212" i="11"/>
  <c r="B212" i="11"/>
  <c r="A212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C211" i="11"/>
  <c r="B211" i="11"/>
  <c r="A211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C210" i="11"/>
  <c r="B210" i="11"/>
  <c r="A210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C209" i="11"/>
  <c r="B209" i="11"/>
  <c r="A209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208" i="11"/>
  <c r="B208" i="11"/>
  <c r="A208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C207" i="11"/>
  <c r="B207" i="11"/>
  <c r="A207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C206" i="11"/>
  <c r="B206" i="11"/>
  <c r="A206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C205" i="11"/>
  <c r="B205" i="11"/>
  <c r="A205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C204" i="11"/>
  <c r="B204" i="11"/>
  <c r="A204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C203" i="11"/>
  <c r="B203" i="11"/>
  <c r="A203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C202" i="11"/>
  <c r="B202" i="11"/>
  <c r="A202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C201" i="11"/>
  <c r="B201" i="11"/>
  <c r="A201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C200" i="11"/>
  <c r="B200" i="11"/>
  <c r="A200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199" i="11"/>
  <c r="A199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C198" i="11"/>
  <c r="B198" i="11"/>
  <c r="A198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B197" i="11"/>
  <c r="A197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196" i="11"/>
  <c r="A196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195" i="11"/>
  <c r="A195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194" i="11"/>
  <c r="A194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193" i="11"/>
  <c r="A193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192" i="11"/>
  <c r="A192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191" i="11"/>
  <c r="A191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190" i="11"/>
  <c r="A190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189" i="11"/>
  <c r="A189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188" i="11"/>
  <c r="A188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187" i="11"/>
  <c r="A187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186" i="11"/>
  <c r="A186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185" i="11"/>
  <c r="A185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184" i="11"/>
  <c r="A184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183" i="11"/>
  <c r="A183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182" i="11"/>
  <c r="A182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181" i="11"/>
  <c r="A181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180" i="11"/>
  <c r="A180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179" i="11"/>
  <c r="A179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178" i="11"/>
  <c r="A178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177" i="11"/>
  <c r="A177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176" i="11"/>
  <c r="A176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175" i="11"/>
  <c r="A175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174" i="11"/>
  <c r="A174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173" i="11"/>
  <c r="A173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172" i="11"/>
  <c r="A172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171" i="11"/>
  <c r="A171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C170" i="11"/>
  <c r="B170" i="11"/>
  <c r="A170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C169" i="11"/>
  <c r="B169" i="11"/>
  <c r="A169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168" i="11"/>
  <c r="A168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167" i="11"/>
  <c r="A167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166" i="11"/>
  <c r="A166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165" i="11"/>
  <c r="A165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164" i="11"/>
  <c r="A164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163" i="11"/>
  <c r="A163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162" i="11"/>
  <c r="A162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161" i="11"/>
  <c r="A161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160" i="11"/>
  <c r="A160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159" i="11"/>
  <c r="A159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158" i="11"/>
  <c r="A158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157" i="11"/>
  <c r="A157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156" i="11"/>
  <c r="A156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A155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A154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A153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A152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A151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A150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A149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A148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147" i="11"/>
  <c r="A147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146" i="11"/>
  <c r="A146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145" i="11"/>
  <c r="A145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A144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A143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A142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A141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A140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A139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A138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A137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136" i="11"/>
  <c r="A136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135" i="11"/>
  <c r="A135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134" i="11"/>
  <c r="A134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133" i="11"/>
  <c r="A133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A132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A131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A130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A129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B128" i="11"/>
  <c r="A128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A127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A126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A125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A124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A123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A122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A121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A120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A119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A118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117" i="11"/>
  <c r="A117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116" i="11"/>
  <c r="A116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A115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A114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A113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A112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111" i="11"/>
  <c r="A111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A110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A109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A108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A107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A106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97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86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4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3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2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G1" i="11"/>
  <c r="F1" i="11"/>
  <c r="A1" i="11"/>
  <c r="A210" i="1"/>
  <c r="A187" i="1"/>
  <c r="A183" i="1"/>
  <c r="A174" i="1"/>
  <c r="A172" i="1"/>
  <c r="A165" i="1"/>
  <c r="A160" i="1"/>
  <c r="A157" i="1"/>
  <c r="A156" i="1"/>
  <c r="A147" i="1"/>
  <c r="A146" i="1"/>
  <c r="A145" i="1"/>
  <c r="A135" i="1"/>
  <c r="A121" i="1"/>
  <c r="A118" i="1"/>
  <c r="A113" i="1"/>
  <c r="A107" i="1"/>
  <c r="A106" i="1"/>
  <c r="A101" i="1"/>
  <c r="A90" i="1"/>
  <c r="A69" i="1"/>
  <c r="A62" i="1"/>
  <c r="A48" i="1"/>
  <c r="A38" i="1"/>
  <c r="A33" i="1"/>
  <c r="A26" i="1"/>
  <c r="A25" i="1"/>
  <c r="A20" i="1"/>
  <c r="A13" i="1"/>
  <c r="A387" i="1"/>
  <c r="A383" i="1"/>
  <c r="A382" i="1"/>
  <c r="A370" i="1"/>
  <c r="A366" i="1"/>
  <c r="A365" i="1"/>
  <c r="A363" i="1"/>
  <c r="A362" i="1"/>
  <c r="A361" i="1"/>
  <c r="A356" i="1"/>
  <c r="A346" i="1"/>
  <c r="A336" i="1"/>
  <c r="A332" i="1"/>
  <c r="A329" i="1"/>
  <c r="A324" i="1"/>
  <c r="A302" i="1"/>
  <c r="A291" i="1"/>
  <c r="A290" i="1"/>
  <c r="A275" i="1"/>
  <c r="A271" i="1"/>
  <c r="A261" i="1"/>
  <c r="A258" i="1"/>
  <c r="A257" i="1"/>
  <c r="A254" i="1"/>
  <c r="A249" i="1"/>
  <c r="A244" i="1"/>
  <c r="A237" i="1"/>
  <c r="A233" i="1"/>
  <c r="A223" i="1"/>
  <c r="A219" i="1"/>
  <c r="A214" i="1"/>
  <c r="A204" i="1"/>
  <c r="A201" i="1"/>
  <c r="A196" i="1"/>
  <c r="A195" i="1"/>
  <c r="A202" i="1"/>
  <c r="A56" i="1"/>
  <c r="A238" i="1"/>
  <c r="A2" i="1"/>
  <c r="AF382" i="10"/>
  <c r="AE382" i="10"/>
  <c r="AD382" i="10"/>
  <c r="AC382" i="10"/>
  <c r="AB382" i="10"/>
  <c r="AA382" i="10"/>
  <c r="Z382" i="10"/>
  <c r="Y382" i="10"/>
  <c r="X382" i="10"/>
  <c r="W382" i="10"/>
  <c r="V382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D382" i="10"/>
  <c r="C382" i="10"/>
  <c r="B382" i="10"/>
  <c r="A382" i="10"/>
  <c r="AF381" i="10"/>
  <c r="AE381" i="10"/>
  <c r="AD381" i="10"/>
  <c r="AC381" i="10"/>
  <c r="AB381" i="10"/>
  <c r="AA381" i="10"/>
  <c r="Z381" i="10"/>
  <c r="Y381" i="10"/>
  <c r="X381" i="10"/>
  <c r="W381" i="10"/>
  <c r="V381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D381" i="10"/>
  <c r="C381" i="10"/>
  <c r="B381" i="10"/>
  <c r="A381" i="10"/>
  <c r="AF380" i="10"/>
  <c r="AE380" i="10"/>
  <c r="AD380" i="10"/>
  <c r="AC380" i="10"/>
  <c r="AB380" i="10"/>
  <c r="AA380" i="10"/>
  <c r="Z380" i="10"/>
  <c r="Y380" i="10"/>
  <c r="X380" i="10"/>
  <c r="W380" i="10"/>
  <c r="V380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D380" i="10"/>
  <c r="C380" i="10"/>
  <c r="B380" i="10"/>
  <c r="A380" i="10"/>
  <c r="AF379" i="10"/>
  <c r="AE379" i="10"/>
  <c r="AD379" i="10"/>
  <c r="AC379" i="10"/>
  <c r="AB379" i="10"/>
  <c r="AA379" i="10"/>
  <c r="Z379" i="10"/>
  <c r="Y379" i="10"/>
  <c r="X379" i="10"/>
  <c r="W379" i="10"/>
  <c r="V379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D379" i="10"/>
  <c r="C379" i="10"/>
  <c r="B379" i="10"/>
  <c r="A379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D378" i="10"/>
  <c r="C378" i="10"/>
  <c r="B378" i="10"/>
  <c r="A378" i="10"/>
  <c r="AF377" i="10"/>
  <c r="AE377" i="10"/>
  <c r="AD377" i="10"/>
  <c r="AC377" i="10"/>
  <c r="AB377" i="10"/>
  <c r="AA377" i="10"/>
  <c r="Z377" i="10"/>
  <c r="Y377" i="10"/>
  <c r="X377" i="10"/>
  <c r="W377" i="10"/>
  <c r="V377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D377" i="10"/>
  <c r="C377" i="10"/>
  <c r="B377" i="10"/>
  <c r="A377" i="10"/>
  <c r="AF376" i="10"/>
  <c r="AE376" i="10"/>
  <c r="AD376" i="10"/>
  <c r="AC376" i="10"/>
  <c r="AB376" i="10"/>
  <c r="AA376" i="10"/>
  <c r="Z376" i="10"/>
  <c r="Y376" i="10"/>
  <c r="X376" i="10"/>
  <c r="W376" i="10"/>
  <c r="V376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D376" i="10"/>
  <c r="C376" i="10"/>
  <c r="B376" i="10"/>
  <c r="A376" i="10"/>
  <c r="AF375" i="10"/>
  <c r="AE375" i="10"/>
  <c r="AD375" i="10"/>
  <c r="AC375" i="10"/>
  <c r="AB375" i="10"/>
  <c r="AA375" i="10"/>
  <c r="Z375" i="10"/>
  <c r="Y375" i="10"/>
  <c r="X375" i="10"/>
  <c r="W375" i="10"/>
  <c r="V375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D375" i="10"/>
  <c r="C375" i="10"/>
  <c r="B375" i="10"/>
  <c r="A375" i="10"/>
  <c r="AF374" i="10"/>
  <c r="AE374" i="10"/>
  <c r="AD374" i="10"/>
  <c r="AC374" i="10"/>
  <c r="AB374" i="10"/>
  <c r="AA374" i="10"/>
  <c r="Z374" i="10"/>
  <c r="Y374" i="10"/>
  <c r="X374" i="10"/>
  <c r="W374" i="10"/>
  <c r="V374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D374" i="10"/>
  <c r="C374" i="10"/>
  <c r="B374" i="10"/>
  <c r="A374" i="10"/>
  <c r="AF373" i="10"/>
  <c r="AE373" i="10"/>
  <c r="AD373" i="10"/>
  <c r="AC373" i="10"/>
  <c r="AB373" i="10"/>
  <c r="AA373" i="10"/>
  <c r="Z373" i="10"/>
  <c r="Y373" i="10"/>
  <c r="X373" i="10"/>
  <c r="W373" i="10"/>
  <c r="V373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D373" i="10"/>
  <c r="C373" i="10"/>
  <c r="B373" i="10"/>
  <c r="A373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B372" i="10"/>
  <c r="A372" i="10"/>
  <c r="AF371" i="10"/>
  <c r="AE371" i="10"/>
  <c r="AD371" i="10"/>
  <c r="AC371" i="10"/>
  <c r="AB371" i="10"/>
  <c r="AA371" i="10"/>
  <c r="Z371" i="10"/>
  <c r="Y371" i="10"/>
  <c r="X371" i="10"/>
  <c r="W371" i="10"/>
  <c r="V371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D371" i="10"/>
  <c r="C371" i="10"/>
  <c r="B371" i="10"/>
  <c r="A371" i="10"/>
  <c r="AF370" i="10"/>
  <c r="AE370" i="10"/>
  <c r="AD370" i="10"/>
  <c r="AC370" i="10"/>
  <c r="AB370" i="10"/>
  <c r="AA370" i="10"/>
  <c r="Z370" i="10"/>
  <c r="Y370" i="10"/>
  <c r="X370" i="10"/>
  <c r="W370" i="10"/>
  <c r="V370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D370" i="10"/>
  <c r="C370" i="10"/>
  <c r="B370" i="10"/>
  <c r="A370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369" i="10"/>
  <c r="A369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368" i="10"/>
  <c r="A368" i="10"/>
  <c r="AF367" i="10"/>
  <c r="AE367" i="10"/>
  <c r="AD367" i="10"/>
  <c r="AC367" i="10"/>
  <c r="AB367" i="10"/>
  <c r="AA367" i="10"/>
  <c r="Z367" i="10"/>
  <c r="Y367" i="10"/>
  <c r="X367" i="10"/>
  <c r="W367" i="10"/>
  <c r="V367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D367" i="10"/>
  <c r="C367" i="10"/>
  <c r="B367" i="10"/>
  <c r="A367" i="10"/>
  <c r="AF366" i="10"/>
  <c r="AE366" i="10"/>
  <c r="AD366" i="10"/>
  <c r="AC366" i="10"/>
  <c r="AB366" i="10"/>
  <c r="AA366" i="10"/>
  <c r="Z366" i="10"/>
  <c r="Y366" i="10"/>
  <c r="X366" i="10"/>
  <c r="W366" i="10"/>
  <c r="V366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D366" i="10"/>
  <c r="C366" i="10"/>
  <c r="B366" i="10"/>
  <c r="A366" i="10"/>
  <c r="AF365" i="10"/>
  <c r="AE365" i="10"/>
  <c r="AD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D365" i="10"/>
  <c r="C365" i="10"/>
  <c r="B365" i="10"/>
  <c r="A365" i="10"/>
  <c r="AF364" i="10"/>
  <c r="AE364" i="10"/>
  <c r="AD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D364" i="10"/>
  <c r="C364" i="10"/>
  <c r="B364" i="10"/>
  <c r="A364" i="10"/>
  <c r="AF363" i="10"/>
  <c r="AE363" i="10"/>
  <c r="AD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D363" i="10"/>
  <c r="C363" i="10"/>
  <c r="B363" i="10"/>
  <c r="A363" i="10"/>
  <c r="AF362" i="10"/>
  <c r="AE362" i="10"/>
  <c r="AD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D362" i="10"/>
  <c r="C362" i="10"/>
  <c r="B362" i="10"/>
  <c r="A362" i="10"/>
  <c r="AF361" i="10"/>
  <c r="AE361" i="10"/>
  <c r="AD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D361" i="10"/>
  <c r="C361" i="10"/>
  <c r="B361" i="10"/>
  <c r="A361" i="10"/>
  <c r="AF360" i="10"/>
  <c r="AE360" i="10"/>
  <c r="AD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D360" i="10"/>
  <c r="C360" i="10"/>
  <c r="B360" i="10"/>
  <c r="A360" i="10"/>
  <c r="AF359" i="10"/>
  <c r="AE359" i="10"/>
  <c r="AD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D359" i="10"/>
  <c r="C359" i="10"/>
  <c r="B359" i="10"/>
  <c r="A359" i="10"/>
  <c r="AF358" i="10"/>
  <c r="AE358" i="10"/>
  <c r="AD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D358" i="10"/>
  <c r="C358" i="10"/>
  <c r="B358" i="10"/>
  <c r="A358" i="10"/>
  <c r="AF357" i="10"/>
  <c r="AE357" i="10"/>
  <c r="AD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D357" i="10"/>
  <c r="C357" i="10"/>
  <c r="B357" i="10"/>
  <c r="A357" i="10"/>
  <c r="AF356" i="10"/>
  <c r="AE356" i="10"/>
  <c r="AD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356" i="10"/>
  <c r="A356" i="10"/>
  <c r="AF355" i="10"/>
  <c r="AE355" i="10"/>
  <c r="AD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355" i="10"/>
  <c r="A355" i="10"/>
  <c r="AF354" i="10"/>
  <c r="AE354" i="10"/>
  <c r="AD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354" i="10"/>
  <c r="A354" i="10"/>
  <c r="AF353" i="10"/>
  <c r="AE353" i="10"/>
  <c r="AD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D353" i="10"/>
  <c r="C353" i="10"/>
  <c r="B353" i="10"/>
  <c r="A353" i="10"/>
  <c r="AF352" i="10"/>
  <c r="AE352" i="10"/>
  <c r="AD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D352" i="10"/>
  <c r="C352" i="10"/>
  <c r="B352" i="10"/>
  <c r="A352" i="10"/>
  <c r="AF351" i="10"/>
  <c r="AE351" i="10"/>
  <c r="AD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D351" i="10"/>
  <c r="C351" i="10"/>
  <c r="B351" i="10"/>
  <c r="A351" i="10"/>
  <c r="AF350" i="10"/>
  <c r="AE350" i="10"/>
  <c r="AD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350" i="10"/>
  <c r="A350" i="10"/>
  <c r="AF349" i="10"/>
  <c r="AE349" i="10"/>
  <c r="AD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D349" i="10"/>
  <c r="C349" i="10"/>
  <c r="B349" i="10"/>
  <c r="A349" i="10"/>
  <c r="AF348" i="10"/>
  <c r="AE348" i="10"/>
  <c r="AD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D348" i="10"/>
  <c r="C348" i="10"/>
  <c r="B348" i="10"/>
  <c r="A348" i="10"/>
  <c r="AF347" i="10"/>
  <c r="AE347" i="10"/>
  <c r="AD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D347" i="10"/>
  <c r="C347" i="10"/>
  <c r="B347" i="10"/>
  <c r="A347" i="10"/>
  <c r="AF346" i="10"/>
  <c r="AE346" i="10"/>
  <c r="AD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D346" i="10"/>
  <c r="C346" i="10"/>
  <c r="B346" i="10"/>
  <c r="A346" i="10"/>
  <c r="AF345" i="10"/>
  <c r="AE345" i="10"/>
  <c r="AD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D345" i="10"/>
  <c r="C345" i="10"/>
  <c r="B345" i="10"/>
  <c r="A345" i="10"/>
  <c r="AF344" i="10"/>
  <c r="AE344" i="10"/>
  <c r="AD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D344" i="10"/>
  <c r="C344" i="10"/>
  <c r="B344" i="10"/>
  <c r="A344" i="10"/>
  <c r="AF343" i="10"/>
  <c r="AE343" i="10"/>
  <c r="AD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D343" i="10"/>
  <c r="C343" i="10"/>
  <c r="B343" i="10"/>
  <c r="A343" i="10"/>
  <c r="AF342" i="10"/>
  <c r="AE342" i="10"/>
  <c r="AD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D342" i="10"/>
  <c r="C342" i="10"/>
  <c r="B342" i="10"/>
  <c r="A342" i="10"/>
  <c r="AF341" i="10"/>
  <c r="AE341" i="10"/>
  <c r="AD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341" i="10"/>
  <c r="A341" i="10"/>
  <c r="AF340" i="10"/>
  <c r="AE340" i="10"/>
  <c r="AD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D340" i="10"/>
  <c r="C340" i="10"/>
  <c r="B340" i="10"/>
  <c r="A340" i="10"/>
  <c r="AF339" i="10"/>
  <c r="AE339" i="10"/>
  <c r="AD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D339" i="10"/>
  <c r="C339" i="10"/>
  <c r="B339" i="10"/>
  <c r="A339" i="10"/>
  <c r="AF338" i="10"/>
  <c r="AE338" i="10"/>
  <c r="AD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D338" i="10"/>
  <c r="C338" i="10"/>
  <c r="B338" i="10"/>
  <c r="A338" i="10"/>
  <c r="AF337" i="10"/>
  <c r="AE337" i="10"/>
  <c r="AD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D337" i="10"/>
  <c r="C337" i="10"/>
  <c r="B337" i="10"/>
  <c r="A337" i="10"/>
  <c r="AF336" i="10"/>
  <c r="AE336" i="10"/>
  <c r="AD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D336" i="10"/>
  <c r="C336" i="10"/>
  <c r="B336" i="10"/>
  <c r="A336" i="10"/>
  <c r="AF335" i="10"/>
  <c r="AE335" i="10"/>
  <c r="AD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D335" i="10"/>
  <c r="C335" i="10"/>
  <c r="B335" i="10"/>
  <c r="A335" i="10"/>
  <c r="AF334" i="10"/>
  <c r="AE334" i="10"/>
  <c r="AD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D334" i="10"/>
  <c r="C334" i="10"/>
  <c r="B334" i="10"/>
  <c r="A334" i="10"/>
  <c r="AF333" i="10"/>
  <c r="AE333" i="10"/>
  <c r="AD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333" i="10"/>
  <c r="A333" i="10"/>
  <c r="AF332" i="10"/>
  <c r="AE332" i="10"/>
  <c r="AD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D332" i="10"/>
  <c r="C332" i="10"/>
  <c r="B332" i="10"/>
  <c r="A332" i="10"/>
  <c r="AF331" i="10"/>
  <c r="AE331" i="10"/>
  <c r="AD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D331" i="10"/>
  <c r="C331" i="10"/>
  <c r="B331" i="10"/>
  <c r="A331" i="10"/>
  <c r="AF330" i="10"/>
  <c r="AE330" i="10"/>
  <c r="AD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D330" i="10"/>
  <c r="C330" i="10"/>
  <c r="B330" i="10"/>
  <c r="A330" i="10"/>
  <c r="AF329" i="10"/>
  <c r="AE329" i="10"/>
  <c r="AD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D329" i="10"/>
  <c r="C329" i="10"/>
  <c r="B329" i="10"/>
  <c r="A329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328" i="10"/>
  <c r="A328" i="10"/>
  <c r="AF327" i="10"/>
  <c r="AE327" i="10"/>
  <c r="AD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D327" i="10"/>
  <c r="C327" i="10"/>
  <c r="B327" i="10"/>
  <c r="A327" i="10"/>
  <c r="AF326" i="10"/>
  <c r="AE326" i="10"/>
  <c r="AD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D326" i="10"/>
  <c r="C326" i="10"/>
  <c r="B326" i="10"/>
  <c r="A326" i="10"/>
  <c r="AF325" i="10"/>
  <c r="AE325" i="10"/>
  <c r="AD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C325" i="10"/>
  <c r="B325" i="10"/>
  <c r="A325" i="10"/>
  <c r="AF324" i="10"/>
  <c r="AE324" i="10"/>
  <c r="AD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D324" i="10"/>
  <c r="C324" i="10"/>
  <c r="B324" i="10"/>
  <c r="A324" i="10"/>
  <c r="AF323" i="10"/>
  <c r="AE323" i="10"/>
  <c r="AD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D323" i="10"/>
  <c r="C323" i="10"/>
  <c r="B323" i="10"/>
  <c r="A323" i="10"/>
  <c r="AF322" i="10"/>
  <c r="AE322" i="10"/>
  <c r="AD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D322" i="10"/>
  <c r="C322" i="10"/>
  <c r="B322" i="10"/>
  <c r="A322" i="10"/>
  <c r="AF321" i="10"/>
  <c r="AE321" i="10"/>
  <c r="AD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D321" i="10"/>
  <c r="C321" i="10"/>
  <c r="B321" i="10"/>
  <c r="A321" i="10"/>
  <c r="AF320" i="10"/>
  <c r="AE320" i="10"/>
  <c r="AD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D320" i="10"/>
  <c r="C320" i="10"/>
  <c r="B320" i="10"/>
  <c r="A320" i="10"/>
  <c r="AF319" i="10"/>
  <c r="AE319" i="10"/>
  <c r="AD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C319" i="10"/>
  <c r="B319" i="10"/>
  <c r="A319" i="10"/>
  <c r="AF318" i="10"/>
  <c r="AE318" i="10"/>
  <c r="AD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D318" i="10"/>
  <c r="C318" i="10"/>
  <c r="B318" i="10"/>
  <c r="A318" i="10"/>
  <c r="AF317" i="10"/>
  <c r="AE317" i="10"/>
  <c r="AD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D317" i="10"/>
  <c r="C317" i="10"/>
  <c r="B317" i="10"/>
  <c r="A317" i="10"/>
  <c r="AF316" i="10"/>
  <c r="AE316" i="10"/>
  <c r="AD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316" i="10"/>
  <c r="A316" i="10"/>
  <c r="AF315" i="10"/>
  <c r="AE315" i="10"/>
  <c r="AD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315" i="10"/>
  <c r="A315" i="10"/>
  <c r="AF314" i="10"/>
  <c r="AE314" i="10"/>
  <c r="AD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D314" i="10"/>
  <c r="C314" i="10"/>
  <c r="B314" i="10"/>
  <c r="A314" i="10"/>
  <c r="AF313" i="10"/>
  <c r="AE313" i="10"/>
  <c r="AD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D313" i="10"/>
  <c r="C313" i="10"/>
  <c r="B313" i="10"/>
  <c r="A313" i="10"/>
  <c r="AF312" i="10"/>
  <c r="AE312" i="10"/>
  <c r="AD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D312" i="10"/>
  <c r="C312" i="10"/>
  <c r="B312" i="10"/>
  <c r="A312" i="10"/>
  <c r="AF311" i="10"/>
  <c r="AE311" i="10"/>
  <c r="AD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D311" i="10"/>
  <c r="C311" i="10"/>
  <c r="B311" i="10"/>
  <c r="A311" i="10"/>
  <c r="AF310" i="10"/>
  <c r="AE310" i="10"/>
  <c r="AD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310" i="10"/>
  <c r="A310" i="10"/>
  <c r="AF309" i="10"/>
  <c r="AE309" i="10"/>
  <c r="AD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C309" i="10"/>
  <c r="B309" i="10"/>
  <c r="A309" i="10"/>
  <c r="AF308" i="10"/>
  <c r="AE308" i="10"/>
  <c r="AD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D308" i="10"/>
  <c r="C308" i="10"/>
  <c r="B308" i="10"/>
  <c r="A308" i="10"/>
  <c r="AF307" i="10"/>
  <c r="AE307" i="10"/>
  <c r="AD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C307" i="10"/>
  <c r="B307" i="10"/>
  <c r="A307" i="10"/>
  <c r="AF306" i="10"/>
  <c r="AE306" i="10"/>
  <c r="AD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D306" i="10"/>
  <c r="C306" i="10"/>
  <c r="B306" i="10"/>
  <c r="A306" i="10"/>
  <c r="AF305" i="10"/>
  <c r="AE305" i="10"/>
  <c r="AD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D305" i="10"/>
  <c r="C305" i="10"/>
  <c r="B305" i="10"/>
  <c r="A305" i="10"/>
  <c r="AF304" i="10"/>
  <c r="AE304" i="10"/>
  <c r="AD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D304" i="10"/>
  <c r="C304" i="10"/>
  <c r="B304" i="10"/>
  <c r="A304" i="10"/>
  <c r="AF303" i="10"/>
  <c r="AE303" i="10"/>
  <c r="AD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D303" i="10"/>
  <c r="C303" i="10"/>
  <c r="B303" i="10"/>
  <c r="A303" i="10"/>
  <c r="AF302" i="10"/>
  <c r="AE302" i="10"/>
  <c r="AD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302" i="10"/>
  <c r="A302" i="10"/>
  <c r="AF301" i="10"/>
  <c r="AE301" i="10"/>
  <c r="AD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C301" i="10"/>
  <c r="B301" i="10"/>
  <c r="A301" i="10"/>
  <c r="AF300" i="10"/>
  <c r="AE300" i="10"/>
  <c r="AD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D300" i="10"/>
  <c r="C300" i="10"/>
  <c r="B300" i="10"/>
  <c r="A300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299" i="10"/>
  <c r="A299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298" i="10"/>
  <c r="A298" i="10"/>
  <c r="AF297" i="10"/>
  <c r="AE297" i="10"/>
  <c r="AD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B297" i="10"/>
  <c r="A297" i="10"/>
  <c r="AF296" i="10"/>
  <c r="AE296" i="10"/>
  <c r="AD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D296" i="10"/>
  <c r="C296" i="10"/>
  <c r="B296" i="10"/>
  <c r="A296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C295" i="10"/>
  <c r="B295" i="10"/>
  <c r="A295" i="10"/>
  <c r="AF294" i="10"/>
  <c r="AE294" i="10"/>
  <c r="AD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B294" i="10"/>
  <c r="A294" i="10"/>
  <c r="AF293" i="10"/>
  <c r="AE293" i="10"/>
  <c r="AD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B293" i="10"/>
  <c r="A293" i="10"/>
  <c r="AF292" i="10"/>
  <c r="AE292" i="10"/>
  <c r="AD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B292" i="10"/>
  <c r="A292" i="10"/>
  <c r="AF291" i="10"/>
  <c r="AE291" i="10"/>
  <c r="AD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B291" i="10"/>
  <c r="A291" i="10"/>
  <c r="AF290" i="10"/>
  <c r="AE290" i="10"/>
  <c r="AD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B290" i="10"/>
  <c r="A290" i="10"/>
  <c r="AF289" i="10"/>
  <c r="AE289" i="10"/>
  <c r="AD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289" i="10"/>
  <c r="A289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B288" i="10"/>
  <c r="A288" i="10"/>
  <c r="AF287" i="10"/>
  <c r="AE287" i="10"/>
  <c r="AD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B287" i="10"/>
  <c r="A287" i="10"/>
  <c r="AF286" i="10"/>
  <c r="AE286" i="10"/>
  <c r="AD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B286" i="10"/>
  <c r="A286" i="10"/>
  <c r="AF285" i="10"/>
  <c r="AE285" i="10"/>
  <c r="AD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B285" i="10"/>
  <c r="A285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B284" i="10"/>
  <c r="A284" i="10"/>
  <c r="AF283" i="10"/>
  <c r="AE283" i="10"/>
  <c r="AD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B283" i="10"/>
  <c r="A283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282" i="10"/>
  <c r="A282" i="10"/>
  <c r="AF281" i="10"/>
  <c r="AE281" i="10"/>
  <c r="AD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B281" i="10"/>
  <c r="A281" i="10"/>
  <c r="AF280" i="10"/>
  <c r="AE280" i="10"/>
  <c r="AD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B280" i="10"/>
  <c r="A280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B279" i="10"/>
  <c r="A279" i="10"/>
  <c r="AF278" i="10"/>
  <c r="AE278" i="10"/>
  <c r="AD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B278" i="10"/>
  <c r="A278" i="10"/>
  <c r="AF277" i="10"/>
  <c r="AE277" i="10"/>
  <c r="AD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B277" i="10"/>
  <c r="A277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276" i="10"/>
  <c r="A276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B275" i="10"/>
  <c r="A275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B274" i="10"/>
  <c r="A274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B273" i="10"/>
  <c r="A273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B272" i="10"/>
  <c r="A272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B271" i="10"/>
  <c r="A271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270" i="10"/>
  <c r="A270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B269" i="10"/>
  <c r="A269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268" i="10"/>
  <c r="A268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B267" i="10"/>
  <c r="A267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B266" i="10"/>
  <c r="A266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B265" i="10"/>
  <c r="A265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B264" i="10"/>
  <c r="A264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263" i="10"/>
  <c r="A263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B262" i="10"/>
  <c r="A262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B261" i="10"/>
  <c r="A261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B260" i="10"/>
  <c r="A260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B259" i="10"/>
  <c r="A259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B258" i="10"/>
  <c r="A258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B257" i="10"/>
  <c r="A257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256" i="10"/>
  <c r="A256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B255" i="10"/>
  <c r="A255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D254" i="10"/>
  <c r="C254" i="10"/>
  <c r="B254" i="10"/>
  <c r="A254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D253" i="10"/>
  <c r="C253" i="10"/>
  <c r="B253" i="10"/>
  <c r="A253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B252" i="10"/>
  <c r="A252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B251" i="10"/>
  <c r="A251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250" i="10"/>
  <c r="A250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B249" i="10"/>
  <c r="A249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B248" i="10"/>
  <c r="A248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247" i="10"/>
  <c r="A247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B246" i="10"/>
  <c r="A246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B245" i="10"/>
  <c r="A245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B244" i="10"/>
  <c r="A244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B243" i="10"/>
  <c r="A243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B242" i="10"/>
  <c r="A242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B241" i="10"/>
  <c r="A241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B240" i="10"/>
  <c r="A240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B239" i="10"/>
  <c r="A239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B238" i="10"/>
  <c r="A238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B237" i="10"/>
  <c r="A237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B236" i="10"/>
  <c r="A236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B235" i="10"/>
  <c r="A235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B234" i="10"/>
  <c r="A234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B233" i="10"/>
  <c r="A233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B232" i="10"/>
  <c r="A232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231" i="10"/>
  <c r="A231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B230" i="10"/>
  <c r="A230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B229" i="10"/>
  <c r="A229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228" i="10"/>
  <c r="A228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227" i="10"/>
  <c r="A227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226" i="10"/>
  <c r="A226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B225" i="10"/>
  <c r="A225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B224" i="10"/>
  <c r="A224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B223" i="10"/>
  <c r="A223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B222" i="10"/>
  <c r="A222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D221" i="10"/>
  <c r="C221" i="10"/>
  <c r="B221" i="10"/>
  <c r="A221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B220" i="10"/>
  <c r="A220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B219" i="10"/>
  <c r="A219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B218" i="10"/>
  <c r="A218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B217" i="10"/>
  <c r="A217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B216" i="10"/>
  <c r="A216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B215" i="10"/>
  <c r="A215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B214" i="10"/>
  <c r="A214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B213" i="10"/>
  <c r="A213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212" i="10"/>
  <c r="B212" i="10"/>
  <c r="A212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211" i="10"/>
  <c r="B211" i="10"/>
  <c r="A211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B210" i="10"/>
  <c r="A210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B209" i="10"/>
  <c r="A209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B208" i="10"/>
  <c r="A208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B207" i="10"/>
  <c r="A207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B206" i="10"/>
  <c r="A206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B205" i="10"/>
  <c r="A205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B204" i="10"/>
  <c r="A204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B203" i="10"/>
  <c r="A203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B202" i="10"/>
  <c r="A202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201" i="10"/>
  <c r="B201" i="10"/>
  <c r="A201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D200" i="10"/>
  <c r="C200" i="10"/>
  <c r="B200" i="10"/>
  <c r="A200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B199" i="10"/>
  <c r="A199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B198" i="10"/>
  <c r="A198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B197" i="10"/>
  <c r="A197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B196" i="10"/>
  <c r="A196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195" i="10"/>
  <c r="A195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194" i="10"/>
  <c r="A194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B193" i="10"/>
  <c r="A193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192" i="10"/>
  <c r="A192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191" i="10"/>
  <c r="A191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190" i="10"/>
  <c r="A190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189" i="10"/>
  <c r="A189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188" i="10"/>
  <c r="A188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187" i="10"/>
  <c r="A187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186" i="10"/>
  <c r="A186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185" i="10"/>
  <c r="A185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184" i="10"/>
  <c r="A184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183" i="10"/>
  <c r="A183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182" i="10"/>
  <c r="A182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181" i="10"/>
  <c r="A181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180" i="10"/>
  <c r="A180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179" i="10"/>
  <c r="A179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178" i="10"/>
  <c r="A178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177" i="10"/>
  <c r="A177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176" i="10"/>
  <c r="A176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175" i="10"/>
  <c r="A175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174" i="10"/>
  <c r="A174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173" i="10"/>
  <c r="A173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172" i="10"/>
  <c r="A172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171" i="10"/>
  <c r="A171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B170" i="10"/>
  <c r="A170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B169" i="10"/>
  <c r="A169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168" i="10"/>
  <c r="A168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167" i="10"/>
  <c r="A167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166" i="10"/>
  <c r="A166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165" i="10"/>
  <c r="A165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164" i="10"/>
  <c r="A164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163" i="10"/>
  <c r="A163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162" i="10"/>
  <c r="A162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161" i="10"/>
  <c r="A161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160" i="10"/>
  <c r="A160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159" i="10"/>
  <c r="A159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158" i="10"/>
  <c r="A158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157" i="10"/>
  <c r="A157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156" i="10"/>
  <c r="A156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A155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A154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A153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A152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A151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A150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A149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A148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A147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146" i="10"/>
  <c r="A146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145" i="10"/>
  <c r="A145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A144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A143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A142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A141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A140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A139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A138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A137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A136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135" i="10"/>
  <c r="A135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134" i="10"/>
  <c r="A134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133" i="10"/>
  <c r="A133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132" i="10"/>
  <c r="A132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A131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A130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A129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B128" i="10"/>
  <c r="A128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A127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A126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A125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A124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A123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A122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A121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A120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A119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A118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117" i="10"/>
  <c r="A117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116" i="10"/>
  <c r="A116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115" i="10"/>
  <c r="A115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A114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A113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A112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111" i="10"/>
  <c r="A111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A110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A109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A108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A107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A106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105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104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103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101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98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97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86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2" i="10"/>
  <c r="AF1" i="10"/>
  <c r="AE1" i="10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1" i="10"/>
  <c r="AF380" i="9"/>
  <c r="AE380" i="9"/>
  <c r="AD380" i="9"/>
  <c r="AC380" i="9"/>
  <c r="AB380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D380" i="9"/>
  <c r="C380" i="9"/>
  <c r="B380" i="9"/>
  <c r="A380" i="9"/>
  <c r="AF379" i="9"/>
  <c r="AE379" i="9"/>
  <c r="AD379" i="9"/>
  <c r="AC379" i="9"/>
  <c r="AB379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C379" i="9"/>
  <c r="B379" i="9"/>
  <c r="A379" i="9"/>
  <c r="AF378" i="9"/>
  <c r="AE378" i="9"/>
  <c r="AD378" i="9"/>
  <c r="AC378" i="9"/>
  <c r="AB378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C378" i="9"/>
  <c r="B378" i="9"/>
  <c r="A378" i="9"/>
  <c r="AF377" i="9"/>
  <c r="AE377" i="9"/>
  <c r="AD377" i="9"/>
  <c r="AC377" i="9"/>
  <c r="AB377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D377" i="9"/>
  <c r="C377" i="9"/>
  <c r="B377" i="9"/>
  <c r="A377" i="9"/>
  <c r="AF376" i="9"/>
  <c r="AE376" i="9"/>
  <c r="AD376" i="9"/>
  <c r="AC376" i="9"/>
  <c r="AB376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C376" i="9"/>
  <c r="B376" i="9"/>
  <c r="A376" i="9"/>
  <c r="AF375" i="9"/>
  <c r="AE375" i="9"/>
  <c r="AD375" i="9"/>
  <c r="AC375" i="9"/>
  <c r="AB375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D375" i="9"/>
  <c r="C375" i="9"/>
  <c r="B375" i="9"/>
  <c r="A375" i="9"/>
  <c r="AF374" i="9"/>
  <c r="AE374" i="9"/>
  <c r="AD374" i="9"/>
  <c r="AC374" i="9"/>
  <c r="AB374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D374" i="9"/>
  <c r="C374" i="9"/>
  <c r="B374" i="9"/>
  <c r="A374" i="9"/>
  <c r="AF373" i="9"/>
  <c r="AE373" i="9"/>
  <c r="AD373" i="9"/>
  <c r="AC373" i="9"/>
  <c r="AB373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D373" i="9"/>
  <c r="C373" i="9"/>
  <c r="B373" i="9"/>
  <c r="A373" i="9"/>
  <c r="AF372" i="9"/>
  <c r="AE372" i="9"/>
  <c r="AD372" i="9"/>
  <c r="AC372" i="9"/>
  <c r="AB372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D372" i="9"/>
  <c r="C372" i="9"/>
  <c r="B372" i="9"/>
  <c r="A372" i="9"/>
  <c r="AF371" i="9"/>
  <c r="AE371" i="9"/>
  <c r="AD371" i="9"/>
  <c r="AC371" i="9"/>
  <c r="AB371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C371" i="9"/>
  <c r="B371" i="9"/>
  <c r="A371" i="9"/>
  <c r="AF370" i="9"/>
  <c r="AE370" i="9"/>
  <c r="AD370" i="9"/>
  <c r="AC370" i="9"/>
  <c r="AB370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C370" i="9"/>
  <c r="B370" i="9"/>
  <c r="A370" i="9"/>
  <c r="AF369" i="9"/>
  <c r="AE369" i="9"/>
  <c r="AD369" i="9"/>
  <c r="AC369" i="9"/>
  <c r="AB369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D369" i="9"/>
  <c r="C369" i="9"/>
  <c r="B369" i="9"/>
  <c r="A369" i="9"/>
  <c r="AF368" i="9"/>
  <c r="AE368" i="9"/>
  <c r="AD368" i="9"/>
  <c r="AC368" i="9"/>
  <c r="AB368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C368" i="9"/>
  <c r="B368" i="9"/>
  <c r="A368" i="9"/>
  <c r="AF367" i="9"/>
  <c r="AE367" i="9"/>
  <c r="AD367" i="9"/>
  <c r="AC367" i="9"/>
  <c r="AB367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D367" i="9"/>
  <c r="C367" i="9"/>
  <c r="B367" i="9"/>
  <c r="A367" i="9"/>
  <c r="AF366" i="9"/>
  <c r="AE366" i="9"/>
  <c r="AD366" i="9"/>
  <c r="AC366" i="9"/>
  <c r="AB366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D366" i="9"/>
  <c r="C366" i="9"/>
  <c r="B366" i="9"/>
  <c r="A366" i="9"/>
  <c r="AF365" i="9"/>
  <c r="AE365" i="9"/>
  <c r="AD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D365" i="9"/>
  <c r="C365" i="9"/>
  <c r="B365" i="9"/>
  <c r="A365" i="9"/>
  <c r="AF364" i="9"/>
  <c r="AE364" i="9"/>
  <c r="AD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D364" i="9"/>
  <c r="C364" i="9"/>
  <c r="B364" i="9"/>
  <c r="A364" i="9"/>
  <c r="AF363" i="9"/>
  <c r="AE363" i="9"/>
  <c r="AD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C363" i="9"/>
  <c r="B363" i="9"/>
  <c r="A363" i="9"/>
  <c r="AF362" i="9"/>
  <c r="AE362" i="9"/>
  <c r="AD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B362" i="9"/>
  <c r="A362" i="9"/>
  <c r="AF361" i="9"/>
  <c r="AE361" i="9"/>
  <c r="AD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D361" i="9"/>
  <c r="C361" i="9"/>
  <c r="B361" i="9"/>
  <c r="A361" i="9"/>
  <c r="AF360" i="9"/>
  <c r="AE360" i="9"/>
  <c r="AD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B360" i="9"/>
  <c r="A360" i="9"/>
  <c r="AF359" i="9"/>
  <c r="AE359" i="9"/>
  <c r="AD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B359" i="9"/>
  <c r="A359" i="9"/>
  <c r="AF358" i="9"/>
  <c r="AE358" i="9"/>
  <c r="AD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B358" i="9"/>
  <c r="A358" i="9"/>
  <c r="AF357" i="9"/>
  <c r="AE357" i="9"/>
  <c r="AD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D357" i="9"/>
  <c r="C357" i="9"/>
  <c r="B357" i="9"/>
  <c r="A357" i="9"/>
  <c r="AF356" i="9"/>
  <c r="AE356" i="9"/>
  <c r="AD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D356" i="9"/>
  <c r="C356" i="9"/>
  <c r="B356" i="9"/>
  <c r="A356" i="9"/>
  <c r="AF355" i="9"/>
  <c r="AE355" i="9"/>
  <c r="AD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C355" i="9"/>
  <c r="B355" i="9"/>
  <c r="A355" i="9"/>
  <c r="AF354" i="9"/>
  <c r="AE354" i="9"/>
  <c r="AD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C354" i="9"/>
  <c r="B354" i="9"/>
  <c r="A354" i="9"/>
  <c r="AF353" i="9"/>
  <c r="AE353" i="9"/>
  <c r="AD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D353" i="9"/>
  <c r="C353" i="9"/>
  <c r="B353" i="9"/>
  <c r="A353" i="9"/>
  <c r="AF352" i="9"/>
  <c r="AE352" i="9"/>
  <c r="AD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C352" i="9"/>
  <c r="B352" i="9"/>
  <c r="A352" i="9"/>
  <c r="AF351" i="9"/>
  <c r="AE351" i="9"/>
  <c r="AD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D351" i="9"/>
  <c r="C351" i="9"/>
  <c r="B351" i="9"/>
  <c r="A351" i="9"/>
  <c r="AF350" i="9"/>
  <c r="AE350" i="9"/>
  <c r="AD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D350" i="9"/>
  <c r="C350" i="9"/>
  <c r="B350" i="9"/>
  <c r="A350" i="9"/>
  <c r="AF349" i="9"/>
  <c r="AE349" i="9"/>
  <c r="AD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D349" i="9"/>
  <c r="C349" i="9"/>
  <c r="B349" i="9"/>
  <c r="A349" i="9"/>
  <c r="AF348" i="9"/>
  <c r="AE348" i="9"/>
  <c r="AD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D348" i="9"/>
  <c r="C348" i="9"/>
  <c r="B348" i="9"/>
  <c r="A348" i="9"/>
  <c r="AF347" i="9"/>
  <c r="AE347" i="9"/>
  <c r="AD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C347" i="9"/>
  <c r="B347" i="9"/>
  <c r="A347" i="9"/>
  <c r="AF346" i="9"/>
  <c r="AE346" i="9"/>
  <c r="AD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C346" i="9"/>
  <c r="B346" i="9"/>
  <c r="A346" i="9"/>
  <c r="AF345" i="9"/>
  <c r="AE345" i="9"/>
  <c r="AD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D345" i="9"/>
  <c r="C345" i="9"/>
  <c r="B345" i="9"/>
  <c r="A345" i="9"/>
  <c r="AF344" i="9"/>
  <c r="AE344" i="9"/>
  <c r="AD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C344" i="9"/>
  <c r="B344" i="9"/>
  <c r="A344" i="9"/>
  <c r="AF343" i="9"/>
  <c r="AE343" i="9"/>
  <c r="AD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D343" i="9"/>
  <c r="C343" i="9"/>
  <c r="B343" i="9"/>
  <c r="A343" i="9"/>
  <c r="AF342" i="9"/>
  <c r="AE342" i="9"/>
  <c r="AD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D342" i="9"/>
  <c r="C342" i="9"/>
  <c r="B342" i="9"/>
  <c r="A342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B341" i="9"/>
  <c r="A341" i="9"/>
  <c r="AF340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B340" i="9"/>
  <c r="A340" i="9"/>
  <c r="AF339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F338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F337" i="9"/>
  <c r="AE337" i="9"/>
  <c r="AD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F336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B336" i="9"/>
  <c r="A336" i="9"/>
  <c r="AF335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F334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B334" i="9"/>
  <c r="A334" i="9"/>
  <c r="AF333" i="9"/>
  <c r="AE333" i="9"/>
  <c r="AD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B333" i="9"/>
  <c r="A333" i="9"/>
  <c r="AF332" i="9"/>
  <c r="AE332" i="9"/>
  <c r="AD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B332" i="9"/>
  <c r="A332" i="9"/>
  <c r="AF331" i="9"/>
  <c r="AE331" i="9"/>
  <c r="AD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B331" i="9"/>
  <c r="A331" i="9"/>
  <c r="AF330" i="9"/>
  <c r="AE330" i="9"/>
  <c r="AD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F329" i="9"/>
  <c r="AE329" i="9"/>
  <c r="AD329" i="9"/>
  <c r="AC329" i="9"/>
  <c r="AB329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F328" i="9"/>
  <c r="AE328" i="9"/>
  <c r="AD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B328" i="9"/>
  <c r="A328" i="9"/>
  <c r="AF327" i="9"/>
  <c r="AE327" i="9"/>
  <c r="AD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F326" i="9"/>
  <c r="AE326" i="9"/>
  <c r="AD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B326" i="9"/>
  <c r="A326" i="9"/>
  <c r="AF325" i="9"/>
  <c r="AE325" i="9"/>
  <c r="AD325" i="9"/>
  <c r="AC325" i="9"/>
  <c r="AB325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D325" i="9"/>
  <c r="C325" i="9"/>
  <c r="B325" i="9"/>
  <c r="A325" i="9"/>
  <c r="AF324" i="9"/>
  <c r="AE324" i="9"/>
  <c r="AD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B324" i="9"/>
  <c r="A324" i="9"/>
  <c r="AF323" i="9"/>
  <c r="AE323" i="9"/>
  <c r="AD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B323" i="9"/>
  <c r="A323" i="9"/>
  <c r="AF322" i="9"/>
  <c r="AE322" i="9"/>
  <c r="AD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F321" i="9"/>
  <c r="AE321" i="9"/>
  <c r="AD321" i="9"/>
  <c r="AC321" i="9"/>
  <c r="AB321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F320" i="9"/>
  <c r="AE320" i="9"/>
  <c r="AD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B320" i="9"/>
  <c r="A320" i="9"/>
  <c r="AF319" i="9"/>
  <c r="AE319" i="9"/>
  <c r="AD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F318" i="9"/>
  <c r="AE318" i="9"/>
  <c r="AD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B318" i="9"/>
  <c r="A318" i="9"/>
  <c r="AF317" i="9"/>
  <c r="AE317" i="9"/>
  <c r="AD317" i="9"/>
  <c r="AC317" i="9"/>
  <c r="AB317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D317" i="9"/>
  <c r="C317" i="9"/>
  <c r="B317" i="9"/>
  <c r="A317" i="9"/>
  <c r="AF316" i="9"/>
  <c r="AE316" i="9"/>
  <c r="AD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B316" i="9"/>
  <c r="A316" i="9"/>
  <c r="AF315" i="9"/>
  <c r="AE315" i="9"/>
  <c r="AD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F314" i="9"/>
  <c r="AE314" i="9"/>
  <c r="AD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F313" i="9"/>
  <c r="AE313" i="9"/>
  <c r="AD313" i="9"/>
  <c r="AC313" i="9"/>
  <c r="AB313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F312" i="9"/>
  <c r="AE312" i="9"/>
  <c r="AD312" i="9"/>
  <c r="AC312" i="9"/>
  <c r="AB312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D312" i="9"/>
  <c r="C312" i="9"/>
  <c r="B312" i="9"/>
  <c r="A312" i="9"/>
  <c r="AF311" i="9"/>
  <c r="AE311" i="9"/>
  <c r="AD311" i="9"/>
  <c r="AC311" i="9"/>
  <c r="AB311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F310" i="9"/>
  <c r="AE310" i="9"/>
  <c r="AD310" i="9"/>
  <c r="AC310" i="9"/>
  <c r="AB310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D310" i="9"/>
  <c r="C310" i="9"/>
  <c r="B310" i="9"/>
  <c r="A310" i="9"/>
  <c r="AF309" i="9"/>
  <c r="AE309" i="9"/>
  <c r="AD309" i="9"/>
  <c r="AC309" i="9"/>
  <c r="AB309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D309" i="9"/>
  <c r="C309" i="9"/>
  <c r="B309" i="9"/>
  <c r="A309" i="9"/>
  <c r="AF308" i="9"/>
  <c r="AE308" i="9"/>
  <c r="AD308" i="9"/>
  <c r="AC308" i="9"/>
  <c r="AB308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D308" i="9"/>
  <c r="C308" i="9"/>
  <c r="B308" i="9"/>
  <c r="A308" i="9"/>
  <c r="AF307" i="9"/>
  <c r="AE307" i="9"/>
  <c r="AD307" i="9"/>
  <c r="AC307" i="9"/>
  <c r="AB307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D307" i="9"/>
  <c r="C307" i="9"/>
  <c r="B307" i="9"/>
  <c r="A307" i="9"/>
  <c r="AF306" i="9"/>
  <c r="AE306" i="9"/>
  <c r="AD306" i="9"/>
  <c r="AC306" i="9"/>
  <c r="AB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F305" i="9"/>
  <c r="AE305" i="9"/>
  <c r="AD305" i="9"/>
  <c r="AC305" i="9"/>
  <c r="AB305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F304" i="9"/>
  <c r="AE304" i="9"/>
  <c r="AD304" i="9"/>
  <c r="AC304" i="9"/>
  <c r="AB304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D304" i="9"/>
  <c r="C304" i="9"/>
  <c r="B304" i="9"/>
  <c r="A304" i="9"/>
  <c r="AF303" i="9"/>
  <c r="AE303" i="9"/>
  <c r="AD303" i="9"/>
  <c r="AC303" i="9"/>
  <c r="AB303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F302" i="9"/>
  <c r="AE302" i="9"/>
  <c r="AD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D302" i="9"/>
  <c r="C302" i="9"/>
  <c r="B302" i="9"/>
  <c r="A302" i="9"/>
  <c r="AF301" i="9"/>
  <c r="AE301" i="9"/>
  <c r="AD301" i="9"/>
  <c r="AC301" i="9"/>
  <c r="AB301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D301" i="9"/>
  <c r="C301" i="9"/>
  <c r="B301" i="9"/>
  <c r="A301" i="9"/>
  <c r="AF300" i="9"/>
  <c r="AE300" i="9"/>
  <c r="AD300" i="9"/>
  <c r="AC300" i="9"/>
  <c r="AB300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D300" i="9"/>
  <c r="C300" i="9"/>
  <c r="B300" i="9"/>
  <c r="A300" i="9"/>
  <c r="AF299" i="9"/>
  <c r="AE299" i="9"/>
  <c r="AD299" i="9"/>
  <c r="AC299" i="9"/>
  <c r="AB299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F298" i="9"/>
  <c r="AE298" i="9"/>
  <c r="AD298" i="9"/>
  <c r="AC298" i="9"/>
  <c r="AB298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F297" i="9"/>
  <c r="AE297" i="9"/>
  <c r="AD297" i="9"/>
  <c r="AC297" i="9"/>
  <c r="AB297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F296" i="9"/>
  <c r="AE296" i="9"/>
  <c r="AD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D296" i="9"/>
  <c r="C296" i="9"/>
  <c r="B296" i="9"/>
  <c r="A296" i="9"/>
  <c r="AF295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F294" i="9"/>
  <c r="AE294" i="9"/>
  <c r="AD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B294" i="9"/>
  <c r="A294" i="9"/>
  <c r="AF293" i="9"/>
  <c r="AE293" i="9"/>
  <c r="AD293" i="9"/>
  <c r="AC293" i="9"/>
  <c r="AB293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D293" i="9"/>
  <c r="C293" i="9"/>
  <c r="B293" i="9"/>
  <c r="A293" i="9"/>
  <c r="AF292" i="9"/>
  <c r="AE292" i="9"/>
  <c r="AD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B292" i="9"/>
  <c r="A292" i="9"/>
  <c r="AF291" i="9"/>
  <c r="AE291" i="9"/>
  <c r="AD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B291" i="9"/>
  <c r="A291" i="9"/>
  <c r="AF290" i="9"/>
  <c r="AE290" i="9"/>
  <c r="AD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F289" i="9"/>
  <c r="AE289" i="9"/>
  <c r="AD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F288" i="9"/>
  <c r="AE288" i="9"/>
  <c r="AD288" i="9"/>
  <c r="AC288" i="9"/>
  <c r="AB288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D288" i="9"/>
  <c r="C288" i="9"/>
  <c r="B288" i="9"/>
  <c r="A288" i="9"/>
  <c r="AF287" i="9"/>
  <c r="AE287" i="9"/>
  <c r="AD287" i="9"/>
  <c r="AC287" i="9"/>
  <c r="AB287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F286" i="9"/>
  <c r="AE286" i="9"/>
  <c r="AD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B286" i="9"/>
  <c r="A286" i="9"/>
  <c r="AF285" i="9"/>
  <c r="AE285" i="9"/>
  <c r="AD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D285" i="9"/>
  <c r="C285" i="9"/>
  <c r="B285" i="9"/>
  <c r="A285" i="9"/>
  <c r="AF284" i="9"/>
  <c r="AE284" i="9"/>
  <c r="AD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D284" i="9"/>
  <c r="C284" i="9"/>
  <c r="B284" i="9"/>
  <c r="A284" i="9"/>
  <c r="AF283" i="9"/>
  <c r="AE283" i="9"/>
  <c r="AD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B283" i="9"/>
  <c r="A283" i="9"/>
  <c r="AF282" i="9"/>
  <c r="AE282" i="9"/>
  <c r="AD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F281" i="9"/>
  <c r="AE281" i="9"/>
  <c r="AD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F280" i="9"/>
  <c r="AE280" i="9"/>
  <c r="AD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D280" i="9"/>
  <c r="C280" i="9"/>
  <c r="B280" i="9"/>
  <c r="A280" i="9"/>
  <c r="AF279" i="9"/>
  <c r="AE279" i="9"/>
  <c r="AD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F278" i="9"/>
  <c r="AE278" i="9"/>
  <c r="AD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B278" i="9"/>
  <c r="A278" i="9"/>
  <c r="AF277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B277" i="9"/>
  <c r="A277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B276" i="9"/>
  <c r="A276" i="9"/>
  <c r="AF275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F274" i="9"/>
  <c r="AE274" i="9"/>
  <c r="AD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F273" i="9"/>
  <c r="AE273" i="9"/>
  <c r="AD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F272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B272" i="9"/>
  <c r="A272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F270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B270" i="9"/>
  <c r="A270" i="9"/>
  <c r="AF269" i="9"/>
  <c r="AE269" i="9"/>
  <c r="AD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D269" i="9"/>
  <c r="C269" i="9"/>
  <c r="B269" i="9"/>
  <c r="A269" i="9"/>
  <c r="AF268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B268" i="9"/>
  <c r="A268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B267" i="9"/>
  <c r="A267" i="9"/>
  <c r="AF266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F265" i="9"/>
  <c r="AE265" i="9"/>
  <c r="AD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F264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B264" i="9"/>
  <c r="A264" i="9"/>
  <c r="AF263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F262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262" i="9"/>
  <c r="B262" i="9"/>
  <c r="A262" i="9"/>
  <c r="AF261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B261" i="9"/>
  <c r="A261" i="9"/>
  <c r="AF260" i="9"/>
  <c r="AE260" i="9"/>
  <c r="AD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260" i="9"/>
  <c r="B260" i="9"/>
  <c r="A260" i="9"/>
  <c r="AF259" i="9"/>
  <c r="AE259" i="9"/>
  <c r="AD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B259" i="9"/>
  <c r="A259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F257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F256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B256" i="9"/>
  <c r="A256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F254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D254" i="9"/>
  <c r="C254" i="9"/>
  <c r="B254" i="9"/>
  <c r="A254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B253" i="9"/>
  <c r="A253" i="9"/>
  <c r="AF252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B252" i="9"/>
  <c r="A252" i="9"/>
  <c r="AF251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F248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B248" i="9"/>
  <c r="A248" i="9"/>
  <c r="AF247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B246" i="9"/>
  <c r="A246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B245" i="9"/>
  <c r="A245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B244" i="9"/>
  <c r="A244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B243" i="9"/>
  <c r="A243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F241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B240" i="9"/>
  <c r="A240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B238" i="9"/>
  <c r="A238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B237" i="9"/>
  <c r="A237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B236" i="9"/>
  <c r="A236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B232" i="9"/>
  <c r="A232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B230" i="9"/>
  <c r="A230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B229" i="9"/>
  <c r="A229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B228" i="9"/>
  <c r="A228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B227" i="9"/>
  <c r="A227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B224" i="9"/>
  <c r="A224" i="9"/>
  <c r="AF223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B222" i="9"/>
  <c r="A222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B221" i="9"/>
  <c r="A221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B220" i="9"/>
  <c r="A220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B219" i="9"/>
  <c r="A219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B216" i="9"/>
  <c r="A216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B214" i="9"/>
  <c r="A214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A213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212" i="9"/>
  <c r="B212" i="9"/>
  <c r="A212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F207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B206" i="9"/>
  <c r="A206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B205" i="9"/>
  <c r="A205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B204" i="9"/>
  <c r="A204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B203" i="9"/>
  <c r="A203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B200" i="9"/>
  <c r="A200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A198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B197" i="9"/>
  <c r="A197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196" i="9"/>
  <c r="A196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195" i="9"/>
  <c r="A195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192" i="9"/>
  <c r="A192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190" i="9"/>
  <c r="A190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189" i="9"/>
  <c r="A189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188" i="9"/>
  <c r="A188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A182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A181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180" i="9"/>
  <c r="A180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A179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176" i="9"/>
  <c r="A176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174" i="9"/>
  <c r="A174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173" i="9"/>
  <c r="A173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172" i="9"/>
  <c r="A172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166" i="9"/>
  <c r="A166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165" i="9"/>
  <c r="A165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A164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163" i="9"/>
  <c r="A163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160" i="9"/>
  <c r="A160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158" i="9"/>
  <c r="A158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157" i="9"/>
  <c r="A157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A156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A155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A152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A150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A149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A148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A142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A141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A140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A139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136" i="9"/>
  <c r="A136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A134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A133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A132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A131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B128" i="9"/>
  <c r="A128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A126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A125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1" i="9"/>
  <c r="AF379" i="8"/>
  <c r="AE379" i="8"/>
  <c r="AD379" i="8"/>
  <c r="AC379" i="8"/>
  <c r="AB379" i="8"/>
  <c r="AA379" i="8"/>
  <c r="Z379" i="8"/>
  <c r="Y379" i="8"/>
  <c r="X379" i="8"/>
  <c r="W379" i="8"/>
  <c r="V379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A379" i="8"/>
  <c r="AF378" i="8"/>
  <c r="AE378" i="8"/>
  <c r="AD378" i="8"/>
  <c r="AC378" i="8"/>
  <c r="AB378" i="8"/>
  <c r="AA378" i="8"/>
  <c r="Z378" i="8"/>
  <c r="Y378" i="8"/>
  <c r="X378" i="8"/>
  <c r="W378" i="8"/>
  <c r="V378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B378" i="8"/>
  <c r="A378" i="8"/>
  <c r="AF377" i="8"/>
  <c r="AE377" i="8"/>
  <c r="AD377" i="8"/>
  <c r="AC377" i="8"/>
  <c r="AB377" i="8"/>
  <c r="AA377" i="8"/>
  <c r="Z377" i="8"/>
  <c r="Y377" i="8"/>
  <c r="X377" i="8"/>
  <c r="W377" i="8"/>
  <c r="V377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B377" i="8"/>
  <c r="A377" i="8"/>
  <c r="AF376" i="8"/>
  <c r="AE376" i="8"/>
  <c r="AD376" i="8"/>
  <c r="AC376" i="8"/>
  <c r="AB376" i="8"/>
  <c r="AA376" i="8"/>
  <c r="Z376" i="8"/>
  <c r="Y376" i="8"/>
  <c r="X376" i="8"/>
  <c r="W376" i="8"/>
  <c r="V376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A376" i="8"/>
  <c r="AF375" i="8"/>
  <c r="AE375" i="8"/>
  <c r="AD375" i="8"/>
  <c r="AC375" i="8"/>
  <c r="AB375" i="8"/>
  <c r="AA375" i="8"/>
  <c r="Z375" i="8"/>
  <c r="Y375" i="8"/>
  <c r="X375" i="8"/>
  <c r="W375" i="8"/>
  <c r="V375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A375" i="8"/>
  <c r="AF374" i="8"/>
  <c r="AE374" i="8"/>
  <c r="AD374" i="8"/>
  <c r="AC374" i="8"/>
  <c r="AB374" i="8"/>
  <c r="AA374" i="8"/>
  <c r="Z374" i="8"/>
  <c r="Y374" i="8"/>
  <c r="X374" i="8"/>
  <c r="W374" i="8"/>
  <c r="V374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A374" i="8"/>
  <c r="AF373" i="8"/>
  <c r="AE373" i="8"/>
  <c r="AD373" i="8"/>
  <c r="AC373" i="8"/>
  <c r="AB373" i="8"/>
  <c r="AA373" i="8"/>
  <c r="Z373" i="8"/>
  <c r="Y373" i="8"/>
  <c r="X373" i="8"/>
  <c r="W373" i="8"/>
  <c r="V373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A373" i="8"/>
  <c r="AF372" i="8"/>
  <c r="AE372" i="8"/>
  <c r="AD372" i="8"/>
  <c r="AC372" i="8"/>
  <c r="AB372" i="8"/>
  <c r="AA372" i="8"/>
  <c r="Z372" i="8"/>
  <c r="Y372" i="8"/>
  <c r="X372" i="8"/>
  <c r="W372" i="8"/>
  <c r="V372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A372" i="8"/>
  <c r="AF371" i="8"/>
  <c r="AE371" i="8"/>
  <c r="AD371" i="8"/>
  <c r="AC371" i="8"/>
  <c r="AB371" i="8"/>
  <c r="AA371" i="8"/>
  <c r="Z371" i="8"/>
  <c r="Y371" i="8"/>
  <c r="X371" i="8"/>
  <c r="W371" i="8"/>
  <c r="V371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A371" i="8"/>
  <c r="AF370" i="8"/>
  <c r="AE370" i="8"/>
  <c r="AD370" i="8"/>
  <c r="AC370" i="8"/>
  <c r="AB370" i="8"/>
  <c r="AA370" i="8"/>
  <c r="Z370" i="8"/>
  <c r="Y370" i="8"/>
  <c r="X370" i="8"/>
  <c r="W370" i="8"/>
  <c r="V370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A370" i="8"/>
  <c r="AF369" i="8"/>
  <c r="AE369" i="8"/>
  <c r="AD369" i="8"/>
  <c r="AC369" i="8"/>
  <c r="AB369" i="8"/>
  <c r="AA369" i="8"/>
  <c r="Z369" i="8"/>
  <c r="Y369" i="8"/>
  <c r="X369" i="8"/>
  <c r="W369" i="8"/>
  <c r="V369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A369" i="8"/>
  <c r="AF368" i="8"/>
  <c r="AE368" i="8"/>
  <c r="AD368" i="8"/>
  <c r="AC368" i="8"/>
  <c r="AB368" i="8"/>
  <c r="AA368" i="8"/>
  <c r="Z368" i="8"/>
  <c r="Y368" i="8"/>
  <c r="X368" i="8"/>
  <c r="W368" i="8"/>
  <c r="V368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A368" i="8"/>
  <c r="AF367" i="8"/>
  <c r="AE367" i="8"/>
  <c r="AD367" i="8"/>
  <c r="AC367" i="8"/>
  <c r="AB367" i="8"/>
  <c r="AA367" i="8"/>
  <c r="Z367" i="8"/>
  <c r="Y367" i="8"/>
  <c r="X367" i="8"/>
  <c r="W367" i="8"/>
  <c r="V367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A367" i="8"/>
  <c r="AF366" i="8"/>
  <c r="AE366" i="8"/>
  <c r="AD366" i="8"/>
  <c r="AC366" i="8"/>
  <c r="AB366" i="8"/>
  <c r="AA366" i="8"/>
  <c r="Z366" i="8"/>
  <c r="Y366" i="8"/>
  <c r="X366" i="8"/>
  <c r="W366" i="8"/>
  <c r="V366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A366" i="8"/>
  <c r="AF365" i="8"/>
  <c r="AE365" i="8"/>
  <c r="AD365" i="8"/>
  <c r="AC365" i="8"/>
  <c r="AB365" i="8"/>
  <c r="AA365" i="8"/>
  <c r="Z365" i="8"/>
  <c r="Y365" i="8"/>
  <c r="X365" i="8"/>
  <c r="W365" i="8"/>
  <c r="V365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A365" i="8"/>
  <c r="AF364" i="8"/>
  <c r="AE364" i="8"/>
  <c r="AD364" i="8"/>
  <c r="AC364" i="8"/>
  <c r="AB364" i="8"/>
  <c r="AA364" i="8"/>
  <c r="Z364" i="8"/>
  <c r="Y364" i="8"/>
  <c r="X364" i="8"/>
  <c r="W364" i="8"/>
  <c r="V364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A364" i="8"/>
  <c r="AF363" i="8"/>
  <c r="AE363" i="8"/>
  <c r="AD363" i="8"/>
  <c r="AC363" i="8"/>
  <c r="AB363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A363" i="8"/>
  <c r="AF362" i="8"/>
  <c r="AE362" i="8"/>
  <c r="AD362" i="8"/>
  <c r="AC362" i="8"/>
  <c r="AB362" i="8"/>
  <c r="AA362" i="8"/>
  <c r="Z362" i="8"/>
  <c r="Y362" i="8"/>
  <c r="X362" i="8"/>
  <c r="W362" i="8"/>
  <c r="V362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A362" i="8"/>
  <c r="AF361" i="8"/>
  <c r="AE361" i="8"/>
  <c r="AD361" i="8"/>
  <c r="AC361" i="8"/>
  <c r="AB361" i="8"/>
  <c r="AA361" i="8"/>
  <c r="Z361" i="8"/>
  <c r="Y361" i="8"/>
  <c r="X361" i="8"/>
  <c r="W361" i="8"/>
  <c r="V361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A361" i="8"/>
  <c r="AF360" i="8"/>
  <c r="AE360" i="8"/>
  <c r="AD360" i="8"/>
  <c r="AC360" i="8"/>
  <c r="AB360" i="8"/>
  <c r="AA360" i="8"/>
  <c r="Z360" i="8"/>
  <c r="Y360" i="8"/>
  <c r="X360" i="8"/>
  <c r="W360" i="8"/>
  <c r="V360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A360" i="8"/>
  <c r="AF359" i="8"/>
  <c r="AE359" i="8"/>
  <c r="AD359" i="8"/>
  <c r="AC359" i="8"/>
  <c r="AB359" i="8"/>
  <c r="AA359" i="8"/>
  <c r="Z359" i="8"/>
  <c r="Y359" i="8"/>
  <c r="X359" i="8"/>
  <c r="W359" i="8"/>
  <c r="V359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A359" i="8"/>
  <c r="AF358" i="8"/>
  <c r="AE358" i="8"/>
  <c r="AD358" i="8"/>
  <c r="AC358" i="8"/>
  <c r="AB358" i="8"/>
  <c r="AA358" i="8"/>
  <c r="Z358" i="8"/>
  <c r="Y358" i="8"/>
  <c r="X358" i="8"/>
  <c r="W358" i="8"/>
  <c r="V358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A358" i="8"/>
  <c r="AF357" i="8"/>
  <c r="AE357" i="8"/>
  <c r="AD357" i="8"/>
  <c r="AC357" i="8"/>
  <c r="AB357" i="8"/>
  <c r="AA357" i="8"/>
  <c r="Z357" i="8"/>
  <c r="Y357" i="8"/>
  <c r="X357" i="8"/>
  <c r="W357" i="8"/>
  <c r="V357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A357" i="8"/>
  <c r="AF356" i="8"/>
  <c r="AE356" i="8"/>
  <c r="AD356" i="8"/>
  <c r="AC356" i="8"/>
  <c r="AB356" i="8"/>
  <c r="AA356" i="8"/>
  <c r="Z356" i="8"/>
  <c r="Y356" i="8"/>
  <c r="X356" i="8"/>
  <c r="W356" i="8"/>
  <c r="V356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A356" i="8"/>
  <c r="AF355" i="8"/>
  <c r="AE355" i="8"/>
  <c r="AD355" i="8"/>
  <c r="AC355" i="8"/>
  <c r="AB355" i="8"/>
  <c r="AA355" i="8"/>
  <c r="Z355" i="8"/>
  <c r="Y355" i="8"/>
  <c r="X355" i="8"/>
  <c r="W355" i="8"/>
  <c r="V355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A355" i="8"/>
  <c r="AF354" i="8"/>
  <c r="AE354" i="8"/>
  <c r="AD354" i="8"/>
  <c r="AC354" i="8"/>
  <c r="AB354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A354" i="8"/>
  <c r="AF353" i="8"/>
  <c r="AE353" i="8"/>
  <c r="AD353" i="8"/>
  <c r="AC353" i="8"/>
  <c r="AB353" i="8"/>
  <c r="AA353" i="8"/>
  <c r="Z353" i="8"/>
  <c r="Y353" i="8"/>
  <c r="X353" i="8"/>
  <c r="W353" i="8"/>
  <c r="V353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A353" i="8"/>
  <c r="AF352" i="8"/>
  <c r="AE352" i="8"/>
  <c r="AD352" i="8"/>
  <c r="AC352" i="8"/>
  <c r="AB352" i="8"/>
  <c r="AA352" i="8"/>
  <c r="Z352" i="8"/>
  <c r="Y352" i="8"/>
  <c r="X352" i="8"/>
  <c r="W352" i="8"/>
  <c r="V352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A352" i="8"/>
  <c r="AF351" i="8"/>
  <c r="AE351" i="8"/>
  <c r="AD351" i="8"/>
  <c r="AC351" i="8"/>
  <c r="AB351" i="8"/>
  <c r="AA351" i="8"/>
  <c r="Z351" i="8"/>
  <c r="Y351" i="8"/>
  <c r="X351" i="8"/>
  <c r="W351" i="8"/>
  <c r="V351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A351" i="8"/>
  <c r="AF350" i="8"/>
  <c r="AE350" i="8"/>
  <c r="AD350" i="8"/>
  <c r="AC350" i="8"/>
  <c r="AB350" i="8"/>
  <c r="AA350" i="8"/>
  <c r="Z350" i="8"/>
  <c r="Y350" i="8"/>
  <c r="X350" i="8"/>
  <c r="W350" i="8"/>
  <c r="V350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A350" i="8"/>
  <c r="AF349" i="8"/>
  <c r="AE349" i="8"/>
  <c r="AD349" i="8"/>
  <c r="AC349" i="8"/>
  <c r="AB349" i="8"/>
  <c r="AA349" i="8"/>
  <c r="Z349" i="8"/>
  <c r="Y349" i="8"/>
  <c r="X349" i="8"/>
  <c r="W349" i="8"/>
  <c r="V349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A349" i="8"/>
  <c r="AF348" i="8"/>
  <c r="AE348" i="8"/>
  <c r="AD348" i="8"/>
  <c r="AC348" i="8"/>
  <c r="AB348" i="8"/>
  <c r="AA348" i="8"/>
  <c r="Z348" i="8"/>
  <c r="Y348" i="8"/>
  <c r="X348" i="8"/>
  <c r="W348" i="8"/>
  <c r="V348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A348" i="8"/>
  <c r="AF347" i="8"/>
  <c r="AE347" i="8"/>
  <c r="AD347" i="8"/>
  <c r="AC347" i="8"/>
  <c r="AB347" i="8"/>
  <c r="AA347" i="8"/>
  <c r="Z347" i="8"/>
  <c r="Y347" i="8"/>
  <c r="X347" i="8"/>
  <c r="W347" i="8"/>
  <c r="V347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A347" i="8"/>
  <c r="AF346" i="8"/>
  <c r="AE346" i="8"/>
  <c r="AD346" i="8"/>
  <c r="AC346" i="8"/>
  <c r="AB346" i="8"/>
  <c r="AA346" i="8"/>
  <c r="Z346" i="8"/>
  <c r="Y346" i="8"/>
  <c r="X346" i="8"/>
  <c r="W346" i="8"/>
  <c r="V346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A346" i="8"/>
  <c r="AF345" i="8"/>
  <c r="AE345" i="8"/>
  <c r="AD345" i="8"/>
  <c r="AC345" i="8"/>
  <c r="AB345" i="8"/>
  <c r="AA345" i="8"/>
  <c r="Z345" i="8"/>
  <c r="Y345" i="8"/>
  <c r="X345" i="8"/>
  <c r="W345" i="8"/>
  <c r="V345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A345" i="8"/>
  <c r="AF344" i="8"/>
  <c r="AE344" i="8"/>
  <c r="AD344" i="8"/>
  <c r="AC344" i="8"/>
  <c r="AB344" i="8"/>
  <c r="AA344" i="8"/>
  <c r="Z344" i="8"/>
  <c r="Y344" i="8"/>
  <c r="X344" i="8"/>
  <c r="W344" i="8"/>
  <c r="V344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A344" i="8"/>
  <c r="AF343" i="8"/>
  <c r="AE343" i="8"/>
  <c r="AD343" i="8"/>
  <c r="AC343" i="8"/>
  <c r="AB343" i="8"/>
  <c r="AA343" i="8"/>
  <c r="Z343" i="8"/>
  <c r="Y343" i="8"/>
  <c r="X343" i="8"/>
  <c r="W343" i="8"/>
  <c r="V343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A343" i="8"/>
  <c r="AF342" i="8"/>
  <c r="AE342" i="8"/>
  <c r="AD342" i="8"/>
  <c r="AC342" i="8"/>
  <c r="AB342" i="8"/>
  <c r="AA342" i="8"/>
  <c r="Z342" i="8"/>
  <c r="Y342" i="8"/>
  <c r="X342" i="8"/>
  <c r="W342" i="8"/>
  <c r="V342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A342" i="8"/>
  <c r="AF341" i="8"/>
  <c r="AE341" i="8"/>
  <c r="AD341" i="8"/>
  <c r="AC341" i="8"/>
  <c r="AB341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A341" i="8"/>
  <c r="AF340" i="8"/>
  <c r="AE340" i="8"/>
  <c r="AD340" i="8"/>
  <c r="AC340" i="8"/>
  <c r="AB340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A340" i="8"/>
  <c r="AF339" i="8"/>
  <c r="AE339" i="8"/>
  <c r="AD339" i="8"/>
  <c r="AC339" i="8"/>
  <c r="AB339" i="8"/>
  <c r="AA339" i="8"/>
  <c r="Z339" i="8"/>
  <c r="Y339" i="8"/>
  <c r="X339" i="8"/>
  <c r="W339" i="8"/>
  <c r="V339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A339" i="8"/>
  <c r="AF338" i="8"/>
  <c r="AE338" i="8"/>
  <c r="AD338" i="8"/>
  <c r="AC338" i="8"/>
  <c r="AB338" i="8"/>
  <c r="AA338" i="8"/>
  <c r="Z338" i="8"/>
  <c r="Y338" i="8"/>
  <c r="X338" i="8"/>
  <c r="W338" i="8"/>
  <c r="V338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A338" i="8"/>
  <c r="AF337" i="8"/>
  <c r="AE337" i="8"/>
  <c r="AD337" i="8"/>
  <c r="AC337" i="8"/>
  <c r="AB337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A337" i="8"/>
  <c r="AF336" i="8"/>
  <c r="AE336" i="8"/>
  <c r="AD336" i="8"/>
  <c r="AC336" i="8"/>
  <c r="AB336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A336" i="8"/>
  <c r="AF335" i="8"/>
  <c r="AE335" i="8"/>
  <c r="AD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A335" i="8"/>
  <c r="AF334" i="8"/>
  <c r="AE334" i="8"/>
  <c r="AD334" i="8"/>
  <c r="AC334" i="8"/>
  <c r="AB334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A334" i="8"/>
  <c r="AF333" i="8"/>
  <c r="AE333" i="8"/>
  <c r="AD333" i="8"/>
  <c r="AC333" i="8"/>
  <c r="AB333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A333" i="8"/>
  <c r="AF332" i="8"/>
  <c r="AE332" i="8"/>
  <c r="AD332" i="8"/>
  <c r="AC332" i="8"/>
  <c r="AB332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A332" i="8"/>
  <c r="AF331" i="8"/>
  <c r="AE331" i="8"/>
  <c r="AD331" i="8"/>
  <c r="AC331" i="8"/>
  <c r="AB331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A331" i="8"/>
  <c r="AF330" i="8"/>
  <c r="AE330" i="8"/>
  <c r="AD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A330" i="8"/>
  <c r="AF329" i="8"/>
  <c r="AE329" i="8"/>
  <c r="AD329" i="8"/>
  <c r="AC329" i="8"/>
  <c r="AB329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A329" i="8"/>
  <c r="AF328" i="8"/>
  <c r="AE328" i="8"/>
  <c r="AD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A328" i="8"/>
  <c r="AF327" i="8"/>
  <c r="AE327" i="8"/>
  <c r="AD327" i="8"/>
  <c r="AC327" i="8"/>
  <c r="AB327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A327" i="8"/>
  <c r="AF326" i="8"/>
  <c r="AE326" i="8"/>
  <c r="AD326" i="8"/>
  <c r="AC326" i="8"/>
  <c r="AB326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A326" i="8"/>
  <c r="AF325" i="8"/>
  <c r="AE325" i="8"/>
  <c r="AD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A325" i="8"/>
  <c r="AF324" i="8"/>
  <c r="AE324" i="8"/>
  <c r="AD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A324" i="8"/>
  <c r="AF323" i="8"/>
  <c r="AE323" i="8"/>
  <c r="AD323" i="8"/>
  <c r="AC323" i="8"/>
  <c r="AB323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A323" i="8"/>
  <c r="AF322" i="8"/>
  <c r="AE322" i="8"/>
  <c r="AD322" i="8"/>
  <c r="AC322" i="8"/>
  <c r="AB322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A322" i="8"/>
  <c r="AF321" i="8"/>
  <c r="AE321" i="8"/>
  <c r="AD321" i="8"/>
  <c r="AC321" i="8"/>
  <c r="AB321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A321" i="8"/>
  <c r="AF320" i="8"/>
  <c r="AE320" i="8"/>
  <c r="AD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A320" i="8"/>
  <c r="AF319" i="8"/>
  <c r="AE319" i="8"/>
  <c r="AD319" i="8"/>
  <c r="AC319" i="8"/>
  <c r="AB319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A319" i="8"/>
  <c r="AF318" i="8"/>
  <c r="AE318" i="8"/>
  <c r="AD318" i="8"/>
  <c r="AC318" i="8"/>
  <c r="AB318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A318" i="8"/>
  <c r="AF317" i="8"/>
  <c r="AE317" i="8"/>
  <c r="AD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A317" i="8"/>
  <c r="AF316" i="8"/>
  <c r="AE316" i="8"/>
  <c r="AD316" i="8"/>
  <c r="AC316" i="8"/>
  <c r="AB316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A316" i="8"/>
  <c r="AF315" i="8"/>
  <c r="AE315" i="8"/>
  <c r="AD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A315" i="8"/>
  <c r="AF314" i="8"/>
  <c r="AE314" i="8"/>
  <c r="AD314" i="8"/>
  <c r="AC314" i="8"/>
  <c r="AB314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A314" i="8"/>
  <c r="AF313" i="8"/>
  <c r="AE313" i="8"/>
  <c r="AD313" i="8"/>
  <c r="AC313" i="8"/>
  <c r="AB313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A313" i="8"/>
  <c r="AF312" i="8"/>
  <c r="AE312" i="8"/>
  <c r="AD312" i="8"/>
  <c r="AC312" i="8"/>
  <c r="AB312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A312" i="8"/>
  <c r="AF311" i="8"/>
  <c r="AE311" i="8"/>
  <c r="AD311" i="8"/>
  <c r="AC311" i="8"/>
  <c r="AB311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A311" i="8"/>
  <c r="AF310" i="8"/>
  <c r="AE310" i="8"/>
  <c r="AD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A310" i="8"/>
  <c r="AF309" i="8"/>
  <c r="AE309" i="8"/>
  <c r="AD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A309" i="8"/>
  <c r="AF308" i="8"/>
  <c r="AE308" i="8"/>
  <c r="AD308" i="8"/>
  <c r="AC308" i="8"/>
  <c r="AB308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A308" i="8"/>
  <c r="AF307" i="8"/>
  <c r="AE307" i="8"/>
  <c r="AD307" i="8"/>
  <c r="AC307" i="8"/>
  <c r="AB307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A307" i="8"/>
  <c r="AF306" i="8"/>
  <c r="AE306" i="8"/>
  <c r="AD306" i="8"/>
  <c r="AC306" i="8"/>
  <c r="AB306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A306" i="8"/>
  <c r="AF305" i="8"/>
  <c r="AE305" i="8"/>
  <c r="AD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A305" i="8"/>
  <c r="AF304" i="8"/>
  <c r="AE304" i="8"/>
  <c r="AD304" i="8"/>
  <c r="AC304" i="8"/>
  <c r="AB304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A304" i="8"/>
  <c r="AF303" i="8"/>
  <c r="AE303" i="8"/>
  <c r="AD303" i="8"/>
  <c r="AC303" i="8"/>
  <c r="AB303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A303" i="8"/>
  <c r="AF302" i="8"/>
  <c r="AE302" i="8"/>
  <c r="AD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A302" i="8"/>
  <c r="AF301" i="8"/>
  <c r="AE301" i="8"/>
  <c r="AD301" i="8"/>
  <c r="AC301" i="8"/>
  <c r="AB301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A301" i="8"/>
  <c r="AF300" i="8"/>
  <c r="AE300" i="8"/>
  <c r="AD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A300" i="8"/>
  <c r="AF299" i="8"/>
  <c r="AE299" i="8"/>
  <c r="AD299" i="8"/>
  <c r="AC299" i="8"/>
  <c r="AB299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A299" i="8"/>
  <c r="AF298" i="8"/>
  <c r="AE298" i="8"/>
  <c r="AD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A298" i="8"/>
  <c r="AF297" i="8"/>
  <c r="AE297" i="8"/>
  <c r="AD297" i="8"/>
  <c r="AC297" i="8"/>
  <c r="AB297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A297" i="8"/>
  <c r="AF296" i="8"/>
  <c r="AE296" i="8"/>
  <c r="AD296" i="8"/>
  <c r="AC296" i="8"/>
  <c r="AB296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A296" i="8"/>
  <c r="AF295" i="8"/>
  <c r="AE295" i="8"/>
  <c r="AD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A295" i="8"/>
  <c r="AF294" i="8"/>
  <c r="AE294" i="8"/>
  <c r="AD294" i="8"/>
  <c r="AC294" i="8"/>
  <c r="AB294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A294" i="8"/>
  <c r="AF293" i="8"/>
  <c r="AE293" i="8"/>
  <c r="AD293" i="8"/>
  <c r="AC293" i="8"/>
  <c r="AB293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A293" i="8"/>
  <c r="AF292" i="8"/>
  <c r="AE292" i="8"/>
  <c r="AD292" i="8"/>
  <c r="AC292" i="8"/>
  <c r="AB292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A292" i="8"/>
  <c r="AF291" i="8"/>
  <c r="AE291" i="8"/>
  <c r="AD291" i="8"/>
  <c r="AC291" i="8"/>
  <c r="AB291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A291" i="8"/>
  <c r="AF290" i="8"/>
  <c r="AE290" i="8"/>
  <c r="AD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A290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A289" i="8"/>
  <c r="AF288" i="8"/>
  <c r="AE288" i="8"/>
  <c r="AD288" i="8"/>
  <c r="AC288" i="8"/>
  <c r="AB288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A288" i="8"/>
  <c r="AF287" i="8"/>
  <c r="AE287" i="8"/>
  <c r="AD287" i="8"/>
  <c r="AC287" i="8"/>
  <c r="AB287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A287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A286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A285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A284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A283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A282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A281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A280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A279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A278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A277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A276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A275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A274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A273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A272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A271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A270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A269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A268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A267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A266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A265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A264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A263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A262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A261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A260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A259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A258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A257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A256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A255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A254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A253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A252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A251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A250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A249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A248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A247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A246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A245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A244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A243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A242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A241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A240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A239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A238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A237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A236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A235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A234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A233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A232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A231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A230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A229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A228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A227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A226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A225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A224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A223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A222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A221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A220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A219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A218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A217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A216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215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A214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A213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A212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A211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A210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A209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A208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A207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A206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A205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A204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A203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A202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A201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A200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A199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A198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A197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A196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A195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A194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A193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A192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A191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A190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A189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A188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A187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A186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A185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A184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A183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182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181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180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179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178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177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176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175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174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173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172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171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A170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A169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168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167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166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165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164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163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162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161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160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159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158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157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156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155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154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153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152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151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150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149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148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147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146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145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144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143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142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141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140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139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138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137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136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135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134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133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132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131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130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129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A128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A127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126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125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124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123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122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121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120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119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118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117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116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115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114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113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112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111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110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109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108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107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105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103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101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98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97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A86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A4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A2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1" i="8"/>
  <c r="AF382" i="7"/>
  <c r="AE382" i="7"/>
  <c r="AD382" i="7"/>
  <c r="AC382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A382" i="7"/>
  <c r="AF381" i="7"/>
  <c r="AE381" i="7"/>
  <c r="AD381" i="7"/>
  <c r="AC381" i="7"/>
  <c r="AB381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D381" i="7"/>
  <c r="C381" i="7"/>
  <c r="B381" i="7"/>
  <c r="A381" i="7"/>
  <c r="AF380" i="7"/>
  <c r="AE380" i="7"/>
  <c r="AD380" i="7"/>
  <c r="AC380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380" i="7"/>
  <c r="A380" i="7"/>
  <c r="AF379" i="7"/>
  <c r="AE379" i="7"/>
  <c r="AD379" i="7"/>
  <c r="AC379" i="7"/>
  <c r="AB379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D379" i="7"/>
  <c r="C379" i="7"/>
  <c r="B379" i="7"/>
  <c r="A379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C378" i="7"/>
  <c r="B378" i="7"/>
  <c r="A378" i="7"/>
  <c r="AF377" i="7"/>
  <c r="AE377" i="7"/>
  <c r="AD377" i="7"/>
  <c r="AC377" i="7"/>
  <c r="AB377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C377" i="7"/>
  <c r="B377" i="7"/>
  <c r="A377" i="7"/>
  <c r="AF376" i="7"/>
  <c r="AE376" i="7"/>
  <c r="AD376" i="7"/>
  <c r="AC376" i="7"/>
  <c r="AB376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C376" i="7"/>
  <c r="B376" i="7"/>
  <c r="A376" i="7"/>
  <c r="AF375" i="7"/>
  <c r="AE375" i="7"/>
  <c r="AD375" i="7"/>
  <c r="AC375" i="7"/>
  <c r="AB375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C375" i="7"/>
  <c r="B375" i="7"/>
  <c r="A375" i="7"/>
  <c r="AF374" i="7"/>
  <c r="AE374" i="7"/>
  <c r="AD374" i="7"/>
  <c r="AC374" i="7"/>
  <c r="AB374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B374" i="7"/>
  <c r="A374" i="7"/>
  <c r="AF373" i="7"/>
  <c r="AE373" i="7"/>
  <c r="AD373" i="7"/>
  <c r="AC373" i="7"/>
  <c r="AB373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D373" i="7"/>
  <c r="C373" i="7"/>
  <c r="B373" i="7"/>
  <c r="A373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A372" i="7"/>
  <c r="AF371" i="7"/>
  <c r="AE371" i="7"/>
  <c r="AD371" i="7"/>
  <c r="AC371" i="7"/>
  <c r="AB371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A371" i="7"/>
  <c r="AF370" i="7"/>
  <c r="AE370" i="7"/>
  <c r="AD370" i="7"/>
  <c r="AC370" i="7"/>
  <c r="AB370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A370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A369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A368" i="7"/>
  <c r="AF367" i="7"/>
  <c r="AE367" i="7"/>
  <c r="AD367" i="7"/>
  <c r="AC367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A367" i="7"/>
  <c r="AF366" i="7"/>
  <c r="AE366" i="7"/>
  <c r="AD366" i="7"/>
  <c r="AC366" i="7"/>
  <c r="AB366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A366" i="7"/>
  <c r="AF365" i="7"/>
  <c r="AE365" i="7"/>
  <c r="AD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A365" i="7"/>
  <c r="AF364" i="7"/>
  <c r="AE364" i="7"/>
  <c r="AD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D364" i="7"/>
  <c r="C364" i="7"/>
  <c r="B364" i="7"/>
  <c r="A364" i="7"/>
  <c r="AF363" i="7"/>
  <c r="AE363" i="7"/>
  <c r="AD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D363" i="7"/>
  <c r="C363" i="7"/>
  <c r="B363" i="7"/>
  <c r="A363" i="7"/>
  <c r="AF362" i="7"/>
  <c r="AE362" i="7"/>
  <c r="AD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A362" i="7"/>
  <c r="AF361" i="7"/>
  <c r="AE361" i="7"/>
  <c r="AD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D361" i="7"/>
  <c r="C361" i="7"/>
  <c r="B361" i="7"/>
  <c r="A361" i="7"/>
  <c r="AF360" i="7"/>
  <c r="AE360" i="7"/>
  <c r="AD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C360" i="7"/>
  <c r="B360" i="7"/>
  <c r="A360" i="7"/>
  <c r="AF359" i="7"/>
  <c r="AE359" i="7"/>
  <c r="AD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A359" i="7"/>
  <c r="AF358" i="7"/>
  <c r="AE358" i="7"/>
  <c r="AD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A358" i="7"/>
  <c r="AF357" i="7"/>
  <c r="AE357" i="7"/>
  <c r="AD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A357" i="7"/>
  <c r="AF356" i="7"/>
  <c r="AE356" i="7"/>
  <c r="AD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A356" i="7"/>
  <c r="AF355" i="7"/>
  <c r="AE355" i="7"/>
  <c r="AD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A355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A354" i="7"/>
  <c r="AF353" i="7"/>
  <c r="AE353" i="7"/>
  <c r="AD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A353" i="7"/>
  <c r="AF352" i="7"/>
  <c r="AE352" i="7"/>
  <c r="AD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A352" i="7"/>
  <c r="AF351" i="7"/>
  <c r="AE351" i="7"/>
  <c r="AD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A351" i="7"/>
  <c r="AF350" i="7"/>
  <c r="AE350" i="7"/>
  <c r="AD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A350" i="7"/>
  <c r="AF349" i="7"/>
  <c r="AE349" i="7"/>
  <c r="AD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A349" i="7"/>
  <c r="AF348" i="7"/>
  <c r="AE348" i="7"/>
  <c r="AD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A348" i="7"/>
  <c r="AF347" i="7"/>
  <c r="AE347" i="7"/>
  <c r="AD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A347" i="7"/>
  <c r="AF346" i="7"/>
  <c r="AE346" i="7"/>
  <c r="AD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A346" i="7"/>
  <c r="AF345" i="7"/>
  <c r="AE345" i="7"/>
  <c r="AD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A345" i="7"/>
  <c r="AF344" i="7"/>
  <c r="AE344" i="7"/>
  <c r="AD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A344" i="7"/>
  <c r="AF343" i="7"/>
  <c r="AE343" i="7"/>
  <c r="AD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A343" i="7"/>
  <c r="AF342" i="7"/>
  <c r="AE342" i="7"/>
  <c r="AD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A342" i="7"/>
  <c r="AF341" i="7"/>
  <c r="AE341" i="7"/>
  <c r="AD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A341" i="7"/>
  <c r="AF340" i="7"/>
  <c r="AE340" i="7"/>
  <c r="AD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F339" i="7"/>
  <c r="AE339" i="7"/>
  <c r="AD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F338" i="7"/>
  <c r="AE338" i="7"/>
  <c r="AD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A338" i="7"/>
  <c r="AF337" i="7"/>
  <c r="AE337" i="7"/>
  <c r="AD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F336" i="7"/>
  <c r="AE336" i="7"/>
  <c r="AD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A336" i="7"/>
  <c r="AF335" i="7"/>
  <c r="AE335" i="7"/>
  <c r="AD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A335" i="7"/>
  <c r="AF334" i="7"/>
  <c r="AE334" i="7"/>
  <c r="AD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F333" i="7"/>
  <c r="AE333" i="7"/>
  <c r="AD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A333" i="7"/>
  <c r="AF332" i="7"/>
  <c r="AE332" i="7"/>
  <c r="AD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A332" i="7"/>
  <c r="AF331" i="7"/>
  <c r="AE331" i="7"/>
  <c r="AD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F330" i="7"/>
  <c r="AE330" i="7"/>
  <c r="AD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A330" i="7"/>
  <c r="AF329" i="7"/>
  <c r="AE329" i="7"/>
  <c r="AD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F328" i="7"/>
  <c r="AE328" i="7"/>
  <c r="AD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A328" i="7"/>
  <c r="AF327" i="7"/>
  <c r="AE327" i="7"/>
  <c r="AD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A327" i="7"/>
  <c r="AF326" i="7"/>
  <c r="AE326" i="7"/>
  <c r="AD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F325" i="7"/>
  <c r="AE325" i="7"/>
  <c r="AD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F324" i="7"/>
  <c r="AE324" i="7"/>
  <c r="AD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F323" i="7"/>
  <c r="AE323" i="7"/>
  <c r="AD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F322" i="7"/>
  <c r="AE322" i="7"/>
  <c r="AD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A322" i="7"/>
  <c r="AF321" i="7"/>
  <c r="AE321" i="7"/>
  <c r="AD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F320" i="7"/>
  <c r="AE320" i="7"/>
  <c r="AD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A320" i="7"/>
  <c r="AF319" i="7"/>
  <c r="AE319" i="7"/>
  <c r="AD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A319" i="7"/>
  <c r="AF318" i="7"/>
  <c r="AE318" i="7"/>
  <c r="AD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F317" i="7"/>
  <c r="AE317" i="7"/>
  <c r="AD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A317" i="7"/>
  <c r="AF316" i="7"/>
  <c r="AE316" i="7"/>
  <c r="AD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A316" i="7"/>
  <c r="AF315" i="7"/>
  <c r="AE315" i="7"/>
  <c r="AD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F314" i="7"/>
  <c r="AE314" i="7"/>
  <c r="AD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A314" i="7"/>
  <c r="AF313" i="7"/>
  <c r="AE313" i="7"/>
  <c r="AD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A312" i="7"/>
  <c r="AF311" i="7"/>
  <c r="AE311" i="7"/>
  <c r="AD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A311" i="7"/>
  <c r="AF310" i="7"/>
  <c r="AE310" i="7"/>
  <c r="AD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F309" i="7"/>
  <c r="AE309" i="7"/>
  <c r="AD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F308" i="7"/>
  <c r="AE308" i="7"/>
  <c r="AD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F307" i="7"/>
  <c r="AE307" i="7"/>
  <c r="AD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F306" i="7"/>
  <c r="AE306" i="7"/>
  <c r="AD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A306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F304" i="7"/>
  <c r="AE304" i="7"/>
  <c r="AD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A304" i="7"/>
  <c r="AF303" i="7"/>
  <c r="AE303" i="7"/>
  <c r="AD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A303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F301" i="7"/>
  <c r="AE301" i="7"/>
  <c r="AD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A301" i="7"/>
  <c r="AF300" i="7"/>
  <c r="AE300" i="7"/>
  <c r="AD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A300" i="7"/>
  <c r="AF299" i="7"/>
  <c r="AE299" i="7"/>
  <c r="AD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A298" i="7"/>
  <c r="AF297" i="7"/>
  <c r="AE297" i="7"/>
  <c r="AD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F296" i="7"/>
  <c r="AE296" i="7"/>
  <c r="AD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A296" i="7"/>
  <c r="AF295" i="7"/>
  <c r="AE295" i="7"/>
  <c r="AD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B295" i="7"/>
  <c r="A295" i="7"/>
  <c r="AF294" i="7"/>
  <c r="AE294" i="7"/>
  <c r="AD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F293" i="7"/>
  <c r="AE293" i="7"/>
  <c r="AD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F292" i="7"/>
  <c r="AE292" i="7"/>
  <c r="AD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F291" i="7"/>
  <c r="AE291" i="7"/>
  <c r="AD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F290" i="7"/>
  <c r="AE290" i="7"/>
  <c r="AD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A290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F288" i="7"/>
  <c r="AE288" i="7"/>
  <c r="AD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A288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AF286" i="7"/>
  <c r="AE286" i="7"/>
  <c r="AD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F285" i="7"/>
  <c r="AE285" i="7"/>
  <c r="AD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A285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A284" i="7"/>
  <c r="AF283" i="7"/>
  <c r="AE283" i="7"/>
  <c r="AD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F282" i="7"/>
  <c r="AE282" i="7"/>
  <c r="AD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A282" i="7"/>
  <c r="AF281" i="7"/>
  <c r="AE281" i="7"/>
  <c r="AD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AF279" i="7"/>
  <c r="AE279" i="7"/>
  <c r="AD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AF278" i="7"/>
  <c r="AE278" i="7"/>
  <c r="AD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F277" i="7"/>
  <c r="AE277" i="7"/>
  <c r="AD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F276" i="7"/>
  <c r="AE276" i="7"/>
  <c r="AD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F275" i="7"/>
  <c r="AE275" i="7"/>
  <c r="AD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F274" i="7"/>
  <c r="AE274" i="7"/>
  <c r="AD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AF273" i="7"/>
  <c r="AE273" i="7"/>
  <c r="AD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F272" i="7"/>
  <c r="AE272" i="7"/>
  <c r="AD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F269" i="7"/>
  <c r="AE269" i="7"/>
  <c r="AD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AF268" i="7"/>
  <c r="AE268" i="7"/>
  <c r="AD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AF267" i="7"/>
  <c r="AE267" i="7"/>
  <c r="AD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F266" i="7"/>
  <c r="AE266" i="7"/>
  <c r="AD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AF265" i="7"/>
  <c r="AE265" i="7"/>
  <c r="AD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AF263" i="7"/>
  <c r="AE263" i="7"/>
  <c r="AD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AF260" i="7"/>
  <c r="AE260" i="7"/>
  <c r="AD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AF259" i="7"/>
  <c r="AE259" i="7"/>
  <c r="AD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AF258" i="7"/>
  <c r="AE258" i="7"/>
  <c r="AD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AF254" i="7"/>
  <c r="AE254" i="7"/>
  <c r="AD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AF252" i="7"/>
  <c r="AE252" i="7"/>
  <c r="AD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AF246" i="7"/>
  <c r="AE246" i="7"/>
  <c r="AD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AF243" i="7"/>
  <c r="AE243" i="7"/>
  <c r="AD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AF238" i="7"/>
  <c r="AE238" i="7"/>
  <c r="AD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AF237" i="7"/>
  <c r="AE237" i="7"/>
  <c r="AD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AF236" i="7"/>
  <c r="AE236" i="7"/>
  <c r="AD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AF231" i="7"/>
  <c r="AE231" i="7"/>
  <c r="AD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AF210" i="7"/>
  <c r="AE210" i="7"/>
  <c r="AD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A1" i="6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</calcChain>
</file>

<file path=xl/sharedStrings.xml><?xml version="1.0" encoding="utf-8"?>
<sst xmlns="http://schemas.openxmlformats.org/spreadsheetml/2006/main" count="12" uniqueCount="12">
  <si>
    <t>NumGames</t>
  </si>
  <si>
    <t>OverallW</t>
  </si>
  <si>
    <t>OverallL</t>
  </si>
  <si>
    <t>OverallWinPct</t>
  </si>
  <si>
    <t>ConfW</t>
  </si>
  <si>
    <t>ConfL</t>
  </si>
  <si>
    <t>HomeW</t>
  </si>
  <si>
    <t>HomeL</t>
  </si>
  <si>
    <t>AwayW</t>
  </si>
  <si>
    <t>AwayL</t>
  </si>
  <si>
    <t>Team Points</t>
  </si>
  <si>
    <t>OppPoints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</si>
</sst>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CBBA-B1D1-4C36-9E56-87C2D9F9DD2C}">
  <dimension ref="A1:AF388"/>
  <sheetViews>
    <sheetView tabSelected="1" workbookViewId="0">
      <selection activeCell="B11" sqref="B11"/>
    </sheetView>
  </sheetViews>
  <sheetFormatPr defaultColWidth="14.453125" defaultRowHeight="12.5" x14ac:dyDescent="0.25"/>
  <cols>
    <col min="1" max="16384" width="14.453125" style="2"/>
  </cols>
  <sheetData>
    <row r="1" spans="1:32" ht="15.75" customHeight="1" x14ac:dyDescent="0.25">
      <c r="A1" s="3" t="str">
        <f ca="1">IFERROR(__xludf.DUMMYFUNCTION("""COMPUTED_VALUE"""),"School")</f>
        <v>School</v>
      </c>
      <c r="B1" s="3" t="str">
        <f ca="1">IFERROR(__xludf.DUMMYFUNCTION("""COMPUTED_VALUE"""),"G")</f>
        <v>G</v>
      </c>
      <c r="C1" s="3" t="str">
        <f ca="1">IFERROR(__xludf.DUMMYFUNCTION("""COMPUTED_VALUE"""),"W")</f>
        <v>W</v>
      </c>
      <c r="D1" s="3" t="str">
        <f ca="1">IFERROR(__xludf.DUMMYFUNCTION("""COMPUTED_VALUE"""),"L")</f>
        <v>L</v>
      </c>
      <c r="E1" s="3" t="str">
        <f ca="1">IFERROR(__xludf.DUMMYFUNCTION("""COMPUTED_VALUE"""),"W-L%")</f>
        <v>W-L%</v>
      </c>
      <c r="F1" s="3" t="str">
        <f ca="1">IFERROR(__xludf.DUMMYFUNCTION("""COMPUTED_VALUE"""),"SRS")</f>
        <v>SRS</v>
      </c>
      <c r="G1" s="3" t="str">
        <f ca="1">IFERROR(__xludf.DUMMYFUNCTION("""COMPUTED_VALUE"""),"SOS")</f>
        <v>SOS</v>
      </c>
      <c r="H1" s="3" t="str">
        <f ca="1">IFERROR(__xludf.DUMMYFUNCTION("""COMPUTED_VALUE"""),"W")</f>
        <v>W</v>
      </c>
      <c r="I1" s="3" t="str">
        <f ca="1">IFERROR(__xludf.DUMMYFUNCTION("""COMPUTED_VALUE"""),"L")</f>
        <v>L</v>
      </c>
      <c r="J1" s="3" t="str">
        <f ca="1">IFERROR(__xludf.DUMMYFUNCTION("""COMPUTED_VALUE"""),"W")</f>
        <v>W</v>
      </c>
      <c r="K1" s="3" t="str">
        <f ca="1">IFERROR(__xludf.DUMMYFUNCTION("""COMPUTED_VALUE"""),"L")</f>
        <v>L</v>
      </c>
      <c r="L1" s="3" t="str">
        <f ca="1">IFERROR(__xludf.DUMMYFUNCTION("""COMPUTED_VALUE"""),"W")</f>
        <v>W</v>
      </c>
      <c r="M1" s="3" t="str">
        <f ca="1">IFERROR(__xludf.DUMMYFUNCTION("""COMPUTED_VALUE"""),"L")</f>
        <v>L</v>
      </c>
      <c r="N1" s="3" t="str">
        <f ca="1">IFERROR(__xludf.DUMMYFUNCTION("""COMPUTED_VALUE"""),"Tm.")</f>
        <v>Tm.</v>
      </c>
      <c r="O1" s="3" t="str">
        <f ca="1">IFERROR(__xludf.DUMMYFUNCTION("""COMPUTED_VALUE"""),"Opp.")</f>
        <v>Opp.</v>
      </c>
      <c r="P1" s="3" t="str">
        <f ca="1">IFERROR(__xludf.DUMMYFUNCTION("""COMPUTED_VALUE"""),"MP")</f>
        <v>MP</v>
      </c>
      <c r="Q1" s="3" t="str">
        <f ca="1">IFERROR(__xludf.DUMMYFUNCTION("""COMPUTED_VALUE"""),"FG")</f>
        <v>FG</v>
      </c>
      <c r="R1" s="3" t="str">
        <f ca="1">IFERROR(__xludf.DUMMYFUNCTION("""COMPUTED_VALUE"""),"FGA")</f>
        <v>FGA</v>
      </c>
      <c r="S1" s="3" t="str">
        <f ca="1">IFERROR(__xludf.DUMMYFUNCTION("""COMPUTED_VALUE"""),"FG%")</f>
        <v>FG%</v>
      </c>
      <c r="T1" s="3" t="str">
        <f ca="1">IFERROR(__xludf.DUMMYFUNCTION("""COMPUTED_VALUE"""),"3P")</f>
        <v>3P</v>
      </c>
      <c r="U1" s="3" t="str">
        <f ca="1">IFERROR(__xludf.DUMMYFUNCTION("""COMPUTED_VALUE"""),"3PA")</f>
        <v>3PA</v>
      </c>
      <c r="V1" s="3" t="str">
        <f ca="1">IFERROR(__xludf.DUMMYFUNCTION("""COMPUTED_VALUE"""),"3P%")</f>
        <v>3P%</v>
      </c>
      <c r="W1" s="3" t="str">
        <f ca="1">IFERROR(__xludf.DUMMYFUNCTION("""COMPUTED_VALUE"""),"FT")</f>
        <v>FT</v>
      </c>
      <c r="X1" s="3" t="str">
        <f ca="1">IFERROR(__xludf.DUMMYFUNCTION("""COMPUTED_VALUE"""),"FTA")</f>
        <v>FTA</v>
      </c>
      <c r="Y1" s="3" t="str">
        <f ca="1">IFERROR(__xludf.DUMMYFUNCTION("""COMPUTED_VALUE"""),"FT%")</f>
        <v>FT%</v>
      </c>
      <c r="Z1" s="3" t="str">
        <f ca="1">IFERROR(__xludf.DUMMYFUNCTION("""COMPUTED_VALUE"""),"ORB")</f>
        <v>ORB</v>
      </c>
      <c r="AA1" s="3" t="str">
        <f ca="1">IFERROR(__xludf.DUMMYFUNCTION("""COMPUTED_VALUE"""),"TRB")</f>
        <v>TRB</v>
      </c>
      <c r="AB1" s="3" t="str">
        <f ca="1">IFERROR(__xludf.DUMMYFUNCTION("""COMPUTED_VALUE"""),"AST")</f>
        <v>AST</v>
      </c>
      <c r="AC1" s="3" t="str">
        <f ca="1">IFERROR(__xludf.DUMMYFUNCTION("""COMPUTED_VALUE"""),"STL")</f>
        <v>STL</v>
      </c>
      <c r="AD1" s="3" t="str">
        <f ca="1">IFERROR(__xludf.DUMMYFUNCTION("""COMPUTED_VALUE"""),"BLK")</f>
        <v>BLK</v>
      </c>
      <c r="AE1" s="3" t="str">
        <f ca="1">IFERROR(__xludf.DUMMYFUNCTION("""COMPUTED_VALUE"""),"TOV")</f>
        <v>TOV</v>
      </c>
      <c r="AF1" s="3" t="str">
        <f ca="1">IFERROR(__xludf.DUMMYFUNCTION("""COMPUTED_VALUE"""),"PF")</f>
        <v>PF</v>
      </c>
    </row>
    <row r="2" spans="1:32" ht="15.75" customHeight="1" x14ac:dyDescent="0.25">
      <c r="A2" s="3" t="str">
        <f ca="1">IFERROR(__xludf.DUMMYFUNCTION("""COMPUTED_VALUE"""),"Abilene ChristianNCAA")</f>
        <v>Abilene ChristianNCAA</v>
      </c>
      <c r="B2" s="3">
        <f ca="1">IFERROR(__xludf.DUMMYFUNCTION("""COMPUTED_VALUE"""),34)</f>
        <v>34</v>
      </c>
      <c r="C2" s="3">
        <f ca="1">IFERROR(__xludf.DUMMYFUNCTION("""COMPUTED_VALUE"""),27)</f>
        <v>27</v>
      </c>
      <c r="D2" s="3">
        <f ca="1">IFERROR(__xludf.DUMMYFUNCTION("""COMPUTED_VALUE"""),7)</f>
        <v>7</v>
      </c>
      <c r="E2" s="3">
        <f ca="1">IFERROR(__xludf.DUMMYFUNCTION("""COMPUTED_VALUE"""),0.794)</f>
        <v>0.79400000000000004</v>
      </c>
      <c r="F2" s="3">
        <f ca="1">IFERROR(__xludf.DUMMYFUNCTION("""COMPUTED_VALUE"""),-1.91)</f>
        <v>-1.91</v>
      </c>
      <c r="G2" s="3">
        <f ca="1">IFERROR(__xludf.DUMMYFUNCTION("""COMPUTED_VALUE"""),-7.34)</f>
        <v>-7.34</v>
      </c>
      <c r="H2" s="3">
        <f ca="1">IFERROR(__xludf.DUMMYFUNCTION("""COMPUTED_VALUE"""),14)</f>
        <v>14</v>
      </c>
      <c r="I2" s="3">
        <f ca="1">IFERROR(__xludf.DUMMYFUNCTION("""COMPUTED_VALUE"""),4)</f>
        <v>4</v>
      </c>
      <c r="J2" s="3">
        <f ca="1">IFERROR(__xludf.DUMMYFUNCTION("""COMPUTED_VALUE"""),13)</f>
        <v>13</v>
      </c>
      <c r="K2" s="3">
        <f ca="1">IFERROR(__xludf.DUMMYFUNCTION("""COMPUTED_VALUE"""),2)</f>
        <v>2</v>
      </c>
      <c r="L2" s="3">
        <f ca="1">IFERROR(__xludf.DUMMYFUNCTION("""COMPUTED_VALUE"""),10)</f>
        <v>10</v>
      </c>
      <c r="M2" s="3">
        <f ca="1">IFERROR(__xludf.DUMMYFUNCTION("""COMPUTED_VALUE"""),4)</f>
        <v>4</v>
      </c>
      <c r="N2" s="3">
        <f ca="1">IFERROR(__xludf.DUMMYFUNCTION("""COMPUTED_VALUE"""),2502)</f>
        <v>2502</v>
      </c>
      <c r="O2" s="3">
        <f ca="1">IFERROR(__xludf.DUMMYFUNCTION("""COMPUTED_VALUE"""),2161)</f>
        <v>2161</v>
      </c>
      <c r="P2" s="3">
        <f ca="1">IFERROR(__xludf.DUMMYFUNCTION("""COMPUTED_VALUE"""),1370)</f>
        <v>1370</v>
      </c>
      <c r="Q2" s="3">
        <f ca="1">IFERROR(__xludf.DUMMYFUNCTION("""COMPUTED_VALUE"""),897)</f>
        <v>897</v>
      </c>
      <c r="R2" s="3">
        <f ca="1">IFERROR(__xludf.DUMMYFUNCTION("""COMPUTED_VALUE"""),1911)</f>
        <v>1911</v>
      </c>
      <c r="S2" s="3">
        <f ca="1">IFERROR(__xludf.DUMMYFUNCTION("""COMPUTED_VALUE"""),0.469)</f>
        <v>0.46899999999999997</v>
      </c>
      <c r="T2" s="3">
        <f ca="1">IFERROR(__xludf.DUMMYFUNCTION("""COMPUTED_VALUE"""),251)</f>
        <v>251</v>
      </c>
      <c r="U2" s="3">
        <f ca="1">IFERROR(__xludf.DUMMYFUNCTION("""COMPUTED_VALUE"""),660)</f>
        <v>660</v>
      </c>
      <c r="V2" s="3">
        <f ca="1">IFERROR(__xludf.DUMMYFUNCTION("""COMPUTED_VALUE"""),0.38)</f>
        <v>0.38</v>
      </c>
      <c r="W2" s="3">
        <f ca="1">IFERROR(__xludf.DUMMYFUNCTION("""COMPUTED_VALUE"""),457)</f>
        <v>457</v>
      </c>
      <c r="X2" s="3">
        <f ca="1">IFERROR(__xludf.DUMMYFUNCTION("""COMPUTED_VALUE"""),642)</f>
        <v>642</v>
      </c>
      <c r="Y2" s="3">
        <f ca="1">IFERROR(__xludf.DUMMYFUNCTION("""COMPUTED_VALUE"""),0.712)</f>
        <v>0.71199999999999997</v>
      </c>
      <c r="Z2" s="3">
        <f ca="1">IFERROR(__xludf.DUMMYFUNCTION("""COMPUTED_VALUE"""),325)</f>
        <v>325</v>
      </c>
      <c r="AA2" s="3">
        <f ca="1">IFERROR(__xludf.DUMMYFUNCTION("""COMPUTED_VALUE"""),1110)</f>
        <v>1110</v>
      </c>
      <c r="AB2" s="3">
        <f ca="1">IFERROR(__xludf.DUMMYFUNCTION("""COMPUTED_VALUE"""),525)</f>
        <v>525</v>
      </c>
      <c r="AC2" s="3">
        <f ca="1">IFERROR(__xludf.DUMMYFUNCTION("""COMPUTED_VALUE"""),297)</f>
        <v>297</v>
      </c>
      <c r="AD2" s="3">
        <f ca="1">IFERROR(__xludf.DUMMYFUNCTION("""COMPUTED_VALUE"""),93)</f>
        <v>93</v>
      </c>
      <c r="AE2" s="3">
        <f ca="1">IFERROR(__xludf.DUMMYFUNCTION("""COMPUTED_VALUE"""),407)</f>
        <v>407</v>
      </c>
      <c r="AF2" s="3">
        <f ca="1">IFERROR(__xludf.DUMMYFUNCTION("""COMPUTED_VALUE"""),635)</f>
        <v>635</v>
      </c>
    </row>
    <row r="3" spans="1:32" ht="15.75" customHeight="1" x14ac:dyDescent="0.25">
      <c r="A3" s="3" t="str">
        <f ca="1">IFERROR(__xludf.DUMMYFUNCTION("""COMPUTED_VALUE"""),"Air Force")</f>
        <v>Air Force</v>
      </c>
      <c r="B3" s="3">
        <f ca="1">IFERROR(__xludf.DUMMYFUNCTION("""COMPUTED_VALUE"""),32)</f>
        <v>32</v>
      </c>
      <c r="C3" s="3">
        <f ca="1">IFERROR(__xludf.DUMMYFUNCTION("""COMPUTED_VALUE"""),14)</f>
        <v>14</v>
      </c>
      <c r="D3" s="3">
        <f ca="1">IFERROR(__xludf.DUMMYFUNCTION("""COMPUTED_VALUE"""),18)</f>
        <v>18</v>
      </c>
      <c r="E3" s="3">
        <f ca="1">IFERROR(__xludf.DUMMYFUNCTION("""COMPUTED_VALUE"""),0.438)</f>
        <v>0.438</v>
      </c>
      <c r="F3" s="3">
        <f ca="1">IFERROR(__xludf.DUMMYFUNCTION("""COMPUTED_VALUE"""),-4.28)</f>
        <v>-4.28</v>
      </c>
      <c r="G3" s="3">
        <f ca="1">IFERROR(__xludf.DUMMYFUNCTION("""COMPUTED_VALUE"""),0.24)</f>
        <v>0.24</v>
      </c>
      <c r="H3" s="3">
        <f ca="1">IFERROR(__xludf.DUMMYFUNCTION("""COMPUTED_VALUE"""),8)</f>
        <v>8</v>
      </c>
      <c r="I3" s="3">
        <f ca="1">IFERROR(__xludf.DUMMYFUNCTION("""COMPUTED_VALUE"""),10)</f>
        <v>10</v>
      </c>
      <c r="J3" s="3">
        <f ca="1">IFERROR(__xludf.DUMMYFUNCTION("""COMPUTED_VALUE"""),9)</f>
        <v>9</v>
      </c>
      <c r="K3" s="3">
        <f ca="1">IFERROR(__xludf.DUMMYFUNCTION("""COMPUTED_VALUE"""),6)</f>
        <v>6</v>
      </c>
      <c r="L3" s="3">
        <f ca="1">IFERROR(__xludf.DUMMYFUNCTION("""COMPUTED_VALUE"""),3)</f>
        <v>3</v>
      </c>
      <c r="M3" s="3">
        <f ca="1">IFERROR(__xludf.DUMMYFUNCTION("""COMPUTED_VALUE"""),9)</f>
        <v>9</v>
      </c>
      <c r="N3" s="3">
        <f ca="1">IFERROR(__xludf.DUMMYFUNCTION("""COMPUTED_VALUE"""),2179)</f>
        <v>2179</v>
      </c>
      <c r="O3" s="3">
        <f ca="1">IFERROR(__xludf.DUMMYFUNCTION("""COMPUTED_VALUE"""),2294)</f>
        <v>2294</v>
      </c>
      <c r="P3" s="3">
        <f ca="1">IFERROR(__xludf.DUMMYFUNCTION("""COMPUTED_VALUE"""),1300)</f>
        <v>1300</v>
      </c>
      <c r="Q3" s="3">
        <f ca="1">IFERROR(__xludf.DUMMYFUNCTION("""COMPUTED_VALUE"""),802)</f>
        <v>802</v>
      </c>
      <c r="R3" s="3">
        <f ca="1">IFERROR(__xludf.DUMMYFUNCTION("""COMPUTED_VALUE"""),1776)</f>
        <v>1776</v>
      </c>
      <c r="S3" s="3">
        <f ca="1">IFERROR(__xludf.DUMMYFUNCTION("""COMPUTED_VALUE"""),0.452)</f>
        <v>0.45200000000000001</v>
      </c>
      <c r="T3" s="3">
        <f ca="1">IFERROR(__xludf.DUMMYFUNCTION("""COMPUTED_VALUE"""),234)</f>
        <v>234</v>
      </c>
      <c r="U3" s="3">
        <f ca="1">IFERROR(__xludf.DUMMYFUNCTION("""COMPUTED_VALUE"""),711)</f>
        <v>711</v>
      </c>
      <c r="V3" s="3">
        <f ca="1">IFERROR(__xludf.DUMMYFUNCTION("""COMPUTED_VALUE"""),0.329)</f>
        <v>0.32900000000000001</v>
      </c>
      <c r="W3" s="3">
        <f ca="1">IFERROR(__xludf.DUMMYFUNCTION("""COMPUTED_VALUE"""),341)</f>
        <v>341</v>
      </c>
      <c r="X3" s="3">
        <f ca="1">IFERROR(__xludf.DUMMYFUNCTION("""COMPUTED_VALUE"""),503)</f>
        <v>503</v>
      </c>
      <c r="Y3" s="3">
        <f ca="1">IFERROR(__xludf.DUMMYFUNCTION("""COMPUTED_VALUE"""),0.678)</f>
        <v>0.67800000000000005</v>
      </c>
      <c r="Z3" s="3">
        <f ca="1">IFERROR(__xludf.DUMMYFUNCTION("""COMPUTED_VALUE"""),253)</f>
        <v>253</v>
      </c>
      <c r="AA3" s="3">
        <f ca="1">IFERROR(__xludf.DUMMYFUNCTION("""COMPUTED_VALUE"""),1077)</f>
        <v>1077</v>
      </c>
      <c r="AB3" s="3">
        <f ca="1">IFERROR(__xludf.DUMMYFUNCTION("""COMPUTED_VALUE"""),434)</f>
        <v>434</v>
      </c>
      <c r="AC3" s="3">
        <f ca="1">IFERROR(__xludf.DUMMYFUNCTION("""COMPUTED_VALUE"""),154)</f>
        <v>154</v>
      </c>
      <c r="AD3" s="3">
        <f ca="1">IFERROR(__xludf.DUMMYFUNCTION("""COMPUTED_VALUE"""),57)</f>
        <v>57</v>
      </c>
      <c r="AE3" s="3">
        <f ca="1">IFERROR(__xludf.DUMMYFUNCTION("""COMPUTED_VALUE"""),423)</f>
        <v>423</v>
      </c>
      <c r="AF3" s="3">
        <f ca="1">IFERROR(__xludf.DUMMYFUNCTION("""COMPUTED_VALUE"""),543)</f>
        <v>543</v>
      </c>
    </row>
    <row r="4" spans="1:32" ht="15.75" customHeight="1" x14ac:dyDescent="0.25">
      <c r="A4" s="3" t="str">
        <f ca="1">IFERROR(__xludf.DUMMYFUNCTION("""COMPUTED_VALUE"""),"Akron")</f>
        <v>Akron</v>
      </c>
      <c r="B4" s="3">
        <f ca="1">IFERROR(__xludf.DUMMYFUNCTION("""COMPUTED_VALUE"""),33)</f>
        <v>33</v>
      </c>
      <c r="C4" s="3">
        <f ca="1">IFERROR(__xludf.DUMMYFUNCTION("""COMPUTED_VALUE"""),17)</f>
        <v>17</v>
      </c>
      <c r="D4" s="3">
        <f ca="1">IFERROR(__xludf.DUMMYFUNCTION("""COMPUTED_VALUE"""),16)</f>
        <v>16</v>
      </c>
      <c r="E4" s="3">
        <f ca="1">IFERROR(__xludf.DUMMYFUNCTION("""COMPUTED_VALUE"""),0.515)</f>
        <v>0.51500000000000001</v>
      </c>
      <c r="F4" s="3">
        <f ca="1">IFERROR(__xludf.DUMMYFUNCTION("""COMPUTED_VALUE"""),4.86)</f>
        <v>4.8600000000000003</v>
      </c>
      <c r="G4" s="3">
        <f ca="1">IFERROR(__xludf.DUMMYFUNCTION("""COMPUTED_VALUE"""),1.09)</f>
        <v>1.0900000000000001</v>
      </c>
      <c r="H4" s="3">
        <f ca="1">IFERROR(__xludf.DUMMYFUNCTION("""COMPUTED_VALUE"""),8)</f>
        <v>8</v>
      </c>
      <c r="I4" s="3">
        <f ca="1">IFERROR(__xludf.DUMMYFUNCTION("""COMPUTED_VALUE"""),10)</f>
        <v>10</v>
      </c>
      <c r="J4" s="3">
        <f ca="1">IFERROR(__xludf.DUMMYFUNCTION("""COMPUTED_VALUE"""),14)</f>
        <v>14</v>
      </c>
      <c r="K4" s="3">
        <f ca="1">IFERROR(__xludf.DUMMYFUNCTION("""COMPUTED_VALUE"""),3)</f>
        <v>3</v>
      </c>
      <c r="L4" s="3">
        <f ca="1">IFERROR(__xludf.DUMMYFUNCTION("""COMPUTED_VALUE"""),1)</f>
        <v>1</v>
      </c>
      <c r="M4" s="3">
        <f ca="1">IFERROR(__xludf.DUMMYFUNCTION("""COMPUTED_VALUE"""),10)</f>
        <v>10</v>
      </c>
      <c r="N4" s="3">
        <f ca="1">IFERROR(__xludf.DUMMYFUNCTION("""COMPUTED_VALUE"""),2271)</f>
        <v>2271</v>
      </c>
      <c r="O4" s="3">
        <f ca="1">IFERROR(__xludf.DUMMYFUNCTION("""COMPUTED_VALUE"""),2107)</f>
        <v>2107</v>
      </c>
      <c r="P4" s="3">
        <f ca="1">IFERROR(__xludf.DUMMYFUNCTION("""COMPUTED_VALUE"""),1325)</f>
        <v>1325</v>
      </c>
      <c r="Q4" s="3">
        <f ca="1">IFERROR(__xludf.DUMMYFUNCTION("""COMPUTED_VALUE"""),797)</f>
        <v>797</v>
      </c>
      <c r="R4" s="3">
        <f ca="1">IFERROR(__xludf.DUMMYFUNCTION("""COMPUTED_VALUE"""),1948)</f>
        <v>1948</v>
      </c>
      <c r="S4" s="3">
        <f ca="1">IFERROR(__xludf.DUMMYFUNCTION("""COMPUTED_VALUE"""),0.409)</f>
        <v>0.40899999999999997</v>
      </c>
      <c r="T4" s="3">
        <f ca="1">IFERROR(__xludf.DUMMYFUNCTION("""COMPUTED_VALUE"""),297)</f>
        <v>297</v>
      </c>
      <c r="U4" s="3">
        <f ca="1">IFERROR(__xludf.DUMMYFUNCTION("""COMPUTED_VALUE"""),929)</f>
        <v>929</v>
      </c>
      <c r="V4" s="3">
        <f ca="1">IFERROR(__xludf.DUMMYFUNCTION("""COMPUTED_VALUE"""),0.32)</f>
        <v>0.32</v>
      </c>
      <c r="W4" s="3">
        <f ca="1">IFERROR(__xludf.DUMMYFUNCTION("""COMPUTED_VALUE"""),380)</f>
        <v>380</v>
      </c>
      <c r="X4" s="3">
        <f ca="1">IFERROR(__xludf.DUMMYFUNCTION("""COMPUTED_VALUE"""),539)</f>
        <v>539</v>
      </c>
      <c r="Y4" s="3">
        <f ca="1">IFERROR(__xludf.DUMMYFUNCTION("""COMPUTED_VALUE"""),0.705)</f>
        <v>0.70499999999999996</v>
      </c>
      <c r="Z4" s="3">
        <f ca="1">IFERROR(__xludf.DUMMYFUNCTION("""COMPUTED_VALUE"""),312)</f>
        <v>312</v>
      </c>
      <c r="AA4" s="3">
        <f ca="1">IFERROR(__xludf.DUMMYFUNCTION("""COMPUTED_VALUE"""),1204)</f>
        <v>1204</v>
      </c>
      <c r="AB4" s="3">
        <f ca="1">IFERROR(__xludf.DUMMYFUNCTION("""COMPUTED_VALUE"""),399)</f>
        <v>399</v>
      </c>
      <c r="AC4" s="3">
        <f ca="1">IFERROR(__xludf.DUMMYFUNCTION("""COMPUTED_VALUE"""),185)</f>
        <v>185</v>
      </c>
      <c r="AD4" s="3">
        <f ca="1">IFERROR(__xludf.DUMMYFUNCTION("""COMPUTED_VALUE"""),106)</f>
        <v>106</v>
      </c>
      <c r="AE4" s="3">
        <f ca="1">IFERROR(__xludf.DUMMYFUNCTION("""COMPUTED_VALUE"""),388)</f>
        <v>388</v>
      </c>
      <c r="AF4" s="3">
        <f ca="1">IFERROR(__xludf.DUMMYFUNCTION("""COMPUTED_VALUE"""),569)</f>
        <v>569</v>
      </c>
    </row>
    <row r="5" spans="1:32" ht="15.75" customHeight="1" x14ac:dyDescent="0.25">
      <c r="A5" s="3" t="str">
        <f ca="1">IFERROR(__xludf.DUMMYFUNCTION("""COMPUTED_VALUE"""),"Alabama A&amp;M")</f>
        <v>Alabama A&amp;M</v>
      </c>
      <c r="B5" s="3">
        <f ca="1">IFERROR(__xludf.DUMMYFUNCTION("""COMPUTED_VALUE"""),32)</f>
        <v>32</v>
      </c>
      <c r="C5" s="3">
        <f ca="1">IFERROR(__xludf.DUMMYFUNCTION("""COMPUTED_VALUE"""),5)</f>
        <v>5</v>
      </c>
      <c r="D5" s="3">
        <f ca="1">IFERROR(__xludf.DUMMYFUNCTION("""COMPUTED_VALUE"""),27)</f>
        <v>27</v>
      </c>
      <c r="E5" s="3">
        <f ca="1">IFERROR(__xludf.DUMMYFUNCTION("""COMPUTED_VALUE"""),0.156)</f>
        <v>0.156</v>
      </c>
      <c r="F5" s="3">
        <f ca="1">IFERROR(__xludf.DUMMYFUNCTION("""COMPUTED_VALUE"""),-19.23)</f>
        <v>-19.23</v>
      </c>
      <c r="G5" s="3">
        <f ca="1">IFERROR(__xludf.DUMMYFUNCTION("""COMPUTED_VALUE"""),-8.38)</f>
        <v>-8.3800000000000008</v>
      </c>
      <c r="H5" s="3">
        <f ca="1">IFERROR(__xludf.DUMMYFUNCTION("""COMPUTED_VALUE"""),4)</f>
        <v>4</v>
      </c>
      <c r="I5" s="3">
        <f ca="1">IFERROR(__xludf.DUMMYFUNCTION("""COMPUTED_VALUE"""),14)</f>
        <v>14</v>
      </c>
      <c r="J5" s="3">
        <f ca="1">IFERROR(__xludf.DUMMYFUNCTION("""COMPUTED_VALUE"""),4)</f>
        <v>4</v>
      </c>
      <c r="K5" s="3">
        <f ca="1">IFERROR(__xludf.DUMMYFUNCTION("""COMPUTED_VALUE"""),7)</f>
        <v>7</v>
      </c>
      <c r="L5" s="3">
        <f ca="1">IFERROR(__xludf.DUMMYFUNCTION("""COMPUTED_VALUE"""),0)</f>
        <v>0</v>
      </c>
      <c r="M5" s="3">
        <f ca="1">IFERROR(__xludf.DUMMYFUNCTION("""COMPUTED_VALUE"""),18)</f>
        <v>18</v>
      </c>
      <c r="N5" s="3">
        <f ca="1">IFERROR(__xludf.DUMMYFUNCTION("""COMPUTED_VALUE"""),1938)</f>
        <v>1938</v>
      </c>
      <c r="O5" s="3">
        <f ca="1">IFERROR(__xludf.DUMMYFUNCTION("""COMPUTED_VALUE"""),2285)</f>
        <v>2285</v>
      </c>
      <c r="P5" s="3">
        <f ca="1">IFERROR(__xludf.DUMMYFUNCTION("""COMPUTED_VALUE"""),1295)</f>
        <v>1295</v>
      </c>
      <c r="Q5" s="3">
        <f ca="1">IFERROR(__xludf.DUMMYFUNCTION("""COMPUTED_VALUE"""),736)</f>
        <v>736</v>
      </c>
      <c r="R5" s="3">
        <f ca="1">IFERROR(__xludf.DUMMYFUNCTION("""COMPUTED_VALUE"""),1809)</f>
        <v>1809</v>
      </c>
      <c r="S5" s="3">
        <f ca="1">IFERROR(__xludf.DUMMYFUNCTION("""COMPUTED_VALUE"""),0.407)</f>
        <v>0.40699999999999997</v>
      </c>
      <c r="T5" s="3">
        <f ca="1">IFERROR(__xludf.DUMMYFUNCTION("""COMPUTED_VALUE"""),182)</f>
        <v>182</v>
      </c>
      <c r="U5" s="3">
        <f ca="1">IFERROR(__xludf.DUMMYFUNCTION("""COMPUTED_VALUE"""),578)</f>
        <v>578</v>
      </c>
      <c r="V5" s="3">
        <f ca="1">IFERROR(__xludf.DUMMYFUNCTION("""COMPUTED_VALUE"""),0.315)</f>
        <v>0.315</v>
      </c>
      <c r="W5" s="3">
        <f ca="1">IFERROR(__xludf.DUMMYFUNCTION("""COMPUTED_VALUE"""),284)</f>
        <v>284</v>
      </c>
      <c r="X5" s="3">
        <f ca="1">IFERROR(__xludf.DUMMYFUNCTION("""COMPUTED_VALUE"""),453)</f>
        <v>453</v>
      </c>
      <c r="Y5" s="3">
        <f ca="1">IFERROR(__xludf.DUMMYFUNCTION("""COMPUTED_VALUE"""),0.627)</f>
        <v>0.627</v>
      </c>
      <c r="Z5" s="3">
        <f ca="1">IFERROR(__xludf.DUMMYFUNCTION("""COMPUTED_VALUE"""),314)</f>
        <v>314</v>
      </c>
      <c r="AA5" s="3">
        <f ca="1">IFERROR(__xludf.DUMMYFUNCTION("""COMPUTED_VALUE"""),1032)</f>
        <v>1032</v>
      </c>
      <c r="AB5" s="3">
        <f ca="1">IFERROR(__xludf.DUMMYFUNCTION("""COMPUTED_VALUE"""),385)</f>
        <v>385</v>
      </c>
      <c r="AC5" s="3">
        <f ca="1">IFERROR(__xludf.DUMMYFUNCTION("""COMPUTED_VALUE"""),234)</f>
        <v>234</v>
      </c>
      <c r="AD5" s="3">
        <f ca="1">IFERROR(__xludf.DUMMYFUNCTION("""COMPUTED_VALUE"""),50)</f>
        <v>50</v>
      </c>
      <c r="AE5" s="3">
        <f ca="1">IFERROR(__xludf.DUMMYFUNCTION("""COMPUTED_VALUE"""),487)</f>
        <v>487</v>
      </c>
      <c r="AF5" s="3">
        <f ca="1">IFERROR(__xludf.DUMMYFUNCTION("""COMPUTED_VALUE"""),587)</f>
        <v>587</v>
      </c>
    </row>
    <row r="6" spans="1:32" ht="15.75" customHeight="1" x14ac:dyDescent="0.25">
      <c r="A6" s="3" t="str">
        <f ca="1">IFERROR(__xludf.DUMMYFUNCTION("""COMPUTED_VALUE"""),"Alabama-Birmingham")</f>
        <v>Alabama-Birmingham</v>
      </c>
      <c r="B6" s="3">
        <f ca="1">IFERROR(__xludf.DUMMYFUNCTION("""COMPUTED_VALUE"""),35)</f>
        <v>35</v>
      </c>
      <c r="C6" s="3">
        <f ca="1">IFERROR(__xludf.DUMMYFUNCTION("""COMPUTED_VALUE"""),20)</f>
        <v>20</v>
      </c>
      <c r="D6" s="3">
        <f ca="1">IFERROR(__xludf.DUMMYFUNCTION("""COMPUTED_VALUE"""),15)</f>
        <v>15</v>
      </c>
      <c r="E6" s="3">
        <f ca="1">IFERROR(__xludf.DUMMYFUNCTION("""COMPUTED_VALUE"""),0.571)</f>
        <v>0.57099999999999995</v>
      </c>
      <c r="F6" s="3">
        <f ca="1">IFERROR(__xludf.DUMMYFUNCTION("""COMPUTED_VALUE"""),0.36)</f>
        <v>0.36</v>
      </c>
      <c r="G6" s="3">
        <f ca="1">IFERROR(__xludf.DUMMYFUNCTION("""COMPUTED_VALUE"""),-1.52)</f>
        <v>-1.52</v>
      </c>
      <c r="H6" s="3">
        <f ca="1">IFERROR(__xludf.DUMMYFUNCTION("""COMPUTED_VALUE"""),10)</f>
        <v>10</v>
      </c>
      <c r="I6" s="3">
        <f ca="1">IFERROR(__xludf.DUMMYFUNCTION("""COMPUTED_VALUE"""),8)</f>
        <v>8</v>
      </c>
      <c r="J6" s="3">
        <f ca="1">IFERROR(__xludf.DUMMYFUNCTION("""COMPUTED_VALUE"""),11)</f>
        <v>11</v>
      </c>
      <c r="K6" s="3">
        <f ca="1">IFERROR(__xludf.DUMMYFUNCTION("""COMPUTED_VALUE"""),5)</f>
        <v>5</v>
      </c>
      <c r="L6" s="3">
        <f ca="1">IFERROR(__xludf.DUMMYFUNCTION("""COMPUTED_VALUE"""),6)</f>
        <v>6</v>
      </c>
      <c r="M6" s="3">
        <f ca="1">IFERROR(__xludf.DUMMYFUNCTION("""COMPUTED_VALUE"""),6)</f>
        <v>6</v>
      </c>
      <c r="N6" s="3">
        <f ca="1">IFERROR(__xludf.DUMMYFUNCTION("""COMPUTED_VALUE"""),2470)</f>
        <v>2470</v>
      </c>
      <c r="O6" s="3">
        <f ca="1">IFERROR(__xludf.DUMMYFUNCTION("""COMPUTED_VALUE"""),2370)</f>
        <v>2370</v>
      </c>
      <c r="P6" s="3">
        <f ca="1">IFERROR(__xludf.DUMMYFUNCTION("""COMPUTED_VALUE"""),1410)</f>
        <v>1410</v>
      </c>
      <c r="Q6" s="3">
        <f ca="1">IFERROR(__xludf.DUMMYFUNCTION("""COMPUTED_VALUE"""),906)</f>
        <v>906</v>
      </c>
      <c r="R6" s="3">
        <f ca="1">IFERROR(__xludf.DUMMYFUNCTION("""COMPUTED_VALUE"""),2003)</f>
        <v>2003</v>
      </c>
      <c r="S6" s="3">
        <f ca="1">IFERROR(__xludf.DUMMYFUNCTION("""COMPUTED_VALUE"""),0.452)</f>
        <v>0.45200000000000001</v>
      </c>
      <c r="T6" s="3">
        <f ca="1">IFERROR(__xludf.DUMMYFUNCTION("""COMPUTED_VALUE"""),234)</f>
        <v>234</v>
      </c>
      <c r="U6" s="3">
        <f ca="1">IFERROR(__xludf.DUMMYFUNCTION("""COMPUTED_VALUE"""),694)</f>
        <v>694</v>
      </c>
      <c r="V6" s="3">
        <f ca="1">IFERROR(__xludf.DUMMYFUNCTION("""COMPUTED_VALUE"""),0.337)</f>
        <v>0.33700000000000002</v>
      </c>
      <c r="W6" s="3">
        <f ca="1">IFERROR(__xludf.DUMMYFUNCTION("""COMPUTED_VALUE"""),424)</f>
        <v>424</v>
      </c>
      <c r="X6" s="3">
        <f ca="1">IFERROR(__xludf.DUMMYFUNCTION("""COMPUTED_VALUE"""),630)</f>
        <v>630</v>
      </c>
      <c r="Y6" s="3">
        <f ca="1">IFERROR(__xludf.DUMMYFUNCTION("""COMPUTED_VALUE"""),0.673)</f>
        <v>0.67300000000000004</v>
      </c>
      <c r="Z6" s="3">
        <f ca="1">IFERROR(__xludf.DUMMYFUNCTION("""COMPUTED_VALUE"""),367)</f>
        <v>367</v>
      </c>
      <c r="AA6" s="3">
        <f ca="1">IFERROR(__xludf.DUMMYFUNCTION("""COMPUTED_VALUE"""),1279)</f>
        <v>1279</v>
      </c>
      <c r="AB6" s="3">
        <f ca="1">IFERROR(__xludf.DUMMYFUNCTION("""COMPUTED_VALUE"""),401)</f>
        <v>401</v>
      </c>
      <c r="AC6" s="3">
        <f ca="1">IFERROR(__xludf.DUMMYFUNCTION("""COMPUTED_VALUE"""),218)</f>
        <v>218</v>
      </c>
      <c r="AD6" s="3">
        <f ca="1">IFERROR(__xludf.DUMMYFUNCTION("""COMPUTED_VALUE"""),82)</f>
        <v>82</v>
      </c>
      <c r="AE6" s="3">
        <f ca="1">IFERROR(__xludf.DUMMYFUNCTION("""COMPUTED_VALUE"""),399)</f>
        <v>399</v>
      </c>
      <c r="AF6" s="3">
        <f ca="1">IFERROR(__xludf.DUMMYFUNCTION("""COMPUTED_VALUE"""),578)</f>
        <v>578</v>
      </c>
    </row>
    <row r="7" spans="1:32" ht="15.75" customHeight="1" x14ac:dyDescent="0.25">
      <c r="A7" s="3" t="str">
        <f ca="1">IFERROR(__xludf.DUMMYFUNCTION("""COMPUTED_VALUE"""),"Alabama State")</f>
        <v>Alabama State</v>
      </c>
      <c r="B7" s="3">
        <f ca="1">IFERROR(__xludf.DUMMYFUNCTION("""COMPUTED_VALUE"""),31)</f>
        <v>31</v>
      </c>
      <c r="C7" s="3">
        <f ca="1">IFERROR(__xludf.DUMMYFUNCTION("""COMPUTED_VALUE"""),12)</f>
        <v>12</v>
      </c>
      <c r="D7" s="3">
        <f ca="1">IFERROR(__xludf.DUMMYFUNCTION("""COMPUTED_VALUE"""),19)</f>
        <v>19</v>
      </c>
      <c r="E7" s="3">
        <f ca="1">IFERROR(__xludf.DUMMYFUNCTION("""COMPUTED_VALUE"""),0.387)</f>
        <v>0.38700000000000001</v>
      </c>
      <c r="F7" s="3">
        <f ca="1">IFERROR(__xludf.DUMMYFUNCTION("""COMPUTED_VALUE"""),-15.6)</f>
        <v>-15.6</v>
      </c>
      <c r="G7" s="3">
        <f ca="1">IFERROR(__xludf.DUMMYFUNCTION("""COMPUTED_VALUE"""),-7.84)</f>
        <v>-7.84</v>
      </c>
      <c r="H7" s="3">
        <f ca="1">IFERROR(__xludf.DUMMYFUNCTION("""COMPUTED_VALUE"""),9)</f>
        <v>9</v>
      </c>
      <c r="I7" s="3">
        <f ca="1">IFERROR(__xludf.DUMMYFUNCTION("""COMPUTED_VALUE"""),9)</f>
        <v>9</v>
      </c>
      <c r="J7" s="3">
        <f ca="1">IFERROR(__xludf.DUMMYFUNCTION("""COMPUTED_VALUE"""),8)</f>
        <v>8</v>
      </c>
      <c r="K7" s="3">
        <f ca="1">IFERROR(__xludf.DUMMYFUNCTION("""COMPUTED_VALUE"""),3)</f>
        <v>3</v>
      </c>
      <c r="L7" s="3">
        <f ca="1">IFERROR(__xludf.DUMMYFUNCTION("""COMPUTED_VALUE"""),3)</f>
        <v>3</v>
      </c>
      <c r="M7" s="3">
        <f ca="1">IFERROR(__xludf.DUMMYFUNCTION("""COMPUTED_VALUE"""),13)</f>
        <v>13</v>
      </c>
      <c r="N7" s="3">
        <f ca="1">IFERROR(__xludf.DUMMYFUNCTION("""COMPUTED_VALUE"""),2086)</f>
        <v>2086</v>
      </c>
      <c r="O7" s="3">
        <f ca="1">IFERROR(__xludf.DUMMYFUNCTION("""COMPUTED_VALUE"""),2235)</f>
        <v>2235</v>
      </c>
      <c r="P7" s="3">
        <f ca="1">IFERROR(__xludf.DUMMYFUNCTION("""COMPUTED_VALUE"""),1250)</f>
        <v>1250</v>
      </c>
      <c r="Q7" s="3">
        <f ca="1">IFERROR(__xludf.DUMMYFUNCTION("""COMPUTED_VALUE"""),712)</f>
        <v>712</v>
      </c>
      <c r="R7" s="3">
        <f ca="1">IFERROR(__xludf.DUMMYFUNCTION("""COMPUTED_VALUE"""),1764)</f>
        <v>1764</v>
      </c>
      <c r="S7" s="3">
        <f ca="1">IFERROR(__xludf.DUMMYFUNCTION("""COMPUTED_VALUE"""),0.404)</f>
        <v>0.40400000000000003</v>
      </c>
      <c r="T7" s="3">
        <f ca="1">IFERROR(__xludf.DUMMYFUNCTION("""COMPUTED_VALUE"""),216)</f>
        <v>216</v>
      </c>
      <c r="U7" s="3">
        <f ca="1">IFERROR(__xludf.DUMMYFUNCTION("""COMPUTED_VALUE"""),673)</f>
        <v>673</v>
      </c>
      <c r="V7" s="3">
        <f ca="1">IFERROR(__xludf.DUMMYFUNCTION("""COMPUTED_VALUE"""),0.321)</f>
        <v>0.32100000000000001</v>
      </c>
      <c r="W7" s="3">
        <f ca="1">IFERROR(__xludf.DUMMYFUNCTION("""COMPUTED_VALUE"""),446)</f>
        <v>446</v>
      </c>
      <c r="X7" s="3">
        <f ca="1">IFERROR(__xludf.DUMMYFUNCTION("""COMPUTED_VALUE"""),684)</f>
        <v>684</v>
      </c>
      <c r="Y7" s="3">
        <f ca="1">IFERROR(__xludf.DUMMYFUNCTION("""COMPUTED_VALUE"""),0.652)</f>
        <v>0.65200000000000002</v>
      </c>
      <c r="Z7" s="3">
        <f ca="1">IFERROR(__xludf.DUMMYFUNCTION("""COMPUTED_VALUE"""),365)</f>
        <v>365</v>
      </c>
      <c r="AA7" s="3">
        <f ca="1">IFERROR(__xludf.DUMMYFUNCTION("""COMPUTED_VALUE"""),1094)</f>
        <v>1094</v>
      </c>
      <c r="AB7" s="3">
        <f ca="1">IFERROR(__xludf.DUMMYFUNCTION("""COMPUTED_VALUE"""),313)</f>
        <v>313</v>
      </c>
      <c r="AC7" s="3">
        <f ca="1">IFERROR(__xludf.DUMMYFUNCTION("""COMPUTED_VALUE"""),203)</f>
        <v>203</v>
      </c>
      <c r="AD7" s="3">
        <f ca="1">IFERROR(__xludf.DUMMYFUNCTION("""COMPUTED_VALUE"""),102)</f>
        <v>102</v>
      </c>
      <c r="AE7" s="3">
        <f ca="1">IFERROR(__xludf.DUMMYFUNCTION("""COMPUTED_VALUE"""),451)</f>
        <v>451</v>
      </c>
      <c r="AF7" s="3">
        <f ca="1">IFERROR(__xludf.DUMMYFUNCTION("""COMPUTED_VALUE"""),565)</f>
        <v>565</v>
      </c>
    </row>
    <row r="8" spans="1:32" ht="15.75" customHeight="1" x14ac:dyDescent="0.25">
      <c r="A8" s="3" t="str">
        <f ca="1">IFERROR(__xludf.DUMMYFUNCTION("""COMPUTED_VALUE"""),"Alabama")</f>
        <v>Alabama</v>
      </c>
      <c r="B8" s="3">
        <f ca="1">IFERROR(__xludf.DUMMYFUNCTION("""COMPUTED_VALUE"""),34)</f>
        <v>34</v>
      </c>
      <c r="C8" s="3">
        <f ca="1">IFERROR(__xludf.DUMMYFUNCTION("""COMPUTED_VALUE"""),18)</f>
        <v>18</v>
      </c>
      <c r="D8" s="3">
        <f ca="1">IFERROR(__xludf.DUMMYFUNCTION("""COMPUTED_VALUE"""),16)</f>
        <v>16</v>
      </c>
      <c r="E8" s="3">
        <f ca="1">IFERROR(__xludf.DUMMYFUNCTION("""COMPUTED_VALUE"""),0.529)</f>
        <v>0.52900000000000003</v>
      </c>
      <c r="F8" s="3">
        <f ca="1">IFERROR(__xludf.DUMMYFUNCTION("""COMPUTED_VALUE"""),9.45)</f>
        <v>9.4499999999999993</v>
      </c>
      <c r="G8" s="3">
        <f ca="1">IFERROR(__xludf.DUMMYFUNCTION("""COMPUTED_VALUE"""),9.01)</f>
        <v>9.01</v>
      </c>
      <c r="H8" s="3">
        <f ca="1">IFERROR(__xludf.DUMMYFUNCTION("""COMPUTED_VALUE"""),8)</f>
        <v>8</v>
      </c>
      <c r="I8" s="3">
        <f ca="1">IFERROR(__xludf.DUMMYFUNCTION("""COMPUTED_VALUE"""),10)</f>
        <v>10</v>
      </c>
      <c r="J8" s="3">
        <f ca="1">IFERROR(__xludf.DUMMYFUNCTION("""COMPUTED_VALUE"""),10)</f>
        <v>10</v>
      </c>
      <c r="K8" s="3">
        <f ca="1">IFERROR(__xludf.DUMMYFUNCTION("""COMPUTED_VALUE"""),6)</f>
        <v>6</v>
      </c>
      <c r="L8" s="3">
        <f ca="1">IFERROR(__xludf.DUMMYFUNCTION("""COMPUTED_VALUE"""),4)</f>
        <v>4</v>
      </c>
      <c r="M8" s="3">
        <f ca="1">IFERROR(__xludf.DUMMYFUNCTION("""COMPUTED_VALUE"""),8)</f>
        <v>8</v>
      </c>
      <c r="N8" s="3">
        <f ca="1">IFERROR(__xludf.DUMMYFUNCTION("""COMPUTED_VALUE"""),2448)</f>
        <v>2448</v>
      </c>
      <c r="O8" s="3">
        <f ca="1">IFERROR(__xludf.DUMMYFUNCTION("""COMPUTED_VALUE"""),2433)</f>
        <v>2433</v>
      </c>
      <c r="P8" s="3">
        <f ca="1">IFERROR(__xludf.DUMMYFUNCTION("""COMPUTED_VALUE"""),1365)</f>
        <v>1365</v>
      </c>
      <c r="Q8" s="3">
        <f ca="1">IFERROR(__xludf.DUMMYFUNCTION("""COMPUTED_VALUE"""),856)</f>
        <v>856</v>
      </c>
      <c r="R8" s="3">
        <f ca="1">IFERROR(__xludf.DUMMYFUNCTION("""COMPUTED_VALUE"""),1945)</f>
        <v>1945</v>
      </c>
      <c r="S8" s="3">
        <f ca="1">IFERROR(__xludf.DUMMYFUNCTION("""COMPUTED_VALUE"""),0.44)</f>
        <v>0.44</v>
      </c>
      <c r="T8" s="3">
        <f ca="1">IFERROR(__xludf.DUMMYFUNCTION("""COMPUTED_VALUE"""),244)</f>
        <v>244</v>
      </c>
      <c r="U8" s="3">
        <f ca="1">IFERROR(__xludf.DUMMYFUNCTION("""COMPUTED_VALUE"""),718)</f>
        <v>718</v>
      </c>
      <c r="V8" s="3">
        <f ca="1">IFERROR(__xludf.DUMMYFUNCTION("""COMPUTED_VALUE"""),0.34)</f>
        <v>0.34</v>
      </c>
      <c r="W8" s="3">
        <f ca="1">IFERROR(__xludf.DUMMYFUNCTION("""COMPUTED_VALUE"""),492)</f>
        <v>492</v>
      </c>
      <c r="X8" s="3">
        <f ca="1">IFERROR(__xludf.DUMMYFUNCTION("""COMPUTED_VALUE"""),739)</f>
        <v>739</v>
      </c>
      <c r="Y8" s="3">
        <f ca="1">IFERROR(__xludf.DUMMYFUNCTION("""COMPUTED_VALUE"""),0.666)</f>
        <v>0.66600000000000004</v>
      </c>
      <c r="Z8" s="3">
        <f ca="1">IFERROR(__xludf.DUMMYFUNCTION("""COMPUTED_VALUE"""),384)</f>
        <v>384</v>
      </c>
      <c r="AA8" s="3">
        <f ca="1">IFERROR(__xludf.DUMMYFUNCTION("""COMPUTED_VALUE"""),1285)</f>
        <v>1285</v>
      </c>
      <c r="AB8" s="3">
        <f ca="1">IFERROR(__xludf.DUMMYFUNCTION("""COMPUTED_VALUE"""),418)</f>
        <v>418</v>
      </c>
      <c r="AC8" s="3">
        <f ca="1">IFERROR(__xludf.DUMMYFUNCTION("""COMPUTED_VALUE"""),157)</f>
        <v>157</v>
      </c>
      <c r="AD8" s="3">
        <f ca="1">IFERROR(__xludf.DUMMYFUNCTION("""COMPUTED_VALUE"""),160)</f>
        <v>160</v>
      </c>
      <c r="AE8" s="3">
        <f ca="1">IFERROR(__xludf.DUMMYFUNCTION("""COMPUTED_VALUE"""),465)</f>
        <v>465</v>
      </c>
      <c r="AF8" s="3">
        <f ca="1">IFERROR(__xludf.DUMMYFUNCTION("""COMPUTED_VALUE"""),572)</f>
        <v>572</v>
      </c>
    </row>
    <row r="9" spans="1:32" ht="15.75" customHeight="1" x14ac:dyDescent="0.25">
      <c r="A9" s="3" t="str">
        <f ca="1">IFERROR(__xludf.DUMMYFUNCTION("""COMPUTED_VALUE"""),"Albany (NY)")</f>
        <v>Albany (NY)</v>
      </c>
      <c r="B9" s="3">
        <f ca="1">IFERROR(__xludf.DUMMYFUNCTION("""COMPUTED_VALUE"""),32)</f>
        <v>32</v>
      </c>
      <c r="C9" s="3">
        <f ca="1">IFERROR(__xludf.DUMMYFUNCTION("""COMPUTED_VALUE"""),12)</f>
        <v>12</v>
      </c>
      <c r="D9" s="3">
        <f ca="1">IFERROR(__xludf.DUMMYFUNCTION("""COMPUTED_VALUE"""),20)</f>
        <v>20</v>
      </c>
      <c r="E9" s="3">
        <f ca="1">IFERROR(__xludf.DUMMYFUNCTION("""COMPUTED_VALUE"""),0.375)</f>
        <v>0.375</v>
      </c>
      <c r="F9" s="3">
        <f ca="1">IFERROR(__xludf.DUMMYFUNCTION("""COMPUTED_VALUE"""),-9.38)</f>
        <v>-9.3800000000000008</v>
      </c>
      <c r="G9" s="3">
        <f ca="1">IFERROR(__xludf.DUMMYFUNCTION("""COMPUTED_VALUE"""),-6.7)</f>
        <v>-6.7</v>
      </c>
      <c r="H9" s="3">
        <f ca="1">IFERROR(__xludf.DUMMYFUNCTION("""COMPUTED_VALUE"""),7)</f>
        <v>7</v>
      </c>
      <c r="I9" s="3">
        <f ca="1">IFERROR(__xludf.DUMMYFUNCTION("""COMPUTED_VALUE"""),9)</f>
        <v>9</v>
      </c>
      <c r="J9" s="3">
        <f ca="1">IFERROR(__xludf.DUMMYFUNCTION("""COMPUTED_VALUE"""),6)</f>
        <v>6</v>
      </c>
      <c r="K9" s="3">
        <f ca="1">IFERROR(__xludf.DUMMYFUNCTION("""COMPUTED_VALUE"""),8)</f>
        <v>8</v>
      </c>
      <c r="L9" s="3">
        <f ca="1">IFERROR(__xludf.DUMMYFUNCTION("""COMPUTED_VALUE"""),6)</f>
        <v>6</v>
      </c>
      <c r="M9" s="3">
        <f ca="1">IFERROR(__xludf.DUMMYFUNCTION("""COMPUTED_VALUE"""),10)</f>
        <v>10</v>
      </c>
      <c r="N9" s="3">
        <f ca="1">IFERROR(__xludf.DUMMYFUNCTION("""COMPUTED_VALUE"""),2150)</f>
        <v>2150</v>
      </c>
      <c r="O9" s="3">
        <f ca="1">IFERROR(__xludf.DUMMYFUNCTION("""COMPUTED_VALUE"""),2216)</f>
        <v>2216</v>
      </c>
      <c r="P9" s="3">
        <f ca="1">IFERROR(__xludf.DUMMYFUNCTION("""COMPUTED_VALUE"""),1300)</f>
        <v>1300</v>
      </c>
      <c r="Q9" s="3">
        <f ca="1">IFERROR(__xludf.DUMMYFUNCTION("""COMPUTED_VALUE"""),728)</f>
        <v>728</v>
      </c>
      <c r="R9" s="3">
        <f ca="1">IFERROR(__xludf.DUMMYFUNCTION("""COMPUTED_VALUE"""),1750)</f>
        <v>1750</v>
      </c>
      <c r="S9" s="3">
        <f ca="1">IFERROR(__xludf.DUMMYFUNCTION("""COMPUTED_VALUE"""),0.416)</f>
        <v>0.41599999999999998</v>
      </c>
      <c r="T9" s="3">
        <f ca="1">IFERROR(__xludf.DUMMYFUNCTION("""COMPUTED_VALUE"""),274)</f>
        <v>274</v>
      </c>
      <c r="U9" s="3">
        <f ca="1">IFERROR(__xludf.DUMMYFUNCTION("""COMPUTED_VALUE"""),790)</f>
        <v>790</v>
      </c>
      <c r="V9" s="3">
        <f ca="1">IFERROR(__xludf.DUMMYFUNCTION("""COMPUTED_VALUE"""),0.347)</f>
        <v>0.34699999999999998</v>
      </c>
      <c r="W9" s="3">
        <f ca="1">IFERROR(__xludf.DUMMYFUNCTION("""COMPUTED_VALUE"""),420)</f>
        <v>420</v>
      </c>
      <c r="X9" s="3">
        <f ca="1">IFERROR(__xludf.DUMMYFUNCTION("""COMPUTED_VALUE"""),564)</f>
        <v>564</v>
      </c>
      <c r="Y9" s="3">
        <f ca="1">IFERROR(__xludf.DUMMYFUNCTION("""COMPUTED_VALUE"""),0.745)</f>
        <v>0.745</v>
      </c>
      <c r="Z9" s="3">
        <f ca="1">IFERROR(__xludf.DUMMYFUNCTION("""COMPUTED_VALUE"""),294)</f>
        <v>294</v>
      </c>
      <c r="AA9" s="3">
        <f ca="1">IFERROR(__xludf.DUMMYFUNCTION("""COMPUTED_VALUE"""),1081)</f>
        <v>1081</v>
      </c>
      <c r="AB9" s="3">
        <f ca="1">IFERROR(__xludf.DUMMYFUNCTION("""COMPUTED_VALUE"""),402)</f>
        <v>402</v>
      </c>
      <c r="AC9" s="3">
        <f ca="1">IFERROR(__xludf.DUMMYFUNCTION("""COMPUTED_VALUE"""),195)</f>
        <v>195</v>
      </c>
      <c r="AD9" s="3">
        <f ca="1">IFERROR(__xludf.DUMMYFUNCTION("""COMPUTED_VALUE"""),78)</f>
        <v>78</v>
      </c>
      <c r="AE9" s="3">
        <f ca="1">IFERROR(__xludf.DUMMYFUNCTION("""COMPUTED_VALUE"""),454)</f>
        <v>454</v>
      </c>
      <c r="AF9" s="3">
        <f ca="1">IFERROR(__xludf.DUMMYFUNCTION("""COMPUTED_VALUE"""),566)</f>
        <v>566</v>
      </c>
    </row>
    <row r="10" spans="1:32" ht="15.75" customHeight="1" x14ac:dyDescent="0.25">
      <c r="A10" s="3" t="str">
        <f ca="1">IFERROR(__xludf.DUMMYFUNCTION("""COMPUTED_VALUE"""),"Alcorn State")</f>
        <v>Alcorn State</v>
      </c>
      <c r="B10" s="3">
        <f ca="1">IFERROR(__xludf.DUMMYFUNCTION("""COMPUTED_VALUE"""),31)</f>
        <v>31</v>
      </c>
      <c r="C10" s="3">
        <f ca="1">IFERROR(__xludf.DUMMYFUNCTION("""COMPUTED_VALUE"""),10)</f>
        <v>10</v>
      </c>
      <c r="D10" s="3">
        <f ca="1">IFERROR(__xludf.DUMMYFUNCTION("""COMPUTED_VALUE"""),21)</f>
        <v>21</v>
      </c>
      <c r="E10" s="3">
        <f ca="1">IFERROR(__xludf.DUMMYFUNCTION("""COMPUTED_VALUE"""),0.323)</f>
        <v>0.32300000000000001</v>
      </c>
      <c r="F10" s="3">
        <f ca="1">IFERROR(__xludf.DUMMYFUNCTION("""COMPUTED_VALUE"""),-22.08)</f>
        <v>-22.08</v>
      </c>
      <c r="G10" s="3">
        <f ca="1">IFERROR(__xludf.DUMMYFUNCTION("""COMPUTED_VALUE"""),-8.97)</f>
        <v>-8.9700000000000006</v>
      </c>
      <c r="H10" s="3">
        <f ca="1">IFERROR(__xludf.DUMMYFUNCTION("""COMPUTED_VALUE"""),6)</f>
        <v>6</v>
      </c>
      <c r="I10" s="3">
        <f ca="1">IFERROR(__xludf.DUMMYFUNCTION("""COMPUTED_VALUE"""),12)</f>
        <v>12</v>
      </c>
      <c r="J10" s="3">
        <f ca="1">IFERROR(__xludf.DUMMYFUNCTION("""COMPUTED_VALUE"""),10)</f>
        <v>10</v>
      </c>
      <c r="K10" s="3">
        <f ca="1">IFERROR(__xludf.DUMMYFUNCTION("""COMPUTED_VALUE"""),3)</f>
        <v>3</v>
      </c>
      <c r="L10" s="3">
        <f ca="1">IFERROR(__xludf.DUMMYFUNCTION("""COMPUTED_VALUE"""),0)</f>
        <v>0</v>
      </c>
      <c r="M10" s="3">
        <f ca="1">IFERROR(__xludf.DUMMYFUNCTION("""COMPUTED_VALUE"""),17)</f>
        <v>17</v>
      </c>
      <c r="N10" s="3">
        <f ca="1">IFERROR(__xludf.DUMMYFUNCTION("""COMPUTED_VALUE"""),1995)</f>
        <v>1995</v>
      </c>
      <c r="O10" s="3">
        <f ca="1">IFERROR(__xludf.DUMMYFUNCTION("""COMPUTED_VALUE"""),2194)</f>
        <v>2194</v>
      </c>
      <c r="P10" s="3">
        <f ca="1">IFERROR(__xludf.DUMMYFUNCTION("""COMPUTED_VALUE"""),1245)</f>
        <v>1245</v>
      </c>
      <c r="Q10" s="3">
        <f ca="1">IFERROR(__xludf.DUMMYFUNCTION("""COMPUTED_VALUE"""),709)</f>
        <v>709</v>
      </c>
      <c r="R10" s="3">
        <f ca="1">IFERROR(__xludf.DUMMYFUNCTION("""COMPUTED_VALUE"""),1721)</f>
        <v>1721</v>
      </c>
      <c r="S10" s="3">
        <f ca="1">IFERROR(__xludf.DUMMYFUNCTION("""COMPUTED_VALUE"""),0.412)</f>
        <v>0.41199999999999998</v>
      </c>
      <c r="T10" s="3">
        <f ca="1">IFERROR(__xludf.DUMMYFUNCTION("""COMPUTED_VALUE"""),211)</f>
        <v>211</v>
      </c>
      <c r="U10" s="3">
        <f ca="1">IFERROR(__xludf.DUMMYFUNCTION("""COMPUTED_VALUE"""),646)</f>
        <v>646</v>
      </c>
      <c r="V10" s="3">
        <f ca="1">IFERROR(__xludf.DUMMYFUNCTION("""COMPUTED_VALUE"""),0.327)</f>
        <v>0.32700000000000001</v>
      </c>
      <c r="W10" s="3">
        <f ca="1">IFERROR(__xludf.DUMMYFUNCTION("""COMPUTED_VALUE"""),366)</f>
        <v>366</v>
      </c>
      <c r="X10" s="3">
        <f ca="1">IFERROR(__xludf.DUMMYFUNCTION("""COMPUTED_VALUE"""),543)</f>
        <v>543</v>
      </c>
      <c r="Y10" s="3">
        <f ca="1">IFERROR(__xludf.DUMMYFUNCTION("""COMPUTED_VALUE"""),0.674)</f>
        <v>0.67400000000000004</v>
      </c>
      <c r="Z10" s="3">
        <f ca="1">IFERROR(__xludf.DUMMYFUNCTION("""COMPUTED_VALUE"""),334)</f>
        <v>334</v>
      </c>
      <c r="AA10" s="3">
        <f ca="1">IFERROR(__xludf.DUMMYFUNCTION("""COMPUTED_VALUE"""),1079)</f>
        <v>1079</v>
      </c>
      <c r="AB10" s="3">
        <f ca="1">IFERROR(__xludf.DUMMYFUNCTION("""COMPUTED_VALUE"""),391)</f>
        <v>391</v>
      </c>
      <c r="AC10" s="3">
        <f ca="1">IFERROR(__xludf.DUMMYFUNCTION("""COMPUTED_VALUE"""),229)</f>
        <v>229</v>
      </c>
      <c r="AD10" s="3">
        <f ca="1">IFERROR(__xludf.DUMMYFUNCTION("""COMPUTED_VALUE"""),107)</f>
        <v>107</v>
      </c>
      <c r="AE10" s="3">
        <f ca="1">IFERROR(__xludf.DUMMYFUNCTION("""COMPUTED_VALUE"""),492)</f>
        <v>492</v>
      </c>
      <c r="AF10" s="3">
        <f ca="1">IFERROR(__xludf.DUMMYFUNCTION("""COMPUTED_VALUE"""),548)</f>
        <v>548</v>
      </c>
    </row>
    <row r="11" spans="1:32" ht="15.75" customHeight="1" x14ac:dyDescent="0.25">
      <c r="A11" s="3" t="str">
        <f ca="1">IFERROR(__xludf.DUMMYFUNCTION("""COMPUTED_VALUE"""),"American")</f>
        <v>American</v>
      </c>
      <c r="B11" s="3">
        <f ca="1">IFERROR(__xludf.DUMMYFUNCTION("""COMPUTED_VALUE"""),30)</f>
        <v>30</v>
      </c>
      <c r="C11" s="3">
        <f ca="1">IFERROR(__xludf.DUMMYFUNCTION("""COMPUTED_VALUE"""),15)</f>
        <v>15</v>
      </c>
      <c r="D11" s="3">
        <f ca="1">IFERROR(__xludf.DUMMYFUNCTION("""COMPUTED_VALUE"""),15)</f>
        <v>15</v>
      </c>
      <c r="E11" s="3">
        <f ca="1">IFERROR(__xludf.DUMMYFUNCTION("""COMPUTED_VALUE"""),0.5)</f>
        <v>0.5</v>
      </c>
      <c r="F11" s="3">
        <f ca="1">IFERROR(__xludf.DUMMYFUNCTION("""COMPUTED_VALUE"""),-4.19)</f>
        <v>-4.1900000000000004</v>
      </c>
      <c r="G11" s="3">
        <f ca="1">IFERROR(__xludf.DUMMYFUNCTION("""COMPUTED_VALUE"""),-7.23)</f>
        <v>-7.23</v>
      </c>
      <c r="H11" s="3">
        <f ca="1">IFERROR(__xludf.DUMMYFUNCTION("""COMPUTED_VALUE"""),9)</f>
        <v>9</v>
      </c>
      <c r="I11" s="3">
        <f ca="1">IFERROR(__xludf.DUMMYFUNCTION("""COMPUTED_VALUE"""),9)</f>
        <v>9</v>
      </c>
      <c r="J11" s="3">
        <f ca="1">IFERROR(__xludf.DUMMYFUNCTION("""COMPUTED_VALUE"""),8)</f>
        <v>8</v>
      </c>
      <c r="K11" s="3">
        <f ca="1">IFERROR(__xludf.DUMMYFUNCTION("""COMPUTED_VALUE"""),7)</f>
        <v>7</v>
      </c>
      <c r="L11" s="3">
        <f ca="1">IFERROR(__xludf.DUMMYFUNCTION("""COMPUTED_VALUE"""),6)</f>
        <v>6</v>
      </c>
      <c r="M11" s="3">
        <f ca="1">IFERROR(__xludf.DUMMYFUNCTION("""COMPUTED_VALUE"""),8)</f>
        <v>8</v>
      </c>
      <c r="N11" s="3">
        <f ca="1">IFERROR(__xludf.DUMMYFUNCTION("""COMPUTED_VALUE"""),2161)</f>
        <v>2161</v>
      </c>
      <c r="O11" s="3">
        <f ca="1">IFERROR(__xludf.DUMMYFUNCTION("""COMPUTED_VALUE"""),2070)</f>
        <v>2070</v>
      </c>
      <c r="P11" s="3">
        <f ca="1">IFERROR(__xludf.DUMMYFUNCTION("""COMPUTED_VALUE"""),1220)</f>
        <v>1220</v>
      </c>
      <c r="Q11" s="3">
        <f ca="1">IFERROR(__xludf.DUMMYFUNCTION("""COMPUTED_VALUE"""),780)</f>
        <v>780</v>
      </c>
      <c r="R11" s="3">
        <f ca="1">IFERROR(__xludf.DUMMYFUNCTION("""COMPUTED_VALUE"""),1645)</f>
        <v>1645</v>
      </c>
      <c r="S11" s="3">
        <f ca="1">IFERROR(__xludf.DUMMYFUNCTION("""COMPUTED_VALUE"""),0.474)</f>
        <v>0.47399999999999998</v>
      </c>
      <c r="T11" s="3">
        <f ca="1">IFERROR(__xludf.DUMMYFUNCTION("""COMPUTED_VALUE"""),190)</f>
        <v>190</v>
      </c>
      <c r="U11" s="3">
        <f ca="1">IFERROR(__xludf.DUMMYFUNCTION("""COMPUTED_VALUE"""),584)</f>
        <v>584</v>
      </c>
      <c r="V11" s="3">
        <f ca="1">IFERROR(__xludf.DUMMYFUNCTION("""COMPUTED_VALUE"""),0.325)</f>
        <v>0.32500000000000001</v>
      </c>
      <c r="W11" s="3">
        <f ca="1">IFERROR(__xludf.DUMMYFUNCTION("""COMPUTED_VALUE"""),411)</f>
        <v>411</v>
      </c>
      <c r="X11" s="3">
        <f ca="1">IFERROR(__xludf.DUMMYFUNCTION("""COMPUTED_VALUE"""),589)</f>
        <v>589</v>
      </c>
      <c r="Y11" s="3">
        <f ca="1">IFERROR(__xludf.DUMMYFUNCTION("""COMPUTED_VALUE"""),0.698)</f>
        <v>0.69799999999999995</v>
      </c>
      <c r="Z11" s="3">
        <f ca="1">IFERROR(__xludf.DUMMYFUNCTION("""COMPUTED_VALUE"""),251)</f>
        <v>251</v>
      </c>
      <c r="AA11" s="3">
        <f ca="1">IFERROR(__xludf.DUMMYFUNCTION("""COMPUTED_VALUE"""),1014)</f>
        <v>1014</v>
      </c>
      <c r="AB11" s="3">
        <f ca="1">IFERROR(__xludf.DUMMYFUNCTION("""COMPUTED_VALUE"""),402)</f>
        <v>402</v>
      </c>
      <c r="AC11" s="3">
        <f ca="1">IFERROR(__xludf.DUMMYFUNCTION("""COMPUTED_VALUE"""),221)</f>
        <v>221</v>
      </c>
      <c r="AD11" s="3">
        <f ca="1">IFERROR(__xludf.DUMMYFUNCTION("""COMPUTED_VALUE"""),131)</f>
        <v>131</v>
      </c>
      <c r="AE11" s="3">
        <f ca="1">IFERROR(__xludf.DUMMYFUNCTION("""COMPUTED_VALUE"""),386)</f>
        <v>386</v>
      </c>
      <c r="AF11" s="3">
        <f ca="1">IFERROR(__xludf.DUMMYFUNCTION("""COMPUTED_VALUE"""),520)</f>
        <v>520</v>
      </c>
    </row>
    <row r="12" spans="1:32" ht="15.75" customHeight="1" x14ac:dyDescent="0.25">
      <c r="A12" s="3" t="str">
        <f ca="1">IFERROR(__xludf.DUMMYFUNCTION("""COMPUTED_VALUE"""),"Appalachian State")</f>
        <v>Appalachian State</v>
      </c>
      <c r="B12" s="3">
        <f ca="1">IFERROR(__xludf.DUMMYFUNCTION("""COMPUTED_VALUE"""),32)</f>
        <v>32</v>
      </c>
      <c r="C12" s="3">
        <f ca="1">IFERROR(__xludf.DUMMYFUNCTION("""COMPUTED_VALUE"""),11)</f>
        <v>11</v>
      </c>
      <c r="D12" s="3">
        <f ca="1">IFERROR(__xludf.DUMMYFUNCTION("""COMPUTED_VALUE"""),21)</f>
        <v>21</v>
      </c>
      <c r="E12" s="3">
        <f ca="1">IFERROR(__xludf.DUMMYFUNCTION("""COMPUTED_VALUE"""),0.344)</f>
        <v>0.34399999999999997</v>
      </c>
      <c r="F12" s="3">
        <f ca="1">IFERROR(__xludf.DUMMYFUNCTION("""COMPUTED_VALUE"""),-3.73)</f>
        <v>-3.73</v>
      </c>
      <c r="G12" s="3">
        <f ca="1">IFERROR(__xludf.DUMMYFUNCTION("""COMPUTED_VALUE"""),0.1)</f>
        <v>0.1</v>
      </c>
      <c r="H12" s="3">
        <f ca="1">IFERROR(__xludf.DUMMYFUNCTION("""COMPUTED_VALUE"""),6)</f>
        <v>6</v>
      </c>
      <c r="I12" s="3">
        <f ca="1">IFERROR(__xludf.DUMMYFUNCTION("""COMPUTED_VALUE"""),12)</f>
        <v>12</v>
      </c>
      <c r="J12" s="3">
        <f ca="1">IFERROR(__xludf.DUMMYFUNCTION("""COMPUTED_VALUE"""),9)</f>
        <v>9</v>
      </c>
      <c r="K12" s="3">
        <f ca="1">IFERROR(__xludf.DUMMYFUNCTION("""COMPUTED_VALUE"""),5)</f>
        <v>5</v>
      </c>
      <c r="L12" s="3">
        <f ca="1">IFERROR(__xludf.DUMMYFUNCTION("""COMPUTED_VALUE"""),2)</f>
        <v>2</v>
      </c>
      <c r="M12" s="3">
        <f ca="1">IFERROR(__xludf.DUMMYFUNCTION("""COMPUTED_VALUE"""),12)</f>
        <v>12</v>
      </c>
      <c r="N12" s="3">
        <f ca="1">IFERROR(__xludf.DUMMYFUNCTION("""COMPUTED_VALUE"""),2557)</f>
        <v>2557</v>
      </c>
      <c r="O12" s="3">
        <f ca="1">IFERROR(__xludf.DUMMYFUNCTION("""COMPUTED_VALUE"""),2539)</f>
        <v>2539</v>
      </c>
      <c r="P12" s="3">
        <f ca="1">IFERROR(__xludf.DUMMYFUNCTION("""COMPUTED_VALUE"""),1290)</f>
        <v>1290</v>
      </c>
      <c r="Q12" s="3">
        <f ca="1">IFERROR(__xludf.DUMMYFUNCTION("""COMPUTED_VALUE"""),880)</f>
        <v>880</v>
      </c>
      <c r="R12" s="3">
        <f ca="1">IFERROR(__xludf.DUMMYFUNCTION("""COMPUTED_VALUE"""),1938)</f>
        <v>1938</v>
      </c>
      <c r="S12" s="3">
        <f ca="1">IFERROR(__xludf.DUMMYFUNCTION("""COMPUTED_VALUE"""),0.454)</f>
        <v>0.45400000000000001</v>
      </c>
      <c r="T12" s="3">
        <f ca="1">IFERROR(__xludf.DUMMYFUNCTION("""COMPUTED_VALUE"""),292)</f>
        <v>292</v>
      </c>
      <c r="U12" s="3">
        <f ca="1">IFERROR(__xludf.DUMMYFUNCTION("""COMPUTED_VALUE"""),814)</f>
        <v>814</v>
      </c>
      <c r="V12" s="3">
        <f ca="1">IFERROR(__xludf.DUMMYFUNCTION("""COMPUTED_VALUE"""),0.359)</f>
        <v>0.35899999999999999</v>
      </c>
      <c r="W12" s="3">
        <f ca="1">IFERROR(__xludf.DUMMYFUNCTION("""COMPUTED_VALUE"""),505)</f>
        <v>505</v>
      </c>
      <c r="X12" s="3">
        <f ca="1">IFERROR(__xludf.DUMMYFUNCTION("""COMPUTED_VALUE"""),706)</f>
        <v>706</v>
      </c>
      <c r="Y12" s="3">
        <f ca="1">IFERROR(__xludf.DUMMYFUNCTION("""COMPUTED_VALUE"""),0.715)</f>
        <v>0.71499999999999997</v>
      </c>
      <c r="Z12" s="3">
        <f ca="1">IFERROR(__xludf.DUMMYFUNCTION("""COMPUTED_VALUE"""),310)</f>
        <v>310</v>
      </c>
      <c r="AA12" s="3">
        <f ca="1">IFERROR(__xludf.DUMMYFUNCTION("""COMPUTED_VALUE"""),1127)</f>
        <v>1127</v>
      </c>
      <c r="AB12" s="3">
        <f ca="1">IFERROR(__xludf.DUMMYFUNCTION("""COMPUTED_VALUE"""),406)</f>
        <v>406</v>
      </c>
      <c r="AC12" s="3">
        <f ca="1">IFERROR(__xludf.DUMMYFUNCTION("""COMPUTED_VALUE"""),171)</f>
        <v>171</v>
      </c>
      <c r="AD12" s="3">
        <f ca="1">IFERROR(__xludf.DUMMYFUNCTION("""COMPUTED_VALUE"""),90)</f>
        <v>90</v>
      </c>
      <c r="AE12" s="3">
        <f ca="1">IFERROR(__xludf.DUMMYFUNCTION("""COMPUTED_VALUE"""),418)</f>
        <v>418</v>
      </c>
      <c r="AF12" s="3">
        <f ca="1">IFERROR(__xludf.DUMMYFUNCTION("""COMPUTED_VALUE"""),585)</f>
        <v>585</v>
      </c>
    </row>
    <row r="13" spans="1:32" ht="15.75" customHeight="1" x14ac:dyDescent="0.25">
      <c r="A13" s="3" t="str">
        <f ca="1">IFERROR(__xludf.DUMMYFUNCTION("""COMPUTED_VALUE"""),"Arizona StateNCAA")</f>
        <v>Arizona StateNCAA</v>
      </c>
      <c r="B13" s="3">
        <f ca="1">IFERROR(__xludf.DUMMYFUNCTION("""COMPUTED_VALUE"""),34)</f>
        <v>34</v>
      </c>
      <c r="C13" s="3">
        <f ca="1">IFERROR(__xludf.DUMMYFUNCTION("""COMPUTED_VALUE"""),23)</f>
        <v>23</v>
      </c>
      <c r="D13" s="3">
        <f ca="1">IFERROR(__xludf.DUMMYFUNCTION("""COMPUTED_VALUE"""),11)</f>
        <v>11</v>
      </c>
      <c r="E13" s="3">
        <f ca="1">IFERROR(__xludf.DUMMYFUNCTION("""COMPUTED_VALUE"""),0.676)</f>
        <v>0.67600000000000005</v>
      </c>
      <c r="F13" s="3">
        <f ca="1">IFERROR(__xludf.DUMMYFUNCTION("""COMPUTED_VALUE"""),10.28)</f>
        <v>10.28</v>
      </c>
      <c r="G13" s="3">
        <f ca="1">IFERROR(__xludf.DUMMYFUNCTION("""COMPUTED_VALUE"""),6.04)</f>
        <v>6.04</v>
      </c>
      <c r="H13" s="3">
        <f ca="1">IFERROR(__xludf.DUMMYFUNCTION("""COMPUTED_VALUE"""),12)</f>
        <v>12</v>
      </c>
      <c r="I13" s="3">
        <f ca="1">IFERROR(__xludf.DUMMYFUNCTION("""COMPUTED_VALUE"""),6)</f>
        <v>6</v>
      </c>
      <c r="J13" s="3">
        <f ca="1">IFERROR(__xludf.DUMMYFUNCTION("""COMPUTED_VALUE"""),13)</f>
        <v>13</v>
      </c>
      <c r="K13" s="3">
        <f ca="1">IFERROR(__xludf.DUMMYFUNCTION("""COMPUTED_VALUE"""),3)</f>
        <v>3</v>
      </c>
      <c r="L13" s="3">
        <f ca="1">IFERROR(__xludf.DUMMYFUNCTION("""COMPUTED_VALUE"""),6)</f>
        <v>6</v>
      </c>
      <c r="M13" s="3">
        <f ca="1">IFERROR(__xludf.DUMMYFUNCTION("""COMPUTED_VALUE"""),5)</f>
        <v>5</v>
      </c>
      <c r="N13" s="3">
        <f ca="1">IFERROR(__xludf.DUMMYFUNCTION("""COMPUTED_VALUE"""),2638)</f>
        <v>2638</v>
      </c>
      <c r="O13" s="3">
        <f ca="1">IFERROR(__xludf.DUMMYFUNCTION("""COMPUTED_VALUE"""),2494)</f>
        <v>2494</v>
      </c>
      <c r="P13" s="3">
        <f ca="1">IFERROR(__xludf.DUMMYFUNCTION("""COMPUTED_VALUE"""),1380)</f>
        <v>1380</v>
      </c>
      <c r="Q13" s="3">
        <f ca="1">IFERROR(__xludf.DUMMYFUNCTION("""COMPUTED_VALUE"""),899)</f>
        <v>899</v>
      </c>
      <c r="R13" s="3">
        <f ca="1">IFERROR(__xludf.DUMMYFUNCTION("""COMPUTED_VALUE"""),2012)</f>
        <v>2012</v>
      </c>
      <c r="S13" s="3">
        <f ca="1">IFERROR(__xludf.DUMMYFUNCTION("""COMPUTED_VALUE"""),0.447)</f>
        <v>0.44700000000000001</v>
      </c>
      <c r="T13" s="3">
        <f ca="1">IFERROR(__xludf.DUMMYFUNCTION("""COMPUTED_VALUE"""),240)</f>
        <v>240</v>
      </c>
      <c r="U13" s="3">
        <f ca="1">IFERROR(__xludf.DUMMYFUNCTION("""COMPUTED_VALUE"""),714)</f>
        <v>714</v>
      </c>
      <c r="V13" s="3">
        <f ca="1">IFERROR(__xludf.DUMMYFUNCTION("""COMPUTED_VALUE"""),0.336)</f>
        <v>0.33600000000000002</v>
      </c>
      <c r="W13" s="3">
        <f ca="1">IFERROR(__xludf.DUMMYFUNCTION("""COMPUTED_VALUE"""),600)</f>
        <v>600</v>
      </c>
      <c r="X13" s="3">
        <f ca="1">IFERROR(__xludf.DUMMYFUNCTION("""COMPUTED_VALUE"""),882)</f>
        <v>882</v>
      </c>
      <c r="Y13" s="3">
        <f ca="1">IFERROR(__xludf.DUMMYFUNCTION("""COMPUTED_VALUE"""),0.68)</f>
        <v>0.68</v>
      </c>
      <c r="Z13" s="3">
        <f ca="1">IFERROR(__xludf.DUMMYFUNCTION("""COMPUTED_VALUE"""),399)</f>
        <v>399</v>
      </c>
      <c r="AA13" s="3">
        <f ca="1">IFERROR(__xludf.DUMMYFUNCTION("""COMPUTED_VALUE"""),1351)</f>
        <v>1351</v>
      </c>
      <c r="AB13" s="3">
        <f ca="1">IFERROR(__xludf.DUMMYFUNCTION("""COMPUTED_VALUE"""),459)</f>
        <v>459</v>
      </c>
      <c r="AC13" s="3">
        <f ca="1">IFERROR(__xludf.DUMMYFUNCTION("""COMPUTED_VALUE"""),213)</f>
        <v>213</v>
      </c>
      <c r="AD13" s="3">
        <f ca="1">IFERROR(__xludf.DUMMYFUNCTION("""COMPUTED_VALUE"""),109)</f>
        <v>109</v>
      </c>
      <c r="AE13" s="3">
        <f ca="1">IFERROR(__xludf.DUMMYFUNCTION("""COMPUTED_VALUE"""),466)</f>
        <v>466</v>
      </c>
      <c r="AF13" s="3">
        <f ca="1">IFERROR(__xludf.DUMMYFUNCTION("""COMPUTED_VALUE"""),675)</f>
        <v>675</v>
      </c>
    </row>
    <row r="14" spans="1:32" ht="15.75" customHeight="1" x14ac:dyDescent="0.25">
      <c r="A14" s="3" t="str">
        <f ca="1">IFERROR(__xludf.DUMMYFUNCTION("""COMPUTED_VALUE"""),"Arizona")</f>
        <v>Arizona</v>
      </c>
      <c r="B14" s="3">
        <f ca="1">IFERROR(__xludf.DUMMYFUNCTION("""COMPUTED_VALUE"""),32)</f>
        <v>32</v>
      </c>
      <c r="C14" s="3">
        <f ca="1">IFERROR(__xludf.DUMMYFUNCTION("""COMPUTED_VALUE"""),17)</f>
        <v>17</v>
      </c>
      <c r="D14" s="3">
        <f ca="1">IFERROR(__xludf.DUMMYFUNCTION("""COMPUTED_VALUE"""),15)</f>
        <v>15</v>
      </c>
      <c r="E14" s="3">
        <f ca="1">IFERROR(__xludf.DUMMYFUNCTION("""COMPUTED_VALUE"""),0.531)</f>
        <v>0.53100000000000003</v>
      </c>
      <c r="F14" s="3">
        <f ca="1">IFERROR(__xludf.DUMMYFUNCTION("""COMPUTED_VALUE"""),8.32)</f>
        <v>8.32</v>
      </c>
      <c r="G14" s="3">
        <f ca="1">IFERROR(__xludf.DUMMYFUNCTION("""COMPUTED_VALUE"""),6.32)</f>
        <v>6.32</v>
      </c>
      <c r="H14" s="3">
        <f ca="1">IFERROR(__xludf.DUMMYFUNCTION("""COMPUTED_VALUE"""),8)</f>
        <v>8</v>
      </c>
      <c r="I14" s="3">
        <f ca="1">IFERROR(__xludf.DUMMYFUNCTION("""COMPUTED_VALUE"""),10)</f>
        <v>10</v>
      </c>
      <c r="J14" s="3">
        <f ca="1">IFERROR(__xludf.DUMMYFUNCTION("""COMPUTED_VALUE"""),12)</f>
        <v>12</v>
      </c>
      <c r="K14" s="3">
        <f ca="1">IFERROR(__xludf.DUMMYFUNCTION("""COMPUTED_VALUE"""),5)</f>
        <v>5</v>
      </c>
      <c r="L14" s="3">
        <f ca="1">IFERROR(__xludf.DUMMYFUNCTION("""COMPUTED_VALUE"""),4)</f>
        <v>4</v>
      </c>
      <c r="M14" s="3">
        <f ca="1">IFERROR(__xludf.DUMMYFUNCTION("""COMPUTED_VALUE"""),7)</f>
        <v>7</v>
      </c>
      <c r="N14" s="3">
        <f ca="1">IFERROR(__xludf.DUMMYFUNCTION("""COMPUTED_VALUE"""),2269)</f>
        <v>2269</v>
      </c>
      <c r="O14" s="3">
        <f ca="1">IFERROR(__xludf.DUMMYFUNCTION("""COMPUTED_VALUE"""),2205)</f>
        <v>2205</v>
      </c>
      <c r="P14" s="3">
        <f ca="1">IFERROR(__xludf.DUMMYFUNCTION("""COMPUTED_VALUE"""),1290)</f>
        <v>1290</v>
      </c>
      <c r="Q14" s="3">
        <f ca="1">IFERROR(__xludf.DUMMYFUNCTION("""COMPUTED_VALUE"""),794)</f>
        <v>794</v>
      </c>
      <c r="R14" s="3">
        <f ca="1">IFERROR(__xludf.DUMMYFUNCTION("""COMPUTED_VALUE"""),1861)</f>
        <v>1861</v>
      </c>
      <c r="S14" s="3">
        <f ca="1">IFERROR(__xludf.DUMMYFUNCTION("""COMPUTED_VALUE"""),0.427)</f>
        <v>0.42699999999999999</v>
      </c>
      <c r="T14" s="3">
        <f ca="1">IFERROR(__xludf.DUMMYFUNCTION("""COMPUTED_VALUE"""),235)</f>
        <v>235</v>
      </c>
      <c r="U14" s="3">
        <f ca="1">IFERROR(__xludf.DUMMYFUNCTION("""COMPUTED_VALUE"""),699)</f>
        <v>699</v>
      </c>
      <c r="V14" s="3">
        <f ca="1">IFERROR(__xludf.DUMMYFUNCTION("""COMPUTED_VALUE"""),0.336)</f>
        <v>0.33600000000000002</v>
      </c>
      <c r="W14" s="3">
        <f ca="1">IFERROR(__xludf.DUMMYFUNCTION("""COMPUTED_VALUE"""),446)</f>
        <v>446</v>
      </c>
      <c r="X14" s="3">
        <f ca="1">IFERROR(__xludf.DUMMYFUNCTION("""COMPUTED_VALUE"""),620)</f>
        <v>620</v>
      </c>
      <c r="Y14" s="3">
        <f ca="1">IFERROR(__xludf.DUMMYFUNCTION("""COMPUTED_VALUE"""),0.719)</f>
        <v>0.71899999999999997</v>
      </c>
      <c r="Z14" s="3">
        <f ca="1">IFERROR(__xludf.DUMMYFUNCTION("""COMPUTED_VALUE"""),324)</f>
        <v>324</v>
      </c>
      <c r="AA14" s="3">
        <f ca="1">IFERROR(__xludf.DUMMYFUNCTION("""COMPUTED_VALUE"""),1115)</f>
        <v>1115</v>
      </c>
      <c r="AB14" s="3">
        <f ca="1">IFERROR(__xludf.DUMMYFUNCTION("""COMPUTED_VALUE"""),398)</f>
        <v>398</v>
      </c>
      <c r="AC14" s="3">
        <f ca="1">IFERROR(__xludf.DUMMYFUNCTION("""COMPUTED_VALUE"""),165)</f>
        <v>165</v>
      </c>
      <c r="AD14" s="3">
        <f ca="1">IFERROR(__xludf.DUMMYFUNCTION("""COMPUTED_VALUE"""),73)</f>
        <v>73</v>
      </c>
      <c r="AE14" s="3">
        <f ca="1">IFERROR(__xludf.DUMMYFUNCTION("""COMPUTED_VALUE"""),370)</f>
        <v>370</v>
      </c>
      <c r="AF14" s="3">
        <f ca="1">IFERROR(__xludf.DUMMYFUNCTION("""COMPUTED_VALUE"""),594)</f>
        <v>594</v>
      </c>
    </row>
    <row r="15" spans="1:32" x14ac:dyDescent="0.25">
      <c r="A15" s="3" t="str">
        <f ca="1">IFERROR(__xludf.DUMMYFUNCTION("""COMPUTED_VALUE"""),"Little Rock")</f>
        <v>Little Rock</v>
      </c>
      <c r="B15" s="3">
        <f ca="1">IFERROR(__xludf.DUMMYFUNCTION("""COMPUTED_VALUE"""),31)</f>
        <v>31</v>
      </c>
      <c r="C15" s="3">
        <f ca="1">IFERROR(__xludf.DUMMYFUNCTION("""COMPUTED_VALUE"""),10)</f>
        <v>10</v>
      </c>
      <c r="D15" s="3">
        <f ca="1">IFERROR(__xludf.DUMMYFUNCTION("""COMPUTED_VALUE"""),21)</f>
        <v>21</v>
      </c>
      <c r="E15" s="3">
        <f ca="1">IFERROR(__xludf.DUMMYFUNCTION("""COMPUTED_VALUE"""),0.323)</f>
        <v>0.32300000000000001</v>
      </c>
      <c r="F15" s="3">
        <f ca="1">IFERROR(__xludf.DUMMYFUNCTION("""COMPUTED_VALUE"""),-4.87)</f>
        <v>-4.87</v>
      </c>
      <c r="G15" s="3">
        <f ca="1">IFERROR(__xludf.DUMMYFUNCTION("""COMPUTED_VALUE"""),-2.07)</f>
        <v>-2.0699999999999998</v>
      </c>
      <c r="H15" s="3">
        <f ca="1">IFERROR(__xludf.DUMMYFUNCTION("""COMPUTED_VALUE"""),5)</f>
        <v>5</v>
      </c>
      <c r="I15" s="3">
        <f ca="1">IFERROR(__xludf.DUMMYFUNCTION("""COMPUTED_VALUE"""),13)</f>
        <v>13</v>
      </c>
      <c r="J15" s="3">
        <f ca="1">IFERROR(__xludf.DUMMYFUNCTION("""COMPUTED_VALUE"""),7)</f>
        <v>7</v>
      </c>
      <c r="K15" s="3">
        <f ca="1">IFERROR(__xludf.DUMMYFUNCTION("""COMPUTED_VALUE"""),9)</f>
        <v>9</v>
      </c>
      <c r="L15" s="3">
        <f ca="1">IFERROR(__xludf.DUMMYFUNCTION("""COMPUTED_VALUE"""),3)</f>
        <v>3</v>
      </c>
      <c r="M15" s="3">
        <f ca="1">IFERROR(__xludf.DUMMYFUNCTION("""COMPUTED_VALUE"""),12)</f>
        <v>12</v>
      </c>
      <c r="N15" s="3">
        <f ca="1">IFERROR(__xludf.DUMMYFUNCTION("""COMPUTED_VALUE"""),2301)</f>
        <v>2301</v>
      </c>
      <c r="O15" s="3">
        <f ca="1">IFERROR(__xludf.DUMMYFUNCTION("""COMPUTED_VALUE"""),2353)</f>
        <v>2353</v>
      </c>
      <c r="P15" s="3">
        <f ca="1">IFERROR(__xludf.DUMMYFUNCTION("""COMPUTED_VALUE"""),1250)</f>
        <v>1250</v>
      </c>
      <c r="Q15" s="3">
        <f ca="1">IFERROR(__xludf.DUMMYFUNCTION("""COMPUTED_VALUE"""),817)</f>
        <v>817</v>
      </c>
      <c r="R15" s="3">
        <f ca="1">IFERROR(__xludf.DUMMYFUNCTION("""COMPUTED_VALUE"""),1687)</f>
        <v>1687</v>
      </c>
      <c r="S15" s="3">
        <f ca="1">IFERROR(__xludf.DUMMYFUNCTION("""COMPUTED_VALUE"""),0.484)</f>
        <v>0.48399999999999999</v>
      </c>
      <c r="T15" s="3">
        <f ca="1">IFERROR(__xludf.DUMMYFUNCTION("""COMPUTED_VALUE"""),206)</f>
        <v>206</v>
      </c>
      <c r="U15" s="3">
        <f ca="1">IFERROR(__xludf.DUMMYFUNCTION("""COMPUTED_VALUE"""),582)</f>
        <v>582</v>
      </c>
      <c r="V15" s="3">
        <f ca="1">IFERROR(__xludf.DUMMYFUNCTION("""COMPUTED_VALUE"""),0.354)</f>
        <v>0.35399999999999998</v>
      </c>
      <c r="W15" s="3">
        <f ca="1">IFERROR(__xludf.DUMMYFUNCTION("""COMPUTED_VALUE"""),461)</f>
        <v>461</v>
      </c>
      <c r="X15" s="3">
        <f ca="1">IFERROR(__xludf.DUMMYFUNCTION("""COMPUTED_VALUE"""),703)</f>
        <v>703</v>
      </c>
      <c r="Y15" s="3">
        <f ca="1">IFERROR(__xludf.DUMMYFUNCTION("""COMPUTED_VALUE"""),0.656)</f>
        <v>0.65600000000000003</v>
      </c>
      <c r="Z15" s="3">
        <f ca="1">IFERROR(__xludf.DUMMYFUNCTION("""COMPUTED_VALUE"""),244)</f>
        <v>244</v>
      </c>
      <c r="AA15" s="3">
        <f ca="1">IFERROR(__xludf.DUMMYFUNCTION("""COMPUTED_VALUE"""),1060)</f>
        <v>1060</v>
      </c>
      <c r="AB15" s="3">
        <f ca="1">IFERROR(__xludf.DUMMYFUNCTION("""COMPUTED_VALUE"""),443)</f>
        <v>443</v>
      </c>
      <c r="AC15" s="3">
        <f ca="1">IFERROR(__xludf.DUMMYFUNCTION("""COMPUTED_VALUE"""),169)</f>
        <v>169</v>
      </c>
      <c r="AD15" s="3">
        <f ca="1">IFERROR(__xludf.DUMMYFUNCTION("""COMPUTED_VALUE"""),87)</f>
        <v>87</v>
      </c>
      <c r="AE15" s="3">
        <f ca="1">IFERROR(__xludf.DUMMYFUNCTION("""COMPUTED_VALUE"""),503)</f>
        <v>503</v>
      </c>
      <c r="AF15" s="3">
        <f ca="1">IFERROR(__xludf.DUMMYFUNCTION("""COMPUTED_VALUE"""),622)</f>
        <v>622</v>
      </c>
    </row>
    <row r="16" spans="1:32" x14ac:dyDescent="0.25">
      <c r="A16" s="3" t="str">
        <f ca="1">IFERROR(__xludf.DUMMYFUNCTION("""COMPUTED_VALUE"""),"Arkansas-Pine Bluff")</f>
        <v>Arkansas-Pine Bluff</v>
      </c>
      <c r="B16" s="3">
        <f ca="1">IFERROR(__xludf.DUMMYFUNCTION("""COMPUTED_VALUE"""),32)</f>
        <v>32</v>
      </c>
      <c r="C16" s="3">
        <f ca="1">IFERROR(__xludf.DUMMYFUNCTION("""COMPUTED_VALUE"""),13)</f>
        <v>13</v>
      </c>
      <c r="D16" s="3">
        <f ca="1">IFERROR(__xludf.DUMMYFUNCTION("""COMPUTED_VALUE"""),19)</f>
        <v>19</v>
      </c>
      <c r="E16" s="3">
        <f ca="1">IFERROR(__xludf.DUMMYFUNCTION("""COMPUTED_VALUE"""),0.406)</f>
        <v>0.40600000000000003</v>
      </c>
      <c r="F16" s="3">
        <f ca="1">IFERROR(__xludf.DUMMYFUNCTION("""COMPUTED_VALUE"""),-14.43)</f>
        <v>-14.43</v>
      </c>
      <c r="G16" s="3">
        <f ca="1">IFERROR(__xludf.DUMMYFUNCTION("""COMPUTED_VALUE"""),-8.18)</f>
        <v>-8.18</v>
      </c>
      <c r="H16" s="3">
        <f ca="1">IFERROR(__xludf.DUMMYFUNCTION("""COMPUTED_VALUE"""),10)</f>
        <v>10</v>
      </c>
      <c r="I16" s="3">
        <f ca="1">IFERROR(__xludf.DUMMYFUNCTION("""COMPUTED_VALUE"""),8)</f>
        <v>8</v>
      </c>
      <c r="J16" s="3">
        <f ca="1">IFERROR(__xludf.DUMMYFUNCTION("""COMPUTED_VALUE"""),8)</f>
        <v>8</v>
      </c>
      <c r="K16" s="3">
        <f ca="1">IFERROR(__xludf.DUMMYFUNCTION("""COMPUTED_VALUE"""),2)</f>
        <v>2</v>
      </c>
      <c r="L16" s="3">
        <f ca="1">IFERROR(__xludf.DUMMYFUNCTION("""COMPUTED_VALUE"""),4)</f>
        <v>4</v>
      </c>
      <c r="M16" s="3">
        <f ca="1">IFERROR(__xludf.DUMMYFUNCTION("""COMPUTED_VALUE"""),17)</f>
        <v>17</v>
      </c>
      <c r="N16" s="3">
        <f ca="1">IFERROR(__xludf.DUMMYFUNCTION("""COMPUTED_VALUE"""),2108)</f>
        <v>2108</v>
      </c>
      <c r="O16" s="3">
        <f ca="1">IFERROR(__xludf.DUMMYFUNCTION("""COMPUTED_VALUE"""),2269)</f>
        <v>2269</v>
      </c>
      <c r="P16" s="3">
        <f ca="1">IFERROR(__xludf.DUMMYFUNCTION("""COMPUTED_VALUE"""),1300)</f>
        <v>1300</v>
      </c>
      <c r="Q16" s="3">
        <f ca="1">IFERROR(__xludf.DUMMYFUNCTION("""COMPUTED_VALUE"""),719)</f>
        <v>719</v>
      </c>
      <c r="R16" s="3">
        <f ca="1">IFERROR(__xludf.DUMMYFUNCTION("""COMPUTED_VALUE"""),1685)</f>
        <v>1685</v>
      </c>
      <c r="S16" s="3">
        <f ca="1">IFERROR(__xludf.DUMMYFUNCTION("""COMPUTED_VALUE"""),0.427)</f>
        <v>0.42699999999999999</v>
      </c>
      <c r="T16" s="3">
        <f ca="1">IFERROR(__xludf.DUMMYFUNCTION("""COMPUTED_VALUE"""),194)</f>
        <v>194</v>
      </c>
      <c r="U16" s="3">
        <f ca="1">IFERROR(__xludf.DUMMYFUNCTION("""COMPUTED_VALUE"""),574)</f>
        <v>574</v>
      </c>
      <c r="V16" s="3">
        <f ca="1">IFERROR(__xludf.DUMMYFUNCTION("""COMPUTED_VALUE"""),0.338)</f>
        <v>0.33800000000000002</v>
      </c>
      <c r="W16" s="3">
        <f ca="1">IFERROR(__xludf.DUMMYFUNCTION("""COMPUTED_VALUE"""),476)</f>
        <v>476</v>
      </c>
      <c r="X16" s="3">
        <f ca="1">IFERROR(__xludf.DUMMYFUNCTION("""COMPUTED_VALUE"""),702)</f>
        <v>702</v>
      </c>
      <c r="Y16" s="3">
        <f ca="1">IFERROR(__xludf.DUMMYFUNCTION("""COMPUTED_VALUE"""),0.678)</f>
        <v>0.67800000000000005</v>
      </c>
      <c r="Z16" s="3">
        <f ca="1">IFERROR(__xludf.DUMMYFUNCTION("""COMPUTED_VALUE"""),317)</f>
        <v>317</v>
      </c>
      <c r="AA16" s="3">
        <f ca="1">IFERROR(__xludf.DUMMYFUNCTION("""COMPUTED_VALUE"""),1063)</f>
        <v>1063</v>
      </c>
      <c r="AB16" s="3">
        <f ca="1">IFERROR(__xludf.DUMMYFUNCTION("""COMPUTED_VALUE"""),365)</f>
        <v>365</v>
      </c>
      <c r="AC16" s="3">
        <f ca="1">IFERROR(__xludf.DUMMYFUNCTION("""COMPUTED_VALUE"""),216)</f>
        <v>216</v>
      </c>
      <c r="AD16" s="3">
        <f ca="1">IFERROR(__xludf.DUMMYFUNCTION("""COMPUTED_VALUE"""),109)</f>
        <v>109</v>
      </c>
      <c r="AE16" s="3">
        <f ca="1">IFERROR(__xludf.DUMMYFUNCTION("""COMPUTED_VALUE"""),478)</f>
        <v>478</v>
      </c>
      <c r="AF16" s="3">
        <f ca="1">IFERROR(__xludf.DUMMYFUNCTION("""COMPUTED_VALUE"""),629)</f>
        <v>629</v>
      </c>
    </row>
    <row r="17" spans="1:32" x14ac:dyDescent="0.25">
      <c r="A17" s="3" t="str">
        <f ca="1">IFERROR(__xludf.DUMMYFUNCTION("""COMPUTED_VALUE"""),"Arkansas State")</f>
        <v>Arkansas State</v>
      </c>
      <c r="B17" s="3">
        <f ca="1">IFERROR(__xludf.DUMMYFUNCTION("""COMPUTED_VALUE"""),32)</f>
        <v>32</v>
      </c>
      <c r="C17" s="3">
        <f ca="1">IFERROR(__xludf.DUMMYFUNCTION("""COMPUTED_VALUE"""),13)</f>
        <v>13</v>
      </c>
      <c r="D17" s="3">
        <f ca="1">IFERROR(__xludf.DUMMYFUNCTION("""COMPUTED_VALUE"""),19)</f>
        <v>19</v>
      </c>
      <c r="E17" s="3">
        <f ca="1">IFERROR(__xludf.DUMMYFUNCTION("""COMPUTED_VALUE"""),0.406)</f>
        <v>0.40600000000000003</v>
      </c>
      <c r="F17" s="3">
        <f ca="1">IFERROR(__xludf.DUMMYFUNCTION("""COMPUTED_VALUE"""),-7.1)</f>
        <v>-7.1</v>
      </c>
      <c r="G17" s="3">
        <f ca="1">IFERROR(__xludf.DUMMYFUNCTION("""COMPUTED_VALUE"""),-1.23)</f>
        <v>-1.23</v>
      </c>
      <c r="H17" s="3">
        <f ca="1">IFERROR(__xludf.DUMMYFUNCTION("""COMPUTED_VALUE"""),7)</f>
        <v>7</v>
      </c>
      <c r="I17" s="3">
        <f ca="1">IFERROR(__xludf.DUMMYFUNCTION("""COMPUTED_VALUE"""),11)</f>
        <v>11</v>
      </c>
      <c r="J17" s="3">
        <f ca="1">IFERROR(__xludf.DUMMYFUNCTION("""COMPUTED_VALUE"""),10)</f>
        <v>10</v>
      </c>
      <c r="K17" s="3">
        <f ca="1">IFERROR(__xludf.DUMMYFUNCTION("""COMPUTED_VALUE"""),4)</f>
        <v>4</v>
      </c>
      <c r="L17" s="3">
        <f ca="1">IFERROR(__xludf.DUMMYFUNCTION("""COMPUTED_VALUE"""),2)</f>
        <v>2</v>
      </c>
      <c r="M17" s="3">
        <f ca="1">IFERROR(__xludf.DUMMYFUNCTION("""COMPUTED_VALUE"""),13)</f>
        <v>13</v>
      </c>
      <c r="N17" s="3">
        <f ca="1">IFERROR(__xludf.DUMMYFUNCTION("""COMPUTED_VALUE"""),2359)</f>
        <v>2359</v>
      </c>
      <c r="O17" s="3">
        <f ca="1">IFERROR(__xludf.DUMMYFUNCTION("""COMPUTED_VALUE"""),2475)</f>
        <v>2475</v>
      </c>
      <c r="P17" s="3">
        <f ca="1">IFERROR(__xludf.DUMMYFUNCTION("""COMPUTED_VALUE"""),1310)</f>
        <v>1310</v>
      </c>
      <c r="Q17" s="3">
        <f ca="1">IFERROR(__xludf.DUMMYFUNCTION("""COMPUTED_VALUE"""),796)</f>
        <v>796</v>
      </c>
      <c r="R17" s="3">
        <f ca="1">IFERROR(__xludf.DUMMYFUNCTION("""COMPUTED_VALUE"""),1904)</f>
        <v>1904</v>
      </c>
      <c r="S17" s="3">
        <f ca="1">IFERROR(__xludf.DUMMYFUNCTION("""COMPUTED_VALUE"""),0.418)</f>
        <v>0.41799999999999998</v>
      </c>
      <c r="T17" s="3">
        <f ca="1">IFERROR(__xludf.DUMMYFUNCTION("""COMPUTED_VALUE"""),237)</f>
        <v>237</v>
      </c>
      <c r="U17" s="3">
        <f ca="1">IFERROR(__xludf.DUMMYFUNCTION("""COMPUTED_VALUE"""),709)</f>
        <v>709</v>
      </c>
      <c r="V17" s="3">
        <f ca="1">IFERROR(__xludf.DUMMYFUNCTION("""COMPUTED_VALUE"""),0.334)</f>
        <v>0.33400000000000002</v>
      </c>
      <c r="W17" s="3">
        <f ca="1">IFERROR(__xludf.DUMMYFUNCTION("""COMPUTED_VALUE"""),530)</f>
        <v>530</v>
      </c>
      <c r="X17" s="3">
        <f ca="1">IFERROR(__xludf.DUMMYFUNCTION("""COMPUTED_VALUE"""),721)</f>
        <v>721</v>
      </c>
      <c r="Y17" s="3">
        <f ca="1">IFERROR(__xludf.DUMMYFUNCTION("""COMPUTED_VALUE"""),0.735)</f>
        <v>0.73499999999999999</v>
      </c>
      <c r="Z17" s="3">
        <f ca="1">IFERROR(__xludf.DUMMYFUNCTION("""COMPUTED_VALUE"""),403)</f>
        <v>403</v>
      </c>
      <c r="AA17" s="3">
        <f ca="1">IFERROR(__xludf.DUMMYFUNCTION("""COMPUTED_VALUE"""),1211)</f>
        <v>1211</v>
      </c>
      <c r="AB17" s="3">
        <f ca="1">IFERROR(__xludf.DUMMYFUNCTION("""COMPUTED_VALUE"""),363)</f>
        <v>363</v>
      </c>
      <c r="AC17" s="3">
        <f ca="1">IFERROR(__xludf.DUMMYFUNCTION("""COMPUTED_VALUE"""),183)</f>
        <v>183</v>
      </c>
      <c r="AD17" s="3">
        <f ca="1">IFERROR(__xludf.DUMMYFUNCTION("""COMPUTED_VALUE"""),139)</f>
        <v>139</v>
      </c>
      <c r="AE17" s="3">
        <f ca="1">IFERROR(__xludf.DUMMYFUNCTION("""COMPUTED_VALUE"""),448)</f>
        <v>448</v>
      </c>
      <c r="AF17" s="3">
        <f ca="1">IFERROR(__xludf.DUMMYFUNCTION("""COMPUTED_VALUE"""),684)</f>
        <v>684</v>
      </c>
    </row>
    <row r="18" spans="1:32" x14ac:dyDescent="0.25">
      <c r="A18" s="3" t="str">
        <f ca="1">IFERROR(__xludf.DUMMYFUNCTION("""COMPUTED_VALUE"""),"Arkansas")</f>
        <v>Arkansas</v>
      </c>
      <c r="B18" s="3">
        <f ca="1">IFERROR(__xludf.DUMMYFUNCTION("""COMPUTED_VALUE"""),34)</f>
        <v>34</v>
      </c>
      <c r="C18" s="3">
        <f ca="1">IFERROR(__xludf.DUMMYFUNCTION("""COMPUTED_VALUE"""),18)</f>
        <v>18</v>
      </c>
      <c r="D18" s="3">
        <f ca="1">IFERROR(__xludf.DUMMYFUNCTION("""COMPUTED_VALUE"""),16)</f>
        <v>16</v>
      </c>
      <c r="E18" s="3">
        <f ca="1">IFERROR(__xludf.DUMMYFUNCTION("""COMPUTED_VALUE"""),0.529)</f>
        <v>0.52900000000000003</v>
      </c>
      <c r="F18" s="3">
        <f ca="1">IFERROR(__xludf.DUMMYFUNCTION("""COMPUTED_VALUE"""),11.75)</f>
        <v>11.75</v>
      </c>
      <c r="G18" s="3">
        <f ca="1">IFERROR(__xludf.DUMMYFUNCTION("""COMPUTED_VALUE"""),8.78)</f>
        <v>8.7799999999999994</v>
      </c>
      <c r="H18" s="3">
        <f ca="1">IFERROR(__xludf.DUMMYFUNCTION("""COMPUTED_VALUE"""),8)</f>
        <v>8</v>
      </c>
      <c r="I18" s="3">
        <f ca="1">IFERROR(__xludf.DUMMYFUNCTION("""COMPUTED_VALUE"""),10)</f>
        <v>10</v>
      </c>
      <c r="J18" s="3">
        <f ca="1">IFERROR(__xludf.DUMMYFUNCTION("""COMPUTED_VALUE"""),12)</f>
        <v>12</v>
      </c>
      <c r="K18" s="3">
        <f ca="1">IFERROR(__xludf.DUMMYFUNCTION("""COMPUTED_VALUE"""),6)</f>
        <v>6</v>
      </c>
      <c r="L18" s="3">
        <f ca="1">IFERROR(__xludf.DUMMYFUNCTION("""COMPUTED_VALUE"""),5)</f>
        <v>5</v>
      </c>
      <c r="M18" s="3">
        <f ca="1">IFERROR(__xludf.DUMMYFUNCTION("""COMPUTED_VALUE"""),8)</f>
        <v>8</v>
      </c>
      <c r="N18" s="3">
        <f ca="1">IFERROR(__xludf.DUMMYFUNCTION("""COMPUTED_VALUE"""),2559)</f>
        <v>2559</v>
      </c>
      <c r="O18" s="3">
        <f ca="1">IFERROR(__xludf.DUMMYFUNCTION("""COMPUTED_VALUE"""),2458)</f>
        <v>2458</v>
      </c>
      <c r="P18" s="3">
        <f ca="1">IFERROR(__xludf.DUMMYFUNCTION("""COMPUTED_VALUE"""),1370)</f>
        <v>1370</v>
      </c>
      <c r="Q18" s="3">
        <f ca="1">IFERROR(__xludf.DUMMYFUNCTION("""COMPUTED_VALUE"""),893)</f>
        <v>893</v>
      </c>
      <c r="R18" s="3">
        <f ca="1">IFERROR(__xludf.DUMMYFUNCTION("""COMPUTED_VALUE"""),2004)</f>
        <v>2004</v>
      </c>
      <c r="S18" s="3">
        <f ca="1">IFERROR(__xludf.DUMMYFUNCTION("""COMPUTED_VALUE"""),0.446)</f>
        <v>0.44600000000000001</v>
      </c>
      <c r="T18" s="3">
        <f ca="1">IFERROR(__xludf.DUMMYFUNCTION("""COMPUTED_VALUE"""),259)</f>
        <v>259</v>
      </c>
      <c r="U18" s="3">
        <f ca="1">IFERROR(__xludf.DUMMYFUNCTION("""COMPUTED_VALUE"""),751)</f>
        <v>751</v>
      </c>
      <c r="V18" s="3">
        <f ca="1">IFERROR(__xludf.DUMMYFUNCTION("""COMPUTED_VALUE"""),0.345)</f>
        <v>0.34499999999999997</v>
      </c>
      <c r="W18" s="3">
        <f ca="1">IFERROR(__xludf.DUMMYFUNCTION("""COMPUTED_VALUE"""),514)</f>
        <v>514</v>
      </c>
      <c r="X18" s="3">
        <f ca="1">IFERROR(__xludf.DUMMYFUNCTION("""COMPUTED_VALUE"""),769)</f>
        <v>769</v>
      </c>
      <c r="Y18" s="3">
        <f ca="1">IFERROR(__xludf.DUMMYFUNCTION("""COMPUTED_VALUE"""),0.668)</f>
        <v>0.66800000000000004</v>
      </c>
      <c r="Z18" s="3">
        <f ca="1">IFERROR(__xludf.DUMMYFUNCTION("""COMPUTED_VALUE"""),345)</f>
        <v>345</v>
      </c>
      <c r="AA18" s="3">
        <f ca="1">IFERROR(__xludf.DUMMYFUNCTION("""COMPUTED_VALUE"""),1152)</f>
        <v>1152</v>
      </c>
      <c r="AB18" s="3">
        <f ca="1">IFERROR(__xludf.DUMMYFUNCTION("""COMPUTED_VALUE"""),543)</f>
        <v>543</v>
      </c>
      <c r="AC18" s="3">
        <f ca="1">IFERROR(__xludf.DUMMYFUNCTION("""COMPUTED_VALUE"""),276)</f>
        <v>276</v>
      </c>
      <c r="AD18" s="3">
        <f ca="1">IFERROR(__xludf.DUMMYFUNCTION("""COMPUTED_VALUE"""),172)</f>
        <v>172</v>
      </c>
      <c r="AE18" s="3">
        <f ca="1">IFERROR(__xludf.DUMMYFUNCTION("""COMPUTED_VALUE"""),450)</f>
        <v>450</v>
      </c>
      <c r="AF18" s="3">
        <f ca="1">IFERROR(__xludf.DUMMYFUNCTION("""COMPUTED_VALUE"""),693)</f>
        <v>693</v>
      </c>
    </row>
    <row r="19" spans="1:32" x14ac:dyDescent="0.25">
      <c r="A19" s="3" t="str">
        <f ca="1">IFERROR(__xludf.DUMMYFUNCTION("""COMPUTED_VALUE"""),"Army")</f>
        <v>Army</v>
      </c>
      <c r="B19" s="3">
        <f ca="1">IFERROR(__xludf.DUMMYFUNCTION("""COMPUTED_VALUE"""),32)</f>
        <v>32</v>
      </c>
      <c r="C19" s="3">
        <f ca="1">IFERROR(__xludf.DUMMYFUNCTION("""COMPUTED_VALUE"""),13)</f>
        <v>13</v>
      </c>
      <c r="D19" s="3">
        <f ca="1">IFERROR(__xludf.DUMMYFUNCTION("""COMPUTED_VALUE"""),19)</f>
        <v>19</v>
      </c>
      <c r="E19" s="3">
        <f ca="1">IFERROR(__xludf.DUMMYFUNCTION("""COMPUTED_VALUE"""),0.406)</f>
        <v>0.40600000000000003</v>
      </c>
      <c r="F19" s="3">
        <f ca="1">IFERROR(__xludf.DUMMYFUNCTION("""COMPUTED_VALUE"""),-7.57)</f>
        <v>-7.57</v>
      </c>
      <c r="G19" s="3">
        <f ca="1">IFERROR(__xludf.DUMMYFUNCTION("""COMPUTED_VALUE"""),-4.73)</f>
        <v>-4.7300000000000004</v>
      </c>
      <c r="H19" s="3">
        <f ca="1">IFERROR(__xludf.DUMMYFUNCTION("""COMPUTED_VALUE"""),8)</f>
        <v>8</v>
      </c>
      <c r="I19" s="3">
        <f ca="1">IFERROR(__xludf.DUMMYFUNCTION("""COMPUTED_VALUE"""),10)</f>
        <v>10</v>
      </c>
      <c r="J19" s="3">
        <f ca="1">IFERROR(__xludf.DUMMYFUNCTION("""COMPUTED_VALUE"""),10)</f>
        <v>10</v>
      </c>
      <c r="K19" s="3">
        <f ca="1">IFERROR(__xludf.DUMMYFUNCTION("""COMPUTED_VALUE"""),4)</f>
        <v>4</v>
      </c>
      <c r="L19" s="3">
        <f ca="1">IFERROR(__xludf.DUMMYFUNCTION("""COMPUTED_VALUE"""),3)</f>
        <v>3</v>
      </c>
      <c r="M19" s="3">
        <f ca="1">IFERROR(__xludf.DUMMYFUNCTION("""COMPUTED_VALUE"""),13)</f>
        <v>13</v>
      </c>
      <c r="N19" s="3">
        <f ca="1">IFERROR(__xludf.DUMMYFUNCTION("""COMPUTED_VALUE"""),2268)</f>
        <v>2268</v>
      </c>
      <c r="O19" s="3">
        <f ca="1">IFERROR(__xludf.DUMMYFUNCTION("""COMPUTED_VALUE"""),2305)</f>
        <v>2305</v>
      </c>
      <c r="P19" s="3">
        <f ca="1">IFERROR(__xludf.DUMMYFUNCTION("""COMPUTED_VALUE"""),1280)</f>
        <v>1280</v>
      </c>
      <c r="Q19" s="3">
        <f ca="1">IFERROR(__xludf.DUMMYFUNCTION("""COMPUTED_VALUE"""),837)</f>
        <v>837</v>
      </c>
      <c r="R19" s="3">
        <f ca="1">IFERROR(__xludf.DUMMYFUNCTION("""COMPUTED_VALUE"""),1956)</f>
        <v>1956</v>
      </c>
      <c r="S19" s="3">
        <f ca="1">IFERROR(__xludf.DUMMYFUNCTION("""COMPUTED_VALUE"""),0.428)</f>
        <v>0.42799999999999999</v>
      </c>
      <c r="T19" s="3">
        <f ca="1">IFERROR(__xludf.DUMMYFUNCTION("""COMPUTED_VALUE"""),272)</f>
        <v>272</v>
      </c>
      <c r="U19" s="3">
        <f ca="1">IFERROR(__xludf.DUMMYFUNCTION("""COMPUTED_VALUE"""),863)</f>
        <v>863</v>
      </c>
      <c r="V19" s="3">
        <f ca="1">IFERROR(__xludf.DUMMYFUNCTION("""COMPUTED_VALUE"""),0.315)</f>
        <v>0.315</v>
      </c>
      <c r="W19" s="3">
        <f ca="1">IFERROR(__xludf.DUMMYFUNCTION("""COMPUTED_VALUE"""),322)</f>
        <v>322</v>
      </c>
      <c r="X19" s="3">
        <f ca="1">IFERROR(__xludf.DUMMYFUNCTION("""COMPUTED_VALUE"""),471)</f>
        <v>471</v>
      </c>
      <c r="Y19" s="3">
        <f ca="1">IFERROR(__xludf.DUMMYFUNCTION("""COMPUTED_VALUE"""),0.684)</f>
        <v>0.68400000000000005</v>
      </c>
      <c r="Z19" s="3">
        <f ca="1">IFERROR(__xludf.DUMMYFUNCTION("""COMPUTED_VALUE"""),259)</f>
        <v>259</v>
      </c>
      <c r="AA19" s="3">
        <f ca="1">IFERROR(__xludf.DUMMYFUNCTION("""COMPUTED_VALUE"""),1125)</f>
        <v>1125</v>
      </c>
      <c r="AB19" s="3">
        <f ca="1">IFERROR(__xludf.DUMMYFUNCTION("""COMPUTED_VALUE"""),499)</f>
        <v>499</v>
      </c>
      <c r="AC19" s="3">
        <f ca="1">IFERROR(__xludf.DUMMYFUNCTION("""COMPUTED_VALUE"""),198)</f>
        <v>198</v>
      </c>
      <c r="AD19" s="3">
        <f ca="1">IFERROR(__xludf.DUMMYFUNCTION("""COMPUTED_VALUE"""),50)</f>
        <v>50</v>
      </c>
      <c r="AE19" s="3">
        <f ca="1">IFERROR(__xludf.DUMMYFUNCTION("""COMPUTED_VALUE"""),376)</f>
        <v>376</v>
      </c>
      <c r="AF19" s="3">
        <f ca="1">IFERROR(__xludf.DUMMYFUNCTION("""COMPUTED_VALUE"""),544)</f>
        <v>544</v>
      </c>
    </row>
    <row r="20" spans="1:32" x14ac:dyDescent="0.25">
      <c r="A20" s="3" t="str">
        <f ca="1">IFERROR(__xludf.DUMMYFUNCTION("""COMPUTED_VALUE"""),"AuburnNCAA")</f>
        <v>AuburnNCAA</v>
      </c>
      <c r="B20" s="3">
        <f ca="1">IFERROR(__xludf.DUMMYFUNCTION("""COMPUTED_VALUE"""),40)</f>
        <v>40</v>
      </c>
      <c r="C20" s="3">
        <f ca="1">IFERROR(__xludf.DUMMYFUNCTION("""COMPUTED_VALUE"""),30)</f>
        <v>30</v>
      </c>
      <c r="D20" s="3">
        <f ca="1">IFERROR(__xludf.DUMMYFUNCTION("""COMPUTED_VALUE"""),10)</f>
        <v>10</v>
      </c>
      <c r="E20" s="3">
        <f ca="1">IFERROR(__xludf.DUMMYFUNCTION("""COMPUTED_VALUE"""),0.75)</f>
        <v>0.75</v>
      </c>
      <c r="F20" s="3">
        <f ca="1">IFERROR(__xludf.DUMMYFUNCTION("""COMPUTED_VALUE"""),20.84)</f>
        <v>20.84</v>
      </c>
      <c r="G20" s="3">
        <f ca="1">IFERROR(__xludf.DUMMYFUNCTION("""COMPUTED_VALUE"""),10.92)</f>
        <v>10.92</v>
      </c>
      <c r="H20" s="3">
        <f ca="1">IFERROR(__xludf.DUMMYFUNCTION("""COMPUTED_VALUE"""),11)</f>
        <v>11</v>
      </c>
      <c r="I20" s="3">
        <f ca="1">IFERROR(__xludf.DUMMYFUNCTION("""COMPUTED_VALUE"""),7)</f>
        <v>7</v>
      </c>
      <c r="J20" s="3">
        <f ca="1">IFERROR(__xludf.DUMMYFUNCTION("""COMPUTED_VALUE"""),15)</f>
        <v>15</v>
      </c>
      <c r="K20" s="3">
        <f ca="1">IFERROR(__xludf.DUMMYFUNCTION("""COMPUTED_VALUE"""),2)</f>
        <v>2</v>
      </c>
      <c r="L20" s="3">
        <f ca="1">IFERROR(__xludf.DUMMYFUNCTION("""COMPUTED_VALUE"""),4)</f>
        <v>4</v>
      </c>
      <c r="M20" s="3">
        <f ca="1">IFERROR(__xludf.DUMMYFUNCTION("""COMPUTED_VALUE"""),6)</f>
        <v>6</v>
      </c>
      <c r="N20" s="3">
        <f ca="1">IFERROR(__xludf.DUMMYFUNCTION("""COMPUTED_VALUE"""),3188)</f>
        <v>3188</v>
      </c>
      <c r="O20" s="3">
        <f ca="1">IFERROR(__xludf.DUMMYFUNCTION("""COMPUTED_VALUE"""),2750)</f>
        <v>2750</v>
      </c>
      <c r="P20" s="3">
        <f ca="1">IFERROR(__xludf.DUMMYFUNCTION("""COMPUTED_VALUE"""),1615)</f>
        <v>1615</v>
      </c>
      <c r="Q20" s="3">
        <f ca="1">IFERROR(__xludf.DUMMYFUNCTION("""COMPUTED_VALUE"""),1097)</f>
        <v>1097</v>
      </c>
      <c r="R20" s="3">
        <f ca="1">IFERROR(__xludf.DUMMYFUNCTION("""COMPUTED_VALUE"""),2439)</f>
        <v>2439</v>
      </c>
      <c r="S20" s="3">
        <f ca="1">IFERROR(__xludf.DUMMYFUNCTION("""COMPUTED_VALUE"""),0.45)</f>
        <v>0.45</v>
      </c>
      <c r="T20" s="3">
        <f ca="1">IFERROR(__xludf.DUMMYFUNCTION("""COMPUTED_VALUE"""),454)</f>
        <v>454</v>
      </c>
      <c r="U20" s="3">
        <f ca="1">IFERROR(__xludf.DUMMYFUNCTION("""COMPUTED_VALUE"""),1204)</f>
        <v>1204</v>
      </c>
      <c r="V20" s="3">
        <f ca="1">IFERROR(__xludf.DUMMYFUNCTION("""COMPUTED_VALUE"""),0.377)</f>
        <v>0.377</v>
      </c>
      <c r="W20" s="3">
        <f ca="1">IFERROR(__xludf.DUMMYFUNCTION("""COMPUTED_VALUE"""),540)</f>
        <v>540</v>
      </c>
      <c r="X20" s="3">
        <f ca="1">IFERROR(__xludf.DUMMYFUNCTION("""COMPUTED_VALUE"""),760)</f>
        <v>760</v>
      </c>
      <c r="Y20" s="3">
        <f ca="1">IFERROR(__xludf.DUMMYFUNCTION("""COMPUTED_VALUE"""),0.711)</f>
        <v>0.71099999999999997</v>
      </c>
      <c r="Z20" s="3">
        <f ca="1">IFERROR(__xludf.DUMMYFUNCTION("""COMPUTED_VALUE"""),457)</f>
        <v>457</v>
      </c>
      <c r="AA20" s="3">
        <f ca="1">IFERROR(__xludf.DUMMYFUNCTION("""COMPUTED_VALUE"""),1369)</f>
        <v>1369</v>
      </c>
      <c r="AB20" s="3">
        <f ca="1">IFERROR(__xludf.DUMMYFUNCTION("""COMPUTED_VALUE"""),572)</f>
        <v>572</v>
      </c>
      <c r="AC20" s="3">
        <f ca="1">IFERROR(__xludf.DUMMYFUNCTION("""COMPUTED_VALUE"""),369)</f>
        <v>369</v>
      </c>
      <c r="AD20" s="3">
        <f ca="1">IFERROR(__xludf.DUMMYFUNCTION("""COMPUTED_VALUE"""),190)</f>
        <v>190</v>
      </c>
      <c r="AE20" s="3">
        <f ca="1">IFERROR(__xludf.DUMMYFUNCTION("""COMPUTED_VALUE"""),466)</f>
        <v>466</v>
      </c>
      <c r="AF20" s="3">
        <f ca="1">IFERROR(__xludf.DUMMYFUNCTION("""COMPUTED_VALUE"""),731)</f>
        <v>731</v>
      </c>
    </row>
    <row r="21" spans="1:32" x14ac:dyDescent="0.25">
      <c r="A21" s="3" t="str">
        <f ca="1">IFERROR(__xludf.DUMMYFUNCTION("""COMPUTED_VALUE"""),"Austin Peay")</f>
        <v>Austin Peay</v>
      </c>
      <c r="B21" s="3">
        <f ca="1">IFERROR(__xludf.DUMMYFUNCTION("""COMPUTED_VALUE"""),33)</f>
        <v>33</v>
      </c>
      <c r="C21" s="3">
        <f ca="1">IFERROR(__xludf.DUMMYFUNCTION("""COMPUTED_VALUE"""),22)</f>
        <v>22</v>
      </c>
      <c r="D21" s="3">
        <f ca="1">IFERROR(__xludf.DUMMYFUNCTION("""COMPUTED_VALUE"""),11)</f>
        <v>11</v>
      </c>
      <c r="E21" s="3">
        <f ca="1">IFERROR(__xludf.DUMMYFUNCTION("""COMPUTED_VALUE"""),0.667)</f>
        <v>0.66700000000000004</v>
      </c>
      <c r="F21" s="3">
        <f ca="1">IFERROR(__xludf.DUMMYFUNCTION("""COMPUTED_VALUE"""),0.59)</f>
        <v>0.59</v>
      </c>
      <c r="G21" s="3">
        <f ca="1">IFERROR(__xludf.DUMMYFUNCTION("""COMPUTED_VALUE"""),-4.41)</f>
        <v>-4.41</v>
      </c>
      <c r="H21" s="3">
        <f ca="1">IFERROR(__xludf.DUMMYFUNCTION("""COMPUTED_VALUE"""),13)</f>
        <v>13</v>
      </c>
      <c r="I21" s="3">
        <f ca="1">IFERROR(__xludf.DUMMYFUNCTION("""COMPUTED_VALUE"""),5)</f>
        <v>5</v>
      </c>
      <c r="J21" s="3">
        <f ca="1">IFERROR(__xludf.DUMMYFUNCTION("""COMPUTED_VALUE"""),10)</f>
        <v>10</v>
      </c>
      <c r="K21" s="3">
        <f ca="1">IFERROR(__xludf.DUMMYFUNCTION("""COMPUTED_VALUE"""),2)</f>
        <v>2</v>
      </c>
      <c r="L21" s="3">
        <f ca="1">IFERROR(__xludf.DUMMYFUNCTION("""COMPUTED_VALUE"""),8)</f>
        <v>8</v>
      </c>
      <c r="M21" s="3">
        <f ca="1">IFERROR(__xludf.DUMMYFUNCTION("""COMPUTED_VALUE"""),7)</f>
        <v>7</v>
      </c>
      <c r="N21" s="3">
        <f ca="1">IFERROR(__xludf.DUMMYFUNCTION("""COMPUTED_VALUE"""),2712)</f>
        <v>2712</v>
      </c>
      <c r="O21" s="3">
        <f ca="1">IFERROR(__xludf.DUMMYFUNCTION("""COMPUTED_VALUE"""),2413)</f>
        <v>2413</v>
      </c>
      <c r="P21" s="3">
        <f ca="1">IFERROR(__xludf.DUMMYFUNCTION("""COMPUTED_VALUE"""),1335)</f>
        <v>1335</v>
      </c>
      <c r="Q21" s="3">
        <f ca="1">IFERROR(__xludf.DUMMYFUNCTION("""COMPUTED_VALUE"""),973)</f>
        <v>973</v>
      </c>
      <c r="R21" s="3">
        <f ca="1">IFERROR(__xludf.DUMMYFUNCTION("""COMPUTED_VALUE"""),2060)</f>
        <v>2060</v>
      </c>
      <c r="S21" s="3">
        <f ca="1">IFERROR(__xludf.DUMMYFUNCTION("""COMPUTED_VALUE"""),0.472)</f>
        <v>0.47199999999999998</v>
      </c>
      <c r="T21" s="3">
        <f ca="1">IFERROR(__xludf.DUMMYFUNCTION("""COMPUTED_VALUE"""),268)</f>
        <v>268</v>
      </c>
      <c r="U21" s="3">
        <f ca="1">IFERROR(__xludf.DUMMYFUNCTION("""COMPUTED_VALUE"""),702)</f>
        <v>702</v>
      </c>
      <c r="V21" s="3">
        <f ca="1">IFERROR(__xludf.DUMMYFUNCTION("""COMPUTED_VALUE"""),0.382)</f>
        <v>0.38200000000000001</v>
      </c>
      <c r="W21" s="3">
        <f ca="1">IFERROR(__xludf.DUMMYFUNCTION("""COMPUTED_VALUE"""),498)</f>
        <v>498</v>
      </c>
      <c r="X21" s="3">
        <f ca="1">IFERROR(__xludf.DUMMYFUNCTION("""COMPUTED_VALUE"""),705)</f>
        <v>705</v>
      </c>
      <c r="Y21" s="3">
        <f ca="1">IFERROR(__xludf.DUMMYFUNCTION("""COMPUTED_VALUE"""),0.706)</f>
        <v>0.70599999999999996</v>
      </c>
      <c r="Z21" s="3">
        <f ca="1">IFERROR(__xludf.DUMMYFUNCTION("""COMPUTED_VALUE"""),397)</f>
        <v>397</v>
      </c>
      <c r="AA21" s="3">
        <f ca="1">IFERROR(__xludf.DUMMYFUNCTION("""COMPUTED_VALUE"""),1215)</f>
        <v>1215</v>
      </c>
      <c r="AB21" s="3">
        <f ca="1">IFERROR(__xludf.DUMMYFUNCTION("""COMPUTED_VALUE"""),454)</f>
        <v>454</v>
      </c>
      <c r="AC21" s="3">
        <f ca="1">IFERROR(__xludf.DUMMYFUNCTION("""COMPUTED_VALUE"""),252)</f>
        <v>252</v>
      </c>
      <c r="AD21" s="3">
        <f ca="1">IFERROR(__xludf.DUMMYFUNCTION("""COMPUTED_VALUE"""),110)</f>
        <v>110</v>
      </c>
      <c r="AE21" s="3">
        <f ca="1">IFERROR(__xludf.DUMMYFUNCTION("""COMPUTED_VALUE"""),392)</f>
        <v>392</v>
      </c>
      <c r="AF21" s="3">
        <f ca="1">IFERROR(__xludf.DUMMYFUNCTION("""COMPUTED_VALUE"""),596)</f>
        <v>596</v>
      </c>
    </row>
    <row r="22" spans="1:32" x14ac:dyDescent="0.25">
      <c r="A22" s="3" t="str">
        <f ca="1">IFERROR(__xludf.DUMMYFUNCTION("""COMPUTED_VALUE"""),"Overall")</f>
        <v>Overall</v>
      </c>
      <c r="B22" s="3" t="str">
        <f ca="1">IFERROR(__xludf.DUMMYFUNCTION("""COMPUTED_VALUE"""),"Conf.")</f>
        <v>Conf.</v>
      </c>
      <c r="C22" s="3" t="str">
        <f ca="1">IFERROR(__xludf.DUMMYFUNCTION("""COMPUTED_VALUE"""),"Home")</f>
        <v>Home</v>
      </c>
      <c r="D22" s="3" t="str">
        <f ca="1">IFERROR(__xludf.DUMMYFUNCTION("""COMPUTED_VALUE"""),"Away")</f>
        <v>Away</v>
      </c>
      <c r="E22" s="3" t="str">
        <f ca="1">IFERROR(__xludf.DUMMYFUNCTION("""COMPUTED_VALUE"""),"Points")</f>
        <v>Points</v>
      </c>
      <c r="F22" s="3" t="str">
        <f ca="1">IFERROR(__xludf.DUMMYFUNCTION("""COMPUTED_VALUE"""),"")</f>
        <v/>
      </c>
      <c r="G22" s="3" t="str">
        <f ca="1">IFERROR(__xludf.DUMMYFUNCTION("""COMPUTED_VALUE"""),"School Totals")</f>
        <v>School Totals</v>
      </c>
      <c r="H22" s="3" t="str">
        <f ca="1">IFERROR(__xludf.DUMMYFUNCTION("""COMPUTED_VALUE"""),"")</f>
        <v/>
      </c>
      <c r="I22" s="3" t="str">
        <f ca="1">IFERROR(__xludf.DUMMYFUNCTION("""COMPUTED_VALUE"""),"")</f>
        <v/>
      </c>
      <c r="J22" s="3" t="str">
        <f ca="1">IFERROR(__xludf.DUMMYFUNCTION("""COMPUTED_VALUE"""),"")</f>
        <v/>
      </c>
      <c r="K22" s="3" t="str">
        <f ca="1">IFERROR(__xludf.DUMMYFUNCTION("""COMPUTED_VALUE"""),"")</f>
        <v/>
      </c>
      <c r="L22" s="3" t="str">
        <f ca="1">IFERROR(__xludf.DUMMYFUNCTION("""COMPUTED_VALUE"""),"")</f>
        <v/>
      </c>
      <c r="M22" s="3" t="str">
        <f ca="1">IFERROR(__xludf.DUMMYFUNCTION("""COMPUTED_VALUE"""),"")</f>
        <v/>
      </c>
      <c r="N22" s="3" t="str">
        <f ca="1">IFERROR(__xludf.DUMMYFUNCTION("""COMPUTED_VALUE"""),"")</f>
        <v/>
      </c>
      <c r="O22" s="3" t="str">
        <f ca="1">IFERROR(__xludf.DUMMYFUNCTION("""COMPUTED_VALUE"""),"")</f>
        <v/>
      </c>
      <c r="P22" s="3" t="str">
        <f ca="1">IFERROR(__xludf.DUMMYFUNCTION("""COMPUTED_VALUE"""),"")</f>
        <v/>
      </c>
      <c r="Q22" s="3" t="str">
        <f ca="1">IFERROR(__xludf.DUMMYFUNCTION("""COMPUTED_VALUE"""),"")</f>
        <v/>
      </c>
      <c r="R22" s="3" t="str">
        <f ca="1">IFERROR(__xludf.DUMMYFUNCTION("""COMPUTED_VALUE"""),"")</f>
        <v/>
      </c>
      <c r="S22" s="3" t="str">
        <f ca="1">IFERROR(__xludf.DUMMYFUNCTION("""COMPUTED_VALUE"""),"")</f>
        <v/>
      </c>
      <c r="T22" s="3" t="str">
        <f ca="1">IFERROR(__xludf.DUMMYFUNCTION("""COMPUTED_VALUE"""),"")</f>
        <v/>
      </c>
      <c r="U22" s="3" t="str">
        <f ca="1">IFERROR(__xludf.DUMMYFUNCTION("""COMPUTED_VALUE"""),"")</f>
        <v/>
      </c>
      <c r="V22" s="3" t="str">
        <f ca="1">IFERROR(__xludf.DUMMYFUNCTION("""COMPUTED_VALUE"""),"")</f>
        <v/>
      </c>
      <c r="W22" s="3" t="str">
        <f ca="1">IFERROR(__xludf.DUMMYFUNCTION("""COMPUTED_VALUE"""),"")</f>
        <v/>
      </c>
      <c r="X22" s="3" t="str">
        <f ca="1">IFERROR(__xludf.DUMMYFUNCTION("""COMPUTED_VALUE"""),"")</f>
        <v/>
      </c>
      <c r="Y22" s="3" t="str">
        <f ca="1">IFERROR(__xludf.DUMMYFUNCTION("""COMPUTED_VALUE"""),"")</f>
        <v/>
      </c>
      <c r="Z22" s="3" t="str">
        <f ca="1">IFERROR(__xludf.DUMMYFUNCTION("""COMPUTED_VALUE"""),"")</f>
        <v/>
      </c>
      <c r="AA22" s="3" t="str">
        <f ca="1">IFERROR(__xludf.DUMMYFUNCTION("""COMPUTED_VALUE"""),"")</f>
        <v/>
      </c>
      <c r="AB22" s="3" t="str">
        <f ca="1">IFERROR(__xludf.DUMMYFUNCTION("""COMPUTED_VALUE"""),"")</f>
        <v/>
      </c>
      <c r="AC22" s="3" t="str">
        <f ca="1">IFERROR(__xludf.DUMMYFUNCTION("""COMPUTED_VALUE"""),"")</f>
        <v/>
      </c>
      <c r="AD22" s="3" t="str">
        <f ca="1">IFERROR(__xludf.DUMMYFUNCTION("""COMPUTED_VALUE"""),"")</f>
        <v/>
      </c>
      <c r="AE22" s="3" t="str">
        <f ca="1">IFERROR(__xludf.DUMMYFUNCTION("""COMPUTED_VALUE"""),"")</f>
        <v/>
      </c>
      <c r="AF22" s="3" t="str">
        <f ca="1">IFERROR(__xludf.DUMMYFUNCTION("""COMPUTED_VALUE"""),"")</f>
        <v/>
      </c>
    </row>
    <row r="23" spans="1:32" x14ac:dyDescent="0.25">
      <c r="A23" s="3" t="str">
        <f ca="1">IFERROR(__xludf.DUMMYFUNCTION("""COMPUTED_VALUE"""),"School")</f>
        <v>School</v>
      </c>
      <c r="B23" s="3" t="str">
        <f ca="1">IFERROR(__xludf.DUMMYFUNCTION("""COMPUTED_VALUE"""),"G")</f>
        <v>G</v>
      </c>
      <c r="C23" s="3" t="str">
        <f ca="1">IFERROR(__xludf.DUMMYFUNCTION("""COMPUTED_VALUE"""),"W")</f>
        <v>W</v>
      </c>
      <c r="D23" s="3" t="str">
        <f ca="1">IFERROR(__xludf.DUMMYFUNCTION("""COMPUTED_VALUE"""),"L")</f>
        <v>L</v>
      </c>
      <c r="E23" s="3" t="str">
        <f ca="1">IFERROR(__xludf.DUMMYFUNCTION("""COMPUTED_VALUE"""),"W-L%")</f>
        <v>W-L%</v>
      </c>
      <c r="F23" s="3" t="str">
        <f ca="1">IFERROR(__xludf.DUMMYFUNCTION("""COMPUTED_VALUE"""),"SRS")</f>
        <v>SRS</v>
      </c>
      <c r="G23" s="3" t="str">
        <f ca="1">IFERROR(__xludf.DUMMYFUNCTION("""COMPUTED_VALUE"""),"SOS")</f>
        <v>SOS</v>
      </c>
      <c r="H23" s="3" t="str">
        <f ca="1">IFERROR(__xludf.DUMMYFUNCTION("""COMPUTED_VALUE"""),"W")</f>
        <v>W</v>
      </c>
      <c r="I23" s="3" t="str">
        <f ca="1">IFERROR(__xludf.DUMMYFUNCTION("""COMPUTED_VALUE"""),"L")</f>
        <v>L</v>
      </c>
      <c r="J23" s="3" t="str">
        <f ca="1">IFERROR(__xludf.DUMMYFUNCTION("""COMPUTED_VALUE"""),"W")</f>
        <v>W</v>
      </c>
      <c r="K23" s="3" t="str">
        <f ca="1">IFERROR(__xludf.DUMMYFUNCTION("""COMPUTED_VALUE"""),"L")</f>
        <v>L</v>
      </c>
      <c r="L23" s="3" t="str">
        <f ca="1">IFERROR(__xludf.DUMMYFUNCTION("""COMPUTED_VALUE"""),"W")</f>
        <v>W</v>
      </c>
      <c r="M23" s="3" t="str">
        <f ca="1">IFERROR(__xludf.DUMMYFUNCTION("""COMPUTED_VALUE"""),"L")</f>
        <v>L</v>
      </c>
      <c r="N23" s="3" t="str">
        <f ca="1">IFERROR(__xludf.DUMMYFUNCTION("""COMPUTED_VALUE"""),"Tm.")</f>
        <v>Tm.</v>
      </c>
      <c r="O23" s="3" t="str">
        <f ca="1">IFERROR(__xludf.DUMMYFUNCTION("""COMPUTED_VALUE"""),"Opp.")</f>
        <v>Opp.</v>
      </c>
      <c r="P23" s="3" t="str">
        <f ca="1">IFERROR(__xludf.DUMMYFUNCTION("""COMPUTED_VALUE"""),"MP")</f>
        <v>MP</v>
      </c>
      <c r="Q23" s="3" t="str">
        <f ca="1">IFERROR(__xludf.DUMMYFUNCTION("""COMPUTED_VALUE"""),"FG")</f>
        <v>FG</v>
      </c>
      <c r="R23" s="3" t="str">
        <f ca="1">IFERROR(__xludf.DUMMYFUNCTION("""COMPUTED_VALUE"""),"FGA")</f>
        <v>FGA</v>
      </c>
      <c r="S23" s="3" t="str">
        <f ca="1">IFERROR(__xludf.DUMMYFUNCTION("""COMPUTED_VALUE"""),"FG%")</f>
        <v>FG%</v>
      </c>
      <c r="T23" s="3" t="str">
        <f ca="1">IFERROR(__xludf.DUMMYFUNCTION("""COMPUTED_VALUE"""),"3P")</f>
        <v>3P</v>
      </c>
      <c r="U23" s="3" t="str">
        <f ca="1">IFERROR(__xludf.DUMMYFUNCTION("""COMPUTED_VALUE"""),"3PA")</f>
        <v>3PA</v>
      </c>
      <c r="V23" s="3" t="str">
        <f ca="1">IFERROR(__xludf.DUMMYFUNCTION("""COMPUTED_VALUE"""),"3P%")</f>
        <v>3P%</v>
      </c>
      <c r="W23" s="3" t="str">
        <f ca="1">IFERROR(__xludf.DUMMYFUNCTION("""COMPUTED_VALUE"""),"FT")</f>
        <v>FT</v>
      </c>
      <c r="X23" s="3" t="str">
        <f ca="1">IFERROR(__xludf.DUMMYFUNCTION("""COMPUTED_VALUE"""),"FTA")</f>
        <v>FTA</v>
      </c>
      <c r="Y23" s="3" t="str">
        <f ca="1">IFERROR(__xludf.DUMMYFUNCTION("""COMPUTED_VALUE"""),"FT%")</f>
        <v>FT%</v>
      </c>
      <c r="Z23" s="3" t="str">
        <f ca="1">IFERROR(__xludf.DUMMYFUNCTION("""COMPUTED_VALUE"""),"ORB")</f>
        <v>ORB</v>
      </c>
      <c r="AA23" s="3" t="str">
        <f ca="1">IFERROR(__xludf.DUMMYFUNCTION("""COMPUTED_VALUE"""),"TRB")</f>
        <v>TRB</v>
      </c>
      <c r="AB23" s="3" t="str">
        <f ca="1">IFERROR(__xludf.DUMMYFUNCTION("""COMPUTED_VALUE"""),"AST")</f>
        <v>AST</v>
      </c>
      <c r="AC23" s="3" t="str">
        <f ca="1">IFERROR(__xludf.DUMMYFUNCTION("""COMPUTED_VALUE"""),"STL")</f>
        <v>STL</v>
      </c>
      <c r="AD23" s="3" t="str">
        <f ca="1">IFERROR(__xludf.DUMMYFUNCTION("""COMPUTED_VALUE"""),"BLK")</f>
        <v>BLK</v>
      </c>
      <c r="AE23" s="3" t="str">
        <f ca="1">IFERROR(__xludf.DUMMYFUNCTION("""COMPUTED_VALUE"""),"TOV")</f>
        <v>TOV</v>
      </c>
      <c r="AF23" s="3" t="str">
        <f ca="1">IFERROR(__xludf.DUMMYFUNCTION("""COMPUTED_VALUE"""),"PF")</f>
        <v>PF</v>
      </c>
    </row>
    <row r="24" spans="1:32" x14ac:dyDescent="0.25">
      <c r="A24" s="3" t="str">
        <f ca="1">IFERROR(__xludf.DUMMYFUNCTION("""COMPUTED_VALUE"""),"Ball State")</f>
        <v>Ball State</v>
      </c>
      <c r="B24" s="3">
        <f ca="1">IFERROR(__xludf.DUMMYFUNCTION("""COMPUTED_VALUE"""),33)</f>
        <v>33</v>
      </c>
      <c r="C24" s="3">
        <f ca="1">IFERROR(__xludf.DUMMYFUNCTION("""COMPUTED_VALUE"""),16)</f>
        <v>16</v>
      </c>
      <c r="D24" s="3">
        <f ca="1">IFERROR(__xludf.DUMMYFUNCTION("""COMPUTED_VALUE"""),17)</f>
        <v>17</v>
      </c>
      <c r="E24" s="3">
        <f ca="1">IFERROR(__xludf.DUMMYFUNCTION("""COMPUTED_VALUE"""),0.485)</f>
        <v>0.48499999999999999</v>
      </c>
      <c r="F24" s="3">
        <f ca="1">IFERROR(__xludf.DUMMYFUNCTION("""COMPUTED_VALUE"""),3.39)</f>
        <v>3.39</v>
      </c>
      <c r="G24" s="3">
        <f ca="1">IFERROR(__xludf.DUMMYFUNCTION("""COMPUTED_VALUE"""),1.21)</f>
        <v>1.21</v>
      </c>
      <c r="H24" s="3">
        <f ca="1">IFERROR(__xludf.DUMMYFUNCTION("""COMPUTED_VALUE"""),6)</f>
        <v>6</v>
      </c>
      <c r="I24" s="3">
        <f ca="1">IFERROR(__xludf.DUMMYFUNCTION("""COMPUTED_VALUE"""),12)</f>
        <v>12</v>
      </c>
      <c r="J24" s="3">
        <f ca="1">IFERROR(__xludf.DUMMYFUNCTION("""COMPUTED_VALUE"""),7)</f>
        <v>7</v>
      </c>
      <c r="K24" s="3">
        <f ca="1">IFERROR(__xludf.DUMMYFUNCTION("""COMPUTED_VALUE"""),7)</f>
        <v>7</v>
      </c>
      <c r="L24" s="3">
        <f ca="1">IFERROR(__xludf.DUMMYFUNCTION("""COMPUTED_VALUE"""),8)</f>
        <v>8</v>
      </c>
      <c r="M24" s="3">
        <f ca="1">IFERROR(__xludf.DUMMYFUNCTION("""COMPUTED_VALUE"""),7)</f>
        <v>7</v>
      </c>
      <c r="N24" s="3">
        <f ca="1">IFERROR(__xludf.DUMMYFUNCTION("""COMPUTED_VALUE"""),2478)</f>
        <v>2478</v>
      </c>
      <c r="O24" s="3">
        <f ca="1">IFERROR(__xludf.DUMMYFUNCTION("""COMPUTED_VALUE"""),2362)</f>
        <v>2362</v>
      </c>
      <c r="P24" s="3">
        <f ca="1">IFERROR(__xludf.DUMMYFUNCTION("""COMPUTED_VALUE"""),1340)</f>
        <v>1340</v>
      </c>
      <c r="Q24" s="3">
        <f ca="1">IFERROR(__xludf.DUMMYFUNCTION("""COMPUTED_VALUE"""),889)</f>
        <v>889</v>
      </c>
      <c r="R24" s="3">
        <f ca="1">IFERROR(__xludf.DUMMYFUNCTION("""COMPUTED_VALUE"""),1892)</f>
        <v>1892</v>
      </c>
      <c r="S24" s="3">
        <f ca="1">IFERROR(__xludf.DUMMYFUNCTION("""COMPUTED_VALUE"""),0.47)</f>
        <v>0.47</v>
      </c>
      <c r="T24" s="3">
        <f ca="1">IFERROR(__xludf.DUMMYFUNCTION("""COMPUTED_VALUE"""),202)</f>
        <v>202</v>
      </c>
      <c r="U24" s="3">
        <f ca="1">IFERROR(__xludf.DUMMYFUNCTION("""COMPUTED_VALUE"""),621)</f>
        <v>621</v>
      </c>
      <c r="V24" s="3">
        <f ca="1">IFERROR(__xludf.DUMMYFUNCTION("""COMPUTED_VALUE"""),0.325)</f>
        <v>0.32500000000000001</v>
      </c>
      <c r="W24" s="3">
        <f ca="1">IFERROR(__xludf.DUMMYFUNCTION("""COMPUTED_VALUE"""),498)</f>
        <v>498</v>
      </c>
      <c r="X24" s="3">
        <f ca="1">IFERROR(__xludf.DUMMYFUNCTION("""COMPUTED_VALUE"""),709)</f>
        <v>709</v>
      </c>
      <c r="Y24" s="3">
        <f ca="1">IFERROR(__xludf.DUMMYFUNCTION("""COMPUTED_VALUE"""),0.702)</f>
        <v>0.70199999999999996</v>
      </c>
      <c r="Z24" s="3">
        <f ca="1">IFERROR(__xludf.DUMMYFUNCTION("""COMPUTED_VALUE"""),308)</f>
        <v>308</v>
      </c>
      <c r="AA24" s="3">
        <f ca="1">IFERROR(__xludf.DUMMYFUNCTION("""COMPUTED_VALUE"""),1243)</f>
        <v>1243</v>
      </c>
      <c r="AB24" s="3">
        <f ca="1">IFERROR(__xludf.DUMMYFUNCTION("""COMPUTED_VALUE"""),426)</f>
        <v>426</v>
      </c>
      <c r="AC24" s="3">
        <f ca="1">IFERROR(__xludf.DUMMYFUNCTION("""COMPUTED_VALUE"""),217)</f>
        <v>217</v>
      </c>
      <c r="AD24" s="3">
        <f ca="1">IFERROR(__xludf.DUMMYFUNCTION("""COMPUTED_VALUE"""),118)</f>
        <v>118</v>
      </c>
      <c r="AE24" s="3">
        <f ca="1">IFERROR(__xludf.DUMMYFUNCTION("""COMPUTED_VALUE"""),480)</f>
        <v>480</v>
      </c>
      <c r="AF24" s="3">
        <f ca="1">IFERROR(__xludf.DUMMYFUNCTION("""COMPUTED_VALUE"""),579)</f>
        <v>579</v>
      </c>
    </row>
    <row r="25" spans="1:32" x14ac:dyDescent="0.25">
      <c r="A25" s="3" t="str">
        <f ca="1">IFERROR(__xludf.DUMMYFUNCTION("""COMPUTED_VALUE"""),"BaylorNCAA")</f>
        <v>BaylorNCAA</v>
      </c>
      <c r="B25" s="3">
        <f ca="1">IFERROR(__xludf.DUMMYFUNCTION("""COMPUTED_VALUE"""),34)</f>
        <v>34</v>
      </c>
      <c r="C25" s="3">
        <f ca="1">IFERROR(__xludf.DUMMYFUNCTION("""COMPUTED_VALUE"""),20)</f>
        <v>20</v>
      </c>
      <c r="D25" s="3">
        <f ca="1">IFERROR(__xludf.DUMMYFUNCTION("""COMPUTED_VALUE"""),14)</f>
        <v>14</v>
      </c>
      <c r="E25" s="3">
        <f ca="1">IFERROR(__xludf.DUMMYFUNCTION("""COMPUTED_VALUE"""),0.588)</f>
        <v>0.58799999999999997</v>
      </c>
      <c r="F25" s="3">
        <f ca="1">IFERROR(__xludf.DUMMYFUNCTION("""COMPUTED_VALUE"""),13.38)</f>
        <v>13.38</v>
      </c>
      <c r="G25" s="3">
        <f ca="1">IFERROR(__xludf.DUMMYFUNCTION("""COMPUTED_VALUE"""),9.26)</f>
        <v>9.26</v>
      </c>
      <c r="H25" s="3">
        <f ca="1">IFERROR(__xludf.DUMMYFUNCTION("""COMPUTED_VALUE"""),10)</f>
        <v>10</v>
      </c>
      <c r="I25" s="3">
        <f ca="1">IFERROR(__xludf.DUMMYFUNCTION("""COMPUTED_VALUE"""),8)</f>
        <v>8</v>
      </c>
      <c r="J25" s="3">
        <f ca="1">IFERROR(__xludf.DUMMYFUNCTION("""COMPUTED_VALUE"""),13)</f>
        <v>13</v>
      </c>
      <c r="K25" s="3">
        <f ca="1">IFERROR(__xludf.DUMMYFUNCTION("""COMPUTED_VALUE"""),5)</f>
        <v>5</v>
      </c>
      <c r="L25" s="3">
        <f ca="1">IFERROR(__xludf.DUMMYFUNCTION("""COMPUTED_VALUE"""),5)</f>
        <v>5</v>
      </c>
      <c r="M25" s="3">
        <f ca="1">IFERROR(__xludf.DUMMYFUNCTION("""COMPUTED_VALUE"""),6)</f>
        <v>6</v>
      </c>
      <c r="N25" s="3">
        <f ca="1">IFERROR(__xludf.DUMMYFUNCTION("""COMPUTED_VALUE"""),2442)</f>
        <v>2442</v>
      </c>
      <c r="O25" s="3">
        <f ca="1">IFERROR(__xludf.DUMMYFUNCTION("""COMPUTED_VALUE"""),2302)</f>
        <v>2302</v>
      </c>
      <c r="P25" s="3">
        <f ca="1">IFERROR(__xludf.DUMMYFUNCTION("""COMPUTED_VALUE"""),1365)</f>
        <v>1365</v>
      </c>
      <c r="Q25" s="3">
        <f ca="1">IFERROR(__xludf.DUMMYFUNCTION("""COMPUTED_VALUE"""),869)</f>
        <v>869</v>
      </c>
      <c r="R25" s="3">
        <f ca="1">IFERROR(__xludf.DUMMYFUNCTION("""COMPUTED_VALUE"""),1966)</f>
        <v>1966</v>
      </c>
      <c r="S25" s="3">
        <f ca="1">IFERROR(__xludf.DUMMYFUNCTION("""COMPUTED_VALUE"""),0.442)</f>
        <v>0.442</v>
      </c>
      <c r="T25" s="3">
        <f ca="1">IFERROR(__xludf.DUMMYFUNCTION("""COMPUTED_VALUE"""),274)</f>
        <v>274</v>
      </c>
      <c r="U25" s="3">
        <f ca="1">IFERROR(__xludf.DUMMYFUNCTION("""COMPUTED_VALUE"""),803)</f>
        <v>803</v>
      </c>
      <c r="V25" s="3">
        <f ca="1">IFERROR(__xludf.DUMMYFUNCTION("""COMPUTED_VALUE"""),0.341)</f>
        <v>0.34100000000000003</v>
      </c>
      <c r="W25" s="3">
        <f ca="1">IFERROR(__xludf.DUMMYFUNCTION("""COMPUTED_VALUE"""),430)</f>
        <v>430</v>
      </c>
      <c r="X25" s="3">
        <f ca="1">IFERROR(__xludf.DUMMYFUNCTION("""COMPUTED_VALUE"""),635)</f>
        <v>635</v>
      </c>
      <c r="Y25" s="3">
        <f ca="1">IFERROR(__xludf.DUMMYFUNCTION("""COMPUTED_VALUE"""),0.677)</f>
        <v>0.67700000000000005</v>
      </c>
      <c r="Z25" s="3">
        <f ca="1">IFERROR(__xludf.DUMMYFUNCTION("""COMPUTED_VALUE"""),450)</f>
        <v>450</v>
      </c>
      <c r="AA25" s="3">
        <f ca="1">IFERROR(__xludf.DUMMYFUNCTION("""COMPUTED_VALUE"""),1281)</f>
        <v>1281</v>
      </c>
      <c r="AB25" s="3">
        <f ca="1">IFERROR(__xludf.DUMMYFUNCTION("""COMPUTED_VALUE"""),473)</f>
        <v>473</v>
      </c>
      <c r="AC25" s="3">
        <f ca="1">IFERROR(__xludf.DUMMYFUNCTION("""COMPUTED_VALUE"""),209)</f>
        <v>209</v>
      </c>
      <c r="AD25" s="3">
        <f ca="1">IFERROR(__xludf.DUMMYFUNCTION("""COMPUTED_VALUE"""),159)</f>
        <v>159</v>
      </c>
      <c r="AE25" s="3">
        <f ca="1">IFERROR(__xludf.DUMMYFUNCTION("""COMPUTED_VALUE"""),446)</f>
        <v>446</v>
      </c>
      <c r="AF25" s="3">
        <f ca="1">IFERROR(__xludf.DUMMYFUNCTION("""COMPUTED_VALUE"""),636)</f>
        <v>636</v>
      </c>
    </row>
    <row r="26" spans="1:32" x14ac:dyDescent="0.25">
      <c r="A26" s="3" t="str">
        <f ca="1">IFERROR(__xludf.DUMMYFUNCTION("""COMPUTED_VALUE"""),"BelmontNCAA")</f>
        <v>BelmontNCAA</v>
      </c>
      <c r="B26" s="3">
        <f ca="1">IFERROR(__xludf.DUMMYFUNCTION("""COMPUTED_VALUE"""),33)</f>
        <v>33</v>
      </c>
      <c r="C26" s="3">
        <f ca="1">IFERROR(__xludf.DUMMYFUNCTION("""COMPUTED_VALUE"""),27)</f>
        <v>27</v>
      </c>
      <c r="D26" s="3">
        <f ca="1">IFERROR(__xludf.DUMMYFUNCTION("""COMPUTED_VALUE"""),6)</f>
        <v>6</v>
      </c>
      <c r="E26" s="3">
        <f ca="1">IFERROR(__xludf.DUMMYFUNCTION("""COMPUTED_VALUE"""),0.818)</f>
        <v>0.81799999999999995</v>
      </c>
      <c r="F26" s="3">
        <f ca="1">IFERROR(__xludf.DUMMYFUNCTION("""COMPUTED_VALUE"""),9.12)</f>
        <v>9.1199999999999992</v>
      </c>
      <c r="G26" s="3">
        <f ca="1">IFERROR(__xludf.DUMMYFUNCTION("""COMPUTED_VALUE"""),-2.6)</f>
        <v>-2.6</v>
      </c>
      <c r="H26" s="3">
        <f ca="1">IFERROR(__xludf.DUMMYFUNCTION("""COMPUTED_VALUE"""),16)</f>
        <v>16</v>
      </c>
      <c r="I26" s="3">
        <f ca="1">IFERROR(__xludf.DUMMYFUNCTION("""COMPUTED_VALUE"""),2)</f>
        <v>2</v>
      </c>
      <c r="J26" s="3">
        <f ca="1">IFERROR(__xludf.DUMMYFUNCTION("""COMPUTED_VALUE"""),13)</f>
        <v>13</v>
      </c>
      <c r="K26" s="3">
        <f ca="1">IFERROR(__xludf.DUMMYFUNCTION("""COMPUTED_VALUE"""),1)</f>
        <v>1</v>
      </c>
      <c r="L26" s="3">
        <f ca="1">IFERROR(__xludf.DUMMYFUNCTION("""COMPUTED_VALUE"""),12)</f>
        <v>12</v>
      </c>
      <c r="M26" s="3">
        <f ca="1">IFERROR(__xludf.DUMMYFUNCTION("""COMPUTED_VALUE"""),3)</f>
        <v>3</v>
      </c>
      <c r="N26" s="3">
        <f ca="1">IFERROR(__xludf.DUMMYFUNCTION("""COMPUTED_VALUE"""),2868)</f>
        <v>2868</v>
      </c>
      <c r="O26" s="3">
        <f ca="1">IFERROR(__xludf.DUMMYFUNCTION("""COMPUTED_VALUE"""),2439)</f>
        <v>2439</v>
      </c>
      <c r="P26" s="3">
        <f ca="1">IFERROR(__xludf.DUMMYFUNCTION("""COMPUTED_VALUE"""),1330)</f>
        <v>1330</v>
      </c>
      <c r="Q26" s="3">
        <f ca="1">IFERROR(__xludf.DUMMYFUNCTION("""COMPUTED_VALUE"""),1042)</f>
        <v>1042</v>
      </c>
      <c r="R26" s="3">
        <f ca="1">IFERROR(__xludf.DUMMYFUNCTION("""COMPUTED_VALUE"""),2094)</f>
        <v>2094</v>
      </c>
      <c r="S26" s="3">
        <f ca="1">IFERROR(__xludf.DUMMYFUNCTION("""COMPUTED_VALUE"""),0.498)</f>
        <v>0.498</v>
      </c>
      <c r="T26" s="3">
        <f ca="1">IFERROR(__xludf.DUMMYFUNCTION("""COMPUTED_VALUE"""),343)</f>
        <v>343</v>
      </c>
      <c r="U26" s="3">
        <f ca="1">IFERROR(__xludf.DUMMYFUNCTION("""COMPUTED_VALUE"""),922)</f>
        <v>922</v>
      </c>
      <c r="V26" s="3">
        <f ca="1">IFERROR(__xludf.DUMMYFUNCTION("""COMPUTED_VALUE"""),0.372)</f>
        <v>0.372</v>
      </c>
      <c r="W26" s="3">
        <f ca="1">IFERROR(__xludf.DUMMYFUNCTION("""COMPUTED_VALUE"""),441)</f>
        <v>441</v>
      </c>
      <c r="X26" s="3">
        <f ca="1">IFERROR(__xludf.DUMMYFUNCTION("""COMPUTED_VALUE"""),598)</f>
        <v>598</v>
      </c>
      <c r="Y26" s="3">
        <f ca="1">IFERROR(__xludf.DUMMYFUNCTION("""COMPUTED_VALUE"""),0.737)</f>
        <v>0.73699999999999999</v>
      </c>
      <c r="Z26" s="3">
        <f ca="1">IFERROR(__xludf.DUMMYFUNCTION("""COMPUTED_VALUE"""),286)</f>
        <v>286</v>
      </c>
      <c r="AA26" s="3">
        <f ca="1">IFERROR(__xludf.DUMMYFUNCTION("""COMPUTED_VALUE"""),1275)</f>
        <v>1275</v>
      </c>
      <c r="AB26" s="3">
        <f ca="1">IFERROR(__xludf.DUMMYFUNCTION("""COMPUTED_VALUE"""),645)</f>
        <v>645</v>
      </c>
      <c r="AC26" s="3">
        <f ca="1">IFERROR(__xludf.DUMMYFUNCTION("""COMPUTED_VALUE"""),220)</f>
        <v>220</v>
      </c>
      <c r="AD26" s="3">
        <f ca="1">IFERROR(__xludf.DUMMYFUNCTION("""COMPUTED_VALUE"""),125)</f>
        <v>125</v>
      </c>
      <c r="AE26" s="3">
        <f ca="1">IFERROR(__xludf.DUMMYFUNCTION("""COMPUTED_VALUE"""),376)</f>
        <v>376</v>
      </c>
      <c r="AF26" s="3">
        <f ca="1">IFERROR(__xludf.DUMMYFUNCTION("""COMPUTED_VALUE"""),509)</f>
        <v>509</v>
      </c>
    </row>
    <row r="27" spans="1:32" x14ac:dyDescent="0.25">
      <c r="A27" s="3" t="str">
        <f ca="1">IFERROR(__xludf.DUMMYFUNCTION("""COMPUTED_VALUE"""),"Bethune-Cookman")</f>
        <v>Bethune-Cookman</v>
      </c>
      <c r="B27" s="3">
        <f ca="1">IFERROR(__xludf.DUMMYFUNCTION("""COMPUTED_VALUE"""),31)</f>
        <v>31</v>
      </c>
      <c r="C27" s="3">
        <f ca="1">IFERROR(__xludf.DUMMYFUNCTION("""COMPUTED_VALUE"""),14)</f>
        <v>14</v>
      </c>
      <c r="D27" s="3">
        <f ca="1">IFERROR(__xludf.DUMMYFUNCTION("""COMPUTED_VALUE"""),17)</f>
        <v>17</v>
      </c>
      <c r="E27" s="3">
        <f ca="1">IFERROR(__xludf.DUMMYFUNCTION("""COMPUTED_VALUE"""),0.452)</f>
        <v>0.45200000000000001</v>
      </c>
      <c r="F27" s="3">
        <f ca="1">IFERROR(__xludf.DUMMYFUNCTION("""COMPUTED_VALUE"""),-11.98)</f>
        <v>-11.98</v>
      </c>
      <c r="G27" s="3">
        <f ca="1">IFERROR(__xludf.DUMMYFUNCTION("""COMPUTED_VALUE"""),-9.74)</f>
        <v>-9.74</v>
      </c>
      <c r="H27" s="3">
        <f ca="1">IFERROR(__xludf.DUMMYFUNCTION("""COMPUTED_VALUE"""),9)</f>
        <v>9</v>
      </c>
      <c r="I27" s="3">
        <f ca="1">IFERROR(__xludf.DUMMYFUNCTION("""COMPUTED_VALUE"""),7)</f>
        <v>7</v>
      </c>
      <c r="J27" s="3">
        <f ca="1">IFERROR(__xludf.DUMMYFUNCTION("""COMPUTED_VALUE"""),11)</f>
        <v>11</v>
      </c>
      <c r="K27" s="3">
        <f ca="1">IFERROR(__xludf.DUMMYFUNCTION("""COMPUTED_VALUE"""),4)</f>
        <v>4</v>
      </c>
      <c r="L27" s="3">
        <f ca="1">IFERROR(__xludf.DUMMYFUNCTION("""COMPUTED_VALUE"""),3)</f>
        <v>3</v>
      </c>
      <c r="M27" s="3">
        <f ca="1">IFERROR(__xludf.DUMMYFUNCTION("""COMPUTED_VALUE"""),12)</f>
        <v>12</v>
      </c>
      <c r="N27" s="3">
        <f ca="1">IFERROR(__xludf.DUMMYFUNCTION("""COMPUTED_VALUE"""),2290)</f>
        <v>2290</v>
      </c>
      <c r="O27" s="3">
        <f ca="1">IFERROR(__xludf.DUMMYFUNCTION("""COMPUTED_VALUE"""),2245)</f>
        <v>2245</v>
      </c>
      <c r="P27" s="3">
        <f ca="1">IFERROR(__xludf.DUMMYFUNCTION("""COMPUTED_VALUE"""),1250)</f>
        <v>1250</v>
      </c>
      <c r="Q27" s="3">
        <f ca="1">IFERROR(__xludf.DUMMYFUNCTION("""COMPUTED_VALUE"""),833)</f>
        <v>833</v>
      </c>
      <c r="R27" s="3">
        <f ca="1">IFERROR(__xludf.DUMMYFUNCTION("""COMPUTED_VALUE"""),1899)</f>
        <v>1899</v>
      </c>
      <c r="S27" s="3">
        <f ca="1">IFERROR(__xludf.DUMMYFUNCTION("""COMPUTED_VALUE"""),0.439)</f>
        <v>0.439</v>
      </c>
      <c r="T27" s="3">
        <f ca="1">IFERROR(__xludf.DUMMYFUNCTION("""COMPUTED_VALUE"""),204)</f>
        <v>204</v>
      </c>
      <c r="U27" s="3">
        <f ca="1">IFERROR(__xludf.DUMMYFUNCTION("""COMPUTED_VALUE"""),635)</f>
        <v>635</v>
      </c>
      <c r="V27" s="3">
        <f ca="1">IFERROR(__xludf.DUMMYFUNCTION("""COMPUTED_VALUE"""),0.321)</f>
        <v>0.32100000000000001</v>
      </c>
      <c r="W27" s="3">
        <f ca="1">IFERROR(__xludf.DUMMYFUNCTION("""COMPUTED_VALUE"""),420)</f>
        <v>420</v>
      </c>
      <c r="X27" s="3">
        <f ca="1">IFERROR(__xludf.DUMMYFUNCTION("""COMPUTED_VALUE"""),689)</f>
        <v>689</v>
      </c>
      <c r="Y27" s="3">
        <f ca="1">IFERROR(__xludf.DUMMYFUNCTION("""COMPUTED_VALUE"""),0.61)</f>
        <v>0.61</v>
      </c>
      <c r="Z27" s="3">
        <f ca="1">IFERROR(__xludf.DUMMYFUNCTION("""COMPUTED_VALUE"""),415)</f>
        <v>415</v>
      </c>
      <c r="AA27" s="3">
        <f ca="1">IFERROR(__xludf.DUMMYFUNCTION("""COMPUTED_VALUE"""),1274)</f>
        <v>1274</v>
      </c>
      <c r="AB27" s="3">
        <f ca="1">IFERROR(__xludf.DUMMYFUNCTION("""COMPUTED_VALUE"""),444)</f>
        <v>444</v>
      </c>
      <c r="AC27" s="3">
        <f ca="1">IFERROR(__xludf.DUMMYFUNCTION("""COMPUTED_VALUE"""),234)</f>
        <v>234</v>
      </c>
      <c r="AD27" s="3">
        <f ca="1">IFERROR(__xludf.DUMMYFUNCTION("""COMPUTED_VALUE"""),108)</f>
        <v>108</v>
      </c>
      <c r="AE27" s="3">
        <f ca="1">IFERROR(__xludf.DUMMYFUNCTION("""COMPUTED_VALUE"""),501)</f>
        <v>501</v>
      </c>
      <c r="AF27" s="3">
        <f ca="1">IFERROR(__xludf.DUMMYFUNCTION("""COMPUTED_VALUE"""),610)</f>
        <v>610</v>
      </c>
    </row>
    <row r="28" spans="1:32" x14ac:dyDescent="0.25">
      <c r="A28" s="3" t="str">
        <f ca="1">IFERROR(__xludf.DUMMYFUNCTION("""COMPUTED_VALUE"""),"Binghamton")</f>
        <v>Binghamton</v>
      </c>
      <c r="B28" s="3">
        <f ca="1">IFERROR(__xludf.DUMMYFUNCTION("""COMPUTED_VALUE"""),33)</f>
        <v>33</v>
      </c>
      <c r="C28" s="3">
        <f ca="1">IFERROR(__xludf.DUMMYFUNCTION("""COMPUTED_VALUE"""),10)</f>
        <v>10</v>
      </c>
      <c r="D28" s="3">
        <f ca="1">IFERROR(__xludf.DUMMYFUNCTION("""COMPUTED_VALUE"""),23)</f>
        <v>23</v>
      </c>
      <c r="E28" s="3">
        <f ca="1">IFERROR(__xludf.DUMMYFUNCTION("""COMPUTED_VALUE"""),0.303)</f>
        <v>0.30299999999999999</v>
      </c>
      <c r="F28" s="3">
        <f ca="1">IFERROR(__xludf.DUMMYFUNCTION("""COMPUTED_VALUE"""),-13.92)</f>
        <v>-13.92</v>
      </c>
      <c r="G28" s="3">
        <f ca="1">IFERROR(__xludf.DUMMYFUNCTION("""COMPUTED_VALUE"""),-4.69)</f>
        <v>-4.6900000000000004</v>
      </c>
      <c r="H28" s="3">
        <f ca="1">IFERROR(__xludf.DUMMYFUNCTION("""COMPUTED_VALUE"""),5)</f>
        <v>5</v>
      </c>
      <c r="I28" s="3">
        <f ca="1">IFERROR(__xludf.DUMMYFUNCTION("""COMPUTED_VALUE"""),11)</f>
        <v>11</v>
      </c>
      <c r="J28" s="3">
        <f ca="1">IFERROR(__xludf.DUMMYFUNCTION("""COMPUTED_VALUE"""),5)</f>
        <v>5</v>
      </c>
      <c r="K28" s="3">
        <f ca="1">IFERROR(__xludf.DUMMYFUNCTION("""COMPUTED_VALUE"""),11)</f>
        <v>11</v>
      </c>
      <c r="L28" s="3">
        <f ca="1">IFERROR(__xludf.DUMMYFUNCTION("""COMPUTED_VALUE"""),5)</f>
        <v>5</v>
      </c>
      <c r="M28" s="3">
        <f ca="1">IFERROR(__xludf.DUMMYFUNCTION("""COMPUTED_VALUE"""),12)</f>
        <v>12</v>
      </c>
      <c r="N28" s="3">
        <f ca="1">IFERROR(__xludf.DUMMYFUNCTION("""COMPUTED_VALUE"""),2152)</f>
        <v>2152</v>
      </c>
      <c r="O28" s="3">
        <f ca="1">IFERROR(__xludf.DUMMYFUNCTION("""COMPUTED_VALUE"""),2376)</f>
        <v>2376</v>
      </c>
      <c r="P28" s="3">
        <f ca="1">IFERROR(__xludf.DUMMYFUNCTION("""COMPUTED_VALUE"""),1320)</f>
        <v>1320</v>
      </c>
      <c r="Q28" s="3">
        <f ca="1">IFERROR(__xludf.DUMMYFUNCTION("""COMPUTED_VALUE"""),793)</f>
        <v>793</v>
      </c>
      <c r="R28" s="3">
        <f ca="1">IFERROR(__xludf.DUMMYFUNCTION("""COMPUTED_VALUE"""),1842)</f>
        <v>1842</v>
      </c>
      <c r="S28" s="3">
        <f ca="1">IFERROR(__xludf.DUMMYFUNCTION("""COMPUTED_VALUE"""),0.431)</f>
        <v>0.43099999999999999</v>
      </c>
      <c r="T28" s="3">
        <f ca="1">IFERROR(__xludf.DUMMYFUNCTION("""COMPUTED_VALUE"""),275)</f>
        <v>275</v>
      </c>
      <c r="U28" s="3">
        <f ca="1">IFERROR(__xludf.DUMMYFUNCTION("""COMPUTED_VALUE"""),788)</f>
        <v>788</v>
      </c>
      <c r="V28" s="3">
        <f ca="1">IFERROR(__xludf.DUMMYFUNCTION("""COMPUTED_VALUE"""),0.349)</f>
        <v>0.34899999999999998</v>
      </c>
      <c r="W28" s="3">
        <f ca="1">IFERROR(__xludf.DUMMYFUNCTION("""COMPUTED_VALUE"""),291)</f>
        <v>291</v>
      </c>
      <c r="X28" s="3">
        <f ca="1">IFERROR(__xludf.DUMMYFUNCTION("""COMPUTED_VALUE"""),452)</f>
        <v>452</v>
      </c>
      <c r="Y28" s="3">
        <f ca="1">IFERROR(__xludf.DUMMYFUNCTION("""COMPUTED_VALUE"""),0.644)</f>
        <v>0.64400000000000002</v>
      </c>
      <c r="Z28" s="3">
        <f ca="1">IFERROR(__xludf.DUMMYFUNCTION("""COMPUTED_VALUE"""),244)</f>
        <v>244</v>
      </c>
      <c r="AA28" s="3">
        <f ca="1">IFERROR(__xludf.DUMMYFUNCTION("""COMPUTED_VALUE"""),1060)</f>
        <v>1060</v>
      </c>
      <c r="AB28" s="3">
        <f ca="1">IFERROR(__xludf.DUMMYFUNCTION("""COMPUTED_VALUE"""),324)</f>
        <v>324</v>
      </c>
      <c r="AC28" s="3">
        <f ca="1">IFERROR(__xludf.DUMMYFUNCTION("""COMPUTED_VALUE"""),183)</f>
        <v>183</v>
      </c>
      <c r="AD28" s="3">
        <f ca="1">IFERROR(__xludf.DUMMYFUNCTION("""COMPUTED_VALUE"""),152)</f>
        <v>152</v>
      </c>
      <c r="AE28" s="3">
        <f ca="1">IFERROR(__xludf.DUMMYFUNCTION("""COMPUTED_VALUE"""),409)</f>
        <v>409</v>
      </c>
      <c r="AF28" s="3">
        <f ca="1">IFERROR(__xludf.DUMMYFUNCTION("""COMPUTED_VALUE"""),474)</f>
        <v>474</v>
      </c>
    </row>
    <row r="29" spans="1:32" x14ac:dyDescent="0.25">
      <c r="A29" s="3" t="str">
        <f ca="1">IFERROR(__xludf.DUMMYFUNCTION("""COMPUTED_VALUE"""),"Boise State")</f>
        <v>Boise State</v>
      </c>
      <c r="B29" s="3">
        <f ca="1">IFERROR(__xludf.DUMMYFUNCTION("""COMPUTED_VALUE"""),33)</f>
        <v>33</v>
      </c>
      <c r="C29" s="3">
        <f ca="1">IFERROR(__xludf.DUMMYFUNCTION("""COMPUTED_VALUE"""),13)</f>
        <v>13</v>
      </c>
      <c r="D29" s="3">
        <f ca="1">IFERROR(__xludf.DUMMYFUNCTION("""COMPUTED_VALUE"""),20)</f>
        <v>20</v>
      </c>
      <c r="E29" s="3">
        <f ca="1">IFERROR(__xludf.DUMMYFUNCTION("""COMPUTED_VALUE"""),0.394)</f>
        <v>0.39400000000000002</v>
      </c>
      <c r="F29" s="3">
        <f ca="1">IFERROR(__xludf.DUMMYFUNCTION("""COMPUTED_VALUE"""),3.61)</f>
        <v>3.61</v>
      </c>
      <c r="G29" s="3">
        <f ca="1">IFERROR(__xludf.DUMMYFUNCTION("""COMPUTED_VALUE"""),1.08)</f>
        <v>1.08</v>
      </c>
      <c r="H29" s="3">
        <f ca="1">IFERROR(__xludf.DUMMYFUNCTION("""COMPUTED_VALUE"""),7)</f>
        <v>7</v>
      </c>
      <c r="I29" s="3">
        <f ca="1">IFERROR(__xludf.DUMMYFUNCTION("""COMPUTED_VALUE"""),11)</f>
        <v>11</v>
      </c>
      <c r="J29" s="3">
        <f ca="1">IFERROR(__xludf.DUMMYFUNCTION("""COMPUTED_VALUE"""),8)</f>
        <v>8</v>
      </c>
      <c r="K29" s="3">
        <f ca="1">IFERROR(__xludf.DUMMYFUNCTION("""COMPUTED_VALUE"""),7)</f>
        <v>7</v>
      </c>
      <c r="L29" s="3">
        <f ca="1">IFERROR(__xludf.DUMMYFUNCTION("""COMPUTED_VALUE"""),3)</f>
        <v>3</v>
      </c>
      <c r="M29" s="3">
        <f ca="1">IFERROR(__xludf.DUMMYFUNCTION("""COMPUTED_VALUE"""),10)</f>
        <v>10</v>
      </c>
      <c r="N29" s="3">
        <f ca="1">IFERROR(__xludf.DUMMYFUNCTION("""COMPUTED_VALUE"""),2364)</f>
        <v>2364</v>
      </c>
      <c r="O29" s="3">
        <f ca="1">IFERROR(__xludf.DUMMYFUNCTION("""COMPUTED_VALUE"""),2263)</f>
        <v>2263</v>
      </c>
      <c r="P29" s="3">
        <f ca="1">IFERROR(__xludf.DUMMYFUNCTION("""COMPUTED_VALUE"""),1330)</f>
        <v>1330</v>
      </c>
      <c r="Q29" s="3">
        <f ca="1">IFERROR(__xludf.DUMMYFUNCTION("""COMPUTED_VALUE"""),845)</f>
        <v>845</v>
      </c>
      <c r="R29" s="3">
        <f ca="1">IFERROR(__xludf.DUMMYFUNCTION("""COMPUTED_VALUE"""),1801)</f>
        <v>1801</v>
      </c>
      <c r="S29" s="3">
        <f ca="1">IFERROR(__xludf.DUMMYFUNCTION("""COMPUTED_VALUE"""),0.469)</f>
        <v>0.46899999999999997</v>
      </c>
      <c r="T29" s="3">
        <f ca="1">IFERROR(__xludf.DUMMYFUNCTION("""COMPUTED_VALUE"""),252)</f>
        <v>252</v>
      </c>
      <c r="U29" s="3">
        <f ca="1">IFERROR(__xludf.DUMMYFUNCTION("""COMPUTED_VALUE"""),715)</f>
        <v>715</v>
      </c>
      <c r="V29" s="3">
        <f ca="1">IFERROR(__xludf.DUMMYFUNCTION("""COMPUTED_VALUE"""),0.352)</f>
        <v>0.35199999999999998</v>
      </c>
      <c r="W29" s="3">
        <f ca="1">IFERROR(__xludf.DUMMYFUNCTION("""COMPUTED_VALUE"""),422)</f>
        <v>422</v>
      </c>
      <c r="X29" s="3">
        <f ca="1">IFERROR(__xludf.DUMMYFUNCTION("""COMPUTED_VALUE"""),584)</f>
        <v>584</v>
      </c>
      <c r="Y29" s="3">
        <f ca="1">IFERROR(__xludf.DUMMYFUNCTION("""COMPUTED_VALUE"""),0.723)</f>
        <v>0.72299999999999998</v>
      </c>
      <c r="Z29" s="3">
        <f ca="1">IFERROR(__xludf.DUMMYFUNCTION("""COMPUTED_VALUE"""),242)</f>
        <v>242</v>
      </c>
      <c r="AA29" s="3">
        <f ca="1">IFERROR(__xludf.DUMMYFUNCTION("""COMPUTED_VALUE"""),1016)</f>
        <v>1016</v>
      </c>
      <c r="AB29" s="3">
        <f ca="1">IFERROR(__xludf.DUMMYFUNCTION("""COMPUTED_VALUE"""),398)</f>
        <v>398</v>
      </c>
      <c r="AC29" s="3">
        <f ca="1">IFERROR(__xludf.DUMMYFUNCTION("""COMPUTED_VALUE"""),200)</f>
        <v>200</v>
      </c>
      <c r="AD29" s="3">
        <f ca="1">IFERROR(__xludf.DUMMYFUNCTION("""COMPUTED_VALUE"""),68)</f>
        <v>68</v>
      </c>
      <c r="AE29" s="3">
        <f ca="1">IFERROR(__xludf.DUMMYFUNCTION("""COMPUTED_VALUE"""),379)</f>
        <v>379</v>
      </c>
      <c r="AF29" s="3">
        <f ca="1">IFERROR(__xludf.DUMMYFUNCTION("""COMPUTED_VALUE"""),570)</f>
        <v>570</v>
      </c>
    </row>
    <row r="30" spans="1:32" x14ac:dyDescent="0.25">
      <c r="A30" s="3" t="str">
        <f ca="1">IFERROR(__xludf.DUMMYFUNCTION("""COMPUTED_VALUE"""),"Boston College")</f>
        <v>Boston College</v>
      </c>
      <c r="B30" s="3">
        <f ca="1">IFERROR(__xludf.DUMMYFUNCTION("""COMPUTED_VALUE"""),31)</f>
        <v>31</v>
      </c>
      <c r="C30" s="3">
        <f ca="1">IFERROR(__xludf.DUMMYFUNCTION("""COMPUTED_VALUE"""),14)</f>
        <v>14</v>
      </c>
      <c r="D30" s="3">
        <f ca="1">IFERROR(__xludf.DUMMYFUNCTION("""COMPUTED_VALUE"""),17)</f>
        <v>17</v>
      </c>
      <c r="E30" s="3">
        <f ca="1">IFERROR(__xludf.DUMMYFUNCTION("""COMPUTED_VALUE"""),0.452)</f>
        <v>0.45200000000000001</v>
      </c>
      <c r="F30" s="3">
        <f ca="1">IFERROR(__xludf.DUMMYFUNCTION("""COMPUTED_VALUE"""),5.83)</f>
        <v>5.83</v>
      </c>
      <c r="G30" s="3">
        <f ca="1">IFERROR(__xludf.DUMMYFUNCTION("""COMPUTED_VALUE"""),7.76)</f>
        <v>7.76</v>
      </c>
      <c r="H30" s="3">
        <f ca="1">IFERROR(__xludf.DUMMYFUNCTION("""COMPUTED_VALUE"""),5)</f>
        <v>5</v>
      </c>
      <c r="I30" s="3">
        <f ca="1">IFERROR(__xludf.DUMMYFUNCTION("""COMPUTED_VALUE"""),13)</f>
        <v>13</v>
      </c>
      <c r="J30" s="3">
        <f ca="1">IFERROR(__xludf.DUMMYFUNCTION("""COMPUTED_VALUE"""),10)</f>
        <v>10</v>
      </c>
      <c r="K30" s="3">
        <f ca="1">IFERROR(__xludf.DUMMYFUNCTION("""COMPUTED_VALUE"""),8)</f>
        <v>8</v>
      </c>
      <c r="L30" s="3">
        <f ca="1">IFERROR(__xludf.DUMMYFUNCTION("""COMPUTED_VALUE"""),2)</f>
        <v>2</v>
      </c>
      <c r="M30" s="3">
        <f ca="1">IFERROR(__xludf.DUMMYFUNCTION("""COMPUTED_VALUE"""),8)</f>
        <v>8</v>
      </c>
      <c r="N30" s="3">
        <f ca="1">IFERROR(__xludf.DUMMYFUNCTION("""COMPUTED_VALUE"""),2196)</f>
        <v>2196</v>
      </c>
      <c r="O30" s="3">
        <f ca="1">IFERROR(__xludf.DUMMYFUNCTION("""COMPUTED_VALUE"""),2256)</f>
        <v>2256</v>
      </c>
      <c r="P30" s="3">
        <f ca="1">IFERROR(__xludf.DUMMYFUNCTION("""COMPUTED_VALUE"""),1260)</f>
        <v>1260</v>
      </c>
      <c r="Q30" s="3">
        <f ca="1">IFERROR(__xludf.DUMMYFUNCTION("""COMPUTED_VALUE"""),768)</f>
        <v>768</v>
      </c>
      <c r="R30" s="3">
        <f ca="1">IFERROR(__xludf.DUMMYFUNCTION("""COMPUTED_VALUE"""),1808)</f>
        <v>1808</v>
      </c>
      <c r="S30" s="3">
        <f ca="1">IFERROR(__xludf.DUMMYFUNCTION("""COMPUTED_VALUE"""),0.425)</f>
        <v>0.42499999999999999</v>
      </c>
      <c r="T30" s="3">
        <f ca="1">IFERROR(__xludf.DUMMYFUNCTION("""COMPUTED_VALUE"""),218)</f>
        <v>218</v>
      </c>
      <c r="U30" s="3">
        <f ca="1">IFERROR(__xludf.DUMMYFUNCTION("""COMPUTED_VALUE"""),687)</f>
        <v>687</v>
      </c>
      <c r="V30" s="3">
        <f ca="1">IFERROR(__xludf.DUMMYFUNCTION("""COMPUTED_VALUE"""),0.317)</f>
        <v>0.317</v>
      </c>
      <c r="W30" s="3">
        <f ca="1">IFERROR(__xludf.DUMMYFUNCTION("""COMPUTED_VALUE"""),442)</f>
        <v>442</v>
      </c>
      <c r="X30" s="3">
        <f ca="1">IFERROR(__xludf.DUMMYFUNCTION("""COMPUTED_VALUE"""),633)</f>
        <v>633</v>
      </c>
      <c r="Y30" s="3">
        <f ca="1">IFERROR(__xludf.DUMMYFUNCTION("""COMPUTED_VALUE"""),0.698)</f>
        <v>0.69799999999999995</v>
      </c>
      <c r="Z30" s="3">
        <f ca="1">IFERROR(__xludf.DUMMYFUNCTION("""COMPUTED_VALUE"""),331)</f>
        <v>331</v>
      </c>
      <c r="AA30" s="3">
        <f ca="1">IFERROR(__xludf.DUMMYFUNCTION("""COMPUTED_VALUE"""),1139)</f>
        <v>1139</v>
      </c>
      <c r="AB30" s="3">
        <f ca="1">IFERROR(__xludf.DUMMYFUNCTION("""COMPUTED_VALUE"""),382)</f>
        <v>382</v>
      </c>
      <c r="AC30" s="3">
        <f ca="1">IFERROR(__xludf.DUMMYFUNCTION("""COMPUTED_VALUE"""),159)</f>
        <v>159</v>
      </c>
      <c r="AD30" s="3">
        <f ca="1">IFERROR(__xludf.DUMMYFUNCTION("""COMPUTED_VALUE"""),103)</f>
        <v>103</v>
      </c>
      <c r="AE30" s="3">
        <f ca="1">IFERROR(__xludf.DUMMYFUNCTION("""COMPUTED_VALUE"""),378)</f>
        <v>378</v>
      </c>
      <c r="AF30" s="3">
        <f ca="1">IFERROR(__xludf.DUMMYFUNCTION("""COMPUTED_VALUE"""),509)</f>
        <v>509</v>
      </c>
    </row>
    <row r="31" spans="1:32" x14ac:dyDescent="0.25">
      <c r="A31" s="3" t="str">
        <f ca="1">IFERROR(__xludf.DUMMYFUNCTION("""COMPUTED_VALUE"""),"Boston University")</f>
        <v>Boston University</v>
      </c>
      <c r="B31" s="3">
        <f ca="1">IFERROR(__xludf.DUMMYFUNCTION("""COMPUTED_VALUE"""),33)</f>
        <v>33</v>
      </c>
      <c r="C31" s="3">
        <f ca="1">IFERROR(__xludf.DUMMYFUNCTION("""COMPUTED_VALUE"""),15)</f>
        <v>15</v>
      </c>
      <c r="D31" s="3">
        <f ca="1">IFERROR(__xludf.DUMMYFUNCTION("""COMPUTED_VALUE"""),18)</f>
        <v>18</v>
      </c>
      <c r="E31" s="3">
        <f ca="1">IFERROR(__xludf.DUMMYFUNCTION("""COMPUTED_VALUE"""),0.455)</f>
        <v>0.45500000000000002</v>
      </c>
      <c r="F31" s="3">
        <f ca="1">IFERROR(__xludf.DUMMYFUNCTION("""COMPUTED_VALUE"""),-6.61)</f>
        <v>-6.61</v>
      </c>
      <c r="G31" s="3">
        <f ca="1">IFERROR(__xludf.DUMMYFUNCTION("""COMPUTED_VALUE"""),-5.39)</f>
        <v>-5.39</v>
      </c>
      <c r="H31" s="3">
        <f ca="1">IFERROR(__xludf.DUMMYFUNCTION("""COMPUTED_VALUE"""),7)</f>
        <v>7</v>
      </c>
      <c r="I31" s="3">
        <f ca="1">IFERROR(__xludf.DUMMYFUNCTION("""COMPUTED_VALUE"""),11)</f>
        <v>11</v>
      </c>
      <c r="J31" s="3">
        <f ca="1">IFERROR(__xludf.DUMMYFUNCTION("""COMPUTED_VALUE"""),7)</f>
        <v>7</v>
      </c>
      <c r="K31" s="3">
        <f ca="1">IFERROR(__xludf.DUMMYFUNCTION("""COMPUTED_VALUE"""),7)</f>
        <v>7</v>
      </c>
      <c r="L31" s="3">
        <f ca="1">IFERROR(__xludf.DUMMYFUNCTION("""COMPUTED_VALUE"""),8)</f>
        <v>8</v>
      </c>
      <c r="M31" s="3">
        <f ca="1">IFERROR(__xludf.DUMMYFUNCTION("""COMPUTED_VALUE"""),10)</f>
        <v>10</v>
      </c>
      <c r="N31" s="3">
        <f ca="1">IFERROR(__xludf.DUMMYFUNCTION("""COMPUTED_VALUE"""),2385)</f>
        <v>2385</v>
      </c>
      <c r="O31" s="3">
        <f ca="1">IFERROR(__xludf.DUMMYFUNCTION("""COMPUTED_VALUE"""),2387)</f>
        <v>2387</v>
      </c>
      <c r="P31" s="3">
        <f ca="1">IFERROR(__xludf.DUMMYFUNCTION("""COMPUTED_VALUE"""),1325)</f>
        <v>1325</v>
      </c>
      <c r="Q31" s="3">
        <f ca="1">IFERROR(__xludf.DUMMYFUNCTION("""COMPUTED_VALUE"""),922)</f>
        <v>922</v>
      </c>
      <c r="R31" s="3">
        <f ca="1">IFERROR(__xludf.DUMMYFUNCTION("""COMPUTED_VALUE"""),1922)</f>
        <v>1922</v>
      </c>
      <c r="S31" s="3">
        <f ca="1">IFERROR(__xludf.DUMMYFUNCTION("""COMPUTED_VALUE"""),0.48)</f>
        <v>0.48</v>
      </c>
      <c r="T31" s="3">
        <f ca="1">IFERROR(__xludf.DUMMYFUNCTION("""COMPUTED_VALUE"""),221)</f>
        <v>221</v>
      </c>
      <c r="U31" s="3">
        <f ca="1">IFERROR(__xludf.DUMMYFUNCTION("""COMPUTED_VALUE"""),639)</f>
        <v>639</v>
      </c>
      <c r="V31" s="3">
        <f ca="1">IFERROR(__xludf.DUMMYFUNCTION("""COMPUTED_VALUE"""),0.346)</f>
        <v>0.34599999999999997</v>
      </c>
      <c r="W31" s="3">
        <f ca="1">IFERROR(__xludf.DUMMYFUNCTION("""COMPUTED_VALUE"""),320)</f>
        <v>320</v>
      </c>
      <c r="X31" s="3">
        <f ca="1">IFERROR(__xludf.DUMMYFUNCTION("""COMPUTED_VALUE"""),468)</f>
        <v>468</v>
      </c>
      <c r="Y31" s="3">
        <f ca="1">IFERROR(__xludf.DUMMYFUNCTION("""COMPUTED_VALUE"""),0.684)</f>
        <v>0.68400000000000005</v>
      </c>
      <c r="Z31" s="3">
        <f ca="1">IFERROR(__xludf.DUMMYFUNCTION("""COMPUTED_VALUE"""),311)</f>
        <v>311</v>
      </c>
      <c r="AA31" s="3">
        <f ca="1">IFERROR(__xludf.DUMMYFUNCTION("""COMPUTED_VALUE"""),1091)</f>
        <v>1091</v>
      </c>
      <c r="AB31" s="3">
        <f ca="1">IFERROR(__xludf.DUMMYFUNCTION("""COMPUTED_VALUE"""),447)</f>
        <v>447</v>
      </c>
      <c r="AC31" s="3">
        <f ca="1">IFERROR(__xludf.DUMMYFUNCTION("""COMPUTED_VALUE"""),199)</f>
        <v>199</v>
      </c>
      <c r="AD31" s="3">
        <f ca="1">IFERROR(__xludf.DUMMYFUNCTION("""COMPUTED_VALUE"""),73)</f>
        <v>73</v>
      </c>
      <c r="AE31" s="3">
        <f ca="1">IFERROR(__xludf.DUMMYFUNCTION("""COMPUTED_VALUE"""),425)</f>
        <v>425</v>
      </c>
      <c r="AF31" s="3">
        <f ca="1">IFERROR(__xludf.DUMMYFUNCTION("""COMPUTED_VALUE"""),578)</f>
        <v>578</v>
      </c>
    </row>
    <row r="32" spans="1:32" x14ac:dyDescent="0.25">
      <c r="A32" s="3" t="str">
        <f ca="1">IFERROR(__xludf.DUMMYFUNCTION("""COMPUTED_VALUE"""),"Bowling Green State")</f>
        <v>Bowling Green State</v>
      </c>
      <c r="B32" s="3">
        <f ca="1">IFERROR(__xludf.DUMMYFUNCTION("""COMPUTED_VALUE"""),34)</f>
        <v>34</v>
      </c>
      <c r="C32" s="3">
        <f ca="1">IFERROR(__xludf.DUMMYFUNCTION("""COMPUTED_VALUE"""),22)</f>
        <v>22</v>
      </c>
      <c r="D32" s="3">
        <f ca="1">IFERROR(__xludf.DUMMYFUNCTION("""COMPUTED_VALUE"""),12)</f>
        <v>12</v>
      </c>
      <c r="E32" s="3">
        <f ca="1">IFERROR(__xludf.DUMMYFUNCTION("""COMPUTED_VALUE"""),0.647)</f>
        <v>0.64700000000000002</v>
      </c>
      <c r="F32" s="3">
        <f ca="1">IFERROR(__xludf.DUMMYFUNCTION("""COMPUTED_VALUE"""),4.24)</f>
        <v>4.24</v>
      </c>
      <c r="G32" s="3">
        <f ca="1">IFERROR(__xludf.DUMMYFUNCTION("""COMPUTED_VALUE"""),0.86)</f>
        <v>0.86</v>
      </c>
      <c r="H32" s="3">
        <f ca="1">IFERROR(__xludf.DUMMYFUNCTION("""COMPUTED_VALUE"""),12)</f>
        <v>12</v>
      </c>
      <c r="I32" s="3">
        <f ca="1">IFERROR(__xludf.DUMMYFUNCTION("""COMPUTED_VALUE"""),6)</f>
        <v>6</v>
      </c>
      <c r="J32" s="3">
        <f ca="1">IFERROR(__xludf.DUMMYFUNCTION("""COMPUTED_VALUE"""),14)</f>
        <v>14</v>
      </c>
      <c r="K32" s="3">
        <f ca="1">IFERROR(__xludf.DUMMYFUNCTION("""COMPUTED_VALUE"""),2)</f>
        <v>2</v>
      </c>
      <c r="L32" s="3">
        <f ca="1">IFERROR(__xludf.DUMMYFUNCTION("""COMPUTED_VALUE"""),5)</f>
        <v>5</v>
      </c>
      <c r="M32" s="3">
        <f ca="1">IFERROR(__xludf.DUMMYFUNCTION("""COMPUTED_VALUE"""),8)</f>
        <v>8</v>
      </c>
      <c r="N32" s="3">
        <f ca="1">IFERROR(__xludf.DUMMYFUNCTION("""COMPUTED_VALUE"""),2668)</f>
        <v>2668</v>
      </c>
      <c r="O32" s="3">
        <f ca="1">IFERROR(__xludf.DUMMYFUNCTION("""COMPUTED_VALUE"""),2496)</f>
        <v>2496</v>
      </c>
      <c r="P32" s="3">
        <f ca="1">IFERROR(__xludf.DUMMYFUNCTION("""COMPUTED_VALUE"""),1370)</f>
        <v>1370</v>
      </c>
      <c r="Q32" s="3">
        <f ca="1">IFERROR(__xludf.DUMMYFUNCTION("""COMPUTED_VALUE"""),945)</f>
        <v>945</v>
      </c>
      <c r="R32" s="3">
        <f ca="1">IFERROR(__xludf.DUMMYFUNCTION("""COMPUTED_VALUE"""),2134)</f>
        <v>2134</v>
      </c>
      <c r="S32" s="3">
        <f ca="1">IFERROR(__xludf.DUMMYFUNCTION("""COMPUTED_VALUE"""),0.443)</f>
        <v>0.443</v>
      </c>
      <c r="T32" s="3">
        <f ca="1">IFERROR(__xludf.DUMMYFUNCTION("""COMPUTED_VALUE"""),272)</f>
        <v>272</v>
      </c>
      <c r="U32" s="3">
        <f ca="1">IFERROR(__xludf.DUMMYFUNCTION("""COMPUTED_VALUE"""),762)</f>
        <v>762</v>
      </c>
      <c r="V32" s="3">
        <f ca="1">IFERROR(__xludf.DUMMYFUNCTION("""COMPUTED_VALUE"""),0.357)</f>
        <v>0.35699999999999998</v>
      </c>
      <c r="W32" s="3">
        <f ca="1">IFERROR(__xludf.DUMMYFUNCTION("""COMPUTED_VALUE"""),506)</f>
        <v>506</v>
      </c>
      <c r="X32" s="3">
        <f ca="1">IFERROR(__xludf.DUMMYFUNCTION("""COMPUTED_VALUE"""),755)</f>
        <v>755</v>
      </c>
      <c r="Y32" s="3">
        <f ca="1">IFERROR(__xludf.DUMMYFUNCTION("""COMPUTED_VALUE"""),0.67)</f>
        <v>0.67</v>
      </c>
      <c r="Z32" s="3">
        <f ca="1">IFERROR(__xludf.DUMMYFUNCTION("""COMPUTED_VALUE"""),408)</f>
        <v>408</v>
      </c>
      <c r="AA32" s="3">
        <f ca="1">IFERROR(__xludf.DUMMYFUNCTION("""COMPUTED_VALUE"""),1396)</f>
        <v>1396</v>
      </c>
      <c r="AB32" s="3">
        <f ca="1">IFERROR(__xludf.DUMMYFUNCTION("""COMPUTED_VALUE"""),427)</f>
        <v>427</v>
      </c>
      <c r="AC32" s="3">
        <f ca="1">IFERROR(__xludf.DUMMYFUNCTION("""COMPUTED_VALUE"""),227)</f>
        <v>227</v>
      </c>
      <c r="AD32" s="3">
        <f ca="1">IFERROR(__xludf.DUMMYFUNCTION("""COMPUTED_VALUE"""),90)</f>
        <v>90</v>
      </c>
      <c r="AE32" s="3">
        <f ca="1">IFERROR(__xludf.DUMMYFUNCTION("""COMPUTED_VALUE"""),412)</f>
        <v>412</v>
      </c>
      <c r="AF32" s="3">
        <f ca="1">IFERROR(__xludf.DUMMYFUNCTION("""COMPUTED_VALUE"""),596)</f>
        <v>596</v>
      </c>
    </row>
    <row r="33" spans="1:32" x14ac:dyDescent="0.25">
      <c r="A33" s="3" t="str">
        <f ca="1">IFERROR(__xludf.DUMMYFUNCTION("""COMPUTED_VALUE"""),"BradleyNCAA")</f>
        <v>BradleyNCAA</v>
      </c>
      <c r="B33" s="3">
        <f ca="1">IFERROR(__xludf.DUMMYFUNCTION("""COMPUTED_VALUE"""),35)</f>
        <v>35</v>
      </c>
      <c r="C33" s="3">
        <f ca="1">IFERROR(__xludf.DUMMYFUNCTION("""COMPUTED_VALUE"""),20)</f>
        <v>20</v>
      </c>
      <c r="D33" s="3">
        <f ca="1">IFERROR(__xludf.DUMMYFUNCTION("""COMPUTED_VALUE"""),15)</f>
        <v>15</v>
      </c>
      <c r="E33" s="3">
        <f ca="1">IFERROR(__xludf.DUMMYFUNCTION("""COMPUTED_VALUE"""),0.571)</f>
        <v>0.57099999999999995</v>
      </c>
      <c r="F33" s="3">
        <f ca="1">IFERROR(__xludf.DUMMYFUNCTION("""COMPUTED_VALUE"""),-0.08)</f>
        <v>-0.08</v>
      </c>
      <c r="G33" s="3">
        <f ca="1">IFERROR(__xludf.DUMMYFUNCTION("""COMPUTED_VALUE"""),-0.9)</f>
        <v>-0.9</v>
      </c>
      <c r="H33" s="3">
        <f ca="1">IFERROR(__xludf.DUMMYFUNCTION("""COMPUTED_VALUE"""),9)</f>
        <v>9</v>
      </c>
      <c r="I33" s="3">
        <f ca="1">IFERROR(__xludf.DUMMYFUNCTION("""COMPUTED_VALUE"""),9)</f>
        <v>9</v>
      </c>
      <c r="J33" s="3">
        <f ca="1">IFERROR(__xludf.DUMMYFUNCTION("""COMPUTED_VALUE"""),10)</f>
        <v>10</v>
      </c>
      <c r="K33" s="3">
        <f ca="1">IFERROR(__xludf.DUMMYFUNCTION("""COMPUTED_VALUE"""),6)</f>
        <v>6</v>
      </c>
      <c r="L33" s="3">
        <f ca="1">IFERROR(__xludf.DUMMYFUNCTION("""COMPUTED_VALUE"""),5)</f>
        <v>5</v>
      </c>
      <c r="M33" s="3">
        <f ca="1">IFERROR(__xludf.DUMMYFUNCTION("""COMPUTED_VALUE"""),8)</f>
        <v>8</v>
      </c>
      <c r="N33" s="3">
        <f ca="1">IFERROR(__xludf.DUMMYFUNCTION("""COMPUTED_VALUE"""),2329)</f>
        <v>2329</v>
      </c>
      <c r="O33" s="3">
        <f ca="1">IFERROR(__xludf.DUMMYFUNCTION("""COMPUTED_VALUE"""),2285)</f>
        <v>2285</v>
      </c>
      <c r="P33" s="3">
        <f ca="1">IFERROR(__xludf.DUMMYFUNCTION("""COMPUTED_VALUE"""),1405)</f>
        <v>1405</v>
      </c>
      <c r="Q33" s="3">
        <f ca="1">IFERROR(__xludf.DUMMYFUNCTION("""COMPUTED_VALUE"""),812)</f>
        <v>812</v>
      </c>
      <c r="R33" s="3">
        <f ca="1">IFERROR(__xludf.DUMMYFUNCTION("""COMPUTED_VALUE"""),1874)</f>
        <v>1874</v>
      </c>
      <c r="S33" s="3">
        <f ca="1">IFERROR(__xludf.DUMMYFUNCTION("""COMPUTED_VALUE"""),0.433)</f>
        <v>0.433</v>
      </c>
      <c r="T33" s="3">
        <f ca="1">IFERROR(__xludf.DUMMYFUNCTION("""COMPUTED_VALUE"""),240)</f>
        <v>240</v>
      </c>
      <c r="U33" s="3">
        <f ca="1">IFERROR(__xludf.DUMMYFUNCTION("""COMPUTED_VALUE"""),653)</f>
        <v>653</v>
      </c>
      <c r="V33" s="3">
        <f ca="1">IFERROR(__xludf.DUMMYFUNCTION("""COMPUTED_VALUE"""),0.368)</f>
        <v>0.36799999999999999</v>
      </c>
      <c r="W33" s="3">
        <f ca="1">IFERROR(__xludf.DUMMYFUNCTION("""COMPUTED_VALUE"""),465)</f>
        <v>465</v>
      </c>
      <c r="X33" s="3">
        <f ca="1">IFERROR(__xludf.DUMMYFUNCTION("""COMPUTED_VALUE"""),672)</f>
        <v>672</v>
      </c>
      <c r="Y33" s="3">
        <f ca="1">IFERROR(__xludf.DUMMYFUNCTION("""COMPUTED_VALUE"""),0.692)</f>
        <v>0.69199999999999995</v>
      </c>
      <c r="Z33" s="3">
        <f ca="1">IFERROR(__xludf.DUMMYFUNCTION("""COMPUTED_VALUE"""),313)</f>
        <v>313</v>
      </c>
      <c r="AA33" s="3">
        <f ca="1">IFERROR(__xludf.DUMMYFUNCTION("""COMPUTED_VALUE"""),1195)</f>
        <v>1195</v>
      </c>
      <c r="AB33" s="3">
        <f ca="1">IFERROR(__xludf.DUMMYFUNCTION("""COMPUTED_VALUE"""),423)</f>
        <v>423</v>
      </c>
      <c r="AC33" s="3">
        <f ca="1">IFERROR(__xludf.DUMMYFUNCTION("""COMPUTED_VALUE"""),186)</f>
        <v>186</v>
      </c>
      <c r="AD33" s="3">
        <f ca="1">IFERROR(__xludf.DUMMYFUNCTION("""COMPUTED_VALUE"""),132)</f>
        <v>132</v>
      </c>
      <c r="AE33" s="3">
        <f ca="1">IFERROR(__xludf.DUMMYFUNCTION("""COMPUTED_VALUE"""),440)</f>
        <v>440</v>
      </c>
      <c r="AF33" s="3">
        <f ca="1">IFERROR(__xludf.DUMMYFUNCTION("""COMPUTED_VALUE"""),617)</f>
        <v>617</v>
      </c>
    </row>
    <row r="34" spans="1:32" x14ac:dyDescent="0.25">
      <c r="A34" s="3" t="str">
        <f ca="1">IFERROR(__xludf.DUMMYFUNCTION("""COMPUTED_VALUE"""),"Brigham Young")</f>
        <v>Brigham Young</v>
      </c>
      <c r="B34" s="3">
        <f ca="1">IFERROR(__xludf.DUMMYFUNCTION("""COMPUTED_VALUE"""),32)</f>
        <v>32</v>
      </c>
      <c r="C34" s="3">
        <f ca="1">IFERROR(__xludf.DUMMYFUNCTION("""COMPUTED_VALUE"""),19)</f>
        <v>19</v>
      </c>
      <c r="D34" s="3">
        <f ca="1">IFERROR(__xludf.DUMMYFUNCTION("""COMPUTED_VALUE"""),13)</f>
        <v>13</v>
      </c>
      <c r="E34" s="3">
        <f ca="1">IFERROR(__xludf.DUMMYFUNCTION("""COMPUTED_VALUE"""),0.594)</f>
        <v>0.59399999999999997</v>
      </c>
      <c r="F34" s="3">
        <f ca="1">IFERROR(__xludf.DUMMYFUNCTION("""COMPUTED_VALUE"""),6.15)</f>
        <v>6.15</v>
      </c>
      <c r="G34" s="3">
        <f ca="1">IFERROR(__xludf.DUMMYFUNCTION("""COMPUTED_VALUE"""),3.31)</f>
        <v>3.31</v>
      </c>
      <c r="H34" s="3">
        <f ca="1">IFERROR(__xludf.DUMMYFUNCTION("""COMPUTED_VALUE"""),11)</f>
        <v>11</v>
      </c>
      <c r="I34" s="3">
        <f ca="1">IFERROR(__xludf.DUMMYFUNCTION("""COMPUTED_VALUE"""),5)</f>
        <v>5</v>
      </c>
      <c r="J34" s="3">
        <f ca="1">IFERROR(__xludf.DUMMYFUNCTION("""COMPUTED_VALUE"""),13)</f>
        <v>13</v>
      </c>
      <c r="K34" s="3">
        <f ca="1">IFERROR(__xludf.DUMMYFUNCTION("""COMPUTED_VALUE"""),3)</f>
        <v>3</v>
      </c>
      <c r="L34" s="3">
        <f ca="1">IFERROR(__xludf.DUMMYFUNCTION("""COMPUTED_VALUE"""),5)</f>
        <v>5</v>
      </c>
      <c r="M34" s="3">
        <f ca="1">IFERROR(__xludf.DUMMYFUNCTION("""COMPUTED_VALUE"""),8)</f>
        <v>8</v>
      </c>
      <c r="N34" s="3">
        <f ca="1">IFERROR(__xludf.DUMMYFUNCTION("""COMPUTED_VALUE"""),2527)</f>
        <v>2527</v>
      </c>
      <c r="O34" s="3">
        <f ca="1">IFERROR(__xludf.DUMMYFUNCTION("""COMPUTED_VALUE"""),2436)</f>
        <v>2436</v>
      </c>
      <c r="P34" s="3">
        <f ca="1">IFERROR(__xludf.DUMMYFUNCTION("""COMPUTED_VALUE"""),1295)</f>
        <v>1295</v>
      </c>
      <c r="Q34" s="3">
        <f ca="1">IFERROR(__xludf.DUMMYFUNCTION("""COMPUTED_VALUE"""),878)</f>
        <v>878</v>
      </c>
      <c r="R34" s="3">
        <f ca="1">IFERROR(__xludf.DUMMYFUNCTION("""COMPUTED_VALUE"""),1878)</f>
        <v>1878</v>
      </c>
      <c r="S34" s="3">
        <f ca="1">IFERROR(__xludf.DUMMYFUNCTION("""COMPUTED_VALUE"""),0.468)</f>
        <v>0.46800000000000003</v>
      </c>
      <c r="T34" s="3">
        <f ca="1">IFERROR(__xludf.DUMMYFUNCTION("""COMPUTED_VALUE"""),226)</f>
        <v>226</v>
      </c>
      <c r="U34" s="3">
        <f ca="1">IFERROR(__xludf.DUMMYFUNCTION("""COMPUTED_VALUE"""),684)</f>
        <v>684</v>
      </c>
      <c r="V34" s="3">
        <f ca="1">IFERROR(__xludf.DUMMYFUNCTION("""COMPUTED_VALUE"""),0.33)</f>
        <v>0.33</v>
      </c>
      <c r="W34" s="3">
        <f ca="1">IFERROR(__xludf.DUMMYFUNCTION("""COMPUTED_VALUE"""),545)</f>
        <v>545</v>
      </c>
      <c r="X34" s="3">
        <f ca="1">IFERROR(__xludf.DUMMYFUNCTION("""COMPUTED_VALUE"""),750)</f>
        <v>750</v>
      </c>
      <c r="Y34" s="3">
        <f ca="1">IFERROR(__xludf.DUMMYFUNCTION("""COMPUTED_VALUE"""),0.727)</f>
        <v>0.72699999999999998</v>
      </c>
      <c r="Z34" s="3">
        <f ca="1">IFERROR(__xludf.DUMMYFUNCTION("""COMPUTED_VALUE"""),263)</f>
        <v>263</v>
      </c>
      <c r="AA34" s="3">
        <f ca="1">IFERROR(__xludf.DUMMYFUNCTION("""COMPUTED_VALUE"""),1118)</f>
        <v>1118</v>
      </c>
      <c r="AB34" s="3">
        <f ca="1">IFERROR(__xludf.DUMMYFUNCTION("""COMPUTED_VALUE"""),482)</f>
        <v>482</v>
      </c>
      <c r="AC34" s="3">
        <f ca="1">IFERROR(__xludf.DUMMYFUNCTION("""COMPUTED_VALUE"""),203)</f>
        <v>203</v>
      </c>
      <c r="AD34" s="3">
        <f ca="1">IFERROR(__xludf.DUMMYFUNCTION("""COMPUTED_VALUE"""),107)</f>
        <v>107</v>
      </c>
      <c r="AE34" s="3">
        <f ca="1">IFERROR(__xludf.DUMMYFUNCTION("""COMPUTED_VALUE"""),354)</f>
        <v>354</v>
      </c>
      <c r="AF34" s="3">
        <f ca="1">IFERROR(__xludf.DUMMYFUNCTION("""COMPUTED_VALUE"""),625)</f>
        <v>625</v>
      </c>
    </row>
    <row r="35" spans="1:32" x14ac:dyDescent="0.25">
      <c r="A35" s="3" t="str">
        <f ca="1">IFERROR(__xludf.DUMMYFUNCTION("""COMPUTED_VALUE"""),"Brown")</f>
        <v>Brown</v>
      </c>
      <c r="B35" s="3">
        <f ca="1">IFERROR(__xludf.DUMMYFUNCTION("""COMPUTED_VALUE"""),32)</f>
        <v>32</v>
      </c>
      <c r="C35" s="3">
        <f ca="1">IFERROR(__xludf.DUMMYFUNCTION("""COMPUTED_VALUE"""),20)</f>
        <v>20</v>
      </c>
      <c r="D35" s="3">
        <f ca="1">IFERROR(__xludf.DUMMYFUNCTION("""COMPUTED_VALUE"""),12)</f>
        <v>12</v>
      </c>
      <c r="E35" s="3">
        <f ca="1">IFERROR(__xludf.DUMMYFUNCTION("""COMPUTED_VALUE"""),0.625)</f>
        <v>0.625</v>
      </c>
      <c r="F35" s="3">
        <f ca="1">IFERROR(__xludf.DUMMYFUNCTION("""COMPUTED_VALUE"""),-0.62)</f>
        <v>-0.62</v>
      </c>
      <c r="G35" s="3">
        <f ca="1">IFERROR(__xludf.DUMMYFUNCTION("""COMPUTED_VALUE"""),-3.29)</f>
        <v>-3.29</v>
      </c>
      <c r="H35" s="3">
        <f ca="1">IFERROR(__xludf.DUMMYFUNCTION("""COMPUTED_VALUE"""),7)</f>
        <v>7</v>
      </c>
      <c r="I35" s="3">
        <f ca="1">IFERROR(__xludf.DUMMYFUNCTION("""COMPUTED_VALUE"""),7)</f>
        <v>7</v>
      </c>
      <c r="J35" s="3">
        <f ca="1">IFERROR(__xludf.DUMMYFUNCTION("""COMPUTED_VALUE"""),13)</f>
        <v>13</v>
      </c>
      <c r="K35" s="3">
        <f ca="1">IFERROR(__xludf.DUMMYFUNCTION("""COMPUTED_VALUE"""),3)</f>
        <v>3</v>
      </c>
      <c r="L35" s="3">
        <f ca="1">IFERROR(__xludf.DUMMYFUNCTION("""COMPUTED_VALUE"""),7)</f>
        <v>7</v>
      </c>
      <c r="M35" s="3">
        <f ca="1">IFERROR(__xludf.DUMMYFUNCTION("""COMPUTED_VALUE"""),9)</f>
        <v>9</v>
      </c>
      <c r="N35" s="3">
        <f ca="1">IFERROR(__xludf.DUMMYFUNCTION("""COMPUTED_VALUE"""),2355)</f>
        <v>2355</v>
      </c>
      <c r="O35" s="3">
        <f ca="1">IFERROR(__xludf.DUMMYFUNCTION("""COMPUTED_VALUE"""),2204)</f>
        <v>2204</v>
      </c>
      <c r="P35" s="3">
        <f ca="1">IFERROR(__xludf.DUMMYFUNCTION("""COMPUTED_VALUE"""),1290)</f>
        <v>1290</v>
      </c>
      <c r="Q35" s="3">
        <f ca="1">IFERROR(__xludf.DUMMYFUNCTION("""COMPUTED_VALUE"""),805)</f>
        <v>805</v>
      </c>
      <c r="R35" s="3">
        <f ca="1">IFERROR(__xludf.DUMMYFUNCTION("""COMPUTED_VALUE"""),1818)</f>
        <v>1818</v>
      </c>
      <c r="S35" s="3">
        <f ca="1">IFERROR(__xludf.DUMMYFUNCTION("""COMPUTED_VALUE"""),0.443)</f>
        <v>0.443</v>
      </c>
      <c r="T35" s="3">
        <f ca="1">IFERROR(__xludf.DUMMYFUNCTION("""COMPUTED_VALUE"""),255)</f>
        <v>255</v>
      </c>
      <c r="U35" s="3">
        <f ca="1">IFERROR(__xludf.DUMMYFUNCTION("""COMPUTED_VALUE"""),745)</f>
        <v>745</v>
      </c>
      <c r="V35" s="3">
        <f ca="1">IFERROR(__xludf.DUMMYFUNCTION("""COMPUTED_VALUE"""),0.342)</f>
        <v>0.34200000000000003</v>
      </c>
      <c r="W35" s="3">
        <f ca="1">IFERROR(__xludf.DUMMYFUNCTION("""COMPUTED_VALUE"""),490)</f>
        <v>490</v>
      </c>
      <c r="X35" s="3">
        <f ca="1">IFERROR(__xludf.DUMMYFUNCTION("""COMPUTED_VALUE"""),685)</f>
        <v>685</v>
      </c>
      <c r="Y35" s="3">
        <f ca="1">IFERROR(__xludf.DUMMYFUNCTION("""COMPUTED_VALUE"""),0.715)</f>
        <v>0.71499999999999997</v>
      </c>
      <c r="Z35" s="3">
        <f ca="1">IFERROR(__xludf.DUMMYFUNCTION("""COMPUTED_VALUE"""),261)</f>
        <v>261</v>
      </c>
      <c r="AA35" s="3">
        <f ca="1">IFERROR(__xludf.DUMMYFUNCTION("""COMPUTED_VALUE"""),1157)</f>
        <v>1157</v>
      </c>
      <c r="AB35" s="3">
        <f ca="1">IFERROR(__xludf.DUMMYFUNCTION("""COMPUTED_VALUE"""),418)</f>
        <v>418</v>
      </c>
      <c r="AC35" s="3">
        <f ca="1">IFERROR(__xludf.DUMMYFUNCTION("""COMPUTED_VALUE"""),241)</f>
        <v>241</v>
      </c>
      <c r="AD35" s="3">
        <f ca="1">IFERROR(__xludf.DUMMYFUNCTION("""COMPUTED_VALUE"""),123)</f>
        <v>123</v>
      </c>
      <c r="AE35" s="3">
        <f ca="1">IFERROR(__xludf.DUMMYFUNCTION("""COMPUTED_VALUE"""),458)</f>
        <v>458</v>
      </c>
      <c r="AF35" s="3">
        <f ca="1">IFERROR(__xludf.DUMMYFUNCTION("""COMPUTED_VALUE"""),600)</f>
        <v>600</v>
      </c>
    </row>
    <row r="36" spans="1:32" x14ac:dyDescent="0.25">
      <c r="A36" s="3" t="str">
        <f ca="1">IFERROR(__xludf.DUMMYFUNCTION("""COMPUTED_VALUE"""),"Bryant")</f>
        <v>Bryant</v>
      </c>
      <c r="B36" s="3">
        <f ca="1">IFERROR(__xludf.DUMMYFUNCTION("""COMPUTED_VALUE"""),30)</f>
        <v>30</v>
      </c>
      <c r="C36" s="3">
        <f ca="1">IFERROR(__xludf.DUMMYFUNCTION("""COMPUTED_VALUE"""),10)</f>
        <v>10</v>
      </c>
      <c r="D36" s="3">
        <f ca="1">IFERROR(__xludf.DUMMYFUNCTION("""COMPUTED_VALUE"""),20)</f>
        <v>20</v>
      </c>
      <c r="E36" s="3">
        <f ca="1">IFERROR(__xludf.DUMMYFUNCTION("""COMPUTED_VALUE"""),0.333)</f>
        <v>0.33300000000000002</v>
      </c>
      <c r="F36" s="3">
        <f ca="1">IFERROR(__xludf.DUMMYFUNCTION("""COMPUTED_VALUE"""),-15.19)</f>
        <v>-15.19</v>
      </c>
      <c r="G36" s="3">
        <f ca="1">IFERROR(__xludf.DUMMYFUNCTION("""COMPUTED_VALUE"""),-7.66)</f>
        <v>-7.66</v>
      </c>
      <c r="H36" s="3">
        <f ca="1">IFERROR(__xludf.DUMMYFUNCTION("""COMPUTED_VALUE"""),7)</f>
        <v>7</v>
      </c>
      <c r="I36" s="3">
        <f ca="1">IFERROR(__xludf.DUMMYFUNCTION("""COMPUTED_VALUE"""),11)</f>
        <v>11</v>
      </c>
      <c r="J36" s="3">
        <f ca="1">IFERROR(__xludf.DUMMYFUNCTION("""COMPUTED_VALUE"""),8)</f>
        <v>8</v>
      </c>
      <c r="K36" s="3">
        <f ca="1">IFERROR(__xludf.DUMMYFUNCTION("""COMPUTED_VALUE"""),6)</f>
        <v>6</v>
      </c>
      <c r="L36" s="3">
        <f ca="1">IFERROR(__xludf.DUMMYFUNCTION("""COMPUTED_VALUE"""),2)</f>
        <v>2</v>
      </c>
      <c r="M36" s="3">
        <f ca="1">IFERROR(__xludf.DUMMYFUNCTION("""COMPUTED_VALUE"""),13)</f>
        <v>13</v>
      </c>
      <c r="N36" s="3">
        <f ca="1">IFERROR(__xludf.DUMMYFUNCTION("""COMPUTED_VALUE"""),2088)</f>
        <v>2088</v>
      </c>
      <c r="O36" s="3">
        <f ca="1">IFERROR(__xludf.DUMMYFUNCTION("""COMPUTED_VALUE"""),2314)</f>
        <v>2314</v>
      </c>
      <c r="P36" s="3">
        <f ca="1">IFERROR(__xludf.DUMMYFUNCTION("""COMPUTED_VALUE"""),1200)</f>
        <v>1200</v>
      </c>
      <c r="Q36" s="3">
        <f ca="1">IFERROR(__xludf.DUMMYFUNCTION("""COMPUTED_VALUE"""),709)</f>
        <v>709</v>
      </c>
      <c r="R36" s="3">
        <f ca="1">IFERROR(__xludf.DUMMYFUNCTION("""COMPUTED_VALUE"""),1680)</f>
        <v>1680</v>
      </c>
      <c r="S36" s="3">
        <f ca="1">IFERROR(__xludf.DUMMYFUNCTION("""COMPUTED_VALUE"""),0.422)</f>
        <v>0.42199999999999999</v>
      </c>
      <c r="T36" s="3">
        <f ca="1">IFERROR(__xludf.DUMMYFUNCTION("""COMPUTED_VALUE"""),230)</f>
        <v>230</v>
      </c>
      <c r="U36" s="3">
        <f ca="1">IFERROR(__xludf.DUMMYFUNCTION("""COMPUTED_VALUE"""),708)</f>
        <v>708</v>
      </c>
      <c r="V36" s="3">
        <f ca="1">IFERROR(__xludf.DUMMYFUNCTION("""COMPUTED_VALUE"""),0.325)</f>
        <v>0.32500000000000001</v>
      </c>
      <c r="W36" s="3">
        <f ca="1">IFERROR(__xludf.DUMMYFUNCTION("""COMPUTED_VALUE"""),440)</f>
        <v>440</v>
      </c>
      <c r="X36" s="3">
        <f ca="1">IFERROR(__xludf.DUMMYFUNCTION("""COMPUTED_VALUE"""),618)</f>
        <v>618</v>
      </c>
      <c r="Y36" s="3">
        <f ca="1">IFERROR(__xludf.DUMMYFUNCTION("""COMPUTED_VALUE"""),0.712)</f>
        <v>0.71199999999999997</v>
      </c>
      <c r="Z36" s="3">
        <f ca="1">IFERROR(__xludf.DUMMYFUNCTION("""COMPUTED_VALUE"""),285)</f>
        <v>285</v>
      </c>
      <c r="AA36" s="3">
        <f ca="1">IFERROR(__xludf.DUMMYFUNCTION("""COMPUTED_VALUE"""),969)</f>
        <v>969</v>
      </c>
      <c r="AB36" s="3">
        <f ca="1">IFERROR(__xludf.DUMMYFUNCTION("""COMPUTED_VALUE"""),319)</f>
        <v>319</v>
      </c>
      <c r="AC36" s="3">
        <f ca="1">IFERROR(__xludf.DUMMYFUNCTION("""COMPUTED_VALUE"""),158)</f>
        <v>158</v>
      </c>
      <c r="AD36" s="3">
        <f ca="1">IFERROR(__xludf.DUMMYFUNCTION("""COMPUTED_VALUE"""),79)</f>
        <v>79</v>
      </c>
      <c r="AE36" s="3">
        <f ca="1">IFERROR(__xludf.DUMMYFUNCTION("""COMPUTED_VALUE"""),383)</f>
        <v>383</v>
      </c>
      <c r="AF36" s="3">
        <f ca="1">IFERROR(__xludf.DUMMYFUNCTION("""COMPUTED_VALUE"""),575)</f>
        <v>575</v>
      </c>
    </row>
    <row r="37" spans="1:32" x14ac:dyDescent="0.25">
      <c r="A37" s="3" t="str">
        <f ca="1">IFERROR(__xludf.DUMMYFUNCTION("""COMPUTED_VALUE"""),"Bucknell")</f>
        <v>Bucknell</v>
      </c>
      <c r="B37" s="3">
        <f ca="1">IFERROR(__xludf.DUMMYFUNCTION("""COMPUTED_VALUE"""),33)</f>
        <v>33</v>
      </c>
      <c r="C37" s="3">
        <f ca="1">IFERROR(__xludf.DUMMYFUNCTION("""COMPUTED_VALUE"""),21)</f>
        <v>21</v>
      </c>
      <c r="D37" s="3">
        <f ca="1">IFERROR(__xludf.DUMMYFUNCTION("""COMPUTED_VALUE"""),12)</f>
        <v>12</v>
      </c>
      <c r="E37" s="3">
        <f ca="1">IFERROR(__xludf.DUMMYFUNCTION("""COMPUTED_VALUE"""),0.636)</f>
        <v>0.63600000000000001</v>
      </c>
      <c r="F37" s="3">
        <f ca="1">IFERROR(__xludf.DUMMYFUNCTION("""COMPUTED_VALUE"""),0.59)</f>
        <v>0.59</v>
      </c>
      <c r="G37" s="3">
        <f ca="1">IFERROR(__xludf.DUMMYFUNCTION("""COMPUTED_VALUE"""),-2.93)</f>
        <v>-2.93</v>
      </c>
      <c r="H37" s="3">
        <f ca="1">IFERROR(__xludf.DUMMYFUNCTION("""COMPUTED_VALUE"""),13)</f>
        <v>13</v>
      </c>
      <c r="I37" s="3">
        <f ca="1">IFERROR(__xludf.DUMMYFUNCTION("""COMPUTED_VALUE"""),5)</f>
        <v>5</v>
      </c>
      <c r="J37" s="3">
        <f ca="1">IFERROR(__xludf.DUMMYFUNCTION("""COMPUTED_VALUE"""),12)</f>
        <v>12</v>
      </c>
      <c r="K37" s="3">
        <f ca="1">IFERROR(__xludf.DUMMYFUNCTION("""COMPUTED_VALUE"""),3)</f>
        <v>3</v>
      </c>
      <c r="L37" s="3">
        <f ca="1">IFERROR(__xludf.DUMMYFUNCTION("""COMPUTED_VALUE"""),7)</f>
        <v>7</v>
      </c>
      <c r="M37" s="3">
        <f ca="1">IFERROR(__xludf.DUMMYFUNCTION("""COMPUTED_VALUE"""),8)</f>
        <v>8</v>
      </c>
      <c r="N37" s="3">
        <f ca="1">IFERROR(__xludf.DUMMYFUNCTION("""COMPUTED_VALUE"""),2534)</f>
        <v>2534</v>
      </c>
      <c r="O37" s="3">
        <f ca="1">IFERROR(__xludf.DUMMYFUNCTION("""COMPUTED_VALUE"""),2418)</f>
        <v>2418</v>
      </c>
      <c r="P37" s="3">
        <f ca="1">IFERROR(__xludf.DUMMYFUNCTION("""COMPUTED_VALUE"""),1325)</f>
        <v>1325</v>
      </c>
      <c r="Q37" s="3">
        <f ca="1">IFERROR(__xludf.DUMMYFUNCTION("""COMPUTED_VALUE"""),867)</f>
        <v>867</v>
      </c>
      <c r="R37" s="3">
        <f ca="1">IFERROR(__xludf.DUMMYFUNCTION("""COMPUTED_VALUE"""),1928)</f>
        <v>1928</v>
      </c>
      <c r="S37" s="3">
        <f ca="1">IFERROR(__xludf.DUMMYFUNCTION("""COMPUTED_VALUE"""),0.45)</f>
        <v>0.45</v>
      </c>
      <c r="T37" s="3">
        <f ca="1">IFERROR(__xludf.DUMMYFUNCTION("""COMPUTED_VALUE"""),311)</f>
        <v>311</v>
      </c>
      <c r="U37" s="3">
        <f ca="1">IFERROR(__xludf.DUMMYFUNCTION("""COMPUTED_VALUE"""),885)</f>
        <v>885</v>
      </c>
      <c r="V37" s="3">
        <f ca="1">IFERROR(__xludf.DUMMYFUNCTION("""COMPUTED_VALUE"""),0.351)</f>
        <v>0.35099999999999998</v>
      </c>
      <c r="W37" s="3">
        <f ca="1">IFERROR(__xludf.DUMMYFUNCTION("""COMPUTED_VALUE"""),489)</f>
        <v>489</v>
      </c>
      <c r="X37" s="3">
        <f ca="1">IFERROR(__xludf.DUMMYFUNCTION("""COMPUTED_VALUE"""),653)</f>
        <v>653</v>
      </c>
      <c r="Y37" s="3">
        <f ca="1">IFERROR(__xludf.DUMMYFUNCTION("""COMPUTED_VALUE"""),0.749)</f>
        <v>0.749</v>
      </c>
      <c r="Z37" s="3">
        <f ca="1">IFERROR(__xludf.DUMMYFUNCTION("""COMPUTED_VALUE"""),286)</f>
        <v>286</v>
      </c>
      <c r="AA37" s="3">
        <f ca="1">IFERROR(__xludf.DUMMYFUNCTION("""COMPUTED_VALUE"""),1154)</f>
        <v>1154</v>
      </c>
      <c r="AB37" s="3">
        <f ca="1">IFERROR(__xludf.DUMMYFUNCTION("""COMPUTED_VALUE"""),519)</f>
        <v>519</v>
      </c>
      <c r="AC37" s="3">
        <f ca="1">IFERROR(__xludf.DUMMYFUNCTION("""COMPUTED_VALUE"""),173)</f>
        <v>173</v>
      </c>
      <c r="AD37" s="3">
        <f ca="1">IFERROR(__xludf.DUMMYFUNCTION("""COMPUTED_VALUE"""),116)</f>
        <v>116</v>
      </c>
      <c r="AE37" s="3">
        <f ca="1">IFERROR(__xludf.DUMMYFUNCTION("""COMPUTED_VALUE"""),409)</f>
        <v>409</v>
      </c>
      <c r="AF37" s="3">
        <f ca="1">IFERROR(__xludf.DUMMYFUNCTION("""COMPUTED_VALUE"""),627)</f>
        <v>627</v>
      </c>
    </row>
    <row r="38" spans="1:32" x14ac:dyDescent="0.25">
      <c r="A38" s="3" t="str">
        <f ca="1">IFERROR(__xludf.DUMMYFUNCTION("""COMPUTED_VALUE"""),"BuffaloNCAA")</f>
        <v>BuffaloNCAA</v>
      </c>
      <c r="B38" s="3">
        <f ca="1">IFERROR(__xludf.DUMMYFUNCTION("""COMPUTED_VALUE"""),36)</f>
        <v>36</v>
      </c>
      <c r="C38" s="3">
        <f ca="1">IFERROR(__xludf.DUMMYFUNCTION("""COMPUTED_VALUE"""),32)</f>
        <v>32</v>
      </c>
      <c r="D38" s="3">
        <f ca="1">IFERROR(__xludf.DUMMYFUNCTION("""COMPUTED_VALUE"""),4)</f>
        <v>4</v>
      </c>
      <c r="E38" s="3">
        <f ca="1">IFERROR(__xludf.DUMMYFUNCTION("""COMPUTED_VALUE"""),0.889)</f>
        <v>0.88900000000000001</v>
      </c>
      <c r="F38" s="3">
        <f ca="1">IFERROR(__xludf.DUMMYFUNCTION("""COMPUTED_VALUE"""),15.56)</f>
        <v>15.56</v>
      </c>
      <c r="G38" s="3">
        <f ca="1">IFERROR(__xludf.DUMMYFUNCTION("""COMPUTED_VALUE"""),2.62)</f>
        <v>2.62</v>
      </c>
      <c r="H38" s="3">
        <f ca="1">IFERROR(__xludf.DUMMYFUNCTION("""COMPUTED_VALUE"""),16)</f>
        <v>16</v>
      </c>
      <c r="I38" s="3">
        <f ca="1">IFERROR(__xludf.DUMMYFUNCTION("""COMPUTED_VALUE"""),2)</f>
        <v>2</v>
      </c>
      <c r="J38" s="3">
        <f ca="1">IFERROR(__xludf.DUMMYFUNCTION("""COMPUTED_VALUE"""),14)</f>
        <v>14</v>
      </c>
      <c r="K38" s="3">
        <f ca="1">IFERROR(__xludf.DUMMYFUNCTION("""COMPUTED_VALUE"""),0)</f>
        <v>0</v>
      </c>
      <c r="L38" s="3">
        <f ca="1">IFERROR(__xludf.DUMMYFUNCTION("""COMPUTED_VALUE"""),12)</f>
        <v>12</v>
      </c>
      <c r="M38" s="3">
        <f ca="1">IFERROR(__xludf.DUMMYFUNCTION("""COMPUTED_VALUE"""),3)</f>
        <v>3</v>
      </c>
      <c r="N38" s="3">
        <f ca="1">IFERROR(__xludf.DUMMYFUNCTION("""COMPUTED_VALUE"""),3037)</f>
        <v>3037</v>
      </c>
      <c r="O38" s="3">
        <f ca="1">IFERROR(__xludf.DUMMYFUNCTION("""COMPUTED_VALUE"""),2550)</f>
        <v>2550</v>
      </c>
      <c r="P38" s="3">
        <f ca="1">IFERROR(__xludf.DUMMYFUNCTION("""COMPUTED_VALUE"""),1445)</f>
        <v>1445</v>
      </c>
      <c r="Q38" s="3">
        <f ca="1">IFERROR(__xludf.DUMMYFUNCTION("""COMPUTED_VALUE"""),1083)</f>
        <v>1083</v>
      </c>
      <c r="R38" s="3">
        <f ca="1">IFERROR(__xludf.DUMMYFUNCTION("""COMPUTED_VALUE"""),2344)</f>
        <v>2344</v>
      </c>
      <c r="S38" s="3">
        <f ca="1">IFERROR(__xludf.DUMMYFUNCTION("""COMPUTED_VALUE"""),0.462)</f>
        <v>0.46200000000000002</v>
      </c>
      <c r="T38" s="3">
        <f ca="1">IFERROR(__xludf.DUMMYFUNCTION("""COMPUTED_VALUE"""),344)</f>
        <v>344</v>
      </c>
      <c r="U38" s="3">
        <f ca="1">IFERROR(__xludf.DUMMYFUNCTION("""COMPUTED_VALUE"""),1022)</f>
        <v>1022</v>
      </c>
      <c r="V38" s="3">
        <f ca="1">IFERROR(__xludf.DUMMYFUNCTION("""COMPUTED_VALUE"""),0.337)</f>
        <v>0.33700000000000002</v>
      </c>
      <c r="W38" s="3">
        <f ca="1">IFERROR(__xludf.DUMMYFUNCTION("""COMPUTED_VALUE"""),527)</f>
        <v>527</v>
      </c>
      <c r="X38" s="3">
        <f ca="1">IFERROR(__xludf.DUMMYFUNCTION("""COMPUTED_VALUE"""),767)</f>
        <v>767</v>
      </c>
      <c r="Y38" s="3">
        <f ca="1">IFERROR(__xludf.DUMMYFUNCTION("""COMPUTED_VALUE"""),0.687)</f>
        <v>0.68700000000000006</v>
      </c>
      <c r="Z38" s="3">
        <f ca="1">IFERROR(__xludf.DUMMYFUNCTION("""COMPUTED_VALUE"""),452)</f>
        <v>452</v>
      </c>
      <c r="AA38" s="3">
        <f ca="1">IFERROR(__xludf.DUMMYFUNCTION("""COMPUTED_VALUE"""),1470)</f>
        <v>1470</v>
      </c>
      <c r="AB38" s="3">
        <f ca="1">IFERROR(__xludf.DUMMYFUNCTION("""COMPUTED_VALUE"""),599)</f>
        <v>599</v>
      </c>
      <c r="AC38" s="3">
        <f ca="1">IFERROR(__xludf.DUMMYFUNCTION("""COMPUTED_VALUE"""),263)</f>
        <v>263</v>
      </c>
      <c r="AD38" s="3">
        <f ca="1">IFERROR(__xludf.DUMMYFUNCTION("""COMPUTED_VALUE"""),140)</f>
        <v>140</v>
      </c>
      <c r="AE38" s="3">
        <f ca="1">IFERROR(__xludf.DUMMYFUNCTION("""COMPUTED_VALUE"""),433)</f>
        <v>433</v>
      </c>
      <c r="AF38" s="3">
        <f ca="1">IFERROR(__xludf.DUMMYFUNCTION("""COMPUTED_VALUE"""),659)</f>
        <v>659</v>
      </c>
    </row>
    <row r="39" spans="1:32" x14ac:dyDescent="0.25">
      <c r="A39" s="3" t="str">
        <f ca="1">IFERROR(__xludf.DUMMYFUNCTION("""COMPUTED_VALUE"""),"Butler")</f>
        <v>Butler</v>
      </c>
      <c r="B39" s="3">
        <f ca="1">IFERROR(__xludf.DUMMYFUNCTION("""COMPUTED_VALUE"""),33)</f>
        <v>33</v>
      </c>
      <c r="C39" s="3">
        <f ca="1">IFERROR(__xludf.DUMMYFUNCTION("""COMPUTED_VALUE"""),16)</f>
        <v>16</v>
      </c>
      <c r="D39" s="3">
        <f ca="1">IFERROR(__xludf.DUMMYFUNCTION("""COMPUTED_VALUE"""),17)</f>
        <v>17</v>
      </c>
      <c r="E39" s="3">
        <f ca="1">IFERROR(__xludf.DUMMYFUNCTION("""COMPUTED_VALUE"""),0.485)</f>
        <v>0.48499999999999999</v>
      </c>
      <c r="F39" s="3">
        <f ca="1">IFERROR(__xludf.DUMMYFUNCTION("""COMPUTED_VALUE"""),9.22)</f>
        <v>9.2200000000000006</v>
      </c>
      <c r="G39" s="3">
        <f ca="1">IFERROR(__xludf.DUMMYFUNCTION("""COMPUTED_VALUE"""),8.1)</f>
        <v>8.1</v>
      </c>
      <c r="H39" s="3">
        <f ca="1">IFERROR(__xludf.DUMMYFUNCTION("""COMPUTED_VALUE"""),7)</f>
        <v>7</v>
      </c>
      <c r="I39" s="3">
        <f ca="1">IFERROR(__xludf.DUMMYFUNCTION("""COMPUTED_VALUE"""),11)</f>
        <v>11</v>
      </c>
      <c r="J39" s="3">
        <f ca="1">IFERROR(__xludf.DUMMYFUNCTION("""COMPUTED_VALUE"""),12)</f>
        <v>12</v>
      </c>
      <c r="K39" s="3">
        <f ca="1">IFERROR(__xludf.DUMMYFUNCTION("""COMPUTED_VALUE"""),4)</f>
        <v>4</v>
      </c>
      <c r="L39" s="3">
        <f ca="1">IFERROR(__xludf.DUMMYFUNCTION("""COMPUTED_VALUE"""),2)</f>
        <v>2</v>
      </c>
      <c r="M39" s="3">
        <f ca="1">IFERROR(__xludf.DUMMYFUNCTION("""COMPUTED_VALUE"""),10)</f>
        <v>10</v>
      </c>
      <c r="N39" s="3">
        <f ca="1">IFERROR(__xludf.DUMMYFUNCTION("""COMPUTED_VALUE"""),2374)</f>
        <v>2374</v>
      </c>
      <c r="O39" s="3">
        <f ca="1">IFERROR(__xludf.DUMMYFUNCTION("""COMPUTED_VALUE"""),2337)</f>
        <v>2337</v>
      </c>
      <c r="P39" s="3">
        <f ca="1">IFERROR(__xludf.DUMMYFUNCTION("""COMPUTED_VALUE"""),1330)</f>
        <v>1330</v>
      </c>
      <c r="Q39" s="3">
        <f ca="1">IFERROR(__xludf.DUMMYFUNCTION("""COMPUTED_VALUE"""),861)</f>
        <v>861</v>
      </c>
      <c r="R39" s="3">
        <f ca="1">IFERROR(__xludf.DUMMYFUNCTION("""COMPUTED_VALUE"""),1934)</f>
        <v>1934</v>
      </c>
      <c r="S39" s="3">
        <f ca="1">IFERROR(__xludf.DUMMYFUNCTION("""COMPUTED_VALUE"""),0.445)</f>
        <v>0.44500000000000001</v>
      </c>
      <c r="T39" s="3">
        <f ca="1">IFERROR(__xludf.DUMMYFUNCTION("""COMPUTED_VALUE"""),292)</f>
        <v>292</v>
      </c>
      <c r="U39" s="3">
        <f ca="1">IFERROR(__xludf.DUMMYFUNCTION("""COMPUTED_VALUE"""),827)</f>
        <v>827</v>
      </c>
      <c r="V39" s="3">
        <f ca="1">IFERROR(__xludf.DUMMYFUNCTION("""COMPUTED_VALUE"""),0.353)</f>
        <v>0.35299999999999998</v>
      </c>
      <c r="W39" s="3">
        <f ca="1">IFERROR(__xludf.DUMMYFUNCTION("""COMPUTED_VALUE"""),360)</f>
        <v>360</v>
      </c>
      <c r="X39" s="3">
        <f ca="1">IFERROR(__xludf.DUMMYFUNCTION("""COMPUTED_VALUE"""),488)</f>
        <v>488</v>
      </c>
      <c r="Y39" s="3">
        <f ca="1">IFERROR(__xludf.DUMMYFUNCTION("""COMPUTED_VALUE"""),0.738)</f>
        <v>0.73799999999999999</v>
      </c>
      <c r="Z39" s="3">
        <f ca="1">IFERROR(__xludf.DUMMYFUNCTION("""COMPUTED_VALUE"""),288)</f>
        <v>288</v>
      </c>
      <c r="AA39" s="3">
        <f ca="1">IFERROR(__xludf.DUMMYFUNCTION("""COMPUTED_VALUE"""),1058)</f>
        <v>1058</v>
      </c>
      <c r="AB39" s="3">
        <f ca="1">IFERROR(__xludf.DUMMYFUNCTION("""COMPUTED_VALUE"""),434)</f>
        <v>434</v>
      </c>
      <c r="AC39" s="3">
        <f ca="1">IFERROR(__xludf.DUMMYFUNCTION("""COMPUTED_VALUE"""),193)</f>
        <v>193</v>
      </c>
      <c r="AD39" s="3">
        <f ca="1">IFERROR(__xludf.DUMMYFUNCTION("""COMPUTED_VALUE"""),62)</f>
        <v>62</v>
      </c>
      <c r="AE39" s="3">
        <f ca="1">IFERROR(__xludf.DUMMYFUNCTION("""COMPUTED_VALUE"""),359)</f>
        <v>359</v>
      </c>
      <c r="AF39" s="3">
        <f ca="1">IFERROR(__xludf.DUMMYFUNCTION("""COMPUTED_VALUE"""),593)</f>
        <v>593</v>
      </c>
    </row>
    <row r="40" spans="1:32" x14ac:dyDescent="0.25">
      <c r="A40" s="3" t="str">
        <f ca="1">IFERROR(__xludf.DUMMYFUNCTION("""COMPUTED_VALUE"""),"Cal Poly")</f>
        <v>Cal Poly</v>
      </c>
      <c r="B40" s="3">
        <f ca="1">IFERROR(__xludf.DUMMYFUNCTION("""COMPUTED_VALUE"""),29)</f>
        <v>29</v>
      </c>
      <c r="C40" s="3">
        <f ca="1">IFERROR(__xludf.DUMMYFUNCTION("""COMPUTED_VALUE"""),6)</f>
        <v>6</v>
      </c>
      <c r="D40" s="3">
        <f ca="1">IFERROR(__xludf.DUMMYFUNCTION("""COMPUTED_VALUE"""),23)</f>
        <v>23</v>
      </c>
      <c r="E40" s="3">
        <f ca="1">IFERROR(__xludf.DUMMYFUNCTION("""COMPUTED_VALUE"""),0.207)</f>
        <v>0.20699999999999999</v>
      </c>
      <c r="F40" s="3">
        <f ca="1">IFERROR(__xludf.DUMMYFUNCTION("""COMPUTED_VALUE"""),-13.95)</f>
        <v>-13.95</v>
      </c>
      <c r="G40" s="3">
        <f ca="1">IFERROR(__xludf.DUMMYFUNCTION("""COMPUTED_VALUE"""),-3.54)</f>
        <v>-3.54</v>
      </c>
      <c r="H40" s="3">
        <f ca="1">IFERROR(__xludf.DUMMYFUNCTION("""COMPUTED_VALUE"""),2)</f>
        <v>2</v>
      </c>
      <c r="I40" s="3">
        <f ca="1">IFERROR(__xludf.DUMMYFUNCTION("""COMPUTED_VALUE"""),14)</f>
        <v>14</v>
      </c>
      <c r="J40" s="3">
        <f ca="1">IFERROR(__xludf.DUMMYFUNCTION("""COMPUTED_VALUE"""),4)</f>
        <v>4</v>
      </c>
      <c r="K40" s="3">
        <f ca="1">IFERROR(__xludf.DUMMYFUNCTION("""COMPUTED_VALUE"""),8)</f>
        <v>8</v>
      </c>
      <c r="L40" s="3">
        <f ca="1">IFERROR(__xludf.DUMMYFUNCTION("""COMPUTED_VALUE"""),1)</f>
        <v>1</v>
      </c>
      <c r="M40" s="3">
        <f ca="1">IFERROR(__xludf.DUMMYFUNCTION("""COMPUTED_VALUE"""),14)</f>
        <v>14</v>
      </c>
      <c r="N40" s="3">
        <f ca="1">IFERROR(__xludf.DUMMYFUNCTION("""COMPUTED_VALUE"""),1930)</f>
        <v>1930</v>
      </c>
      <c r="O40" s="3">
        <f ca="1">IFERROR(__xludf.DUMMYFUNCTION("""COMPUTED_VALUE"""),2183)</f>
        <v>2183</v>
      </c>
      <c r="P40" s="3">
        <f ca="1">IFERROR(__xludf.DUMMYFUNCTION("""COMPUTED_VALUE"""),1185)</f>
        <v>1185</v>
      </c>
      <c r="Q40" s="3">
        <f ca="1">IFERROR(__xludf.DUMMYFUNCTION("""COMPUTED_VALUE"""),706)</f>
        <v>706</v>
      </c>
      <c r="R40" s="3">
        <f ca="1">IFERROR(__xludf.DUMMYFUNCTION("""COMPUTED_VALUE"""),1715)</f>
        <v>1715</v>
      </c>
      <c r="S40" s="3">
        <f ca="1">IFERROR(__xludf.DUMMYFUNCTION("""COMPUTED_VALUE"""),0.412)</f>
        <v>0.41199999999999998</v>
      </c>
      <c r="T40" s="3">
        <f ca="1">IFERROR(__xludf.DUMMYFUNCTION("""COMPUTED_VALUE"""),225)</f>
        <v>225</v>
      </c>
      <c r="U40" s="3">
        <f ca="1">IFERROR(__xludf.DUMMYFUNCTION("""COMPUTED_VALUE"""),687)</f>
        <v>687</v>
      </c>
      <c r="V40" s="3">
        <f ca="1">IFERROR(__xludf.DUMMYFUNCTION("""COMPUTED_VALUE"""),0.328)</f>
        <v>0.32800000000000001</v>
      </c>
      <c r="W40" s="3">
        <f ca="1">IFERROR(__xludf.DUMMYFUNCTION("""COMPUTED_VALUE"""),293)</f>
        <v>293</v>
      </c>
      <c r="X40" s="3">
        <f ca="1">IFERROR(__xludf.DUMMYFUNCTION("""COMPUTED_VALUE"""),452)</f>
        <v>452</v>
      </c>
      <c r="Y40" s="3">
        <f ca="1">IFERROR(__xludf.DUMMYFUNCTION("""COMPUTED_VALUE"""),0.648)</f>
        <v>0.64800000000000002</v>
      </c>
      <c r="Z40" s="3">
        <f ca="1">IFERROR(__xludf.DUMMYFUNCTION("""COMPUTED_VALUE"""),284)</f>
        <v>284</v>
      </c>
      <c r="AA40" s="3">
        <f ca="1">IFERROR(__xludf.DUMMYFUNCTION("""COMPUTED_VALUE"""),975)</f>
        <v>975</v>
      </c>
      <c r="AB40" s="3">
        <f ca="1">IFERROR(__xludf.DUMMYFUNCTION("""COMPUTED_VALUE"""),301)</f>
        <v>301</v>
      </c>
      <c r="AC40" s="3">
        <f ca="1">IFERROR(__xludf.DUMMYFUNCTION("""COMPUTED_VALUE"""),147)</f>
        <v>147</v>
      </c>
      <c r="AD40" s="3">
        <f ca="1">IFERROR(__xludf.DUMMYFUNCTION("""COMPUTED_VALUE"""),99)</f>
        <v>99</v>
      </c>
      <c r="AE40" s="3">
        <f ca="1">IFERROR(__xludf.DUMMYFUNCTION("""COMPUTED_VALUE"""),334)</f>
        <v>334</v>
      </c>
      <c r="AF40" s="3">
        <f ca="1">IFERROR(__xludf.DUMMYFUNCTION("""COMPUTED_VALUE"""),544)</f>
        <v>544</v>
      </c>
    </row>
    <row r="41" spans="1:32" x14ac:dyDescent="0.25">
      <c r="A41" s="3" t="str">
        <f ca="1">IFERROR(__xludf.DUMMYFUNCTION("""COMPUTED_VALUE"""),"Cal State Bakersfield")</f>
        <v>Cal State Bakersfield</v>
      </c>
      <c r="B41" s="3">
        <f ca="1">IFERROR(__xludf.DUMMYFUNCTION("""COMPUTED_VALUE"""),34)</f>
        <v>34</v>
      </c>
      <c r="C41" s="3">
        <f ca="1">IFERROR(__xludf.DUMMYFUNCTION("""COMPUTED_VALUE"""),18)</f>
        <v>18</v>
      </c>
      <c r="D41" s="3">
        <f ca="1">IFERROR(__xludf.DUMMYFUNCTION("""COMPUTED_VALUE"""),16)</f>
        <v>16</v>
      </c>
      <c r="E41" s="3">
        <f ca="1">IFERROR(__xludf.DUMMYFUNCTION("""COMPUTED_VALUE"""),0.529)</f>
        <v>0.52900000000000003</v>
      </c>
      <c r="F41" s="3">
        <f ca="1">IFERROR(__xludf.DUMMYFUNCTION("""COMPUTED_VALUE"""),-5.12)</f>
        <v>-5.12</v>
      </c>
      <c r="G41" s="3">
        <f ca="1">IFERROR(__xludf.DUMMYFUNCTION("""COMPUTED_VALUE"""),-2.63)</f>
        <v>-2.63</v>
      </c>
      <c r="H41" s="3">
        <f ca="1">IFERROR(__xludf.DUMMYFUNCTION("""COMPUTED_VALUE"""),7)</f>
        <v>7</v>
      </c>
      <c r="I41" s="3">
        <f ca="1">IFERROR(__xludf.DUMMYFUNCTION("""COMPUTED_VALUE"""),9)</f>
        <v>9</v>
      </c>
      <c r="J41" s="3">
        <f ca="1">IFERROR(__xludf.DUMMYFUNCTION("""COMPUTED_VALUE"""),9)</f>
        <v>9</v>
      </c>
      <c r="K41" s="3">
        <f ca="1">IFERROR(__xludf.DUMMYFUNCTION("""COMPUTED_VALUE"""),4)</f>
        <v>4</v>
      </c>
      <c r="L41" s="3">
        <f ca="1">IFERROR(__xludf.DUMMYFUNCTION("""COMPUTED_VALUE"""),7)</f>
        <v>7</v>
      </c>
      <c r="M41" s="3">
        <f ca="1">IFERROR(__xludf.DUMMYFUNCTION("""COMPUTED_VALUE"""),10)</f>
        <v>10</v>
      </c>
      <c r="N41" s="3">
        <f ca="1">IFERROR(__xludf.DUMMYFUNCTION("""COMPUTED_VALUE"""),2412)</f>
        <v>2412</v>
      </c>
      <c r="O41" s="3">
        <f ca="1">IFERROR(__xludf.DUMMYFUNCTION("""COMPUTED_VALUE"""),2412)</f>
        <v>2412</v>
      </c>
      <c r="P41" s="3">
        <f ca="1">IFERROR(__xludf.DUMMYFUNCTION("""COMPUTED_VALUE"""),1375)</f>
        <v>1375</v>
      </c>
      <c r="Q41" s="3">
        <f ca="1">IFERROR(__xludf.DUMMYFUNCTION("""COMPUTED_VALUE"""),887)</f>
        <v>887</v>
      </c>
      <c r="R41" s="3">
        <f ca="1">IFERROR(__xludf.DUMMYFUNCTION("""COMPUTED_VALUE"""),2092)</f>
        <v>2092</v>
      </c>
      <c r="S41" s="3">
        <f ca="1">IFERROR(__xludf.DUMMYFUNCTION("""COMPUTED_VALUE"""),0.424)</f>
        <v>0.42399999999999999</v>
      </c>
      <c r="T41" s="3">
        <f ca="1">IFERROR(__xludf.DUMMYFUNCTION("""COMPUTED_VALUE"""),221)</f>
        <v>221</v>
      </c>
      <c r="U41" s="3">
        <f ca="1">IFERROR(__xludf.DUMMYFUNCTION("""COMPUTED_VALUE"""),683)</f>
        <v>683</v>
      </c>
      <c r="V41" s="3">
        <f ca="1">IFERROR(__xludf.DUMMYFUNCTION("""COMPUTED_VALUE"""),0.324)</f>
        <v>0.32400000000000001</v>
      </c>
      <c r="W41" s="3">
        <f ca="1">IFERROR(__xludf.DUMMYFUNCTION("""COMPUTED_VALUE"""),417)</f>
        <v>417</v>
      </c>
      <c r="X41" s="3">
        <f ca="1">IFERROR(__xludf.DUMMYFUNCTION("""COMPUTED_VALUE"""),620)</f>
        <v>620</v>
      </c>
      <c r="Y41" s="3">
        <f ca="1">IFERROR(__xludf.DUMMYFUNCTION("""COMPUTED_VALUE"""),0.673)</f>
        <v>0.67300000000000004</v>
      </c>
      <c r="Z41" s="3">
        <f ca="1">IFERROR(__xludf.DUMMYFUNCTION("""COMPUTED_VALUE"""),486)</f>
        <v>486</v>
      </c>
      <c r="AA41" s="3">
        <f ca="1">IFERROR(__xludf.DUMMYFUNCTION("""COMPUTED_VALUE"""),1272)</f>
        <v>1272</v>
      </c>
      <c r="AB41" s="3">
        <f ca="1">IFERROR(__xludf.DUMMYFUNCTION("""COMPUTED_VALUE"""),379)</f>
        <v>379</v>
      </c>
      <c r="AC41" s="3">
        <f ca="1">IFERROR(__xludf.DUMMYFUNCTION("""COMPUTED_VALUE"""),218)</f>
        <v>218</v>
      </c>
      <c r="AD41" s="3">
        <f ca="1">IFERROR(__xludf.DUMMYFUNCTION("""COMPUTED_VALUE"""),105)</f>
        <v>105</v>
      </c>
      <c r="AE41" s="3">
        <f ca="1">IFERROR(__xludf.DUMMYFUNCTION("""COMPUTED_VALUE"""),439)</f>
        <v>439</v>
      </c>
      <c r="AF41" s="3">
        <f ca="1">IFERROR(__xludf.DUMMYFUNCTION("""COMPUTED_VALUE"""),747)</f>
        <v>747</v>
      </c>
    </row>
    <row r="42" spans="1:32" x14ac:dyDescent="0.25">
      <c r="A42" s="3" t="str">
        <f ca="1">IFERROR(__xludf.DUMMYFUNCTION("""COMPUTED_VALUE"""),"Cal State Fullerton")</f>
        <v>Cal State Fullerton</v>
      </c>
      <c r="B42" s="3">
        <f ca="1">IFERROR(__xludf.DUMMYFUNCTION("""COMPUTED_VALUE"""),34)</f>
        <v>34</v>
      </c>
      <c r="C42" s="3">
        <f ca="1">IFERROR(__xludf.DUMMYFUNCTION("""COMPUTED_VALUE"""),16)</f>
        <v>16</v>
      </c>
      <c r="D42" s="3">
        <f ca="1">IFERROR(__xludf.DUMMYFUNCTION("""COMPUTED_VALUE"""),18)</f>
        <v>18</v>
      </c>
      <c r="E42" s="3">
        <f ca="1">IFERROR(__xludf.DUMMYFUNCTION("""COMPUTED_VALUE"""),0.471)</f>
        <v>0.47099999999999997</v>
      </c>
      <c r="F42" s="3">
        <f ca="1">IFERROR(__xludf.DUMMYFUNCTION("""COMPUTED_VALUE"""),-3.29)</f>
        <v>-3.29</v>
      </c>
      <c r="G42" s="3">
        <f ca="1">IFERROR(__xludf.DUMMYFUNCTION("""COMPUTED_VALUE"""),-1.14)</f>
        <v>-1.1399999999999999</v>
      </c>
      <c r="H42" s="3">
        <f ca="1">IFERROR(__xludf.DUMMYFUNCTION("""COMPUTED_VALUE"""),10)</f>
        <v>10</v>
      </c>
      <c r="I42" s="3">
        <f ca="1">IFERROR(__xludf.DUMMYFUNCTION("""COMPUTED_VALUE"""),6)</f>
        <v>6</v>
      </c>
      <c r="J42" s="3">
        <f ca="1">IFERROR(__xludf.DUMMYFUNCTION("""COMPUTED_VALUE"""),9)</f>
        <v>9</v>
      </c>
      <c r="K42" s="3">
        <f ca="1">IFERROR(__xludf.DUMMYFUNCTION("""COMPUTED_VALUE"""),4)</f>
        <v>4</v>
      </c>
      <c r="L42" s="3">
        <f ca="1">IFERROR(__xludf.DUMMYFUNCTION("""COMPUTED_VALUE"""),4)</f>
        <v>4</v>
      </c>
      <c r="M42" s="3">
        <f ca="1">IFERROR(__xludf.DUMMYFUNCTION("""COMPUTED_VALUE"""),11)</f>
        <v>11</v>
      </c>
      <c r="N42" s="3">
        <f ca="1">IFERROR(__xludf.DUMMYFUNCTION("""COMPUTED_VALUE"""),2437)</f>
        <v>2437</v>
      </c>
      <c r="O42" s="3">
        <f ca="1">IFERROR(__xludf.DUMMYFUNCTION("""COMPUTED_VALUE"""),2414)</f>
        <v>2414</v>
      </c>
      <c r="P42" s="3">
        <f ca="1">IFERROR(__xludf.DUMMYFUNCTION("""COMPUTED_VALUE"""),1385)</f>
        <v>1385</v>
      </c>
      <c r="Q42" s="3">
        <f ca="1">IFERROR(__xludf.DUMMYFUNCTION("""COMPUTED_VALUE"""),868)</f>
        <v>868</v>
      </c>
      <c r="R42" s="3">
        <f ca="1">IFERROR(__xludf.DUMMYFUNCTION("""COMPUTED_VALUE"""),1911)</f>
        <v>1911</v>
      </c>
      <c r="S42" s="3">
        <f ca="1">IFERROR(__xludf.DUMMYFUNCTION("""COMPUTED_VALUE"""),0.454)</f>
        <v>0.45400000000000001</v>
      </c>
      <c r="T42" s="3">
        <f ca="1">IFERROR(__xludf.DUMMYFUNCTION("""COMPUTED_VALUE"""),187)</f>
        <v>187</v>
      </c>
      <c r="U42" s="3">
        <f ca="1">IFERROR(__xludf.DUMMYFUNCTION("""COMPUTED_VALUE"""),589)</f>
        <v>589</v>
      </c>
      <c r="V42" s="3">
        <f ca="1">IFERROR(__xludf.DUMMYFUNCTION("""COMPUTED_VALUE"""),0.317)</f>
        <v>0.317</v>
      </c>
      <c r="W42" s="3">
        <f ca="1">IFERROR(__xludf.DUMMYFUNCTION("""COMPUTED_VALUE"""),514)</f>
        <v>514</v>
      </c>
      <c r="X42" s="3">
        <f ca="1">IFERROR(__xludf.DUMMYFUNCTION("""COMPUTED_VALUE"""),726)</f>
        <v>726</v>
      </c>
      <c r="Y42" s="3">
        <f ca="1">IFERROR(__xludf.DUMMYFUNCTION("""COMPUTED_VALUE"""),0.708)</f>
        <v>0.70799999999999996</v>
      </c>
      <c r="Z42" s="3">
        <f ca="1">IFERROR(__xludf.DUMMYFUNCTION("""COMPUTED_VALUE"""),277)</f>
        <v>277</v>
      </c>
      <c r="AA42" s="3">
        <f ca="1">IFERROR(__xludf.DUMMYFUNCTION("""COMPUTED_VALUE"""),1224)</f>
        <v>1224</v>
      </c>
      <c r="AB42" s="3">
        <f ca="1">IFERROR(__xludf.DUMMYFUNCTION("""COMPUTED_VALUE"""),407)</f>
        <v>407</v>
      </c>
      <c r="AC42" s="3">
        <f ca="1">IFERROR(__xludf.DUMMYFUNCTION("""COMPUTED_VALUE"""),200)</f>
        <v>200</v>
      </c>
      <c r="AD42" s="3">
        <f ca="1">IFERROR(__xludf.DUMMYFUNCTION("""COMPUTED_VALUE"""),118)</f>
        <v>118</v>
      </c>
      <c r="AE42" s="3">
        <f ca="1">IFERROR(__xludf.DUMMYFUNCTION("""COMPUTED_VALUE"""),450)</f>
        <v>450</v>
      </c>
      <c r="AF42" s="3">
        <f ca="1">IFERROR(__xludf.DUMMYFUNCTION("""COMPUTED_VALUE"""),639)</f>
        <v>639</v>
      </c>
    </row>
    <row r="43" spans="1:32" x14ac:dyDescent="0.25">
      <c r="A43" s="3" t="str">
        <f ca="1">IFERROR(__xludf.DUMMYFUNCTION("""COMPUTED_VALUE"""),"Cal State Northridge")</f>
        <v>Cal State Northridge</v>
      </c>
      <c r="B43" s="3">
        <f ca="1">IFERROR(__xludf.DUMMYFUNCTION("""COMPUTED_VALUE"""),34)</f>
        <v>34</v>
      </c>
      <c r="C43" s="3">
        <f ca="1">IFERROR(__xludf.DUMMYFUNCTION("""COMPUTED_VALUE"""),13)</f>
        <v>13</v>
      </c>
      <c r="D43" s="3">
        <f ca="1">IFERROR(__xludf.DUMMYFUNCTION("""COMPUTED_VALUE"""),21)</f>
        <v>21</v>
      </c>
      <c r="E43" s="3">
        <f ca="1">IFERROR(__xludf.DUMMYFUNCTION("""COMPUTED_VALUE"""),0.382)</f>
        <v>0.38200000000000001</v>
      </c>
      <c r="F43" s="3">
        <f ca="1">IFERROR(__xludf.DUMMYFUNCTION("""COMPUTED_VALUE"""),-6.54)</f>
        <v>-6.54</v>
      </c>
      <c r="G43" s="3">
        <f ca="1">IFERROR(__xludf.DUMMYFUNCTION("""COMPUTED_VALUE"""),-3.39)</f>
        <v>-3.39</v>
      </c>
      <c r="H43" s="3">
        <f ca="1">IFERROR(__xludf.DUMMYFUNCTION("""COMPUTED_VALUE"""),7)</f>
        <v>7</v>
      </c>
      <c r="I43" s="3">
        <f ca="1">IFERROR(__xludf.DUMMYFUNCTION("""COMPUTED_VALUE"""),9)</f>
        <v>9</v>
      </c>
      <c r="J43" s="3">
        <f ca="1">IFERROR(__xludf.DUMMYFUNCTION("""COMPUTED_VALUE"""),7)</f>
        <v>7</v>
      </c>
      <c r="K43" s="3">
        <f ca="1">IFERROR(__xludf.DUMMYFUNCTION("""COMPUTED_VALUE"""),9)</f>
        <v>9</v>
      </c>
      <c r="L43" s="3">
        <f ca="1">IFERROR(__xludf.DUMMYFUNCTION("""COMPUTED_VALUE"""),4)</f>
        <v>4</v>
      </c>
      <c r="M43" s="3">
        <f ca="1">IFERROR(__xludf.DUMMYFUNCTION("""COMPUTED_VALUE"""),11)</f>
        <v>11</v>
      </c>
      <c r="N43" s="3">
        <f ca="1">IFERROR(__xludf.DUMMYFUNCTION("""COMPUTED_VALUE"""),2601)</f>
        <v>2601</v>
      </c>
      <c r="O43" s="3">
        <f ca="1">IFERROR(__xludf.DUMMYFUNCTION("""COMPUTED_VALUE"""),2701)</f>
        <v>2701</v>
      </c>
      <c r="P43" s="3">
        <f ca="1">IFERROR(__xludf.DUMMYFUNCTION("""COMPUTED_VALUE"""),1375)</f>
        <v>1375</v>
      </c>
      <c r="Q43" s="3">
        <f ca="1">IFERROR(__xludf.DUMMYFUNCTION("""COMPUTED_VALUE"""),968)</f>
        <v>968</v>
      </c>
      <c r="R43" s="3">
        <f ca="1">IFERROR(__xludf.DUMMYFUNCTION("""COMPUTED_VALUE"""),2103)</f>
        <v>2103</v>
      </c>
      <c r="S43" s="3">
        <f ca="1">IFERROR(__xludf.DUMMYFUNCTION("""COMPUTED_VALUE"""),0.46)</f>
        <v>0.46</v>
      </c>
      <c r="T43" s="3">
        <f ca="1">IFERROR(__xludf.DUMMYFUNCTION("""COMPUTED_VALUE"""),234)</f>
        <v>234</v>
      </c>
      <c r="U43" s="3">
        <f ca="1">IFERROR(__xludf.DUMMYFUNCTION("""COMPUTED_VALUE"""),648)</f>
        <v>648</v>
      </c>
      <c r="V43" s="3">
        <f ca="1">IFERROR(__xludf.DUMMYFUNCTION("""COMPUTED_VALUE"""),0.361)</f>
        <v>0.36099999999999999</v>
      </c>
      <c r="W43" s="3">
        <f ca="1">IFERROR(__xludf.DUMMYFUNCTION("""COMPUTED_VALUE"""),431)</f>
        <v>431</v>
      </c>
      <c r="X43" s="3">
        <f ca="1">IFERROR(__xludf.DUMMYFUNCTION("""COMPUTED_VALUE"""),676)</f>
        <v>676</v>
      </c>
      <c r="Y43" s="3">
        <f ca="1">IFERROR(__xludf.DUMMYFUNCTION("""COMPUTED_VALUE"""),0.638)</f>
        <v>0.63800000000000001</v>
      </c>
      <c r="Z43" s="3">
        <f ca="1">IFERROR(__xludf.DUMMYFUNCTION("""COMPUTED_VALUE"""),352)</f>
        <v>352</v>
      </c>
      <c r="AA43" s="3">
        <f ca="1">IFERROR(__xludf.DUMMYFUNCTION("""COMPUTED_VALUE"""),1214)</f>
        <v>1214</v>
      </c>
      <c r="AB43" s="3">
        <f ca="1">IFERROR(__xludf.DUMMYFUNCTION("""COMPUTED_VALUE"""),512)</f>
        <v>512</v>
      </c>
      <c r="AC43" s="3">
        <f ca="1">IFERROR(__xludf.DUMMYFUNCTION("""COMPUTED_VALUE"""),225)</f>
        <v>225</v>
      </c>
      <c r="AD43" s="3">
        <f ca="1">IFERROR(__xludf.DUMMYFUNCTION("""COMPUTED_VALUE"""),154)</f>
        <v>154</v>
      </c>
      <c r="AE43" s="3">
        <f ca="1">IFERROR(__xludf.DUMMYFUNCTION("""COMPUTED_VALUE"""),410)</f>
        <v>410</v>
      </c>
      <c r="AF43" s="3">
        <f ca="1">IFERROR(__xludf.DUMMYFUNCTION("""COMPUTED_VALUE"""),641)</f>
        <v>641</v>
      </c>
    </row>
    <row r="44" spans="1:32" x14ac:dyDescent="0.25">
      <c r="A44" s="3" t="str">
        <f ca="1">IFERROR(__xludf.DUMMYFUNCTION("""COMPUTED_VALUE"""),"Overall")</f>
        <v>Overall</v>
      </c>
      <c r="B44" s="3" t="str">
        <f ca="1">IFERROR(__xludf.DUMMYFUNCTION("""COMPUTED_VALUE"""),"Conf.")</f>
        <v>Conf.</v>
      </c>
      <c r="C44" s="3" t="str">
        <f ca="1">IFERROR(__xludf.DUMMYFUNCTION("""COMPUTED_VALUE"""),"Home")</f>
        <v>Home</v>
      </c>
      <c r="D44" s="3" t="str">
        <f ca="1">IFERROR(__xludf.DUMMYFUNCTION("""COMPUTED_VALUE"""),"Away")</f>
        <v>Away</v>
      </c>
      <c r="E44" s="3" t="str">
        <f ca="1">IFERROR(__xludf.DUMMYFUNCTION("""COMPUTED_VALUE"""),"Points")</f>
        <v>Points</v>
      </c>
      <c r="F44" s="3" t="str">
        <f ca="1">IFERROR(__xludf.DUMMYFUNCTION("""COMPUTED_VALUE"""),"")</f>
        <v/>
      </c>
      <c r="G44" s="3" t="str">
        <f ca="1">IFERROR(__xludf.DUMMYFUNCTION("""COMPUTED_VALUE"""),"School Totals")</f>
        <v>School Totals</v>
      </c>
      <c r="H44" s="3" t="str">
        <f ca="1">IFERROR(__xludf.DUMMYFUNCTION("""COMPUTED_VALUE"""),"")</f>
        <v/>
      </c>
      <c r="I44" s="3" t="str">
        <f ca="1">IFERROR(__xludf.DUMMYFUNCTION("""COMPUTED_VALUE"""),"")</f>
        <v/>
      </c>
      <c r="J44" s="3" t="str">
        <f ca="1">IFERROR(__xludf.DUMMYFUNCTION("""COMPUTED_VALUE"""),"")</f>
        <v/>
      </c>
      <c r="K44" s="3" t="str">
        <f ca="1">IFERROR(__xludf.DUMMYFUNCTION("""COMPUTED_VALUE"""),"")</f>
        <v/>
      </c>
      <c r="L44" s="3" t="str">
        <f ca="1">IFERROR(__xludf.DUMMYFUNCTION("""COMPUTED_VALUE"""),"")</f>
        <v/>
      </c>
      <c r="M44" s="3" t="str">
        <f ca="1">IFERROR(__xludf.DUMMYFUNCTION("""COMPUTED_VALUE"""),"")</f>
        <v/>
      </c>
      <c r="N44" s="3" t="str">
        <f ca="1">IFERROR(__xludf.DUMMYFUNCTION("""COMPUTED_VALUE"""),"")</f>
        <v/>
      </c>
      <c r="O44" s="3" t="str">
        <f ca="1">IFERROR(__xludf.DUMMYFUNCTION("""COMPUTED_VALUE"""),"")</f>
        <v/>
      </c>
      <c r="P44" s="3" t="str">
        <f ca="1">IFERROR(__xludf.DUMMYFUNCTION("""COMPUTED_VALUE"""),"")</f>
        <v/>
      </c>
      <c r="Q44" s="3" t="str">
        <f ca="1">IFERROR(__xludf.DUMMYFUNCTION("""COMPUTED_VALUE"""),"")</f>
        <v/>
      </c>
      <c r="R44" s="3" t="str">
        <f ca="1">IFERROR(__xludf.DUMMYFUNCTION("""COMPUTED_VALUE"""),"")</f>
        <v/>
      </c>
      <c r="S44" s="3" t="str">
        <f ca="1">IFERROR(__xludf.DUMMYFUNCTION("""COMPUTED_VALUE"""),"")</f>
        <v/>
      </c>
      <c r="T44" s="3" t="str">
        <f ca="1">IFERROR(__xludf.DUMMYFUNCTION("""COMPUTED_VALUE"""),"")</f>
        <v/>
      </c>
      <c r="U44" s="3" t="str">
        <f ca="1">IFERROR(__xludf.DUMMYFUNCTION("""COMPUTED_VALUE"""),"")</f>
        <v/>
      </c>
      <c r="V44" s="3" t="str">
        <f ca="1">IFERROR(__xludf.DUMMYFUNCTION("""COMPUTED_VALUE"""),"")</f>
        <v/>
      </c>
      <c r="W44" s="3" t="str">
        <f ca="1">IFERROR(__xludf.DUMMYFUNCTION("""COMPUTED_VALUE"""),"")</f>
        <v/>
      </c>
      <c r="X44" s="3" t="str">
        <f ca="1">IFERROR(__xludf.DUMMYFUNCTION("""COMPUTED_VALUE"""),"")</f>
        <v/>
      </c>
      <c r="Y44" s="3" t="str">
        <f ca="1">IFERROR(__xludf.DUMMYFUNCTION("""COMPUTED_VALUE"""),"")</f>
        <v/>
      </c>
      <c r="Z44" s="3" t="str">
        <f ca="1">IFERROR(__xludf.DUMMYFUNCTION("""COMPUTED_VALUE"""),"")</f>
        <v/>
      </c>
      <c r="AA44" s="3" t="str">
        <f ca="1">IFERROR(__xludf.DUMMYFUNCTION("""COMPUTED_VALUE"""),"")</f>
        <v/>
      </c>
      <c r="AB44" s="3" t="str">
        <f ca="1">IFERROR(__xludf.DUMMYFUNCTION("""COMPUTED_VALUE"""),"")</f>
        <v/>
      </c>
      <c r="AC44" s="3" t="str">
        <f ca="1">IFERROR(__xludf.DUMMYFUNCTION("""COMPUTED_VALUE"""),"")</f>
        <v/>
      </c>
      <c r="AD44" s="3" t="str">
        <f ca="1">IFERROR(__xludf.DUMMYFUNCTION("""COMPUTED_VALUE"""),"")</f>
        <v/>
      </c>
      <c r="AE44" s="3" t="str">
        <f ca="1">IFERROR(__xludf.DUMMYFUNCTION("""COMPUTED_VALUE"""),"")</f>
        <v/>
      </c>
      <c r="AF44" s="3" t="str">
        <f ca="1">IFERROR(__xludf.DUMMYFUNCTION("""COMPUTED_VALUE"""),"")</f>
        <v/>
      </c>
    </row>
    <row r="45" spans="1:32" x14ac:dyDescent="0.25">
      <c r="A45" s="3" t="str">
        <f ca="1">IFERROR(__xludf.DUMMYFUNCTION("""COMPUTED_VALUE"""),"School")</f>
        <v>School</v>
      </c>
      <c r="B45" s="3" t="str">
        <f ca="1">IFERROR(__xludf.DUMMYFUNCTION("""COMPUTED_VALUE"""),"G")</f>
        <v>G</v>
      </c>
      <c r="C45" s="3" t="str">
        <f ca="1">IFERROR(__xludf.DUMMYFUNCTION("""COMPUTED_VALUE"""),"W")</f>
        <v>W</v>
      </c>
      <c r="D45" s="3" t="str">
        <f ca="1">IFERROR(__xludf.DUMMYFUNCTION("""COMPUTED_VALUE"""),"L")</f>
        <v>L</v>
      </c>
      <c r="E45" s="3" t="str">
        <f ca="1">IFERROR(__xludf.DUMMYFUNCTION("""COMPUTED_VALUE"""),"W-L%")</f>
        <v>W-L%</v>
      </c>
      <c r="F45" s="3" t="str">
        <f ca="1">IFERROR(__xludf.DUMMYFUNCTION("""COMPUTED_VALUE"""),"SRS")</f>
        <v>SRS</v>
      </c>
      <c r="G45" s="3" t="str">
        <f ca="1">IFERROR(__xludf.DUMMYFUNCTION("""COMPUTED_VALUE"""),"SOS")</f>
        <v>SOS</v>
      </c>
      <c r="H45" s="3" t="str">
        <f ca="1">IFERROR(__xludf.DUMMYFUNCTION("""COMPUTED_VALUE"""),"W")</f>
        <v>W</v>
      </c>
      <c r="I45" s="3" t="str">
        <f ca="1">IFERROR(__xludf.DUMMYFUNCTION("""COMPUTED_VALUE"""),"L")</f>
        <v>L</v>
      </c>
      <c r="J45" s="3" t="str">
        <f ca="1">IFERROR(__xludf.DUMMYFUNCTION("""COMPUTED_VALUE"""),"W")</f>
        <v>W</v>
      </c>
      <c r="K45" s="3" t="str">
        <f ca="1">IFERROR(__xludf.DUMMYFUNCTION("""COMPUTED_VALUE"""),"L")</f>
        <v>L</v>
      </c>
      <c r="L45" s="3" t="str">
        <f ca="1">IFERROR(__xludf.DUMMYFUNCTION("""COMPUTED_VALUE"""),"W")</f>
        <v>W</v>
      </c>
      <c r="M45" s="3" t="str">
        <f ca="1">IFERROR(__xludf.DUMMYFUNCTION("""COMPUTED_VALUE"""),"L")</f>
        <v>L</v>
      </c>
      <c r="N45" s="3" t="str">
        <f ca="1">IFERROR(__xludf.DUMMYFUNCTION("""COMPUTED_VALUE"""),"Tm.")</f>
        <v>Tm.</v>
      </c>
      <c r="O45" s="3" t="str">
        <f ca="1">IFERROR(__xludf.DUMMYFUNCTION("""COMPUTED_VALUE"""),"Opp.")</f>
        <v>Opp.</v>
      </c>
      <c r="P45" s="3" t="str">
        <f ca="1">IFERROR(__xludf.DUMMYFUNCTION("""COMPUTED_VALUE"""),"MP")</f>
        <v>MP</v>
      </c>
      <c r="Q45" s="3" t="str">
        <f ca="1">IFERROR(__xludf.DUMMYFUNCTION("""COMPUTED_VALUE"""),"FG")</f>
        <v>FG</v>
      </c>
      <c r="R45" s="3" t="str">
        <f ca="1">IFERROR(__xludf.DUMMYFUNCTION("""COMPUTED_VALUE"""),"FGA")</f>
        <v>FGA</v>
      </c>
      <c r="S45" s="3" t="str">
        <f ca="1">IFERROR(__xludf.DUMMYFUNCTION("""COMPUTED_VALUE"""),"FG%")</f>
        <v>FG%</v>
      </c>
      <c r="T45" s="3" t="str">
        <f ca="1">IFERROR(__xludf.DUMMYFUNCTION("""COMPUTED_VALUE"""),"3P")</f>
        <v>3P</v>
      </c>
      <c r="U45" s="3" t="str">
        <f ca="1">IFERROR(__xludf.DUMMYFUNCTION("""COMPUTED_VALUE"""),"3PA")</f>
        <v>3PA</v>
      </c>
      <c r="V45" s="3" t="str">
        <f ca="1">IFERROR(__xludf.DUMMYFUNCTION("""COMPUTED_VALUE"""),"3P%")</f>
        <v>3P%</v>
      </c>
      <c r="W45" s="3" t="str">
        <f ca="1">IFERROR(__xludf.DUMMYFUNCTION("""COMPUTED_VALUE"""),"FT")</f>
        <v>FT</v>
      </c>
      <c r="X45" s="3" t="str">
        <f ca="1">IFERROR(__xludf.DUMMYFUNCTION("""COMPUTED_VALUE"""),"FTA")</f>
        <v>FTA</v>
      </c>
      <c r="Y45" s="3" t="str">
        <f ca="1">IFERROR(__xludf.DUMMYFUNCTION("""COMPUTED_VALUE"""),"FT%")</f>
        <v>FT%</v>
      </c>
      <c r="Z45" s="3" t="str">
        <f ca="1">IFERROR(__xludf.DUMMYFUNCTION("""COMPUTED_VALUE"""),"ORB")</f>
        <v>ORB</v>
      </c>
      <c r="AA45" s="3" t="str">
        <f ca="1">IFERROR(__xludf.DUMMYFUNCTION("""COMPUTED_VALUE"""),"TRB")</f>
        <v>TRB</v>
      </c>
      <c r="AB45" s="3" t="str">
        <f ca="1">IFERROR(__xludf.DUMMYFUNCTION("""COMPUTED_VALUE"""),"AST")</f>
        <v>AST</v>
      </c>
      <c r="AC45" s="3" t="str">
        <f ca="1">IFERROR(__xludf.DUMMYFUNCTION("""COMPUTED_VALUE"""),"STL")</f>
        <v>STL</v>
      </c>
      <c r="AD45" s="3" t="str">
        <f ca="1">IFERROR(__xludf.DUMMYFUNCTION("""COMPUTED_VALUE"""),"BLK")</f>
        <v>BLK</v>
      </c>
      <c r="AE45" s="3" t="str">
        <f ca="1">IFERROR(__xludf.DUMMYFUNCTION("""COMPUTED_VALUE"""),"TOV")</f>
        <v>TOV</v>
      </c>
      <c r="AF45" s="3" t="str">
        <f ca="1">IFERROR(__xludf.DUMMYFUNCTION("""COMPUTED_VALUE"""),"PF")</f>
        <v>PF</v>
      </c>
    </row>
    <row r="46" spans="1:32" x14ac:dyDescent="0.25">
      <c r="A46" s="3" t="str">
        <f ca="1">IFERROR(__xludf.DUMMYFUNCTION("""COMPUTED_VALUE"""),"California Baptist")</f>
        <v>California Baptist</v>
      </c>
      <c r="B46" s="3">
        <f ca="1">IFERROR(__xludf.DUMMYFUNCTION("""COMPUTED_VALUE"""),31)</f>
        <v>31</v>
      </c>
      <c r="C46" s="3">
        <f ca="1">IFERROR(__xludf.DUMMYFUNCTION("""COMPUTED_VALUE"""),16)</f>
        <v>16</v>
      </c>
      <c r="D46" s="3">
        <f ca="1">IFERROR(__xludf.DUMMYFUNCTION("""COMPUTED_VALUE"""),15)</f>
        <v>15</v>
      </c>
      <c r="E46" s="3">
        <f ca="1">IFERROR(__xludf.DUMMYFUNCTION("""COMPUTED_VALUE"""),0.516)</f>
        <v>0.51600000000000001</v>
      </c>
      <c r="F46" s="3">
        <f ca="1">IFERROR(__xludf.DUMMYFUNCTION("""COMPUTED_VALUE"""),-3.89)</f>
        <v>-3.89</v>
      </c>
      <c r="G46" s="3">
        <f ca="1">IFERROR(__xludf.DUMMYFUNCTION("""COMPUTED_VALUE"""),-4.12)</f>
        <v>-4.12</v>
      </c>
      <c r="H46" s="3">
        <f ca="1">IFERROR(__xludf.DUMMYFUNCTION("""COMPUTED_VALUE"""),7)</f>
        <v>7</v>
      </c>
      <c r="I46" s="3">
        <f ca="1">IFERROR(__xludf.DUMMYFUNCTION("""COMPUTED_VALUE"""),9)</f>
        <v>9</v>
      </c>
      <c r="J46" s="3">
        <f ca="1">IFERROR(__xludf.DUMMYFUNCTION("""COMPUTED_VALUE"""),8)</f>
        <v>8</v>
      </c>
      <c r="K46" s="3">
        <f ca="1">IFERROR(__xludf.DUMMYFUNCTION("""COMPUTED_VALUE"""),7)</f>
        <v>7</v>
      </c>
      <c r="L46" s="3">
        <f ca="1">IFERROR(__xludf.DUMMYFUNCTION("""COMPUTED_VALUE"""),8)</f>
        <v>8</v>
      </c>
      <c r="M46" s="3">
        <f ca="1">IFERROR(__xludf.DUMMYFUNCTION("""COMPUTED_VALUE"""),6)</f>
        <v>6</v>
      </c>
      <c r="N46" s="3">
        <f ca="1">IFERROR(__xludf.DUMMYFUNCTION("""COMPUTED_VALUE"""),2403)</f>
        <v>2403</v>
      </c>
      <c r="O46" s="3">
        <f ca="1">IFERROR(__xludf.DUMMYFUNCTION("""COMPUTED_VALUE"""),2241)</f>
        <v>2241</v>
      </c>
      <c r="P46" s="3">
        <f ca="1">IFERROR(__xludf.DUMMYFUNCTION("""COMPUTED_VALUE"""),1260)</f>
        <v>1260</v>
      </c>
      <c r="Q46" s="3">
        <f ca="1">IFERROR(__xludf.DUMMYFUNCTION("""COMPUTED_VALUE"""),831)</f>
        <v>831</v>
      </c>
      <c r="R46" s="3">
        <f ca="1">IFERROR(__xludf.DUMMYFUNCTION("""COMPUTED_VALUE"""),1859)</f>
        <v>1859</v>
      </c>
      <c r="S46" s="3">
        <f ca="1">IFERROR(__xludf.DUMMYFUNCTION("""COMPUTED_VALUE"""),0.447)</f>
        <v>0.44700000000000001</v>
      </c>
      <c r="T46" s="3">
        <f ca="1">IFERROR(__xludf.DUMMYFUNCTION("""COMPUTED_VALUE"""),287)</f>
        <v>287</v>
      </c>
      <c r="U46" s="3">
        <f ca="1">IFERROR(__xludf.DUMMYFUNCTION("""COMPUTED_VALUE"""),800)</f>
        <v>800</v>
      </c>
      <c r="V46" s="3">
        <f ca="1">IFERROR(__xludf.DUMMYFUNCTION("""COMPUTED_VALUE"""),0.359)</f>
        <v>0.35899999999999999</v>
      </c>
      <c r="W46" s="3">
        <f ca="1">IFERROR(__xludf.DUMMYFUNCTION("""COMPUTED_VALUE"""),454)</f>
        <v>454</v>
      </c>
      <c r="X46" s="3">
        <f ca="1">IFERROR(__xludf.DUMMYFUNCTION("""COMPUTED_VALUE"""),576)</f>
        <v>576</v>
      </c>
      <c r="Y46" s="3">
        <f ca="1">IFERROR(__xludf.DUMMYFUNCTION("""COMPUTED_VALUE"""),0.788)</f>
        <v>0.78800000000000003</v>
      </c>
      <c r="Z46" s="3">
        <f ca="1">IFERROR(__xludf.DUMMYFUNCTION("""COMPUTED_VALUE"""),306)</f>
        <v>306</v>
      </c>
      <c r="AA46" s="3">
        <f ca="1">IFERROR(__xludf.DUMMYFUNCTION("""COMPUTED_VALUE"""),1171)</f>
        <v>1171</v>
      </c>
      <c r="AB46" s="3">
        <f ca="1">IFERROR(__xludf.DUMMYFUNCTION("""COMPUTED_VALUE"""),345)</f>
        <v>345</v>
      </c>
      <c r="AC46" s="3">
        <f ca="1">IFERROR(__xludf.DUMMYFUNCTION("""COMPUTED_VALUE"""),148)</f>
        <v>148</v>
      </c>
      <c r="AD46" s="3">
        <f ca="1">IFERROR(__xludf.DUMMYFUNCTION("""COMPUTED_VALUE"""),85)</f>
        <v>85</v>
      </c>
      <c r="AE46" s="3">
        <f ca="1">IFERROR(__xludf.DUMMYFUNCTION("""COMPUTED_VALUE"""),379)</f>
        <v>379</v>
      </c>
      <c r="AF46" s="3">
        <f ca="1">IFERROR(__xludf.DUMMYFUNCTION("""COMPUTED_VALUE"""),623)</f>
        <v>623</v>
      </c>
    </row>
    <row r="47" spans="1:32" x14ac:dyDescent="0.25">
      <c r="A47" s="3" t="str">
        <f ca="1">IFERROR(__xludf.DUMMYFUNCTION("""COMPUTED_VALUE"""),"UC-Davis")</f>
        <v>UC-Davis</v>
      </c>
      <c r="B47" s="3">
        <f ca="1">IFERROR(__xludf.DUMMYFUNCTION("""COMPUTED_VALUE"""),31)</f>
        <v>31</v>
      </c>
      <c r="C47" s="3">
        <f ca="1">IFERROR(__xludf.DUMMYFUNCTION("""COMPUTED_VALUE"""),11)</f>
        <v>11</v>
      </c>
      <c r="D47" s="3">
        <f ca="1">IFERROR(__xludf.DUMMYFUNCTION("""COMPUTED_VALUE"""),20)</f>
        <v>20</v>
      </c>
      <c r="E47" s="3">
        <f ca="1">IFERROR(__xludf.DUMMYFUNCTION("""COMPUTED_VALUE"""),0.355)</f>
        <v>0.35499999999999998</v>
      </c>
      <c r="F47" s="3">
        <f ca="1">IFERROR(__xludf.DUMMYFUNCTION("""COMPUTED_VALUE"""),-6.26)</f>
        <v>-6.26</v>
      </c>
      <c r="G47" s="3">
        <f ca="1">IFERROR(__xludf.DUMMYFUNCTION("""COMPUTED_VALUE"""),-1.5)</f>
        <v>-1.5</v>
      </c>
      <c r="H47" s="3">
        <f ca="1">IFERROR(__xludf.DUMMYFUNCTION("""COMPUTED_VALUE"""),7)</f>
        <v>7</v>
      </c>
      <c r="I47" s="3">
        <f ca="1">IFERROR(__xludf.DUMMYFUNCTION("""COMPUTED_VALUE"""),9)</f>
        <v>9</v>
      </c>
      <c r="J47" s="3">
        <f ca="1">IFERROR(__xludf.DUMMYFUNCTION("""COMPUTED_VALUE"""),7)</f>
        <v>7</v>
      </c>
      <c r="K47" s="3">
        <f ca="1">IFERROR(__xludf.DUMMYFUNCTION("""COMPUTED_VALUE"""),6)</f>
        <v>6</v>
      </c>
      <c r="L47" s="3">
        <f ca="1">IFERROR(__xludf.DUMMYFUNCTION("""COMPUTED_VALUE"""),3)</f>
        <v>3</v>
      </c>
      <c r="M47" s="3">
        <f ca="1">IFERROR(__xludf.DUMMYFUNCTION("""COMPUTED_VALUE"""),12)</f>
        <v>12</v>
      </c>
      <c r="N47" s="3">
        <f ca="1">IFERROR(__xludf.DUMMYFUNCTION("""COMPUTED_VALUE"""),2038)</f>
        <v>2038</v>
      </c>
      <c r="O47" s="3">
        <f ca="1">IFERROR(__xludf.DUMMYFUNCTION("""COMPUTED_VALUE"""),2128)</f>
        <v>2128</v>
      </c>
      <c r="P47" s="3">
        <f ca="1">IFERROR(__xludf.DUMMYFUNCTION("""COMPUTED_VALUE"""),1260)</f>
        <v>1260</v>
      </c>
      <c r="Q47" s="3">
        <f ca="1">IFERROR(__xludf.DUMMYFUNCTION("""COMPUTED_VALUE"""),735)</f>
        <v>735</v>
      </c>
      <c r="R47" s="3">
        <f ca="1">IFERROR(__xludf.DUMMYFUNCTION("""COMPUTED_VALUE"""),1673)</f>
        <v>1673</v>
      </c>
      <c r="S47" s="3">
        <f ca="1">IFERROR(__xludf.DUMMYFUNCTION("""COMPUTED_VALUE"""),0.439)</f>
        <v>0.439</v>
      </c>
      <c r="T47" s="3">
        <f ca="1">IFERROR(__xludf.DUMMYFUNCTION("""COMPUTED_VALUE"""),203)</f>
        <v>203</v>
      </c>
      <c r="U47" s="3">
        <f ca="1">IFERROR(__xludf.DUMMYFUNCTION("""COMPUTED_VALUE"""),619)</f>
        <v>619</v>
      </c>
      <c r="V47" s="3">
        <f ca="1">IFERROR(__xludf.DUMMYFUNCTION("""COMPUTED_VALUE"""),0.328)</f>
        <v>0.32800000000000001</v>
      </c>
      <c r="W47" s="3">
        <f ca="1">IFERROR(__xludf.DUMMYFUNCTION("""COMPUTED_VALUE"""),365)</f>
        <v>365</v>
      </c>
      <c r="X47" s="3">
        <f ca="1">IFERROR(__xludf.DUMMYFUNCTION("""COMPUTED_VALUE"""),515)</f>
        <v>515</v>
      </c>
      <c r="Y47" s="3">
        <f ca="1">IFERROR(__xludf.DUMMYFUNCTION("""COMPUTED_VALUE"""),0.709)</f>
        <v>0.70899999999999996</v>
      </c>
      <c r="Z47" s="3">
        <f ca="1">IFERROR(__xludf.DUMMYFUNCTION("""COMPUTED_VALUE"""),218)</f>
        <v>218</v>
      </c>
      <c r="AA47" s="3">
        <f ca="1">IFERROR(__xludf.DUMMYFUNCTION("""COMPUTED_VALUE"""),929)</f>
        <v>929</v>
      </c>
      <c r="AB47" s="3">
        <f ca="1">IFERROR(__xludf.DUMMYFUNCTION("""COMPUTED_VALUE"""),375)</f>
        <v>375</v>
      </c>
      <c r="AC47" s="3">
        <f ca="1">IFERROR(__xludf.DUMMYFUNCTION("""COMPUTED_VALUE"""),196)</f>
        <v>196</v>
      </c>
      <c r="AD47" s="3">
        <f ca="1">IFERROR(__xludf.DUMMYFUNCTION("""COMPUTED_VALUE"""),71)</f>
        <v>71</v>
      </c>
      <c r="AE47" s="3">
        <f ca="1">IFERROR(__xludf.DUMMYFUNCTION("""COMPUTED_VALUE"""),412)</f>
        <v>412</v>
      </c>
      <c r="AF47" s="3">
        <f ca="1">IFERROR(__xludf.DUMMYFUNCTION("""COMPUTED_VALUE"""),596)</f>
        <v>596</v>
      </c>
    </row>
    <row r="48" spans="1:32" x14ac:dyDescent="0.25">
      <c r="A48" s="3" t="str">
        <f ca="1">IFERROR(__xludf.DUMMYFUNCTION("""COMPUTED_VALUE"""),"UC-IrvineNCAA")</f>
        <v>UC-IrvineNCAA</v>
      </c>
      <c r="B48" s="3">
        <f ca="1">IFERROR(__xludf.DUMMYFUNCTION("""COMPUTED_VALUE"""),37)</f>
        <v>37</v>
      </c>
      <c r="C48" s="3">
        <f ca="1">IFERROR(__xludf.DUMMYFUNCTION("""COMPUTED_VALUE"""),31)</f>
        <v>31</v>
      </c>
      <c r="D48" s="3">
        <f ca="1">IFERROR(__xludf.DUMMYFUNCTION("""COMPUTED_VALUE"""),6)</f>
        <v>6</v>
      </c>
      <c r="E48" s="3">
        <f ca="1">IFERROR(__xludf.DUMMYFUNCTION("""COMPUTED_VALUE"""),0.838)</f>
        <v>0.83799999999999997</v>
      </c>
      <c r="F48" s="3">
        <f ca="1">IFERROR(__xludf.DUMMYFUNCTION("""COMPUTED_VALUE"""),5.7)</f>
        <v>5.7</v>
      </c>
      <c r="G48" s="3">
        <f ca="1">IFERROR(__xludf.DUMMYFUNCTION("""COMPUTED_VALUE"""),-2.3)</f>
        <v>-2.2999999999999998</v>
      </c>
      <c r="H48" s="3">
        <f ca="1">IFERROR(__xludf.DUMMYFUNCTION("""COMPUTED_VALUE"""),15)</f>
        <v>15</v>
      </c>
      <c r="I48" s="3">
        <f ca="1">IFERROR(__xludf.DUMMYFUNCTION("""COMPUTED_VALUE"""),1)</f>
        <v>1</v>
      </c>
      <c r="J48" s="3">
        <f ca="1">IFERROR(__xludf.DUMMYFUNCTION("""COMPUTED_VALUE"""),12)</f>
        <v>12</v>
      </c>
      <c r="K48" s="3">
        <f ca="1">IFERROR(__xludf.DUMMYFUNCTION("""COMPUTED_VALUE"""),2)</f>
        <v>2</v>
      </c>
      <c r="L48" s="3">
        <f ca="1">IFERROR(__xludf.DUMMYFUNCTION("""COMPUTED_VALUE"""),13)</f>
        <v>13</v>
      </c>
      <c r="M48" s="3">
        <f ca="1">IFERROR(__xludf.DUMMYFUNCTION("""COMPUTED_VALUE"""),2)</f>
        <v>2</v>
      </c>
      <c r="N48" s="3">
        <f ca="1">IFERROR(__xludf.DUMMYFUNCTION("""COMPUTED_VALUE"""),2675)</f>
        <v>2675</v>
      </c>
      <c r="O48" s="3">
        <f ca="1">IFERROR(__xludf.DUMMYFUNCTION("""COMPUTED_VALUE"""),2353)</f>
        <v>2353</v>
      </c>
      <c r="P48" s="3">
        <f ca="1">IFERROR(__xludf.DUMMYFUNCTION("""COMPUTED_VALUE"""),1500)</f>
        <v>1500</v>
      </c>
      <c r="Q48" s="3">
        <f ca="1">IFERROR(__xludf.DUMMYFUNCTION("""COMPUTED_VALUE"""),987)</f>
        <v>987</v>
      </c>
      <c r="R48" s="3">
        <f ca="1">IFERROR(__xludf.DUMMYFUNCTION("""COMPUTED_VALUE"""),2159)</f>
        <v>2159</v>
      </c>
      <c r="S48" s="3">
        <f ca="1">IFERROR(__xludf.DUMMYFUNCTION("""COMPUTED_VALUE"""),0.457)</f>
        <v>0.45700000000000002</v>
      </c>
      <c r="T48" s="3">
        <f ca="1">IFERROR(__xludf.DUMMYFUNCTION("""COMPUTED_VALUE"""),252)</f>
        <v>252</v>
      </c>
      <c r="U48" s="3">
        <f ca="1">IFERROR(__xludf.DUMMYFUNCTION("""COMPUTED_VALUE"""),701)</f>
        <v>701</v>
      </c>
      <c r="V48" s="3">
        <f ca="1">IFERROR(__xludf.DUMMYFUNCTION("""COMPUTED_VALUE"""),0.359)</f>
        <v>0.35899999999999999</v>
      </c>
      <c r="W48" s="3">
        <f ca="1">IFERROR(__xludf.DUMMYFUNCTION("""COMPUTED_VALUE"""),449)</f>
        <v>449</v>
      </c>
      <c r="X48" s="3">
        <f ca="1">IFERROR(__xludf.DUMMYFUNCTION("""COMPUTED_VALUE"""),640)</f>
        <v>640</v>
      </c>
      <c r="Y48" s="3">
        <f ca="1">IFERROR(__xludf.DUMMYFUNCTION("""COMPUTED_VALUE"""),0.702)</f>
        <v>0.70199999999999996</v>
      </c>
      <c r="Z48" s="3">
        <f ca="1">IFERROR(__xludf.DUMMYFUNCTION("""COMPUTED_VALUE"""),429)</f>
        <v>429</v>
      </c>
      <c r="AA48" s="3">
        <f ca="1">IFERROR(__xludf.DUMMYFUNCTION("""COMPUTED_VALUE"""),1471)</f>
        <v>1471</v>
      </c>
      <c r="AB48" s="3">
        <f ca="1">IFERROR(__xludf.DUMMYFUNCTION("""COMPUTED_VALUE"""),479)</f>
        <v>479</v>
      </c>
      <c r="AC48" s="3">
        <f ca="1">IFERROR(__xludf.DUMMYFUNCTION("""COMPUTED_VALUE"""),210)</f>
        <v>210</v>
      </c>
      <c r="AD48" s="3">
        <f ca="1">IFERROR(__xludf.DUMMYFUNCTION("""COMPUTED_VALUE"""),153)</f>
        <v>153</v>
      </c>
      <c r="AE48" s="3">
        <f ca="1">IFERROR(__xludf.DUMMYFUNCTION("""COMPUTED_VALUE"""),441)</f>
        <v>441</v>
      </c>
      <c r="AF48" s="3">
        <f ca="1">IFERROR(__xludf.DUMMYFUNCTION("""COMPUTED_VALUE"""),673)</f>
        <v>673</v>
      </c>
    </row>
    <row r="49" spans="1:32" x14ac:dyDescent="0.25">
      <c r="A49" s="3" t="str">
        <f ca="1">IFERROR(__xludf.DUMMYFUNCTION("""COMPUTED_VALUE"""),"UC-Riverside")</f>
        <v>UC-Riverside</v>
      </c>
      <c r="B49" s="3">
        <f ca="1">IFERROR(__xludf.DUMMYFUNCTION("""COMPUTED_VALUE"""),33)</f>
        <v>33</v>
      </c>
      <c r="C49" s="3">
        <f ca="1">IFERROR(__xludf.DUMMYFUNCTION("""COMPUTED_VALUE"""),10)</f>
        <v>10</v>
      </c>
      <c r="D49" s="3">
        <f ca="1">IFERROR(__xludf.DUMMYFUNCTION("""COMPUTED_VALUE"""),23)</f>
        <v>23</v>
      </c>
      <c r="E49" s="3">
        <f ca="1">IFERROR(__xludf.DUMMYFUNCTION("""COMPUTED_VALUE"""),0.303)</f>
        <v>0.30299999999999999</v>
      </c>
      <c r="F49" s="3">
        <f ca="1">IFERROR(__xludf.DUMMYFUNCTION("""COMPUTED_VALUE"""),-11.12)</f>
        <v>-11.12</v>
      </c>
      <c r="G49" s="3">
        <f ca="1">IFERROR(__xludf.DUMMYFUNCTION("""COMPUTED_VALUE"""),-3.19)</f>
        <v>-3.19</v>
      </c>
      <c r="H49" s="3">
        <f ca="1">IFERROR(__xludf.DUMMYFUNCTION("""COMPUTED_VALUE"""),4)</f>
        <v>4</v>
      </c>
      <c r="I49" s="3">
        <f ca="1">IFERROR(__xludf.DUMMYFUNCTION("""COMPUTED_VALUE"""),12)</f>
        <v>12</v>
      </c>
      <c r="J49" s="3">
        <f ca="1">IFERROR(__xludf.DUMMYFUNCTION("""COMPUTED_VALUE"""),7)</f>
        <v>7</v>
      </c>
      <c r="K49" s="3">
        <f ca="1">IFERROR(__xludf.DUMMYFUNCTION("""COMPUTED_VALUE"""),7)</f>
        <v>7</v>
      </c>
      <c r="L49" s="3">
        <f ca="1">IFERROR(__xludf.DUMMYFUNCTION("""COMPUTED_VALUE"""),2)</f>
        <v>2</v>
      </c>
      <c r="M49" s="3">
        <f ca="1">IFERROR(__xludf.DUMMYFUNCTION("""COMPUTED_VALUE"""),14)</f>
        <v>14</v>
      </c>
      <c r="N49" s="3">
        <f ca="1">IFERROR(__xludf.DUMMYFUNCTION("""COMPUTED_VALUE"""),2153)</f>
        <v>2153</v>
      </c>
      <c r="O49" s="3">
        <f ca="1">IFERROR(__xludf.DUMMYFUNCTION("""COMPUTED_VALUE"""),2279)</f>
        <v>2279</v>
      </c>
      <c r="P49" s="3">
        <f ca="1">IFERROR(__xludf.DUMMYFUNCTION("""COMPUTED_VALUE"""),1325)</f>
        <v>1325</v>
      </c>
      <c r="Q49" s="3">
        <f ca="1">IFERROR(__xludf.DUMMYFUNCTION("""COMPUTED_VALUE"""),792)</f>
        <v>792</v>
      </c>
      <c r="R49" s="3">
        <f ca="1">IFERROR(__xludf.DUMMYFUNCTION("""COMPUTED_VALUE"""),1787)</f>
        <v>1787</v>
      </c>
      <c r="S49" s="3">
        <f ca="1">IFERROR(__xludf.DUMMYFUNCTION("""COMPUTED_VALUE"""),0.443)</f>
        <v>0.443</v>
      </c>
      <c r="T49" s="3">
        <f ca="1">IFERROR(__xludf.DUMMYFUNCTION("""COMPUTED_VALUE"""),279)</f>
        <v>279</v>
      </c>
      <c r="U49" s="3">
        <f ca="1">IFERROR(__xludf.DUMMYFUNCTION("""COMPUTED_VALUE"""),743)</f>
        <v>743</v>
      </c>
      <c r="V49" s="3">
        <f ca="1">IFERROR(__xludf.DUMMYFUNCTION("""COMPUTED_VALUE"""),0.376)</f>
        <v>0.376</v>
      </c>
      <c r="W49" s="3">
        <f ca="1">IFERROR(__xludf.DUMMYFUNCTION("""COMPUTED_VALUE"""),290)</f>
        <v>290</v>
      </c>
      <c r="X49" s="3">
        <f ca="1">IFERROR(__xludf.DUMMYFUNCTION("""COMPUTED_VALUE"""),424)</f>
        <v>424</v>
      </c>
      <c r="Y49" s="3">
        <f ca="1">IFERROR(__xludf.DUMMYFUNCTION("""COMPUTED_VALUE"""),0.684)</f>
        <v>0.68400000000000005</v>
      </c>
      <c r="Z49" s="3">
        <f ca="1">IFERROR(__xludf.DUMMYFUNCTION("""COMPUTED_VALUE"""),286)</f>
        <v>286</v>
      </c>
      <c r="AA49" s="3">
        <f ca="1">IFERROR(__xludf.DUMMYFUNCTION("""COMPUTED_VALUE"""),1051)</f>
        <v>1051</v>
      </c>
      <c r="AB49" s="3">
        <f ca="1">IFERROR(__xludf.DUMMYFUNCTION("""COMPUTED_VALUE"""),425)</f>
        <v>425</v>
      </c>
      <c r="AC49" s="3">
        <f ca="1">IFERROR(__xludf.DUMMYFUNCTION("""COMPUTED_VALUE"""),164)</f>
        <v>164</v>
      </c>
      <c r="AD49" s="3">
        <f ca="1">IFERROR(__xludf.DUMMYFUNCTION("""COMPUTED_VALUE"""),60)</f>
        <v>60</v>
      </c>
      <c r="AE49" s="3">
        <f ca="1">IFERROR(__xludf.DUMMYFUNCTION("""COMPUTED_VALUE"""),425)</f>
        <v>425</v>
      </c>
      <c r="AF49" s="3">
        <f ca="1">IFERROR(__xludf.DUMMYFUNCTION("""COMPUTED_VALUE"""),562)</f>
        <v>562</v>
      </c>
    </row>
    <row r="50" spans="1:32" x14ac:dyDescent="0.25">
      <c r="A50" s="3" t="str">
        <f ca="1">IFERROR(__xludf.DUMMYFUNCTION("""COMPUTED_VALUE"""),"UC-Santa Barbara")</f>
        <v>UC-Santa Barbara</v>
      </c>
      <c r="B50" s="3">
        <f ca="1">IFERROR(__xludf.DUMMYFUNCTION("""COMPUTED_VALUE"""),32)</f>
        <v>32</v>
      </c>
      <c r="C50" s="3">
        <f ca="1">IFERROR(__xludf.DUMMYFUNCTION("""COMPUTED_VALUE"""),22)</f>
        <v>22</v>
      </c>
      <c r="D50" s="3">
        <f ca="1">IFERROR(__xludf.DUMMYFUNCTION("""COMPUTED_VALUE"""),10)</f>
        <v>10</v>
      </c>
      <c r="E50" s="3">
        <f ca="1">IFERROR(__xludf.DUMMYFUNCTION("""COMPUTED_VALUE"""),0.688)</f>
        <v>0.68799999999999994</v>
      </c>
      <c r="F50" s="3">
        <f ca="1">IFERROR(__xludf.DUMMYFUNCTION("""COMPUTED_VALUE"""),-1.62)</f>
        <v>-1.62</v>
      </c>
      <c r="G50" s="3">
        <f ca="1">IFERROR(__xludf.DUMMYFUNCTION("""COMPUTED_VALUE"""),-5.55)</f>
        <v>-5.55</v>
      </c>
      <c r="H50" s="3">
        <f ca="1">IFERROR(__xludf.DUMMYFUNCTION("""COMPUTED_VALUE"""),10)</f>
        <v>10</v>
      </c>
      <c r="I50" s="3">
        <f ca="1">IFERROR(__xludf.DUMMYFUNCTION("""COMPUTED_VALUE"""),6)</f>
        <v>6</v>
      </c>
      <c r="J50" s="3">
        <f ca="1">IFERROR(__xludf.DUMMYFUNCTION("""COMPUTED_VALUE"""),12)</f>
        <v>12</v>
      </c>
      <c r="K50" s="3">
        <f ca="1">IFERROR(__xludf.DUMMYFUNCTION("""COMPUTED_VALUE"""),3)</f>
        <v>3</v>
      </c>
      <c r="L50" s="3">
        <f ca="1">IFERROR(__xludf.DUMMYFUNCTION("""COMPUTED_VALUE"""),7)</f>
        <v>7</v>
      </c>
      <c r="M50" s="3">
        <f ca="1">IFERROR(__xludf.DUMMYFUNCTION("""COMPUTED_VALUE"""),6)</f>
        <v>6</v>
      </c>
      <c r="N50" s="3">
        <f ca="1">IFERROR(__xludf.DUMMYFUNCTION("""COMPUTED_VALUE"""),2350)</f>
        <v>2350</v>
      </c>
      <c r="O50" s="3">
        <f ca="1">IFERROR(__xludf.DUMMYFUNCTION("""COMPUTED_VALUE"""),2114)</f>
        <v>2114</v>
      </c>
      <c r="P50" s="3">
        <f ca="1">IFERROR(__xludf.DUMMYFUNCTION("""COMPUTED_VALUE"""),1290)</f>
        <v>1290</v>
      </c>
      <c r="Q50" s="3">
        <f ca="1">IFERROR(__xludf.DUMMYFUNCTION("""COMPUTED_VALUE"""),825)</f>
        <v>825</v>
      </c>
      <c r="R50" s="3">
        <f ca="1">IFERROR(__xludf.DUMMYFUNCTION("""COMPUTED_VALUE"""),1819)</f>
        <v>1819</v>
      </c>
      <c r="S50" s="3">
        <f ca="1">IFERROR(__xludf.DUMMYFUNCTION("""COMPUTED_VALUE"""),0.454)</f>
        <v>0.45400000000000001</v>
      </c>
      <c r="T50" s="3">
        <f ca="1">IFERROR(__xludf.DUMMYFUNCTION("""COMPUTED_VALUE"""),204)</f>
        <v>204</v>
      </c>
      <c r="U50" s="3">
        <f ca="1">IFERROR(__xludf.DUMMYFUNCTION("""COMPUTED_VALUE"""),594)</f>
        <v>594</v>
      </c>
      <c r="V50" s="3">
        <f ca="1">IFERROR(__xludf.DUMMYFUNCTION("""COMPUTED_VALUE"""),0.343)</f>
        <v>0.34300000000000003</v>
      </c>
      <c r="W50" s="3">
        <f ca="1">IFERROR(__xludf.DUMMYFUNCTION("""COMPUTED_VALUE"""),496)</f>
        <v>496</v>
      </c>
      <c r="X50" s="3">
        <f ca="1">IFERROR(__xludf.DUMMYFUNCTION("""COMPUTED_VALUE"""),693)</f>
        <v>693</v>
      </c>
      <c r="Y50" s="3">
        <f ca="1">IFERROR(__xludf.DUMMYFUNCTION("""COMPUTED_VALUE"""),0.716)</f>
        <v>0.71599999999999997</v>
      </c>
      <c r="Z50" s="3">
        <f ca="1">IFERROR(__xludf.DUMMYFUNCTION("""COMPUTED_VALUE"""),379)</f>
        <v>379</v>
      </c>
      <c r="AA50" s="3">
        <f ca="1">IFERROR(__xludf.DUMMYFUNCTION("""COMPUTED_VALUE"""),1204)</f>
        <v>1204</v>
      </c>
      <c r="AB50" s="3">
        <f ca="1">IFERROR(__xludf.DUMMYFUNCTION("""COMPUTED_VALUE"""),431)</f>
        <v>431</v>
      </c>
      <c r="AC50" s="3">
        <f ca="1">IFERROR(__xludf.DUMMYFUNCTION("""COMPUTED_VALUE"""),159)</f>
        <v>159</v>
      </c>
      <c r="AD50" s="3">
        <f ca="1">IFERROR(__xludf.DUMMYFUNCTION("""COMPUTED_VALUE"""),106)</f>
        <v>106</v>
      </c>
      <c r="AE50" s="3">
        <f ca="1">IFERROR(__xludf.DUMMYFUNCTION("""COMPUTED_VALUE"""),355)</f>
        <v>355</v>
      </c>
      <c r="AF50" s="3">
        <f ca="1">IFERROR(__xludf.DUMMYFUNCTION("""COMPUTED_VALUE"""),558)</f>
        <v>558</v>
      </c>
    </row>
    <row r="51" spans="1:32" x14ac:dyDescent="0.25">
      <c r="A51" s="3" t="str">
        <f ca="1">IFERROR(__xludf.DUMMYFUNCTION("""COMPUTED_VALUE"""),"University of California")</f>
        <v>University of California</v>
      </c>
      <c r="B51" s="3">
        <f ca="1">IFERROR(__xludf.DUMMYFUNCTION("""COMPUTED_VALUE"""),31)</f>
        <v>31</v>
      </c>
      <c r="C51" s="3">
        <f ca="1">IFERROR(__xludf.DUMMYFUNCTION("""COMPUTED_VALUE"""),8)</f>
        <v>8</v>
      </c>
      <c r="D51" s="3">
        <f ca="1">IFERROR(__xludf.DUMMYFUNCTION("""COMPUTED_VALUE"""),23)</f>
        <v>23</v>
      </c>
      <c r="E51" s="3">
        <f ca="1">IFERROR(__xludf.DUMMYFUNCTION("""COMPUTED_VALUE"""),0.258)</f>
        <v>0.25800000000000001</v>
      </c>
      <c r="F51" s="3">
        <f ca="1">IFERROR(__xludf.DUMMYFUNCTION("""COMPUTED_VALUE"""),-3.16)</f>
        <v>-3.16</v>
      </c>
      <c r="G51" s="3">
        <f ca="1">IFERROR(__xludf.DUMMYFUNCTION("""COMPUTED_VALUE"""),5.42)</f>
        <v>5.42</v>
      </c>
      <c r="H51" s="3">
        <f ca="1">IFERROR(__xludf.DUMMYFUNCTION("""COMPUTED_VALUE"""),3)</f>
        <v>3</v>
      </c>
      <c r="I51" s="3">
        <f ca="1">IFERROR(__xludf.DUMMYFUNCTION("""COMPUTED_VALUE"""),15)</f>
        <v>15</v>
      </c>
      <c r="J51" s="3">
        <f ca="1">IFERROR(__xludf.DUMMYFUNCTION("""COMPUTED_VALUE"""),7)</f>
        <v>7</v>
      </c>
      <c r="K51" s="3">
        <f ca="1">IFERROR(__xludf.DUMMYFUNCTION("""COMPUTED_VALUE"""),9)</f>
        <v>9</v>
      </c>
      <c r="L51" s="3">
        <f ca="1">IFERROR(__xludf.DUMMYFUNCTION("""COMPUTED_VALUE"""),1)</f>
        <v>1</v>
      </c>
      <c r="M51" s="3">
        <f ca="1">IFERROR(__xludf.DUMMYFUNCTION("""COMPUTED_VALUE"""),10)</f>
        <v>10</v>
      </c>
      <c r="N51" s="3">
        <f ca="1">IFERROR(__xludf.DUMMYFUNCTION("""COMPUTED_VALUE"""),2121)</f>
        <v>2121</v>
      </c>
      <c r="O51" s="3">
        <f ca="1">IFERROR(__xludf.DUMMYFUNCTION("""COMPUTED_VALUE"""),2387)</f>
        <v>2387</v>
      </c>
      <c r="P51" s="3">
        <f ca="1">IFERROR(__xludf.DUMMYFUNCTION("""COMPUTED_VALUE"""),1245)</f>
        <v>1245</v>
      </c>
      <c r="Q51" s="3">
        <f ca="1">IFERROR(__xludf.DUMMYFUNCTION("""COMPUTED_VALUE"""),739)</f>
        <v>739</v>
      </c>
      <c r="R51" s="3">
        <f ca="1">IFERROR(__xludf.DUMMYFUNCTION("""COMPUTED_VALUE"""),1735)</f>
        <v>1735</v>
      </c>
      <c r="S51" s="3">
        <f ca="1">IFERROR(__xludf.DUMMYFUNCTION("""COMPUTED_VALUE"""),0.426)</f>
        <v>0.42599999999999999</v>
      </c>
      <c r="T51" s="3">
        <f ca="1">IFERROR(__xludf.DUMMYFUNCTION("""COMPUTED_VALUE"""),207)</f>
        <v>207</v>
      </c>
      <c r="U51" s="3">
        <f ca="1">IFERROR(__xludf.DUMMYFUNCTION("""COMPUTED_VALUE"""),592)</f>
        <v>592</v>
      </c>
      <c r="V51" s="3">
        <f ca="1">IFERROR(__xludf.DUMMYFUNCTION("""COMPUTED_VALUE"""),0.35)</f>
        <v>0.35</v>
      </c>
      <c r="W51" s="3">
        <f ca="1">IFERROR(__xludf.DUMMYFUNCTION("""COMPUTED_VALUE"""),436)</f>
        <v>436</v>
      </c>
      <c r="X51" s="3">
        <f ca="1">IFERROR(__xludf.DUMMYFUNCTION("""COMPUTED_VALUE"""),603)</f>
        <v>603</v>
      </c>
      <c r="Y51" s="3">
        <f ca="1">IFERROR(__xludf.DUMMYFUNCTION("""COMPUTED_VALUE"""),0.723)</f>
        <v>0.72299999999999998</v>
      </c>
      <c r="Z51" s="3">
        <f ca="1">IFERROR(__xludf.DUMMYFUNCTION("""COMPUTED_VALUE"""),249)</f>
        <v>249</v>
      </c>
      <c r="AA51" s="3">
        <f ca="1">IFERROR(__xludf.DUMMYFUNCTION("""COMPUTED_VALUE"""),900)</f>
        <v>900</v>
      </c>
      <c r="AB51" s="3">
        <f ca="1">IFERROR(__xludf.DUMMYFUNCTION("""COMPUTED_VALUE"""),338)</f>
        <v>338</v>
      </c>
      <c r="AC51" s="3">
        <f ca="1">IFERROR(__xludf.DUMMYFUNCTION("""COMPUTED_VALUE"""),227)</f>
        <v>227</v>
      </c>
      <c r="AD51" s="3">
        <f ca="1">IFERROR(__xludf.DUMMYFUNCTION("""COMPUTED_VALUE"""),99)</f>
        <v>99</v>
      </c>
      <c r="AE51" s="3">
        <f ca="1">IFERROR(__xludf.DUMMYFUNCTION("""COMPUTED_VALUE"""),352)</f>
        <v>352</v>
      </c>
      <c r="AF51" s="3">
        <f ca="1">IFERROR(__xludf.DUMMYFUNCTION("""COMPUTED_VALUE"""),574)</f>
        <v>574</v>
      </c>
    </row>
    <row r="52" spans="1:32" x14ac:dyDescent="0.25">
      <c r="A52" s="3" t="str">
        <f ca="1">IFERROR(__xludf.DUMMYFUNCTION("""COMPUTED_VALUE"""),"Campbell")</f>
        <v>Campbell</v>
      </c>
      <c r="B52" s="3">
        <f ca="1">IFERROR(__xludf.DUMMYFUNCTION("""COMPUTED_VALUE"""),33)</f>
        <v>33</v>
      </c>
      <c r="C52" s="3">
        <f ca="1">IFERROR(__xludf.DUMMYFUNCTION("""COMPUTED_VALUE"""),20)</f>
        <v>20</v>
      </c>
      <c r="D52" s="3">
        <f ca="1">IFERROR(__xludf.DUMMYFUNCTION("""COMPUTED_VALUE"""),13)</f>
        <v>13</v>
      </c>
      <c r="E52" s="3">
        <f ca="1">IFERROR(__xludf.DUMMYFUNCTION("""COMPUTED_VALUE"""),0.606)</f>
        <v>0.60599999999999998</v>
      </c>
      <c r="F52" s="3">
        <f ca="1">IFERROR(__xludf.DUMMYFUNCTION("""COMPUTED_VALUE"""),-3.62)</f>
        <v>-3.62</v>
      </c>
      <c r="G52" s="3">
        <f ca="1">IFERROR(__xludf.DUMMYFUNCTION("""COMPUTED_VALUE"""),-4.39)</f>
        <v>-4.3899999999999997</v>
      </c>
      <c r="H52" s="3">
        <f ca="1">IFERROR(__xludf.DUMMYFUNCTION("""COMPUTED_VALUE"""),12)</f>
        <v>12</v>
      </c>
      <c r="I52" s="3">
        <f ca="1">IFERROR(__xludf.DUMMYFUNCTION("""COMPUTED_VALUE"""),4)</f>
        <v>4</v>
      </c>
      <c r="J52" s="3">
        <f ca="1">IFERROR(__xludf.DUMMYFUNCTION("""COMPUTED_VALUE"""),12)</f>
        <v>12</v>
      </c>
      <c r="K52" s="3">
        <f ca="1">IFERROR(__xludf.DUMMYFUNCTION("""COMPUTED_VALUE"""),4)</f>
        <v>4</v>
      </c>
      <c r="L52" s="3">
        <f ca="1">IFERROR(__xludf.DUMMYFUNCTION("""COMPUTED_VALUE"""),5)</f>
        <v>5</v>
      </c>
      <c r="M52" s="3">
        <f ca="1">IFERROR(__xludf.DUMMYFUNCTION("""COMPUTED_VALUE"""),8)</f>
        <v>8</v>
      </c>
      <c r="N52" s="3">
        <f ca="1">IFERROR(__xludf.DUMMYFUNCTION("""COMPUTED_VALUE"""),2495)</f>
        <v>2495</v>
      </c>
      <c r="O52" s="3">
        <f ca="1">IFERROR(__xludf.DUMMYFUNCTION("""COMPUTED_VALUE"""),2328)</f>
        <v>2328</v>
      </c>
      <c r="P52" s="3">
        <f ca="1">IFERROR(__xludf.DUMMYFUNCTION("""COMPUTED_VALUE"""),1325)</f>
        <v>1325</v>
      </c>
      <c r="Q52" s="3">
        <f ca="1">IFERROR(__xludf.DUMMYFUNCTION("""COMPUTED_VALUE"""),867)</f>
        <v>867</v>
      </c>
      <c r="R52" s="3">
        <f ca="1">IFERROR(__xludf.DUMMYFUNCTION("""COMPUTED_VALUE"""),1906)</f>
        <v>1906</v>
      </c>
      <c r="S52" s="3">
        <f ca="1">IFERROR(__xludf.DUMMYFUNCTION("""COMPUTED_VALUE"""),0.455)</f>
        <v>0.45500000000000002</v>
      </c>
      <c r="T52" s="3">
        <f ca="1">IFERROR(__xludf.DUMMYFUNCTION("""COMPUTED_VALUE"""),313)</f>
        <v>313</v>
      </c>
      <c r="U52" s="3">
        <f ca="1">IFERROR(__xludf.DUMMYFUNCTION("""COMPUTED_VALUE"""),912)</f>
        <v>912</v>
      </c>
      <c r="V52" s="3">
        <f ca="1">IFERROR(__xludf.DUMMYFUNCTION("""COMPUTED_VALUE"""),0.343)</f>
        <v>0.34300000000000003</v>
      </c>
      <c r="W52" s="3">
        <f ca="1">IFERROR(__xludf.DUMMYFUNCTION("""COMPUTED_VALUE"""),448)</f>
        <v>448</v>
      </c>
      <c r="X52" s="3">
        <f ca="1">IFERROR(__xludf.DUMMYFUNCTION("""COMPUTED_VALUE"""),590)</f>
        <v>590</v>
      </c>
      <c r="Y52" s="3">
        <f ca="1">IFERROR(__xludf.DUMMYFUNCTION("""COMPUTED_VALUE"""),0.759)</f>
        <v>0.75900000000000001</v>
      </c>
      <c r="Z52" s="3">
        <f ca="1">IFERROR(__xludf.DUMMYFUNCTION("""COMPUTED_VALUE"""),266)</f>
        <v>266</v>
      </c>
      <c r="AA52" s="3">
        <f ca="1">IFERROR(__xludf.DUMMYFUNCTION("""COMPUTED_VALUE"""),1050)</f>
        <v>1050</v>
      </c>
      <c r="AB52" s="3">
        <f ca="1">IFERROR(__xludf.DUMMYFUNCTION("""COMPUTED_VALUE"""),482)</f>
        <v>482</v>
      </c>
      <c r="AC52" s="3">
        <f ca="1">IFERROR(__xludf.DUMMYFUNCTION("""COMPUTED_VALUE"""),218)</f>
        <v>218</v>
      </c>
      <c r="AD52" s="3">
        <f ca="1">IFERROR(__xludf.DUMMYFUNCTION("""COMPUTED_VALUE"""),104)</f>
        <v>104</v>
      </c>
      <c r="AE52" s="3">
        <f ca="1">IFERROR(__xludf.DUMMYFUNCTION("""COMPUTED_VALUE"""),337)</f>
        <v>337</v>
      </c>
      <c r="AF52" s="3">
        <f ca="1">IFERROR(__xludf.DUMMYFUNCTION("""COMPUTED_VALUE"""),522)</f>
        <v>522</v>
      </c>
    </row>
    <row r="53" spans="1:32" x14ac:dyDescent="0.25">
      <c r="A53" s="3" t="str">
        <f ca="1">IFERROR(__xludf.DUMMYFUNCTION("""COMPUTED_VALUE"""),"Canisius")</f>
        <v>Canisius</v>
      </c>
      <c r="B53" s="3">
        <f ca="1">IFERROR(__xludf.DUMMYFUNCTION("""COMPUTED_VALUE"""),32)</f>
        <v>32</v>
      </c>
      <c r="C53" s="3">
        <f ca="1">IFERROR(__xludf.DUMMYFUNCTION("""COMPUTED_VALUE"""),15)</f>
        <v>15</v>
      </c>
      <c r="D53" s="3">
        <f ca="1">IFERROR(__xludf.DUMMYFUNCTION("""COMPUTED_VALUE"""),17)</f>
        <v>17</v>
      </c>
      <c r="E53" s="3">
        <f ca="1">IFERROR(__xludf.DUMMYFUNCTION("""COMPUTED_VALUE"""),0.469)</f>
        <v>0.46899999999999997</v>
      </c>
      <c r="F53" s="3">
        <f ca="1">IFERROR(__xludf.DUMMYFUNCTION("""COMPUTED_VALUE"""),-8.79)</f>
        <v>-8.7899999999999991</v>
      </c>
      <c r="G53" s="3">
        <f ca="1">IFERROR(__xludf.DUMMYFUNCTION("""COMPUTED_VALUE"""),-4.85)</f>
        <v>-4.8499999999999996</v>
      </c>
      <c r="H53" s="3">
        <f ca="1">IFERROR(__xludf.DUMMYFUNCTION("""COMPUTED_VALUE"""),11)</f>
        <v>11</v>
      </c>
      <c r="I53" s="3">
        <f ca="1">IFERROR(__xludf.DUMMYFUNCTION("""COMPUTED_VALUE"""),7)</f>
        <v>7</v>
      </c>
      <c r="J53" s="3">
        <f ca="1">IFERROR(__xludf.DUMMYFUNCTION("""COMPUTED_VALUE"""),5)</f>
        <v>5</v>
      </c>
      <c r="K53" s="3">
        <f ca="1">IFERROR(__xludf.DUMMYFUNCTION("""COMPUTED_VALUE"""),8)</f>
        <v>8</v>
      </c>
      <c r="L53" s="3">
        <f ca="1">IFERROR(__xludf.DUMMYFUNCTION("""COMPUTED_VALUE"""),9)</f>
        <v>9</v>
      </c>
      <c r="M53" s="3">
        <f ca="1">IFERROR(__xludf.DUMMYFUNCTION("""COMPUTED_VALUE"""),5)</f>
        <v>5</v>
      </c>
      <c r="N53" s="3">
        <f ca="1">IFERROR(__xludf.DUMMYFUNCTION("""COMPUTED_VALUE"""),2250)</f>
        <v>2250</v>
      </c>
      <c r="O53" s="3">
        <f ca="1">IFERROR(__xludf.DUMMYFUNCTION("""COMPUTED_VALUE"""),2376)</f>
        <v>2376</v>
      </c>
      <c r="P53" s="3">
        <f ca="1">IFERROR(__xludf.DUMMYFUNCTION("""COMPUTED_VALUE"""),1295)</f>
        <v>1295</v>
      </c>
      <c r="Q53" s="3">
        <f ca="1">IFERROR(__xludf.DUMMYFUNCTION("""COMPUTED_VALUE"""),798)</f>
        <v>798</v>
      </c>
      <c r="R53" s="3">
        <f ca="1">IFERROR(__xludf.DUMMYFUNCTION("""COMPUTED_VALUE"""),1834)</f>
        <v>1834</v>
      </c>
      <c r="S53" s="3">
        <f ca="1">IFERROR(__xludf.DUMMYFUNCTION("""COMPUTED_VALUE"""),0.435)</f>
        <v>0.435</v>
      </c>
      <c r="T53" s="3">
        <f ca="1">IFERROR(__xludf.DUMMYFUNCTION("""COMPUTED_VALUE"""),256)</f>
        <v>256</v>
      </c>
      <c r="U53" s="3">
        <f ca="1">IFERROR(__xludf.DUMMYFUNCTION("""COMPUTED_VALUE"""),791)</f>
        <v>791</v>
      </c>
      <c r="V53" s="3">
        <f ca="1">IFERROR(__xludf.DUMMYFUNCTION("""COMPUTED_VALUE"""),0.324)</f>
        <v>0.32400000000000001</v>
      </c>
      <c r="W53" s="3">
        <f ca="1">IFERROR(__xludf.DUMMYFUNCTION("""COMPUTED_VALUE"""),398)</f>
        <v>398</v>
      </c>
      <c r="X53" s="3">
        <f ca="1">IFERROR(__xludf.DUMMYFUNCTION("""COMPUTED_VALUE"""),575)</f>
        <v>575</v>
      </c>
      <c r="Y53" s="3">
        <f ca="1">IFERROR(__xludf.DUMMYFUNCTION("""COMPUTED_VALUE"""),0.692)</f>
        <v>0.69199999999999995</v>
      </c>
      <c r="Z53" s="3">
        <f ca="1">IFERROR(__xludf.DUMMYFUNCTION("""COMPUTED_VALUE"""),300)</f>
        <v>300</v>
      </c>
      <c r="AA53" s="3">
        <f ca="1">IFERROR(__xludf.DUMMYFUNCTION("""COMPUTED_VALUE"""),1026)</f>
        <v>1026</v>
      </c>
      <c r="AB53" s="3">
        <f ca="1">IFERROR(__xludf.DUMMYFUNCTION("""COMPUTED_VALUE"""),466)</f>
        <v>466</v>
      </c>
      <c r="AC53" s="3">
        <f ca="1">IFERROR(__xludf.DUMMYFUNCTION("""COMPUTED_VALUE"""),204)</f>
        <v>204</v>
      </c>
      <c r="AD53" s="3">
        <f ca="1">IFERROR(__xludf.DUMMYFUNCTION("""COMPUTED_VALUE"""),108)</f>
        <v>108</v>
      </c>
      <c r="AE53" s="3">
        <f ca="1">IFERROR(__xludf.DUMMYFUNCTION("""COMPUTED_VALUE"""),412)</f>
        <v>412</v>
      </c>
      <c r="AF53" s="3">
        <f ca="1">IFERROR(__xludf.DUMMYFUNCTION("""COMPUTED_VALUE"""),627)</f>
        <v>627</v>
      </c>
    </row>
    <row r="54" spans="1:32" x14ac:dyDescent="0.25">
      <c r="A54" s="3" t="str">
        <f ca="1">IFERROR(__xludf.DUMMYFUNCTION("""COMPUTED_VALUE"""),"Central Arkansas")</f>
        <v>Central Arkansas</v>
      </c>
      <c r="B54" s="3">
        <f ca="1">IFERROR(__xludf.DUMMYFUNCTION("""COMPUTED_VALUE"""),33)</f>
        <v>33</v>
      </c>
      <c r="C54" s="3">
        <f ca="1">IFERROR(__xludf.DUMMYFUNCTION("""COMPUTED_VALUE"""),14)</f>
        <v>14</v>
      </c>
      <c r="D54" s="3">
        <f ca="1">IFERROR(__xludf.DUMMYFUNCTION("""COMPUTED_VALUE"""),19)</f>
        <v>19</v>
      </c>
      <c r="E54" s="3">
        <f ca="1">IFERROR(__xludf.DUMMYFUNCTION("""COMPUTED_VALUE"""),0.424)</f>
        <v>0.42399999999999999</v>
      </c>
      <c r="F54" s="3">
        <f ca="1">IFERROR(__xludf.DUMMYFUNCTION("""COMPUTED_VALUE"""),-11.37)</f>
        <v>-11.37</v>
      </c>
      <c r="G54" s="3">
        <f ca="1">IFERROR(__xludf.DUMMYFUNCTION("""COMPUTED_VALUE"""),-4.81)</f>
        <v>-4.8099999999999996</v>
      </c>
      <c r="H54" s="3">
        <f ca="1">IFERROR(__xludf.DUMMYFUNCTION("""COMPUTED_VALUE"""),8)</f>
        <v>8</v>
      </c>
      <c r="I54" s="3">
        <f ca="1">IFERROR(__xludf.DUMMYFUNCTION("""COMPUTED_VALUE"""),10)</f>
        <v>10</v>
      </c>
      <c r="J54" s="3">
        <f ca="1">IFERROR(__xludf.DUMMYFUNCTION("""COMPUTED_VALUE"""),8)</f>
        <v>8</v>
      </c>
      <c r="K54" s="3">
        <f ca="1">IFERROR(__xludf.DUMMYFUNCTION("""COMPUTED_VALUE"""),5)</f>
        <v>5</v>
      </c>
      <c r="L54" s="3">
        <f ca="1">IFERROR(__xludf.DUMMYFUNCTION("""COMPUTED_VALUE"""),5)</f>
        <v>5</v>
      </c>
      <c r="M54" s="3">
        <f ca="1">IFERROR(__xludf.DUMMYFUNCTION("""COMPUTED_VALUE"""),13)</f>
        <v>13</v>
      </c>
      <c r="N54" s="3">
        <f ca="1">IFERROR(__xludf.DUMMYFUNCTION("""COMPUTED_VALUE"""),2383)</f>
        <v>2383</v>
      </c>
      <c r="O54" s="3">
        <f ca="1">IFERROR(__xludf.DUMMYFUNCTION("""COMPUTED_VALUE"""),2498)</f>
        <v>2498</v>
      </c>
      <c r="P54" s="3">
        <f ca="1">IFERROR(__xludf.DUMMYFUNCTION("""COMPUTED_VALUE"""),1330)</f>
        <v>1330</v>
      </c>
      <c r="Q54" s="3">
        <f ca="1">IFERROR(__xludf.DUMMYFUNCTION("""COMPUTED_VALUE"""),810)</f>
        <v>810</v>
      </c>
      <c r="R54" s="3">
        <f ca="1">IFERROR(__xludf.DUMMYFUNCTION("""COMPUTED_VALUE"""),1903)</f>
        <v>1903</v>
      </c>
      <c r="S54" s="3">
        <f ca="1">IFERROR(__xludf.DUMMYFUNCTION("""COMPUTED_VALUE"""),0.426)</f>
        <v>0.42599999999999999</v>
      </c>
      <c r="T54" s="3">
        <f ca="1">IFERROR(__xludf.DUMMYFUNCTION("""COMPUTED_VALUE"""),276)</f>
        <v>276</v>
      </c>
      <c r="U54" s="3">
        <f ca="1">IFERROR(__xludf.DUMMYFUNCTION("""COMPUTED_VALUE"""),784)</f>
        <v>784</v>
      </c>
      <c r="V54" s="3">
        <f ca="1">IFERROR(__xludf.DUMMYFUNCTION("""COMPUTED_VALUE"""),0.352)</f>
        <v>0.35199999999999998</v>
      </c>
      <c r="W54" s="3">
        <f ca="1">IFERROR(__xludf.DUMMYFUNCTION("""COMPUTED_VALUE"""),487)</f>
        <v>487</v>
      </c>
      <c r="X54" s="3">
        <f ca="1">IFERROR(__xludf.DUMMYFUNCTION("""COMPUTED_VALUE"""),667)</f>
        <v>667</v>
      </c>
      <c r="Y54" s="3">
        <f ca="1">IFERROR(__xludf.DUMMYFUNCTION("""COMPUTED_VALUE"""),0.73)</f>
        <v>0.73</v>
      </c>
      <c r="Z54" s="3">
        <f ca="1">IFERROR(__xludf.DUMMYFUNCTION("""COMPUTED_VALUE"""),299)</f>
        <v>299</v>
      </c>
      <c r="AA54" s="3">
        <f ca="1">IFERROR(__xludf.DUMMYFUNCTION("""COMPUTED_VALUE"""),1164)</f>
        <v>1164</v>
      </c>
      <c r="AB54" s="3">
        <f ca="1">IFERROR(__xludf.DUMMYFUNCTION("""COMPUTED_VALUE"""),463)</f>
        <v>463</v>
      </c>
      <c r="AC54" s="3">
        <f ca="1">IFERROR(__xludf.DUMMYFUNCTION("""COMPUTED_VALUE"""),202)</f>
        <v>202</v>
      </c>
      <c r="AD54" s="3">
        <f ca="1">IFERROR(__xludf.DUMMYFUNCTION("""COMPUTED_VALUE"""),120)</f>
        <v>120</v>
      </c>
      <c r="AE54" s="3">
        <f ca="1">IFERROR(__xludf.DUMMYFUNCTION("""COMPUTED_VALUE"""),478)</f>
        <v>478</v>
      </c>
      <c r="AF54" s="3">
        <f ca="1">IFERROR(__xludf.DUMMYFUNCTION("""COMPUTED_VALUE"""),611)</f>
        <v>611</v>
      </c>
    </row>
    <row r="55" spans="1:32" x14ac:dyDescent="0.25">
      <c r="A55" s="3" t="str">
        <f ca="1">IFERROR(__xludf.DUMMYFUNCTION("""COMPUTED_VALUE"""),"Central Connecticut State")</f>
        <v>Central Connecticut State</v>
      </c>
      <c r="B55" s="3">
        <f ca="1">IFERROR(__xludf.DUMMYFUNCTION("""COMPUTED_VALUE"""),31)</f>
        <v>31</v>
      </c>
      <c r="C55" s="3">
        <f ca="1">IFERROR(__xludf.DUMMYFUNCTION("""COMPUTED_VALUE"""),11)</f>
        <v>11</v>
      </c>
      <c r="D55" s="3">
        <f ca="1">IFERROR(__xludf.DUMMYFUNCTION("""COMPUTED_VALUE"""),20)</f>
        <v>20</v>
      </c>
      <c r="E55" s="3">
        <f ca="1">IFERROR(__xludf.DUMMYFUNCTION("""COMPUTED_VALUE"""),0.355)</f>
        <v>0.35499999999999998</v>
      </c>
      <c r="F55" s="3">
        <f ca="1">IFERROR(__xludf.DUMMYFUNCTION("""COMPUTED_VALUE"""),-14.02)</f>
        <v>-14.02</v>
      </c>
      <c r="G55" s="3">
        <f ca="1">IFERROR(__xludf.DUMMYFUNCTION("""COMPUTED_VALUE"""),-6.71)</f>
        <v>-6.71</v>
      </c>
      <c r="H55" s="3">
        <f ca="1">IFERROR(__xludf.DUMMYFUNCTION("""COMPUTED_VALUE"""),5)</f>
        <v>5</v>
      </c>
      <c r="I55" s="3">
        <f ca="1">IFERROR(__xludf.DUMMYFUNCTION("""COMPUTED_VALUE"""),13)</f>
        <v>13</v>
      </c>
      <c r="J55" s="3">
        <f ca="1">IFERROR(__xludf.DUMMYFUNCTION("""COMPUTED_VALUE"""),5)</f>
        <v>5</v>
      </c>
      <c r="K55" s="3">
        <f ca="1">IFERROR(__xludf.DUMMYFUNCTION("""COMPUTED_VALUE"""),7)</f>
        <v>7</v>
      </c>
      <c r="L55" s="3">
        <f ca="1">IFERROR(__xludf.DUMMYFUNCTION("""COMPUTED_VALUE"""),5)</f>
        <v>5</v>
      </c>
      <c r="M55" s="3">
        <f ca="1">IFERROR(__xludf.DUMMYFUNCTION("""COMPUTED_VALUE"""),12)</f>
        <v>12</v>
      </c>
      <c r="N55" s="3">
        <f ca="1">IFERROR(__xludf.DUMMYFUNCTION("""COMPUTED_VALUE"""),2205)</f>
        <v>2205</v>
      </c>
      <c r="O55" s="3">
        <f ca="1">IFERROR(__xludf.DUMMYFUNCTION("""COMPUTED_VALUE"""),2367)</f>
        <v>2367</v>
      </c>
      <c r="P55" s="3">
        <f ca="1">IFERROR(__xludf.DUMMYFUNCTION("""COMPUTED_VALUE"""),1260)</f>
        <v>1260</v>
      </c>
      <c r="Q55" s="3">
        <f ca="1">IFERROR(__xludf.DUMMYFUNCTION("""COMPUTED_VALUE"""),754)</f>
        <v>754</v>
      </c>
      <c r="R55" s="3">
        <f ca="1">IFERROR(__xludf.DUMMYFUNCTION("""COMPUTED_VALUE"""),1821)</f>
        <v>1821</v>
      </c>
      <c r="S55" s="3">
        <f ca="1">IFERROR(__xludf.DUMMYFUNCTION("""COMPUTED_VALUE"""),0.414)</f>
        <v>0.41399999999999998</v>
      </c>
      <c r="T55" s="3">
        <f ca="1">IFERROR(__xludf.DUMMYFUNCTION("""COMPUTED_VALUE"""),201)</f>
        <v>201</v>
      </c>
      <c r="U55" s="3">
        <f ca="1">IFERROR(__xludf.DUMMYFUNCTION("""COMPUTED_VALUE"""),612)</f>
        <v>612</v>
      </c>
      <c r="V55" s="3">
        <f ca="1">IFERROR(__xludf.DUMMYFUNCTION("""COMPUTED_VALUE"""),0.328)</f>
        <v>0.32800000000000001</v>
      </c>
      <c r="W55" s="3">
        <f ca="1">IFERROR(__xludf.DUMMYFUNCTION("""COMPUTED_VALUE"""),496)</f>
        <v>496</v>
      </c>
      <c r="X55" s="3">
        <f ca="1">IFERROR(__xludf.DUMMYFUNCTION("""COMPUTED_VALUE"""),634)</f>
        <v>634</v>
      </c>
      <c r="Y55" s="3">
        <f ca="1">IFERROR(__xludf.DUMMYFUNCTION("""COMPUTED_VALUE"""),0.782)</f>
        <v>0.78200000000000003</v>
      </c>
      <c r="Z55" s="3">
        <f ca="1">IFERROR(__xludf.DUMMYFUNCTION("""COMPUTED_VALUE"""),332)</f>
        <v>332</v>
      </c>
      <c r="AA55" s="3">
        <f ca="1">IFERROR(__xludf.DUMMYFUNCTION("""COMPUTED_VALUE"""),1107)</f>
        <v>1107</v>
      </c>
      <c r="AB55" s="3">
        <f ca="1">IFERROR(__xludf.DUMMYFUNCTION("""COMPUTED_VALUE"""),353)</f>
        <v>353</v>
      </c>
      <c r="AC55" s="3">
        <f ca="1">IFERROR(__xludf.DUMMYFUNCTION("""COMPUTED_VALUE"""),172)</f>
        <v>172</v>
      </c>
      <c r="AD55" s="3">
        <f ca="1">IFERROR(__xludf.DUMMYFUNCTION("""COMPUTED_VALUE"""),110)</f>
        <v>110</v>
      </c>
      <c r="AE55" s="3">
        <f ca="1">IFERROR(__xludf.DUMMYFUNCTION("""COMPUTED_VALUE"""),427)</f>
        <v>427</v>
      </c>
      <c r="AF55" s="3">
        <f ca="1">IFERROR(__xludf.DUMMYFUNCTION("""COMPUTED_VALUE"""),597)</f>
        <v>597</v>
      </c>
    </row>
    <row r="56" spans="1:32" x14ac:dyDescent="0.25">
      <c r="A56" s="3" t="str">
        <f ca="1">IFERROR(__xludf.DUMMYFUNCTION("""COMPUTED_VALUE"""),"Central FloridaNCAA")</f>
        <v>Central FloridaNCAA</v>
      </c>
      <c r="B56" s="3">
        <f ca="1">IFERROR(__xludf.DUMMYFUNCTION("""COMPUTED_VALUE"""),33)</f>
        <v>33</v>
      </c>
      <c r="C56" s="3">
        <f ca="1">IFERROR(__xludf.DUMMYFUNCTION("""COMPUTED_VALUE"""),24)</f>
        <v>24</v>
      </c>
      <c r="D56" s="3">
        <f ca="1">IFERROR(__xludf.DUMMYFUNCTION("""COMPUTED_VALUE"""),9)</f>
        <v>9</v>
      </c>
      <c r="E56" s="3">
        <f ca="1">IFERROR(__xludf.DUMMYFUNCTION("""COMPUTED_VALUE"""),0.727)</f>
        <v>0.72699999999999998</v>
      </c>
      <c r="F56" s="3">
        <f ca="1">IFERROR(__xludf.DUMMYFUNCTION("""COMPUTED_VALUE"""),13.37)</f>
        <v>13.37</v>
      </c>
      <c r="G56" s="3">
        <f ca="1">IFERROR(__xludf.DUMMYFUNCTION("""COMPUTED_VALUE"""),5.58)</f>
        <v>5.58</v>
      </c>
      <c r="H56" s="3">
        <f ca="1">IFERROR(__xludf.DUMMYFUNCTION("""COMPUTED_VALUE"""),13)</f>
        <v>13</v>
      </c>
      <c r="I56" s="3">
        <f ca="1">IFERROR(__xludf.DUMMYFUNCTION("""COMPUTED_VALUE"""),5)</f>
        <v>5</v>
      </c>
      <c r="J56" s="3">
        <f ca="1">IFERROR(__xludf.DUMMYFUNCTION("""COMPUTED_VALUE"""),15)</f>
        <v>15</v>
      </c>
      <c r="K56" s="3">
        <f ca="1">IFERROR(__xludf.DUMMYFUNCTION("""COMPUTED_VALUE"""),2)</f>
        <v>2</v>
      </c>
      <c r="L56" s="3">
        <f ca="1">IFERROR(__xludf.DUMMYFUNCTION("""COMPUTED_VALUE"""),5)</f>
        <v>5</v>
      </c>
      <c r="M56" s="3">
        <f ca="1">IFERROR(__xludf.DUMMYFUNCTION("""COMPUTED_VALUE"""),5)</f>
        <v>5</v>
      </c>
      <c r="N56" s="3">
        <f ca="1">IFERROR(__xludf.DUMMYFUNCTION("""COMPUTED_VALUE"""),2385)</f>
        <v>2385</v>
      </c>
      <c r="O56" s="3">
        <f ca="1">IFERROR(__xludf.DUMMYFUNCTION("""COMPUTED_VALUE"""),2128)</f>
        <v>2128</v>
      </c>
      <c r="P56" s="3">
        <f ca="1">IFERROR(__xludf.DUMMYFUNCTION("""COMPUTED_VALUE"""),1325)</f>
        <v>1325</v>
      </c>
      <c r="Q56" s="3">
        <f ca="1">IFERROR(__xludf.DUMMYFUNCTION("""COMPUTED_VALUE"""),819)</f>
        <v>819</v>
      </c>
      <c r="R56" s="3">
        <f ca="1">IFERROR(__xludf.DUMMYFUNCTION("""COMPUTED_VALUE"""),1763)</f>
        <v>1763</v>
      </c>
      <c r="S56" s="3">
        <f ca="1">IFERROR(__xludf.DUMMYFUNCTION("""COMPUTED_VALUE"""),0.465)</f>
        <v>0.46500000000000002</v>
      </c>
      <c r="T56" s="3">
        <f ca="1">IFERROR(__xludf.DUMMYFUNCTION("""COMPUTED_VALUE"""),229)</f>
        <v>229</v>
      </c>
      <c r="U56" s="3">
        <f ca="1">IFERROR(__xludf.DUMMYFUNCTION("""COMPUTED_VALUE"""),628)</f>
        <v>628</v>
      </c>
      <c r="V56" s="3">
        <f ca="1">IFERROR(__xludf.DUMMYFUNCTION("""COMPUTED_VALUE"""),0.365)</f>
        <v>0.36499999999999999</v>
      </c>
      <c r="W56" s="3">
        <f ca="1">IFERROR(__xludf.DUMMYFUNCTION("""COMPUTED_VALUE"""),518)</f>
        <v>518</v>
      </c>
      <c r="X56" s="3">
        <f ca="1">IFERROR(__xludf.DUMMYFUNCTION("""COMPUTED_VALUE"""),798)</f>
        <v>798</v>
      </c>
      <c r="Y56" s="3">
        <f ca="1">IFERROR(__xludf.DUMMYFUNCTION("""COMPUTED_VALUE"""),0.649)</f>
        <v>0.64900000000000002</v>
      </c>
      <c r="Z56" s="3">
        <f ca="1">IFERROR(__xludf.DUMMYFUNCTION("""COMPUTED_VALUE"""),315)</f>
        <v>315</v>
      </c>
      <c r="AA56" s="3">
        <f ca="1">IFERROR(__xludf.DUMMYFUNCTION("""COMPUTED_VALUE"""),1215)</f>
        <v>1215</v>
      </c>
      <c r="AB56" s="3">
        <f ca="1">IFERROR(__xludf.DUMMYFUNCTION("""COMPUTED_VALUE"""),439)</f>
        <v>439</v>
      </c>
      <c r="AC56" s="3">
        <f ca="1">IFERROR(__xludf.DUMMYFUNCTION("""COMPUTED_VALUE"""),189)</f>
        <v>189</v>
      </c>
      <c r="AD56" s="3">
        <f ca="1">IFERROR(__xludf.DUMMYFUNCTION("""COMPUTED_VALUE"""),150)</f>
        <v>150</v>
      </c>
      <c r="AE56" s="3">
        <f ca="1">IFERROR(__xludf.DUMMYFUNCTION("""COMPUTED_VALUE"""),393)</f>
        <v>393</v>
      </c>
      <c r="AF56" s="3">
        <f ca="1">IFERROR(__xludf.DUMMYFUNCTION("""COMPUTED_VALUE"""),554)</f>
        <v>554</v>
      </c>
    </row>
    <row r="57" spans="1:32" x14ac:dyDescent="0.25">
      <c r="A57" s="3" t="str">
        <f ca="1">IFERROR(__xludf.DUMMYFUNCTION("""COMPUTED_VALUE"""),"Central Michigan")</f>
        <v>Central Michigan</v>
      </c>
      <c r="B57" s="3">
        <f ca="1">IFERROR(__xludf.DUMMYFUNCTION("""COMPUTED_VALUE"""),35)</f>
        <v>35</v>
      </c>
      <c r="C57" s="3">
        <f ca="1">IFERROR(__xludf.DUMMYFUNCTION("""COMPUTED_VALUE"""),23)</f>
        <v>23</v>
      </c>
      <c r="D57" s="3">
        <f ca="1">IFERROR(__xludf.DUMMYFUNCTION("""COMPUTED_VALUE"""),12)</f>
        <v>12</v>
      </c>
      <c r="E57" s="3">
        <f ca="1">IFERROR(__xludf.DUMMYFUNCTION("""COMPUTED_VALUE"""),0.657)</f>
        <v>0.65700000000000003</v>
      </c>
      <c r="F57" s="3">
        <f ca="1">IFERROR(__xludf.DUMMYFUNCTION("""COMPUTED_VALUE"""),2.79)</f>
        <v>2.79</v>
      </c>
      <c r="G57" s="3">
        <f ca="1">IFERROR(__xludf.DUMMYFUNCTION("""COMPUTED_VALUE"""),-0.34)</f>
        <v>-0.34</v>
      </c>
      <c r="H57" s="3">
        <f ca="1">IFERROR(__xludf.DUMMYFUNCTION("""COMPUTED_VALUE"""),10)</f>
        <v>10</v>
      </c>
      <c r="I57" s="3">
        <f ca="1">IFERROR(__xludf.DUMMYFUNCTION("""COMPUTED_VALUE"""),8)</f>
        <v>8</v>
      </c>
      <c r="J57" s="3">
        <f ca="1">IFERROR(__xludf.DUMMYFUNCTION("""COMPUTED_VALUE"""),13)</f>
        <v>13</v>
      </c>
      <c r="K57" s="3">
        <f ca="1">IFERROR(__xludf.DUMMYFUNCTION("""COMPUTED_VALUE"""),4)</f>
        <v>4</v>
      </c>
      <c r="L57" s="3">
        <f ca="1">IFERROR(__xludf.DUMMYFUNCTION("""COMPUTED_VALUE"""),7)</f>
        <v>7</v>
      </c>
      <c r="M57" s="3">
        <f ca="1">IFERROR(__xludf.DUMMYFUNCTION("""COMPUTED_VALUE"""),6)</f>
        <v>6</v>
      </c>
      <c r="N57" s="3">
        <f ca="1">IFERROR(__xludf.DUMMYFUNCTION("""COMPUTED_VALUE"""),2896)</f>
        <v>2896</v>
      </c>
      <c r="O57" s="3">
        <f ca="1">IFERROR(__xludf.DUMMYFUNCTION("""COMPUTED_VALUE"""),2690)</f>
        <v>2690</v>
      </c>
      <c r="P57" s="3">
        <f ca="1">IFERROR(__xludf.DUMMYFUNCTION("""COMPUTED_VALUE"""),1425)</f>
        <v>1425</v>
      </c>
      <c r="Q57" s="3">
        <f ca="1">IFERROR(__xludf.DUMMYFUNCTION("""COMPUTED_VALUE"""),991)</f>
        <v>991</v>
      </c>
      <c r="R57" s="3">
        <f ca="1">IFERROR(__xludf.DUMMYFUNCTION("""COMPUTED_VALUE"""),2177)</f>
        <v>2177</v>
      </c>
      <c r="S57" s="3">
        <f ca="1">IFERROR(__xludf.DUMMYFUNCTION("""COMPUTED_VALUE"""),0.455)</f>
        <v>0.45500000000000002</v>
      </c>
      <c r="T57" s="3">
        <f ca="1">IFERROR(__xludf.DUMMYFUNCTION("""COMPUTED_VALUE"""),305)</f>
        <v>305</v>
      </c>
      <c r="U57" s="3">
        <f ca="1">IFERROR(__xludf.DUMMYFUNCTION("""COMPUTED_VALUE"""),822)</f>
        <v>822</v>
      </c>
      <c r="V57" s="3">
        <f ca="1">IFERROR(__xludf.DUMMYFUNCTION("""COMPUTED_VALUE"""),0.371)</f>
        <v>0.371</v>
      </c>
      <c r="W57" s="3">
        <f ca="1">IFERROR(__xludf.DUMMYFUNCTION("""COMPUTED_VALUE"""),609)</f>
        <v>609</v>
      </c>
      <c r="X57" s="3">
        <f ca="1">IFERROR(__xludf.DUMMYFUNCTION("""COMPUTED_VALUE"""),908)</f>
        <v>908</v>
      </c>
      <c r="Y57" s="3">
        <f ca="1">IFERROR(__xludf.DUMMYFUNCTION("""COMPUTED_VALUE"""),0.671)</f>
        <v>0.67100000000000004</v>
      </c>
      <c r="Z57" s="3">
        <f ca="1">IFERROR(__xludf.DUMMYFUNCTION("""COMPUTED_VALUE"""),419)</f>
        <v>419</v>
      </c>
      <c r="AA57" s="3">
        <f ca="1">IFERROR(__xludf.DUMMYFUNCTION("""COMPUTED_VALUE"""),1321)</f>
        <v>1321</v>
      </c>
      <c r="AB57" s="3">
        <f ca="1">IFERROR(__xludf.DUMMYFUNCTION("""COMPUTED_VALUE"""),467)</f>
        <v>467</v>
      </c>
      <c r="AC57" s="3">
        <f ca="1">IFERROR(__xludf.DUMMYFUNCTION("""COMPUTED_VALUE"""),267)</f>
        <v>267</v>
      </c>
      <c r="AD57" s="3">
        <f ca="1">IFERROR(__xludf.DUMMYFUNCTION("""COMPUTED_VALUE"""),107)</f>
        <v>107</v>
      </c>
      <c r="AE57" s="3">
        <f ca="1">IFERROR(__xludf.DUMMYFUNCTION("""COMPUTED_VALUE"""),425)</f>
        <v>425</v>
      </c>
      <c r="AF57" s="3">
        <f ca="1">IFERROR(__xludf.DUMMYFUNCTION("""COMPUTED_VALUE"""),593)</f>
        <v>593</v>
      </c>
    </row>
    <row r="58" spans="1:32" x14ac:dyDescent="0.25">
      <c r="A58" s="3" t="str">
        <f ca="1">IFERROR(__xludf.DUMMYFUNCTION("""COMPUTED_VALUE"""),"Charleston Southern")</f>
        <v>Charleston Southern</v>
      </c>
      <c r="B58" s="3">
        <f ca="1">IFERROR(__xludf.DUMMYFUNCTION("""COMPUTED_VALUE"""),34)</f>
        <v>34</v>
      </c>
      <c r="C58" s="3">
        <f ca="1">IFERROR(__xludf.DUMMYFUNCTION("""COMPUTED_VALUE"""),18)</f>
        <v>18</v>
      </c>
      <c r="D58" s="3">
        <f ca="1">IFERROR(__xludf.DUMMYFUNCTION("""COMPUTED_VALUE"""),16)</f>
        <v>16</v>
      </c>
      <c r="E58" s="3">
        <f ca="1">IFERROR(__xludf.DUMMYFUNCTION("""COMPUTED_VALUE"""),0.529)</f>
        <v>0.52900000000000003</v>
      </c>
      <c r="F58" s="3">
        <f ca="1">IFERROR(__xludf.DUMMYFUNCTION("""COMPUTED_VALUE"""),-2.43)</f>
        <v>-2.4300000000000002</v>
      </c>
      <c r="G58" s="3">
        <f ca="1">IFERROR(__xludf.DUMMYFUNCTION("""COMPUTED_VALUE"""),-4.19)</f>
        <v>-4.1900000000000004</v>
      </c>
      <c r="H58" s="3">
        <f ca="1">IFERROR(__xludf.DUMMYFUNCTION("""COMPUTED_VALUE"""),9)</f>
        <v>9</v>
      </c>
      <c r="I58" s="3">
        <f ca="1">IFERROR(__xludf.DUMMYFUNCTION("""COMPUTED_VALUE"""),7)</f>
        <v>7</v>
      </c>
      <c r="J58" s="3">
        <f ca="1">IFERROR(__xludf.DUMMYFUNCTION("""COMPUTED_VALUE"""),12)</f>
        <v>12</v>
      </c>
      <c r="K58" s="3">
        <f ca="1">IFERROR(__xludf.DUMMYFUNCTION("""COMPUTED_VALUE"""),4)</f>
        <v>4</v>
      </c>
      <c r="L58" s="3">
        <f ca="1">IFERROR(__xludf.DUMMYFUNCTION("""COMPUTED_VALUE"""),4)</f>
        <v>4</v>
      </c>
      <c r="M58" s="3">
        <f ca="1">IFERROR(__xludf.DUMMYFUNCTION("""COMPUTED_VALUE"""),11)</f>
        <v>11</v>
      </c>
      <c r="N58" s="3">
        <f ca="1">IFERROR(__xludf.DUMMYFUNCTION("""COMPUTED_VALUE"""),2574)</f>
        <v>2574</v>
      </c>
      <c r="O58" s="3">
        <f ca="1">IFERROR(__xludf.DUMMYFUNCTION("""COMPUTED_VALUE"""),2369)</f>
        <v>2369</v>
      </c>
      <c r="P58" s="3">
        <f ca="1">IFERROR(__xludf.DUMMYFUNCTION("""COMPUTED_VALUE"""),1370)</f>
        <v>1370</v>
      </c>
      <c r="Q58" s="3">
        <f ca="1">IFERROR(__xludf.DUMMYFUNCTION("""COMPUTED_VALUE"""),926)</f>
        <v>926</v>
      </c>
      <c r="R58" s="3">
        <f ca="1">IFERROR(__xludf.DUMMYFUNCTION("""COMPUTED_VALUE"""),2156)</f>
        <v>2156</v>
      </c>
      <c r="S58" s="3">
        <f ca="1">IFERROR(__xludf.DUMMYFUNCTION("""COMPUTED_VALUE"""),0.429)</f>
        <v>0.42899999999999999</v>
      </c>
      <c r="T58" s="3">
        <f ca="1">IFERROR(__xludf.DUMMYFUNCTION("""COMPUTED_VALUE"""),324)</f>
        <v>324</v>
      </c>
      <c r="U58" s="3">
        <f ca="1">IFERROR(__xludf.DUMMYFUNCTION("""COMPUTED_VALUE"""),945)</f>
        <v>945</v>
      </c>
      <c r="V58" s="3">
        <f ca="1">IFERROR(__xludf.DUMMYFUNCTION("""COMPUTED_VALUE"""),0.343)</f>
        <v>0.34300000000000003</v>
      </c>
      <c r="W58" s="3">
        <f ca="1">IFERROR(__xludf.DUMMYFUNCTION("""COMPUTED_VALUE"""),398)</f>
        <v>398</v>
      </c>
      <c r="X58" s="3">
        <f ca="1">IFERROR(__xludf.DUMMYFUNCTION("""COMPUTED_VALUE"""),588)</f>
        <v>588</v>
      </c>
      <c r="Y58" s="3">
        <f ca="1">IFERROR(__xludf.DUMMYFUNCTION("""COMPUTED_VALUE"""),0.677)</f>
        <v>0.67700000000000005</v>
      </c>
      <c r="Z58" s="3">
        <f ca="1">IFERROR(__xludf.DUMMYFUNCTION("""COMPUTED_VALUE"""),407)</f>
        <v>407</v>
      </c>
      <c r="AA58" s="3">
        <f ca="1">IFERROR(__xludf.DUMMYFUNCTION("""COMPUTED_VALUE"""),1277)</f>
        <v>1277</v>
      </c>
      <c r="AB58" s="3">
        <f ca="1">IFERROR(__xludf.DUMMYFUNCTION("""COMPUTED_VALUE"""),487)</f>
        <v>487</v>
      </c>
      <c r="AC58" s="3">
        <f ca="1">IFERROR(__xludf.DUMMYFUNCTION("""COMPUTED_VALUE"""),263)</f>
        <v>263</v>
      </c>
      <c r="AD58" s="3">
        <f ca="1">IFERROR(__xludf.DUMMYFUNCTION("""COMPUTED_VALUE"""),110)</f>
        <v>110</v>
      </c>
      <c r="AE58" s="3">
        <f ca="1">IFERROR(__xludf.DUMMYFUNCTION("""COMPUTED_VALUE"""),441)</f>
        <v>441</v>
      </c>
      <c r="AF58" s="3">
        <f ca="1">IFERROR(__xludf.DUMMYFUNCTION("""COMPUTED_VALUE"""),571)</f>
        <v>571</v>
      </c>
    </row>
    <row r="59" spans="1:32" x14ac:dyDescent="0.25">
      <c r="A59" s="3" t="str">
        <f ca="1">IFERROR(__xludf.DUMMYFUNCTION("""COMPUTED_VALUE"""),"Charlotte")</f>
        <v>Charlotte</v>
      </c>
      <c r="B59" s="3">
        <f ca="1">IFERROR(__xludf.DUMMYFUNCTION("""COMPUTED_VALUE"""),29)</f>
        <v>29</v>
      </c>
      <c r="C59" s="3">
        <f ca="1">IFERROR(__xludf.DUMMYFUNCTION("""COMPUTED_VALUE"""),8)</f>
        <v>8</v>
      </c>
      <c r="D59" s="3">
        <f ca="1">IFERROR(__xludf.DUMMYFUNCTION("""COMPUTED_VALUE"""),21)</f>
        <v>21</v>
      </c>
      <c r="E59" s="3">
        <f ca="1">IFERROR(__xludf.DUMMYFUNCTION("""COMPUTED_VALUE"""),0.276)</f>
        <v>0.27600000000000002</v>
      </c>
      <c r="F59" s="3">
        <f ca="1">IFERROR(__xludf.DUMMYFUNCTION("""COMPUTED_VALUE"""),-8.34)</f>
        <v>-8.34</v>
      </c>
      <c r="G59" s="3">
        <f ca="1">IFERROR(__xludf.DUMMYFUNCTION("""COMPUTED_VALUE"""),-0.89)</f>
        <v>-0.89</v>
      </c>
      <c r="H59" s="3">
        <f ca="1">IFERROR(__xludf.DUMMYFUNCTION("""COMPUTED_VALUE"""),5)</f>
        <v>5</v>
      </c>
      <c r="I59" s="3">
        <f ca="1">IFERROR(__xludf.DUMMYFUNCTION("""COMPUTED_VALUE"""),13)</f>
        <v>13</v>
      </c>
      <c r="J59" s="3">
        <f ca="1">IFERROR(__xludf.DUMMYFUNCTION("""COMPUTED_VALUE"""),5)</f>
        <v>5</v>
      </c>
      <c r="K59" s="3">
        <f ca="1">IFERROR(__xludf.DUMMYFUNCTION("""COMPUTED_VALUE"""),9)</f>
        <v>9</v>
      </c>
      <c r="L59" s="3">
        <f ca="1">IFERROR(__xludf.DUMMYFUNCTION("""COMPUTED_VALUE"""),3)</f>
        <v>3</v>
      </c>
      <c r="M59" s="3">
        <f ca="1">IFERROR(__xludf.DUMMYFUNCTION("""COMPUTED_VALUE"""),9)</f>
        <v>9</v>
      </c>
      <c r="N59" s="3">
        <f ca="1">IFERROR(__xludf.DUMMYFUNCTION("""COMPUTED_VALUE"""),1776)</f>
        <v>1776</v>
      </c>
      <c r="O59" s="3">
        <f ca="1">IFERROR(__xludf.DUMMYFUNCTION("""COMPUTED_VALUE"""),1992)</f>
        <v>1992</v>
      </c>
      <c r="P59" s="3">
        <f ca="1">IFERROR(__xludf.DUMMYFUNCTION("""COMPUTED_VALUE"""),1160)</f>
        <v>1160</v>
      </c>
      <c r="Q59" s="3">
        <f ca="1">IFERROR(__xludf.DUMMYFUNCTION("""COMPUTED_VALUE"""),598)</f>
        <v>598</v>
      </c>
      <c r="R59" s="3">
        <f ca="1">IFERROR(__xludf.DUMMYFUNCTION("""COMPUTED_VALUE"""),1442)</f>
        <v>1442</v>
      </c>
      <c r="S59" s="3">
        <f ca="1">IFERROR(__xludf.DUMMYFUNCTION("""COMPUTED_VALUE"""),0.415)</f>
        <v>0.41499999999999998</v>
      </c>
      <c r="T59" s="3">
        <f ca="1">IFERROR(__xludf.DUMMYFUNCTION("""COMPUTED_VALUE"""),191)</f>
        <v>191</v>
      </c>
      <c r="U59" s="3">
        <f ca="1">IFERROR(__xludf.DUMMYFUNCTION("""COMPUTED_VALUE"""),615)</f>
        <v>615</v>
      </c>
      <c r="V59" s="3">
        <f ca="1">IFERROR(__xludf.DUMMYFUNCTION("""COMPUTED_VALUE"""),0.311)</f>
        <v>0.311</v>
      </c>
      <c r="W59" s="3">
        <f ca="1">IFERROR(__xludf.DUMMYFUNCTION("""COMPUTED_VALUE"""),389)</f>
        <v>389</v>
      </c>
      <c r="X59" s="3">
        <f ca="1">IFERROR(__xludf.DUMMYFUNCTION("""COMPUTED_VALUE"""),524)</f>
        <v>524</v>
      </c>
      <c r="Y59" s="3">
        <f ca="1">IFERROR(__xludf.DUMMYFUNCTION("""COMPUTED_VALUE"""),0.742)</f>
        <v>0.74199999999999999</v>
      </c>
      <c r="Z59" s="3">
        <f ca="1">IFERROR(__xludf.DUMMYFUNCTION("""COMPUTED_VALUE"""),199)</f>
        <v>199</v>
      </c>
      <c r="AA59" s="3">
        <f ca="1">IFERROR(__xludf.DUMMYFUNCTION("""COMPUTED_VALUE"""),892)</f>
        <v>892</v>
      </c>
      <c r="AB59" s="3">
        <f ca="1">IFERROR(__xludf.DUMMYFUNCTION("""COMPUTED_VALUE"""),288)</f>
        <v>288</v>
      </c>
      <c r="AC59" s="3">
        <f ca="1">IFERROR(__xludf.DUMMYFUNCTION("""COMPUTED_VALUE"""),138)</f>
        <v>138</v>
      </c>
      <c r="AD59" s="3">
        <f ca="1">IFERROR(__xludf.DUMMYFUNCTION("""COMPUTED_VALUE"""),101)</f>
        <v>101</v>
      </c>
      <c r="AE59" s="3">
        <f ca="1">IFERROR(__xludf.DUMMYFUNCTION("""COMPUTED_VALUE"""),418)</f>
        <v>418</v>
      </c>
      <c r="AF59" s="3">
        <f ca="1">IFERROR(__xludf.DUMMYFUNCTION("""COMPUTED_VALUE"""),490)</f>
        <v>490</v>
      </c>
    </row>
    <row r="60" spans="1:32" x14ac:dyDescent="0.25">
      <c r="A60" s="3" t="str">
        <f ca="1">IFERROR(__xludf.DUMMYFUNCTION("""COMPUTED_VALUE"""),"Chattanooga")</f>
        <v>Chattanooga</v>
      </c>
      <c r="B60" s="3">
        <f ca="1">IFERROR(__xludf.DUMMYFUNCTION("""COMPUTED_VALUE"""),32)</f>
        <v>32</v>
      </c>
      <c r="C60" s="3">
        <f ca="1">IFERROR(__xludf.DUMMYFUNCTION("""COMPUTED_VALUE"""),12)</f>
        <v>12</v>
      </c>
      <c r="D60" s="3">
        <f ca="1">IFERROR(__xludf.DUMMYFUNCTION("""COMPUTED_VALUE"""),20)</f>
        <v>20</v>
      </c>
      <c r="E60" s="3">
        <f ca="1">IFERROR(__xludf.DUMMYFUNCTION("""COMPUTED_VALUE"""),0.375)</f>
        <v>0.375</v>
      </c>
      <c r="F60" s="3">
        <f ca="1">IFERROR(__xludf.DUMMYFUNCTION("""COMPUTED_VALUE"""),-7.87)</f>
        <v>-7.87</v>
      </c>
      <c r="G60" s="3">
        <f ca="1">IFERROR(__xludf.DUMMYFUNCTION("""COMPUTED_VALUE"""),-0.76)</f>
        <v>-0.76</v>
      </c>
      <c r="H60" s="3">
        <f ca="1">IFERROR(__xludf.DUMMYFUNCTION("""COMPUTED_VALUE"""),7)</f>
        <v>7</v>
      </c>
      <c r="I60" s="3">
        <f ca="1">IFERROR(__xludf.DUMMYFUNCTION("""COMPUTED_VALUE"""),11)</f>
        <v>11</v>
      </c>
      <c r="J60" s="3">
        <f ca="1">IFERROR(__xludf.DUMMYFUNCTION("""COMPUTED_VALUE"""),8)</f>
        <v>8</v>
      </c>
      <c r="K60" s="3">
        <f ca="1">IFERROR(__xludf.DUMMYFUNCTION("""COMPUTED_VALUE"""),6)</f>
        <v>6</v>
      </c>
      <c r="L60" s="3">
        <f ca="1">IFERROR(__xludf.DUMMYFUNCTION("""COMPUTED_VALUE"""),4)</f>
        <v>4</v>
      </c>
      <c r="M60" s="3">
        <f ca="1">IFERROR(__xludf.DUMMYFUNCTION("""COMPUTED_VALUE"""),11)</f>
        <v>11</v>
      </c>
      <c r="N60" s="3">
        <f ca="1">IFERROR(__xludf.DUMMYFUNCTION("""COMPUTED_VALUE"""),2268)</f>
        <v>2268</v>
      </c>
      <c r="O60" s="3">
        <f ca="1">IFERROR(__xludf.DUMMYFUNCTION("""COMPUTED_VALUE"""),2376)</f>
        <v>2376</v>
      </c>
      <c r="P60" s="3">
        <f ca="1">IFERROR(__xludf.DUMMYFUNCTION("""COMPUTED_VALUE"""),1285)</f>
        <v>1285</v>
      </c>
      <c r="Q60" s="3">
        <f ca="1">IFERROR(__xludf.DUMMYFUNCTION("""COMPUTED_VALUE"""),833)</f>
        <v>833</v>
      </c>
      <c r="R60" s="3">
        <f ca="1">IFERROR(__xludf.DUMMYFUNCTION("""COMPUTED_VALUE"""),1881)</f>
        <v>1881</v>
      </c>
      <c r="S60" s="3">
        <f ca="1">IFERROR(__xludf.DUMMYFUNCTION("""COMPUTED_VALUE"""),0.443)</f>
        <v>0.443</v>
      </c>
      <c r="T60" s="3">
        <f ca="1">IFERROR(__xludf.DUMMYFUNCTION("""COMPUTED_VALUE"""),290)</f>
        <v>290</v>
      </c>
      <c r="U60" s="3">
        <f ca="1">IFERROR(__xludf.DUMMYFUNCTION("""COMPUTED_VALUE"""),795)</f>
        <v>795</v>
      </c>
      <c r="V60" s="3">
        <f ca="1">IFERROR(__xludf.DUMMYFUNCTION("""COMPUTED_VALUE"""),0.365)</f>
        <v>0.36499999999999999</v>
      </c>
      <c r="W60" s="3">
        <f ca="1">IFERROR(__xludf.DUMMYFUNCTION("""COMPUTED_VALUE"""),312)</f>
        <v>312</v>
      </c>
      <c r="X60" s="3">
        <f ca="1">IFERROR(__xludf.DUMMYFUNCTION("""COMPUTED_VALUE"""),457)</f>
        <v>457</v>
      </c>
      <c r="Y60" s="3">
        <f ca="1">IFERROR(__xludf.DUMMYFUNCTION("""COMPUTED_VALUE"""),0.683)</f>
        <v>0.68300000000000005</v>
      </c>
      <c r="Z60" s="3">
        <f ca="1">IFERROR(__xludf.DUMMYFUNCTION("""COMPUTED_VALUE"""),278)</f>
        <v>278</v>
      </c>
      <c r="AA60" s="3">
        <f ca="1">IFERROR(__xludf.DUMMYFUNCTION("""COMPUTED_VALUE"""),1095)</f>
        <v>1095</v>
      </c>
      <c r="AB60" s="3">
        <f ca="1">IFERROR(__xludf.DUMMYFUNCTION("""COMPUTED_VALUE"""),418)</f>
        <v>418</v>
      </c>
      <c r="AC60" s="3">
        <f ca="1">IFERROR(__xludf.DUMMYFUNCTION("""COMPUTED_VALUE"""),139)</f>
        <v>139</v>
      </c>
      <c r="AD60" s="3">
        <f ca="1">IFERROR(__xludf.DUMMYFUNCTION("""COMPUTED_VALUE"""),79)</f>
        <v>79</v>
      </c>
      <c r="AE60" s="3">
        <f ca="1">IFERROR(__xludf.DUMMYFUNCTION("""COMPUTED_VALUE"""),409)</f>
        <v>409</v>
      </c>
      <c r="AF60" s="3">
        <f ca="1">IFERROR(__xludf.DUMMYFUNCTION("""COMPUTED_VALUE"""),553)</f>
        <v>553</v>
      </c>
    </row>
    <row r="61" spans="1:32" x14ac:dyDescent="0.25">
      <c r="A61" s="3" t="str">
        <f ca="1">IFERROR(__xludf.DUMMYFUNCTION("""COMPUTED_VALUE"""),"Chicago State")</f>
        <v>Chicago State</v>
      </c>
      <c r="B61" s="3">
        <f ca="1">IFERROR(__xludf.DUMMYFUNCTION("""COMPUTED_VALUE"""),32)</f>
        <v>32</v>
      </c>
      <c r="C61" s="3">
        <f ca="1">IFERROR(__xludf.DUMMYFUNCTION("""COMPUTED_VALUE"""),3)</f>
        <v>3</v>
      </c>
      <c r="D61" s="3">
        <f ca="1">IFERROR(__xludf.DUMMYFUNCTION("""COMPUTED_VALUE"""),29)</f>
        <v>29</v>
      </c>
      <c r="E61" s="3">
        <f ca="1">IFERROR(__xludf.DUMMYFUNCTION("""COMPUTED_VALUE"""),0.094)</f>
        <v>9.4E-2</v>
      </c>
      <c r="F61" s="3">
        <f ca="1">IFERROR(__xludf.DUMMYFUNCTION("""COMPUTED_VALUE"""),-24.83)</f>
        <v>-24.83</v>
      </c>
      <c r="G61" s="3">
        <f ca="1">IFERROR(__xludf.DUMMYFUNCTION("""COMPUTED_VALUE"""),0.67)</f>
        <v>0.67</v>
      </c>
      <c r="H61" s="3">
        <f ca="1">IFERROR(__xludf.DUMMYFUNCTION("""COMPUTED_VALUE"""),0)</f>
        <v>0</v>
      </c>
      <c r="I61" s="3">
        <f ca="1">IFERROR(__xludf.DUMMYFUNCTION("""COMPUTED_VALUE"""),16)</f>
        <v>16</v>
      </c>
      <c r="J61" s="3">
        <f ca="1">IFERROR(__xludf.DUMMYFUNCTION("""COMPUTED_VALUE"""),3)</f>
        <v>3</v>
      </c>
      <c r="K61" s="3">
        <f ca="1">IFERROR(__xludf.DUMMYFUNCTION("""COMPUTED_VALUE"""),8)</f>
        <v>8</v>
      </c>
      <c r="L61" s="3">
        <f ca="1">IFERROR(__xludf.DUMMYFUNCTION("""COMPUTED_VALUE"""),0)</f>
        <v>0</v>
      </c>
      <c r="M61" s="3">
        <f ca="1">IFERROR(__xludf.DUMMYFUNCTION("""COMPUTED_VALUE"""),19)</f>
        <v>19</v>
      </c>
      <c r="N61" s="3">
        <f ca="1">IFERROR(__xludf.DUMMYFUNCTION("""COMPUTED_VALUE"""),1970)</f>
        <v>1970</v>
      </c>
      <c r="O61" s="3">
        <f ca="1">IFERROR(__xludf.DUMMYFUNCTION("""COMPUTED_VALUE"""),2710)</f>
        <v>2710</v>
      </c>
      <c r="P61" s="3">
        <f ca="1">IFERROR(__xludf.DUMMYFUNCTION("""COMPUTED_VALUE"""),1280)</f>
        <v>1280</v>
      </c>
      <c r="Q61" s="3">
        <f ca="1">IFERROR(__xludf.DUMMYFUNCTION("""COMPUTED_VALUE"""),718)</f>
        <v>718</v>
      </c>
      <c r="R61" s="3">
        <f ca="1">IFERROR(__xludf.DUMMYFUNCTION("""COMPUTED_VALUE"""),1752)</f>
        <v>1752</v>
      </c>
      <c r="S61" s="3">
        <f ca="1">IFERROR(__xludf.DUMMYFUNCTION("""COMPUTED_VALUE"""),0.41)</f>
        <v>0.41</v>
      </c>
      <c r="T61" s="3">
        <f ca="1">IFERROR(__xludf.DUMMYFUNCTION("""COMPUTED_VALUE"""),141)</f>
        <v>141</v>
      </c>
      <c r="U61" s="3">
        <f ca="1">IFERROR(__xludf.DUMMYFUNCTION("""COMPUTED_VALUE"""),471)</f>
        <v>471</v>
      </c>
      <c r="V61" s="3">
        <f ca="1">IFERROR(__xludf.DUMMYFUNCTION("""COMPUTED_VALUE"""),0.299)</f>
        <v>0.29899999999999999</v>
      </c>
      <c r="W61" s="3">
        <f ca="1">IFERROR(__xludf.DUMMYFUNCTION("""COMPUTED_VALUE"""),393)</f>
        <v>393</v>
      </c>
      <c r="X61" s="3">
        <f ca="1">IFERROR(__xludf.DUMMYFUNCTION("""COMPUTED_VALUE"""),581)</f>
        <v>581</v>
      </c>
      <c r="Y61" s="3">
        <f ca="1">IFERROR(__xludf.DUMMYFUNCTION("""COMPUTED_VALUE"""),0.676)</f>
        <v>0.67600000000000005</v>
      </c>
      <c r="Z61" s="3">
        <f ca="1">IFERROR(__xludf.DUMMYFUNCTION("""COMPUTED_VALUE"""),252)</f>
        <v>252</v>
      </c>
      <c r="AA61" s="3">
        <f ca="1">IFERROR(__xludf.DUMMYFUNCTION("""COMPUTED_VALUE"""),995)</f>
        <v>995</v>
      </c>
      <c r="AB61" s="3">
        <f ca="1">IFERROR(__xludf.DUMMYFUNCTION("""COMPUTED_VALUE"""),376)</f>
        <v>376</v>
      </c>
      <c r="AC61" s="3">
        <f ca="1">IFERROR(__xludf.DUMMYFUNCTION("""COMPUTED_VALUE"""),193)</f>
        <v>193</v>
      </c>
      <c r="AD61" s="3">
        <f ca="1">IFERROR(__xludf.DUMMYFUNCTION("""COMPUTED_VALUE"""),72)</f>
        <v>72</v>
      </c>
      <c r="AE61" s="3">
        <f ca="1">IFERROR(__xludf.DUMMYFUNCTION("""COMPUTED_VALUE"""),512)</f>
        <v>512</v>
      </c>
      <c r="AF61" s="3">
        <f ca="1">IFERROR(__xludf.DUMMYFUNCTION("""COMPUTED_VALUE"""),625)</f>
        <v>625</v>
      </c>
    </row>
    <row r="62" spans="1:32" x14ac:dyDescent="0.25">
      <c r="A62" s="3" t="str">
        <f ca="1">IFERROR(__xludf.DUMMYFUNCTION("""COMPUTED_VALUE"""),"CincinnatiNCAA")</f>
        <v>CincinnatiNCAA</v>
      </c>
      <c r="B62" s="3">
        <f ca="1">IFERROR(__xludf.DUMMYFUNCTION("""COMPUTED_VALUE"""),35)</f>
        <v>35</v>
      </c>
      <c r="C62" s="3">
        <f ca="1">IFERROR(__xludf.DUMMYFUNCTION("""COMPUTED_VALUE"""),28)</f>
        <v>28</v>
      </c>
      <c r="D62" s="3">
        <f ca="1">IFERROR(__xludf.DUMMYFUNCTION("""COMPUTED_VALUE"""),7)</f>
        <v>7</v>
      </c>
      <c r="E62" s="3">
        <f ca="1">IFERROR(__xludf.DUMMYFUNCTION("""COMPUTED_VALUE"""),0.8)</f>
        <v>0.8</v>
      </c>
      <c r="F62" s="3">
        <f ca="1">IFERROR(__xludf.DUMMYFUNCTION("""COMPUTED_VALUE"""),14.53)</f>
        <v>14.53</v>
      </c>
      <c r="G62" s="3">
        <f ca="1">IFERROR(__xludf.DUMMYFUNCTION("""COMPUTED_VALUE"""),5.5)</f>
        <v>5.5</v>
      </c>
      <c r="H62" s="3">
        <f ca="1">IFERROR(__xludf.DUMMYFUNCTION("""COMPUTED_VALUE"""),14)</f>
        <v>14</v>
      </c>
      <c r="I62" s="3">
        <f ca="1">IFERROR(__xludf.DUMMYFUNCTION("""COMPUTED_VALUE"""),4)</f>
        <v>4</v>
      </c>
      <c r="J62" s="3">
        <f ca="1">IFERROR(__xludf.DUMMYFUNCTION("""COMPUTED_VALUE"""),16)</f>
        <v>16</v>
      </c>
      <c r="K62" s="3">
        <f ca="1">IFERROR(__xludf.DUMMYFUNCTION("""COMPUTED_VALUE"""),2)</f>
        <v>2</v>
      </c>
      <c r="L62" s="3">
        <f ca="1">IFERROR(__xludf.DUMMYFUNCTION("""COMPUTED_VALUE"""),7)</f>
        <v>7</v>
      </c>
      <c r="M62" s="3">
        <f ca="1">IFERROR(__xludf.DUMMYFUNCTION("""COMPUTED_VALUE"""),4)</f>
        <v>4</v>
      </c>
      <c r="N62" s="3">
        <f ca="1">IFERROR(__xludf.DUMMYFUNCTION("""COMPUTED_VALUE"""),2510)</f>
        <v>2510</v>
      </c>
      <c r="O62" s="3">
        <f ca="1">IFERROR(__xludf.DUMMYFUNCTION("""COMPUTED_VALUE"""),2194)</f>
        <v>2194</v>
      </c>
      <c r="P62" s="3">
        <f ca="1">IFERROR(__xludf.DUMMYFUNCTION("""COMPUTED_VALUE"""),1410)</f>
        <v>1410</v>
      </c>
      <c r="Q62" s="3">
        <f ca="1">IFERROR(__xludf.DUMMYFUNCTION("""COMPUTED_VALUE"""),872)</f>
        <v>872</v>
      </c>
      <c r="R62" s="3">
        <f ca="1">IFERROR(__xludf.DUMMYFUNCTION("""COMPUTED_VALUE"""),2018)</f>
        <v>2018</v>
      </c>
      <c r="S62" s="3">
        <f ca="1">IFERROR(__xludf.DUMMYFUNCTION("""COMPUTED_VALUE"""),0.432)</f>
        <v>0.432</v>
      </c>
      <c r="T62" s="3">
        <f ca="1">IFERROR(__xludf.DUMMYFUNCTION("""COMPUTED_VALUE"""),232)</f>
        <v>232</v>
      </c>
      <c r="U62" s="3">
        <f ca="1">IFERROR(__xludf.DUMMYFUNCTION("""COMPUTED_VALUE"""),673)</f>
        <v>673</v>
      </c>
      <c r="V62" s="3">
        <f ca="1">IFERROR(__xludf.DUMMYFUNCTION("""COMPUTED_VALUE"""),0.345)</f>
        <v>0.34499999999999997</v>
      </c>
      <c r="W62" s="3">
        <f ca="1">IFERROR(__xludf.DUMMYFUNCTION("""COMPUTED_VALUE"""),534)</f>
        <v>534</v>
      </c>
      <c r="X62" s="3">
        <f ca="1">IFERROR(__xludf.DUMMYFUNCTION("""COMPUTED_VALUE"""),758)</f>
        <v>758</v>
      </c>
      <c r="Y62" s="3">
        <f ca="1">IFERROR(__xludf.DUMMYFUNCTION("""COMPUTED_VALUE"""),0.704)</f>
        <v>0.70399999999999996</v>
      </c>
      <c r="Z62" s="3">
        <f ca="1">IFERROR(__xludf.DUMMYFUNCTION("""COMPUTED_VALUE"""),442)</f>
        <v>442</v>
      </c>
      <c r="AA62" s="3">
        <f ca="1">IFERROR(__xludf.DUMMYFUNCTION("""COMPUTED_VALUE"""),1264)</f>
        <v>1264</v>
      </c>
      <c r="AB62" s="3">
        <f ca="1">IFERROR(__xludf.DUMMYFUNCTION("""COMPUTED_VALUE"""),466)</f>
        <v>466</v>
      </c>
      <c r="AC62" s="3">
        <f ca="1">IFERROR(__xludf.DUMMYFUNCTION("""COMPUTED_VALUE"""),214)</f>
        <v>214</v>
      </c>
      <c r="AD62" s="3">
        <f ca="1">IFERROR(__xludf.DUMMYFUNCTION("""COMPUTED_VALUE"""),155)</f>
        <v>155</v>
      </c>
      <c r="AE62" s="3">
        <f ca="1">IFERROR(__xludf.DUMMYFUNCTION("""COMPUTED_VALUE"""),365)</f>
        <v>365</v>
      </c>
      <c r="AF62" s="3">
        <f ca="1">IFERROR(__xludf.DUMMYFUNCTION("""COMPUTED_VALUE"""),563)</f>
        <v>563</v>
      </c>
    </row>
    <row r="63" spans="1:32" x14ac:dyDescent="0.25">
      <c r="A63" s="3" t="str">
        <f ca="1">IFERROR(__xludf.DUMMYFUNCTION("""COMPUTED_VALUE"""),"Citadel")</f>
        <v>Citadel</v>
      </c>
      <c r="B63" s="3">
        <f ca="1">IFERROR(__xludf.DUMMYFUNCTION("""COMPUTED_VALUE"""),30)</f>
        <v>30</v>
      </c>
      <c r="C63" s="3">
        <f ca="1">IFERROR(__xludf.DUMMYFUNCTION("""COMPUTED_VALUE"""),12)</f>
        <v>12</v>
      </c>
      <c r="D63" s="3">
        <f ca="1">IFERROR(__xludf.DUMMYFUNCTION("""COMPUTED_VALUE"""),18)</f>
        <v>18</v>
      </c>
      <c r="E63" s="3">
        <f ca="1">IFERROR(__xludf.DUMMYFUNCTION("""COMPUTED_VALUE"""),0.4)</f>
        <v>0.4</v>
      </c>
      <c r="F63" s="3">
        <f ca="1">IFERROR(__xludf.DUMMYFUNCTION("""COMPUTED_VALUE"""),-7.94)</f>
        <v>-7.94</v>
      </c>
      <c r="G63" s="3">
        <f ca="1">IFERROR(__xludf.DUMMYFUNCTION("""COMPUTED_VALUE"""),0.03)</f>
        <v>0.03</v>
      </c>
      <c r="H63" s="3">
        <f ca="1">IFERROR(__xludf.DUMMYFUNCTION("""COMPUTED_VALUE"""),4)</f>
        <v>4</v>
      </c>
      <c r="I63" s="3">
        <f ca="1">IFERROR(__xludf.DUMMYFUNCTION("""COMPUTED_VALUE"""),14)</f>
        <v>14</v>
      </c>
      <c r="J63" s="3">
        <f ca="1">IFERROR(__xludf.DUMMYFUNCTION("""COMPUTED_VALUE"""),8)</f>
        <v>8</v>
      </c>
      <c r="K63" s="3">
        <f ca="1">IFERROR(__xludf.DUMMYFUNCTION("""COMPUTED_VALUE"""),7)</f>
        <v>7</v>
      </c>
      <c r="L63" s="3">
        <f ca="1">IFERROR(__xludf.DUMMYFUNCTION("""COMPUTED_VALUE"""),4)</f>
        <v>4</v>
      </c>
      <c r="M63" s="3">
        <f ca="1">IFERROR(__xludf.DUMMYFUNCTION("""COMPUTED_VALUE"""),10)</f>
        <v>10</v>
      </c>
      <c r="N63" s="3">
        <f ca="1">IFERROR(__xludf.DUMMYFUNCTION("""COMPUTED_VALUE"""),2553)</f>
        <v>2553</v>
      </c>
      <c r="O63" s="3">
        <f ca="1">IFERROR(__xludf.DUMMYFUNCTION("""COMPUTED_VALUE"""),2584)</f>
        <v>2584</v>
      </c>
      <c r="P63" s="3">
        <f ca="1">IFERROR(__xludf.DUMMYFUNCTION("""COMPUTED_VALUE"""),1210)</f>
        <v>1210</v>
      </c>
      <c r="Q63" s="3">
        <f ca="1">IFERROR(__xludf.DUMMYFUNCTION("""COMPUTED_VALUE"""),899)</f>
        <v>899</v>
      </c>
      <c r="R63" s="3">
        <f ca="1">IFERROR(__xludf.DUMMYFUNCTION("""COMPUTED_VALUE"""),2011)</f>
        <v>2011</v>
      </c>
      <c r="S63" s="3">
        <f ca="1">IFERROR(__xludf.DUMMYFUNCTION("""COMPUTED_VALUE"""),0.447)</f>
        <v>0.44700000000000001</v>
      </c>
      <c r="T63" s="3">
        <f ca="1">IFERROR(__xludf.DUMMYFUNCTION("""COMPUTED_VALUE"""),370)</f>
        <v>370</v>
      </c>
      <c r="U63" s="3">
        <f ca="1">IFERROR(__xludf.DUMMYFUNCTION("""COMPUTED_VALUE"""),1076)</f>
        <v>1076</v>
      </c>
      <c r="V63" s="3">
        <f ca="1">IFERROR(__xludf.DUMMYFUNCTION("""COMPUTED_VALUE"""),0.344)</f>
        <v>0.34399999999999997</v>
      </c>
      <c r="W63" s="3">
        <f ca="1">IFERROR(__xludf.DUMMYFUNCTION("""COMPUTED_VALUE"""),385)</f>
        <v>385</v>
      </c>
      <c r="X63" s="3">
        <f ca="1">IFERROR(__xludf.DUMMYFUNCTION("""COMPUTED_VALUE"""),523)</f>
        <v>523</v>
      </c>
      <c r="Y63" s="3">
        <f ca="1">IFERROR(__xludf.DUMMYFUNCTION("""COMPUTED_VALUE"""),0.736)</f>
        <v>0.73599999999999999</v>
      </c>
      <c r="Z63" s="3">
        <f ca="1">IFERROR(__xludf.DUMMYFUNCTION("""COMPUTED_VALUE"""),322)</f>
        <v>322</v>
      </c>
      <c r="AA63" s="3">
        <f ca="1">IFERROR(__xludf.DUMMYFUNCTION("""COMPUTED_VALUE"""),1107)</f>
        <v>1107</v>
      </c>
      <c r="AB63" s="3">
        <f ca="1">IFERROR(__xludf.DUMMYFUNCTION("""COMPUTED_VALUE"""),462)</f>
        <v>462</v>
      </c>
      <c r="AC63" s="3">
        <f ca="1">IFERROR(__xludf.DUMMYFUNCTION("""COMPUTED_VALUE"""),201)</f>
        <v>201</v>
      </c>
      <c r="AD63" s="3">
        <f ca="1">IFERROR(__xludf.DUMMYFUNCTION("""COMPUTED_VALUE"""),110)</f>
        <v>110</v>
      </c>
      <c r="AE63" s="3">
        <f ca="1">IFERROR(__xludf.DUMMYFUNCTION("""COMPUTED_VALUE"""),386)</f>
        <v>386</v>
      </c>
      <c r="AF63" s="3">
        <f ca="1">IFERROR(__xludf.DUMMYFUNCTION("""COMPUTED_VALUE"""),528)</f>
        <v>528</v>
      </c>
    </row>
    <row r="64" spans="1:32" x14ac:dyDescent="0.25">
      <c r="A64" s="3" t="str">
        <f ca="1">IFERROR(__xludf.DUMMYFUNCTION("""COMPUTED_VALUE"""),"Clemson")</f>
        <v>Clemson</v>
      </c>
      <c r="B64" s="3">
        <f ca="1">IFERROR(__xludf.DUMMYFUNCTION("""COMPUTED_VALUE"""),34)</f>
        <v>34</v>
      </c>
      <c r="C64" s="3">
        <f ca="1">IFERROR(__xludf.DUMMYFUNCTION("""COMPUTED_VALUE"""),20)</f>
        <v>20</v>
      </c>
      <c r="D64" s="3">
        <f ca="1">IFERROR(__xludf.DUMMYFUNCTION("""COMPUTED_VALUE"""),14)</f>
        <v>14</v>
      </c>
      <c r="E64" s="3">
        <f ca="1">IFERROR(__xludf.DUMMYFUNCTION("""COMPUTED_VALUE"""),0.588)</f>
        <v>0.58799999999999997</v>
      </c>
      <c r="F64" s="3">
        <f ca="1">IFERROR(__xludf.DUMMYFUNCTION("""COMPUTED_VALUE"""),13.85)</f>
        <v>13.85</v>
      </c>
      <c r="G64" s="3">
        <f ca="1">IFERROR(__xludf.DUMMYFUNCTION("""COMPUTED_VALUE"""),8.99)</f>
        <v>8.99</v>
      </c>
      <c r="H64" s="3">
        <f ca="1">IFERROR(__xludf.DUMMYFUNCTION("""COMPUTED_VALUE"""),9)</f>
        <v>9</v>
      </c>
      <c r="I64" s="3">
        <f ca="1">IFERROR(__xludf.DUMMYFUNCTION("""COMPUTED_VALUE"""),9)</f>
        <v>9</v>
      </c>
      <c r="J64" s="3">
        <f ca="1">IFERROR(__xludf.DUMMYFUNCTION("""COMPUTED_VALUE"""),14)</f>
        <v>14</v>
      </c>
      <c r="K64" s="3">
        <f ca="1">IFERROR(__xludf.DUMMYFUNCTION("""COMPUTED_VALUE"""),5)</f>
        <v>5</v>
      </c>
      <c r="L64" s="3">
        <f ca="1">IFERROR(__xludf.DUMMYFUNCTION("""COMPUTED_VALUE"""),4)</f>
        <v>4</v>
      </c>
      <c r="M64" s="3">
        <f ca="1">IFERROR(__xludf.DUMMYFUNCTION("""COMPUTED_VALUE"""),6)</f>
        <v>6</v>
      </c>
      <c r="N64" s="3">
        <f ca="1">IFERROR(__xludf.DUMMYFUNCTION("""COMPUTED_VALUE"""),2339)</f>
        <v>2339</v>
      </c>
      <c r="O64" s="3">
        <f ca="1">IFERROR(__xludf.DUMMYFUNCTION("""COMPUTED_VALUE"""),2174)</f>
        <v>2174</v>
      </c>
      <c r="P64" s="3">
        <f ca="1">IFERROR(__xludf.DUMMYFUNCTION("""COMPUTED_VALUE"""),1360)</f>
        <v>1360</v>
      </c>
      <c r="Q64" s="3">
        <f ca="1">IFERROR(__xludf.DUMMYFUNCTION("""COMPUTED_VALUE"""),833)</f>
        <v>833</v>
      </c>
      <c r="R64" s="3">
        <f ca="1">IFERROR(__xludf.DUMMYFUNCTION("""COMPUTED_VALUE"""),1857)</f>
        <v>1857</v>
      </c>
      <c r="S64" s="3">
        <f ca="1">IFERROR(__xludf.DUMMYFUNCTION("""COMPUTED_VALUE"""),0.449)</f>
        <v>0.44900000000000001</v>
      </c>
      <c r="T64" s="3">
        <f ca="1">IFERROR(__xludf.DUMMYFUNCTION("""COMPUTED_VALUE"""),217)</f>
        <v>217</v>
      </c>
      <c r="U64" s="3">
        <f ca="1">IFERROR(__xludf.DUMMYFUNCTION("""COMPUTED_VALUE"""),661)</f>
        <v>661</v>
      </c>
      <c r="V64" s="3">
        <f ca="1">IFERROR(__xludf.DUMMYFUNCTION("""COMPUTED_VALUE"""),0.328)</f>
        <v>0.32800000000000001</v>
      </c>
      <c r="W64" s="3">
        <f ca="1">IFERROR(__xludf.DUMMYFUNCTION("""COMPUTED_VALUE"""),456)</f>
        <v>456</v>
      </c>
      <c r="X64" s="3">
        <f ca="1">IFERROR(__xludf.DUMMYFUNCTION("""COMPUTED_VALUE"""),623)</f>
        <v>623</v>
      </c>
      <c r="Y64" s="3">
        <f ca="1">IFERROR(__xludf.DUMMYFUNCTION("""COMPUTED_VALUE"""),0.732)</f>
        <v>0.73199999999999998</v>
      </c>
      <c r="Z64" s="3">
        <f ca="1">IFERROR(__xludf.DUMMYFUNCTION("""COMPUTED_VALUE"""),309)</f>
        <v>309</v>
      </c>
      <c r="AA64" s="3">
        <f ca="1">IFERROR(__xludf.DUMMYFUNCTION("""COMPUTED_VALUE"""),1204)</f>
        <v>1204</v>
      </c>
      <c r="AB64" s="3">
        <f ca="1">IFERROR(__xludf.DUMMYFUNCTION("""COMPUTED_VALUE"""),410)</f>
        <v>410</v>
      </c>
      <c r="AC64" s="3">
        <f ca="1">IFERROR(__xludf.DUMMYFUNCTION("""COMPUTED_VALUE"""),223)</f>
        <v>223</v>
      </c>
      <c r="AD64" s="3">
        <f ca="1">IFERROR(__xludf.DUMMYFUNCTION("""COMPUTED_VALUE"""),154)</f>
        <v>154</v>
      </c>
      <c r="AE64" s="3">
        <f ca="1">IFERROR(__xludf.DUMMYFUNCTION("""COMPUTED_VALUE"""),450)</f>
        <v>450</v>
      </c>
      <c r="AF64" s="3">
        <f ca="1">IFERROR(__xludf.DUMMYFUNCTION("""COMPUTED_VALUE"""),552)</f>
        <v>552</v>
      </c>
    </row>
    <row r="65" spans="1:32" x14ac:dyDescent="0.25">
      <c r="A65" s="3" t="str">
        <f ca="1">IFERROR(__xludf.DUMMYFUNCTION("""COMPUTED_VALUE"""),"Cleveland State")</f>
        <v>Cleveland State</v>
      </c>
      <c r="B65" s="3">
        <f ca="1">IFERROR(__xludf.DUMMYFUNCTION("""COMPUTED_VALUE"""),31)</f>
        <v>31</v>
      </c>
      <c r="C65" s="3">
        <f ca="1">IFERROR(__xludf.DUMMYFUNCTION("""COMPUTED_VALUE"""),10)</f>
        <v>10</v>
      </c>
      <c r="D65" s="3">
        <f ca="1">IFERROR(__xludf.DUMMYFUNCTION("""COMPUTED_VALUE"""),21)</f>
        <v>21</v>
      </c>
      <c r="E65" s="3">
        <f ca="1">IFERROR(__xludf.DUMMYFUNCTION("""COMPUTED_VALUE"""),0.323)</f>
        <v>0.32300000000000001</v>
      </c>
      <c r="F65" s="3">
        <f ca="1">IFERROR(__xludf.DUMMYFUNCTION("""COMPUTED_VALUE"""),-7.96)</f>
        <v>-7.96</v>
      </c>
      <c r="G65" s="3">
        <f ca="1">IFERROR(__xludf.DUMMYFUNCTION("""COMPUTED_VALUE"""),-1.52)</f>
        <v>-1.52</v>
      </c>
      <c r="H65" s="3">
        <f ca="1">IFERROR(__xludf.DUMMYFUNCTION("""COMPUTED_VALUE"""),5)</f>
        <v>5</v>
      </c>
      <c r="I65" s="3">
        <f ca="1">IFERROR(__xludf.DUMMYFUNCTION("""COMPUTED_VALUE"""),13)</f>
        <v>13</v>
      </c>
      <c r="J65" s="3">
        <f ca="1">IFERROR(__xludf.DUMMYFUNCTION("""COMPUTED_VALUE"""),8)</f>
        <v>8</v>
      </c>
      <c r="K65" s="3">
        <f ca="1">IFERROR(__xludf.DUMMYFUNCTION("""COMPUTED_VALUE"""),9)</f>
        <v>9</v>
      </c>
      <c r="L65" s="3">
        <f ca="1">IFERROR(__xludf.DUMMYFUNCTION("""COMPUTED_VALUE"""),2)</f>
        <v>2</v>
      </c>
      <c r="M65" s="3">
        <f ca="1">IFERROR(__xludf.DUMMYFUNCTION("""COMPUTED_VALUE"""),12)</f>
        <v>12</v>
      </c>
      <c r="N65" s="3">
        <f ca="1">IFERROR(__xludf.DUMMYFUNCTION("""COMPUTED_VALUE"""),2300)</f>
        <v>2300</v>
      </c>
      <c r="O65" s="3">
        <f ca="1">IFERROR(__xludf.DUMMYFUNCTION("""COMPUTED_VALUE"""),2437)</f>
        <v>2437</v>
      </c>
      <c r="P65" s="3">
        <f ca="1">IFERROR(__xludf.DUMMYFUNCTION("""COMPUTED_VALUE"""),1250)</f>
        <v>1250</v>
      </c>
      <c r="Q65" s="3">
        <f ca="1">IFERROR(__xludf.DUMMYFUNCTION("""COMPUTED_VALUE"""),799)</f>
        <v>799</v>
      </c>
      <c r="R65" s="3">
        <f ca="1">IFERROR(__xludf.DUMMYFUNCTION("""COMPUTED_VALUE"""),1834)</f>
        <v>1834</v>
      </c>
      <c r="S65" s="3">
        <f ca="1">IFERROR(__xludf.DUMMYFUNCTION("""COMPUTED_VALUE"""),0.436)</f>
        <v>0.436</v>
      </c>
      <c r="T65" s="3">
        <f ca="1">IFERROR(__xludf.DUMMYFUNCTION("""COMPUTED_VALUE"""),303)</f>
        <v>303</v>
      </c>
      <c r="U65" s="3">
        <f ca="1">IFERROR(__xludf.DUMMYFUNCTION("""COMPUTED_VALUE"""),820)</f>
        <v>820</v>
      </c>
      <c r="V65" s="3">
        <f ca="1">IFERROR(__xludf.DUMMYFUNCTION("""COMPUTED_VALUE"""),0.37)</f>
        <v>0.37</v>
      </c>
      <c r="W65" s="3">
        <f ca="1">IFERROR(__xludf.DUMMYFUNCTION("""COMPUTED_VALUE"""),399)</f>
        <v>399</v>
      </c>
      <c r="X65" s="3">
        <f ca="1">IFERROR(__xludf.DUMMYFUNCTION("""COMPUTED_VALUE"""),585)</f>
        <v>585</v>
      </c>
      <c r="Y65" s="3">
        <f ca="1">IFERROR(__xludf.DUMMYFUNCTION("""COMPUTED_VALUE"""),0.682)</f>
        <v>0.68200000000000005</v>
      </c>
      <c r="Z65" s="3">
        <f ca="1">IFERROR(__xludf.DUMMYFUNCTION("""COMPUTED_VALUE"""),303)</f>
        <v>303</v>
      </c>
      <c r="AA65" s="3">
        <f ca="1">IFERROR(__xludf.DUMMYFUNCTION("""COMPUTED_VALUE"""),1093)</f>
        <v>1093</v>
      </c>
      <c r="AB65" s="3">
        <f ca="1">IFERROR(__xludf.DUMMYFUNCTION("""COMPUTED_VALUE"""),460)</f>
        <v>460</v>
      </c>
      <c r="AC65" s="3">
        <f ca="1">IFERROR(__xludf.DUMMYFUNCTION("""COMPUTED_VALUE"""),174)</f>
        <v>174</v>
      </c>
      <c r="AD65" s="3">
        <f ca="1">IFERROR(__xludf.DUMMYFUNCTION("""COMPUTED_VALUE"""),97)</f>
        <v>97</v>
      </c>
      <c r="AE65" s="3">
        <f ca="1">IFERROR(__xludf.DUMMYFUNCTION("""COMPUTED_VALUE"""),412)</f>
        <v>412</v>
      </c>
      <c r="AF65" s="3">
        <f ca="1">IFERROR(__xludf.DUMMYFUNCTION("""COMPUTED_VALUE"""),551)</f>
        <v>551</v>
      </c>
    </row>
    <row r="66" spans="1:32" x14ac:dyDescent="0.25">
      <c r="A66" s="3" t="str">
        <f ca="1">IFERROR(__xludf.DUMMYFUNCTION("""COMPUTED_VALUE"""),"Overall")</f>
        <v>Overall</v>
      </c>
      <c r="B66" s="3" t="str">
        <f ca="1">IFERROR(__xludf.DUMMYFUNCTION("""COMPUTED_VALUE"""),"Conf.")</f>
        <v>Conf.</v>
      </c>
      <c r="C66" s="3" t="str">
        <f ca="1">IFERROR(__xludf.DUMMYFUNCTION("""COMPUTED_VALUE"""),"Home")</f>
        <v>Home</v>
      </c>
      <c r="D66" s="3" t="str">
        <f ca="1">IFERROR(__xludf.DUMMYFUNCTION("""COMPUTED_VALUE"""),"Away")</f>
        <v>Away</v>
      </c>
      <c r="E66" s="3" t="str">
        <f ca="1">IFERROR(__xludf.DUMMYFUNCTION("""COMPUTED_VALUE"""),"Points")</f>
        <v>Points</v>
      </c>
      <c r="F66" s="3" t="str">
        <f ca="1">IFERROR(__xludf.DUMMYFUNCTION("""COMPUTED_VALUE"""),"")</f>
        <v/>
      </c>
      <c r="G66" s="3" t="str">
        <f ca="1">IFERROR(__xludf.DUMMYFUNCTION("""COMPUTED_VALUE"""),"School Totals")</f>
        <v>School Totals</v>
      </c>
      <c r="H66" s="3" t="str">
        <f ca="1">IFERROR(__xludf.DUMMYFUNCTION("""COMPUTED_VALUE"""),"")</f>
        <v/>
      </c>
      <c r="I66" s="3" t="str">
        <f ca="1">IFERROR(__xludf.DUMMYFUNCTION("""COMPUTED_VALUE"""),"")</f>
        <v/>
      </c>
      <c r="J66" s="3" t="str">
        <f ca="1">IFERROR(__xludf.DUMMYFUNCTION("""COMPUTED_VALUE"""),"")</f>
        <v/>
      </c>
      <c r="K66" s="3" t="str">
        <f ca="1">IFERROR(__xludf.DUMMYFUNCTION("""COMPUTED_VALUE"""),"")</f>
        <v/>
      </c>
      <c r="L66" s="3" t="str">
        <f ca="1">IFERROR(__xludf.DUMMYFUNCTION("""COMPUTED_VALUE"""),"")</f>
        <v/>
      </c>
      <c r="M66" s="3" t="str">
        <f ca="1">IFERROR(__xludf.DUMMYFUNCTION("""COMPUTED_VALUE"""),"")</f>
        <v/>
      </c>
      <c r="N66" s="3" t="str">
        <f ca="1">IFERROR(__xludf.DUMMYFUNCTION("""COMPUTED_VALUE"""),"")</f>
        <v/>
      </c>
      <c r="O66" s="3" t="str">
        <f ca="1">IFERROR(__xludf.DUMMYFUNCTION("""COMPUTED_VALUE"""),"")</f>
        <v/>
      </c>
      <c r="P66" s="3" t="str">
        <f ca="1">IFERROR(__xludf.DUMMYFUNCTION("""COMPUTED_VALUE"""),"")</f>
        <v/>
      </c>
      <c r="Q66" s="3" t="str">
        <f ca="1">IFERROR(__xludf.DUMMYFUNCTION("""COMPUTED_VALUE"""),"")</f>
        <v/>
      </c>
      <c r="R66" s="3" t="str">
        <f ca="1">IFERROR(__xludf.DUMMYFUNCTION("""COMPUTED_VALUE"""),"")</f>
        <v/>
      </c>
      <c r="S66" s="3" t="str">
        <f ca="1">IFERROR(__xludf.DUMMYFUNCTION("""COMPUTED_VALUE"""),"")</f>
        <v/>
      </c>
      <c r="T66" s="3" t="str">
        <f ca="1">IFERROR(__xludf.DUMMYFUNCTION("""COMPUTED_VALUE"""),"")</f>
        <v/>
      </c>
      <c r="U66" s="3" t="str">
        <f ca="1">IFERROR(__xludf.DUMMYFUNCTION("""COMPUTED_VALUE"""),"")</f>
        <v/>
      </c>
      <c r="V66" s="3" t="str">
        <f ca="1">IFERROR(__xludf.DUMMYFUNCTION("""COMPUTED_VALUE"""),"")</f>
        <v/>
      </c>
      <c r="W66" s="3" t="str">
        <f ca="1">IFERROR(__xludf.DUMMYFUNCTION("""COMPUTED_VALUE"""),"")</f>
        <v/>
      </c>
      <c r="X66" s="3" t="str">
        <f ca="1">IFERROR(__xludf.DUMMYFUNCTION("""COMPUTED_VALUE"""),"")</f>
        <v/>
      </c>
      <c r="Y66" s="3" t="str">
        <f ca="1">IFERROR(__xludf.DUMMYFUNCTION("""COMPUTED_VALUE"""),"")</f>
        <v/>
      </c>
      <c r="Z66" s="3" t="str">
        <f ca="1">IFERROR(__xludf.DUMMYFUNCTION("""COMPUTED_VALUE"""),"")</f>
        <v/>
      </c>
      <c r="AA66" s="3" t="str">
        <f ca="1">IFERROR(__xludf.DUMMYFUNCTION("""COMPUTED_VALUE"""),"")</f>
        <v/>
      </c>
      <c r="AB66" s="3" t="str">
        <f ca="1">IFERROR(__xludf.DUMMYFUNCTION("""COMPUTED_VALUE"""),"")</f>
        <v/>
      </c>
      <c r="AC66" s="3" t="str">
        <f ca="1">IFERROR(__xludf.DUMMYFUNCTION("""COMPUTED_VALUE"""),"")</f>
        <v/>
      </c>
      <c r="AD66" s="3" t="str">
        <f ca="1">IFERROR(__xludf.DUMMYFUNCTION("""COMPUTED_VALUE"""),"")</f>
        <v/>
      </c>
      <c r="AE66" s="3" t="str">
        <f ca="1">IFERROR(__xludf.DUMMYFUNCTION("""COMPUTED_VALUE"""),"")</f>
        <v/>
      </c>
      <c r="AF66" s="3" t="str">
        <f ca="1">IFERROR(__xludf.DUMMYFUNCTION("""COMPUTED_VALUE"""),"")</f>
        <v/>
      </c>
    </row>
    <row r="67" spans="1:32" x14ac:dyDescent="0.25">
      <c r="A67" s="3" t="str">
        <f ca="1">IFERROR(__xludf.DUMMYFUNCTION("""COMPUTED_VALUE"""),"School")</f>
        <v>School</v>
      </c>
      <c r="B67" s="3" t="str">
        <f ca="1">IFERROR(__xludf.DUMMYFUNCTION("""COMPUTED_VALUE"""),"G")</f>
        <v>G</v>
      </c>
      <c r="C67" s="3" t="str">
        <f ca="1">IFERROR(__xludf.DUMMYFUNCTION("""COMPUTED_VALUE"""),"W")</f>
        <v>W</v>
      </c>
      <c r="D67" s="3" t="str">
        <f ca="1">IFERROR(__xludf.DUMMYFUNCTION("""COMPUTED_VALUE"""),"L")</f>
        <v>L</v>
      </c>
      <c r="E67" s="3" t="str">
        <f ca="1">IFERROR(__xludf.DUMMYFUNCTION("""COMPUTED_VALUE"""),"W-L%")</f>
        <v>W-L%</v>
      </c>
      <c r="F67" s="3" t="str">
        <f ca="1">IFERROR(__xludf.DUMMYFUNCTION("""COMPUTED_VALUE"""),"SRS")</f>
        <v>SRS</v>
      </c>
      <c r="G67" s="3" t="str">
        <f ca="1">IFERROR(__xludf.DUMMYFUNCTION("""COMPUTED_VALUE"""),"SOS")</f>
        <v>SOS</v>
      </c>
      <c r="H67" s="3" t="str">
        <f ca="1">IFERROR(__xludf.DUMMYFUNCTION("""COMPUTED_VALUE"""),"W")</f>
        <v>W</v>
      </c>
      <c r="I67" s="3" t="str">
        <f ca="1">IFERROR(__xludf.DUMMYFUNCTION("""COMPUTED_VALUE"""),"L")</f>
        <v>L</v>
      </c>
      <c r="J67" s="3" t="str">
        <f ca="1">IFERROR(__xludf.DUMMYFUNCTION("""COMPUTED_VALUE"""),"W")</f>
        <v>W</v>
      </c>
      <c r="K67" s="3" t="str">
        <f ca="1">IFERROR(__xludf.DUMMYFUNCTION("""COMPUTED_VALUE"""),"L")</f>
        <v>L</v>
      </c>
      <c r="L67" s="3" t="str">
        <f ca="1">IFERROR(__xludf.DUMMYFUNCTION("""COMPUTED_VALUE"""),"W")</f>
        <v>W</v>
      </c>
      <c r="M67" s="3" t="str">
        <f ca="1">IFERROR(__xludf.DUMMYFUNCTION("""COMPUTED_VALUE"""),"L")</f>
        <v>L</v>
      </c>
      <c r="N67" s="3" t="str">
        <f ca="1">IFERROR(__xludf.DUMMYFUNCTION("""COMPUTED_VALUE"""),"Tm.")</f>
        <v>Tm.</v>
      </c>
      <c r="O67" s="3" t="str">
        <f ca="1">IFERROR(__xludf.DUMMYFUNCTION("""COMPUTED_VALUE"""),"Opp.")</f>
        <v>Opp.</v>
      </c>
      <c r="P67" s="3" t="str">
        <f ca="1">IFERROR(__xludf.DUMMYFUNCTION("""COMPUTED_VALUE"""),"MP")</f>
        <v>MP</v>
      </c>
      <c r="Q67" s="3" t="str">
        <f ca="1">IFERROR(__xludf.DUMMYFUNCTION("""COMPUTED_VALUE"""),"FG")</f>
        <v>FG</v>
      </c>
      <c r="R67" s="3" t="str">
        <f ca="1">IFERROR(__xludf.DUMMYFUNCTION("""COMPUTED_VALUE"""),"FGA")</f>
        <v>FGA</v>
      </c>
      <c r="S67" s="3" t="str">
        <f ca="1">IFERROR(__xludf.DUMMYFUNCTION("""COMPUTED_VALUE"""),"FG%")</f>
        <v>FG%</v>
      </c>
      <c r="T67" s="3" t="str">
        <f ca="1">IFERROR(__xludf.DUMMYFUNCTION("""COMPUTED_VALUE"""),"3P")</f>
        <v>3P</v>
      </c>
      <c r="U67" s="3" t="str">
        <f ca="1">IFERROR(__xludf.DUMMYFUNCTION("""COMPUTED_VALUE"""),"3PA")</f>
        <v>3PA</v>
      </c>
      <c r="V67" s="3" t="str">
        <f ca="1">IFERROR(__xludf.DUMMYFUNCTION("""COMPUTED_VALUE"""),"3P%")</f>
        <v>3P%</v>
      </c>
      <c r="W67" s="3" t="str">
        <f ca="1">IFERROR(__xludf.DUMMYFUNCTION("""COMPUTED_VALUE"""),"FT")</f>
        <v>FT</v>
      </c>
      <c r="X67" s="3" t="str">
        <f ca="1">IFERROR(__xludf.DUMMYFUNCTION("""COMPUTED_VALUE"""),"FTA")</f>
        <v>FTA</v>
      </c>
      <c r="Y67" s="3" t="str">
        <f ca="1">IFERROR(__xludf.DUMMYFUNCTION("""COMPUTED_VALUE"""),"FT%")</f>
        <v>FT%</v>
      </c>
      <c r="Z67" s="3" t="str">
        <f ca="1">IFERROR(__xludf.DUMMYFUNCTION("""COMPUTED_VALUE"""),"ORB")</f>
        <v>ORB</v>
      </c>
      <c r="AA67" s="3" t="str">
        <f ca="1">IFERROR(__xludf.DUMMYFUNCTION("""COMPUTED_VALUE"""),"TRB")</f>
        <v>TRB</v>
      </c>
      <c r="AB67" s="3" t="str">
        <f ca="1">IFERROR(__xludf.DUMMYFUNCTION("""COMPUTED_VALUE"""),"AST")</f>
        <v>AST</v>
      </c>
      <c r="AC67" s="3" t="str">
        <f ca="1">IFERROR(__xludf.DUMMYFUNCTION("""COMPUTED_VALUE"""),"STL")</f>
        <v>STL</v>
      </c>
      <c r="AD67" s="3" t="str">
        <f ca="1">IFERROR(__xludf.DUMMYFUNCTION("""COMPUTED_VALUE"""),"BLK")</f>
        <v>BLK</v>
      </c>
      <c r="AE67" s="3" t="str">
        <f ca="1">IFERROR(__xludf.DUMMYFUNCTION("""COMPUTED_VALUE"""),"TOV")</f>
        <v>TOV</v>
      </c>
      <c r="AF67" s="3" t="str">
        <f ca="1">IFERROR(__xludf.DUMMYFUNCTION("""COMPUTED_VALUE"""),"PF")</f>
        <v>PF</v>
      </c>
    </row>
    <row r="68" spans="1:32" x14ac:dyDescent="0.25">
      <c r="A68" s="3" t="str">
        <f ca="1">IFERROR(__xludf.DUMMYFUNCTION("""COMPUTED_VALUE"""),"Coastal Carolina")</f>
        <v>Coastal Carolina</v>
      </c>
      <c r="B68" s="3">
        <f ca="1">IFERROR(__xludf.DUMMYFUNCTION("""COMPUTED_VALUE"""),34)</f>
        <v>34</v>
      </c>
      <c r="C68" s="3">
        <f ca="1">IFERROR(__xludf.DUMMYFUNCTION("""COMPUTED_VALUE"""),17)</f>
        <v>17</v>
      </c>
      <c r="D68" s="3">
        <f ca="1">IFERROR(__xludf.DUMMYFUNCTION("""COMPUTED_VALUE"""),17)</f>
        <v>17</v>
      </c>
      <c r="E68" s="3">
        <f ca="1">IFERROR(__xludf.DUMMYFUNCTION("""COMPUTED_VALUE"""),0.5)</f>
        <v>0.5</v>
      </c>
      <c r="F68" s="3">
        <f ca="1">IFERROR(__xludf.DUMMYFUNCTION("""COMPUTED_VALUE"""),-0.5)</f>
        <v>-0.5</v>
      </c>
      <c r="G68" s="3">
        <f ca="1">IFERROR(__xludf.DUMMYFUNCTION("""COMPUTED_VALUE"""),-1.94)</f>
        <v>-1.94</v>
      </c>
      <c r="H68" s="3">
        <f ca="1">IFERROR(__xludf.DUMMYFUNCTION("""COMPUTED_VALUE"""),9)</f>
        <v>9</v>
      </c>
      <c r="I68" s="3">
        <f ca="1">IFERROR(__xludf.DUMMYFUNCTION("""COMPUTED_VALUE"""),9)</f>
        <v>9</v>
      </c>
      <c r="J68" s="3">
        <f ca="1">IFERROR(__xludf.DUMMYFUNCTION("""COMPUTED_VALUE"""),10)</f>
        <v>10</v>
      </c>
      <c r="K68" s="3">
        <f ca="1">IFERROR(__xludf.DUMMYFUNCTION("""COMPUTED_VALUE"""),4)</f>
        <v>4</v>
      </c>
      <c r="L68" s="3">
        <f ca="1">IFERROR(__xludf.DUMMYFUNCTION("""COMPUTED_VALUE"""),6)</f>
        <v>6</v>
      </c>
      <c r="M68" s="3">
        <f ca="1">IFERROR(__xludf.DUMMYFUNCTION("""COMPUTED_VALUE"""),11)</f>
        <v>11</v>
      </c>
      <c r="N68" s="3">
        <f ca="1">IFERROR(__xludf.DUMMYFUNCTION("""COMPUTED_VALUE"""),2641)</f>
        <v>2641</v>
      </c>
      <c r="O68" s="3">
        <f ca="1">IFERROR(__xludf.DUMMYFUNCTION("""COMPUTED_VALUE"""),2520)</f>
        <v>2520</v>
      </c>
      <c r="P68" s="3">
        <f ca="1">IFERROR(__xludf.DUMMYFUNCTION("""COMPUTED_VALUE"""),1370)</f>
        <v>1370</v>
      </c>
      <c r="Q68" s="3">
        <f ca="1">IFERROR(__xludf.DUMMYFUNCTION("""COMPUTED_VALUE"""),899)</f>
        <v>899</v>
      </c>
      <c r="R68" s="3">
        <f ca="1">IFERROR(__xludf.DUMMYFUNCTION("""COMPUTED_VALUE"""),1986)</f>
        <v>1986</v>
      </c>
      <c r="S68" s="3">
        <f ca="1">IFERROR(__xludf.DUMMYFUNCTION("""COMPUTED_VALUE"""),0.453)</f>
        <v>0.45300000000000001</v>
      </c>
      <c r="T68" s="3">
        <f ca="1">IFERROR(__xludf.DUMMYFUNCTION("""COMPUTED_VALUE"""),284)</f>
        <v>284</v>
      </c>
      <c r="U68" s="3">
        <f ca="1">IFERROR(__xludf.DUMMYFUNCTION("""COMPUTED_VALUE"""),766)</f>
        <v>766</v>
      </c>
      <c r="V68" s="3">
        <f ca="1">IFERROR(__xludf.DUMMYFUNCTION("""COMPUTED_VALUE"""),0.371)</f>
        <v>0.371</v>
      </c>
      <c r="W68" s="3">
        <f ca="1">IFERROR(__xludf.DUMMYFUNCTION("""COMPUTED_VALUE"""),559)</f>
        <v>559</v>
      </c>
      <c r="X68" s="3">
        <f ca="1">IFERROR(__xludf.DUMMYFUNCTION("""COMPUTED_VALUE"""),778)</f>
        <v>778</v>
      </c>
      <c r="Y68" s="3">
        <f ca="1">IFERROR(__xludf.DUMMYFUNCTION("""COMPUTED_VALUE"""),0.719)</f>
        <v>0.71899999999999997</v>
      </c>
      <c r="Z68" s="3">
        <f ca="1">IFERROR(__xludf.DUMMYFUNCTION("""COMPUTED_VALUE"""),376)</f>
        <v>376</v>
      </c>
      <c r="AA68" s="3">
        <f ca="1">IFERROR(__xludf.DUMMYFUNCTION("""COMPUTED_VALUE"""),1256)</f>
        <v>1256</v>
      </c>
      <c r="AB68" s="3">
        <f ca="1">IFERROR(__xludf.DUMMYFUNCTION("""COMPUTED_VALUE"""),451)</f>
        <v>451</v>
      </c>
      <c r="AC68" s="3">
        <f ca="1">IFERROR(__xludf.DUMMYFUNCTION("""COMPUTED_VALUE"""),214)</f>
        <v>214</v>
      </c>
      <c r="AD68" s="3">
        <f ca="1">IFERROR(__xludf.DUMMYFUNCTION("""COMPUTED_VALUE"""),78)</f>
        <v>78</v>
      </c>
      <c r="AE68" s="3">
        <f ca="1">IFERROR(__xludf.DUMMYFUNCTION("""COMPUTED_VALUE"""),472)</f>
        <v>472</v>
      </c>
      <c r="AF68" s="3">
        <f ca="1">IFERROR(__xludf.DUMMYFUNCTION("""COMPUTED_VALUE"""),691)</f>
        <v>691</v>
      </c>
    </row>
    <row r="69" spans="1:32" x14ac:dyDescent="0.25">
      <c r="A69" s="3" t="str">
        <f ca="1">IFERROR(__xludf.DUMMYFUNCTION("""COMPUTED_VALUE"""),"ColgateNCAA")</f>
        <v>ColgateNCAA</v>
      </c>
      <c r="B69" s="3">
        <f ca="1">IFERROR(__xludf.DUMMYFUNCTION("""COMPUTED_VALUE"""),35)</f>
        <v>35</v>
      </c>
      <c r="C69" s="3">
        <f ca="1">IFERROR(__xludf.DUMMYFUNCTION("""COMPUTED_VALUE"""),24)</f>
        <v>24</v>
      </c>
      <c r="D69" s="3">
        <f ca="1">IFERROR(__xludf.DUMMYFUNCTION("""COMPUTED_VALUE"""),11)</f>
        <v>11</v>
      </c>
      <c r="E69" s="3">
        <f ca="1">IFERROR(__xludf.DUMMYFUNCTION("""COMPUTED_VALUE"""),0.686)</f>
        <v>0.68600000000000005</v>
      </c>
      <c r="F69" s="3">
        <f ca="1">IFERROR(__xludf.DUMMYFUNCTION("""COMPUTED_VALUE"""),1.23)</f>
        <v>1.23</v>
      </c>
      <c r="G69" s="3">
        <f ca="1">IFERROR(__xludf.DUMMYFUNCTION("""COMPUTED_VALUE"""),-3.83)</f>
        <v>-3.83</v>
      </c>
      <c r="H69" s="3">
        <f ca="1">IFERROR(__xludf.DUMMYFUNCTION("""COMPUTED_VALUE"""),13)</f>
        <v>13</v>
      </c>
      <c r="I69" s="3">
        <f ca="1">IFERROR(__xludf.DUMMYFUNCTION("""COMPUTED_VALUE"""),5)</f>
        <v>5</v>
      </c>
      <c r="J69" s="3">
        <f ca="1">IFERROR(__xludf.DUMMYFUNCTION("""COMPUTED_VALUE"""),15)</f>
        <v>15</v>
      </c>
      <c r="K69" s="3">
        <f ca="1">IFERROR(__xludf.DUMMYFUNCTION("""COMPUTED_VALUE"""),1)</f>
        <v>1</v>
      </c>
      <c r="L69" s="3">
        <f ca="1">IFERROR(__xludf.DUMMYFUNCTION("""COMPUTED_VALUE"""),9)</f>
        <v>9</v>
      </c>
      <c r="M69" s="3">
        <f ca="1">IFERROR(__xludf.DUMMYFUNCTION("""COMPUTED_VALUE"""),9)</f>
        <v>9</v>
      </c>
      <c r="N69" s="3">
        <f ca="1">IFERROR(__xludf.DUMMYFUNCTION("""COMPUTED_VALUE"""),2648)</f>
        <v>2648</v>
      </c>
      <c r="O69" s="3">
        <f ca="1">IFERROR(__xludf.DUMMYFUNCTION("""COMPUTED_VALUE"""),2458)</f>
        <v>2458</v>
      </c>
      <c r="P69" s="3">
        <f ca="1">IFERROR(__xludf.DUMMYFUNCTION("""COMPUTED_VALUE"""),1415)</f>
        <v>1415</v>
      </c>
      <c r="Q69" s="3">
        <f ca="1">IFERROR(__xludf.DUMMYFUNCTION("""COMPUTED_VALUE"""),955)</f>
        <v>955</v>
      </c>
      <c r="R69" s="3">
        <f ca="1">IFERROR(__xludf.DUMMYFUNCTION("""COMPUTED_VALUE"""),1995)</f>
        <v>1995</v>
      </c>
      <c r="S69" s="3">
        <f ca="1">IFERROR(__xludf.DUMMYFUNCTION("""COMPUTED_VALUE"""),0.479)</f>
        <v>0.47899999999999998</v>
      </c>
      <c r="T69" s="3">
        <f ca="1">IFERROR(__xludf.DUMMYFUNCTION("""COMPUTED_VALUE"""),320)</f>
        <v>320</v>
      </c>
      <c r="U69" s="3">
        <f ca="1">IFERROR(__xludf.DUMMYFUNCTION("""COMPUTED_VALUE"""),815)</f>
        <v>815</v>
      </c>
      <c r="V69" s="3">
        <f ca="1">IFERROR(__xludf.DUMMYFUNCTION("""COMPUTED_VALUE"""),0.393)</f>
        <v>0.39300000000000002</v>
      </c>
      <c r="W69" s="3">
        <f ca="1">IFERROR(__xludf.DUMMYFUNCTION("""COMPUTED_VALUE"""),418)</f>
        <v>418</v>
      </c>
      <c r="X69" s="3">
        <f ca="1">IFERROR(__xludf.DUMMYFUNCTION("""COMPUTED_VALUE"""),563)</f>
        <v>563</v>
      </c>
      <c r="Y69" s="3">
        <f ca="1">IFERROR(__xludf.DUMMYFUNCTION("""COMPUTED_VALUE"""),0.742)</f>
        <v>0.74199999999999999</v>
      </c>
      <c r="Z69" s="3">
        <f ca="1">IFERROR(__xludf.DUMMYFUNCTION("""COMPUTED_VALUE"""),322)</f>
        <v>322</v>
      </c>
      <c r="AA69" s="3">
        <f ca="1">IFERROR(__xludf.DUMMYFUNCTION("""COMPUTED_VALUE"""),1240)</f>
        <v>1240</v>
      </c>
      <c r="AB69" s="3">
        <f ca="1">IFERROR(__xludf.DUMMYFUNCTION("""COMPUTED_VALUE"""),541)</f>
        <v>541</v>
      </c>
      <c r="AC69" s="3">
        <f ca="1">IFERROR(__xludf.DUMMYFUNCTION("""COMPUTED_VALUE"""),213)</f>
        <v>213</v>
      </c>
      <c r="AD69" s="3">
        <f ca="1">IFERROR(__xludf.DUMMYFUNCTION("""COMPUTED_VALUE"""),121)</f>
        <v>121</v>
      </c>
      <c r="AE69" s="3">
        <f ca="1">IFERROR(__xludf.DUMMYFUNCTION("""COMPUTED_VALUE"""),456)</f>
        <v>456</v>
      </c>
      <c r="AF69" s="3">
        <f ca="1">IFERROR(__xludf.DUMMYFUNCTION("""COMPUTED_VALUE"""),547)</f>
        <v>547</v>
      </c>
    </row>
    <row r="70" spans="1:32" x14ac:dyDescent="0.25">
      <c r="A70" s="3" t="str">
        <f ca="1">IFERROR(__xludf.DUMMYFUNCTION("""COMPUTED_VALUE"""),"College of Charleston")</f>
        <v>College of Charleston</v>
      </c>
      <c r="B70" s="3">
        <f ca="1">IFERROR(__xludf.DUMMYFUNCTION("""COMPUTED_VALUE"""),33)</f>
        <v>33</v>
      </c>
      <c r="C70" s="3">
        <f ca="1">IFERROR(__xludf.DUMMYFUNCTION("""COMPUTED_VALUE"""),24)</f>
        <v>24</v>
      </c>
      <c r="D70" s="3">
        <f ca="1">IFERROR(__xludf.DUMMYFUNCTION("""COMPUTED_VALUE"""),9)</f>
        <v>9</v>
      </c>
      <c r="E70" s="3">
        <f ca="1">IFERROR(__xludf.DUMMYFUNCTION("""COMPUTED_VALUE"""),0.727)</f>
        <v>0.72699999999999998</v>
      </c>
      <c r="F70" s="3">
        <f ca="1">IFERROR(__xludf.DUMMYFUNCTION("""COMPUTED_VALUE"""),2.36)</f>
        <v>2.36</v>
      </c>
      <c r="G70" s="3">
        <f ca="1">IFERROR(__xludf.DUMMYFUNCTION("""COMPUTED_VALUE"""),-2.95)</f>
        <v>-2.95</v>
      </c>
      <c r="H70" s="3">
        <f ca="1">IFERROR(__xludf.DUMMYFUNCTION("""COMPUTED_VALUE"""),12)</f>
        <v>12</v>
      </c>
      <c r="I70" s="3">
        <f ca="1">IFERROR(__xludf.DUMMYFUNCTION("""COMPUTED_VALUE"""),6)</f>
        <v>6</v>
      </c>
      <c r="J70" s="3">
        <f ca="1">IFERROR(__xludf.DUMMYFUNCTION("""COMPUTED_VALUE"""),13)</f>
        <v>13</v>
      </c>
      <c r="K70" s="3">
        <f ca="1">IFERROR(__xludf.DUMMYFUNCTION("""COMPUTED_VALUE"""),2)</f>
        <v>2</v>
      </c>
      <c r="L70" s="3">
        <f ca="1">IFERROR(__xludf.DUMMYFUNCTION("""COMPUTED_VALUE"""),8)</f>
        <v>8</v>
      </c>
      <c r="M70" s="3">
        <f ca="1">IFERROR(__xludf.DUMMYFUNCTION("""COMPUTED_VALUE"""),5)</f>
        <v>5</v>
      </c>
      <c r="N70" s="3">
        <f ca="1">IFERROR(__xludf.DUMMYFUNCTION("""COMPUTED_VALUE"""),2453)</f>
        <v>2453</v>
      </c>
      <c r="O70" s="3">
        <f ca="1">IFERROR(__xludf.DUMMYFUNCTION("""COMPUTED_VALUE"""),2265)</f>
        <v>2265</v>
      </c>
      <c r="P70" s="3">
        <f ca="1">IFERROR(__xludf.DUMMYFUNCTION("""COMPUTED_VALUE"""),1330)</f>
        <v>1330</v>
      </c>
      <c r="Q70" s="3">
        <f ca="1">IFERROR(__xludf.DUMMYFUNCTION("""COMPUTED_VALUE"""),878)</f>
        <v>878</v>
      </c>
      <c r="R70" s="3">
        <f ca="1">IFERROR(__xludf.DUMMYFUNCTION("""COMPUTED_VALUE"""),1818)</f>
        <v>1818</v>
      </c>
      <c r="S70" s="3">
        <f ca="1">IFERROR(__xludf.DUMMYFUNCTION("""COMPUTED_VALUE"""),0.483)</f>
        <v>0.48299999999999998</v>
      </c>
      <c r="T70" s="3">
        <f ca="1">IFERROR(__xludf.DUMMYFUNCTION("""COMPUTED_VALUE"""),227)</f>
        <v>227</v>
      </c>
      <c r="U70" s="3">
        <f ca="1">IFERROR(__xludf.DUMMYFUNCTION("""COMPUTED_VALUE"""),667)</f>
        <v>667</v>
      </c>
      <c r="V70" s="3">
        <f ca="1">IFERROR(__xludf.DUMMYFUNCTION("""COMPUTED_VALUE"""),0.34)</f>
        <v>0.34</v>
      </c>
      <c r="W70" s="3">
        <f ca="1">IFERROR(__xludf.DUMMYFUNCTION("""COMPUTED_VALUE"""),470)</f>
        <v>470</v>
      </c>
      <c r="X70" s="3">
        <f ca="1">IFERROR(__xludf.DUMMYFUNCTION("""COMPUTED_VALUE"""),615)</f>
        <v>615</v>
      </c>
      <c r="Y70" s="3">
        <f ca="1">IFERROR(__xludf.DUMMYFUNCTION("""COMPUTED_VALUE"""),0.764)</f>
        <v>0.76400000000000001</v>
      </c>
      <c r="Z70" s="3">
        <f ca="1">IFERROR(__xludf.DUMMYFUNCTION("""COMPUTED_VALUE"""),260)</f>
        <v>260</v>
      </c>
      <c r="AA70" s="3">
        <f ca="1">IFERROR(__xludf.DUMMYFUNCTION("""COMPUTED_VALUE"""),1060)</f>
        <v>1060</v>
      </c>
      <c r="AB70" s="3">
        <f ca="1">IFERROR(__xludf.DUMMYFUNCTION("""COMPUTED_VALUE"""),387)</f>
        <v>387</v>
      </c>
      <c r="AC70" s="3">
        <f ca="1">IFERROR(__xludf.DUMMYFUNCTION("""COMPUTED_VALUE"""),216)</f>
        <v>216</v>
      </c>
      <c r="AD70" s="3">
        <f ca="1">IFERROR(__xludf.DUMMYFUNCTION("""COMPUTED_VALUE"""),76)</f>
        <v>76</v>
      </c>
      <c r="AE70" s="3">
        <f ca="1">IFERROR(__xludf.DUMMYFUNCTION("""COMPUTED_VALUE"""),347)</f>
        <v>347</v>
      </c>
      <c r="AF70" s="3">
        <f ca="1">IFERROR(__xludf.DUMMYFUNCTION("""COMPUTED_VALUE"""),486)</f>
        <v>486</v>
      </c>
    </row>
    <row r="71" spans="1:32" x14ac:dyDescent="0.25">
      <c r="A71" s="3" t="str">
        <f ca="1">IFERROR(__xludf.DUMMYFUNCTION("""COMPUTED_VALUE"""),"Colorado State")</f>
        <v>Colorado State</v>
      </c>
      <c r="B71" s="3">
        <f ca="1">IFERROR(__xludf.DUMMYFUNCTION("""COMPUTED_VALUE"""),32)</f>
        <v>32</v>
      </c>
      <c r="C71" s="3">
        <f ca="1">IFERROR(__xludf.DUMMYFUNCTION("""COMPUTED_VALUE"""),12)</f>
        <v>12</v>
      </c>
      <c r="D71" s="3">
        <f ca="1">IFERROR(__xludf.DUMMYFUNCTION("""COMPUTED_VALUE"""),20)</f>
        <v>20</v>
      </c>
      <c r="E71" s="3">
        <f ca="1">IFERROR(__xludf.DUMMYFUNCTION("""COMPUTED_VALUE"""),0.375)</f>
        <v>0.375</v>
      </c>
      <c r="F71" s="3">
        <f ca="1">IFERROR(__xludf.DUMMYFUNCTION("""COMPUTED_VALUE"""),-0.11)</f>
        <v>-0.11</v>
      </c>
      <c r="G71" s="3">
        <f ca="1">IFERROR(__xludf.DUMMYFUNCTION("""COMPUTED_VALUE"""),1.41)</f>
        <v>1.41</v>
      </c>
      <c r="H71" s="3">
        <f ca="1">IFERROR(__xludf.DUMMYFUNCTION("""COMPUTED_VALUE"""),7)</f>
        <v>7</v>
      </c>
      <c r="I71" s="3">
        <f ca="1">IFERROR(__xludf.DUMMYFUNCTION("""COMPUTED_VALUE"""),11)</f>
        <v>11</v>
      </c>
      <c r="J71" s="3">
        <f ca="1">IFERROR(__xludf.DUMMYFUNCTION("""COMPUTED_VALUE"""),8)</f>
        <v>8</v>
      </c>
      <c r="K71" s="3">
        <f ca="1">IFERROR(__xludf.DUMMYFUNCTION("""COMPUTED_VALUE"""),9)</f>
        <v>9</v>
      </c>
      <c r="L71" s="3">
        <f ca="1">IFERROR(__xludf.DUMMYFUNCTION("""COMPUTED_VALUE"""),3)</f>
        <v>3</v>
      </c>
      <c r="M71" s="3">
        <f ca="1">IFERROR(__xludf.DUMMYFUNCTION("""COMPUTED_VALUE"""),8)</f>
        <v>8</v>
      </c>
      <c r="N71" s="3">
        <f ca="1">IFERROR(__xludf.DUMMYFUNCTION("""COMPUTED_VALUE"""),2393)</f>
        <v>2393</v>
      </c>
      <c r="O71" s="3">
        <f ca="1">IFERROR(__xludf.DUMMYFUNCTION("""COMPUTED_VALUE"""),2406)</f>
        <v>2406</v>
      </c>
      <c r="P71" s="3">
        <f ca="1">IFERROR(__xludf.DUMMYFUNCTION("""COMPUTED_VALUE"""),1285)</f>
        <v>1285</v>
      </c>
      <c r="Q71" s="3">
        <f ca="1">IFERROR(__xludf.DUMMYFUNCTION("""COMPUTED_VALUE"""),866)</f>
        <v>866</v>
      </c>
      <c r="R71" s="3">
        <f ca="1">IFERROR(__xludf.DUMMYFUNCTION("""COMPUTED_VALUE"""),1818)</f>
        <v>1818</v>
      </c>
      <c r="S71" s="3">
        <f ca="1">IFERROR(__xludf.DUMMYFUNCTION("""COMPUTED_VALUE"""),0.476)</f>
        <v>0.47599999999999998</v>
      </c>
      <c r="T71" s="3">
        <f ca="1">IFERROR(__xludf.DUMMYFUNCTION("""COMPUTED_VALUE"""),259)</f>
        <v>259</v>
      </c>
      <c r="U71" s="3">
        <f ca="1">IFERROR(__xludf.DUMMYFUNCTION("""COMPUTED_VALUE"""),722)</f>
        <v>722</v>
      </c>
      <c r="V71" s="3">
        <f ca="1">IFERROR(__xludf.DUMMYFUNCTION("""COMPUTED_VALUE"""),0.359)</f>
        <v>0.35899999999999999</v>
      </c>
      <c r="W71" s="3">
        <f ca="1">IFERROR(__xludf.DUMMYFUNCTION("""COMPUTED_VALUE"""),402)</f>
        <v>402</v>
      </c>
      <c r="X71" s="3">
        <f ca="1">IFERROR(__xludf.DUMMYFUNCTION("""COMPUTED_VALUE"""),579)</f>
        <v>579</v>
      </c>
      <c r="Y71" s="3">
        <f ca="1">IFERROR(__xludf.DUMMYFUNCTION("""COMPUTED_VALUE"""),0.694)</f>
        <v>0.69399999999999995</v>
      </c>
      <c r="Z71" s="3">
        <f ca="1">IFERROR(__xludf.DUMMYFUNCTION("""COMPUTED_VALUE"""),256)</f>
        <v>256</v>
      </c>
      <c r="AA71" s="3">
        <f ca="1">IFERROR(__xludf.DUMMYFUNCTION("""COMPUTED_VALUE"""),1080)</f>
        <v>1080</v>
      </c>
      <c r="AB71" s="3">
        <f ca="1">IFERROR(__xludf.DUMMYFUNCTION("""COMPUTED_VALUE"""),472)</f>
        <v>472</v>
      </c>
      <c r="AC71" s="3">
        <f ca="1">IFERROR(__xludf.DUMMYFUNCTION("""COMPUTED_VALUE"""),199)</f>
        <v>199</v>
      </c>
      <c r="AD71" s="3">
        <f ca="1">IFERROR(__xludf.DUMMYFUNCTION("""COMPUTED_VALUE"""),76)</f>
        <v>76</v>
      </c>
      <c r="AE71" s="3">
        <f ca="1">IFERROR(__xludf.DUMMYFUNCTION("""COMPUTED_VALUE"""),372)</f>
        <v>372</v>
      </c>
      <c r="AF71" s="3">
        <f ca="1">IFERROR(__xludf.DUMMYFUNCTION("""COMPUTED_VALUE"""),522)</f>
        <v>522</v>
      </c>
    </row>
    <row r="72" spans="1:32" x14ac:dyDescent="0.25">
      <c r="A72" s="3" t="str">
        <f ca="1">IFERROR(__xludf.DUMMYFUNCTION("""COMPUTED_VALUE"""),"Colorado")</f>
        <v>Colorado</v>
      </c>
      <c r="B72" s="3">
        <f ca="1">IFERROR(__xludf.DUMMYFUNCTION("""COMPUTED_VALUE"""),36)</f>
        <v>36</v>
      </c>
      <c r="C72" s="3">
        <f ca="1">IFERROR(__xludf.DUMMYFUNCTION("""COMPUTED_VALUE"""),23)</f>
        <v>23</v>
      </c>
      <c r="D72" s="3">
        <f ca="1">IFERROR(__xludf.DUMMYFUNCTION("""COMPUTED_VALUE"""),13)</f>
        <v>13</v>
      </c>
      <c r="E72" s="3">
        <f ca="1">IFERROR(__xludf.DUMMYFUNCTION("""COMPUTED_VALUE"""),0.639)</f>
        <v>0.63900000000000001</v>
      </c>
      <c r="F72" s="3">
        <f ca="1">IFERROR(__xludf.DUMMYFUNCTION("""COMPUTED_VALUE"""),9.68)</f>
        <v>9.68</v>
      </c>
      <c r="G72" s="3">
        <f ca="1">IFERROR(__xludf.DUMMYFUNCTION("""COMPUTED_VALUE"""),3.6)</f>
        <v>3.6</v>
      </c>
      <c r="H72" s="3">
        <f ca="1">IFERROR(__xludf.DUMMYFUNCTION("""COMPUTED_VALUE"""),10)</f>
        <v>10</v>
      </c>
      <c r="I72" s="3">
        <f ca="1">IFERROR(__xludf.DUMMYFUNCTION("""COMPUTED_VALUE"""),8)</f>
        <v>8</v>
      </c>
      <c r="J72" s="3">
        <f ca="1">IFERROR(__xludf.DUMMYFUNCTION("""COMPUTED_VALUE"""),15)</f>
        <v>15</v>
      </c>
      <c r="K72" s="3">
        <f ca="1">IFERROR(__xludf.DUMMYFUNCTION("""COMPUTED_VALUE"""),2)</f>
        <v>2</v>
      </c>
      <c r="L72" s="3">
        <f ca="1">IFERROR(__xludf.DUMMYFUNCTION("""COMPUTED_VALUE"""),5)</f>
        <v>5</v>
      </c>
      <c r="M72" s="3">
        <f ca="1">IFERROR(__xludf.DUMMYFUNCTION("""COMPUTED_VALUE"""),9)</f>
        <v>9</v>
      </c>
      <c r="N72" s="3">
        <f ca="1">IFERROR(__xludf.DUMMYFUNCTION("""COMPUTED_VALUE"""),2648)</f>
        <v>2648</v>
      </c>
      <c r="O72" s="3">
        <f ca="1">IFERROR(__xludf.DUMMYFUNCTION("""COMPUTED_VALUE"""),2429)</f>
        <v>2429</v>
      </c>
      <c r="P72" s="3">
        <f ca="1">IFERROR(__xludf.DUMMYFUNCTION("""COMPUTED_VALUE"""),1445)</f>
        <v>1445</v>
      </c>
      <c r="Q72" s="3">
        <f ca="1">IFERROR(__xludf.DUMMYFUNCTION("""COMPUTED_VALUE"""),924)</f>
        <v>924</v>
      </c>
      <c r="R72" s="3">
        <f ca="1">IFERROR(__xludf.DUMMYFUNCTION("""COMPUTED_VALUE"""),2036)</f>
        <v>2036</v>
      </c>
      <c r="S72" s="3">
        <f ca="1">IFERROR(__xludf.DUMMYFUNCTION("""COMPUTED_VALUE"""),0.454)</f>
        <v>0.45400000000000001</v>
      </c>
      <c r="T72" s="3">
        <f ca="1">IFERROR(__xludf.DUMMYFUNCTION("""COMPUTED_VALUE"""),230)</f>
        <v>230</v>
      </c>
      <c r="U72" s="3">
        <f ca="1">IFERROR(__xludf.DUMMYFUNCTION("""COMPUTED_VALUE"""),711)</f>
        <v>711</v>
      </c>
      <c r="V72" s="3">
        <f ca="1">IFERROR(__xludf.DUMMYFUNCTION("""COMPUTED_VALUE"""),0.323)</f>
        <v>0.32300000000000001</v>
      </c>
      <c r="W72" s="3">
        <f ca="1">IFERROR(__xludf.DUMMYFUNCTION("""COMPUTED_VALUE"""),570)</f>
        <v>570</v>
      </c>
      <c r="X72" s="3">
        <f ca="1">IFERROR(__xludf.DUMMYFUNCTION("""COMPUTED_VALUE"""),757)</f>
        <v>757</v>
      </c>
      <c r="Y72" s="3">
        <f ca="1">IFERROR(__xludf.DUMMYFUNCTION("""COMPUTED_VALUE"""),0.753)</f>
        <v>0.753</v>
      </c>
      <c r="Z72" s="3">
        <f ca="1">IFERROR(__xludf.DUMMYFUNCTION("""COMPUTED_VALUE"""),363)</f>
        <v>363</v>
      </c>
      <c r="AA72" s="3">
        <f ca="1">IFERROR(__xludf.DUMMYFUNCTION("""COMPUTED_VALUE"""),1352)</f>
        <v>1352</v>
      </c>
      <c r="AB72" s="3">
        <f ca="1">IFERROR(__xludf.DUMMYFUNCTION("""COMPUTED_VALUE"""),478)</f>
        <v>478</v>
      </c>
      <c r="AC72" s="3">
        <f ca="1">IFERROR(__xludf.DUMMYFUNCTION("""COMPUTED_VALUE"""),181)</f>
        <v>181</v>
      </c>
      <c r="AD72" s="3">
        <f ca="1">IFERROR(__xludf.DUMMYFUNCTION("""COMPUTED_VALUE"""),107)</f>
        <v>107</v>
      </c>
      <c r="AE72" s="3">
        <f ca="1">IFERROR(__xludf.DUMMYFUNCTION("""COMPUTED_VALUE"""),479)</f>
        <v>479</v>
      </c>
      <c r="AF72" s="3">
        <f ca="1">IFERROR(__xludf.DUMMYFUNCTION("""COMPUTED_VALUE"""),616)</f>
        <v>616</v>
      </c>
    </row>
    <row r="73" spans="1:32" x14ac:dyDescent="0.25">
      <c r="A73" s="3" t="str">
        <f ca="1">IFERROR(__xludf.DUMMYFUNCTION("""COMPUTED_VALUE"""),"Columbia")</f>
        <v>Columbia</v>
      </c>
      <c r="B73" s="3">
        <f ca="1">IFERROR(__xludf.DUMMYFUNCTION("""COMPUTED_VALUE"""),28)</f>
        <v>28</v>
      </c>
      <c r="C73" s="3">
        <f ca="1">IFERROR(__xludf.DUMMYFUNCTION("""COMPUTED_VALUE"""),10)</f>
        <v>10</v>
      </c>
      <c r="D73" s="3">
        <f ca="1">IFERROR(__xludf.DUMMYFUNCTION("""COMPUTED_VALUE"""),18)</f>
        <v>18</v>
      </c>
      <c r="E73" s="3">
        <f ca="1">IFERROR(__xludf.DUMMYFUNCTION("""COMPUTED_VALUE"""),0.357)</f>
        <v>0.35699999999999998</v>
      </c>
      <c r="F73" s="3">
        <f ca="1">IFERROR(__xludf.DUMMYFUNCTION("""COMPUTED_VALUE"""),-5.18)</f>
        <v>-5.18</v>
      </c>
      <c r="G73" s="3">
        <f ca="1">IFERROR(__xludf.DUMMYFUNCTION("""COMPUTED_VALUE"""),-2.14)</f>
        <v>-2.14</v>
      </c>
      <c r="H73" s="3">
        <f ca="1">IFERROR(__xludf.DUMMYFUNCTION("""COMPUTED_VALUE"""),5)</f>
        <v>5</v>
      </c>
      <c r="I73" s="3">
        <f ca="1">IFERROR(__xludf.DUMMYFUNCTION("""COMPUTED_VALUE"""),9)</f>
        <v>9</v>
      </c>
      <c r="J73" s="3">
        <f ca="1">IFERROR(__xludf.DUMMYFUNCTION("""COMPUTED_VALUE"""),5)</f>
        <v>5</v>
      </c>
      <c r="K73" s="3">
        <f ca="1">IFERROR(__xludf.DUMMYFUNCTION("""COMPUTED_VALUE"""),7)</f>
        <v>7</v>
      </c>
      <c r="L73" s="3">
        <f ca="1">IFERROR(__xludf.DUMMYFUNCTION("""COMPUTED_VALUE"""),4)</f>
        <v>4</v>
      </c>
      <c r="M73" s="3">
        <f ca="1">IFERROR(__xludf.DUMMYFUNCTION("""COMPUTED_VALUE"""),9)</f>
        <v>9</v>
      </c>
      <c r="N73" s="3">
        <f ca="1">IFERROR(__xludf.DUMMYFUNCTION("""COMPUTED_VALUE"""),2059)</f>
        <v>2059</v>
      </c>
      <c r="O73" s="3">
        <f ca="1">IFERROR(__xludf.DUMMYFUNCTION("""COMPUTED_VALUE"""),2052)</f>
        <v>2052</v>
      </c>
      <c r="P73" s="3">
        <f ca="1">IFERROR(__xludf.DUMMYFUNCTION("""COMPUTED_VALUE"""),1160)</f>
        <v>1160</v>
      </c>
      <c r="Q73" s="3">
        <f ca="1">IFERROR(__xludf.DUMMYFUNCTION("""COMPUTED_VALUE"""),778)</f>
        <v>778</v>
      </c>
      <c r="R73" s="3">
        <f ca="1">IFERROR(__xludf.DUMMYFUNCTION("""COMPUTED_VALUE"""),1720)</f>
        <v>1720</v>
      </c>
      <c r="S73" s="3">
        <f ca="1">IFERROR(__xludf.DUMMYFUNCTION("""COMPUTED_VALUE"""),0.452)</f>
        <v>0.45200000000000001</v>
      </c>
      <c r="T73" s="3">
        <f ca="1">IFERROR(__xludf.DUMMYFUNCTION("""COMPUTED_VALUE"""),237)</f>
        <v>237</v>
      </c>
      <c r="U73" s="3">
        <f ca="1">IFERROR(__xludf.DUMMYFUNCTION("""COMPUTED_VALUE"""),655)</f>
        <v>655</v>
      </c>
      <c r="V73" s="3">
        <f ca="1">IFERROR(__xludf.DUMMYFUNCTION("""COMPUTED_VALUE"""),0.362)</f>
        <v>0.36199999999999999</v>
      </c>
      <c r="W73" s="3">
        <f ca="1">IFERROR(__xludf.DUMMYFUNCTION("""COMPUTED_VALUE"""),266)</f>
        <v>266</v>
      </c>
      <c r="X73" s="3">
        <f ca="1">IFERROR(__xludf.DUMMYFUNCTION("""COMPUTED_VALUE"""),377)</f>
        <v>377</v>
      </c>
      <c r="Y73" s="3">
        <f ca="1">IFERROR(__xludf.DUMMYFUNCTION("""COMPUTED_VALUE"""),0.706)</f>
        <v>0.70599999999999996</v>
      </c>
      <c r="Z73" s="3">
        <f ca="1">IFERROR(__xludf.DUMMYFUNCTION("""COMPUTED_VALUE"""),255)</f>
        <v>255</v>
      </c>
      <c r="AA73" s="3">
        <f ca="1">IFERROR(__xludf.DUMMYFUNCTION("""COMPUTED_VALUE"""),985)</f>
        <v>985</v>
      </c>
      <c r="AB73" s="3">
        <f ca="1">IFERROR(__xludf.DUMMYFUNCTION("""COMPUTED_VALUE"""),443)</f>
        <v>443</v>
      </c>
      <c r="AC73" s="3">
        <f ca="1">IFERROR(__xludf.DUMMYFUNCTION("""COMPUTED_VALUE"""),218)</f>
        <v>218</v>
      </c>
      <c r="AD73" s="3">
        <f ca="1">IFERROR(__xludf.DUMMYFUNCTION("""COMPUTED_VALUE"""),78)</f>
        <v>78</v>
      </c>
      <c r="AE73" s="3">
        <f ca="1">IFERROR(__xludf.DUMMYFUNCTION("""COMPUTED_VALUE"""),366)</f>
        <v>366</v>
      </c>
      <c r="AF73" s="3">
        <f ca="1">IFERROR(__xludf.DUMMYFUNCTION("""COMPUTED_VALUE"""),539)</f>
        <v>539</v>
      </c>
    </row>
    <row r="74" spans="1:32" x14ac:dyDescent="0.25">
      <c r="A74" s="3" t="str">
        <f ca="1">IFERROR(__xludf.DUMMYFUNCTION("""COMPUTED_VALUE"""),"Connecticut")</f>
        <v>Connecticut</v>
      </c>
      <c r="B74" s="3">
        <f ca="1">IFERROR(__xludf.DUMMYFUNCTION("""COMPUTED_VALUE"""),33)</f>
        <v>33</v>
      </c>
      <c r="C74" s="3">
        <f ca="1">IFERROR(__xludf.DUMMYFUNCTION("""COMPUTED_VALUE"""),16)</f>
        <v>16</v>
      </c>
      <c r="D74" s="3">
        <f ca="1">IFERROR(__xludf.DUMMYFUNCTION("""COMPUTED_VALUE"""),17)</f>
        <v>17</v>
      </c>
      <c r="E74" s="3">
        <f ca="1">IFERROR(__xludf.DUMMYFUNCTION("""COMPUTED_VALUE"""),0.485)</f>
        <v>0.48499999999999999</v>
      </c>
      <c r="F74" s="3">
        <f ca="1">IFERROR(__xludf.DUMMYFUNCTION("""COMPUTED_VALUE"""),6.81)</f>
        <v>6.81</v>
      </c>
      <c r="G74" s="3">
        <f ca="1">IFERROR(__xludf.DUMMYFUNCTION("""COMPUTED_VALUE"""),4.32)</f>
        <v>4.32</v>
      </c>
      <c r="H74" s="3">
        <f ca="1">IFERROR(__xludf.DUMMYFUNCTION("""COMPUTED_VALUE"""),6)</f>
        <v>6</v>
      </c>
      <c r="I74" s="3">
        <f ca="1">IFERROR(__xludf.DUMMYFUNCTION("""COMPUTED_VALUE"""),12)</f>
        <v>12</v>
      </c>
      <c r="J74" s="3">
        <f ca="1">IFERROR(__xludf.DUMMYFUNCTION("""COMPUTED_VALUE"""),13)</f>
        <v>13</v>
      </c>
      <c r="K74" s="3">
        <f ca="1">IFERROR(__xludf.DUMMYFUNCTION("""COMPUTED_VALUE"""),5)</f>
        <v>5</v>
      </c>
      <c r="L74" s="3">
        <f ca="1">IFERROR(__xludf.DUMMYFUNCTION("""COMPUTED_VALUE"""),1)</f>
        <v>1</v>
      </c>
      <c r="M74" s="3">
        <f ca="1">IFERROR(__xludf.DUMMYFUNCTION("""COMPUTED_VALUE"""),8)</f>
        <v>8</v>
      </c>
      <c r="N74" s="3">
        <f ca="1">IFERROR(__xludf.DUMMYFUNCTION("""COMPUTED_VALUE"""),2436)</f>
        <v>2436</v>
      </c>
      <c r="O74" s="3">
        <f ca="1">IFERROR(__xludf.DUMMYFUNCTION("""COMPUTED_VALUE"""),2354)</f>
        <v>2354</v>
      </c>
      <c r="P74" s="3">
        <f ca="1">IFERROR(__xludf.DUMMYFUNCTION("""COMPUTED_VALUE"""),1325)</f>
        <v>1325</v>
      </c>
      <c r="Q74" s="3">
        <f ca="1">IFERROR(__xludf.DUMMYFUNCTION("""COMPUTED_VALUE"""),874)</f>
        <v>874</v>
      </c>
      <c r="R74" s="3">
        <f ca="1">IFERROR(__xludf.DUMMYFUNCTION("""COMPUTED_VALUE"""),1959)</f>
        <v>1959</v>
      </c>
      <c r="S74" s="3">
        <f ca="1">IFERROR(__xludf.DUMMYFUNCTION("""COMPUTED_VALUE"""),0.446)</f>
        <v>0.44600000000000001</v>
      </c>
      <c r="T74" s="3">
        <f ca="1">IFERROR(__xludf.DUMMYFUNCTION("""COMPUTED_VALUE"""),252)</f>
        <v>252</v>
      </c>
      <c r="U74" s="3">
        <f ca="1">IFERROR(__xludf.DUMMYFUNCTION("""COMPUTED_VALUE"""),732)</f>
        <v>732</v>
      </c>
      <c r="V74" s="3">
        <f ca="1">IFERROR(__xludf.DUMMYFUNCTION("""COMPUTED_VALUE"""),0.344)</f>
        <v>0.34399999999999997</v>
      </c>
      <c r="W74" s="3">
        <f ca="1">IFERROR(__xludf.DUMMYFUNCTION("""COMPUTED_VALUE"""),436)</f>
        <v>436</v>
      </c>
      <c r="X74" s="3">
        <f ca="1">IFERROR(__xludf.DUMMYFUNCTION("""COMPUTED_VALUE"""),641)</f>
        <v>641</v>
      </c>
      <c r="Y74" s="3">
        <f ca="1">IFERROR(__xludf.DUMMYFUNCTION("""COMPUTED_VALUE"""),0.68)</f>
        <v>0.68</v>
      </c>
      <c r="Z74" s="3">
        <f ca="1">IFERROR(__xludf.DUMMYFUNCTION("""COMPUTED_VALUE"""),380)</f>
        <v>380</v>
      </c>
      <c r="AA74" s="3">
        <f ca="1">IFERROR(__xludf.DUMMYFUNCTION("""COMPUTED_VALUE"""),1167)</f>
        <v>1167</v>
      </c>
      <c r="AB74" s="3">
        <f ca="1">IFERROR(__xludf.DUMMYFUNCTION("""COMPUTED_VALUE"""),422)</f>
        <v>422</v>
      </c>
      <c r="AC74" s="3">
        <f ca="1">IFERROR(__xludf.DUMMYFUNCTION("""COMPUTED_VALUE"""),200)</f>
        <v>200</v>
      </c>
      <c r="AD74" s="3">
        <f ca="1">IFERROR(__xludf.DUMMYFUNCTION("""COMPUTED_VALUE"""),145)</f>
        <v>145</v>
      </c>
      <c r="AE74" s="3">
        <f ca="1">IFERROR(__xludf.DUMMYFUNCTION("""COMPUTED_VALUE"""),427)</f>
        <v>427</v>
      </c>
      <c r="AF74" s="3">
        <f ca="1">IFERROR(__xludf.DUMMYFUNCTION("""COMPUTED_VALUE"""),643)</f>
        <v>643</v>
      </c>
    </row>
    <row r="75" spans="1:32" x14ac:dyDescent="0.25">
      <c r="A75" s="3" t="str">
        <f ca="1">IFERROR(__xludf.DUMMYFUNCTION("""COMPUTED_VALUE"""),"Coppin State")</f>
        <v>Coppin State</v>
      </c>
      <c r="B75" s="3">
        <f ca="1">IFERROR(__xludf.DUMMYFUNCTION("""COMPUTED_VALUE"""),33)</f>
        <v>33</v>
      </c>
      <c r="C75" s="3">
        <f ca="1">IFERROR(__xludf.DUMMYFUNCTION("""COMPUTED_VALUE"""),8)</f>
        <v>8</v>
      </c>
      <c r="D75" s="3">
        <f ca="1">IFERROR(__xludf.DUMMYFUNCTION("""COMPUTED_VALUE"""),25)</f>
        <v>25</v>
      </c>
      <c r="E75" s="3">
        <f ca="1">IFERROR(__xludf.DUMMYFUNCTION("""COMPUTED_VALUE"""),0.242)</f>
        <v>0.24199999999999999</v>
      </c>
      <c r="F75" s="3">
        <f ca="1">IFERROR(__xludf.DUMMYFUNCTION("""COMPUTED_VALUE"""),-18.9)</f>
        <v>-18.899999999999999</v>
      </c>
      <c r="G75" s="3">
        <f ca="1">IFERROR(__xludf.DUMMYFUNCTION("""COMPUTED_VALUE"""),-7.11)</f>
        <v>-7.11</v>
      </c>
      <c r="H75" s="3">
        <f ca="1">IFERROR(__xludf.DUMMYFUNCTION("""COMPUTED_VALUE"""),7)</f>
        <v>7</v>
      </c>
      <c r="I75" s="3">
        <f ca="1">IFERROR(__xludf.DUMMYFUNCTION("""COMPUTED_VALUE"""),9)</f>
        <v>9</v>
      </c>
      <c r="J75" s="3">
        <f ca="1">IFERROR(__xludf.DUMMYFUNCTION("""COMPUTED_VALUE"""),3)</f>
        <v>3</v>
      </c>
      <c r="K75" s="3">
        <f ca="1">IFERROR(__xludf.DUMMYFUNCTION("""COMPUTED_VALUE"""),7)</f>
        <v>7</v>
      </c>
      <c r="L75" s="3">
        <f ca="1">IFERROR(__xludf.DUMMYFUNCTION("""COMPUTED_VALUE"""),4)</f>
        <v>4</v>
      </c>
      <c r="M75" s="3">
        <f ca="1">IFERROR(__xludf.DUMMYFUNCTION("""COMPUTED_VALUE"""),16)</f>
        <v>16</v>
      </c>
      <c r="N75" s="3">
        <f ca="1">IFERROR(__xludf.DUMMYFUNCTION("""COMPUTED_VALUE"""),2118)</f>
        <v>2118</v>
      </c>
      <c r="O75" s="3">
        <f ca="1">IFERROR(__xludf.DUMMYFUNCTION("""COMPUTED_VALUE"""),2507)</f>
        <v>2507</v>
      </c>
      <c r="P75" s="3">
        <f ca="1">IFERROR(__xludf.DUMMYFUNCTION("""COMPUTED_VALUE"""),1330)</f>
        <v>1330</v>
      </c>
      <c r="Q75" s="3">
        <f ca="1">IFERROR(__xludf.DUMMYFUNCTION("""COMPUTED_VALUE"""),710)</f>
        <v>710</v>
      </c>
      <c r="R75" s="3">
        <f ca="1">IFERROR(__xludf.DUMMYFUNCTION("""COMPUTED_VALUE"""),1827)</f>
        <v>1827</v>
      </c>
      <c r="S75" s="3">
        <f ca="1">IFERROR(__xludf.DUMMYFUNCTION("""COMPUTED_VALUE"""),0.389)</f>
        <v>0.38900000000000001</v>
      </c>
      <c r="T75" s="3">
        <f ca="1">IFERROR(__xludf.DUMMYFUNCTION("""COMPUTED_VALUE"""),240)</f>
        <v>240</v>
      </c>
      <c r="U75" s="3">
        <f ca="1">IFERROR(__xludf.DUMMYFUNCTION("""COMPUTED_VALUE"""),841)</f>
        <v>841</v>
      </c>
      <c r="V75" s="3">
        <f ca="1">IFERROR(__xludf.DUMMYFUNCTION("""COMPUTED_VALUE"""),0.285)</f>
        <v>0.28499999999999998</v>
      </c>
      <c r="W75" s="3">
        <f ca="1">IFERROR(__xludf.DUMMYFUNCTION("""COMPUTED_VALUE"""),458)</f>
        <v>458</v>
      </c>
      <c r="X75" s="3">
        <f ca="1">IFERROR(__xludf.DUMMYFUNCTION("""COMPUTED_VALUE"""),689)</f>
        <v>689</v>
      </c>
      <c r="Y75" s="3">
        <f ca="1">IFERROR(__xludf.DUMMYFUNCTION("""COMPUTED_VALUE"""),0.665)</f>
        <v>0.66500000000000004</v>
      </c>
      <c r="Z75" s="3">
        <f ca="1">IFERROR(__xludf.DUMMYFUNCTION("""COMPUTED_VALUE"""),314)</f>
        <v>314</v>
      </c>
      <c r="AA75" s="3">
        <f ca="1">IFERROR(__xludf.DUMMYFUNCTION("""COMPUTED_VALUE"""),1218)</f>
        <v>1218</v>
      </c>
      <c r="AB75" s="3">
        <f ca="1">IFERROR(__xludf.DUMMYFUNCTION("""COMPUTED_VALUE"""),326)</f>
        <v>326</v>
      </c>
      <c r="AC75" s="3">
        <f ca="1">IFERROR(__xludf.DUMMYFUNCTION("""COMPUTED_VALUE"""),169)</f>
        <v>169</v>
      </c>
      <c r="AD75" s="3">
        <f ca="1">IFERROR(__xludf.DUMMYFUNCTION("""COMPUTED_VALUE"""),115)</f>
        <v>115</v>
      </c>
      <c r="AE75" s="3">
        <f ca="1">IFERROR(__xludf.DUMMYFUNCTION("""COMPUTED_VALUE"""),555)</f>
        <v>555</v>
      </c>
      <c r="AF75" s="3">
        <f ca="1">IFERROR(__xludf.DUMMYFUNCTION("""COMPUTED_VALUE"""),620)</f>
        <v>620</v>
      </c>
    </row>
    <row r="76" spans="1:32" x14ac:dyDescent="0.25">
      <c r="A76" s="3" t="str">
        <f ca="1">IFERROR(__xludf.DUMMYFUNCTION("""COMPUTED_VALUE"""),"Cornell")</f>
        <v>Cornell</v>
      </c>
      <c r="B76" s="3">
        <f ca="1">IFERROR(__xludf.DUMMYFUNCTION("""COMPUTED_VALUE"""),31)</f>
        <v>31</v>
      </c>
      <c r="C76" s="3">
        <f ca="1">IFERROR(__xludf.DUMMYFUNCTION("""COMPUTED_VALUE"""),15)</f>
        <v>15</v>
      </c>
      <c r="D76" s="3">
        <f ca="1">IFERROR(__xludf.DUMMYFUNCTION("""COMPUTED_VALUE"""),16)</f>
        <v>16</v>
      </c>
      <c r="E76" s="3">
        <f ca="1">IFERROR(__xludf.DUMMYFUNCTION("""COMPUTED_VALUE"""),0.484)</f>
        <v>0.48399999999999999</v>
      </c>
      <c r="F76" s="3">
        <f ca="1">IFERROR(__xludf.DUMMYFUNCTION("""COMPUTED_VALUE"""),-6.12)</f>
        <v>-6.12</v>
      </c>
      <c r="G76" s="3">
        <f ca="1">IFERROR(__xludf.DUMMYFUNCTION("""COMPUTED_VALUE"""),-2.02)</f>
        <v>-2.02</v>
      </c>
      <c r="H76" s="3">
        <f ca="1">IFERROR(__xludf.DUMMYFUNCTION("""COMPUTED_VALUE"""),7)</f>
        <v>7</v>
      </c>
      <c r="I76" s="3">
        <f ca="1">IFERROR(__xludf.DUMMYFUNCTION("""COMPUTED_VALUE"""),7)</f>
        <v>7</v>
      </c>
      <c r="J76" s="3">
        <f ca="1">IFERROR(__xludf.DUMMYFUNCTION("""COMPUTED_VALUE"""),9)</f>
        <v>9</v>
      </c>
      <c r="K76" s="3">
        <f ca="1">IFERROR(__xludf.DUMMYFUNCTION("""COMPUTED_VALUE"""),4)</f>
        <v>4</v>
      </c>
      <c r="L76" s="3">
        <f ca="1">IFERROR(__xludf.DUMMYFUNCTION("""COMPUTED_VALUE"""),6)</f>
        <v>6</v>
      </c>
      <c r="M76" s="3">
        <f ca="1">IFERROR(__xludf.DUMMYFUNCTION("""COMPUTED_VALUE"""),12)</f>
        <v>12</v>
      </c>
      <c r="N76" s="3">
        <f ca="1">IFERROR(__xludf.DUMMYFUNCTION("""COMPUTED_VALUE"""),2149)</f>
        <v>2149</v>
      </c>
      <c r="O76" s="3">
        <f ca="1">IFERROR(__xludf.DUMMYFUNCTION("""COMPUTED_VALUE"""),2211)</f>
        <v>2211</v>
      </c>
      <c r="P76" s="3">
        <f ca="1">IFERROR(__xludf.DUMMYFUNCTION("""COMPUTED_VALUE"""),1260)</f>
        <v>1260</v>
      </c>
      <c r="Q76" s="3">
        <f ca="1">IFERROR(__xludf.DUMMYFUNCTION("""COMPUTED_VALUE"""),754)</f>
        <v>754</v>
      </c>
      <c r="R76" s="3">
        <f ca="1">IFERROR(__xludf.DUMMYFUNCTION("""COMPUTED_VALUE"""),1705)</f>
        <v>1705</v>
      </c>
      <c r="S76" s="3">
        <f ca="1">IFERROR(__xludf.DUMMYFUNCTION("""COMPUTED_VALUE"""),0.442)</f>
        <v>0.442</v>
      </c>
      <c r="T76" s="3">
        <f ca="1">IFERROR(__xludf.DUMMYFUNCTION("""COMPUTED_VALUE"""),243)</f>
        <v>243</v>
      </c>
      <c r="U76" s="3">
        <f ca="1">IFERROR(__xludf.DUMMYFUNCTION("""COMPUTED_VALUE"""),731)</f>
        <v>731</v>
      </c>
      <c r="V76" s="3">
        <f ca="1">IFERROR(__xludf.DUMMYFUNCTION("""COMPUTED_VALUE"""),0.332)</f>
        <v>0.33200000000000002</v>
      </c>
      <c r="W76" s="3">
        <f ca="1">IFERROR(__xludf.DUMMYFUNCTION("""COMPUTED_VALUE"""),398)</f>
        <v>398</v>
      </c>
      <c r="X76" s="3">
        <f ca="1">IFERROR(__xludf.DUMMYFUNCTION("""COMPUTED_VALUE"""),551)</f>
        <v>551</v>
      </c>
      <c r="Y76" s="3">
        <f ca="1">IFERROR(__xludf.DUMMYFUNCTION("""COMPUTED_VALUE"""),0.722)</f>
        <v>0.72199999999999998</v>
      </c>
      <c r="Z76" s="3">
        <f ca="1">IFERROR(__xludf.DUMMYFUNCTION("""COMPUTED_VALUE"""),191)</f>
        <v>191</v>
      </c>
      <c r="AA76" s="3">
        <f ca="1">IFERROR(__xludf.DUMMYFUNCTION("""COMPUTED_VALUE"""),1015)</f>
        <v>1015</v>
      </c>
      <c r="AB76" s="3">
        <f ca="1">IFERROR(__xludf.DUMMYFUNCTION("""COMPUTED_VALUE"""),453)</f>
        <v>453</v>
      </c>
      <c r="AC76" s="3">
        <f ca="1">IFERROR(__xludf.DUMMYFUNCTION("""COMPUTED_VALUE"""),181)</f>
        <v>181</v>
      </c>
      <c r="AD76" s="3">
        <f ca="1">IFERROR(__xludf.DUMMYFUNCTION("""COMPUTED_VALUE"""),107)</f>
        <v>107</v>
      </c>
      <c r="AE76" s="3">
        <f ca="1">IFERROR(__xludf.DUMMYFUNCTION("""COMPUTED_VALUE"""),414)</f>
        <v>414</v>
      </c>
      <c r="AF76" s="3">
        <f ca="1">IFERROR(__xludf.DUMMYFUNCTION("""COMPUTED_VALUE"""),492)</f>
        <v>492</v>
      </c>
    </row>
    <row r="77" spans="1:32" x14ac:dyDescent="0.25">
      <c r="A77" s="3" t="str">
        <f ca="1">IFERROR(__xludf.DUMMYFUNCTION("""COMPUTED_VALUE"""),"Creighton")</f>
        <v>Creighton</v>
      </c>
      <c r="B77" s="3">
        <f ca="1">IFERROR(__xludf.DUMMYFUNCTION("""COMPUTED_VALUE"""),35)</f>
        <v>35</v>
      </c>
      <c r="C77" s="3">
        <f ca="1">IFERROR(__xludf.DUMMYFUNCTION("""COMPUTED_VALUE"""),20)</f>
        <v>20</v>
      </c>
      <c r="D77" s="3">
        <f ca="1">IFERROR(__xludf.DUMMYFUNCTION("""COMPUTED_VALUE"""),15)</f>
        <v>15</v>
      </c>
      <c r="E77" s="3">
        <f ca="1">IFERROR(__xludf.DUMMYFUNCTION("""COMPUTED_VALUE"""),0.571)</f>
        <v>0.57099999999999995</v>
      </c>
      <c r="F77" s="3">
        <f ca="1">IFERROR(__xludf.DUMMYFUNCTION("""COMPUTED_VALUE"""),12)</f>
        <v>12</v>
      </c>
      <c r="G77" s="3">
        <f ca="1">IFERROR(__xludf.DUMMYFUNCTION("""COMPUTED_VALUE"""),8.59)</f>
        <v>8.59</v>
      </c>
      <c r="H77" s="3">
        <f ca="1">IFERROR(__xludf.DUMMYFUNCTION("""COMPUTED_VALUE"""),9)</f>
        <v>9</v>
      </c>
      <c r="I77" s="3">
        <f ca="1">IFERROR(__xludf.DUMMYFUNCTION("""COMPUTED_VALUE"""),9)</f>
        <v>9</v>
      </c>
      <c r="J77" s="3">
        <f ca="1">IFERROR(__xludf.DUMMYFUNCTION("""COMPUTED_VALUE"""),13)</f>
        <v>13</v>
      </c>
      <c r="K77" s="3">
        <f ca="1">IFERROR(__xludf.DUMMYFUNCTION("""COMPUTED_VALUE"""),6)</f>
        <v>6</v>
      </c>
      <c r="L77" s="3">
        <f ca="1">IFERROR(__xludf.DUMMYFUNCTION("""COMPUTED_VALUE"""),4)</f>
        <v>4</v>
      </c>
      <c r="M77" s="3">
        <f ca="1">IFERROR(__xludf.DUMMYFUNCTION("""COMPUTED_VALUE"""),8)</f>
        <v>8</v>
      </c>
      <c r="N77" s="3">
        <f ca="1">IFERROR(__xludf.DUMMYFUNCTION("""COMPUTED_VALUE"""),2727)</f>
        <v>2727</v>
      </c>
      <c r="O77" s="3">
        <f ca="1">IFERROR(__xludf.DUMMYFUNCTION("""COMPUTED_VALUE"""),2561)</f>
        <v>2561</v>
      </c>
      <c r="P77" s="3">
        <f ca="1">IFERROR(__xludf.DUMMYFUNCTION("""COMPUTED_VALUE"""),1420)</f>
        <v>1420</v>
      </c>
      <c r="Q77" s="3">
        <f ca="1">IFERROR(__xludf.DUMMYFUNCTION("""COMPUTED_VALUE"""),980)</f>
        <v>980</v>
      </c>
      <c r="R77" s="3">
        <f ca="1">IFERROR(__xludf.DUMMYFUNCTION("""COMPUTED_VALUE"""),2044)</f>
        <v>2044</v>
      </c>
      <c r="S77" s="3">
        <f ca="1">IFERROR(__xludf.DUMMYFUNCTION("""COMPUTED_VALUE"""),0.479)</f>
        <v>0.47899999999999998</v>
      </c>
      <c r="T77" s="3">
        <f ca="1">IFERROR(__xludf.DUMMYFUNCTION("""COMPUTED_VALUE"""),372)</f>
        <v>372</v>
      </c>
      <c r="U77" s="3">
        <f ca="1">IFERROR(__xludf.DUMMYFUNCTION("""COMPUTED_VALUE"""),961)</f>
        <v>961</v>
      </c>
      <c r="V77" s="3">
        <f ca="1">IFERROR(__xludf.DUMMYFUNCTION("""COMPUTED_VALUE"""),0.387)</f>
        <v>0.38700000000000001</v>
      </c>
      <c r="W77" s="3">
        <f ca="1">IFERROR(__xludf.DUMMYFUNCTION("""COMPUTED_VALUE"""),395)</f>
        <v>395</v>
      </c>
      <c r="X77" s="3">
        <f ca="1">IFERROR(__xludf.DUMMYFUNCTION("""COMPUTED_VALUE"""),582)</f>
        <v>582</v>
      </c>
      <c r="Y77" s="3">
        <f ca="1">IFERROR(__xludf.DUMMYFUNCTION("""COMPUTED_VALUE"""),0.679)</f>
        <v>0.67900000000000005</v>
      </c>
      <c r="Z77" s="3">
        <f ca="1">IFERROR(__xludf.DUMMYFUNCTION("""COMPUTED_VALUE"""),288)</f>
        <v>288</v>
      </c>
      <c r="AA77" s="3">
        <f ca="1">IFERROR(__xludf.DUMMYFUNCTION("""COMPUTED_VALUE"""),1196)</f>
        <v>1196</v>
      </c>
      <c r="AB77" s="3">
        <f ca="1">IFERROR(__xludf.DUMMYFUNCTION("""COMPUTED_VALUE"""),561)</f>
        <v>561</v>
      </c>
      <c r="AC77" s="3">
        <f ca="1">IFERROR(__xludf.DUMMYFUNCTION("""COMPUTED_VALUE"""),237)</f>
        <v>237</v>
      </c>
      <c r="AD77" s="3">
        <f ca="1">IFERROR(__xludf.DUMMYFUNCTION("""COMPUTED_VALUE"""),92)</f>
        <v>92</v>
      </c>
      <c r="AE77" s="3">
        <f ca="1">IFERROR(__xludf.DUMMYFUNCTION("""COMPUTED_VALUE"""),464)</f>
        <v>464</v>
      </c>
      <c r="AF77" s="3">
        <f ca="1">IFERROR(__xludf.DUMMYFUNCTION("""COMPUTED_VALUE"""),580)</f>
        <v>580</v>
      </c>
    </row>
    <row r="78" spans="1:32" x14ac:dyDescent="0.25">
      <c r="A78" s="3" t="str">
        <f ca="1">IFERROR(__xludf.DUMMYFUNCTION("""COMPUTED_VALUE"""),"Dartmouth")</f>
        <v>Dartmouth</v>
      </c>
      <c r="B78" s="3">
        <f ca="1">IFERROR(__xludf.DUMMYFUNCTION("""COMPUTED_VALUE"""),30)</f>
        <v>30</v>
      </c>
      <c r="C78" s="3">
        <f ca="1">IFERROR(__xludf.DUMMYFUNCTION("""COMPUTED_VALUE"""),11)</f>
        <v>11</v>
      </c>
      <c r="D78" s="3">
        <f ca="1">IFERROR(__xludf.DUMMYFUNCTION("""COMPUTED_VALUE"""),19)</f>
        <v>19</v>
      </c>
      <c r="E78" s="3">
        <f ca="1">IFERROR(__xludf.DUMMYFUNCTION("""COMPUTED_VALUE"""),0.367)</f>
        <v>0.36699999999999999</v>
      </c>
      <c r="F78" s="3">
        <f ca="1">IFERROR(__xludf.DUMMYFUNCTION("""COMPUTED_VALUE"""),-5.75)</f>
        <v>-5.75</v>
      </c>
      <c r="G78" s="3">
        <f ca="1">IFERROR(__xludf.DUMMYFUNCTION("""COMPUTED_VALUE"""),-3)</f>
        <v>-3</v>
      </c>
      <c r="H78" s="3">
        <f ca="1">IFERROR(__xludf.DUMMYFUNCTION("""COMPUTED_VALUE"""),2)</f>
        <v>2</v>
      </c>
      <c r="I78" s="3">
        <f ca="1">IFERROR(__xludf.DUMMYFUNCTION("""COMPUTED_VALUE"""),12)</f>
        <v>12</v>
      </c>
      <c r="J78" s="3">
        <f ca="1">IFERROR(__xludf.DUMMYFUNCTION("""COMPUTED_VALUE"""),8)</f>
        <v>8</v>
      </c>
      <c r="K78" s="3">
        <f ca="1">IFERROR(__xludf.DUMMYFUNCTION("""COMPUTED_VALUE"""),6)</f>
        <v>6</v>
      </c>
      <c r="L78" s="3">
        <f ca="1">IFERROR(__xludf.DUMMYFUNCTION("""COMPUTED_VALUE"""),2)</f>
        <v>2</v>
      </c>
      <c r="M78" s="3">
        <f ca="1">IFERROR(__xludf.DUMMYFUNCTION("""COMPUTED_VALUE"""),12)</f>
        <v>12</v>
      </c>
      <c r="N78" s="3">
        <f ca="1">IFERROR(__xludf.DUMMYFUNCTION("""COMPUTED_VALUE"""),2160)</f>
        <v>2160</v>
      </c>
      <c r="O78" s="3">
        <f ca="1">IFERROR(__xludf.DUMMYFUNCTION("""COMPUTED_VALUE"""),2116)</f>
        <v>2116</v>
      </c>
      <c r="P78" s="3">
        <f ca="1">IFERROR(__xludf.DUMMYFUNCTION("""COMPUTED_VALUE"""),1210)</f>
        <v>1210</v>
      </c>
      <c r="Q78" s="3">
        <f ca="1">IFERROR(__xludf.DUMMYFUNCTION("""COMPUTED_VALUE"""),791)</f>
        <v>791</v>
      </c>
      <c r="R78" s="3">
        <f ca="1">IFERROR(__xludf.DUMMYFUNCTION("""COMPUTED_VALUE"""),1750)</f>
        <v>1750</v>
      </c>
      <c r="S78" s="3">
        <f ca="1">IFERROR(__xludf.DUMMYFUNCTION("""COMPUTED_VALUE"""),0.452)</f>
        <v>0.45200000000000001</v>
      </c>
      <c r="T78" s="3">
        <f ca="1">IFERROR(__xludf.DUMMYFUNCTION("""COMPUTED_VALUE"""),264)</f>
        <v>264</v>
      </c>
      <c r="U78" s="3">
        <f ca="1">IFERROR(__xludf.DUMMYFUNCTION("""COMPUTED_VALUE"""),721)</f>
        <v>721</v>
      </c>
      <c r="V78" s="3">
        <f ca="1">IFERROR(__xludf.DUMMYFUNCTION("""COMPUTED_VALUE"""),0.366)</f>
        <v>0.36599999999999999</v>
      </c>
      <c r="W78" s="3">
        <f ca="1">IFERROR(__xludf.DUMMYFUNCTION("""COMPUTED_VALUE"""),314)</f>
        <v>314</v>
      </c>
      <c r="X78" s="3">
        <f ca="1">IFERROR(__xludf.DUMMYFUNCTION("""COMPUTED_VALUE"""),436)</f>
        <v>436</v>
      </c>
      <c r="Y78" s="3">
        <f ca="1">IFERROR(__xludf.DUMMYFUNCTION("""COMPUTED_VALUE"""),0.72)</f>
        <v>0.72</v>
      </c>
      <c r="Z78" s="3">
        <f ca="1">IFERROR(__xludf.DUMMYFUNCTION("""COMPUTED_VALUE"""),246)</f>
        <v>246</v>
      </c>
      <c r="AA78" s="3">
        <f ca="1">IFERROR(__xludf.DUMMYFUNCTION("""COMPUTED_VALUE"""),1020)</f>
        <v>1020</v>
      </c>
      <c r="AB78" s="3">
        <f ca="1">IFERROR(__xludf.DUMMYFUNCTION("""COMPUTED_VALUE"""),426)</f>
        <v>426</v>
      </c>
      <c r="AC78" s="3">
        <f ca="1">IFERROR(__xludf.DUMMYFUNCTION("""COMPUTED_VALUE"""),158)</f>
        <v>158</v>
      </c>
      <c r="AD78" s="3">
        <f ca="1">IFERROR(__xludf.DUMMYFUNCTION("""COMPUTED_VALUE"""),100)</f>
        <v>100</v>
      </c>
      <c r="AE78" s="3">
        <f ca="1">IFERROR(__xludf.DUMMYFUNCTION("""COMPUTED_VALUE"""),361)</f>
        <v>361</v>
      </c>
      <c r="AF78" s="3">
        <f ca="1">IFERROR(__xludf.DUMMYFUNCTION("""COMPUTED_VALUE"""),468)</f>
        <v>468</v>
      </c>
    </row>
    <row r="79" spans="1:32" x14ac:dyDescent="0.25">
      <c r="A79" s="3" t="str">
        <f ca="1">IFERROR(__xludf.DUMMYFUNCTION("""COMPUTED_VALUE"""),"Davidson")</f>
        <v>Davidson</v>
      </c>
      <c r="B79" s="3">
        <f ca="1">IFERROR(__xludf.DUMMYFUNCTION("""COMPUTED_VALUE"""),34)</f>
        <v>34</v>
      </c>
      <c r="C79" s="3">
        <f ca="1">IFERROR(__xludf.DUMMYFUNCTION("""COMPUTED_VALUE"""),24)</f>
        <v>24</v>
      </c>
      <c r="D79" s="3">
        <f ca="1">IFERROR(__xludf.DUMMYFUNCTION("""COMPUTED_VALUE"""),10)</f>
        <v>10</v>
      </c>
      <c r="E79" s="3">
        <f ca="1">IFERROR(__xludf.DUMMYFUNCTION("""COMPUTED_VALUE"""),0.706)</f>
        <v>0.70599999999999996</v>
      </c>
      <c r="F79" s="3">
        <f ca="1">IFERROR(__xludf.DUMMYFUNCTION("""COMPUTED_VALUE"""),6.38)</f>
        <v>6.38</v>
      </c>
      <c r="G79" s="3">
        <f ca="1">IFERROR(__xludf.DUMMYFUNCTION("""COMPUTED_VALUE"""),1.96)</f>
        <v>1.96</v>
      </c>
      <c r="H79" s="3">
        <f ca="1">IFERROR(__xludf.DUMMYFUNCTION("""COMPUTED_VALUE"""),14)</f>
        <v>14</v>
      </c>
      <c r="I79" s="3">
        <f ca="1">IFERROR(__xludf.DUMMYFUNCTION("""COMPUTED_VALUE"""),4)</f>
        <v>4</v>
      </c>
      <c r="J79" s="3">
        <f ca="1">IFERROR(__xludf.DUMMYFUNCTION("""COMPUTED_VALUE"""),14)</f>
        <v>14</v>
      </c>
      <c r="K79" s="3">
        <f ca="1">IFERROR(__xludf.DUMMYFUNCTION("""COMPUTED_VALUE"""),2)</f>
        <v>2</v>
      </c>
      <c r="L79" s="3">
        <f ca="1">IFERROR(__xludf.DUMMYFUNCTION("""COMPUTED_VALUE"""),7)</f>
        <v>7</v>
      </c>
      <c r="M79" s="3">
        <f ca="1">IFERROR(__xludf.DUMMYFUNCTION("""COMPUTED_VALUE"""),5)</f>
        <v>5</v>
      </c>
      <c r="N79" s="3">
        <f ca="1">IFERROR(__xludf.DUMMYFUNCTION("""COMPUTED_VALUE"""),2409)</f>
        <v>2409</v>
      </c>
      <c r="O79" s="3">
        <f ca="1">IFERROR(__xludf.DUMMYFUNCTION("""COMPUTED_VALUE"""),2229)</f>
        <v>2229</v>
      </c>
      <c r="P79" s="3">
        <f ca="1">IFERROR(__xludf.DUMMYFUNCTION("""COMPUTED_VALUE"""),1365)</f>
        <v>1365</v>
      </c>
      <c r="Q79" s="3">
        <f ca="1">IFERROR(__xludf.DUMMYFUNCTION("""COMPUTED_VALUE"""),852)</f>
        <v>852</v>
      </c>
      <c r="R79" s="3">
        <f ca="1">IFERROR(__xludf.DUMMYFUNCTION("""COMPUTED_VALUE"""),1893)</f>
        <v>1893</v>
      </c>
      <c r="S79" s="3">
        <f ca="1">IFERROR(__xludf.DUMMYFUNCTION("""COMPUTED_VALUE"""),0.45)</f>
        <v>0.45</v>
      </c>
      <c r="T79" s="3">
        <f ca="1">IFERROR(__xludf.DUMMYFUNCTION("""COMPUTED_VALUE"""),312)</f>
        <v>312</v>
      </c>
      <c r="U79" s="3">
        <f ca="1">IFERROR(__xludf.DUMMYFUNCTION("""COMPUTED_VALUE"""),882)</f>
        <v>882</v>
      </c>
      <c r="V79" s="3">
        <f ca="1">IFERROR(__xludf.DUMMYFUNCTION("""COMPUTED_VALUE"""),0.354)</f>
        <v>0.35399999999999998</v>
      </c>
      <c r="W79" s="3">
        <f ca="1">IFERROR(__xludf.DUMMYFUNCTION("""COMPUTED_VALUE"""),393)</f>
        <v>393</v>
      </c>
      <c r="X79" s="3">
        <f ca="1">IFERROR(__xludf.DUMMYFUNCTION("""COMPUTED_VALUE"""),525)</f>
        <v>525</v>
      </c>
      <c r="Y79" s="3">
        <f ca="1">IFERROR(__xludf.DUMMYFUNCTION("""COMPUTED_VALUE"""),0.749)</f>
        <v>0.749</v>
      </c>
      <c r="Z79" s="3">
        <f ca="1">IFERROR(__xludf.DUMMYFUNCTION("""COMPUTED_VALUE"""),264)</f>
        <v>264</v>
      </c>
      <c r="AA79" s="3">
        <f ca="1">IFERROR(__xludf.DUMMYFUNCTION("""COMPUTED_VALUE"""),1185)</f>
        <v>1185</v>
      </c>
      <c r="AB79" s="3">
        <f ca="1">IFERROR(__xludf.DUMMYFUNCTION("""COMPUTED_VALUE"""),499)</f>
        <v>499</v>
      </c>
      <c r="AC79" s="3">
        <f ca="1">IFERROR(__xludf.DUMMYFUNCTION("""COMPUTED_VALUE"""),175)</f>
        <v>175</v>
      </c>
      <c r="AD79" s="3">
        <f ca="1">IFERROR(__xludf.DUMMYFUNCTION("""COMPUTED_VALUE"""),82)</f>
        <v>82</v>
      </c>
      <c r="AE79" s="3">
        <f ca="1">IFERROR(__xludf.DUMMYFUNCTION("""COMPUTED_VALUE"""),378)</f>
        <v>378</v>
      </c>
      <c r="AF79" s="3">
        <f ca="1">IFERROR(__xludf.DUMMYFUNCTION("""COMPUTED_VALUE"""),539)</f>
        <v>539</v>
      </c>
    </row>
    <row r="80" spans="1:32" x14ac:dyDescent="0.25">
      <c r="A80" s="3" t="str">
        <f ca="1">IFERROR(__xludf.DUMMYFUNCTION("""COMPUTED_VALUE"""),"Dayton")</f>
        <v>Dayton</v>
      </c>
      <c r="B80" s="3">
        <f ca="1">IFERROR(__xludf.DUMMYFUNCTION("""COMPUTED_VALUE"""),33)</f>
        <v>33</v>
      </c>
      <c r="C80" s="3">
        <f ca="1">IFERROR(__xludf.DUMMYFUNCTION("""COMPUTED_VALUE"""),21)</f>
        <v>21</v>
      </c>
      <c r="D80" s="3">
        <f ca="1">IFERROR(__xludf.DUMMYFUNCTION("""COMPUTED_VALUE"""),12)</f>
        <v>12</v>
      </c>
      <c r="E80" s="3">
        <f ca="1">IFERROR(__xludf.DUMMYFUNCTION("""COMPUTED_VALUE"""),0.636)</f>
        <v>0.63600000000000001</v>
      </c>
      <c r="F80" s="3">
        <f ca="1">IFERROR(__xludf.DUMMYFUNCTION("""COMPUTED_VALUE"""),9.67)</f>
        <v>9.67</v>
      </c>
      <c r="G80" s="3">
        <f ca="1">IFERROR(__xludf.DUMMYFUNCTION("""COMPUTED_VALUE"""),2.91)</f>
        <v>2.91</v>
      </c>
      <c r="H80" s="3">
        <f ca="1">IFERROR(__xludf.DUMMYFUNCTION("""COMPUTED_VALUE"""),13)</f>
        <v>13</v>
      </c>
      <c r="I80" s="3">
        <f ca="1">IFERROR(__xludf.DUMMYFUNCTION("""COMPUTED_VALUE"""),5)</f>
        <v>5</v>
      </c>
      <c r="J80" s="3">
        <f ca="1">IFERROR(__xludf.DUMMYFUNCTION("""COMPUTED_VALUE"""),13)</f>
        <v>13</v>
      </c>
      <c r="K80" s="3">
        <f ca="1">IFERROR(__xludf.DUMMYFUNCTION("""COMPUTED_VALUE"""),4)</f>
        <v>4</v>
      </c>
      <c r="L80" s="3">
        <f ca="1">IFERROR(__xludf.DUMMYFUNCTION("""COMPUTED_VALUE"""),7)</f>
        <v>7</v>
      </c>
      <c r="M80" s="3">
        <f ca="1">IFERROR(__xludf.DUMMYFUNCTION("""COMPUTED_VALUE"""),4)</f>
        <v>4</v>
      </c>
      <c r="N80" s="3">
        <f ca="1">IFERROR(__xludf.DUMMYFUNCTION("""COMPUTED_VALUE"""),2406)</f>
        <v>2406</v>
      </c>
      <c r="O80" s="3">
        <f ca="1">IFERROR(__xludf.DUMMYFUNCTION("""COMPUTED_VALUE"""),2183)</f>
        <v>2183</v>
      </c>
      <c r="P80" s="3">
        <f ca="1">IFERROR(__xludf.DUMMYFUNCTION("""COMPUTED_VALUE"""),1335)</f>
        <v>1335</v>
      </c>
      <c r="Q80" s="3">
        <f ca="1">IFERROR(__xludf.DUMMYFUNCTION("""COMPUTED_VALUE"""),902)</f>
        <v>902</v>
      </c>
      <c r="R80" s="3">
        <f ca="1">IFERROR(__xludf.DUMMYFUNCTION("""COMPUTED_VALUE"""),1789)</f>
        <v>1789</v>
      </c>
      <c r="S80" s="3">
        <f ca="1">IFERROR(__xludf.DUMMYFUNCTION("""COMPUTED_VALUE"""),0.504)</f>
        <v>0.504</v>
      </c>
      <c r="T80" s="3">
        <f ca="1">IFERROR(__xludf.DUMMYFUNCTION("""COMPUTED_VALUE"""),205)</f>
        <v>205</v>
      </c>
      <c r="U80" s="3">
        <f ca="1">IFERROR(__xludf.DUMMYFUNCTION("""COMPUTED_VALUE"""),617)</f>
        <v>617</v>
      </c>
      <c r="V80" s="3">
        <f ca="1">IFERROR(__xludf.DUMMYFUNCTION("""COMPUTED_VALUE"""),0.332)</f>
        <v>0.33200000000000002</v>
      </c>
      <c r="W80" s="3">
        <f ca="1">IFERROR(__xludf.DUMMYFUNCTION("""COMPUTED_VALUE"""),397)</f>
        <v>397</v>
      </c>
      <c r="X80" s="3">
        <f ca="1">IFERROR(__xludf.DUMMYFUNCTION("""COMPUTED_VALUE"""),575)</f>
        <v>575</v>
      </c>
      <c r="Y80" s="3">
        <f ca="1">IFERROR(__xludf.DUMMYFUNCTION("""COMPUTED_VALUE"""),0.69)</f>
        <v>0.69</v>
      </c>
      <c r="Z80" s="3">
        <f ca="1">IFERROR(__xludf.DUMMYFUNCTION("""COMPUTED_VALUE"""),261)</f>
        <v>261</v>
      </c>
      <c r="AA80" s="3">
        <f ca="1">IFERROR(__xludf.DUMMYFUNCTION("""COMPUTED_VALUE"""),1145)</f>
        <v>1145</v>
      </c>
      <c r="AB80" s="3">
        <f ca="1">IFERROR(__xludf.DUMMYFUNCTION("""COMPUTED_VALUE"""),541)</f>
        <v>541</v>
      </c>
      <c r="AC80" s="3">
        <f ca="1">IFERROR(__xludf.DUMMYFUNCTION("""COMPUTED_VALUE"""),164)</f>
        <v>164</v>
      </c>
      <c r="AD80" s="3">
        <f ca="1">IFERROR(__xludf.DUMMYFUNCTION("""COMPUTED_VALUE"""),81)</f>
        <v>81</v>
      </c>
      <c r="AE80" s="3">
        <f ca="1">IFERROR(__xludf.DUMMYFUNCTION("""COMPUTED_VALUE"""),414)</f>
        <v>414</v>
      </c>
      <c r="AF80" s="3">
        <f ca="1">IFERROR(__xludf.DUMMYFUNCTION("""COMPUTED_VALUE"""),463)</f>
        <v>463</v>
      </c>
    </row>
    <row r="81" spans="1:32" x14ac:dyDescent="0.25">
      <c r="A81" s="3" t="str">
        <f ca="1">IFERROR(__xludf.DUMMYFUNCTION("""COMPUTED_VALUE"""),"Delaware State")</f>
        <v>Delaware State</v>
      </c>
      <c r="B81" s="3">
        <f ca="1">IFERROR(__xludf.DUMMYFUNCTION("""COMPUTED_VALUE"""),31)</f>
        <v>31</v>
      </c>
      <c r="C81" s="3">
        <f ca="1">IFERROR(__xludf.DUMMYFUNCTION("""COMPUTED_VALUE"""),6)</f>
        <v>6</v>
      </c>
      <c r="D81" s="3">
        <f ca="1">IFERROR(__xludf.DUMMYFUNCTION("""COMPUTED_VALUE"""),25)</f>
        <v>25</v>
      </c>
      <c r="E81" s="3">
        <f ca="1">IFERROR(__xludf.DUMMYFUNCTION("""COMPUTED_VALUE"""),0.194)</f>
        <v>0.19400000000000001</v>
      </c>
      <c r="F81" s="3">
        <f ca="1">IFERROR(__xludf.DUMMYFUNCTION("""COMPUTED_VALUE"""),-26.82)</f>
        <v>-26.82</v>
      </c>
      <c r="G81" s="3">
        <f ca="1">IFERROR(__xludf.DUMMYFUNCTION("""COMPUTED_VALUE"""),-10.13)</f>
        <v>-10.130000000000001</v>
      </c>
      <c r="H81" s="3">
        <f ca="1">IFERROR(__xludf.DUMMYFUNCTION("""COMPUTED_VALUE"""),2)</f>
        <v>2</v>
      </c>
      <c r="I81" s="3">
        <f ca="1">IFERROR(__xludf.DUMMYFUNCTION("""COMPUTED_VALUE"""),14)</f>
        <v>14</v>
      </c>
      <c r="J81" s="3">
        <f ca="1">IFERROR(__xludf.DUMMYFUNCTION("""COMPUTED_VALUE"""),3)</f>
        <v>3</v>
      </c>
      <c r="K81" s="3">
        <f ca="1">IFERROR(__xludf.DUMMYFUNCTION("""COMPUTED_VALUE"""),9)</f>
        <v>9</v>
      </c>
      <c r="L81" s="3">
        <f ca="1">IFERROR(__xludf.DUMMYFUNCTION("""COMPUTED_VALUE"""),2)</f>
        <v>2</v>
      </c>
      <c r="M81" s="3">
        <f ca="1">IFERROR(__xludf.DUMMYFUNCTION("""COMPUTED_VALUE"""),15)</f>
        <v>15</v>
      </c>
      <c r="N81" s="3">
        <f ca="1">IFERROR(__xludf.DUMMYFUNCTION("""COMPUTED_VALUE"""),1956)</f>
        <v>1956</v>
      </c>
      <c r="O81" s="3">
        <f ca="1">IFERROR(__xludf.DUMMYFUNCTION("""COMPUTED_VALUE"""),2371)</f>
        <v>2371</v>
      </c>
      <c r="P81" s="3">
        <f ca="1">IFERROR(__xludf.DUMMYFUNCTION("""COMPUTED_VALUE"""),1240)</f>
        <v>1240</v>
      </c>
      <c r="Q81" s="3">
        <f ca="1">IFERROR(__xludf.DUMMYFUNCTION("""COMPUTED_VALUE"""),695)</f>
        <v>695</v>
      </c>
      <c r="R81" s="3">
        <f ca="1">IFERROR(__xludf.DUMMYFUNCTION("""COMPUTED_VALUE"""),1963)</f>
        <v>1963</v>
      </c>
      <c r="S81" s="3">
        <f ca="1">IFERROR(__xludf.DUMMYFUNCTION("""COMPUTED_VALUE"""),0.354)</f>
        <v>0.35399999999999998</v>
      </c>
      <c r="T81" s="3">
        <f ca="1">IFERROR(__xludf.DUMMYFUNCTION("""COMPUTED_VALUE"""),234)</f>
        <v>234</v>
      </c>
      <c r="U81" s="3">
        <f ca="1">IFERROR(__xludf.DUMMYFUNCTION("""COMPUTED_VALUE"""),789)</f>
        <v>789</v>
      </c>
      <c r="V81" s="3">
        <f ca="1">IFERROR(__xludf.DUMMYFUNCTION("""COMPUTED_VALUE"""),0.297)</f>
        <v>0.29699999999999999</v>
      </c>
      <c r="W81" s="3">
        <f ca="1">IFERROR(__xludf.DUMMYFUNCTION("""COMPUTED_VALUE"""),332)</f>
        <v>332</v>
      </c>
      <c r="X81" s="3">
        <f ca="1">IFERROR(__xludf.DUMMYFUNCTION("""COMPUTED_VALUE"""),489)</f>
        <v>489</v>
      </c>
      <c r="Y81" s="3">
        <f ca="1">IFERROR(__xludf.DUMMYFUNCTION("""COMPUTED_VALUE"""),0.679)</f>
        <v>0.67900000000000005</v>
      </c>
      <c r="Z81" s="3">
        <f ca="1">IFERROR(__xludf.DUMMYFUNCTION("""COMPUTED_VALUE"""),378)</f>
        <v>378</v>
      </c>
      <c r="AA81" s="3">
        <f ca="1">IFERROR(__xludf.DUMMYFUNCTION("""COMPUTED_VALUE"""),1144)</f>
        <v>1144</v>
      </c>
      <c r="AB81" s="3">
        <f ca="1">IFERROR(__xludf.DUMMYFUNCTION("""COMPUTED_VALUE"""),333)</f>
        <v>333</v>
      </c>
      <c r="AC81" s="3">
        <f ca="1">IFERROR(__xludf.DUMMYFUNCTION("""COMPUTED_VALUE"""),214)</f>
        <v>214</v>
      </c>
      <c r="AD81" s="3">
        <f ca="1">IFERROR(__xludf.DUMMYFUNCTION("""COMPUTED_VALUE"""),66)</f>
        <v>66</v>
      </c>
      <c r="AE81" s="3">
        <f ca="1">IFERROR(__xludf.DUMMYFUNCTION("""COMPUTED_VALUE"""),435)</f>
        <v>435</v>
      </c>
      <c r="AF81" s="3">
        <f ca="1">IFERROR(__xludf.DUMMYFUNCTION("""COMPUTED_VALUE"""),589)</f>
        <v>589</v>
      </c>
    </row>
    <row r="82" spans="1:32" x14ac:dyDescent="0.25">
      <c r="A82" s="3" t="str">
        <f ca="1">IFERROR(__xludf.DUMMYFUNCTION("""COMPUTED_VALUE"""),"Delaware")</f>
        <v>Delaware</v>
      </c>
      <c r="B82" s="3">
        <f ca="1">IFERROR(__xludf.DUMMYFUNCTION("""COMPUTED_VALUE"""),33)</f>
        <v>33</v>
      </c>
      <c r="C82" s="3">
        <f ca="1">IFERROR(__xludf.DUMMYFUNCTION("""COMPUTED_VALUE"""),17)</f>
        <v>17</v>
      </c>
      <c r="D82" s="3">
        <f ca="1">IFERROR(__xludf.DUMMYFUNCTION("""COMPUTED_VALUE"""),16)</f>
        <v>16</v>
      </c>
      <c r="E82" s="3">
        <f ca="1">IFERROR(__xludf.DUMMYFUNCTION("""COMPUTED_VALUE"""),0.515)</f>
        <v>0.51500000000000001</v>
      </c>
      <c r="F82" s="3">
        <f ca="1">IFERROR(__xludf.DUMMYFUNCTION("""COMPUTED_VALUE"""),-7.91)</f>
        <v>-7.91</v>
      </c>
      <c r="G82" s="3">
        <f ca="1">IFERROR(__xludf.DUMMYFUNCTION("""COMPUTED_VALUE"""),-4.82)</f>
        <v>-4.82</v>
      </c>
      <c r="H82" s="3">
        <f ca="1">IFERROR(__xludf.DUMMYFUNCTION("""COMPUTED_VALUE"""),8)</f>
        <v>8</v>
      </c>
      <c r="I82" s="3">
        <f ca="1">IFERROR(__xludf.DUMMYFUNCTION("""COMPUTED_VALUE"""),10)</f>
        <v>10</v>
      </c>
      <c r="J82" s="3">
        <f ca="1">IFERROR(__xludf.DUMMYFUNCTION("""COMPUTED_VALUE"""),9)</f>
        <v>9</v>
      </c>
      <c r="K82" s="3">
        <f ca="1">IFERROR(__xludf.DUMMYFUNCTION("""COMPUTED_VALUE"""),7)</f>
        <v>7</v>
      </c>
      <c r="L82" s="3">
        <f ca="1">IFERROR(__xludf.DUMMYFUNCTION("""COMPUTED_VALUE"""),7)</f>
        <v>7</v>
      </c>
      <c r="M82" s="3">
        <f ca="1">IFERROR(__xludf.DUMMYFUNCTION("""COMPUTED_VALUE"""),8)</f>
        <v>8</v>
      </c>
      <c r="N82" s="3">
        <f ca="1">IFERROR(__xludf.DUMMYFUNCTION("""COMPUTED_VALUE"""),2352)</f>
        <v>2352</v>
      </c>
      <c r="O82" s="3">
        <f ca="1">IFERROR(__xludf.DUMMYFUNCTION("""COMPUTED_VALUE"""),2380)</f>
        <v>2380</v>
      </c>
      <c r="P82" s="3">
        <f ca="1">IFERROR(__xludf.DUMMYFUNCTION("""COMPUTED_VALUE"""),1360)</f>
        <v>1360</v>
      </c>
      <c r="Q82" s="3">
        <f ca="1">IFERROR(__xludf.DUMMYFUNCTION("""COMPUTED_VALUE"""),830)</f>
        <v>830</v>
      </c>
      <c r="R82" s="3">
        <f ca="1">IFERROR(__xludf.DUMMYFUNCTION("""COMPUTED_VALUE"""),1808)</f>
        <v>1808</v>
      </c>
      <c r="S82" s="3">
        <f ca="1">IFERROR(__xludf.DUMMYFUNCTION("""COMPUTED_VALUE"""),0.459)</f>
        <v>0.45900000000000002</v>
      </c>
      <c r="T82" s="3">
        <f ca="1">IFERROR(__xludf.DUMMYFUNCTION("""COMPUTED_VALUE"""),282)</f>
        <v>282</v>
      </c>
      <c r="U82" s="3">
        <f ca="1">IFERROR(__xludf.DUMMYFUNCTION("""COMPUTED_VALUE"""),746)</f>
        <v>746</v>
      </c>
      <c r="V82" s="3">
        <f ca="1">IFERROR(__xludf.DUMMYFUNCTION("""COMPUTED_VALUE"""),0.378)</f>
        <v>0.378</v>
      </c>
      <c r="W82" s="3">
        <f ca="1">IFERROR(__xludf.DUMMYFUNCTION("""COMPUTED_VALUE"""),410)</f>
        <v>410</v>
      </c>
      <c r="X82" s="3">
        <f ca="1">IFERROR(__xludf.DUMMYFUNCTION("""COMPUTED_VALUE"""),564)</f>
        <v>564</v>
      </c>
      <c r="Y82" s="3">
        <f ca="1">IFERROR(__xludf.DUMMYFUNCTION("""COMPUTED_VALUE"""),0.727)</f>
        <v>0.72699999999999998</v>
      </c>
      <c r="Z82" s="3">
        <f ca="1">IFERROR(__xludf.DUMMYFUNCTION("""COMPUTED_VALUE"""),254)</f>
        <v>254</v>
      </c>
      <c r="AA82" s="3">
        <f ca="1">IFERROR(__xludf.DUMMYFUNCTION("""COMPUTED_VALUE"""),1083)</f>
        <v>1083</v>
      </c>
      <c r="AB82" s="3">
        <f ca="1">IFERROR(__xludf.DUMMYFUNCTION("""COMPUTED_VALUE"""),425)</f>
        <v>425</v>
      </c>
      <c r="AC82" s="3">
        <f ca="1">IFERROR(__xludf.DUMMYFUNCTION("""COMPUTED_VALUE"""),149)</f>
        <v>149</v>
      </c>
      <c r="AD82" s="3">
        <f ca="1">IFERROR(__xludf.DUMMYFUNCTION("""COMPUTED_VALUE"""),78)</f>
        <v>78</v>
      </c>
      <c r="AE82" s="3">
        <f ca="1">IFERROR(__xludf.DUMMYFUNCTION("""COMPUTED_VALUE"""),378)</f>
        <v>378</v>
      </c>
      <c r="AF82" s="3">
        <f ca="1">IFERROR(__xludf.DUMMYFUNCTION("""COMPUTED_VALUE"""),523)</f>
        <v>523</v>
      </c>
    </row>
    <row r="83" spans="1:32" x14ac:dyDescent="0.25">
      <c r="A83" s="3" t="str">
        <f ca="1">IFERROR(__xludf.DUMMYFUNCTION("""COMPUTED_VALUE"""),"Denver")</f>
        <v>Denver</v>
      </c>
      <c r="B83" s="3">
        <f ca="1">IFERROR(__xludf.DUMMYFUNCTION("""COMPUTED_VALUE"""),30)</f>
        <v>30</v>
      </c>
      <c r="C83" s="3">
        <f ca="1">IFERROR(__xludf.DUMMYFUNCTION("""COMPUTED_VALUE"""),8)</f>
        <v>8</v>
      </c>
      <c r="D83" s="3">
        <f ca="1">IFERROR(__xludf.DUMMYFUNCTION("""COMPUTED_VALUE"""),22)</f>
        <v>22</v>
      </c>
      <c r="E83" s="3">
        <f ca="1">IFERROR(__xludf.DUMMYFUNCTION("""COMPUTED_VALUE"""),0.267)</f>
        <v>0.26700000000000002</v>
      </c>
      <c r="F83" s="3">
        <f ca="1">IFERROR(__xludf.DUMMYFUNCTION("""COMPUTED_VALUE"""),-11.84)</f>
        <v>-11.84</v>
      </c>
      <c r="G83" s="3">
        <f ca="1">IFERROR(__xludf.DUMMYFUNCTION("""COMPUTED_VALUE"""),-2.97)</f>
        <v>-2.97</v>
      </c>
      <c r="H83" s="3">
        <f ca="1">IFERROR(__xludf.DUMMYFUNCTION("""COMPUTED_VALUE"""),3)</f>
        <v>3</v>
      </c>
      <c r="I83" s="3">
        <f ca="1">IFERROR(__xludf.DUMMYFUNCTION("""COMPUTED_VALUE"""),13)</f>
        <v>13</v>
      </c>
      <c r="J83" s="3">
        <f ca="1">IFERROR(__xludf.DUMMYFUNCTION("""COMPUTED_VALUE"""),6)</f>
        <v>6</v>
      </c>
      <c r="K83" s="3">
        <f ca="1">IFERROR(__xludf.DUMMYFUNCTION("""COMPUTED_VALUE"""),7)</f>
        <v>7</v>
      </c>
      <c r="L83" s="3">
        <f ca="1">IFERROR(__xludf.DUMMYFUNCTION("""COMPUTED_VALUE"""),1)</f>
        <v>1</v>
      </c>
      <c r="M83" s="3">
        <f ca="1">IFERROR(__xludf.DUMMYFUNCTION("""COMPUTED_VALUE"""),14)</f>
        <v>14</v>
      </c>
      <c r="N83" s="3">
        <f ca="1">IFERROR(__xludf.DUMMYFUNCTION("""COMPUTED_VALUE"""),2086)</f>
        <v>2086</v>
      </c>
      <c r="O83" s="3">
        <f ca="1">IFERROR(__xludf.DUMMYFUNCTION("""COMPUTED_VALUE"""),2319)</f>
        <v>2319</v>
      </c>
      <c r="P83" s="3">
        <f ca="1">IFERROR(__xludf.DUMMYFUNCTION("""COMPUTED_VALUE"""),1205)</f>
        <v>1205</v>
      </c>
      <c r="Q83" s="3">
        <f ca="1">IFERROR(__xludf.DUMMYFUNCTION("""COMPUTED_VALUE"""),755)</f>
        <v>755</v>
      </c>
      <c r="R83" s="3">
        <f ca="1">IFERROR(__xludf.DUMMYFUNCTION("""COMPUTED_VALUE"""),1723)</f>
        <v>1723</v>
      </c>
      <c r="S83" s="3">
        <f ca="1">IFERROR(__xludf.DUMMYFUNCTION("""COMPUTED_VALUE"""),0.438)</f>
        <v>0.438</v>
      </c>
      <c r="T83" s="3">
        <f ca="1">IFERROR(__xludf.DUMMYFUNCTION("""COMPUTED_VALUE"""),227)</f>
        <v>227</v>
      </c>
      <c r="U83" s="3">
        <f ca="1">IFERROR(__xludf.DUMMYFUNCTION("""COMPUTED_VALUE"""),622)</f>
        <v>622</v>
      </c>
      <c r="V83" s="3">
        <f ca="1">IFERROR(__xludf.DUMMYFUNCTION("""COMPUTED_VALUE"""),0.365)</f>
        <v>0.36499999999999999</v>
      </c>
      <c r="W83" s="3">
        <f ca="1">IFERROR(__xludf.DUMMYFUNCTION("""COMPUTED_VALUE"""),349)</f>
        <v>349</v>
      </c>
      <c r="X83" s="3">
        <f ca="1">IFERROR(__xludf.DUMMYFUNCTION("""COMPUTED_VALUE"""),460)</f>
        <v>460</v>
      </c>
      <c r="Y83" s="3">
        <f ca="1">IFERROR(__xludf.DUMMYFUNCTION("""COMPUTED_VALUE"""),0.759)</f>
        <v>0.75900000000000001</v>
      </c>
      <c r="Z83" s="3">
        <f ca="1">IFERROR(__xludf.DUMMYFUNCTION("""COMPUTED_VALUE"""),275)</f>
        <v>275</v>
      </c>
      <c r="AA83" s="3">
        <f ca="1">IFERROR(__xludf.DUMMYFUNCTION("""COMPUTED_VALUE"""),1041)</f>
        <v>1041</v>
      </c>
      <c r="AB83" s="3">
        <f ca="1">IFERROR(__xludf.DUMMYFUNCTION("""COMPUTED_VALUE"""),354)</f>
        <v>354</v>
      </c>
      <c r="AC83" s="3">
        <f ca="1">IFERROR(__xludf.DUMMYFUNCTION("""COMPUTED_VALUE"""),142)</f>
        <v>142</v>
      </c>
      <c r="AD83" s="3">
        <f ca="1">IFERROR(__xludf.DUMMYFUNCTION("""COMPUTED_VALUE"""),78)</f>
        <v>78</v>
      </c>
      <c r="AE83" s="3">
        <f ca="1">IFERROR(__xludf.DUMMYFUNCTION("""COMPUTED_VALUE"""),408)</f>
        <v>408</v>
      </c>
      <c r="AF83" s="3">
        <f ca="1">IFERROR(__xludf.DUMMYFUNCTION("""COMPUTED_VALUE"""),506)</f>
        <v>506</v>
      </c>
    </row>
    <row r="84" spans="1:32" x14ac:dyDescent="0.25">
      <c r="A84" s="3" t="str">
        <f ca="1">IFERROR(__xludf.DUMMYFUNCTION("""COMPUTED_VALUE"""),"DePaul")</f>
        <v>DePaul</v>
      </c>
      <c r="B84" s="3">
        <f ca="1">IFERROR(__xludf.DUMMYFUNCTION("""COMPUTED_VALUE"""),36)</f>
        <v>36</v>
      </c>
      <c r="C84" s="3">
        <f ca="1">IFERROR(__xludf.DUMMYFUNCTION("""COMPUTED_VALUE"""),19)</f>
        <v>19</v>
      </c>
      <c r="D84" s="3">
        <f ca="1">IFERROR(__xludf.DUMMYFUNCTION("""COMPUTED_VALUE"""),17)</f>
        <v>17</v>
      </c>
      <c r="E84" s="3">
        <f ca="1">IFERROR(__xludf.DUMMYFUNCTION("""COMPUTED_VALUE"""),0.528)</f>
        <v>0.52800000000000002</v>
      </c>
      <c r="F84" s="3">
        <f ca="1">IFERROR(__xludf.DUMMYFUNCTION("""COMPUTED_VALUE"""),6)</f>
        <v>6</v>
      </c>
      <c r="G84" s="3">
        <f ca="1">IFERROR(__xludf.DUMMYFUNCTION("""COMPUTED_VALUE"""),4.05)</f>
        <v>4.05</v>
      </c>
      <c r="H84" s="3">
        <f ca="1">IFERROR(__xludf.DUMMYFUNCTION("""COMPUTED_VALUE"""),7)</f>
        <v>7</v>
      </c>
      <c r="I84" s="3">
        <f ca="1">IFERROR(__xludf.DUMMYFUNCTION("""COMPUTED_VALUE"""),11)</f>
        <v>11</v>
      </c>
      <c r="J84" s="3">
        <f ca="1">IFERROR(__xludf.DUMMYFUNCTION("""COMPUTED_VALUE"""),16)</f>
        <v>16</v>
      </c>
      <c r="K84" s="3">
        <f ca="1">IFERROR(__xludf.DUMMYFUNCTION("""COMPUTED_VALUE"""),7)</f>
        <v>7</v>
      </c>
      <c r="L84" s="3">
        <f ca="1">IFERROR(__xludf.DUMMYFUNCTION("""COMPUTED_VALUE"""),3)</f>
        <v>3</v>
      </c>
      <c r="M84" s="3">
        <f ca="1">IFERROR(__xludf.DUMMYFUNCTION("""COMPUTED_VALUE"""),9)</f>
        <v>9</v>
      </c>
      <c r="N84" s="3">
        <f ca="1">IFERROR(__xludf.DUMMYFUNCTION("""COMPUTED_VALUE"""),2821)</f>
        <v>2821</v>
      </c>
      <c r="O84" s="3">
        <f ca="1">IFERROR(__xludf.DUMMYFUNCTION("""COMPUTED_VALUE"""),2751)</f>
        <v>2751</v>
      </c>
      <c r="P84" s="3">
        <f ca="1">IFERROR(__xludf.DUMMYFUNCTION("""COMPUTED_VALUE"""),1450)</f>
        <v>1450</v>
      </c>
      <c r="Q84" s="3">
        <f ca="1">IFERROR(__xludf.DUMMYFUNCTION("""COMPUTED_VALUE"""),1009)</f>
        <v>1009</v>
      </c>
      <c r="R84" s="3">
        <f ca="1">IFERROR(__xludf.DUMMYFUNCTION("""COMPUTED_VALUE"""),2143)</f>
        <v>2143</v>
      </c>
      <c r="S84" s="3">
        <f ca="1">IFERROR(__xludf.DUMMYFUNCTION("""COMPUTED_VALUE"""),0.471)</f>
        <v>0.47099999999999997</v>
      </c>
      <c r="T84" s="3">
        <f ca="1">IFERROR(__xludf.DUMMYFUNCTION("""COMPUTED_VALUE"""),241)</f>
        <v>241</v>
      </c>
      <c r="U84" s="3">
        <f ca="1">IFERROR(__xludf.DUMMYFUNCTION("""COMPUTED_VALUE"""),703)</f>
        <v>703</v>
      </c>
      <c r="V84" s="3">
        <f ca="1">IFERROR(__xludf.DUMMYFUNCTION("""COMPUTED_VALUE"""),0.343)</f>
        <v>0.34300000000000003</v>
      </c>
      <c r="W84" s="3">
        <f ca="1">IFERROR(__xludf.DUMMYFUNCTION("""COMPUTED_VALUE"""),562)</f>
        <v>562</v>
      </c>
      <c r="X84" s="3">
        <f ca="1">IFERROR(__xludf.DUMMYFUNCTION("""COMPUTED_VALUE"""),773)</f>
        <v>773</v>
      </c>
      <c r="Y84" s="3">
        <f ca="1">IFERROR(__xludf.DUMMYFUNCTION("""COMPUTED_VALUE"""),0.727)</f>
        <v>0.72699999999999998</v>
      </c>
      <c r="Z84" s="3">
        <f ca="1">IFERROR(__xludf.DUMMYFUNCTION("""COMPUTED_VALUE"""),396)</f>
        <v>396</v>
      </c>
      <c r="AA84" s="3">
        <f ca="1">IFERROR(__xludf.DUMMYFUNCTION("""COMPUTED_VALUE"""),1347)</f>
        <v>1347</v>
      </c>
      <c r="AB84" s="3">
        <f ca="1">IFERROR(__xludf.DUMMYFUNCTION("""COMPUTED_VALUE"""),513)</f>
        <v>513</v>
      </c>
      <c r="AC84" s="3">
        <f ca="1">IFERROR(__xludf.DUMMYFUNCTION("""COMPUTED_VALUE"""),227)</f>
        <v>227</v>
      </c>
      <c r="AD84" s="3">
        <f ca="1">IFERROR(__xludf.DUMMYFUNCTION("""COMPUTED_VALUE"""),117)</f>
        <v>117</v>
      </c>
      <c r="AE84" s="3">
        <f ca="1">IFERROR(__xludf.DUMMYFUNCTION("""COMPUTED_VALUE"""),488)</f>
        <v>488</v>
      </c>
      <c r="AF84" s="3">
        <f ca="1">IFERROR(__xludf.DUMMYFUNCTION("""COMPUTED_VALUE"""),630)</f>
        <v>630</v>
      </c>
    </row>
    <row r="85" spans="1:32" x14ac:dyDescent="0.25">
      <c r="A85" s="3" t="str">
        <f ca="1">IFERROR(__xludf.DUMMYFUNCTION("""COMPUTED_VALUE"""),"Detroit Mercy")</f>
        <v>Detroit Mercy</v>
      </c>
      <c r="B85" s="3">
        <f ca="1">IFERROR(__xludf.DUMMYFUNCTION("""COMPUTED_VALUE"""),31)</f>
        <v>31</v>
      </c>
      <c r="C85" s="3">
        <f ca="1">IFERROR(__xludf.DUMMYFUNCTION("""COMPUTED_VALUE"""),11)</f>
        <v>11</v>
      </c>
      <c r="D85" s="3">
        <f ca="1">IFERROR(__xludf.DUMMYFUNCTION("""COMPUTED_VALUE"""),20)</f>
        <v>20</v>
      </c>
      <c r="E85" s="3">
        <f ca="1">IFERROR(__xludf.DUMMYFUNCTION("""COMPUTED_VALUE"""),0.355)</f>
        <v>0.35499999999999998</v>
      </c>
      <c r="F85" s="3">
        <f ca="1">IFERROR(__xludf.DUMMYFUNCTION("""COMPUTED_VALUE"""),-6.33)</f>
        <v>-6.33</v>
      </c>
      <c r="G85" s="3">
        <f ca="1">IFERROR(__xludf.DUMMYFUNCTION("""COMPUTED_VALUE"""),-0.36)</f>
        <v>-0.36</v>
      </c>
      <c r="H85" s="3">
        <f ca="1">IFERROR(__xludf.DUMMYFUNCTION("""COMPUTED_VALUE"""),8)</f>
        <v>8</v>
      </c>
      <c r="I85" s="3">
        <f ca="1">IFERROR(__xludf.DUMMYFUNCTION("""COMPUTED_VALUE"""),10)</f>
        <v>10</v>
      </c>
      <c r="J85" s="3">
        <f ca="1">IFERROR(__xludf.DUMMYFUNCTION("""COMPUTED_VALUE"""),6)</f>
        <v>6</v>
      </c>
      <c r="K85" s="3">
        <f ca="1">IFERROR(__xludf.DUMMYFUNCTION("""COMPUTED_VALUE"""),6)</f>
        <v>6</v>
      </c>
      <c r="L85" s="3">
        <f ca="1">IFERROR(__xludf.DUMMYFUNCTION("""COMPUTED_VALUE"""),4)</f>
        <v>4</v>
      </c>
      <c r="M85" s="3">
        <f ca="1">IFERROR(__xludf.DUMMYFUNCTION("""COMPUTED_VALUE"""),14)</f>
        <v>14</v>
      </c>
      <c r="N85" s="3">
        <f ca="1">IFERROR(__xludf.DUMMYFUNCTION("""COMPUTED_VALUE"""),2279)</f>
        <v>2279</v>
      </c>
      <c r="O85" s="3">
        <f ca="1">IFERROR(__xludf.DUMMYFUNCTION("""COMPUTED_VALUE"""),2464)</f>
        <v>2464</v>
      </c>
      <c r="P85" s="3">
        <f ca="1">IFERROR(__xludf.DUMMYFUNCTION("""COMPUTED_VALUE"""),1240)</f>
        <v>1240</v>
      </c>
      <c r="Q85" s="3">
        <f ca="1">IFERROR(__xludf.DUMMYFUNCTION("""COMPUTED_VALUE"""),784)</f>
        <v>784</v>
      </c>
      <c r="R85" s="3">
        <f ca="1">IFERROR(__xludf.DUMMYFUNCTION("""COMPUTED_VALUE"""),1874)</f>
        <v>1874</v>
      </c>
      <c r="S85" s="3">
        <f ca="1">IFERROR(__xludf.DUMMYFUNCTION("""COMPUTED_VALUE"""),0.418)</f>
        <v>0.41799999999999998</v>
      </c>
      <c r="T85" s="3">
        <f ca="1">IFERROR(__xludf.DUMMYFUNCTION("""COMPUTED_VALUE"""),294)</f>
        <v>294</v>
      </c>
      <c r="U85" s="3">
        <f ca="1">IFERROR(__xludf.DUMMYFUNCTION("""COMPUTED_VALUE"""),825)</f>
        <v>825</v>
      </c>
      <c r="V85" s="3">
        <f ca="1">IFERROR(__xludf.DUMMYFUNCTION("""COMPUTED_VALUE"""),0.356)</f>
        <v>0.35599999999999998</v>
      </c>
      <c r="W85" s="3">
        <f ca="1">IFERROR(__xludf.DUMMYFUNCTION("""COMPUTED_VALUE"""),417)</f>
        <v>417</v>
      </c>
      <c r="X85" s="3">
        <f ca="1">IFERROR(__xludf.DUMMYFUNCTION("""COMPUTED_VALUE"""),581)</f>
        <v>581</v>
      </c>
      <c r="Y85" s="3">
        <f ca="1">IFERROR(__xludf.DUMMYFUNCTION("""COMPUTED_VALUE"""),0.718)</f>
        <v>0.71799999999999997</v>
      </c>
      <c r="Z85" s="3">
        <f ca="1">IFERROR(__xludf.DUMMYFUNCTION("""COMPUTED_VALUE"""),336)</f>
        <v>336</v>
      </c>
      <c r="AA85" s="3">
        <f ca="1">IFERROR(__xludf.DUMMYFUNCTION("""COMPUTED_VALUE"""),1019)</f>
        <v>1019</v>
      </c>
      <c r="AB85" s="3">
        <f ca="1">IFERROR(__xludf.DUMMYFUNCTION("""COMPUTED_VALUE"""),319)</f>
        <v>319</v>
      </c>
      <c r="AC85" s="3">
        <f ca="1">IFERROR(__xludf.DUMMYFUNCTION("""COMPUTED_VALUE"""),238)</f>
        <v>238</v>
      </c>
      <c r="AD85" s="3">
        <f ca="1">IFERROR(__xludf.DUMMYFUNCTION("""COMPUTED_VALUE"""),77)</f>
        <v>77</v>
      </c>
      <c r="AE85" s="3">
        <f ca="1">IFERROR(__xludf.DUMMYFUNCTION("""COMPUTED_VALUE"""),355)</f>
        <v>355</v>
      </c>
      <c r="AF85" s="3">
        <f ca="1">IFERROR(__xludf.DUMMYFUNCTION("""COMPUTED_VALUE"""),528)</f>
        <v>528</v>
      </c>
    </row>
    <row r="86" spans="1:32" x14ac:dyDescent="0.25">
      <c r="A86" s="3" t="str">
        <f ca="1">IFERROR(__xludf.DUMMYFUNCTION("""COMPUTED_VALUE"""),"Drake")</f>
        <v>Drake</v>
      </c>
      <c r="B86" s="3">
        <f ca="1">IFERROR(__xludf.DUMMYFUNCTION("""COMPUTED_VALUE"""),34)</f>
        <v>34</v>
      </c>
      <c r="C86" s="3">
        <f ca="1">IFERROR(__xludf.DUMMYFUNCTION("""COMPUTED_VALUE"""),24)</f>
        <v>24</v>
      </c>
      <c r="D86" s="3">
        <f ca="1">IFERROR(__xludf.DUMMYFUNCTION("""COMPUTED_VALUE"""),10)</f>
        <v>10</v>
      </c>
      <c r="E86" s="3">
        <f ca="1">IFERROR(__xludf.DUMMYFUNCTION("""COMPUTED_VALUE"""),0.706)</f>
        <v>0.70599999999999996</v>
      </c>
      <c r="F86" s="3">
        <f ca="1">IFERROR(__xludf.DUMMYFUNCTION("""COMPUTED_VALUE"""),2.52)</f>
        <v>2.52</v>
      </c>
      <c r="G86" s="3">
        <f ca="1">IFERROR(__xludf.DUMMYFUNCTION("""COMPUTED_VALUE"""),-0.66)</f>
        <v>-0.66</v>
      </c>
      <c r="H86" s="3">
        <f ca="1">IFERROR(__xludf.DUMMYFUNCTION("""COMPUTED_VALUE"""),12)</f>
        <v>12</v>
      </c>
      <c r="I86" s="3">
        <f ca="1">IFERROR(__xludf.DUMMYFUNCTION("""COMPUTED_VALUE"""),6)</f>
        <v>6</v>
      </c>
      <c r="J86" s="3">
        <f ca="1">IFERROR(__xludf.DUMMYFUNCTION("""COMPUTED_VALUE"""),13)</f>
        <v>13</v>
      </c>
      <c r="K86" s="3">
        <f ca="1">IFERROR(__xludf.DUMMYFUNCTION("""COMPUTED_VALUE"""),2)</f>
        <v>2</v>
      </c>
      <c r="L86" s="3">
        <f ca="1">IFERROR(__xludf.DUMMYFUNCTION("""COMPUTED_VALUE"""),7)</f>
        <v>7</v>
      </c>
      <c r="M86" s="3">
        <f ca="1">IFERROR(__xludf.DUMMYFUNCTION("""COMPUTED_VALUE"""),6)</f>
        <v>6</v>
      </c>
      <c r="N86" s="3">
        <f ca="1">IFERROR(__xludf.DUMMYFUNCTION("""COMPUTED_VALUE"""),2563)</f>
        <v>2563</v>
      </c>
      <c r="O86" s="3">
        <f ca="1">IFERROR(__xludf.DUMMYFUNCTION("""COMPUTED_VALUE"""),2387)</f>
        <v>2387</v>
      </c>
      <c r="P86" s="3">
        <f ca="1">IFERROR(__xludf.DUMMYFUNCTION("""COMPUTED_VALUE"""),1385)</f>
        <v>1385</v>
      </c>
      <c r="Q86" s="3">
        <f ca="1">IFERROR(__xludf.DUMMYFUNCTION("""COMPUTED_VALUE"""),908)</f>
        <v>908</v>
      </c>
      <c r="R86" s="3">
        <f ca="1">IFERROR(__xludf.DUMMYFUNCTION("""COMPUTED_VALUE"""),1943)</f>
        <v>1943</v>
      </c>
      <c r="S86" s="3">
        <f ca="1">IFERROR(__xludf.DUMMYFUNCTION("""COMPUTED_VALUE"""),0.467)</f>
        <v>0.46700000000000003</v>
      </c>
      <c r="T86" s="3">
        <f ca="1">IFERROR(__xludf.DUMMYFUNCTION("""COMPUTED_VALUE"""),279)</f>
        <v>279</v>
      </c>
      <c r="U86" s="3">
        <f ca="1">IFERROR(__xludf.DUMMYFUNCTION("""COMPUTED_VALUE"""),773)</f>
        <v>773</v>
      </c>
      <c r="V86" s="3">
        <f ca="1">IFERROR(__xludf.DUMMYFUNCTION("""COMPUTED_VALUE"""),0.361)</f>
        <v>0.36099999999999999</v>
      </c>
      <c r="W86" s="3">
        <f ca="1">IFERROR(__xludf.DUMMYFUNCTION("""COMPUTED_VALUE"""),468)</f>
        <v>468</v>
      </c>
      <c r="X86" s="3">
        <f ca="1">IFERROR(__xludf.DUMMYFUNCTION("""COMPUTED_VALUE"""),618)</f>
        <v>618</v>
      </c>
      <c r="Y86" s="3">
        <f ca="1">IFERROR(__xludf.DUMMYFUNCTION("""COMPUTED_VALUE"""),0.757)</f>
        <v>0.75700000000000001</v>
      </c>
      <c r="Z86" s="3">
        <f ca="1">IFERROR(__xludf.DUMMYFUNCTION("""COMPUTED_VALUE"""),279)</f>
        <v>279</v>
      </c>
      <c r="AA86" s="3">
        <f ca="1">IFERROR(__xludf.DUMMYFUNCTION("""COMPUTED_VALUE"""),1214)</f>
        <v>1214</v>
      </c>
      <c r="AB86" s="3">
        <f ca="1">IFERROR(__xludf.DUMMYFUNCTION("""COMPUTED_VALUE"""),518)</f>
        <v>518</v>
      </c>
      <c r="AC86" s="3">
        <f ca="1">IFERROR(__xludf.DUMMYFUNCTION("""COMPUTED_VALUE"""),180)</f>
        <v>180</v>
      </c>
      <c r="AD86" s="3">
        <f ca="1">IFERROR(__xludf.DUMMYFUNCTION("""COMPUTED_VALUE"""),130)</f>
        <v>130</v>
      </c>
      <c r="AE86" s="3">
        <f ca="1">IFERROR(__xludf.DUMMYFUNCTION("""COMPUTED_VALUE"""),449)</f>
        <v>449</v>
      </c>
      <c r="AF86" s="3">
        <f ca="1">IFERROR(__xludf.DUMMYFUNCTION("""COMPUTED_VALUE"""),568)</f>
        <v>568</v>
      </c>
    </row>
    <row r="87" spans="1:32" x14ac:dyDescent="0.25">
      <c r="A87" s="3" t="str">
        <f ca="1">IFERROR(__xludf.DUMMYFUNCTION("""COMPUTED_VALUE"""),"Drexel")</f>
        <v>Drexel</v>
      </c>
      <c r="B87" s="3">
        <f ca="1">IFERROR(__xludf.DUMMYFUNCTION("""COMPUTED_VALUE"""),32)</f>
        <v>32</v>
      </c>
      <c r="C87" s="3">
        <f ca="1">IFERROR(__xludf.DUMMYFUNCTION("""COMPUTED_VALUE"""),13)</f>
        <v>13</v>
      </c>
      <c r="D87" s="3">
        <f ca="1">IFERROR(__xludf.DUMMYFUNCTION("""COMPUTED_VALUE"""),19)</f>
        <v>19</v>
      </c>
      <c r="E87" s="3">
        <f ca="1">IFERROR(__xludf.DUMMYFUNCTION("""COMPUTED_VALUE"""),0.406)</f>
        <v>0.40600000000000003</v>
      </c>
      <c r="F87" s="3">
        <f ca="1">IFERROR(__xludf.DUMMYFUNCTION("""COMPUTED_VALUE"""),-7.02)</f>
        <v>-7.02</v>
      </c>
      <c r="G87" s="3">
        <f ca="1">IFERROR(__xludf.DUMMYFUNCTION("""COMPUTED_VALUE"""),-2.93)</f>
        <v>-2.93</v>
      </c>
      <c r="H87" s="3">
        <f ca="1">IFERROR(__xludf.DUMMYFUNCTION("""COMPUTED_VALUE"""),7)</f>
        <v>7</v>
      </c>
      <c r="I87" s="3">
        <f ca="1">IFERROR(__xludf.DUMMYFUNCTION("""COMPUTED_VALUE"""),11)</f>
        <v>11</v>
      </c>
      <c r="J87" s="3">
        <f ca="1">IFERROR(__xludf.DUMMYFUNCTION("""COMPUTED_VALUE"""),9)</f>
        <v>9</v>
      </c>
      <c r="K87" s="3">
        <f ca="1">IFERROR(__xludf.DUMMYFUNCTION("""COMPUTED_VALUE"""),7)</f>
        <v>7</v>
      </c>
      <c r="L87" s="3">
        <f ca="1">IFERROR(__xludf.DUMMYFUNCTION("""COMPUTED_VALUE"""),3)</f>
        <v>3</v>
      </c>
      <c r="M87" s="3">
        <f ca="1">IFERROR(__xludf.DUMMYFUNCTION("""COMPUTED_VALUE"""),11)</f>
        <v>11</v>
      </c>
      <c r="N87" s="3">
        <f ca="1">IFERROR(__xludf.DUMMYFUNCTION("""COMPUTED_VALUE"""),2425)</f>
        <v>2425</v>
      </c>
      <c r="O87" s="3">
        <f ca="1">IFERROR(__xludf.DUMMYFUNCTION("""COMPUTED_VALUE"""),2475)</f>
        <v>2475</v>
      </c>
      <c r="P87" s="3">
        <f ca="1">IFERROR(__xludf.DUMMYFUNCTION("""COMPUTED_VALUE"""),1280)</f>
        <v>1280</v>
      </c>
      <c r="Q87" s="3">
        <f ca="1">IFERROR(__xludf.DUMMYFUNCTION("""COMPUTED_VALUE"""),874)</f>
        <v>874</v>
      </c>
      <c r="R87" s="3">
        <f ca="1">IFERROR(__xludf.DUMMYFUNCTION("""COMPUTED_VALUE"""),1900)</f>
        <v>1900</v>
      </c>
      <c r="S87" s="3">
        <f ca="1">IFERROR(__xludf.DUMMYFUNCTION("""COMPUTED_VALUE"""),0.46)</f>
        <v>0.46</v>
      </c>
      <c r="T87" s="3">
        <f ca="1">IFERROR(__xludf.DUMMYFUNCTION("""COMPUTED_VALUE"""),237)</f>
        <v>237</v>
      </c>
      <c r="U87" s="3">
        <f ca="1">IFERROR(__xludf.DUMMYFUNCTION("""COMPUTED_VALUE"""),669)</f>
        <v>669</v>
      </c>
      <c r="V87" s="3">
        <f ca="1">IFERROR(__xludf.DUMMYFUNCTION("""COMPUTED_VALUE"""),0.354)</f>
        <v>0.35399999999999998</v>
      </c>
      <c r="W87" s="3">
        <f ca="1">IFERROR(__xludf.DUMMYFUNCTION("""COMPUTED_VALUE"""),440)</f>
        <v>440</v>
      </c>
      <c r="X87" s="3">
        <f ca="1">IFERROR(__xludf.DUMMYFUNCTION("""COMPUTED_VALUE"""),584)</f>
        <v>584</v>
      </c>
      <c r="Y87" s="3">
        <f ca="1">IFERROR(__xludf.DUMMYFUNCTION("""COMPUTED_VALUE"""),0.753)</f>
        <v>0.753</v>
      </c>
      <c r="Z87" s="3">
        <f ca="1">IFERROR(__xludf.DUMMYFUNCTION("""COMPUTED_VALUE"""),312)</f>
        <v>312</v>
      </c>
      <c r="AA87" s="3">
        <f ca="1">IFERROR(__xludf.DUMMYFUNCTION("""COMPUTED_VALUE"""),1126)</f>
        <v>1126</v>
      </c>
      <c r="AB87" s="3">
        <f ca="1">IFERROR(__xludf.DUMMYFUNCTION("""COMPUTED_VALUE"""),464)</f>
        <v>464</v>
      </c>
      <c r="AC87" s="3">
        <f ca="1">IFERROR(__xludf.DUMMYFUNCTION("""COMPUTED_VALUE"""),144)</f>
        <v>144</v>
      </c>
      <c r="AD87" s="3">
        <f ca="1">IFERROR(__xludf.DUMMYFUNCTION("""COMPUTED_VALUE"""),62)</f>
        <v>62</v>
      </c>
      <c r="AE87" s="3">
        <f ca="1">IFERROR(__xludf.DUMMYFUNCTION("""COMPUTED_VALUE"""),377)</f>
        <v>377</v>
      </c>
      <c r="AF87" s="3">
        <f ca="1">IFERROR(__xludf.DUMMYFUNCTION("""COMPUTED_VALUE"""),542)</f>
        <v>542</v>
      </c>
    </row>
    <row r="88" spans="1:32" x14ac:dyDescent="0.25">
      <c r="A88" s="3" t="str">
        <f ca="1">IFERROR(__xludf.DUMMYFUNCTION("""COMPUTED_VALUE"""),"Overall")</f>
        <v>Overall</v>
      </c>
      <c r="B88" s="3" t="str">
        <f ca="1">IFERROR(__xludf.DUMMYFUNCTION("""COMPUTED_VALUE"""),"Conf.")</f>
        <v>Conf.</v>
      </c>
      <c r="C88" s="3" t="str">
        <f ca="1">IFERROR(__xludf.DUMMYFUNCTION("""COMPUTED_VALUE"""),"Home")</f>
        <v>Home</v>
      </c>
      <c r="D88" s="3" t="str">
        <f ca="1">IFERROR(__xludf.DUMMYFUNCTION("""COMPUTED_VALUE"""),"Away")</f>
        <v>Away</v>
      </c>
      <c r="E88" s="3" t="str">
        <f ca="1">IFERROR(__xludf.DUMMYFUNCTION("""COMPUTED_VALUE"""),"Points")</f>
        <v>Points</v>
      </c>
      <c r="F88" s="3" t="str">
        <f ca="1">IFERROR(__xludf.DUMMYFUNCTION("""COMPUTED_VALUE"""),"")</f>
        <v/>
      </c>
      <c r="G88" s="3" t="str">
        <f ca="1">IFERROR(__xludf.DUMMYFUNCTION("""COMPUTED_VALUE"""),"School Totals")</f>
        <v>School Totals</v>
      </c>
      <c r="H88" s="3" t="str">
        <f ca="1">IFERROR(__xludf.DUMMYFUNCTION("""COMPUTED_VALUE"""),"")</f>
        <v/>
      </c>
      <c r="I88" s="3" t="str">
        <f ca="1">IFERROR(__xludf.DUMMYFUNCTION("""COMPUTED_VALUE"""),"")</f>
        <v/>
      </c>
      <c r="J88" s="3" t="str">
        <f ca="1">IFERROR(__xludf.DUMMYFUNCTION("""COMPUTED_VALUE"""),"")</f>
        <v/>
      </c>
      <c r="K88" s="3" t="str">
        <f ca="1">IFERROR(__xludf.DUMMYFUNCTION("""COMPUTED_VALUE"""),"")</f>
        <v/>
      </c>
      <c r="L88" s="3" t="str">
        <f ca="1">IFERROR(__xludf.DUMMYFUNCTION("""COMPUTED_VALUE"""),"")</f>
        <v/>
      </c>
      <c r="M88" s="3" t="str">
        <f ca="1">IFERROR(__xludf.DUMMYFUNCTION("""COMPUTED_VALUE"""),"")</f>
        <v/>
      </c>
      <c r="N88" s="3" t="str">
        <f ca="1">IFERROR(__xludf.DUMMYFUNCTION("""COMPUTED_VALUE"""),"")</f>
        <v/>
      </c>
      <c r="O88" s="3" t="str">
        <f ca="1">IFERROR(__xludf.DUMMYFUNCTION("""COMPUTED_VALUE"""),"")</f>
        <v/>
      </c>
      <c r="P88" s="3" t="str">
        <f ca="1">IFERROR(__xludf.DUMMYFUNCTION("""COMPUTED_VALUE"""),"")</f>
        <v/>
      </c>
      <c r="Q88" s="3" t="str">
        <f ca="1">IFERROR(__xludf.DUMMYFUNCTION("""COMPUTED_VALUE"""),"")</f>
        <v/>
      </c>
      <c r="R88" s="3" t="str">
        <f ca="1">IFERROR(__xludf.DUMMYFUNCTION("""COMPUTED_VALUE"""),"")</f>
        <v/>
      </c>
      <c r="S88" s="3" t="str">
        <f ca="1">IFERROR(__xludf.DUMMYFUNCTION("""COMPUTED_VALUE"""),"")</f>
        <v/>
      </c>
      <c r="T88" s="3" t="str">
        <f ca="1">IFERROR(__xludf.DUMMYFUNCTION("""COMPUTED_VALUE"""),"")</f>
        <v/>
      </c>
      <c r="U88" s="3" t="str">
        <f ca="1">IFERROR(__xludf.DUMMYFUNCTION("""COMPUTED_VALUE"""),"")</f>
        <v/>
      </c>
      <c r="V88" s="3" t="str">
        <f ca="1">IFERROR(__xludf.DUMMYFUNCTION("""COMPUTED_VALUE"""),"")</f>
        <v/>
      </c>
      <c r="W88" s="3" t="str">
        <f ca="1">IFERROR(__xludf.DUMMYFUNCTION("""COMPUTED_VALUE"""),"")</f>
        <v/>
      </c>
      <c r="X88" s="3" t="str">
        <f ca="1">IFERROR(__xludf.DUMMYFUNCTION("""COMPUTED_VALUE"""),"")</f>
        <v/>
      </c>
      <c r="Y88" s="3" t="str">
        <f ca="1">IFERROR(__xludf.DUMMYFUNCTION("""COMPUTED_VALUE"""),"")</f>
        <v/>
      </c>
      <c r="Z88" s="3" t="str">
        <f ca="1">IFERROR(__xludf.DUMMYFUNCTION("""COMPUTED_VALUE"""),"")</f>
        <v/>
      </c>
      <c r="AA88" s="3" t="str">
        <f ca="1">IFERROR(__xludf.DUMMYFUNCTION("""COMPUTED_VALUE"""),"")</f>
        <v/>
      </c>
      <c r="AB88" s="3" t="str">
        <f ca="1">IFERROR(__xludf.DUMMYFUNCTION("""COMPUTED_VALUE"""),"")</f>
        <v/>
      </c>
      <c r="AC88" s="3" t="str">
        <f ca="1">IFERROR(__xludf.DUMMYFUNCTION("""COMPUTED_VALUE"""),"")</f>
        <v/>
      </c>
      <c r="AD88" s="3" t="str">
        <f ca="1">IFERROR(__xludf.DUMMYFUNCTION("""COMPUTED_VALUE"""),"")</f>
        <v/>
      </c>
      <c r="AE88" s="3" t="str">
        <f ca="1">IFERROR(__xludf.DUMMYFUNCTION("""COMPUTED_VALUE"""),"")</f>
        <v/>
      </c>
      <c r="AF88" s="3" t="str">
        <f ca="1">IFERROR(__xludf.DUMMYFUNCTION("""COMPUTED_VALUE"""),"")</f>
        <v/>
      </c>
    </row>
    <row r="89" spans="1:32" x14ac:dyDescent="0.25">
      <c r="A89" s="3" t="str">
        <f ca="1">IFERROR(__xludf.DUMMYFUNCTION("""COMPUTED_VALUE"""),"School")</f>
        <v>School</v>
      </c>
      <c r="B89" s="3" t="str">
        <f ca="1">IFERROR(__xludf.DUMMYFUNCTION("""COMPUTED_VALUE"""),"G")</f>
        <v>G</v>
      </c>
      <c r="C89" s="3" t="str">
        <f ca="1">IFERROR(__xludf.DUMMYFUNCTION("""COMPUTED_VALUE"""),"W")</f>
        <v>W</v>
      </c>
      <c r="D89" s="3" t="str">
        <f ca="1">IFERROR(__xludf.DUMMYFUNCTION("""COMPUTED_VALUE"""),"L")</f>
        <v>L</v>
      </c>
      <c r="E89" s="3" t="str">
        <f ca="1">IFERROR(__xludf.DUMMYFUNCTION("""COMPUTED_VALUE"""),"W-L%")</f>
        <v>W-L%</v>
      </c>
      <c r="F89" s="3" t="str">
        <f ca="1">IFERROR(__xludf.DUMMYFUNCTION("""COMPUTED_VALUE"""),"SRS")</f>
        <v>SRS</v>
      </c>
      <c r="G89" s="3" t="str">
        <f ca="1">IFERROR(__xludf.DUMMYFUNCTION("""COMPUTED_VALUE"""),"SOS")</f>
        <v>SOS</v>
      </c>
      <c r="H89" s="3" t="str">
        <f ca="1">IFERROR(__xludf.DUMMYFUNCTION("""COMPUTED_VALUE"""),"W")</f>
        <v>W</v>
      </c>
      <c r="I89" s="3" t="str">
        <f ca="1">IFERROR(__xludf.DUMMYFUNCTION("""COMPUTED_VALUE"""),"L")</f>
        <v>L</v>
      </c>
      <c r="J89" s="3" t="str">
        <f ca="1">IFERROR(__xludf.DUMMYFUNCTION("""COMPUTED_VALUE"""),"W")</f>
        <v>W</v>
      </c>
      <c r="K89" s="3" t="str">
        <f ca="1">IFERROR(__xludf.DUMMYFUNCTION("""COMPUTED_VALUE"""),"L")</f>
        <v>L</v>
      </c>
      <c r="L89" s="3" t="str">
        <f ca="1">IFERROR(__xludf.DUMMYFUNCTION("""COMPUTED_VALUE"""),"W")</f>
        <v>W</v>
      </c>
      <c r="M89" s="3" t="str">
        <f ca="1">IFERROR(__xludf.DUMMYFUNCTION("""COMPUTED_VALUE"""),"L")</f>
        <v>L</v>
      </c>
      <c r="N89" s="3" t="str">
        <f ca="1">IFERROR(__xludf.DUMMYFUNCTION("""COMPUTED_VALUE"""),"Tm.")</f>
        <v>Tm.</v>
      </c>
      <c r="O89" s="3" t="str">
        <f ca="1">IFERROR(__xludf.DUMMYFUNCTION("""COMPUTED_VALUE"""),"Opp.")</f>
        <v>Opp.</v>
      </c>
      <c r="P89" s="3" t="str">
        <f ca="1">IFERROR(__xludf.DUMMYFUNCTION("""COMPUTED_VALUE"""),"MP")</f>
        <v>MP</v>
      </c>
      <c r="Q89" s="3" t="str">
        <f ca="1">IFERROR(__xludf.DUMMYFUNCTION("""COMPUTED_VALUE"""),"FG")</f>
        <v>FG</v>
      </c>
      <c r="R89" s="3" t="str">
        <f ca="1">IFERROR(__xludf.DUMMYFUNCTION("""COMPUTED_VALUE"""),"FGA")</f>
        <v>FGA</v>
      </c>
      <c r="S89" s="3" t="str">
        <f ca="1">IFERROR(__xludf.DUMMYFUNCTION("""COMPUTED_VALUE"""),"FG%")</f>
        <v>FG%</v>
      </c>
      <c r="T89" s="3" t="str">
        <f ca="1">IFERROR(__xludf.DUMMYFUNCTION("""COMPUTED_VALUE"""),"3P")</f>
        <v>3P</v>
      </c>
      <c r="U89" s="3" t="str">
        <f ca="1">IFERROR(__xludf.DUMMYFUNCTION("""COMPUTED_VALUE"""),"3PA")</f>
        <v>3PA</v>
      </c>
      <c r="V89" s="3" t="str">
        <f ca="1">IFERROR(__xludf.DUMMYFUNCTION("""COMPUTED_VALUE"""),"3P%")</f>
        <v>3P%</v>
      </c>
      <c r="W89" s="3" t="str">
        <f ca="1">IFERROR(__xludf.DUMMYFUNCTION("""COMPUTED_VALUE"""),"FT")</f>
        <v>FT</v>
      </c>
      <c r="X89" s="3" t="str">
        <f ca="1">IFERROR(__xludf.DUMMYFUNCTION("""COMPUTED_VALUE"""),"FTA")</f>
        <v>FTA</v>
      </c>
      <c r="Y89" s="3" t="str">
        <f ca="1">IFERROR(__xludf.DUMMYFUNCTION("""COMPUTED_VALUE"""),"FT%")</f>
        <v>FT%</v>
      </c>
      <c r="Z89" s="3" t="str">
        <f ca="1">IFERROR(__xludf.DUMMYFUNCTION("""COMPUTED_VALUE"""),"ORB")</f>
        <v>ORB</v>
      </c>
      <c r="AA89" s="3" t="str">
        <f ca="1">IFERROR(__xludf.DUMMYFUNCTION("""COMPUTED_VALUE"""),"TRB")</f>
        <v>TRB</v>
      </c>
      <c r="AB89" s="3" t="str">
        <f ca="1">IFERROR(__xludf.DUMMYFUNCTION("""COMPUTED_VALUE"""),"AST")</f>
        <v>AST</v>
      </c>
      <c r="AC89" s="3" t="str">
        <f ca="1">IFERROR(__xludf.DUMMYFUNCTION("""COMPUTED_VALUE"""),"STL")</f>
        <v>STL</v>
      </c>
      <c r="AD89" s="3" t="str">
        <f ca="1">IFERROR(__xludf.DUMMYFUNCTION("""COMPUTED_VALUE"""),"BLK")</f>
        <v>BLK</v>
      </c>
      <c r="AE89" s="3" t="str">
        <f ca="1">IFERROR(__xludf.DUMMYFUNCTION("""COMPUTED_VALUE"""),"TOV")</f>
        <v>TOV</v>
      </c>
      <c r="AF89" s="3" t="str">
        <f ca="1">IFERROR(__xludf.DUMMYFUNCTION("""COMPUTED_VALUE"""),"PF")</f>
        <v>PF</v>
      </c>
    </row>
    <row r="90" spans="1:32" x14ac:dyDescent="0.25">
      <c r="A90" s="3" t="str">
        <f ca="1">IFERROR(__xludf.DUMMYFUNCTION("""COMPUTED_VALUE"""),"DukeNCAA")</f>
        <v>DukeNCAA</v>
      </c>
      <c r="B90" s="3">
        <f ca="1">IFERROR(__xludf.DUMMYFUNCTION("""COMPUTED_VALUE"""),38)</f>
        <v>38</v>
      </c>
      <c r="C90" s="3">
        <f ca="1">IFERROR(__xludf.DUMMYFUNCTION("""COMPUTED_VALUE"""),32)</f>
        <v>32</v>
      </c>
      <c r="D90" s="3">
        <f ca="1">IFERROR(__xludf.DUMMYFUNCTION("""COMPUTED_VALUE"""),6)</f>
        <v>6</v>
      </c>
      <c r="E90" s="3">
        <f ca="1">IFERROR(__xludf.DUMMYFUNCTION("""COMPUTED_VALUE"""),0.842)</f>
        <v>0.84199999999999997</v>
      </c>
      <c r="F90" s="3">
        <f ca="1">IFERROR(__xludf.DUMMYFUNCTION("""COMPUTED_VALUE"""),26.9)</f>
        <v>26.9</v>
      </c>
      <c r="G90" s="3">
        <f ca="1">IFERROR(__xludf.DUMMYFUNCTION("""COMPUTED_VALUE"""),11.98)</f>
        <v>11.98</v>
      </c>
      <c r="H90" s="3">
        <f ca="1">IFERROR(__xludf.DUMMYFUNCTION("""COMPUTED_VALUE"""),14)</f>
        <v>14</v>
      </c>
      <c r="I90" s="3">
        <f ca="1">IFERROR(__xludf.DUMMYFUNCTION("""COMPUTED_VALUE"""),4)</f>
        <v>4</v>
      </c>
      <c r="J90" s="3">
        <f ca="1">IFERROR(__xludf.DUMMYFUNCTION("""COMPUTED_VALUE"""),15)</f>
        <v>15</v>
      </c>
      <c r="K90" s="3">
        <f ca="1">IFERROR(__xludf.DUMMYFUNCTION("""COMPUTED_VALUE"""),2)</f>
        <v>2</v>
      </c>
      <c r="L90" s="3">
        <f ca="1">IFERROR(__xludf.DUMMYFUNCTION("""COMPUTED_VALUE"""),7)</f>
        <v>7</v>
      </c>
      <c r="M90" s="3">
        <f ca="1">IFERROR(__xludf.DUMMYFUNCTION("""COMPUTED_VALUE"""),2)</f>
        <v>2</v>
      </c>
      <c r="N90" s="3">
        <f ca="1">IFERROR(__xludf.DUMMYFUNCTION("""COMPUTED_VALUE"""),3143)</f>
        <v>3143</v>
      </c>
      <c r="O90" s="3">
        <f ca="1">IFERROR(__xludf.DUMMYFUNCTION("""COMPUTED_VALUE"""),2576)</f>
        <v>2576</v>
      </c>
      <c r="P90" s="3">
        <f ca="1">IFERROR(__xludf.DUMMYFUNCTION("""COMPUTED_VALUE"""),1525)</f>
        <v>1525</v>
      </c>
      <c r="Q90" s="3">
        <f ca="1">IFERROR(__xludf.DUMMYFUNCTION("""COMPUTED_VALUE"""),1157)</f>
        <v>1157</v>
      </c>
      <c r="R90" s="3">
        <f ca="1">IFERROR(__xludf.DUMMYFUNCTION("""COMPUTED_VALUE"""),2418)</f>
        <v>2418</v>
      </c>
      <c r="S90" s="3">
        <f ca="1">IFERROR(__xludf.DUMMYFUNCTION("""COMPUTED_VALUE"""),0.478)</f>
        <v>0.47799999999999998</v>
      </c>
      <c r="T90" s="3">
        <f ca="1">IFERROR(__xludf.DUMMYFUNCTION("""COMPUTED_VALUE"""),278)</f>
        <v>278</v>
      </c>
      <c r="U90" s="3">
        <f ca="1">IFERROR(__xludf.DUMMYFUNCTION("""COMPUTED_VALUE"""),903)</f>
        <v>903</v>
      </c>
      <c r="V90" s="3">
        <f ca="1">IFERROR(__xludf.DUMMYFUNCTION("""COMPUTED_VALUE"""),0.308)</f>
        <v>0.308</v>
      </c>
      <c r="W90" s="3">
        <f ca="1">IFERROR(__xludf.DUMMYFUNCTION("""COMPUTED_VALUE"""),551)</f>
        <v>551</v>
      </c>
      <c r="X90" s="3">
        <f ca="1">IFERROR(__xludf.DUMMYFUNCTION("""COMPUTED_VALUE"""),803)</f>
        <v>803</v>
      </c>
      <c r="Y90" s="3">
        <f ca="1">IFERROR(__xludf.DUMMYFUNCTION("""COMPUTED_VALUE"""),0.686)</f>
        <v>0.68600000000000005</v>
      </c>
      <c r="Z90" s="3">
        <f ca="1">IFERROR(__xludf.DUMMYFUNCTION("""COMPUTED_VALUE"""),495)</f>
        <v>495</v>
      </c>
      <c r="AA90" s="3">
        <f ca="1">IFERROR(__xludf.DUMMYFUNCTION("""COMPUTED_VALUE"""),1567)</f>
        <v>1567</v>
      </c>
      <c r="AB90" s="3">
        <f ca="1">IFERROR(__xludf.DUMMYFUNCTION("""COMPUTED_VALUE"""),606)</f>
        <v>606</v>
      </c>
      <c r="AC90" s="3">
        <f ca="1">IFERROR(__xludf.DUMMYFUNCTION("""COMPUTED_VALUE"""),346)</f>
        <v>346</v>
      </c>
      <c r="AD90" s="3">
        <f ca="1">IFERROR(__xludf.DUMMYFUNCTION("""COMPUTED_VALUE"""),257)</f>
        <v>257</v>
      </c>
      <c r="AE90" s="3">
        <f ca="1">IFERROR(__xludf.DUMMYFUNCTION("""COMPUTED_VALUE"""),488)</f>
        <v>488</v>
      </c>
      <c r="AF90" s="3">
        <f ca="1">IFERROR(__xludf.DUMMYFUNCTION("""COMPUTED_VALUE"""),595)</f>
        <v>595</v>
      </c>
    </row>
    <row r="91" spans="1:32" x14ac:dyDescent="0.25">
      <c r="A91" s="3" t="str">
        <f ca="1">IFERROR(__xludf.DUMMYFUNCTION("""COMPUTED_VALUE"""),"Duquesne")</f>
        <v>Duquesne</v>
      </c>
      <c r="B91" s="3">
        <f ca="1">IFERROR(__xludf.DUMMYFUNCTION("""COMPUTED_VALUE"""),32)</f>
        <v>32</v>
      </c>
      <c r="C91" s="3">
        <f ca="1">IFERROR(__xludf.DUMMYFUNCTION("""COMPUTED_VALUE"""),19)</f>
        <v>19</v>
      </c>
      <c r="D91" s="3">
        <f ca="1">IFERROR(__xludf.DUMMYFUNCTION("""COMPUTED_VALUE"""),13)</f>
        <v>13</v>
      </c>
      <c r="E91" s="3">
        <f ca="1">IFERROR(__xludf.DUMMYFUNCTION("""COMPUTED_VALUE"""),0.594)</f>
        <v>0.59399999999999997</v>
      </c>
      <c r="F91" s="3">
        <f ca="1">IFERROR(__xludf.DUMMYFUNCTION("""COMPUTED_VALUE"""),0.53)</f>
        <v>0.53</v>
      </c>
      <c r="G91" s="3">
        <f ca="1">IFERROR(__xludf.DUMMYFUNCTION("""COMPUTED_VALUE"""),-0.63)</f>
        <v>-0.63</v>
      </c>
      <c r="H91" s="3">
        <f ca="1">IFERROR(__xludf.DUMMYFUNCTION("""COMPUTED_VALUE"""),10)</f>
        <v>10</v>
      </c>
      <c r="I91" s="3">
        <f ca="1">IFERROR(__xludf.DUMMYFUNCTION("""COMPUTED_VALUE"""),8)</f>
        <v>8</v>
      </c>
      <c r="J91" s="3">
        <f ca="1">IFERROR(__xludf.DUMMYFUNCTION("""COMPUTED_VALUE"""),14)</f>
        <v>14</v>
      </c>
      <c r="K91" s="3">
        <f ca="1">IFERROR(__xludf.DUMMYFUNCTION("""COMPUTED_VALUE"""),4)</f>
        <v>4</v>
      </c>
      <c r="L91" s="3">
        <f ca="1">IFERROR(__xludf.DUMMYFUNCTION("""COMPUTED_VALUE"""),4)</f>
        <v>4</v>
      </c>
      <c r="M91" s="3">
        <f ca="1">IFERROR(__xludf.DUMMYFUNCTION("""COMPUTED_VALUE"""),6)</f>
        <v>6</v>
      </c>
      <c r="N91" s="3">
        <f ca="1">IFERROR(__xludf.DUMMYFUNCTION("""COMPUTED_VALUE"""),2351)</f>
        <v>2351</v>
      </c>
      <c r="O91" s="3">
        <f ca="1">IFERROR(__xludf.DUMMYFUNCTION("""COMPUTED_VALUE"""),2314)</f>
        <v>2314</v>
      </c>
      <c r="P91" s="3">
        <f ca="1">IFERROR(__xludf.DUMMYFUNCTION("""COMPUTED_VALUE"""),1295)</f>
        <v>1295</v>
      </c>
      <c r="Q91" s="3">
        <f ca="1">IFERROR(__xludf.DUMMYFUNCTION("""COMPUTED_VALUE"""),810)</f>
        <v>810</v>
      </c>
      <c r="R91" s="3">
        <f ca="1">IFERROR(__xludf.DUMMYFUNCTION("""COMPUTED_VALUE"""),1894)</f>
        <v>1894</v>
      </c>
      <c r="S91" s="3">
        <f ca="1">IFERROR(__xludf.DUMMYFUNCTION("""COMPUTED_VALUE"""),0.428)</f>
        <v>0.42799999999999999</v>
      </c>
      <c r="T91" s="3">
        <f ca="1">IFERROR(__xludf.DUMMYFUNCTION("""COMPUTED_VALUE"""),271)</f>
        <v>271</v>
      </c>
      <c r="U91" s="3">
        <f ca="1">IFERROR(__xludf.DUMMYFUNCTION("""COMPUTED_VALUE"""),841)</f>
        <v>841</v>
      </c>
      <c r="V91" s="3">
        <f ca="1">IFERROR(__xludf.DUMMYFUNCTION("""COMPUTED_VALUE"""),0.322)</f>
        <v>0.32200000000000001</v>
      </c>
      <c r="W91" s="3">
        <f ca="1">IFERROR(__xludf.DUMMYFUNCTION("""COMPUTED_VALUE"""),460)</f>
        <v>460</v>
      </c>
      <c r="X91" s="3">
        <f ca="1">IFERROR(__xludf.DUMMYFUNCTION("""COMPUTED_VALUE"""),663)</f>
        <v>663</v>
      </c>
      <c r="Y91" s="3">
        <f ca="1">IFERROR(__xludf.DUMMYFUNCTION("""COMPUTED_VALUE"""),0.694)</f>
        <v>0.69399999999999995</v>
      </c>
      <c r="Z91" s="3">
        <f ca="1">IFERROR(__xludf.DUMMYFUNCTION("""COMPUTED_VALUE"""),379)</f>
        <v>379</v>
      </c>
      <c r="AA91" s="3">
        <f ca="1">IFERROR(__xludf.DUMMYFUNCTION("""COMPUTED_VALUE"""),1133)</f>
        <v>1133</v>
      </c>
      <c r="AB91" s="3">
        <f ca="1">IFERROR(__xludf.DUMMYFUNCTION("""COMPUTED_VALUE"""),442)</f>
        <v>442</v>
      </c>
      <c r="AC91" s="3">
        <f ca="1">IFERROR(__xludf.DUMMYFUNCTION("""COMPUTED_VALUE"""),250)</f>
        <v>250</v>
      </c>
      <c r="AD91" s="3">
        <f ca="1">IFERROR(__xludf.DUMMYFUNCTION("""COMPUTED_VALUE"""),151)</f>
        <v>151</v>
      </c>
      <c r="AE91" s="3">
        <f ca="1">IFERROR(__xludf.DUMMYFUNCTION("""COMPUTED_VALUE"""),451)</f>
        <v>451</v>
      </c>
      <c r="AF91" s="3">
        <f ca="1">IFERROR(__xludf.DUMMYFUNCTION("""COMPUTED_VALUE"""),580)</f>
        <v>580</v>
      </c>
    </row>
    <row r="92" spans="1:32" x14ac:dyDescent="0.25">
      <c r="A92" s="3" t="str">
        <f ca="1">IFERROR(__xludf.DUMMYFUNCTION("""COMPUTED_VALUE"""),"East Carolina")</f>
        <v>East Carolina</v>
      </c>
      <c r="B92" s="3">
        <f ca="1">IFERROR(__xludf.DUMMYFUNCTION("""COMPUTED_VALUE"""),31)</f>
        <v>31</v>
      </c>
      <c r="C92" s="3">
        <f ca="1">IFERROR(__xludf.DUMMYFUNCTION("""COMPUTED_VALUE"""),10)</f>
        <v>10</v>
      </c>
      <c r="D92" s="3">
        <f ca="1">IFERROR(__xludf.DUMMYFUNCTION("""COMPUTED_VALUE"""),21)</f>
        <v>21</v>
      </c>
      <c r="E92" s="3">
        <f ca="1">IFERROR(__xludf.DUMMYFUNCTION("""COMPUTED_VALUE"""),0.323)</f>
        <v>0.32300000000000001</v>
      </c>
      <c r="F92" s="3">
        <f ca="1">IFERROR(__xludf.DUMMYFUNCTION("""COMPUTED_VALUE"""),-5.49)</f>
        <v>-5.49</v>
      </c>
      <c r="G92" s="3">
        <f ca="1">IFERROR(__xludf.DUMMYFUNCTION("""COMPUTED_VALUE"""),1.31)</f>
        <v>1.31</v>
      </c>
      <c r="H92" s="3">
        <f ca="1">IFERROR(__xludf.DUMMYFUNCTION("""COMPUTED_VALUE"""),3)</f>
        <v>3</v>
      </c>
      <c r="I92" s="3">
        <f ca="1">IFERROR(__xludf.DUMMYFUNCTION("""COMPUTED_VALUE"""),15)</f>
        <v>15</v>
      </c>
      <c r="J92" s="3">
        <f ca="1">IFERROR(__xludf.DUMMYFUNCTION("""COMPUTED_VALUE"""),8)</f>
        <v>8</v>
      </c>
      <c r="K92" s="3">
        <f ca="1">IFERROR(__xludf.DUMMYFUNCTION("""COMPUTED_VALUE"""),9)</f>
        <v>9</v>
      </c>
      <c r="L92" s="3">
        <f ca="1">IFERROR(__xludf.DUMMYFUNCTION("""COMPUTED_VALUE"""),1)</f>
        <v>1</v>
      </c>
      <c r="M92" s="3">
        <f ca="1">IFERROR(__xludf.DUMMYFUNCTION("""COMPUTED_VALUE"""),11)</f>
        <v>11</v>
      </c>
      <c r="N92" s="3">
        <f ca="1">IFERROR(__xludf.DUMMYFUNCTION("""COMPUTED_VALUE"""),2088)</f>
        <v>2088</v>
      </c>
      <c r="O92" s="3">
        <f ca="1">IFERROR(__xludf.DUMMYFUNCTION("""COMPUTED_VALUE"""),2299)</f>
        <v>2299</v>
      </c>
      <c r="P92" s="3">
        <f ca="1">IFERROR(__xludf.DUMMYFUNCTION("""COMPUTED_VALUE"""),1255)</f>
        <v>1255</v>
      </c>
      <c r="Q92" s="3">
        <f ca="1">IFERROR(__xludf.DUMMYFUNCTION("""COMPUTED_VALUE"""),749)</f>
        <v>749</v>
      </c>
      <c r="R92" s="3">
        <f ca="1">IFERROR(__xludf.DUMMYFUNCTION("""COMPUTED_VALUE"""),1791)</f>
        <v>1791</v>
      </c>
      <c r="S92" s="3">
        <f ca="1">IFERROR(__xludf.DUMMYFUNCTION("""COMPUTED_VALUE"""),0.418)</f>
        <v>0.41799999999999998</v>
      </c>
      <c r="T92" s="3">
        <f ca="1">IFERROR(__xludf.DUMMYFUNCTION("""COMPUTED_VALUE"""),155)</f>
        <v>155</v>
      </c>
      <c r="U92" s="3">
        <f ca="1">IFERROR(__xludf.DUMMYFUNCTION("""COMPUTED_VALUE"""),545)</f>
        <v>545</v>
      </c>
      <c r="V92" s="3">
        <f ca="1">IFERROR(__xludf.DUMMYFUNCTION("""COMPUTED_VALUE"""),0.284)</f>
        <v>0.28399999999999997</v>
      </c>
      <c r="W92" s="3">
        <f ca="1">IFERROR(__xludf.DUMMYFUNCTION("""COMPUTED_VALUE"""),435)</f>
        <v>435</v>
      </c>
      <c r="X92" s="3">
        <f ca="1">IFERROR(__xludf.DUMMYFUNCTION("""COMPUTED_VALUE"""),638)</f>
        <v>638</v>
      </c>
      <c r="Y92" s="3">
        <f ca="1">IFERROR(__xludf.DUMMYFUNCTION("""COMPUTED_VALUE"""),0.682)</f>
        <v>0.68200000000000005</v>
      </c>
      <c r="Z92" s="3">
        <f ca="1">IFERROR(__xludf.DUMMYFUNCTION("""COMPUTED_VALUE"""),317)</f>
        <v>317</v>
      </c>
      <c r="AA92" s="3">
        <f ca="1">IFERROR(__xludf.DUMMYFUNCTION("""COMPUTED_VALUE"""),1061)</f>
        <v>1061</v>
      </c>
      <c r="AB92" s="3">
        <f ca="1">IFERROR(__xludf.DUMMYFUNCTION("""COMPUTED_VALUE"""),382)</f>
        <v>382</v>
      </c>
      <c r="AC92" s="3">
        <f ca="1">IFERROR(__xludf.DUMMYFUNCTION("""COMPUTED_VALUE"""),224)</f>
        <v>224</v>
      </c>
      <c r="AD92" s="3">
        <f ca="1">IFERROR(__xludf.DUMMYFUNCTION("""COMPUTED_VALUE"""),110)</f>
        <v>110</v>
      </c>
      <c r="AE92" s="3">
        <f ca="1">IFERROR(__xludf.DUMMYFUNCTION("""COMPUTED_VALUE"""),416)</f>
        <v>416</v>
      </c>
      <c r="AF92" s="3">
        <f ca="1">IFERROR(__xludf.DUMMYFUNCTION("""COMPUTED_VALUE"""),622)</f>
        <v>622</v>
      </c>
    </row>
    <row r="93" spans="1:32" x14ac:dyDescent="0.25">
      <c r="A93" s="3" t="str">
        <f ca="1">IFERROR(__xludf.DUMMYFUNCTION("""COMPUTED_VALUE"""),"East Tennessee State")</f>
        <v>East Tennessee State</v>
      </c>
      <c r="B93" s="3">
        <f ca="1">IFERROR(__xludf.DUMMYFUNCTION("""COMPUTED_VALUE"""),34)</f>
        <v>34</v>
      </c>
      <c r="C93" s="3">
        <f ca="1">IFERROR(__xludf.DUMMYFUNCTION("""COMPUTED_VALUE"""),24)</f>
        <v>24</v>
      </c>
      <c r="D93" s="3">
        <f ca="1">IFERROR(__xludf.DUMMYFUNCTION("""COMPUTED_VALUE"""),10)</f>
        <v>10</v>
      </c>
      <c r="E93" s="3">
        <f ca="1">IFERROR(__xludf.DUMMYFUNCTION("""COMPUTED_VALUE"""),0.706)</f>
        <v>0.70599999999999996</v>
      </c>
      <c r="F93" s="3">
        <f ca="1">IFERROR(__xludf.DUMMYFUNCTION("""COMPUTED_VALUE"""),5.21)</f>
        <v>5.21</v>
      </c>
      <c r="G93" s="3">
        <f ca="1">IFERROR(__xludf.DUMMYFUNCTION("""COMPUTED_VALUE"""),-1.79)</f>
        <v>-1.79</v>
      </c>
      <c r="H93" s="3">
        <f ca="1">IFERROR(__xludf.DUMMYFUNCTION("""COMPUTED_VALUE"""),13)</f>
        <v>13</v>
      </c>
      <c r="I93" s="3">
        <f ca="1">IFERROR(__xludf.DUMMYFUNCTION("""COMPUTED_VALUE"""),5)</f>
        <v>5</v>
      </c>
      <c r="J93" s="3">
        <f ca="1">IFERROR(__xludf.DUMMYFUNCTION("""COMPUTED_VALUE"""),13)</f>
        <v>13</v>
      </c>
      <c r="K93" s="3">
        <f ca="1">IFERROR(__xludf.DUMMYFUNCTION("""COMPUTED_VALUE"""),3)</f>
        <v>3</v>
      </c>
      <c r="L93" s="3">
        <f ca="1">IFERROR(__xludf.DUMMYFUNCTION("""COMPUTED_VALUE"""),8)</f>
        <v>8</v>
      </c>
      <c r="M93" s="3">
        <f ca="1">IFERROR(__xludf.DUMMYFUNCTION("""COMPUTED_VALUE"""),6)</f>
        <v>6</v>
      </c>
      <c r="N93" s="3">
        <f ca="1">IFERROR(__xludf.DUMMYFUNCTION("""COMPUTED_VALUE"""),2707)</f>
        <v>2707</v>
      </c>
      <c r="O93" s="3">
        <f ca="1">IFERROR(__xludf.DUMMYFUNCTION("""COMPUTED_VALUE"""),2371)</f>
        <v>2371</v>
      </c>
      <c r="P93" s="3">
        <f ca="1">IFERROR(__xludf.DUMMYFUNCTION("""COMPUTED_VALUE"""),1375)</f>
        <v>1375</v>
      </c>
      <c r="Q93" s="3">
        <f ca="1">IFERROR(__xludf.DUMMYFUNCTION("""COMPUTED_VALUE"""),1004)</f>
        <v>1004</v>
      </c>
      <c r="R93" s="3">
        <f ca="1">IFERROR(__xludf.DUMMYFUNCTION("""COMPUTED_VALUE"""),2067)</f>
        <v>2067</v>
      </c>
      <c r="S93" s="3">
        <f ca="1">IFERROR(__xludf.DUMMYFUNCTION("""COMPUTED_VALUE"""),0.486)</f>
        <v>0.48599999999999999</v>
      </c>
      <c r="T93" s="3">
        <f ca="1">IFERROR(__xludf.DUMMYFUNCTION("""COMPUTED_VALUE"""),274)</f>
        <v>274</v>
      </c>
      <c r="U93" s="3">
        <f ca="1">IFERROR(__xludf.DUMMYFUNCTION("""COMPUTED_VALUE"""),758)</f>
        <v>758</v>
      </c>
      <c r="V93" s="3">
        <f ca="1">IFERROR(__xludf.DUMMYFUNCTION("""COMPUTED_VALUE"""),0.361)</f>
        <v>0.36099999999999999</v>
      </c>
      <c r="W93" s="3">
        <f ca="1">IFERROR(__xludf.DUMMYFUNCTION("""COMPUTED_VALUE"""),425)</f>
        <v>425</v>
      </c>
      <c r="X93" s="3">
        <f ca="1">IFERROR(__xludf.DUMMYFUNCTION("""COMPUTED_VALUE"""),634)</f>
        <v>634</v>
      </c>
      <c r="Y93" s="3">
        <f ca="1">IFERROR(__xludf.DUMMYFUNCTION("""COMPUTED_VALUE"""),0.67)</f>
        <v>0.67</v>
      </c>
      <c r="Z93" s="3">
        <f ca="1">IFERROR(__xludf.DUMMYFUNCTION("""COMPUTED_VALUE"""),442)</f>
        <v>442</v>
      </c>
      <c r="AA93" s="3">
        <f ca="1">IFERROR(__xludf.DUMMYFUNCTION("""COMPUTED_VALUE"""),1351)</f>
        <v>1351</v>
      </c>
      <c r="AB93" s="3">
        <f ca="1">IFERROR(__xludf.DUMMYFUNCTION("""COMPUTED_VALUE"""),534)</f>
        <v>534</v>
      </c>
      <c r="AC93" s="3">
        <f ca="1">IFERROR(__xludf.DUMMYFUNCTION("""COMPUTED_VALUE"""),252)</f>
        <v>252</v>
      </c>
      <c r="AD93" s="3">
        <f ca="1">IFERROR(__xludf.DUMMYFUNCTION("""COMPUTED_VALUE"""),135)</f>
        <v>135</v>
      </c>
      <c r="AE93" s="3">
        <f ca="1">IFERROR(__xludf.DUMMYFUNCTION("""COMPUTED_VALUE"""),483)</f>
        <v>483</v>
      </c>
      <c r="AF93" s="3">
        <f ca="1">IFERROR(__xludf.DUMMYFUNCTION("""COMPUTED_VALUE"""),603)</f>
        <v>603</v>
      </c>
    </row>
    <row r="94" spans="1:32" x14ac:dyDescent="0.25">
      <c r="A94" s="3" t="str">
        <f ca="1">IFERROR(__xludf.DUMMYFUNCTION("""COMPUTED_VALUE"""),"Eastern Illinois")</f>
        <v>Eastern Illinois</v>
      </c>
      <c r="B94" s="3">
        <f ca="1">IFERROR(__xludf.DUMMYFUNCTION("""COMPUTED_VALUE"""),32)</f>
        <v>32</v>
      </c>
      <c r="C94" s="3">
        <f ca="1">IFERROR(__xludf.DUMMYFUNCTION("""COMPUTED_VALUE"""),14)</f>
        <v>14</v>
      </c>
      <c r="D94" s="3">
        <f ca="1">IFERROR(__xludf.DUMMYFUNCTION("""COMPUTED_VALUE"""),18)</f>
        <v>18</v>
      </c>
      <c r="E94" s="3">
        <f ca="1">IFERROR(__xludf.DUMMYFUNCTION("""COMPUTED_VALUE"""),0.438)</f>
        <v>0.438</v>
      </c>
      <c r="F94" s="3">
        <f ca="1">IFERROR(__xludf.DUMMYFUNCTION("""COMPUTED_VALUE"""),-11.81)</f>
        <v>-11.81</v>
      </c>
      <c r="G94" s="3">
        <f ca="1">IFERROR(__xludf.DUMMYFUNCTION("""COMPUTED_VALUE"""),-5.01)</f>
        <v>-5.01</v>
      </c>
      <c r="H94" s="3">
        <f ca="1">IFERROR(__xludf.DUMMYFUNCTION("""COMPUTED_VALUE"""),7)</f>
        <v>7</v>
      </c>
      <c r="I94" s="3">
        <f ca="1">IFERROR(__xludf.DUMMYFUNCTION("""COMPUTED_VALUE"""),11)</f>
        <v>11</v>
      </c>
      <c r="J94" s="3">
        <f ca="1">IFERROR(__xludf.DUMMYFUNCTION("""COMPUTED_VALUE"""),7)</f>
        <v>7</v>
      </c>
      <c r="K94" s="3">
        <f ca="1">IFERROR(__xludf.DUMMYFUNCTION("""COMPUTED_VALUE"""),6)</f>
        <v>6</v>
      </c>
      <c r="L94" s="3">
        <f ca="1">IFERROR(__xludf.DUMMYFUNCTION("""COMPUTED_VALUE"""),5)</f>
        <v>5</v>
      </c>
      <c r="M94" s="3">
        <f ca="1">IFERROR(__xludf.DUMMYFUNCTION("""COMPUTED_VALUE"""),10)</f>
        <v>10</v>
      </c>
      <c r="N94" s="3">
        <f ca="1">IFERROR(__xludf.DUMMYFUNCTION("""COMPUTED_VALUE"""),2299)</f>
        <v>2299</v>
      </c>
      <c r="O94" s="3">
        <f ca="1">IFERROR(__xludf.DUMMYFUNCTION("""COMPUTED_VALUE"""),2457)</f>
        <v>2457</v>
      </c>
      <c r="P94" s="3">
        <f ca="1">IFERROR(__xludf.DUMMYFUNCTION("""COMPUTED_VALUE"""),1310)</f>
        <v>1310</v>
      </c>
      <c r="Q94" s="3">
        <f ca="1">IFERROR(__xludf.DUMMYFUNCTION("""COMPUTED_VALUE"""),826)</f>
        <v>826</v>
      </c>
      <c r="R94" s="3">
        <f ca="1">IFERROR(__xludf.DUMMYFUNCTION("""COMPUTED_VALUE"""),1912)</f>
        <v>1912</v>
      </c>
      <c r="S94" s="3">
        <f ca="1">IFERROR(__xludf.DUMMYFUNCTION("""COMPUTED_VALUE"""),0.432)</f>
        <v>0.432</v>
      </c>
      <c r="T94" s="3">
        <f ca="1">IFERROR(__xludf.DUMMYFUNCTION("""COMPUTED_VALUE"""),272)</f>
        <v>272</v>
      </c>
      <c r="U94" s="3">
        <f ca="1">IFERROR(__xludf.DUMMYFUNCTION("""COMPUTED_VALUE"""),735)</f>
        <v>735</v>
      </c>
      <c r="V94" s="3">
        <f ca="1">IFERROR(__xludf.DUMMYFUNCTION("""COMPUTED_VALUE"""),0.37)</f>
        <v>0.37</v>
      </c>
      <c r="W94" s="3">
        <f ca="1">IFERROR(__xludf.DUMMYFUNCTION("""COMPUTED_VALUE"""),375)</f>
        <v>375</v>
      </c>
      <c r="X94" s="3">
        <f ca="1">IFERROR(__xludf.DUMMYFUNCTION("""COMPUTED_VALUE"""),545)</f>
        <v>545</v>
      </c>
      <c r="Y94" s="3">
        <f ca="1">IFERROR(__xludf.DUMMYFUNCTION("""COMPUTED_VALUE"""),0.688)</f>
        <v>0.68799999999999994</v>
      </c>
      <c r="Z94" s="3">
        <f ca="1">IFERROR(__xludf.DUMMYFUNCTION("""COMPUTED_VALUE"""),347)</f>
        <v>347</v>
      </c>
      <c r="AA94" s="3">
        <f ca="1">IFERROR(__xludf.DUMMYFUNCTION("""COMPUTED_VALUE"""),1147)</f>
        <v>1147</v>
      </c>
      <c r="AB94" s="3">
        <f ca="1">IFERROR(__xludf.DUMMYFUNCTION("""COMPUTED_VALUE"""),434)</f>
        <v>434</v>
      </c>
      <c r="AC94" s="3">
        <f ca="1">IFERROR(__xludf.DUMMYFUNCTION("""COMPUTED_VALUE"""),200)</f>
        <v>200</v>
      </c>
      <c r="AD94" s="3">
        <f ca="1">IFERROR(__xludf.DUMMYFUNCTION("""COMPUTED_VALUE"""),120)</f>
        <v>120</v>
      </c>
      <c r="AE94" s="3">
        <f ca="1">IFERROR(__xludf.DUMMYFUNCTION("""COMPUTED_VALUE"""),427)</f>
        <v>427</v>
      </c>
      <c r="AF94" s="3">
        <f ca="1">IFERROR(__xludf.DUMMYFUNCTION("""COMPUTED_VALUE"""),569)</f>
        <v>569</v>
      </c>
    </row>
    <row r="95" spans="1:32" x14ac:dyDescent="0.25">
      <c r="A95" s="3" t="str">
        <f ca="1">IFERROR(__xludf.DUMMYFUNCTION("""COMPUTED_VALUE"""),"Eastern Kentucky")</f>
        <v>Eastern Kentucky</v>
      </c>
      <c r="B95" s="3">
        <f ca="1">IFERROR(__xludf.DUMMYFUNCTION("""COMPUTED_VALUE"""),31)</f>
        <v>31</v>
      </c>
      <c r="C95" s="3">
        <f ca="1">IFERROR(__xludf.DUMMYFUNCTION("""COMPUTED_VALUE"""),13)</f>
        <v>13</v>
      </c>
      <c r="D95" s="3">
        <f ca="1">IFERROR(__xludf.DUMMYFUNCTION("""COMPUTED_VALUE"""),18)</f>
        <v>18</v>
      </c>
      <c r="E95" s="3">
        <f ca="1">IFERROR(__xludf.DUMMYFUNCTION("""COMPUTED_VALUE"""),0.419)</f>
        <v>0.41899999999999998</v>
      </c>
      <c r="F95" s="3">
        <f ca="1">IFERROR(__xludf.DUMMYFUNCTION("""COMPUTED_VALUE"""),-7.4)</f>
        <v>-7.4</v>
      </c>
      <c r="G95" s="3">
        <f ca="1">IFERROR(__xludf.DUMMYFUNCTION("""COMPUTED_VALUE"""),-2.47)</f>
        <v>-2.4700000000000002</v>
      </c>
      <c r="H95" s="3">
        <f ca="1">IFERROR(__xludf.DUMMYFUNCTION("""COMPUTED_VALUE"""),6)</f>
        <v>6</v>
      </c>
      <c r="I95" s="3">
        <f ca="1">IFERROR(__xludf.DUMMYFUNCTION("""COMPUTED_VALUE"""),12)</f>
        <v>12</v>
      </c>
      <c r="J95" s="3">
        <f ca="1">IFERROR(__xludf.DUMMYFUNCTION("""COMPUTED_VALUE"""),9)</f>
        <v>9</v>
      </c>
      <c r="K95" s="3">
        <f ca="1">IFERROR(__xludf.DUMMYFUNCTION("""COMPUTED_VALUE"""),5)</f>
        <v>5</v>
      </c>
      <c r="L95" s="3">
        <f ca="1">IFERROR(__xludf.DUMMYFUNCTION("""COMPUTED_VALUE"""),3)</f>
        <v>3</v>
      </c>
      <c r="M95" s="3">
        <f ca="1">IFERROR(__xludf.DUMMYFUNCTION("""COMPUTED_VALUE"""),11)</f>
        <v>11</v>
      </c>
      <c r="N95" s="3">
        <f ca="1">IFERROR(__xludf.DUMMYFUNCTION("""COMPUTED_VALUE"""),2562)</f>
        <v>2562</v>
      </c>
      <c r="O95" s="3">
        <f ca="1">IFERROR(__xludf.DUMMYFUNCTION("""COMPUTED_VALUE"""),2577)</f>
        <v>2577</v>
      </c>
      <c r="P95" s="3">
        <f ca="1">IFERROR(__xludf.DUMMYFUNCTION("""COMPUTED_VALUE"""),1265)</f>
        <v>1265</v>
      </c>
      <c r="Q95" s="3">
        <f ca="1">IFERROR(__xludf.DUMMYFUNCTION("""COMPUTED_VALUE"""),902)</f>
        <v>902</v>
      </c>
      <c r="R95" s="3">
        <f ca="1">IFERROR(__xludf.DUMMYFUNCTION("""COMPUTED_VALUE"""),2125)</f>
        <v>2125</v>
      </c>
      <c r="S95" s="3">
        <f ca="1">IFERROR(__xludf.DUMMYFUNCTION("""COMPUTED_VALUE"""),0.424)</f>
        <v>0.42399999999999999</v>
      </c>
      <c r="T95" s="3">
        <f ca="1">IFERROR(__xludf.DUMMYFUNCTION("""COMPUTED_VALUE"""),272)</f>
        <v>272</v>
      </c>
      <c r="U95" s="3">
        <f ca="1">IFERROR(__xludf.DUMMYFUNCTION("""COMPUTED_VALUE"""),832)</f>
        <v>832</v>
      </c>
      <c r="V95" s="3">
        <f ca="1">IFERROR(__xludf.DUMMYFUNCTION("""COMPUTED_VALUE"""),0.327)</f>
        <v>0.32700000000000001</v>
      </c>
      <c r="W95" s="3">
        <f ca="1">IFERROR(__xludf.DUMMYFUNCTION("""COMPUTED_VALUE"""),486)</f>
        <v>486</v>
      </c>
      <c r="X95" s="3">
        <f ca="1">IFERROR(__xludf.DUMMYFUNCTION("""COMPUTED_VALUE"""),683)</f>
        <v>683</v>
      </c>
      <c r="Y95" s="3">
        <f ca="1">IFERROR(__xludf.DUMMYFUNCTION("""COMPUTED_VALUE"""),0.712)</f>
        <v>0.71199999999999997</v>
      </c>
      <c r="Z95" s="3">
        <f ca="1">IFERROR(__xludf.DUMMYFUNCTION("""COMPUTED_VALUE"""),362)</f>
        <v>362</v>
      </c>
      <c r="AA95" s="3">
        <f ca="1">IFERROR(__xludf.DUMMYFUNCTION("""COMPUTED_VALUE"""),1167)</f>
        <v>1167</v>
      </c>
      <c r="AB95" s="3">
        <f ca="1">IFERROR(__xludf.DUMMYFUNCTION("""COMPUTED_VALUE"""),458)</f>
        <v>458</v>
      </c>
      <c r="AC95" s="3">
        <f ca="1">IFERROR(__xludf.DUMMYFUNCTION("""COMPUTED_VALUE"""),317)</f>
        <v>317</v>
      </c>
      <c r="AD95" s="3">
        <f ca="1">IFERROR(__xludf.DUMMYFUNCTION("""COMPUTED_VALUE"""),101)</f>
        <v>101</v>
      </c>
      <c r="AE95" s="3">
        <f ca="1">IFERROR(__xludf.DUMMYFUNCTION("""COMPUTED_VALUE"""),447)</f>
        <v>447</v>
      </c>
      <c r="AF95" s="3">
        <f ca="1">IFERROR(__xludf.DUMMYFUNCTION("""COMPUTED_VALUE"""),661)</f>
        <v>661</v>
      </c>
    </row>
    <row r="96" spans="1:32" x14ac:dyDescent="0.25">
      <c r="A96" s="3" t="str">
        <f ca="1">IFERROR(__xludf.DUMMYFUNCTION("""COMPUTED_VALUE"""),"Eastern Michigan")</f>
        <v>Eastern Michigan</v>
      </c>
      <c r="B96" s="3">
        <f ca="1">IFERROR(__xludf.DUMMYFUNCTION("""COMPUTED_VALUE"""),32)</f>
        <v>32</v>
      </c>
      <c r="C96" s="3">
        <f ca="1">IFERROR(__xludf.DUMMYFUNCTION("""COMPUTED_VALUE"""),15)</f>
        <v>15</v>
      </c>
      <c r="D96" s="3">
        <f ca="1">IFERROR(__xludf.DUMMYFUNCTION("""COMPUTED_VALUE"""),17)</f>
        <v>17</v>
      </c>
      <c r="E96" s="3">
        <f ca="1">IFERROR(__xludf.DUMMYFUNCTION("""COMPUTED_VALUE"""),0.469)</f>
        <v>0.46899999999999997</v>
      </c>
      <c r="F96" s="3">
        <f ca="1">IFERROR(__xludf.DUMMYFUNCTION("""COMPUTED_VALUE"""),0.4)</f>
        <v>0.4</v>
      </c>
      <c r="G96" s="3">
        <f ca="1">IFERROR(__xludf.DUMMYFUNCTION("""COMPUTED_VALUE"""),4.43)</f>
        <v>4.43</v>
      </c>
      <c r="H96" s="3">
        <f ca="1">IFERROR(__xludf.DUMMYFUNCTION("""COMPUTED_VALUE"""),9)</f>
        <v>9</v>
      </c>
      <c r="I96" s="3">
        <f ca="1">IFERROR(__xludf.DUMMYFUNCTION("""COMPUTED_VALUE"""),9)</f>
        <v>9</v>
      </c>
      <c r="J96" s="3">
        <f ca="1">IFERROR(__xludf.DUMMYFUNCTION("""COMPUTED_VALUE"""),11)</f>
        <v>11</v>
      </c>
      <c r="K96" s="3">
        <f ca="1">IFERROR(__xludf.DUMMYFUNCTION("""COMPUTED_VALUE"""),7)</f>
        <v>7</v>
      </c>
      <c r="L96" s="3">
        <f ca="1">IFERROR(__xludf.DUMMYFUNCTION("""COMPUTED_VALUE"""),4)</f>
        <v>4</v>
      </c>
      <c r="M96" s="3">
        <f ca="1">IFERROR(__xludf.DUMMYFUNCTION("""COMPUTED_VALUE"""),10)</f>
        <v>10</v>
      </c>
      <c r="N96" s="3">
        <f ca="1">IFERROR(__xludf.DUMMYFUNCTION("""COMPUTED_VALUE"""),2203)</f>
        <v>2203</v>
      </c>
      <c r="O96" s="3">
        <f ca="1">IFERROR(__xludf.DUMMYFUNCTION("""COMPUTED_VALUE"""),2213)</f>
        <v>2213</v>
      </c>
      <c r="P96" s="3">
        <f ca="1">IFERROR(__xludf.DUMMYFUNCTION("""COMPUTED_VALUE"""),1295)</f>
        <v>1295</v>
      </c>
      <c r="Q96" s="3">
        <f ca="1">IFERROR(__xludf.DUMMYFUNCTION("""COMPUTED_VALUE"""),818)</f>
        <v>818</v>
      </c>
      <c r="R96" s="3">
        <f ca="1">IFERROR(__xludf.DUMMYFUNCTION("""COMPUTED_VALUE"""),1823)</f>
        <v>1823</v>
      </c>
      <c r="S96" s="3">
        <f ca="1">IFERROR(__xludf.DUMMYFUNCTION("""COMPUTED_VALUE"""),0.449)</f>
        <v>0.44900000000000001</v>
      </c>
      <c r="T96" s="3">
        <f ca="1">IFERROR(__xludf.DUMMYFUNCTION("""COMPUTED_VALUE"""),187)</f>
        <v>187</v>
      </c>
      <c r="U96" s="3">
        <f ca="1">IFERROR(__xludf.DUMMYFUNCTION("""COMPUTED_VALUE"""),634)</f>
        <v>634</v>
      </c>
      <c r="V96" s="3">
        <f ca="1">IFERROR(__xludf.DUMMYFUNCTION("""COMPUTED_VALUE"""),0.295)</f>
        <v>0.29499999999999998</v>
      </c>
      <c r="W96" s="3">
        <f ca="1">IFERROR(__xludf.DUMMYFUNCTION("""COMPUTED_VALUE"""),380)</f>
        <v>380</v>
      </c>
      <c r="X96" s="3">
        <f ca="1">IFERROR(__xludf.DUMMYFUNCTION("""COMPUTED_VALUE"""),604)</f>
        <v>604</v>
      </c>
      <c r="Y96" s="3">
        <f ca="1">IFERROR(__xludf.DUMMYFUNCTION("""COMPUTED_VALUE"""),0.629)</f>
        <v>0.629</v>
      </c>
      <c r="Z96" s="3">
        <f ca="1">IFERROR(__xludf.DUMMYFUNCTION("""COMPUTED_VALUE"""),400)</f>
        <v>400</v>
      </c>
      <c r="AA96" s="3">
        <f ca="1">IFERROR(__xludf.DUMMYFUNCTION("""COMPUTED_VALUE"""),1155)</f>
        <v>1155</v>
      </c>
      <c r="AB96" s="3">
        <f ca="1">IFERROR(__xludf.DUMMYFUNCTION("""COMPUTED_VALUE"""),369)</f>
        <v>369</v>
      </c>
      <c r="AC96" s="3">
        <f ca="1">IFERROR(__xludf.DUMMYFUNCTION("""COMPUTED_VALUE"""),237)</f>
        <v>237</v>
      </c>
      <c r="AD96" s="3">
        <f ca="1">IFERROR(__xludf.DUMMYFUNCTION("""COMPUTED_VALUE"""),143)</f>
        <v>143</v>
      </c>
      <c r="AE96" s="3">
        <f ca="1">IFERROR(__xludf.DUMMYFUNCTION("""COMPUTED_VALUE"""),442)</f>
        <v>442</v>
      </c>
      <c r="AF96" s="3">
        <f ca="1">IFERROR(__xludf.DUMMYFUNCTION("""COMPUTED_VALUE"""),529)</f>
        <v>529</v>
      </c>
    </row>
    <row r="97" spans="1:32" x14ac:dyDescent="0.25">
      <c r="A97" s="3" t="str">
        <f ca="1">IFERROR(__xludf.DUMMYFUNCTION("""COMPUTED_VALUE"""),"Eastern Washington")</f>
        <v>Eastern Washington</v>
      </c>
      <c r="B97" s="3">
        <f ca="1">IFERROR(__xludf.DUMMYFUNCTION("""COMPUTED_VALUE"""),34)</f>
        <v>34</v>
      </c>
      <c r="C97" s="3">
        <f ca="1">IFERROR(__xludf.DUMMYFUNCTION("""COMPUTED_VALUE"""),16)</f>
        <v>16</v>
      </c>
      <c r="D97" s="3">
        <f ca="1">IFERROR(__xludf.DUMMYFUNCTION("""COMPUTED_VALUE"""),18)</f>
        <v>18</v>
      </c>
      <c r="E97" s="3">
        <f ca="1">IFERROR(__xludf.DUMMYFUNCTION("""COMPUTED_VALUE"""),0.471)</f>
        <v>0.47099999999999997</v>
      </c>
      <c r="F97" s="3">
        <f ca="1">IFERROR(__xludf.DUMMYFUNCTION("""COMPUTED_VALUE"""),-6.77)</f>
        <v>-6.77</v>
      </c>
      <c r="G97" s="3">
        <f ca="1">IFERROR(__xludf.DUMMYFUNCTION("""COMPUTED_VALUE"""),-4.17)</f>
        <v>-4.17</v>
      </c>
      <c r="H97" s="3">
        <f ca="1">IFERROR(__xludf.DUMMYFUNCTION("""COMPUTED_VALUE"""),12)</f>
        <v>12</v>
      </c>
      <c r="I97" s="3">
        <f ca="1">IFERROR(__xludf.DUMMYFUNCTION("""COMPUTED_VALUE"""),8)</f>
        <v>8</v>
      </c>
      <c r="J97" s="3">
        <f ca="1">IFERROR(__xludf.DUMMYFUNCTION("""COMPUTED_VALUE"""),9)</f>
        <v>9</v>
      </c>
      <c r="K97" s="3">
        <f ca="1">IFERROR(__xludf.DUMMYFUNCTION("""COMPUTED_VALUE"""),4)</f>
        <v>4</v>
      </c>
      <c r="L97" s="3">
        <f ca="1">IFERROR(__xludf.DUMMYFUNCTION("""COMPUTED_VALUE"""),4)</f>
        <v>4</v>
      </c>
      <c r="M97" s="3">
        <f ca="1">IFERROR(__xludf.DUMMYFUNCTION("""COMPUTED_VALUE"""),13)</f>
        <v>13</v>
      </c>
      <c r="N97" s="3">
        <f ca="1">IFERROR(__xludf.DUMMYFUNCTION("""COMPUTED_VALUE"""),2460)</f>
        <v>2460</v>
      </c>
      <c r="O97" s="3">
        <f ca="1">IFERROR(__xludf.DUMMYFUNCTION("""COMPUTED_VALUE"""),2527)</f>
        <v>2527</v>
      </c>
      <c r="P97" s="3">
        <f ca="1">IFERROR(__xludf.DUMMYFUNCTION("""COMPUTED_VALUE"""),1380)</f>
        <v>1380</v>
      </c>
      <c r="Q97" s="3">
        <f ca="1">IFERROR(__xludf.DUMMYFUNCTION("""COMPUTED_VALUE"""),876)</f>
        <v>876</v>
      </c>
      <c r="R97" s="3">
        <f ca="1">IFERROR(__xludf.DUMMYFUNCTION("""COMPUTED_VALUE"""),2040)</f>
        <v>2040</v>
      </c>
      <c r="S97" s="3">
        <f ca="1">IFERROR(__xludf.DUMMYFUNCTION("""COMPUTED_VALUE"""),0.429)</f>
        <v>0.42899999999999999</v>
      </c>
      <c r="T97" s="3">
        <f ca="1">IFERROR(__xludf.DUMMYFUNCTION("""COMPUTED_VALUE"""),310)</f>
        <v>310</v>
      </c>
      <c r="U97" s="3">
        <f ca="1">IFERROR(__xludf.DUMMYFUNCTION("""COMPUTED_VALUE"""),886)</f>
        <v>886</v>
      </c>
      <c r="V97" s="3">
        <f ca="1">IFERROR(__xludf.DUMMYFUNCTION("""COMPUTED_VALUE"""),0.35)</f>
        <v>0.35</v>
      </c>
      <c r="W97" s="3">
        <f ca="1">IFERROR(__xludf.DUMMYFUNCTION("""COMPUTED_VALUE"""),398)</f>
        <v>398</v>
      </c>
      <c r="X97" s="3">
        <f ca="1">IFERROR(__xludf.DUMMYFUNCTION("""COMPUTED_VALUE"""),546)</f>
        <v>546</v>
      </c>
      <c r="Y97" s="3">
        <f ca="1">IFERROR(__xludf.DUMMYFUNCTION("""COMPUTED_VALUE"""),0.729)</f>
        <v>0.72899999999999998</v>
      </c>
      <c r="Z97" s="3">
        <f ca="1">IFERROR(__xludf.DUMMYFUNCTION("""COMPUTED_VALUE"""),299)</f>
        <v>299</v>
      </c>
      <c r="AA97" s="3">
        <f ca="1">IFERROR(__xludf.DUMMYFUNCTION("""COMPUTED_VALUE"""),1192)</f>
        <v>1192</v>
      </c>
      <c r="AB97" s="3">
        <f ca="1">IFERROR(__xludf.DUMMYFUNCTION("""COMPUTED_VALUE"""),467)</f>
        <v>467</v>
      </c>
      <c r="AC97" s="3">
        <f ca="1">IFERROR(__xludf.DUMMYFUNCTION("""COMPUTED_VALUE"""),200)</f>
        <v>200</v>
      </c>
      <c r="AD97" s="3">
        <f ca="1">IFERROR(__xludf.DUMMYFUNCTION("""COMPUTED_VALUE"""),101)</f>
        <v>101</v>
      </c>
      <c r="AE97" s="3">
        <f ca="1">IFERROR(__xludf.DUMMYFUNCTION("""COMPUTED_VALUE"""),401)</f>
        <v>401</v>
      </c>
      <c r="AF97" s="3">
        <f ca="1">IFERROR(__xludf.DUMMYFUNCTION("""COMPUTED_VALUE"""),632)</f>
        <v>632</v>
      </c>
    </row>
    <row r="98" spans="1:32" x14ac:dyDescent="0.25">
      <c r="A98" s="3" t="str">
        <f ca="1">IFERROR(__xludf.DUMMYFUNCTION("""COMPUTED_VALUE"""),"Elon")</f>
        <v>Elon</v>
      </c>
      <c r="B98" s="3">
        <f ca="1">IFERROR(__xludf.DUMMYFUNCTION("""COMPUTED_VALUE"""),32)</f>
        <v>32</v>
      </c>
      <c r="C98" s="3">
        <f ca="1">IFERROR(__xludf.DUMMYFUNCTION("""COMPUTED_VALUE"""),11)</f>
        <v>11</v>
      </c>
      <c r="D98" s="3">
        <f ca="1">IFERROR(__xludf.DUMMYFUNCTION("""COMPUTED_VALUE"""),21)</f>
        <v>21</v>
      </c>
      <c r="E98" s="3">
        <f ca="1">IFERROR(__xludf.DUMMYFUNCTION("""COMPUTED_VALUE"""),0.344)</f>
        <v>0.34399999999999997</v>
      </c>
      <c r="F98" s="3">
        <f ca="1">IFERROR(__xludf.DUMMYFUNCTION("""COMPUTED_VALUE"""),-11.53)</f>
        <v>-11.53</v>
      </c>
      <c r="G98" s="3">
        <f ca="1">IFERROR(__xludf.DUMMYFUNCTION("""COMPUTED_VALUE"""),-3.56)</f>
        <v>-3.56</v>
      </c>
      <c r="H98" s="3">
        <f ca="1">IFERROR(__xludf.DUMMYFUNCTION("""COMPUTED_VALUE"""),7)</f>
        <v>7</v>
      </c>
      <c r="I98" s="3">
        <f ca="1">IFERROR(__xludf.DUMMYFUNCTION("""COMPUTED_VALUE"""),11)</f>
        <v>11</v>
      </c>
      <c r="J98" s="3">
        <f ca="1">IFERROR(__xludf.DUMMYFUNCTION("""COMPUTED_VALUE"""),5)</f>
        <v>5</v>
      </c>
      <c r="K98" s="3">
        <f ca="1">IFERROR(__xludf.DUMMYFUNCTION("""COMPUTED_VALUE"""),11)</f>
        <v>11</v>
      </c>
      <c r="L98" s="3">
        <f ca="1">IFERROR(__xludf.DUMMYFUNCTION("""COMPUTED_VALUE"""),6)</f>
        <v>6</v>
      </c>
      <c r="M98" s="3">
        <f ca="1">IFERROR(__xludf.DUMMYFUNCTION("""COMPUTED_VALUE"""),7)</f>
        <v>7</v>
      </c>
      <c r="N98" s="3">
        <f ca="1">IFERROR(__xludf.DUMMYFUNCTION("""COMPUTED_VALUE"""),2266)</f>
        <v>2266</v>
      </c>
      <c r="O98" s="3">
        <f ca="1">IFERROR(__xludf.DUMMYFUNCTION("""COMPUTED_VALUE"""),2445)</f>
        <v>2445</v>
      </c>
      <c r="P98" s="3">
        <f ca="1">IFERROR(__xludf.DUMMYFUNCTION("""COMPUTED_VALUE"""),1290)</f>
        <v>1290</v>
      </c>
      <c r="Q98" s="3">
        <f ca="1">IFERROR(__xludf.DUMMYFUNCTION("""COMPUTED_VALUE"""),812)</f>
        <v>812</v>
      </c>
      <c r="R98" s="3">
        <f ca="1">IFERROR(__xludf.DUMMYFUNCTION("""COMPUTED_VALUE"""),1862)</f>
        <v>1862</v>
      </c>
      <c r="S98" s="3">
        <f ca="1">IFERROR(__xludf.DUMMYFUNCTION("""COMPUTED_VALUE"""),0.436)</f>
        <v>0.436</v>
      </c>
      <c r="T98" s="3">
        <f ca="1">IFERROR(__xludf.DUMMYFUNCTION("""COMPUTED_VALUE"""),335)</f>
        <v>335</v>
      </c>
      <c r="U98" s="3">
        <f ca="1">IFERROR(__xludf.DUMMYFUNCTION("""COMPUTED_VALUE"""),943)</f>
        <v>943</v>
      </c>
      <c r="V98" s="3">
        <f ca="1">IFERROR(__xludf.DUMMYFUNCTION("""COMPUTED_VALUE"""),0.355)</f>
        <v>0.35499999999999998</v>
      </c>
      <c r="W98" s="3">
        <f ca="1">IFERROR(__xludf.DUMMYFUNCTION("""COMPUTED_VALUE"""),307)</f>
        <v>307</v>
      </c>
      <c r="X98" s="3">
        <f ca="1">IFERROR(__xludf.DUMMYFUNCTION("""COMPUTED_VALUE"""),443)</f>
        <v>443</v>
      </c>
      <c r="Y98" s="3">
        <f ca="1">IFERROR(__xludf.DUMMYFUNCTION("""COMPUTED_VALUE"""),0.693)</f>
        <v>0.69299999999999995</v>
      </c>
      <c r="Z98" s="3">
        <f ca="1">IFERROR(__xludf.DUMMYFUNCTION("""COMPUTED_VALUE"""),265)</f>
        <v>265</v>
      </c>
      <c r="AA98" s="3">
        <f ca="1">IFERROR(__xludf.DUMMYFUNCTION("""COMPUTED_VALUE"""),1082)</f>
        <v>1082</v>
      </c>
      <c r="AB98" s="3">
        <f ca="1">IFERROR(__xludf.DUMMYFUNCTION("""COMPUTED_VALUE"""),468)</f>
        <v>468</v>
      </c>
      <c r="AC98" s="3">
        <f ca="1">IFERROR(__xludf.DUMMYFUNCTION("""COMPUTED_VALUE"""),135)</f>
        <v>135</v>
      </c>
      <c r="AD98" s="3">
        <f ca="1">IFERROR(__xludf.DUMMYFUNCTION("""COMPUTED_VALUE"""),62)</f>
        <v>62</v>
      </c>
      <c r="AE98" s="3">
        <f ca="1">IFERROR(__xludf.DUMMYFUNCTION("""COMPUTED_VALUE"""),413)</f>
        <v>413</v>
      </c>
      <c r="AF98" s="3">
        <f ca="1">IFERROR(__xludf.DUMMYFUNCTION("""COMPUTED_VALUE"""),539)</f>
        <v>539</v>
      </c>
    </row>
    <row r="99" spans="1:32" x14ac:dyDescent="0.25">
      <c r="A99" s="3" t="str">
        <f ca="1">IFERROR(__xludf.DUMMYFUNCTION("""COMPUTED_VALUE"""),"Evansville")</f>
        <v>Evansville</v>
      </c>
      <c r="B99" s="3">
        <f ca="1">IFERROR(__xludf.DUMMYFUNCTION("""COMPUTED_VALUE"""),32)</f>
        <v>32</v>
      </c>
      <c r="C99" s="3">
        <f ca="1">IFERROR(__xludf.DUMMYFUNCTION("""COMPUTED_VALUE"""),11)</f>
        <v>11</v>
      </c>
      <c r="D99" s="3">
        <f ca="1">IFERROR(__xludf.DUMMYFUNCTION("""COMPUTED_VALUE"""),21)</f>
        <v>21</v>
      </c>
      <c r="E99" s="3">
        <f ca="1">IFERROR(__xludf.DUMMYFUNCTION("""COMPUTED_VALUE"""),0.344)</f>
        <v>0.34399999999999997</v>
      </c>
      <c r="F99" s="3">
        <f ca="1">IFERROR(__xludf.DUMMYFUNCTION("""COMPUTED_VALUE"""),-3.84)</f>
        <v>-3.84</v>
      </c>
      <c r="G99" s="3">
        <f ca="1">IFERROR(__xludf.DUMMYFUNCTION("""COMPUTED_VALUE"""),0.13)</f>
        <v>0.13</v>
      </c>
      <c r="H99" s="3">
        <f ca="1">IFERROR(__xludf.DUMMYFUNCTION("""COMPUTED_VALUE"""),5)</f>
        <v>5</v>
      </c>
      <c r="I99" s="3">
        <f ca="1">IFERROR(__xludf.DUMMYFUNCTION("""COMPUTED_VALUE"""),13)</f>
        <v>13</v>
      </c>
      <c r="J99" s="3">
        <f ca="1">IFERROR(__xludf.DUMMYFUNCTION("""COMPUTED_VALUE"""),9)</f>
        <v>9</v>
      </c>
      <c r="K99" s="3">
        <f ca="1">IFERROR(__xludf.DUMMYFUNCTION("""COMPUTED_VALUE"""),7)</f>
        <v>7</v>
      </c>
      <c r="L99" s="3">
        <f ca="1">IFERROR(__xludf.DUMMYFUNCTION("""COMPUTED_VALUE"""),2)</f>
        <v>2</v>
      </c>
      <c r="M99" s="3">
        <f ca="1">IFERROR(__xludf.DUMMYFUNCTION("""COMPUTED_VALUE"""),13)</f>
        <v>13</v>
      </c>
      <c r="N99" s="3">
        <f ca="1">IFERROR(__xludf.DUMMYFUNCTION("""COMPUTED_VALUE"""),2234)</f>
        <v>2234</v>
      </c>
      <c r="O99" s="3">
        <f ca="1">IFERROR(__xludf.DUMMYFUNCTION("""COMPUTED_VALUE"""),2317)</f>
        <v>2317</v>
      </c>
      <c r="P99" s="3">
        <f ca="1">IFERROR(__xludf.DUMMYFUNCTION("""COMPUTED_VALUE"""),1295)</f>
        <v>1295</v>
      </c>
      <c r="Q99" s="3">
        <f ca="1">IFERROR(__xludf.DUMMYFUNCTION("""COMPUTED_VALUE"""),747)</f>
        <v>747</v>
      </c>
      <c r="R99" s="3">
        <f ca="1">IFERROR(__xludf.DUMMYFUNCTION("""COMPUTED_VALUE"""),1776)</f>
        <v>1776</v>
      </c>
      <c r="S99" s="3">
        <f ca="1">IFERROR(__xludf.DUMMYFUNCTION("""COMPUTED_VALUE"""),0.421)</f>
        <v>0.42099999999999999</v>
      </c>
      <c r="T99" s="3">
        <f ca="1">IFERROR(__xludf.DUMMYFUNCTION("""COMPUTED_VALUE"""),264)</f>
        <v>264</v>
      </c>
      <c r="U99" s="3">
        <f ca="1">IFERROR(__xludf.DUMMYFUNCTION("""COMPUTED_VALUE"""),776)</f>
        <v>776</v>
      </c>
      <c r="V99" s="3">
        <f ca="1">IFERROR(__xludf.DUMMYFUNCTION("""COMPUTED_VALUE"""),0.34)</f>
        <v>0.34</v>
      </c>
      <c r="W99" s="3">
        <f ca="1">IFERROR(__xludf.DUMMYFUNCTION("""COMPUTED_VALUE"""),476)</f>
        <v>476</v>
      </c>
      <c r="X99" s="3">
        <f ca="1">IFERROR(__xludf.DUMMYFUNCTION("""COMPUTED_VALUE"""),660)</f>
        <v>660</v>
      </c>
      <c r="Y99" s="3">
        <f ca="1">IFERROR(__xludf.DUMMYFUNCTION("""COMPUTED_VALUE"""),0.721)</f>
        <v>0.72099999999999997</v>
      </c>
      <c r="Z99" s="3">
        <f ca="1">IFERROR(__xludf.DUMMYFUNCTION("""COMPUTED_VALUE"""),215)</f>
        <v>215</v>
      </c>
      <c r="AA99" s="3">
        <f ca="1">IFERROR(__xludf.DUMMYFUNCTION("""COMPUTED_VALUE"""),1095)</f>
        <v>1095</v>
      </c>
      <c r="AB99" s="3">
        <f ca="1">IFERROR(__xludf.DUMMYFUNCTION("""COMPUTED_VALUE"""),394)</f>
        <v>394</v>
      </c>
      <c r="AC99" s="3">
        <f ca="1">IFERROR(__xludf.DUMMYFUNCTION("""COMPUTED_VALUE"""),185)</f>
        <v>185</v>
      </c>
      <c r="AD99" s="3">
        <f ca="1">IFERROR(__xludf.DUMMYFUNCTION("""COMPUTED_VALUE"""),89)</f>
        <v>89</v>
      </c>
      <c r="AE99" s="3">
        <f ca="1">IFERROR(__xludf.DUMMYFUNCTION("""COMPUTED_VALUE"""),416)</f>
        <v>416</v>
      </c>
      <c r="AF99" s="3">
        <f ca="1">IFERROR(__xludf.DUMMYFUNCTION("""COMPUTED_VALUE"""),602)</f>
        <v>602</v>
      </c>
    </row>
    <row r="100" spans="1:32" x14ac:dyDescent="0.25">
      <c r="A100" s="3" t="str">
        <f ca="1">IFERROR(__xludf.DUMMYFUNCTION("""COMPUTED_VALUE"""),"Fairfield")</f>
        <v>Fairfield</v>
      </c>
      <c r="B100" s="3">
        <f ca="1">IFERROR(__xludf.DUMMYFUNCTION("""COMPUTED_VALUE"""),31)</f>
        <v>31</v>
      </c>
      <c r="C100" s="3">
        <f ca="1">IFERROR(__xludf.DUMMYFUNCTION("""COMPUTED_VALUE"""),9)</f>
        <v>9</v>
      </c>
      <c r="D100" s="3">
        <f ca="1">IFERROR(__xludf.DUMMYFUNCTION("""COMPUTED_VALUE"""),22)</f>
        <v>22</v>
      </c>
      <c r="E100" s="3">
        <f ca="1">IFERROR(__xludf.DUMMYFUNCTION("""COMPUTED_VALUE"""),0.29)</f>
        <v>0.28999999999999998</v>
      </c>
      <c r="F100" s="3">
        <f ca="1">IFERROR(__xludf.DUMMYFUNCTION("""COMPUTED_VALUE"""),-10.2)</f>
        <v>-10.199999999999999</v>
      </c>
      <c r="G100" s="3">
        <f ca="1">IFERROR(__xludf.DUMMYFUNCTION("""COMPUTED_VALUE"""),-7.14)</f>
        <v>-7.14</v>
      </c>
      <c r="H100" s="3">
        <f ca="1">IFERROR(__xludf.DUMMYFUNCTION("""COMPUTED_VALUE"""),6)</f>
        <v>6</v>
      </c>
      <c r="I100" s="3">
        <f ca="1">IFERROR(__xludf.DUMMYFUNCTION("""COMPUTED_VALUE"""),12)</f>
        <v>12</v>
      </c>
      <c r="J100" s="3">
        <f ca="1">IFERROR(__xludf.DUMMYFUNCTION("""COMPUTED_VALUE"""),5)</f>
        <v>5</v>
      </c>
      <c r="K100" s="3">
        <f ca="1">IFERROR(__xludf.DUMMYFUNCTION("""COMPUTED_VALUE"""),7)</f>
        <v>7</v>
      </c>
      <c r="L100" s="3">
        <f ca="1">IFERROR(__xludf.DUMMYFUNCTION("""COMPUTED_VALUE"""),3)</f>
        <v>3</v>
      </c>
      <c r="M100" s="3">
        <f ca="1">IFERROR(__xludf.DUMMYFUNCTION("""COMPUTED_VALUE"""),13)</f>
        <v>13</v>
      </c>
      <c r="N100" s="3">
        <f ca="1">IFERROR(__xludf.DUMMYFUNCTION("""COMPUTED_VALUE"""),2072)</f>
        <v>2072</v>
      </c>
      <c r="O100" s="3">
        <f ca="1">IFERROR(__xludf.DUMMYFUNCTION("""COMPUTED_VALUE"""),2167)</f>
        <v>2167</v>
      </c>
      <c r="P100" s="3">
        <f ca="1">IFERROR(__xludf.DUMMYFUNCTION("""COMPUTED_VALUE"""),1240)</f>
        <v>1240</v>
      </c>
      <c r="Q100" s="3">
        <f ca="1">IFERROR(__xludf.DUMMYFUNCTION("""COMPUTED_VALUE"""),761)</f>
        <v>761</v>
      </c>
      <c r="R100" s="3">
        <f ca="1">IFERROR(__xludf.DUMMYFUNCTION("""COMPUTED_VALUE"""),1755)</f>
        <v>1755</v>
      </c>
      <c r="S100" s="3">
        <f ca="1">IFERROR(__xludf.DUMMYFUNCTION("""COMPUTED_VALUE"""),0.434)</f>
        <v>0.434</v>
      </c>
      <c r="T100" s="3">
        <f ca="1">IFERROR(__xludf.DUMMYFUNCTION("""COMPUTED_VALUE"""),259)</f>
        <v>259</v>
      </c>
      <c r="U100" s="3">
        <f ca="1">IFERROR(__xludf.DUMMYFUNCTION("""COMPUTED_VALUE"""),740)</f>
        <v>740</v>
      </c>
      <c r="V100" s="3">
        <f ca="1">IFERROR(__xludf.DUMMYFUNCTION("""COMPUTED_VALUE"""),0.35)</f>
        <v>0.35</v>
      </c>
      <c r="W100" s="3">
        <f ca="1">IFERROR(__xludf.DUMMYFUNCTION("""COMPUTED_VALUE"""),291)</f>
        <v>291</v>
      </c>
      <c r="X100" s="3">
        <f ca="1">IFERROR(__xludf.DUMMYFUNCTION("""COMPUTED_VALUE"""),420)</f>
        <v>420</v>
      </c>
      <c r="Y100" s="3">
        <f ca="1">IFERROR(__xludf.DUMMYFUNCTION("""COMPUTED_VALUE"""),0.693)</f>
        <v>0.69299999999999995</v>
      </c>
      <c r="Z100" s="3">
        <f ca="1">IFERROR(__xludf.DUMMYFUNCTION("""COMPUTED_VALUE"""),273)</f>
        <v>273</v>
      </c>
      <c r="AA100" s="3">
        <f ca="1">IFERROR(__xludf.DUMMYFUNCTION("""COMPUTED_VALUE"""),968)</f>
        <v>968</v>
      </c>
      <c r="AB100" s="3">
        <f ca="1">IFERROR(__xludf.DUMMYFUNCTION("""COMPUTED_VALUE"""),401)</f>
        <v>401</v>
      </c>
      <c r="AC100" s="3">
        <f ca="1">IFERROR(__xludf.DUMMYFUNCTION("""COMPUTED_VALUE"""),202)</f>
        <v>202</v>
      </c>
      <c r="AD100" s="3">
        <f ca="1">IFERROR(__xludf.DUMMYFUNCTION("""COMPUTED_VALUE"""),63)</f>
        <v>63</v>
      </c>
      <c r="AE100" s="3">
        <f ca="1">IFERROR(__xludf.DUMMYFUNCTION("""COMPUTED_VALUE"""),436)</f>
        <v>436</v>
      </c>
      <c r="AF100" s="3">
        <f ca="1">IFERROR(__xludf.DUMMYFUNCTION("""COMPUTED_VALUE"""),612)</f>
        <v>612</v>
      </c>
    </row>
    <row r="101" spans="1:32" x14ac:dyDescent="0.25">
      <c r="A101" s="3" t="str">
        <f ca="1">IFERROR(__xludf.DUMMYFUNCTION("""COMPUTED_VALUE"""),"Fairleigh DickinsonNCAA")</f>
        <v>Fairleigh DickinsonNCAA</v>
      </c>
      <c r="B101" s="3">
        <f ca="1">IFERROR(__xludf.DUMMYFUNCTION("""COMPUTED_VALUE"""),35)</f>
        <v>35</v>
      </c>
      <c r="C101" s="3">
        <f ca="1">IFERROR(__xludf.DUMMYFUNCTION("""COMPUTED_VALUE"""),21)</f>
        <v>21</v>
      </c>
      <c r="D101" s="3">
        <f ca="1">IFERROR(__xludf.DUMMYFUNCTION("""COMPUTED_VALUE"""),14)</f>
        <v>14</v>
      </c>
      <c r="E101" s="3">
        <f ca="1">IFERROR(__xludf.DUMMYFUNCTION("""COMPUTED_VALUE"""),0.6)</f>
        <v>0.6</v>
      </c>
      <c r="F101" s="3">
        <f ca="1">IFERROR(__xludf.DUMMYFUNCTION("""COMPUTED_VALUE"""),-6.09)</f>
        <v>-6.09</v>
      </c>
      <c r="G101" s="3">
        <f ca="1">IFERROR(__xludf.DUMMYFUNCTION("""COMPUTED_VALUE"""),-7.24)</f>
        <v>-7.24</v>
      </c>
      <c r="H101" s="3">
        <f ca="1">IFERROR(__xludf.DUMMYFUNCTION("""COMPUTED_VALUE"""),12)</f>
        <v>12</v>
      </c>
      <c r="I101" s="3">
        <f ca="1">IFERROR(__xludf.DUMMYFUNCTION("""COMPUTED_VALUE"""),6)</f>
        <v>6</v>
      </c>
      <c r="J101" s="3">
        <f ca="1">IFERROR(__xludf.DUMMYFUNCTION("""COMPUTED_VALUE"""),13)</f>
        <v>13</v>
      </c>
      <c r="K101" s="3">
        <f ca="1">IFERROR(__xludf.DUMMYFUNCTION("""COMPUTED_VALUE"""),4)</f>
        <v>4</v>
      </c>
      <c r="L101" s="3">
        <f ca="1">IFERROR(__xludf.DUMMYFUNCTION("""COMPUTED_VALUE"""),7)</f>
        <v>7</v>
      </c>
      <c r="M101" s="3">
        <f ca="1">IFERROR(__xludf.DUMMYFUNCTION("""COMPUTED_VALUE"""),9)</f>
        <v>9</v>
      </c>
      <c r="N101" s="3">
        <f ca="1">IFERROR(__xludf.DUMMYFUNCTION("""COMPUTED_VALUE"""),2620)</f>
        <v>2620</v>
      </c>
      <c r="O101" s="3">
        <f ca="1">IFERROR(__xludf.DUMMYFUNCTION("""COMPUTED_VALUE"""),2515)</f>
        <v>2515</v>
      </c>
      <c r="P101" s="3">
        <f ca="1">IFERROR(__xludf.DUMMYFUNCTION("""COMPUTED_VALUE"""),1420)</f>
        <v>1420</v>
      </c>
      <c r="Q101" s="3">
        <f ca="1">IFERROR(__xludf.DUMMYFUNCTION("""COMPUTED_VALUE"""),921)</f>
        <v>921</v>
      </c>
      <c r="R101" s="3">
        <f ca="1">IFERROR(__xludf.DUMMYFUNCTION("""COMPUTED_VALUE"""),1939)</f>
        <v>1939</v>
      </c>
      <c r="S101" s="3">
        <f ca="1">IFERROR(__xludf.DUMMYFUNCTION("""COMPUTED_VALUE"""),0.475)</f>
        <v>0.47499999999999998</v>
      </c>
      <c r="T101" s="3">
        <f ca="1">IFERROR(__xludf.DUMMYFUNCTION("""COMPUTED_VALUE"""),269)</f>
        <v>269</v>
      </c>
      <c r="U101" s="3">
        <f ca="1">IFERROR(__xludf.DUMMYFUNCTION("""COMPUTED_VALUE"""),672)</f>
        <v>672</v>
      </c>
      <c r="V101" s="3">
        <f ca="1">IFERROR(__xludf.DUMMYFUNCTION("""COMPUTED_VALUE"""),0.4)</f>
        <v>0.4</v>
      </c>
      <c r="W101" s="3">
        <f ca="1">IFERROR(__xludf.DUMMYFUNCTION("""COMPUTED_VALUE"""),509)</f>
        <v>509</v>
      </c>
      <c r="X101" s="3">
        <f ca="1">IFERROR(__xludf.DUMMYFUNCTION("""COMPUTED_VALUE"""),702)</f>
        <v>702</v>
      </c>
      <c r="Y101" s="3">
        <f ca="1">IFERROR(__xludf.DUMMYFUNCTION("""COMPUTED_VALUE"""),0.725)</f>
        <v>0.72499999999999998</v>
      </c>
      <c r="Z101" s="3">
        <f ca="1">IFERROR(__xludf.DUMMYFUNCTION("""COMPUTED_VALUE"""),323)</f>
        <v>323</v>
      </c>
      <c r="AA101" s="3">
        <f ca="1">IFERROR(__xludf.DUMMYFUNCTION("""COMPUTED_VALUE"""),1155)</f>
        <v>1155</v>
      </c>
      <c r="AB101" s="3">
        <f ca="1">IFERROR(__xludf.DUMMYFUNCTION("""COMPUTED_VALUE"""),486)</f>
        <v>486</v>
      </c>
      <c r="AC101" s="3">
        <f ca="1">IFERROR(__xludf.DUMMYFUNCTION("""COMPUTED_VALUE"""),261)</f>
        <v>261</v>
      </c>
      <c r="AD101" s="3">
        <f ca="1">IFERROR(__xludf.DUMMYFUNCTION("""COMPUTED_VALUE"""),132)</f>
        <v>132</v>
      </c>
      <c r="AE101" s="3">
        <f ca="1">IFERROR(__xludf.DUMMYFUNCTION("""COMPUTED_VALUE"""),477)</f>
        <v>477</v>
      </c>
      <c r="AF101" s="3">
        <f ca="1">IFERROR(__xludf.DUMMYFUNCTION("""COMPUTED_VALUE"""),578)</f>
        <v>578</v>
      </c>
    </row>
    <row r="102" spans="1:32" x14ac:dyDescent="0.25">
      <c r="A102" s="3" t="str">
        <f ca="1">IFERROR(__xludf.DUMMYFUNCTION("""COMPUTED_VALUE"""),"Florida A&amp;M")</f>
        <v>Florida A&amp;M</v>
      </c>
      <c r="B102" s="3">
        <f ca="1">IFERROR(__xludf.DUMMYFUNCTION("""COMPUTED_VALUE"""),31)</f>
        <v>31</v>
      </c>
      <c r="C102" s="3">
        <f ca="1">IFERROR(__xludf.DUMMYFUNCTION("""COMPUTED_VALUE"""),12)</f>
        <v>12</v>
      </c>
      <c r="D102" s="3">
        <f ca="1">IFERROR(__xludf.DUMMYFUNCTION("""COMPUTED_VALUE"""),19)</f>
        <v>19</v>
      </c>
      <c r="E102" s="3">
        <f ca="1">IFERROR(__xludf.DUMMYFUNCTION("""COMPUTED_VALUE"""),0.387)</f>
        <v>0.38700000000000001</v>
      </c>
      <c r="F102" s="3">
        <f ca="1">IFERROR(__xludf.DUMMYFUNCTION("""COMPUTED_VALUE"""),-13.57)</f>
        <v>-13.57</v>
      </c>
      <c r="G102" s="3">
        <f ca="1">IFERROR(__xludf.DUMMYFUNCTION("""COMPUTED_VALUE"""),-8.09)</f>
        <v>-8.09</v>
      </c>
      <c r="H102" s="3">
        <f ca="1">IFERROR(__xludf.DUMMYFUNCTION("""COMPUTED_VALUE"""),9)</f>
        <v>9</v>
      </c>
      <c r="I102" s="3">
        <f ca="1">IFERROR(__xludf.DUMMYFUNCTION("""COMPUTED_VALUE"""),7)</f>
        <v>7</v>
      </c>
      <c r="J102" s="3">
        <f ca="1">IFERROR(__xludf.DUMMYFUNCTION("""COMPUTED_VALUE"""),6)</f>
        <v>6</v>
      </c>
      <c r="K102" s="3">
        <f ca="1">IFERROR(__xludf.DUMMYFUNCTION("""COMPUTED_VALUE"""),3)</f>
        <v>3</v>
      </c>
      <c r="L102" s="3">
        <f ca="1">IFERROR(__xludf.DUMMYFUNCTION("""COMPUTED_VALUE"""),6)</f>
        <v>6</v>
      </c>
      <c r="M102" s="3">
        <f ca="1">IFERROR(__xludf.DUMMYFUNCTION("""COMPUTED_VALUE"""),14)</f>
        <v>14</v>
      </c>
      <c r="N102" s="3">
        <f ca="1">IFERROR(__xludf.DUMMYFUNCTION("""COMPUTED_VALUE"""),1927)</f>
        <v>1927</v>
      </c>
      <c r="O102" s="3">
        <f ca="1">IFERROR(__xludf.DUMMYFUNCTION("""COMPUTED_VALUE"""),2057)</f>
        <v>2057</v>
      </c>
      <c r="P102" s="3">
        <f ca="1">IFERROR(__xludf.DUMMYFUNCTION("""COMPUTED_VALUE"""),1245)</f>
        <v>1245</v>
      </c>
      <c r="Q102" s="3">
        <f ca="1">IFERROR(__xludf.DUMMYFUNCTION("""COMPUTED_VALUE"""),719)</f>
        <v>719</v>
      </c>
      <c r="R102" s="3">
        <f ca="1">IFERROR(__xludf.DUMMYFUNCTION("""COMPUTED_VALUE"""),1640)</f>
        <v>1640</v>
      </c>
      <c r="S102" s="3">
        <f ca="1">IFERROR(__xludf.DUMMYFUNCTION("""COMPUTED_VALUE"""),0.438)</f>
        <v>0.438</v>
      </c>
      <c r="T102" s="3">
        <f ca="1">IFERROR(__xludf.DUMMYFUNCTION("""COMPUTED_VALUE"""),180)</f>
        <v>180</v>
      </c>
      <c r="U102" s="3">
        <f ca="1">IFERROR(__xludf.DUMMYFUNCTION("""COMPUTED_VALUE"""),489)</f>
        <v>489</v>
      </c>
      <c r="V102" s="3">
        <f ca="1">IFERROR(__xludf.DUMMYFUNCTION("""COMPUTED_VALUE"""),0.368)</f>
        <v>0.36799999999999999</v>
      </c>
      <c r="W102" s="3">
        <f ca="1">IFERROR(__xludf.DUMMYFUNCTION("""COMPUTED_VALUE"""),309)</f>
        <v>309</v>
      </c>
      <c r="X102" s="3">
        <f ca="1">IFERROR(__xludf.DUMMYFUNCTION("""COMPUTED_VALUE"""),503)</f>
        <v>503</v>
      </c>
      <c r="Y102" s="3">
        <f ca="1">IFERROR(__xludf.DUMMYFUNCTION("""COMPUTED_VALUE"""),0.614)</f>
        <v>0.61399999999999999</v>
      </c>
      <c r="Z102" s="3">
        <f ca="1">IFERROR(__xludf.DUMMYFUNCTION("""COMPUTED_VALUE"""),288)</f>
        <v>288</v>
      </c>
      <c r="AA102" s="3">
        <f ca="1">IFERROR(__xludf.DUMMYFUNCTION("""COMPUTED_VALUE"""),991)</f>
        <v>991</v>
      </c>
      <c r="AB102" s="3">
        <f ca="1">IFERROR(__xludf.DUMMYFUNCTION("""COMPUTED_VALUE"""),355)</f>
        <v>355</v>
      </c>
      <c r="AC102" s="3">
        <f ca="1">IFERROR(__xludf.DUMMYFUNCTION("""COMPUTED_VALUE"""),226)</f>
        <v>226</v>
      </c>
      <c r="AD102" s="3">
        <f ca="1">IFERROR(__xludf.DUMMYFUNCTION("""COMPUTED_VALUE"""),111)</f>
        <v>111</v>
      </c>
      <c r="AE102" s="3">
        <f ca="1">IFERROR(__xludf.DUMMYFUNCTION("""COMPUTED_VALUE"""),499)</f>
        <v>499</v>
      </c>
      <c r="AF102" s="3">
        <f ca="1">IFERROR(__xludf.DUMMYFUNCTION("""COMPUTED_VALUE"""),580)</f>
        <v>580</v>
      </c>
    </row>
    <row r="103" spans="1:32" x14ac:dyDescent="0.25">
      <c r="A103" s="3" t="str">
        <f ca="1">IFERROR(__xludf.DUMMYFUNCTION("""COMPUTED_VALUE"""),"Florida Atlantic")</f>
        <v>Florida Atlantic</v>
      </c>
      <c r="B103" s="3">
        <f ca="1">IFERROR(__xludf.DUMMYFUNCTION("""COMPUTED_VALUE"""),33)</f>
        <v>33</v>
      </c>
      <c r="C103" s="3">
        <f ca="1">IFERROR(__xludf.DUMMYFUNCTION("""COMPUTED_VALUE"""),17)</f>
        <v>17</v>
      </c>
      <c r="D103" s="3">
        <f ca="1">IFERROR(__xludf.DUMMYFUNCTION("""COMPUTED_VALUE"""),16)</f>
        <v>16</v>
      </c>
      <c r="E103" s="3">
        <f ca="1">IFERROR(__xludf.DUMMYFUNCTION("""COMPUTED_VALUE"""),0.515)</f>
        <v>0.51500000000000001</v>
      </c>
      <c r="F103" s="3">
        <f ca="1">IFERROR(__xludf.DUMMYFUNCTION("""COMPUTED_VALUE"""),-1.42)</f>
        <v>-1.42</v>
      </c>
      <c r="G103" s="3">
        <f ca="1">IFERROR(__xludf.DUMMYFUNCTION("""COMPUTED_VALUE"""),-1.76)</f>
        <v>-1.76</v>
      </c>
      <c r="H103" s="3">
        <f ca="1">IFERROR(__xludf.DUMMYFUNCTION("""COMPUTED_VALUE"""),8)</f>
        <v>8</v>
      </c>
      <c r="I103" s="3">
        <f ca="1">IFERROR(__xludf.DUMMYFUNCTION("""COMPUTED_VALUE"""),10)</f>
        <v>10</v>
      </c>
      <c r="J103" s="3">
        <f ca="1">IFERROR(__xludf.DUMMYFUNCTION("""COMPUTED_VALUE"""),9)</f>
        <v>9</v>
      </c>
      <c r="K103" s="3">
        <f ca="1">IFERROR(__xludf.DUMMYFUNCTION("""COMPUTED_VALUE"""),5)</f>
        <v>5</v>
      </c>
      <c r="L103" s="3">
        <f ca="1">IFERROR(__xludf.DUMMYFUNCTION("""COMPUTED_VALUE"""),6)</f>
        <v>6</v>
      </c>
      <c r="M103" s="3">
        <f ca="1">IFERROR(__xludf.DUMMYFUNCTION("""COMPUTED_VALUE"""),9)</f>
        <v>9</v>
      </c>
      <c r="N103" s="3">
        <f ca="1">IFERROR(__xludf.DUMMYFUNCTION("""COMPUTED_VALUE"""),2322)</f>
        <v>2322</v>
      </c>
      <c r="O103" s="3">
        <f ca="1">IFERROR(__xludf.DUMMYFUNCTION("""COMPUTED_VALUE"""),2243)</f>
        <v>2243</v>
      </c>
      <c r="P103" s="3">
        <f ca="1">IFERROR(__xludf.DUMMYFUNCTION("""COMPUTED_VALUE"""),1335)</f>
        <v>1335</v>
      </c>
      <c r="Q103" s="3">
        <f ca="1">IFERROR(__xludf.DUMMYFUNCTION("""COMPUTED_VALUE"""),809)</f>
        <v>809</v>
      </c>
      <c r="R103" s="3">
        <f ca="1">IFERROR(__xludf.DUMMYFUNCTION("""COMPUTED_VALUE"""),1971)</f>
        <v>1971</v>
      </c>
      <c r="S103" s="3">
        <f ca="1">IFERROR(__xludf.DUMMYFUNCTION("""COMPUTED_VALUE"""),0.41)</f>
        <v>0.41</v>
      </c>
      <c r="T103" s="3">
        <f ca="1">IFERROR(__xludf.DUMMYFUNCTION("""COMPUTED_VALUE"""),290)</f>
        <v>290</v>
      </c>
      <c r="U103" s="3">
        <f ca="1">IFERROR(__xludf.DUMMYFUNCTION("""COMPUTED_VALUE"""),895)</f>
        <v>895</v>
      </c>
      <c r="V103" s="3">
        <f ca="1">IFERROR(__xludf.DUMMYFUNCTION("""COMPUTED_VALUE"""),0.324)</f>
        <v>0.32400000000000001</v>
      </c>
      <c r="W103" s="3">
        <f ca="1">IFERROR(__xludf.DUMMYFUNCTION("""COMPUTED_VALUE"""),414)</f>
        <v>414</v>
      </c>
      <c r="X103" s="3">
        <f ca="1">IFERROR(__xludf.DUMMYFUNCTION("""COMPUTED_VALUE"""),551)</f>
        <v>551</v>
      </c>
      <c r="Y103" s="3">
        <f ca="1">IFERROR(__xludf.DUMMYFUNCTION("""COMPUTED_VALUE"""),0.751)</f>
        <v>0.751</v>
      </c>
      <c r="Z103" s="3">
        <f ca="1">IFERROR(__xludf.DUMMYFUNCTION("""COMPUTED_VALUE"""),366)</f>
        <v>366</v>
      </c>
      <c r="AA103" s="3">
        <f ca="1">IFERROR(__xludf.DUMMYFUNCTION("""COMPUTED_VALUE"""),1296)</f>
        <v>1296</v>
      </c>
      <c r="AB103" s="3">
        <f ca="1">IFERROR(__xludf.DUMMYFUNCTION("""COMPUTED_VALUE"""),419)</f>
        <v>419</v>
      </c>
      <c r="AC103" s="3">
        <f ca="1">IFERROR(__xludf.DUMMYFUNCTION("""COMPUTED_VALUE"""),184)</f>
        <v>184</v>
      </c>
      <c r="AD103" s="3">
        <f ca="1">IFERROR(__xludf.DUMMYFUNCTION("""COMPUTED_VALUE"""),93)</f>
        <v>93</v>
      </c>
      <c r="AE103" s="3">
        <f ca="1">IFERROR(__xludf.DUMMYFUNCTION("""COMPUTED_VALUE"""),485)</f>
        <v>485</v>
      </c>
      <c r="AF103" s="3">
        <f ca="1">IFERROR(__xludf.DUMMYFUNCTION("""COMPUTED_VALUE"""),575)</f>
        <v>575</v>
      </c>
    </row>
    <row r="104" spans="1:32" x14ac:dyDescent="0.25">
      <c r="A104" s="3" t="str">
        <f ca="1">IFERROR(__xludf.DUMMYFUNCTION("""COMPUTED_VALUE"""),"Florida Gulf Coast")</f>
        <v>Florida Gulf Coast</v>
      </c>
      <c r="B104" s="3">
        <f ca="1">IFERROR(__xludf.DUMMYFUNCTION("""COMPUTED_VALUE"""),32)</f>
        <v>32</v>
      </c>
      <c r="C104" s="3">
        <f ca="1">IFERROR(__xludf.DUMMYFUNCTION("""COMPUTED_VALUE"""),14)</f>
        <v>14</v>
      </c>
      <c r="D104" s="3">
        <f ca="1">IFERROR(__xludf.DUMMYFUNCTION("""COMPUTED_VALUE"""),18)</f>
        <v>18</v>
      </c>
      <c r="E104" s="3">
        <f ca="1">IFERROR(__xludf.DUMMYFUNCTION("""COMPUTED_VALUE"""),0.438)</f>
        <v>0.438</v>
      </c>
      <c r="F104" s="3">
        <f ca="1">IFERROR(__xludf.DUMMYFUNCTION("""COMPUTED_VALUE"""),-5.11)</f>
        <v>-5.1100000000000003</v>
      </c>
      <c r="G104" s="3">
        <f ca="1">IFERROR(__xludf.DUMMYFUNCTION("""COMPUTED_VALUE"""),-1.48)</f>
        <v>-1.48</v>
      </c>
      <c r="H104" s="3">
        <f ca="1">IFERROR(__xludf.DUMMYFUNCTION("""COMPUTED_VALUE"""),9)</f>
        <v>9</v>
      </c>
      <c r="I104" s="3">
        <f ca="1">IFERROR(__xludf.DUMMYFUNCTION("""COMPUTED_VALUE"""),7)</f>
        <v>7</v>
      </c>
      <c r="J104" s="3">
        <f ca="1">IFERROR(__xludf.DUMMYFUNCTION("""COMPUTED_VALUE"""),10)</f>
        <v>10</v>
      </c>
      <c r="K104" s="3">
        <f ca="1">IFERROR(__xludf.DUMMYFUNCTION("""COMPUTED_VALUE"""),4)</f>
        <v>4</v>
      </c>
      <c r="L104" s="3">
        <f ca="1">IFERROR(__xludf.DUMMYFUNCTION("""COMPUTED_VALUE"""),4)</f>
        <v>4</v>
      </c>
      <c r="M104" s="3">
        <f ca="1">IFERROR(__xludf.DUMMYFUNCTION("""COMPUTED_VALUE"""),10)</f>
        <v>10</v>
      </c>
      <c r="N104" s="3">
        <f ca="1">IFERROR(__xludf.DUMMYFUNCTION("""COMPUTED_VALUE"""),2280)</f>
        <v>2280</v>
      </c>
      <c r="O104" s="3">
        <f ca="1">IFERROR(__xludf.DUMMYFUNCTION("""COMPUTED_VALUE"""),2360)</f>
        <v>2360</v>
      </c>
      <c r="P104" s="3">
        <f ca="1">IFERROR(__xludf.DUMMYFUNCTION("""COMPUTED_VALUE"""),1280)</f>
        <v>1280</v>
      </c>
      <c r="Q104" s="3">
        <f ca="1">IFERROR(__xludf.DUMMYFUNCTION("""COMPUTED_VALUE"""),809)</f>
        <v>809</v>
      </c>
      <c r="R104" s="3">
        <f ca="1">IFERROR(__xludf.DUMMYFUNCTION("""COMPUTED_VALUE"""),1787)</f>
        <v>1787</v>
      </c>
      <c r="S104" s="3">
        <f ca="1">IFERROR(__xludf.DUMMYFUNCTION("""COMPUTED_VALUE"""),0.453)</f>
        <v>0.45300000000000001</v>
      </c>
      <c r="T104" s="3">
        <f ca="1">IFERROR(__xludf.DUMMYFUNCTION("""COMPUTED_VALUE"""),269)</f>
        <v>269</v>
      </c>
      <c r="U104" s="3">
        <f ca="1">IFERROR(__xludf.DUMMYFUNCTION("""COMPUTED_VALUE"""),724)</f>
        <v>724</v>
      </c>
      <c r="V104" s="3">
        <f ca="1">IFERROR(__xludf.DUMMYFUNCTION("""COMPUTED_VALUE"""),0.372)</f>
        <v>0.372</v>
      </c>
      <c r="W104" s="3">
        <f ca="1">IFERROR(__xludf.DUMMYFUNCTION("""COMPUTED_VALUE"""),393)</f>
        <v>393</v>
      </c>
      <c r="X104" s="3">
        <f ca="1">IFERROR(__xludf.DUMMYFUNCTION("""COMPUTED_VALUE"""),588)</f>
        <v>588</v>
      </c>
      <c r="Y104" s="3">
        <f ca="1">IFERROR(__xludf.DUMMYFUNCTION("""COMPUTED_VALUE"""),0.668)</f>
        <v>0.66800000000000004</v>
      </c>
      <c r="Z104" s="3">
        <f ca="1">IFERROR(__xludf.DUMMYFUNCTION("""COMPUTED_VALUE"""),272)</f>
        <v>272</v>
      </c>
      <c r="AA104" s="3">
        <f ca="1">IFERROR(__xludf.DUMMYFUNCTION("""COMPUTED_VALUE"""),1064)</f>
        <v>1064</v>
      </c>
      <c r="AB104" s="3">
        <f ca="1">IFERROR(__xludf.DUMMYFUNCTION("""COMPUTED_VALUE"""),449)</f>
        <v>449</v>
      </c>
      <c r="AC104" s="3">
        <f ca="1">IFERROR(__xludf.DUMMYFUNCTION("""COMPUTED_VALUE"""),219)</f>
        <v>219</v>
      </c>
      <c r="AD104" s="3">
        <f ca="1">IFERROR(__xludf.DUMMYFUNCTION("""COMPUTED_VALUE"""),133)</f>
        <v>133</v>
      </c>
      <c r="AE104" s="3">
        <f ca="1">IFERROR(__xludf.DUMMYFUNCTION("""COMPUTED_VALUE"""),479)</f>
        <v>479</v>
      </c>
      <c r="AF104" s="3">
        <f ca="1">IFERROR(__xludf.DUMMYFUNCTION("""COMPUTED_VALUE"""),514)</f>
        <v>514</v>
      </c>
    </row>
    <row r="105" spans="1:32" x14ac:dyDescent="0.25">
      <c r="A105" s="3" t="str">
        <f ca="1">IFERROR(__xludf.DUMMYFUNCTION("""COMPUTED_VALUE"""),"Florida International")</f>
        <v>Florida International</v>
      </c>
      <c r="B105" s="3">
        <f ca="1">IFERROR(__xludf.DUMMYFUNCTION("""COMPUTED_VALUE"""),34)</f>
        <v>34</v>
      </c>
      <c r="C105" s="3">
        <f ca="1">IFERROR(__xludf.DUMMYFUNCTION("""COMPUTED_VALUE"""),20)</f>
        <v>20</v>
      </c>
      <c r="D105" s="3">
        <f ca="1">IFERROR(__xludf.DUMMYFUNCTION("""COMPUTED_VALUE"""),14)</f>
        <v>14</v>
      </c>
      <c r="E105" s="3">
        <f ca="1">IFERROR(__xludf.DUMMYFUNCTION("""COMPUTED_VALUE"""),0.588)</f>
        <v>0.58799999999999997</v>
      </c>
      <c r="F105" s="3">
        <f ca="1">IFERROR(__xludf.DUMMYFUNCTION("""COMPUTED_VALUE"""),-4.55)</f>
        <v>-4.55</v>
      </c>
      <c r="G105" s="3">
        <f ca="1">IFERROR(__xludf.DUMMYFUNCTION("""COMPUTED_VALUE"""),-1.45)</f>
        <v>-1.45</v>
      </c>
      <c r="H105" s="3">
        <f ca="1">IFERROR(__xludf.DUMMYFUNCTION("""COMPUTED_VALUE"""),10)</f>
        <v>10</v>
      </c>
      <c r="I105" s="3">
        <f ca="1">IFERROR(__xludf.DUMMYFUNCTION("""COMPUTED_VALUE"""),8)</f>
        <v>8</v>
      </c>
      <c r="J105" s="3">
        <f ca="1">IFERROR(__xludf.DUMMYFUNCTION("""COMPUTED_VALUE"""),12)</f>
        <v>12</v>
      </c>
      <c r="K105" s="3">
        <f ca="1">IFERROR(__xludf.DUMMYFUNCTION("""COMPUTED_VALUE"""),4)</f>
        <v>4</v>
      </c>
      <c r="L105" s="3">
        <f ca="1">IFERROR(__xludf.DUMMYFUNCTION("""COMPUTED_VALUE"""),6)</f>
        <v>6</v>
      </c>
      <c r="M105" s="3">
        <f ca="1">IFERROR(__xludf.DUMMYFUNCTION("""COMPUTED_VALUE"""),9)</f>
        <v>9</v>
      </c>
      <c r="N105" s="3">
        <f ca="1">IFERROR(__xludf.DUMMYFUNCTION("""COMPUTED_VALUE"""),2798)</f>
        <v>2798</v>
      </c>
      <c r="O105" s="3">
        <f ca="1">IFERROR(__xludf.DUMMYFUNCTION("""COMPUTED_VALUE"""),2734)</f>
        <v>2734</v>
      </c>
      <c r="P105" s="3">
        <f ca="1">IFERROR(__xludf.DUMMYFUNCTION("""COMPUTED_VALUE"""),1360)</f>
        <v>1360</v>
      </c>
      <c r="Q105" s="3">
        <f ca="1">IFERROR(__xludf.DUMMYFUNCTION("""COMPUTED_VALUE"""),986)</f>
        <v>986</v>
      </c>
      <c r="R105" s="3">
        <f ca="1">IFERROR(__xludf.DUMMYFUNCTION("""COMPUTED_VALUE"""),2239)</f>
        <v>2239</v>
      </c>
      <c r="S105" s="3">
        <f ca="1">IFERROR(__xludf.DUMMYFUNCTION("""COMPUTED_VALUE"""),0.44)</f>
        <v>0.44</v>
      </c>
      <c r="T105" s="3">
        <f ca="1">IFERROR(__xludf.DUMMYFUNCTION("""COMPUTED_VALUE"""),279)</f>
        <v>279</v>
      </c>
      <c r="U105" s="3">
        <f ca="1">IFERROR(__xludf.DUMMYFUNCTION("""COMPUTED_VALUE"""),923)</f>
        <v>923</v>
      </c>
      <c r="V105" s="3">
        <f ca="1">IFERROR(__xludf.DUMMYFUNCTION("""COMPUTED_VALUE"""),0.302)</f>
        <v>0.30199999999999999</v>
      </c>
      <c r="W105" s="3">
        <f ca="1">IFERROR(__xludf.DUMMYFUNCTION("""COMPUTED_VALUE"""),547)</f>
        <v>547</v>
      </c>
      <c r="X105" s="3">
        <f ca="1">IFERROR(__xludf.DUMMYFUNCTION("""COMPUTED_VALUE"""),855)</f>
        <v>855</v>
      </c>
      <c r="Y105" s="3">
        <f ca="1">IFERROR(__xludf.DUMMYFUNCTION("""COMPUTED_VALUE"""),0.64)</f>
        <v>0.64</v>
      </c>
      <c r="Z105" s="3">
        <f ca="1">IFERROR(__xludf.DUMMYFUNCTION("""COMPUTED_VALUE"""),367)</f>
        <v>367</v>
      </c>
      <c r="AA105" s="3">
        <f ca="1">IFERROR(__xludf.DUMMYFUNCTION("""COMPUTED_VALUE"""),1217)</f>
        <v>1217</v>
      </c>
      <c r="AB105" s="3">
        <f ca="1">IFERROR(__xludf.DUMMYFUNCTION("""COMPUTED_VALUE"""),491)</f>
        <v>491</v>
      </c>
      <c r="AC105" s="3">
        <f ca="1">IFERROR(__xludf.DUMMYFUNCTION("""COMPUTED_VALUE"""),359)</f>
        <v>359</v>
      </c>
      <c r="AD105" s="3">
        <f ca="1">IFERROR(__xludf.DUMMYFUNCTION("""COMPUTED_VALUE"""),153)</f>
        <v>153</v>
      </c>
      <c r="AE105" s="3">
        <f ca="1">IFERROR(__xludf.DUMMYFUNCTION("""COMPUTED_VALUE"""),477)</f>
        <v>477</v>
      </c>
      <c r="AF105" s="3">
        <f ca="1">IFERROR(__xludf.DUMMYFUNCTION("""COMPUTED_VALUE"""),655)</f>
        <v>655</v>
      </c>
    </row>
    <row r="106" spans="1:32" x14ac:dyDescent="0.25">
      <c r="A106" s="3" t="str">
        <f ca="1">IFERROR(__xludf.DUMMYFUNCTION("""COMPUTED_VALUE"""),"Florida StateNCAA")</f>
        <v>Florida StateNCAA</v>
      </c>
      <c r="B106" s="3">
        <f ca="1">IFERROR(__xludf.DUMMYFUNCTION("""COMPUTED_VALUE"""),37)</f>
        <v>37</v>
      </c>
      <c r="C106" s="3">
        <f ca="1">IFERROR(__xludf.DUMMYFUNCTION("""COMPUTED_VALUE"""),29)</f>
        <v>29</v>
      </c>
      <c r="D106" s="3">
        <f ca="1">IFERROR(__xludf.DUMMYFUNCTION("""COMPUTED_VALUE"""),8)</f>
        <v>8</v>
      </c>
      <c r="E106" s="3">
        <f ca="1">IFERROR(__xludf.DUMMYFUNCTION("""COMPUTED_VALUE"""),0.784)</f>
        <v>0.78400000000000003</v>
      </c>
      <c r="F106" s="3">
        <f ca="1">IFERROR(__xludf.DUMMYFUNCTION("""COMPUTED_VALUE"""),17.99)</f>
        <v>17.989999999999998</v>
      </c>
      <c r="G106" s="3">
        <f ca="1">IFERROR(__xludf.DUMMYFUNCTION("""COMPUTED_VALUE"""),10.26)</f>
        <v>10.26</v>
      </c>
      <c r="H106" s="3">
        <f ca="1">IFERROR(__xludf.DUMMYFUNCTION("""COMPUTED_VALUE"""),13)</f>
        <v>13</v>
      </c>
      <c r="I106" s="3">
        <f ca="1">IFERROR(__xludf.DUMMYFUNCTION("""COMPUTED_VALUE"""),5)</f>
        <v>5</v>
      </c>
      <c r="J106" s="3">
        <f ca="1">IFERROR(__xludf.DUMMYFUNCTION("""COMPUTED_VALUE"""),15)</f>
        <v>15</v>
      </c>
      <c r="K106" s="3">
        <f ca="1">IFERROR(__xludf.DUMMYFUNCTION("""COMPUTED_VALUE"""),1)</f>
        <v>1</v>
      </c>
      <c r="L106" s="3">
        <f ca="1">IFERROR(__xludf.DUMMYFUNCTION("""COMPUTED_VALUE"""),6)</f>
        <v>6</v>
      </c>
      <c r="M106" s="3">
        <f ca="1">IFERROR(__xludf.DUMMYFUNCTION("""COMPUTED_VALUE"""),4)</f>
        <v>4</v>
      </c>
      <c r="N106" s="3">
        <f ca="1">IFERROR(__xludf.DUMMYFUNCTION("""COMPUTED_VALUE"""),2771)</f>
        <v>2771</v>
      </c>
      <c r="O106" s="3">
        <f ca="1">IFERROR(__xludf.DUMMYFUNCTION("""COMPUTED_VALUE"""),2485)</f>
        <v>2485</v>
      </c>
      <c r="P106" s="3">
        <f ca="1">IFERROR(__xludf.DUMMYFUNCTION("""COMPUTED_VALUE"""),1500)</f>
        <v>1500</v>
      </c>
      <c r="Q106" s="3">
        <f ca="1">IFERROR(__xludf.DUMMYFUNCTION("""COMPUTED_VALUE"""),960)</f>
        <v>960</v>
      </c>
      <c r="R106" s="3">
        <f ca="1">IFERROR(__xludf.DUMMYFUNCTION("""COMPUTED_VALUE"""),2171)</f>
        <v>2171</v>
      </c>
      <c r="S106" s="3">
        <f ca="1">IFERROR(__xludf.DUMMYFUNCTION("""COMPUTED_VALUE"""),0.442)</f>
        <v>0.442</v>
      </c>
      <c r="T106" s="3">
        <f ca="1">IFERROR(__xludf.DUMMYFUNCTION("""COMPUTED_VALUE"""),272)</f>
        <v>272</v>
      </c>
      <c r="U106" s="3">
        <f ca="1">IFERROR(__xludf.DUMMYFUNCTION("""COMPUTED_VALUE"""),819)</f>
        <v>819</v>
      </c>
      <c r="V106" s="3">
        <f ca="1">IFERROR(__xludf.DUMMYFUNCTION("""COMPUTED_VALUE"""),0.332)</f>
        <v>0.33200000000000002</v>
      </c>
      <c r="W106" s="3">
        <f ca="1">IFERROR(__xludf.DUMMYFUNCTION("""COMPUTED_VALUE"""),579)</f>
        <v>579</v>
      </c>
      <c r="X106" s="3">
        <f ca="1">IFERROR(__xludf.DUMMYFUNCTION("""COMPUTED_VALUE"""),778)</f>
        <v>778</v>
      </c>
      <c r="Y106" s="3">
        <f ca="1">IFERROR(__xludf.DUMMYFUNCTION("""COMPUTED_VALUE"""),0.744)</f>
        <v>0.74399999999999999</v>
      </c>
      <c r="Z106" s="3">
        <f ca="1">IFERROR(__xludf.DUMMYFUNCTION("""COMPUTED_VALUE"""),418)</f>
        <v>418</v>
      </c>
      <c r="AA106" s="3">
        <f ca="1">IFERROR(__xludf.DUMMYFUNCTION("""COMPUTED_VALUE"""),1391)</f>
        <v>1391</v>
      </c>
      <c r="AB106" s="3">
        <f ca="1">IFERROR(__xludf.DUMMYFUNCTION("""COMPUTED_VALUE"""),475)</f>
        <v>475</v>
      </c>
      <c r="AC106" s="3">
        <f ca="1">IFERROR(__xludf.DUMMYFUNCTION("""COMPUTED_VALUE"""),266)</f>
        <v>266</v>
      </c>
      <c r="AD106" s="3">
        <f ca="1">IFERROR(__xludf.DUMMYFUNCTION("""COMPUTED_VALUE"""),161)</f>
        <v>161</v>
      </c>
      <c r="AE106" s="3">
        <f ca="1">IFERROR(__xludf.DUMMYFUNCTION("""COMPUTED_VALUE"""),492)</f>
        <v>492</v>
      </c>
      <c r="AF106" s="3">
        <f ca="1">IFERROR(__xludf.DUMMYFUNCTION("""COMPUTED_VALUE"""),705)</f>
        <v>705</v>
      </c>
    </row>
    <row r="107" spans="1:32" x14ac:dyDescent="0.25">
      <c r="A107" s="3" t="str">
        <f ca="1">IFERROR(__xludf.DUMMYFUNCTION("""COMPUTED_VALUE"""),"FloridaNCAA")</f>
        <v>FloridaNCAA</v>
      </c>
      <c r="B107" s="3">
        <f ca="1">IFERROR(__xludf.DUMMYFUNCTION("""COMPUTED_VALUE"""),36)</f>
        <v>36</v>
      </c>
      <c r="C107" s="3">
        <f ca="1">IFERROR(__xludf.DUMMYFUNCTION("""COMPUTED_VALUE"""),20)</f>
        <v>20</v>
      </c>
      <c r="D107" s="3">
        <f ca="1">IFERROR(__xludf.DUMMYFUNCTION("""COMPUTED_VALUE"""),16)</f>
        <v>16</v>
      </c>
      <c r="E107" s="3">
        <f ca="1">IFERROR(__xludf.DUMMYFUNCTION("""COMPUTED_VALUE"""),0.556)</f>
        <v>0.55600000000000005</v>
      </c>
      <c r="F107" s="3">
        <f ca="1">IFERROR(__xludf.DUMMYFUNCTION("""COMPUTED_VALUE"""),15.42)</f>
        <v>15.42</v>
      </c>
      <c r="G107" s="3">
        <f ca="1">IFERROR(__xludf.DUMMYFUNCTION("""COMPUTED_VALUE"""),11.22)</f>
        <v>11.22</v>
      </c>
      <c r="H107" s="3">
        <f ca="1">IFERROR(__xludf.DUMMYFUNCTION("""COMPUTED_VALUE"""),9)</f>
        <v>9</v>
      </c>
      <c r="I107" s="3">
        <f ca="1">IFERROR(__xludf.DUMMYFUNCTION("""COMPUTED_VALUE"""),9)</f>
        <v>9</v>
      </c>
      <c r="J107" s="3">
        <f ca="1">IFERROR(__xludf.DUMMYFUNCTION("""COMPUTED_VALUE"""),9)</f>
        <v>9</v>
      </c>
      <c r="K107" s="3">
        <f ca="1">IFERROR(__xludf.DUMMYFUNCTION("""COMPUTED_VALUE"""),6)</f>
        <v>6</v>
      </c>
      <c r="L107" s="3">
        <f ca="1">IFERROR(__xludf.DUMMYFUNCTION("""COMPUTED_VALUE"""),5)</f>
        <v>5</v>
      </c>
      <c r="M107" s="3">
        <f ca="1">IFERROR(__xludf.DUMMYFUNCTION("""COMPUTED_VALUE"""),6)</f>
        <v>6</v>
      </c>
      <c r="N107" s="3">
        <f ca="1">IFERROR(__xludf.DUMMYFUNCTION("""COMPUTED_VALUE"""),2440)</f>
        <v>2440</v>
      </c>
      <c r="O107" s="3">
        <f ca="1">IFERROR(__xludf.DUMMYFUNCTION("""COMPUTED_VALUE"""),2289)</f>
        <v>2289</v>
      </c>
      <c r="P107" s="3">
        <f ca="1">IFERROR(__xludf.DUMMYFUNCTION("""COMPUTED_VALUE"""),1455)</f>
        <v>1455</v>
      </c>
      <c r="Q107" s="3">
        <f ca="1">IFERROR(__xludf.DUMMYFUNCTION("""COMPUTED_VALUE"""),857)</f>
        <v>857</v>
      </c>
      <c r="R107" s="3">
        <f ca="1">IFERROR(__xludf.DUMMYFUNCTION("""COMPUTED_VALUE"""),2015)</f>
        <v>2015</v>
      </c>
      <c r="S107" s="3">
        <f ca="1">IFERROR(__xludf.DUMMYFUNCTION("""COMPUTED_VALUE"""),0.425)</f>
        <v>0.42499999999999999</v>
      </c>
      <c r="T107" s="3">
        <f ca="1">IFERROR(__xludf.DUMMYFUNCTION("""COMPUTED_VALUE"""),291)</f>
        <v>291</v>
      </c>
      <c r="U107" s="3">
        <f ca="1">IFERROR(__xludf.DUMMYFUNCTION("""COMPUTED_VALUE"""),872)</f>
        <v>872</v>
      </c>
      <c r="V107" s="3">
        <f ca="1">IFERROR(__xludf.DUMMYFUNCTION("""COMPUTED_VALUE"""),0.334)</f>
        <v>0.33400000000000002</v>
      </c>
      <c r="W107" s="3">
        <f ca="1">IFERROR(__xludf.DUMMYFUNCTION("""COMPUTED_VALUE"""),435)</f>
        <v>435</v>
      </c>
      <c r="X107" s="3">
        <f ca="1">IFERROR(__xludf.DUMMYFUNCTION("""COMPUTED_VALUE"""),603)</f>
        <v>603</v>
      </c>
      <c r="Y107" s="3">
        <f ca="1">IFERROR(__xludf.DUMMYFUNCTION("""COMPUTED_VALUE"""),0.721)</f>
        <v>0.72099999999999997</v>
      </c>
      <c r="Z107" s="3">
        <f ca="1">IFERROR(__xludf.DUMMYFUNCTION("""COMPUTED_VALUE"""),375)</f>
        <v>375</v>
      </c>
      <c r="AA107" s="3">
        <f ca="1">IFERROR(__xludf.DUMMYFUNCTION("""COMPUTED_VALUE"""),1201)</f>
        <v>1201</v>
      </c>
      <c r="AB107" s="3">
        <f ca="1">IFERROR(__xludf.DUMMYFUNCTION("""COMPUTED_VALUE"""),437)</f>
        <v>437</v>
      </c>
      <c r="AC107" s="3">
        <f ca="1">IFERROR(__xludf.DUMMYFUNCTION("""COMPUTED_VALUE"""),257)</f>
        <v>257</v>
      </c>
      <c r="AD107" s="3">
        <f ca="1">IFERROR(__xludf.DUMMYFUNCTION("""COMPUTED_VALUE"""),131)</f>
        <v>131</v>
      </c>
      <c r="AE107" s="3">
        <f ca="1">IFERROR(__xludf.DUMMYFUNCTION("""COMPUTED_VALUE"""),420)</f>
        <v>420</v>
      </c>
      <c r="AF107" s="3">
        <f ca="1">IFERROR(__xludf.DUMMYFUNCTION("""COMPUTED_VALUE"""),614)</f>
        <v>614</v>
      </c>
    </row>
    <row r="108" spans="1:32" x14ac:dyDescent="0.25">
      <c r="A108" s="3" t="str">
        <f ca="1">IFERROR(__xludf.DUMMYFUNCTION("""COMPUTED_VALUE"""),"Fordham")</f>
        <v>Fordham</v>
      </c>
      <c r="B108" s="3">
        <f ca="1">IFERROR(__xludf.DUMMYFUNCTION("""COMPUTED_VALUE"""),32)</f>
        <v>32</v>
      </c>
      <c r="C108" s="3">
        <f ca="1">IFERROR(__xludf.DUMMYFUNCTION("""COMPUTED_VALUE"""),12)</f>
        <v>12</v>
      </c>
      <c r="D108" s="3">
        <f ca="1">IFERROR(__xludf.DUMMYFUNCTION("""COMPUTED_VALUE"""),20)</f>
        <v>20</v>
      </c>
      <c r="E108" s="3">
        <f ca="1">IFERROR(__xludf.DUMMYFUNCTION("""COMPUTED_VALUE"""),0.375)</f>
        <v>0.375</v>
      </c>
      <c r="F108" s="3">
        <f ca="1">IFERROR(__xludf.DUMMYFUNCTION("""COMPUTED_VALUE"""),-5.02)</f>
        <v>-5.0199999999999996</v>
      </c>
      <c r="G108" s="3">
        <f ca="1">IFERROR(__xludf.DUMMYFUNCTION("""COMPUTED_VALUE"""),-2.4)</f>
        <v>-2.4</v>
      </c>
      <c r="H108" s="3">
        <f ca="1">IFERROR(__xludf.DUMMYFUNCTION("""COMPUTED_VALUE"""),3)</f>
        <v>3</v>
      </c>
      <c r="I108" s="3">
        <f ca="1">IFERROR(__xludf.DUMMYFUNCTION("""COMPUTED_VALUE"""),15)</f>
        <v>15</v>
      </c>
      <c r="J108" s="3">
        <f ca="1">IFERROR(__xludf.DUMMYFUNCTION("""COMPUTED_VALUE"""),9)</f>
        <v>9</v>
      </c>
      <c r="K108" s="3">
        <f ca="1">IFERROR(__xludf.DUMMYFUNCTION("""COMPUTED_VALUE"""),10)</f>
        <v>10</v>
      </c>
      <c r="L108" s="3">
        <f ca="1">IFERROR(__xludf.DUMMYFUNCTION("""COMPUTED_VALUE"""),3)</f>
        <v>3</v>
      </c>
      <c r="M108" s="3">
        <f ca="1">IFERROR(__xludf.DUMMYFUNCTION("""COMPUTED_VALUE"""),8)</f>
        <v>8</v>
      </c>
      <c r="N108" s="3">
        <f ca="1">IFERROR(__xludf.DUMMYFUNCTION("""COMPUTED_VALUE"""),2108)</f>
        <v>2108</v>
      </c>
      <c r="O108" s="3">
        <f ca="1">IFERROR(__xludf.DUMMYFUNCTION("""COMPUTED_VALUE"""),2141)</f>
        <v>2141</v>
      </c>
      <c r="P108" s="3">
        <f ca="1">IFERROR(__xludf.DUMMYFUNCTION("""COMPUTED_VALUE"""),1295)</f>
        <v>1295</v>
      </c>
      <c r="Q108" s="3">
        <f ca="1">IFERROR(__xludf.DUMMYFUNCTION("""COMPUTED_VALUE"""),759)</f>
        <v>759</v>
      </c>
      <c r="R108" s="3">
        <f ca="1">IFERROR(__xludf.DUMMYFUNCTION("""COMPUTED_VALUE"""),1890)</f>
        <v>1890</v>
      </c>
      <c r="S108" s="3">
        <f ca="1">IFERROR(__xludf.DUMMYFUNCTION("""COMPUTED_VALUE"""),0.402)</f>
        <v>0.40200000000000002</v>
      </c>
      <c r="T108" s="3">
        <f ca="1">IFERROR(__xludf.DUMMYFUNCTION("""COMPUTED_VALUE"""),276)</f>
        <v>276</v>
      </c>
      <c r="U108" s="3">
        <f ca="1">IFERROR(__xludf.DUMMYFUNCTION("""COMPUTED_VALUE"""),831)</f>
        <v>831</v>
      </c>
      <c r="V108" s="3">
        <f ca="1">IFERROR(__xludf.DUMMYFUNCTION("""COMPUTED_VALUE"""),0.332)</f>
        <v>0.33200000000000002</v>
      </c>
      <c r="W108" s="3">
        <f ca="1">IFERROR(__xludf.DUMMYFUNCTION("""COMPUTED_VALUE"""),314)</f>
        <v>314</v>
      </c>
      <c r="X108" s="3">
        <f ca="1">IFERROR(__xludf.DUMMYFUNCTION("""COMPUTED_VALUE"""),462)</f>
        <v>462</v>
      </c>
      <c r="Y108" s="3">
        <f ca="1">IFERROR(__xludf.DUMMYFUNCTION("""COMPUTED_VALUE"""),0.68)</f>
        <v>0.68</v>
      </c>
      <c r="Z108" s="3">
        <f ca="1">IFERROR(__xludf.DUMMYFUNCTION("""COMPUTED_VALUE"""),305)</f>
        <v>305</v>
      </c>
      <c r="AA108" s="3">
        <f ca="1">IFERROR(__xludf.DUMMYFUNCTION("""COMPUTED_VALUE"""),1082)</f>
        <v>1082</v>
      </c>
      <c r="AB108" s="3">
        <f ca="1">IFERROR(__xludf.DUMMYFUNCTION("""COMPUTED_VALUE"""),360)</f>
        <v>360</v>
      </c>
      <c r="AC108" s="3">
        <f ca="1">IFERROR(__xludf.DUMMYFUNCTION("""COMPUTED_VALUE"""),188)</f>
        <v>188</v>
      </c>
      <c r="AD108" s="3">
        <f ca="1">IFERROR(__xludf.DUMMYFUNCTION("""COMPUTED_VALUE"""),108)</f>
        <v>108</v>
      </c>
      <c r="AE108" s="3">
        <f ca="1">IFERROR(__xludf.DUMMYFUNCTION("""COMPUTED_VALUE"""),345)</f>
        <v>345</v>
      </c>
      <c r="AF108" s="3">
        <f ca="1">IFERROR(__xludf.DUMMYFUNCTION("""COMPUTED_VALUE"""),559)</f>
        <v>559</v>
      </c>
    </row>
    <row r="109" spans="1:32" x14ac:dyDescent="0.25">
      <c r="A109" s="3" t="str">
        <f ca="1">IFERROR(__xludf.DUMMYFUNCTION("""COMPUTED_VALUE"""),"Fresno State")</f>
        <v>Fresno State</v>
      </c>
      <c r="B109" s="3">
        <f ca="1">IFERROR(__xludf.DUMMYFUNCTION("""COMPUTED_VALUE"""),32)</f>
        <v>32</v>
      </c>
      <c r="C109" s="3">
        <f ca="1">IFERROR(__xludf.DUMMYFUNCTION("""COMPUTED_VALUE"""),23)</f>
        <v>23</v>
      </c>
      <c r="D109" s="3">
        <f ca="1">IFERROR(__xludf.DUMMYFUNCTION("""COMPUTED_VALUE"""),9)</f>
        <v>9</v>
      </c>
      <c r="E109" s="3">
        <f ca="1">IFERROR(__xludf.DUMMYFUNCTION("""COMPUTED_VALUE"""),0.719)</f>
        <v>0.71899999999999997</v>
      </c>
      <c r="F109" s="3">
        <f ca="1">IFERROR(__xludf.DUMMYFUNCTION("""COMPUTED_VALUE"""),8.99)</f>
        <v>8.99</v>
      </c>
      <c r="G109" s="3">
        <f ca="1">IFERROR(__xludf.DUMMYFUNCTION("""COMPUTED_VALUE"""),0.67)</f>
        <v>0.67</v>
      </c>
      <c r="H109" s="3">
        <f ca="1">IFERROR(__xludf.DUMMYFUNCTION("""COMPUTED_VALUE"""),13)</f>
        <v>13</v>
      </c>
      <c r="I109" s="3">
        <f ca="1">IFERROR(__xludf.DUMMYFUNCTION("""COMPUTED_VALUE"""),5)</f>
        <v>5</v>
      </c>
      <c r="J109" s="3">
        <f ca="1">IFERROR(__xludf.DUMMYFUNCTION("""COMPUTED_VALUE"""),13)</f>
        <v>13</v>
      </c>
      <c r="K109" s="3">
        <f ca="1">IFERROR(__xludf.DUMMYFUNCTION("""COMPUTED_VALUE"""),4)</f>
        <v>4</v>
      </c>
      <c r="L109" s="3">
        <f ca="1">IFERROR(__xludf.DUMMYFUNCTION("""COMPUTED_VALUE"""),7)</f>
        <v>7</v>
      </c>
      <c r="M109" s="3">
        <f ca="1">IFERROR(__xludf.DUMMYFUNCTION("""COMPUTED_VALUE"""),3)</f>
        <v>3</v>
      </c>
      <c r="N109" s="3">
        <f ca="1">IFERROR(__xludf.DUMMYFUNCTION("""COMPUTED_VALUE"""),2448)</f>
        <v>2448</v>
      </c>
      <c r="O109" s="3">
        <f ca="1">IFERROR(__xludf.DUMMYFUNCTION("""COMPUTED_VALUE"""),2162)</f>
        <v>2162</v>
      </c>
      <c r="P109" s="3">
        <f ca="1">IFERROR(__xludf.DUMMYFUNCTION("""COMPUTED_VALUE"""),1285)</f>
        <v>1285</v>
      </c>
      <c r="Q109" s="3">
        <f ca="1">IFERROR(__xludf.DUMMYFUNCTION("""COMPUTED_VALUE"""),847)</f>
        <v>847</v>
      </c>
      <c r="R109" s="3">
        <f ca="1">IFERROR(__xludf.DUMMYFUNCTION("""COMPUTED_VALUE"""),1866)</f>
        <v>1866</v>
      </c>
      <c r="S109" s="3">
        <f ca="1">IFERROR(__xludf.DUMMYFUNCTION("""COMPUTED_VALUE"""),0.454)</f>
        <v>0.45400000000000001</v>
      </c>
      <c r="T109" s="3">
        <f ca="1">IFERROR(__xludf.DUMMYFUNCTION("""COMPUTED_VALUE"""),342)</f>
        <v>342</v>
      </c>
      <c r="U109" s="3">
        <f ca="1">IFERROR(__xludf.DUMMYFUNCTION("""COMPUTED_VALUE"""),897)</f>
        <v>897</v>
      </c>
      <c r="V109" s="3">
        <f ca="1">IFERROR(__xludf.DUMMYFUNCTION("""COMPUTED_VALUE"""),0.381)</f>
        <v>0.38100000000000001</v>
      </c>
      <c r="W109" s="3">
        <f ca="1">IFERROR(__xludf.DUMMYFUNCTION("""COMPUTED_VALUE"""),412)</f>
        <v>412</v>
      </c>
      <c r="X109" s="3">
        <f ca="1">IFERROR(__xludf.DUMMYFUNCTION("""COMPUTED_VALUE"""),572)</f>
        <v>572</v>
      </c>
      <c r="Y109" s="3">
        <f ca="1">IFERROR(__xludf.DUMMYFUNCTION("""COMPUTED_VALUE"""),0.72)</f>
        <v>0.72</v>
      </c>
      <c r="Z109" s="3">
        <f ca="1">IFERROR(__xludf.DUMMYFUNCTION("""COMPUTED_VALUE"""),300)</f>
        <v>300</v>
      </c>
      <c r="AA109" s="3">
        <f ca="1">IFERROR(__xludf.DUMMYFUNCTION("""COMPUTED_VALUE"""),1137)</f>
        <v>1137</v>
      </c>
      <c r="AB109" s="3">
        <f ca="1">IFERROR(__xludf.DUMMYFUNCTION("""COMPUTED_VALUE"""),457)</f>
        <v>457</v>
      </c>
      <c r="AC109" s="3">
        <f ca="1">IFERROR(__xludf.DUMMYFUNCTION("""COMPUTED_VALUE"""),228)</f>
        <v>228</v>
      </c>
      <c r="AD109" s="3">
        <f ca="1">IFERROR(__xludf.DUMMYFUNCTION("""COMPUTED_VALUE"""),111)</f>
        <v>111</v>
      </c>
      <c r="AE109" s="3">
        <f ca="1">IFERROR(__xludf.DUMMYFUNCTION("""COMPUTED_VALUE"""),400)</f>
        <v>400</v>
      </c>
      <c r="AF109" s="3">
        <f ca="1">IFERROR(__xludf.DUMMYFUNCTION("""COMPUTED_VALUE"""),592)</f>
        <v>592</v>
      </c>
    </row>
    <row r="110" spans="1:32" x14ac:dyDescent="0.25">
      <c r="A110" s="3" t="str">
        <f ca="1">IFERROR(__xludf.DUMMYFUNCTION("""COMPUTED_VALUE"""),"Overall")</f>
        <v>Overall</v>
      </c>
      <c r="B110" s="3" t="str">
        <f ca="1">IFERROR(__xludf.DUMMYFUNCTION("""COMPUTED_VALUE"""),"Conf.")</f>
        <v>Conf.</v>
      </c>
      <c r="C110" s="3" t="str">
        <f ca="1">IFERROR(__xludf.DUMMYFUNCTION("""COMPUTED_VALUE"""),"Home")</f>
        <v>Home</v>
      </c>
      <c r="D110" s="3" t="str">
        <f ca="1">IFERROR(__xludf.DUMMYFUNCTION("""COMPUTED_VALUE"""),"Away")</f>
        <v>Away</v>
      </c>
      <c r="E110" s="3" t="str">
        <f ca="1">IFERROR(__xludf.DUMMYFUNCTION("""COMPUTED_VALUE"""),"Points")</f>
        <v>Points</v>
      </c>
      <c r="F110" s="3" t="str">
        <f ca="1">IFERROR(__xludf.DUMMYFUNCTION("""COMPUTED_VALUE"""),"")</f>
        <v/>
      </c>
      <c r="G110" s="3" t="str">
        <f ca="1">IFERROR(__xludf.DUMMYFUNCTION("""COMPUTED_VALUE"""),"School Totals")</f>
        <v>School Totals</v>
      </c>
      <c r="H110" s="3" t="str">
        <f ca="1">IFERROR(__xludf.DUMMYFUNCTION("""COMPUTED_VALUE"""),"")</f>
        <v/>
      </c>
      <c r="I110" s="3" t="str">
        <f ca="1">IFERROR(__xludf.DUMMYFUNCTION("""COMPUTED_VALUE"""),"")</f>
        <v/>
      </c>
      <c r="J110" s="3" t="str">
        <f ca="1">IFERROR(__xludf.DUMMYFUNCTION("""COMPUTED_VALUE"""),"")</f>
        <v/>
      </c>
      <c r="K110" s="3" t="str">
        <f ca="1">IFERROR(__xludf.DUMMYFUNCTION("""COMPUTED_VALUE"""),"")</f>
        <v/>
      </c>
      <c r="L110" s="3" t="str">
        <f ca="1">IFERROR(__xludf.DUMMYFUNCTION("""COMPUTED_VALUE"""),"")</f>
        <v/>
      </c>
      <c r="M110" s="3" t="str">
        <f ca="1">IFERROR(__xludf.DUMMYFUNCTION("""COMPUTED_VALUE"""),"")</f>
        <v/>
      </c>
      <c r="N110" s="3" t="str">
        <f ca="1">IFERROR(__xludf.DUMMYFUNCTION("""COMPUTED_VALUE"""),"")</f>
        <v/>
      </c>
      <c r="O110" s="3" t="str">
        <f ca="1">IFERROR(__xludf.DUMMYFUNCTION("""COMPUTED_VALUE"""),"")</f>
        <v/>
      </c>
      <c r="P110" s="3" t="str">
        <f ca="1">IFERROR(__xludf.DUMMYFUNCTION("""COMPUTED_VALUE"""),"")</f>
        <v/>
      </c>
      <c r="Q110" s="3" t="str">
        <f ca="1">IFERROR(__xludf.DUMMYFUNCTION("""COMPUTED_VALUE"""),"")</f>
        <v/>
      </c>
      <c r="R110" s="3" t="str">
        <f ca="1">IFERROR(__xludf.DUMMYFUNCTION("""COMPUTED_VALUE"""),"")</f>
        <v/>
      </c>
      <c r="S110" s="3" t="str">
        <f ca="1">IFERROR(__xludf.DUMMYFUNCTION("""COMPUTED_VALUE"""),"")</f>
        <v/>
      </c>
      <c r="T110" s="3" t="str">
        <f ca="1">IFERROR(__xludf.DUMMYFUNCTION("""COMPUTED_VALUE"""),"")</f>
        <v/>
      </c>
      <c r="U110" s="3" t="str">
        <f ca="1">IFERROR(__xludf.DUMMYFUNCTION("""COMPUTED_VALUE"""),"")</f>
        <v/>
      </c>
      <c r="V110" s="3" t="str">
        <f ca="1">IFERROR(__xludf.DUMMYFUNCTION("""COMPUTED_VALUE"""),"")</f>
        <v/>
      </c>
      <c r="W110" s="3" t="str">
        <f ca="1">IFERROR(__xludf.DUMMYFUNCTION("""COMPUTED_VALUE"""),"")</f>
        <v/>
      </c>
      <c r="X110" s="3" t="str">
        <f ca="1">IFERROR(__xludf.DUMMYFUNCTION("""COMPUTED_VALUE"""),"")</f>
        <v/>
      </c>
      <c r="Y110" s="3" t="str">
        <f ca="1">IFERROR(__xludf.DUMMYFUNCTION("""COMPUTED_VALUE"""),"")</f>
        <v/>
      </c>
      <c r="Z110" s="3" t="str">
        <f ca="1">IFERROR(__xludf.DUMMYFUNCTION("""COMPUTED_VALUE"""),"")</f>
        <v/>
      </c>
      <c r="AA110" s="3" t="str">
        <f ca="1">IFERROR(__xludf.DUMMYFUNCTION("""COMPUTED_VALUE"""),"")</f>
        <v/>
      </c>
      <c r="AB110" s="3" t="str">
        <f ca="1">IFERROR(__xludf.DUMMYFUNCTION("""COMPUTED_VALUE"""),"")</f>
        <v/>
      </c>
      <c r="AC110" s="3" t="str">
        <f ca="1">IFERROR(__xludf.DUMMYFUNCTION("""COMPUTED_VALUE"""),"")</f>
        <v/>
      </c>
      <c r="AD110" s="3" t="str">
        <f ca="1">IFERROR(__xludf.DUMMYFUNCTION("""COMPUTED_VALUE"""),"")</f>
        <v/>
      </c>
      <c r="AE110" s="3" t="str">
        <f ca="1">IFERROR(__xludf.DUMMYFUNCTION("""COMPUTED_VALUE"""),"")</f>
        <v/>
      </c>
      <c r="AF110" s="3" t="str">
        <f ca="1">IFERROR(__xludf.DUMMYFUNCTION("""COMPUTED_VALUE"""),"")</f>
        <v/>
      </c>
    </row>
    <row r="111" spans="1:32" x14ac:dyDescent="0.25">
      <c r="A111" s="3" t="str">
        <f ca="1">IFERROR(__xludf.DUMMYFUNCTION("""COMPUTED_VALUE"""),"School")</f>
        <v>School</v>
      </c>
      <c r="B111" s="3" t="str">
        <f ca="1">IFERROR(__xludf.DUMMYFUNCTION("""COMPUTED_VALUE"""),"G")</f>
        <v>G</v>
      </c>
      <c r="C111" s="3" t="str">
        <f ca="1">IFERROR(__xludf.DUMMYFUNCTION("""COMPUTED_VALUE"""),"W")</f>
        <v>W</v>
      </c>
      <c r="D111" s="3" t="str">
        <f ca="1">IFERROR(__xludf.DUMMYFUNCTION("""COMPUTED_VALUE"""),"L")</f>
        <v>L</v>
      </c>
      <c r="E111" s="3" t="str">
        <f ca="1">IFERROR(__xludf.DUMMYFUNCTION("""COMPUTED_VALUE"""),"W-L%")</f>
        <v>W-L%</v>
      </c>
      <c r="F111" s="3" t="str">
        <f ca="1">IFERROR(__xludf.DUMMYFUNCTION("""COMPUTED_VALUE"""),"SRS")</f>
        <v>SRS</v>
      </c>
      <c r="G111" s="3" t="str">
        <f ca="1">IFERROR(__xludf.DUMMYFUNCTION("""COMPUTED_VALUE"""),"SOS")</f>
        <v>SOS</v>
      </c>
      <c r="H111" s="3" t="str">
        <f ca="1">IFERROR(__xludf.DUMMYFUNCTION("""COMPUTED_VALUE"""),"W")</f>
        <v>W</v>
      </c>
      <c r="I111" s="3" t="str">
        <f ca="1">IFERROR(__xludf.DUMMYFUNCTION("""COMPUTED_VALUE"""),"L")</f>
        <v>L</v>
      </c>
      <c r="J111" s="3" t="str">
        <f ca="1">IFERROR(__xludf.DUMMYFUNCTION("""COMPUTED_VALUE"""),"W")</f>
        <v>W</v>
      </c>
      <c r="K111" s="3" t="str">
        <f ca="1">IFERROR(__xludf.DUMMYFUNCTION("""COMPUTED_VALUE"""),"L")</f>
        <v>L</v>
      </c>
      <c r="L111" s="3" t="str">
        <f ca="1">IFERROR(__xludf.DUMMYFUNCTION("""COMPUTED_VALUE"""),"W")</f>
        <v>W</v>
      </c>
      <c r="M111" s="3" t="str">
        <f ca="1">IFERROR(__xludf.DUMMYFUNCTION("""COMPUTED_VALUE"""),"L")</f>
        <v>L</v>
      </c>
      <c r="N111" s="3" t="str">
        <f ca="1">IFERROR(__xludf.DUMMYFUNCTION("""COMPUTED_VALUE"""),"Tm.")</f>
        <v>Tm.</v>
      </c>
      <c r="O111" s="3" t="str">
        <f ca="1">IFERROR(__xludf.DUMMYFUNCTION("""COMPUTED_VALUE"""),"Opp.")</f>
        <v>Opp.</v>
      </c>
      <c r="P111" s="3" t="str">
        <f ca="1">IFERROR(__xludf.DUMMYFUNCTION("""COMPUTED_VALUE"""),"MP")</f>
        <v>MP</v>
      </c>
      <c r="Q111" s="3" t="str">
        <f ca="1">IFERROR(__xludf.DUMMYFUNCTION("""COMPUTED_VALUE"""),"FG")</f>
        <v>FG</v>
      </c>
      <c r="R111" s="3" t="str">
        <f ca="1">IFERROR(__xludf.DUMMYFUNCTION("""COMPUTED_VALUE"""),"FGA")</f>
        <v>FGA</v>
      </c>
      <c r="S111" s="3" t="str">
        <f ca="1">IFERROR(__xludf.DUMMYFUNCTION("""COMPUTED_VALUE"""),"FG%")</f>
        <v>FG%</v>
      </c>
      <c r="T111" s="3" t="str">
        <f ca="1">IFERROR(__xludf.DUMMYFUNCTION("""COMPUTED_VALUE"""),"3P")</f>
        <v>3P</v>
      </c>
      <c r="U111" s="3" t="str">
        <f ca="1">IFERROR(__xludf.DUMMYFUNCTION("""COMPUTED_VALUE"""),"3PA")</f>
        <v>3PA</v>
      </c>
      <c r="V111" s="3" t="str">
        <f ca="1">IFERROR(__xludf.DUMMYFUNCTION("""COMPUTED_VALUE"""),"3P%")</f>
        <v>3P%</v>
      </c>
      <c r="W111" s="3" t="str">
        <f ca="1">IFERROR(__xludf.DUMMYFUNCTION("""COMPUTED_VALUE"""),"FT")</f>
        <v>FT</v>
      </c>
      <c r="X111" s="3" t="str">
        <f ca="1">IFERROR(__xludf.DUMMYFUNCTION("""COMPUTED_VALUE"""),"FTA")</f>
        <v>FTA</v>
      </c>
      <c r="Y111" s="3" t="str">
        <f ca="1">IFERROR(__xludf.DUMMYFUNCTION("""COMPUTED_VALUE"""),"FT%")</f>
        <v>FT%</v>
      </c>
      <c r="Z111" s="3" t="str">
        <f ca="1">IFERROR(__xludf.DUMMYFUNCTION("""COMPUTED_VALUE"""),"ORB")</f>
        <v>ORB</v>
      </c>
      <c r="AA111" s="3" t="str">
        <f ca="1">IFERROR(__xludf.DUMMYFUNCTION("""COMPUTED_VALUE"""),"TRB")</f>
        <v>TRB</v>
      </c>
      <c r="AB111" s="3" t="str">
        <f ca="1">IFERROR(__xludf.DUMMYFUNCTION("""COMPUTED_VALUE"""),"AST")</f>
        <v>AST</v>
      </c>
      <c r="AC111" s="3" t="str">
        <f ca="1">IFERROR(__xludf.DUMMYFUNCTION("""COMPUTED_VALUE"""),"STL")</f>
        <v>STL</v>
      </c>
      <c r="AD111" s="3" t="str">
        <f ca="1">IFERROR(__xludf.DUMMYFUNCTION("""COMPUTED_VALUE"""),"BLK")</f>
        <v>BLK</v>
      </c>
      <c r="AE111" s="3" t="str">
        <f ca="1">IFERROR(__xludf.DUMMYFUNCTION("""COMPUTED_VALUE"""),"TOV")</f>
        <v>TOV</v>
      </c>
      <c r="AF111" s="3" t="str">
        <f ca="1">IFERROR(__xludf.DUMMYFUNCTION("""COMPUTED_VALUE"""),"PF")</f>
        <v>PF</v>
      </c>
    </row>
    <row r="112" spans="1:32" x14ac:dyDescent="0.25">
      <c r="A112" s="3" t="str">
        <f ca="1">IFERROR(__xludf.DUMMYFUNCTION("""COMPUTED_VALUE"""),"Furman")</f>
        <v>Furman</v>
      </c>
      <c r="B112" s="3">
        <f ca="1">IFERROR(__xludf.DUMMYFUNCTION("""COMPUTED_VALUE"""),33)</f>
        <v>33</v>
      </c>
      <c r="C112" s="3">
        <f ca="1">IFERROR(__xludf.DUMMYFUNCTION("""COMPUTED_VALUE"""),25)</f>
        <v>25</v>
      </c>
      <c r="D112" s="3">
        <f ca="1">IFERROR(__xludf.DUMMYFUNCTION("""COMPUTED_VALUE"""),8)</f>
        <v>8</v>
      </c>
      <c r="E112" s="3">
        <f ca="1">IFERROR(__xludf.DUMMYFUNCTION("""COMPUTED_VALUE"""),0.758)</f>
        <v>0.75800000000000001</v>
      </c>
      <c r="F112" s="3">
        <f ca="1">IFERROR(__xludf.DUMMYFUNCTION("""COMPUTED_VALUE"""),7.46)</f>
        <v>7.46</v>
      </c>
      <c r="G112" s="3">
        <f ca="1">IFERROR(__xludf.DUMMYFUNCTION("""COMPUTED_VALUE"""),-1.5)</f>
        <v>-1.5</v>
      </c>
      <c r="H112" s="3">
        <f ca="1">IFERROR(__xludf.DUMMYFUNCTION("""COMPUTED_VALUE"""),13)</f>
        <v>13</v>
      </c>
      <c r="I112" s="3">
        <f ca="1">IFERROR(__xludf.DUMMYFUNCTION("""COMPUTED_VALUE"""),5)</f>
        <v>5</v>
      </c>
      <c r="J112" s="3">
        <f ca="1">IFERROR(__xludf.DUMMYFUNCTION("""COMPUTED_VALUE"""),13)</f>
        <v>13</v>
      </c>
      <c r="K112" s="3">
        <f ca="1">IFERROR(__xludf.DUMMYFUNCTION("""COMPUTED_VALUE"""),3)</f>
        <v>3</v>
      </c>
      <c r="L112" s="3">
        <f ca="1">IFERROR(__xludf.DUMMYFUNCTION("""COMPUTED_VALUE"""),11)</f>
        <v>11</v>
      </c>
      <c r="M112" s="3">
        <f ca="1">IFERROR(__xludf.DUMMYFUNCTION("""COMPUTED_VALUE"""),4)</f>
        <v>4</v>
      </c>
      <c r="N112" s="3">
        <f ca="1">IFERROR(__xludf.DUMMYFUNCTION("""COMPUTED_VALUE"""),2562)</f>
        <v>2562</v>
      </c>
      <c r="O112" s="3">
        <f ca="1">IFERROR(__xludf.DUMMYFUNCTION("""COMPUTED_VALUE"""),2182)</f>
        <v>2182</v>
      </c>
      <c r="P112" s="3">
        <f ca="1">IFERROR(__xludf.DUMMYFUNCTION("""COMPUTED_VALUE"""),1340)</f>
        <v>1340</v>
      </c>
      <c r="Q112" s="3">
        <f ca="1">IFERROR(__xludf.DUMMYFUNCTION("""COMPUTED_VALUE"""),930)</f>
        <v>930</v>
      </c>
      <c r="R112" s="3">
        <f ca="1">IFERROR(__xludf.DUMMYFUNCTION("""COMPUTED_VALUE"""),1962)</f>
        <v>1962</v>
      </c>
      <c r="S112" s="3">
        <f ca="1">IFERROR(__xludf.DUMMYFUNCTION("""COMPUTED_VALUE"""),0.474)</f>
        <v>0.47399999999999998</v>
      </c>
      <c r="T112" s="3">
        <f ca="1">IFERROR(__xludf.DUMMYFUNCTION("""COMPUTED_VALUE"""),338)</f>
        <v>338</v>
      </c>
      <c r="U112" s="3">
        <f ca="1">IFERROR(__xludf.DUMMYFUNCTION("""COMPUTED_VALUE"""),935)</f>
        <v>935</v>
      </c>
      <c r="V112" s="3">
        <f ca="1">IFERROR(__xludf.DUMMYFUNCTION("""COMPUTED_VALUE"""),0.361)</f>
        <v>0.36099999999999999</v>
      </c>
      <c r="W112" s="3">
        <f ca="1">IFERROR(__xludf.DUMMYFUNCTION("""COMPUTED_VALUE"""),364)</f>
        <v>364</v>
      </c>
      <c r="X112" s="3">
        <f ca="1">IFERROR(__xludf.DUMMYFUNCTION("""COMPUTED_VALUE"""),508)</f>
        <v>508</v>
      </c>
      <c r="Y112" s="3">
        <f ca="1">IFERROR(__xludf.DUMMYFUNCTION("""COMPUTED_VALUE"""),0.717)</f>
        <v>0.71699999999999997</v>
      </c>
      <c r="Z112" s="3">
        <f ca="1">IFERROR(__xludf.DUMMYFUNCTION("""COMPUTED_VALUE"""),326)</f>
        <v>326</v>
      </c>
      <c r="AA112" s="3">
        <f ca="1">IFERROR(__xludf.DUMMYFUNCTION("""COMPUTED_VALUE"""),1171)</f>
        <v>1171</v>
      </c>
      <c r="AB112" s="3">
        <f ca="1">IFERROR(__xludf.DUMMYFUNCTION("""COMPUTED_VALUE"""),524)</f>
        <v>524</v>
      </c>
      <c r="AC112" s="3">
        <f ca="1">IFERROR(__xludf.DUMMYFUNCTION("""COMPUTED_VALUE"""),288)</f>
        <v>288</v>
      </c>
      <c r="AD112" s="3">
        <f ca="1">IFERROR(__xludf.DUMMYFUNCTION("""COMPUTED_VALUE"""),137)</f>
        <v>137</v>
      </c>
      <c r="AE112" s="3">
        <f ca="1">IFERROR(__xludf.DUMMYFUNCTION("""COMPUTED_VALUE"""),407)</f>
        <v>407</v>
      </c>
      <c r="AF112" s="3">
        <f ca="1">IFERROR(__xludf.DUMMYFUNCTION("""COMPUTED_VALUE"""),481)</f>
        <v>481</v>
      </c>
    </row>
    <row r="113" spans="1:32" x14ac:dyDescent="0.25">
      <c r="A113" s="3" t="str">
        <f ca="1">IFERROR(__xludf.DUMMYFUNCTION("""COMPUTED_VALUE"""),"Gardner-WebbNCAA")</f>
        <v>Gardner-WebbNCAA</v>
      </c>
      <c r="B113" s="3">
        <f ca="1">IFERROR(__xludf.DUMMYFUNCTION("""COMPUTED_VALUE"""),35)</f>
        <v>35</v>
      </c>
      <c r="C113" s="3">
        <f ca="1">IFERROR(__xludf.DUMMYFUNCTION("""COMPUTED_VALUE"""),23)</f>
        <v>23</v>
      </c>
      <c r="D113" s="3">
        <f ca="1">IFERROR(__xludf.DUMMYFUNCTION("""COMPUTED_VALUE"""),12)</f>
        <v>12</v>
      </c>
      <c r="E113" s="3">
        <f ca="1">IFERROR(__xludf.DUMMYFUNCTION("""COMPUTED_VALUE"""),0.657)</f>
        <v>0.65700000000000003</v>
      </c>
      <c r="F113" s="3">
        <f ca="1">IFERROR(__xludf.DUMMYFUNCTION("""COMPUTED_VALUE"""),-2.61)</f>
        <v>-2.61</v>
      </c>
      <c r="G113" s="3">
        <f ca="1">IFERROR(__xludf.DUMMYFUNCTION("""COMPUTED_VALUE"""),-4.43)</f>
        <v>-4.43</v>
      </c>
      <c r="H113" s="3">
        <f ca="1">IFERROR(__xludf.DUMMYFUNCTION("""COMPUTED_VALUE"""),11)</f>
        <v>11</v>
      </c>
      <c r="I113" s="3">
        <f ca="1">IFERROR(__xludf.DUMMYFUNCTION("""COMPUTED_VALUE"""),6)</f>
        <v>6</v>
      </c>
      <c r="J113" s="3">
        <f ca="1">IFERROR(__xludf.DUMMYFUNCTION("""COMPUTED_VALUE"""),13)</f>
        <v>13</v>
      </c>
      <c r="K113" s="3">
        <f ca="1">IFERROR(__xludf.DUMMYFUNCTION("""COMPUTED_VALUE"""),0)</f>
        <v>0</v>
      </c>
      <c r="L113" s="3">
        <f ca="1">IFERROR(__xludf.DUMMYFUNCTION("""COMPUTED_VALUE"""),8)</f>
        <v>8</v>
      </c>
      <c r="M113" s="3">
        <f ca="1">IFERROR(__xludf.DUMMYFUNCTION("""COMPUTED_VALUE"""),9)</f>
        <v>9</v>
      </c>
      <c r="N113" s="3">
        <f ca="1">IFERROR(__xludf.DUMMYFUNCTION("""COMPUTED_VALUE"""),2718)</f>
        <v>2718</v>
      </c>
      <c r="O113" s="3">
        <f ca="1">IFERROR(__xludf.DUMMYFUNCTION("""COMPUTED_VALUE"""),2468)</f>
        <v>2468</v>
      </c>
      <c r="P113" s="3">
        <f ca="1">IFERROR(__xludf.DUMMYFUNCTION("""COMPUTED_VALUE"""),1430)</f>
        <v>1430</v>
      </c>
      <c r="Q113" s="3">
        <f ca="1">IFERROR(__xludf.DUMMYFUNCTION("""COMPUTED_VALUE"""),955)</f>
        <v>955</v>
      </c>
      <c r="R113" s="3">
        <f ca="1">IFERROR(__xludf.DUMMYFUNCTION("""COMPUTED_VALUE"""),1962)</f>
        <v>1962</v>
      </c>
      <c r="S113" s="3">
        <f ca="1">IFERROR(__xludf.DUMMYFUNCTION("""COMPUTED_VALUE"""),0.487)</f>
        <v>0.48699999999999999</v>
      </c>
      <c r="T113" s="3">
        <f ca="1">IFERROR(__xludf.DUMMYFUNCTION("""COMPUTED_VALUE"""),281)</f>
        <v>281</v>
      </c>
      <c r="U113" s="3">
        <f ca="1">IFERROR(__xludf.DUMMYFUNCTION("""COMPUTED_VALUE"""),719)</f>
        <v>719</v>
      </c>
      <c r="V113" s="3">
        <f ca="1">IFERROR(__xludf.DUMMYFUNCTION("""COMPUTED_VALUE"""),0.391)</f>
        <v>0.39100000000000001</v>
      </c>
      <c r="W113" s="3">
        <f ca="1">IFERROR(__xludf.DUMMYFUNCTION("""COMPUTED_VALUE"""),527)</f>
        <v>527</v>
      </c>
      <c r="X113" s="3">
        <f ca="1">IFERROR(__xludf.DUMMYFUNCTION("""COMPUTED_VALUE"""),741)</f>
        <v>741</v>
      </c>
      <c r="Y113" s="3">
        <f ca="1">IFERROR(__xludf.DUMMYFUNCTION("""COMPUTED_VALUE"""),0.711)</f>
        <v>0.71099999999999997</v>
      </c>
      <c r="Z113" s="3">
        <f ca="1">IFERROR(__xludf.DUMMYFUNCTION("""COMPUTED_VALUE"""),271)</f>
        <v>271</v>
      </c>
      <c r="AA113" s="3">
        <f ca="1">IFERROR(__xludf.DUMMYFUNCTION("""COMPUTED_VALUE"""),1190)</f>
        <v>1190</v>
      </c>
      <c r="AB113" s="3">
        <f ca="1">IFERROR(__xludf.DUMMYFUNCTION("""COMPUTED_VALUE"""),502)</f>
        <v>502</v>
      </c>
      <c r="AC113" s="3">
        <f ca="1">IFERROR(__xludf.DUMMYFUNCTION("""COMPUTED_VALUE"""),238)</f>
        <v>238</v>
      </c>
      <c r="AD113" s="3">
        <f ca="1">IFERROR(__xludf.DUMMYFUNCTION("""COMPUTED_VALUE"""),101)</f>
        <v>101</v>
      </c>
      <c r="AE113" s="3">
        <f ca="1">IFERROR(__xludf.DUMMYFUNCTION("""COMPUTED_VALUE"""),407)</f>
        <v>407</v>
      </c>
      <c r="AF113" s="3">
        <f ca="1">IFERROR(__xludf.DUMMYFUNCTION("""COMPUTED_VALUE"""),561)</f>
        <v>561</v>
      </c>
    </row>
    <row r="114" spans="1:32" x14ac:dyDescent="0.25">
      <c r="A114" s="3" t="str">
        <f ca="1">IFERROR(__xludf.DUMMYFUNCTION("""COMPUTED_VALUE"""),"George Mason")</f>
        <v>George Mason</v>
      </c>
      <c r="B114" s="3">
        <f ca="1">IFERROR(__xludf.DUMMYFUNCTION("""COMPUTED_VALUE"""),33)</f>
        <v>33</v>
      </c>
      <c r="C114" s="3">
        <f ca="1">IFERROR(__xludf.DUMMYFUNCTION("""COMPUTED_VALUE"""),18)</f>
        <v>18</v>
      </c>
      <c r="D114" s="3">
        <f ca="1">IFERROR(__xludf.DUMMYFUNCTION("""COMPUTED_VALUE"""),15)</f>
        <v>15</v>
      </c>
      <c r="E114" s="3">
        <f ca="1">IFERROR(__xludf.DUMMYFUNCTION("""COMPUTED_VALUE"""),0.545)</f>
        <v>0.54500000000000004</v>
      </c>
      <c r="F114" s="3">
        <f ca="1">IFERROR(__xludf.DUMMYFUNCTION("""COMPUTED_VALUE"""),0.84)</f>
        <v>0.84</v>
      </c>
      <c r="G114" s="3">
        <f ca="1">IFERROR(__xludf.DUMMYFUNCTION("""COMPUTED_VALUE"""),0.08)</f>
        <v>0.08</v>
      </c>
      <c r="H114" s="3">
        <f ca="1">IFERROR(__xludf.DUMMYFUNCTION("""COMPUTED_VALUE"""),11)</f>
        <v>11</v>
      </c>
      <c r="I114" s="3">
        <f ca="1">IFERROR(__xludf.DUMMYFUNCTION("""COMPUTED_VALUE"""),7)</f>
        <v>7</v>
      </c>
      <c r="J114" s="3">
        <f ca="1">IFERROR(__xludf.DUMMYFUNCTION("""COMPUTED_VALUE"""),11)</f>
        <v>11</v>
      </c>
      <c r="K114" s="3">
        <f ca="1">IFERROR(__xludf.DUMMYFUNCTION("""COMPUTED_VALUE"""),6)</f>
        <v>6</v>
      </c>
      <c r="L114" s="3">
        <f ca="1">IFERROR(__xludf.DUMMYFUNCTION("""COMPUTED_VALUE"""),6)</f>
        <v>6</v>
      </c>
      <c r="M114" s="3">
        <f ca="1">IFERROR(__xludf.DUMMYFUNCTION("""COMPUTED_VALUE"""),6)</f>
        <v>6</v>
      </c>
      <c r="N114" s="3">
        <f ca="1">IFERROR(__xludf.DUMMYFUNCTION("""COMPUTED_VALUE"""),2314)</f>
        <v>2314</v>
      </c>
      <c r="O114" s="3">
        <f ca="1">IFERROR(__xludf.DUMMYFUNCTION("""COMPUTED_VALUE"""),2289)</f>
        <v>2289</v>
      </c>
      <c r="P114" s="3">
        <f ca="1">IFERROR(__xludf.DUMMYFUNCTION("""COMPUTED_VALUE"""),1330)</f>
        <v>1330</v>
      </c>
      <c r="Q114" s="3">
        <f ca="1">IFERROR(__xludf.DUMMYFUNCTION("""COMPUTED_VALUE"""),825)</f>
        <v>825</v>
      </c>
      <c r="R114" s="3">
        <f ca="1">IFERROR(__xludf.DUMMYFUNCTION("""COMPUTED_VALUE"""),1855)</f>
        <v>1855</v>
      </c>
      <c r="S114" s="3">
        <f ca="1">IFERROR(__xludf.DUMMYFUNCTION("""COMPUTED_VALUE"""),0.445)</f>
        <v>0.44500000000000001</v>
      </c>
      <c r="T114" s="3">
        <f ca="1">IFERROR(__xludf.DUMMYFUNCTION("""COMPUTED_VALUE"""),210)</f>
        <v>210</v>
      </c>
      <c r="U114" s="3">
        <f ca="1">IFERROR(__xludf.DUMMYFUNCTION("""COMPUTED_VALUE"""),637)</f>
        <v>637</v>
      </c>
      <c r="V114" s="3">
        <f ca="1">IFERROR(__xludf.DUMMYFUNCTION("""COMPUTED_VALUE"""),0.33)</f>
        <v>0.33</v>
      </c>
      <c r="W114" s="3">
        <f ca="1">IFERROR(__xludf.DUMMYFUNCTION("""COMPUTED_VALUE"""),454)</f>
        <v>454</v>
      </c>
      <c r="X114" s="3">
        <f ca="1">IFERROR(__xludf.DUMMYFUNCTION("""COMPUTED_VALUE"""),634)</f>
        <v>634</v>
      </c>
      <c r="Y114" s="3">
        <f ca="1">IFERROR(__xludf.DUMMYFUNCTION("""COMPUTED_VALUE"""),0.716)</f>
        <v>0.71599999999999997</v>
      </c>
      <c r="Z114" s="3">
        <f ca="1">IFERROR(__xludf.DUMMYFUNCTION("""COMPUTED_VALUE"""),323)</f>
        <v>323</v>
      </c>
      <c r="AA114" s="3">
        <f ca="1">IFERROR(__xludf.DUMMYFUNCTION("""COMPUTED_VALUE"""),1166)</f>
        <v>1166</v>
      </c>
      <c r="AB114" s="3">
        <f ca="1">IFERROR(__xludf.DUMMYFUNCTION("""COMPUTED_VALUE"""),399)</f>
        <v>399</v>
      </c>
      <c r="AC114" s="3">
        <f ca="1">IFERROR(__xludf.DUMMYFUNCTION("""COMPUTED_VALUE"""),204)</f>
        <v>204</v>
      </c>
      <c r="AD114" s="3">
        <f ca="1">IFERROR(__xludf.DUMMYFUNCTION("""COMPUTED_VALUE"""),97)</f>
        <v>97</v>
      </c>
      <c r="AE114" s="3">
        <f ca="1">IFERROR(__xludf.DUMMYFUNCTION("""COMPUTED_VALUE"""),428)</f>
        <v>428</v>
      </c>
      <c r="AF114" s="3">
        <f ca="1">IFERROR(__xludf.DUMMYFUNCTION("""COMPUTED_VALUE"""),563)</f>
        <v>563</v>
      </c>
    </row>
    <row r="115" spans="1:32" x14ac:dyDescent="0.25">
      <c r="A115" s="3" t="str">
        <f ca="1">IFERROR(__xludf.DUMMYFUNCTION("""COMPUTED_VALUE"""),"George Washington")</f>
        <v>George Washington</v>
      </c>
      <c r="B115" s="3">
        <f ca="1">IFERROR(__xludf.DUMMYFUNCTION("""COMPUTED_VALUE"""),33)</f>
        <v>33</v>
      </c>
      <c r="C115" s="3">
        <f ca="1">IFERROR(__xludf.DUMMYFUNCTION("""COMPUTED_VALUE"""),9)</f>
        <v>9</v>
      </c>
      <c r="D115" s="3">
        <f ca="1">IFERROR(__xludf.DUMMYFUNCTION("""COMPUTED_VALUE"""),24)</f>
        <v>24</v>
      </c>
      <c r="E115" s="3">
        <f ca="1">IFERROR(__xludf.DUMMYFUNCTION("""COMPUTED_VALUE"""),0.273)</f>
        <v>0.27300000000000002</v>
      </c>
      <c r="F115" s="3">
        <f ca="1">IFERROR(__xludf.DUMMYFUNCTION("""COMPUTED_VALUE"""),-6.65)</f>
        <v>-6.65</v>
      </c>
      <c r="G115" s="3">
        <f ca="1">IFERROR(__xludf.DUMMYFUNCTION("""COMPUTED_VALUE"""),1.2)</f>
        <v>1.2</v>
      </c>
      <c r="H115" s="3">
        <f ca="1">IFERROR(__xludf.DUMMYFUNCTION("""COMPUTED_VALUE"""),4)</f>
        <v>4</v>
      </c>
      <c r="I115" s="3">
        <f ca="1">IFERROR(__xludf.DUMMYFUNCTION("""COMPUTED_VALUE"""),14)</f>
        <v>14</v>
      </c>
      <c r="J115" s="3">
        <f ca="1">IFERROR(__xludf.DUMMYFUNCTION("""COMPUTED_VALUE"""),6)</f>
        <v>6</v>
      </c>
      <c r="K115" s="3">
        <f ca="1">IFERROR(__xludf.DUMMYFUNCTION("""COMPUTED_VALUE"""),11)</f>
        <v>11</v>
      </c>
      <c r="L115" s="3">
        <f ca="1">IFERROR(__xludf.DUMMYFUNCTION("""COMPUTED_VALUE"""),2)</f>
        <v>2</v>
      </c>
      <c r="M115" s="3">
        <f ca="1">IFERROR(__xludf.DUMMYFUNCTION("""COMPUTED_VALUE"""),10)</f>
        <v>10</v>
      </c>
      <c r="N115" s="3">
        <f ca="1">IFERROR(__xludf.DUMMYFUNCTION("""COMPUTED_VALUE"""),2097)</f>
        <v>2097</v>
      </c>
      <c r="O115" s="3">
        <f ca="1">IFERROR(__xludf.DUMMYFUNCTION("""COMPUTED_VALUE"""),2356)</f>
        <v>2356</v>
      </c>
      <c r="P115" s="3">
        <f ca="1">IFERROR(__xludf.DUMMYFUNCTION("""COMPUTED_VALUE"""),1340)</f>
        <v>1340</v>
      </c>
      <c r="Q115" s="3">
        <f ca="1">IFERROR(__xludf.DUMMYFUNCTION("""COMPUTED_VALUE"""),745)</f>
        <v>745</v>
      </c>
      <c r="R115" s="3">
        <f ca="1">IFERROR(__xludf.DUMMYFUNCTION("""COMPUTED_VALUE"""),1842)</f>
        <v>1842</v>
      </c>
      <c r="S115" s="3">
        <f ca="1">IFERROR(__xludf.DUMMYFUNCTION("""COMPUTED_VALUE"""),0.404)</f>
        <v>0.40400000000000003</v>
      </c>
      <c r="T115" s="3">
        <f ca="1">IFERROR(__xludf.DUMMYFUNCTION("""COMPUTED_VALUE"""),196)</f>
        <v>196</v>
      </c>
      <c r="U115" s="3">
        <f ca="1">IFERROR(__xludf.DUMMYFUNCTION("""COMPUTED_VALUE"""),631)</f>
        <v>631</v>
      </c>
      <c r="V115" s="3">
        <f ca="1">IFERROR(__xludf.DUMMYFUNCTION("""COMPUTED_VALUE"""),0.311)</f>
        <v>0.311</v>
      </c>
      <c r="W115" s="3">
        <f ca="1">IFERROR(__xludf.DUMMYFUNCTION("""COMPUTED_VALUE"""),411)</f>
        <v>411</v>
      </c>
      <c r="X115" s="3">
        <f ca="1">IFERROR(__xludf.DUMMYFUNCTION("""COMPUTED_VALUE"""),600)</f>
        <v>600</v>
      </c>
      <c r="Y115" s="3">
        <f ca="1">IFERROR(__xludf.DUMMYFUNCTION("""COMPUTED_VALUE"""),0.685)</f>
        <v>0.68500000000000005</v>
      </c>
      <c r="Z115" s="3">
        <f ca="1">IFERROR(__xludf.DUMMYFUNCTION("""COMPUTED_VALUE"""),274)</f>
        <v>274</v>
      </c>
      <c r="AA115" s="3">
        <f ca="1">IFERROR(__xludf.DUMMYFUNCTION("""COMPUTED_VALUE"""),1116)</f>
        <v>1116</v>
      </c>
      <c r="AB115" s="3">
        <f ca="1">IFERROR(__xludf.DUMMYFUNCTION("""COMPUTED_VALUE"""),375)</f>
        <v>375</v>
      </c>
      <c r="AC115" s="3">
        <f ca="1">IFERROR(__xludf.DUMMYFUNCTION("""COMPUTED_VALUE"""),170)</f>
        <v>170</v>
      </c>
      <c r="AD115" s="3">
        <f ca="1">IFERROR(__xludf.DUMMYFUNCTION("""COMPUTED_VALUE"""),96)</f>
        <v>96</v>
      </c>
      <c r="AE115" s="3">
        <f ca="1">IFERROR(__xludf.DUMMYFUNCTION("""COMPUTED_VALUE"""),413)</f>
        <v>413</v>
      </c>
      <c r="AF115" s="3">
        <f ca="1">IFERROR(__xludf.DUMMYFUNCTION("""COMPUTED_VALUE"""),526)</f>
        <v>526</v>
      </c>
    </row>
    <row r="116" spans="1:32" x14ac:dyDescent="0.25">
      <c r="A116" s="3" t="str">
        <f ca="1">IFERROR(__xludf.DUMMYFUNCTION("""COMPUTED_VALUE"""),"Georgetown")</f>
        <v>Georgetown</v>
      </c>
      <c r="B116" s="3">
        <f ca="1">IFERROR(__xludf.DUMMYFUNCTION("""COMPUTED_VALUE"""),33)</f>
        <v>33</v>
      </c>
      <c r="C116" s="3">
        <f ca="1">IFERROR(__xludf.DUMMYFUNCTION("""COMPUTED_VALUE"""),19)</f>
        <v>19</v>
      </c>
      <c r="D116" s="3">
        <f ca="1">IFERROR(__xludf.DUMMYFUNCTION("""COMPUTED_VALUE"""),14)</f>
        <v>14</v>
      </c>
      <c r="E116" s="3">
        <f ca="1">IFERROR(__xludf.DUMMYFUNCTION("""COMPUTED_VALUE"""),0.576)</f>
        <v>0.57599999999999996</v>
      </c>
      <c r="F116" s="3">
        <f ca="1">IFERROR(__xludf.DUMMYFUNCTION("""COMPUTED_VALUE"""),6.8)</f>
        <v>6.8</v>
      </c>
      <c r="G116" s="3">
        <f ca="1">IFERROR(__xludf.DUMMYFUNCTION("""COMPUTED_VALUE"""),5.31)</f>
        <v>5.31</v>
      </c>
      <c r="H116" s="3">
        <f ca="1">IFERROR(__xludf.DUMMYFUNCTION("""COMPUTED_VALUE"""),9)</f>
        <v>9</v>
      </c>
      <c r="I116" s="3">
        <f ca="1">IFERROR(__xludf.DUMMYFUNCTION("""COMPUTED_VALUE"""),9)</f>
        <v>9</v>
      </c>
      <c r="J116" s="3">
        <f ca="1">IFERROR(__xludf.DUMMYFUNCTION("""COMPUTED_VALUE"""),13)</f>
        <v>13</v>
      </c>
      <c r="K116" s="3">
        <f ca="1">IFERROR(__xludf.DUMMYFUNCTION("""COMPUTED_VALUE"""),6)</f>
        <v>6</v>
      </c>
      <c r="L116" s="3">
        <f ca="1">IFERROR(__xludf.DUMMYFUNCTION("""COMPUTED_VALUE"""),5)</f>
        <v>5</v>
      </c>
      <c r="M116" s="3">
        <f ca="1">IFERROR(__xludf.DUMMYFUNCTION("""COMPUTED_VALUE"""),6)</f>
        <v>6</v>
      </c>
      <c r="N116" s="3">
        <f ca="1">IFERROR(__xludf.DUMMYFUNCTION("""COMPUTED_VALUE"""),2625)</f>
        <v>2625</v>
      </c>
      <c r="O116" s="3">
        <f ca="1">IFERROR(__xludf.DUMMYFUNCTION("""COMPUTED_VALUE"""),2576)</f>
        <v>2576</v>
      </c>
      <c r="P116" s="3">
        <f ca="1">IFERROR(__xludf.DUMMYFUNCTION("""COMPUTED_VALUE"""),1355)</f>
        <v>1355</v>
      </c>
      <c r="Q116" s="3">
        <f ca="1">IFERROR(__xludf.DUMMYFUNCTION("""COMPUTED_VALUE"""),894)</f>
        <v>894</v>
      </c>
      <c r="R116" s="3">
        <f ca="1">IFERROR(__xludf.DUMMYFUNCTION("""COMPUTED_VALUE"""),2017)</f>
        <v>2017</v>
      </c>
      <c r="S116" s="3">
        <f ca="1">IFERROR(__xludf.DUMMYFUNCTION("""COMPUTED_VALUE"""),0.443)</f>
        <v>0.443</v>
      </c>
      <c r="T116" s="3">
        <f ca="1">IFERROR(__xludf.DUMMYFUNCTION("""COMPUTED_VALUE"""),269)</f>
        <v>269</v>
      </c>
      <c r="U116" s="3">
        <f ca="1">IFERROR(__xludf.DUMMYFUNCTION("""COMPUTED_VALUE"""),757)</f>
        <v>757</v>
      </c>
      <c r="V116" s="3">
        <f ca="1">IFERROR(__xludf.DUMMYFUNCTION("""COMPUTED_VALUE"""),0.355)</f>
        <v>0.35499999999999998</v>
      </c>
      <c r="W116" s="3">
        <f ca="1">IFERROR(__xludf.DUMMYFUNCTION("""COMPUTED_VALUE"""),568)</f>
        <v>568</v>
      </c>
      <c r="X116" s="3">
        <f ca="1">IFERROR(__xludf.DUMMYFUNCTION("""COMPUTED_VALUE"""),771)</f>
        <v>771</v>
      </c>
      <c r="Y116" s="3">
        <f ca="1">IFERROR(__xludf.DUMMYFUNCTION("""COMPUTED_VALUE"""),0.737)</f>
        <v>0.73699999999999999</v>
      </c>
      <c r="Z116" s="3">
        <f ca="1">IFERROR(__xludf.DUMMYFUNCTION("""COMPUTED_VALUE"""),350)</f>
        <v>350</v>
      </c>
      <c r="AA116" s="3">
        <f ca="1">IFERROR(__xludf.DUMMYFUNCTION("""COMPUTED_VALUE"""),1299)</f>
        <v>1299</v>
      </c>
      <c r="AB116" s="3">
        <f ca="1">IFERROR(__xludf.DUMMYFUNCTION("""COMPUTED_VALUE"""),542)</f>
        <v>542</v>
      </c>
      <c r="AC116" s="3">
        <f ca="1">IFERROR(__xludf.DUMMYFUNCTION("""COMPUTED_VALUE"""),198)</f>
        <v>198</v>
      </c>
      <c r="AD116" s="3">
        <f ca="1">IFERROR(__xludf.DUMMYFUNCTION("""COMPUTED_VALUE"""),131)</f>
        <v>131</v>
      </c>
      <c r="AE116" s="3">
        <f ca="1">IFERROR(__xludf.DUMMYFUNCTION("""COMPUTED_VALUE"""),443)</f>
        <v>443</v>
      </c>
      <c r="AF116" s="3">
        <f ca="1">IFERROR(__xludf.DUMMYFUNCTION("""COMPUTED_VALUE"""),581)</f>
        <v>581</v>
      </c>
    </row>
    <row r="117" spans="1:32" x14ac:dyDescent="0.25">
      <c r="A117" s="3" t="str">
        <f ca="1">IFERROR(__xludf.DUMMYFUNCTION("""COMPUTED_VALUE"""),"Georgia Southern")</f>
        <v>Georgia Southern</v>
      </c>
      <c r="B117" s="3">
        <f ca="1">IFERROR(__xludf.DUMMYFUNCTION("""COMPUTED_VALUE"""),33)</f>
        <v>33</v>
      </c>
      <c r="C117" s="3">
        <f ca="1">IFERROR(__xludf.DUMMYFUNCTION("""COMPUTED_VALUE"""),21)</f>
        <v>21</v>
      </c>
      <c r="D117" s="3">
        <f ca="1">IFERROR(__xludf.DUMMYFUNCTION("""COMPUTED_VALUE"""),12)</f>
        <v>12</v>
      </c>
      <c r="E117" s="3">
        <f ca="1">IFERROR(__xludf.DUMMYFUNCTION("""COMPUTED_VALUE"""),0.636)</f>
        <v>0.63600000000000001</v>
      </c>
      <c r="F117" s="3">
        <f ca="1">IFERROR(__xludf.DUMMYFUNCTION("""COMPUTED_VALUE"""),3.75)</f>
        <v>3.75</v>
      </c>
      <c r="G117" s="3">
        <f ca="1">IFERROR(__xludf.DUMMYFUNCTION("""COMPUTED_VALUE"""),0.13)</f>
        <v>0.13</v>
      </c>
      <c r="H117" s="3">
        <f ca="1">IFERROR(__xludf.DUMMYFUNCTION("""COMPUTED_VALUE"""),12)</f>
        <v>12</v>
      </c>
      <c r="I117" s="3">
        <f ca="1">IFERROR(__xludf.DUMMYFUNCTION("""COMPUTED_VALUE"""),6)</f>
        <v>6</v>
      </c>
      <c r="J117" s="3">
        <f ca="1">IFERROR(__xludf.DUMMYFUNCTION("""COMPUTED_VALUE"""),10)</f>
        <v>10</v>
      </c>
      <c r="K117" s="3">
        <f ca="1">IFERROR(__xludf.DUMMYFUNCTION("""COMPUTED_VALUE"""),4)</f>
        <v>4</v>
      </c>
      <c r="L117" s="3">
        <f ca="1">IFERROR(__xludf.DUMMYFUNCTION("""COMPUTED_VALUE"""),7)</f>
        <v>7</v>
      </c>
      <c r="M117" s="3">
        <f ca="1">IFERROR(__xludf.DUMMYFUNCTION("""COMPUTED_VALUE"""),7)</f>
        <v>7</v>
      </c>
      <c r="N117" s="3">
        <f ca="1">IFERROR(__xludf.DUMMYFUNCTION("""COMPUTED_VALUE"""),2726)</f>
        <v>2726</v>
      </c>
      <c r="O117" s="3">
        <f ca="1">IFERROR(__xludf.DUMMYFUNCTION("""COMPUTED_VALUE"""),2489)</f>
        <v>2489</v>
      </c>
      <c r="P117" s="3">
        <f ca="1">IFERROR(__xludf.DUMMYFUNCTION("""COMPUTED_VALUE"""),1330)</f>
        <v>1330</v>
      </c>
      <c r="Q117" s="3">
        <f ca="1">IFERROR(__xludf.DUMMYFUNCTION("""COMPUTED_VALUE"""),1012)</f>
        <v>1012</v>
      </c>
      <c r="R117" s="3">
        <f ca="1">IFERROR(__xludf.DUMMYFUNCTION("""COMPUTED_VALUE"""),2028)</f>
        <v>2028</v>
      </c>
      <c r="S117" s="3">
        <f ca="1">IFERROR(__xludf.DUMMYFUNCTION("""COMPUTED_VALUE"""),0.499)</f>
        <v>0.499</v>
      </c>
      <c r="T117" s="3">
        <f ca="1">IFERROR(__xludf.DUMMYFUNCTION("""COMPUTED_VALUE"""),204)</f>
        <v>204</v>
      </c>
      <c r="U117" s="3">
        <f ca="1">IFERROR(__xludf.DUMMYFUNCTION("""COMPUTED_VALUE"""),632)</f>
        <v>632</v>
      </c>
      <c r="V117" s="3">
        <f ca="1">IFERROR(__xludf.DUMMYFUNCTION("""COMPUTED_VALUE"""),0.323)</f>
        <v>0.32300000000000001</v>
      </c>
      <c r="W117" s="3">
        <f ca="1">IFERROR(__xludf.DUMMYFUNCTION("""COMPUTED_VALUE"""),498)</f>
        <v>498</v>
      </c>
      <c r="X117" s="3">
        <f ca="1">IFERROR(__xludf.DUMMYFUNCTION("""COMPUTED_VALUE"""),720)</f>
        <v>720</v>
      </c>
      <c r="Y117" s="3">
        <f ca="1">IFERROR(__xludf.DUMMYFUNCTION("""COMPUTED_VALUE"""),0.692)</f>
        <v>0.69199999999999995</v>
      </c>
      <c r="Z117" s="3">
        <f ca="1">IFERROR(__xludf.DUMMYFUNCTION("""COMPUTED_VALUE"""),320)</f>
        <v>320</v>
      </c>
      <c r="AA117" s="3">
        <f ca="1">IFERROR(__xludf.DUMMYFUNCTION("""COMPUTED_VALUE"""),1190)</f>
        <v>1190</v>
      </c>
      <c r="AB117" s="3">
        <f ca="1">IFERROR(__xludf.DUMMYFUNCTION("""COMPUTED_VALUE"""),403)</f>
        <v>403</v>
      </c>
      <c r="AC117" s="3">
        <f ca="1">IFERROR(__xludf.DUMMYFUNCTION("""COMPUTED_VALUE"""),255)</f>
        <v>255</v>
      </c>
      <c r="AD117" s="3">
        <f ca="1">IFERROR(__xludf.DUMMYFUNCTION("""COMPUTED_VALUE"""),132)</f>
        <v>132</v>
      </c>
      <c r="AE117" s="3">
        <f ca="1">IFERROR(__xludf.DUMMYFUNCTION("""COMPUTED_VALUE"""),451)</f>
        <v>451</v>
      </c>
      <c r="AF117" s="3">
        <f ca="1">IFERROR(__xludf.DUMMYFUNCTION("""COMPUTED_VALUE"""),590)</f>
        <v>590</v>
      </c>
    </row>
    <row r="118" spans="1:32" x14ac:dyDescent="0.25">
      <c r="A118" s="3" t="str">
        <f ca="1">IFERROR(__xludf.DUMMYFUNCTION("""COMPUTED_VALUE"""),"Georgia StateNCAA")</f>
        <v>Georgia StateNCAA</v>
      </c>
      <c r="B118" s="3">
        <f ca="1">IFERROR(__xludf.DUMMYFUNCTION("""COMPUTED_VALUE"""),34)</f>
        <v>34</v>
      </c>
      <c r="C118" s="3">
        <f ca="1">IFERROR(__xludf.DUMMYFUNCTION("""COMPUTED_VALUE"""),24)</f>
        <v>24</v>
      </c>
      <c r="D118" s="3">
        <f ca="1">IFERROR(__xludf.DUMMYFUNCTION("""COMPUTED_VALUE"""),10)</f>
        <v>10</v>
      </c>
      <c r="E118" s="3">
        <f ca="1">IFERROR(__xludf.DUMMYFUNCTION("""COMPUTED_VALUE"""),0.706)</f>
        <v>0.70599999999999996</v>
      </c>
      <c r="F118" s="3">
        <f ca="1">IFERROR(__xludf.DUMMYFUNCTION("""COMPUTED_VALUE"""),2.44)</f>
        <v>2.44</v>
      </c>
      <c r="G118" s="3">
        <f ca="1">IFERROR(__xludf.DUMMYFUNCTION("""COMPUTED_VALUE"""),0.65)</f>
        <v>0.65</v>
      </c>
      <c r="H118" s="3">
        <f ca="1">IFERROR(__xludf.DUMMYFUNCTION("""COMPUTED_VALUE"""),13)</f>
        <v>13</v>
      </c>
      <c r="I118" s="3">
        <f ca="1">IFERROR(__xludf.DUMMYFUNCTION("""COMPUTED_VALUE"""),5)</f>
        <v>5</v>
      </c>
      <c r="J118" s="3">
        <f ca="1">IFERROR(__xludf.DUMMYFUNCTION("""COMPUTED_VALUE"""),13)</f>
        <v>13</v>
      </c>
      <c r="K118" s="3">
        <f ca="1">IFERROR(__xludf.DUMMYFUNCTION("""COMPUTED_VALUE"""),1)</f>
        <v>1</v>
      </c>
      <c r="L118" s="3">
        <f ca="1">IFERROR(__xludf.DUMMYFUNCTION("""COMPUTED_VALUE"""),7)</f>
        <v>7</v>
      </c>
      <c r="M118" s="3">
        <f ca="1">IFERROR(__xludf.DUMMYFUNCTION("""COMPUTED_VALUE"""),7)</f>
        <v>7</v>
      </c>
      <c r="N118" s="3">
        <f ca="1">IFERROR(__xludf.DUMMYFUNCTION("""COMPUTED_VALUE"""),2598)</f>
        <v>2598</v>
      </c>
      <c r="O118" s="3">
        <f ca="1">IFERROR(__xludf.DUMMYFUNCTION("""COMPUTED_VALUE"""),2491)</f>
        <v>2491</v>
      </c>
      <c r="P118" s="3">
        <f ca="1">IFERROR(__xludf.DUMMYFUNCTION("""COMPUTED_VALUE"""),1360)</f>
        <v>1360</v>
      </c>
      <c r="Q118" s="3">
        <f ca="1">IFERROR(__xludf.DUMMYFUNCTION("""COMPUTED_VALUE"""),903)</f>
        <v>903</v>
      </c>
      <c r="R118" s="3">
        <f ca="1">IFERROR(__xludf.DUMMYFUNCTION("""COMPUTED_VALUE"""),1968)</f>
        <v>1968</v>
      </c>
      <c r="S118" s="3">
        <f ca="1">IFERROR(__xludf.DUMMYFUNCTION("""COMPUTED_VALUE"""),0.459)</f>
        <v>0.45900000000000002</v>
      </c>
      <c r="T118" s="3">
        <f ca="1">IFERROR(__xludf.DUMMYFUNCTION("""COMPUTED_VALUE"""),330)</f>
        <v>330</v>
      </c>
      <c r="U118" s="3">
        <f ca="1">IFERROR(__xludf.DUMMYFUNCTION("""COMPUTED_VALUE"""),859)</f>
        <v>859</v>
      </c>
      <c r="V118" s="3">
        <f ca="1">IFERROR(__xludf.DUMMYFUNCTION("""COMPUTED_VALUE"""),0.384)</f>
        <v>0.38400000000000001</v>
      </c>
      <c r="W118" s="3">
        <f ca="1">IFERROR(__xludf.DUMMYFUNCTION("""COMPUTED_VALUE"""),462)</f>
        <v>462</v>
      </c>
      <c r="X118" s="3">
        <f ca="1">IFERROR(__xludf.DUMMYFUNCTION("""COMPUTED_VALUE"""),694)</f>
        <v>694</v>
      </c>
      <c r="Y118" s="3">
        <f ca="1">IFERROR(__xludf.DUMMYFUNCTION("""COMPUTED_VALUE"""),0.666)</f>
        <v>0.66600000000000004</v>
      </c>
      <c r="Z118" s="3">
        <f ca="1">IFERROR(__xludf.DUMMYFUNCTION("""COMPUTED_VALUE"""),273)</f>
        <v>273</v>
      </c>
      <c r="AA118" s="3">
        <f ca="1">IFERROR(__xludf.DUMMYFUNCTION("""COMPUTED_VALUE"""),1110)</f>
        <v>1110</v>
      </c>
      <c r="AB118" s="3">
        <f ca="1">IFERROR(__xludf.DUMMYFUNCTION("""COMPUTED_VALUE"""),415)</f>
        <v>415</v>
      </c>
      <c r="AC118" s="3">
        <f ca="1">IFERROR(__xludf.DUMMYFUNCTION("""COMPUTED_VALUE"""),269)</f>
        <v>269</v>
      </c>
      <c r="AD118" s="3">
        <f ca="1">IFERROR(__xludf.DUMMYFUNCTION("""COMPUTED_VALUE"""),158)</f>
        <v>158</v>
      </c>
      <c r="AE118" s="3">
        <f ca="1">IFERROR(__xludf.DUMMYFUNCTION("""COMPUTED_VALUE"""),391)</f>
        <v>391</v>
      </c>
      <c r="AF118" s="3">
        <f ca="1">IFERROR(__xludf.DUMMYFUNCTION("""COMPUTED_VALUE"""),583)</f>
        <v>583</v>
      </c>
    </row>
    <row r="119" spans="1:32" x14ac:dyDescent="0.25">
      <c r="A119" s="3" t="str">
        <f ca="1">IFERROR(__xludf.DUMMYFUNCTION("""COMPUTED_VALUE"""),"Georgia Tech")</f>
        <v>Georgia Tech</v>
      </c>
      <c r="B119" s="3">
        <f ca="1">IFERROR(__xludf.DUMMYFUNCTION("""COMPUTED_VALUE"""),32)</f>
        <v>32</v>
      </c>
      <c r="C119" s="3">
        <f ca="1">IFERROR(__xludf.DUMMYFUNCTION("""COMPUTED_VALUE"""),14)</f>
        <v>14</v>
      </c>
      <c r="D119" s="3">
        <f ca="1">IFERROR(__xludf.DUMMYFUNCTION("""COMPUTED_VALUE"""),18)</f>
        <v>18</v>
      </c>
      <c r="E119" s="3">
        <f ca="1">IFERROR(__xludf.DUMMYFUNCTION("""COMPUTED_VALUE"""),0.438)</f>
        <v>0.438</v>
      </c>
      <c r="F119" s="3">
        <f ca="1">IFERROR(__xludf.DUMMYFUNCTION("""COMPUTED_VALUE"""),6.93)</f>
        <v>6.93</v>
      </c>
      <c r="G119" s="3">
        <f ca="1">IFERROR(__xludf.DUMMYFUNCTION("""COMPUTED_VALUE"""),8.15)</f>
        <v>8.15</v>
      </c>
      <c r="H119" s="3">
        <f ca="1">IFERROR(__xludf.DUMMYFUNCTION("""COMPUTED_VALUE"""),6)</f>
        <v>6</v>
      </c>
      <c r="I119" s="3">
        <f ca="1">IFERROR(__xludf.DUMMYFUNCTION("""COMPUTED_VALUE"""),12)</f>
        <v>12</v>
      </c>
      <c r="J119" s="3">
        <f ca="1">IFERROR(__xludf.DUMMYFUNCTION("""COMPUTED_VALUE"""),11)</f>
        <v>11</v>
      </c>
      <c r="K119" s="3">
        <f ca="1">IFERROR(__xludf.DUMMYFUNCTION("""COMPUTED_VALUE"""),7)</f>
        <v>7</v>
      </c>
      <c r="L119" s="3">
        <f ca="1">IFERROR(__xludf.DUMMYFUNCTION("""COMPUTED_VALUE"""),3)</f>
        <v>3</v>
      </c>
      <c r="M119" s="3">
        <f ca="1">IFERROR(__xludf.DUMMYFUNCTION("""COMPUTED_VALUE"""),9)</f>
        <v>9</v>
      </c>
      <c r="N119" s="3">
        <f ca="1">IFERROR(__xludf.DUMMYFUNCTION("""COMPUTED_VALUE"""),2091)</f>
        <v>2091</v>
      </c>
      <c r="O119" s="3">
        <f ca="1">IFERROR(__xludf.DUMMYFUNCTION("""COMPUTED_VALUE"""),2130)</f>
        <v>2130</v>
      </c>
      <c r="P119" s="3">
        <f ca="1">IFERROR(__xludf.DUMMYFUNCTION("""COMPUTED_VALUE"""),1285)</f>
        <v>1285</v>
      </c>
      <c r="Q119" s="3">
        <f ca="1">IFERROR(__xludf.DUMMYFUNCTION("""COMPUTED_VALUE"""),755)</f>
        <v>755</v>
      </c>
      <c r="R119" s="3">
        <f ca="1">IFERROR(__xludf.DUMMYFUNCTION("""COMPUTED_VALUE"""),1714)</f>
        <v>1714</v>
      </c>
      <c r="S119" s="3">
        <f ca="1">IFERROR(__xludf.DUMMYFUNCTION("""COMPUTED_VALUE"""),0.44)</f>
        <v>0.44</v>
      </c>
      <c r="T119" s="3">
        <f ca="1">IFERROR(__xludf.DUMMYFUNCTION("""COMPUTED_VALUE"""),176)</f>
        <v>176</v>
      </c>
      <c r="U119" s="3">
        <f ca="1">IFERROR(__xludf.DUMMYFUNCTION("""COMPUTED_VALUE"""),573)</f>
        <v>573</v>
      </c>
      <c r="V119" s="3">
        <f ca="1">IFERROR(__xludf.DUMMYFUNCTION("""COMPUTED_VALUE"""),0.307)</f>
        <v>0.307</v>
      </c>
      <c r="W119" s="3">
        <f ca="1">IFERROR(__xludf.DUMMYFUNCTION("""COMPUTED_VALUE"""),405)</f>
        <v>405</v>
      </c>
      <c r="X119" s="3">
        <f ca="1">IFERROR(__xludf.DUMMYFUNCTION("""COMPUTED_VALUE"""),588)</f>
        <v>588</v>
      </c>
      <c r="Y119" s="3">
        <f ca="1">IFERROR(__xludf.DUMMYFUNCTION("""COMPUTED_VALUE"""),0.689)</f>
        <v>0.68899999999999995</v>
      </c>
      <c r="Z119" s="3">
        <f ca="1">IFERROR(__xludf.DUMMYFUNCTION("""COMPUTED_VALUE"""),262)</f>
        <v>262</v>
      </c>
      <c r="AA119" s="3">
        <f ca="1">IFERROR(__xludf.DUMMYFUNCTION("""COMPUTED_VALUE"""),1074)</f>
        <v>1074</v>
      </c>
      <c r="AB119" s="3">
        <f ca="1">IFERROR(__xludf.DUMMYFUNCTION("""COMPUTED_VALUE"""),433)</f>
        <v>433</v>
      </c>
      <c r="AC119" s="3">
        <f ca="1">IFERROR(__xludf.DUMMYFUNCTION("""COMPUTED_VALUE"""),221)</f>
        <v>221</v>
      </c>
      <c r="AD119" s="3">
        <f ca="1">IFERROR(__xludf.DUMMYFUNCTION("""COMPUTED_VALUE"""),166)</f>
        <v>166</v>
      </c>
      <c r="AE119" s="3">
        <f ca="1">IFERROR(__xludf.DUMMYFUNCTION("""COMPUTED_VALUE"""),459)</f>
        <v>459</v>
      </c>
      <c r="AF119" s="3">
        <f ca="1">IFERROR(__xludf.DUMMYFUNCTION("""COMPUTED_VALUE"""),560)</f>
        <v>560</v>
      </c>
    </row>
    <row r="120" spans="1:32" x14ac:dyDescent="0.25">
      <c r="A120" s="3" t="str">
        <f ca="1">IFERROR(__xludf.DUMMYFUNCTION("""COMPUTED_VALUE"""),"Georgia")</f>
        <v>Georgia</v>
      </c>
      <c r="B120" s="3">
        <f ca="1">IFERROR(__xludf.DUMMYFUNCTION("""COMPUTED_VALUE"""),32)</f>
        <v>32</v>
      </c>
      <c r="C120" s="3">
        <f ca="1">IFERROR(__xludf.DUMMYFUNCTION("""COMPUTED_VALUE"""),11)</f>
        <v>11</v>
      </c>
      <c r="D120" s="3">
        <f ca="1">IFERROR(__xludf.DUMMYFUNCTION("""COMPUTED_VALUE"""),21)</f>
        <v>21</v>
      </c>
      <c r="E120" s="3">
        <f ca="1">IFERROR(__xludf.DUMMYFUNCTION("""COMPUTED_VALUE"""),0.344)</f>
        <v>0.34399999999999997</v>
      </c>
      <c r="F120" s="3">
        <f ca="1">IFERROR(__xludf.DUMMYFUNCTION("""COMPUTED_VALUE"""),5.31)</f>
        <v>5.31</v>
      </c>
      <c r="G120" s="3">
        <f ca="1">IFERROR(__xludf.DUMMYFUNCTION("""COMPUTED_VALUE"""),8.12)</f>
        <v>8.1199999999999992</v>
      </c>
      <c r="H120" s="3">
        <f ca="1">IFERROR(__xludf.DUMMYFUNCTION("""COMPUTED_VALUE"""),2)</f>
        <v>2</v>
      </c>
      <c r="I120" s="3">
        <f ca="1">IFERROR(__xludf.DUMMYFUNCTION("""COMPUTED_VALUE"""),16)</f>
        <v>16</v>
      </c>
      <c r="J120" s="3">
        <f ca="1">IFERROR(__xludf.DUMMYFUNCTION("""COMPUTED_VALUE"""),8)</f>
        <v>8</v>
      </c>
      <c r="K120" s="3">
        <f ca="1">IFERROR(__xludf.DUMMYFUNCTION("""COMPUTED_VALUE"""),9)</f>
        <v>9</v>
      </c>
      <c r="L120" s="3">
        <f ca="1">IFERROR(__xludf.DUMMYFUNCTION("""COMPUTED_VALUE"""),2)</f>
        <v>2</v>
      </c>
      <c r="M120" s="3">
        <f ca="1">IFERROR(__xludf.DUMMYFUNCTION("""COMPUTED_VALUE"""),9)</f>
        <v>9</v>
      </c>
      <c r="N120" s="3">
        <f ca="1">IFERROR(__xludf.DUMMYFUNCTION("""COMPUTED_VALUE"""),2274)</f>
        <v>2274</v>
      </c>
      <c r="O120" s="3">
        <f ca="1">IFERROR(__xludf.DUMMYFUNCTION("""COMPUTED_VALUE"""),2364)</f>
        <v>2364</v>
      </c>
      <c r="P120" s="3">
        <f ca="1">IFERROR(__xludf.DUMMYFUNCTION("""COMPUTED_VALUE"""),1280)</f>
        <v>1280</v>
      </c>
      <c r="Q120" s="3">
        <f ca="1">IFERROR(__xludf.DUMMYFUNCTION("""COMPUTED_VALUE"""),776)</f>
        <v>776</v>
      </c>
      <c r="R120" s="3">
        <f ca="1">IFERROR(__xludf.DUMMYFUNCTION("""COMPUTED_VALUE"""),1761)</f>
        <v>1761</v>
      </c>
      <c r="S120" s="3">
        <f ca="1">IFERROR(__xludf.DUMMYFUNCTION("""COMPUTED_VALUE"""),0.441)</f>
        <v>0.441</v>
      </c>
      <c r="T120" s="3">
        <f ca="1">IFERROR(__xludf.DUMMYFUNCTION("""COMPUTED_VALUE"""),210)</f>
        <v>210</v>
      </c>
      <c r="U120" s="3">
        <f ca="1">IFERROR(__xludf.DUMMYFUNCTION("""COMPUTED_VALUE"""),653)</f>
        <v>653</v>
      </c>
      <c r="V120" s="3">
        <f ca="1">IFERROR(__xludf.DUMMYFUNCTION("""COMPUTED_VALUE"""),0.322)</f>
        <v>0.32200000000000001</v>
      </c>
      <c r="W120" s="3">
        <f ca="1">IFERROR(__xludf.DUMMYFUNCTION("""COMPUTED_VALUE"""),512)</f>
        <v>512</v>
      </c>
      <c r="X120" s="3">
        <f ca="1">IFERROR(__xludf.DUMMYFUNCTION("""COMPUTED_VALUE"""),726)</f>
        <v>726</v>
      </c>
      <c r="Y120" s="3">
        <f ca="1">IFERROR(__xludf.DUMMYFUNCTION("""COMPUTED_VALUE"""),0.705)</f>
        <v>0.70499999999999996</v>
      </c>
      <c r="Z120" s="3">
        <f ca="1">IFERROR(__xludf.DUMMYFUNCTION("""COMPUTED_VALUE"""),357)</f>
        <v>357</v>
      </c>
      <c r="AA120" s="3">
        <f ca="1">IFERROR(__xludf.DUMMYFUNCTION("""COMPUTED_VALUE"""),1215)</f>
        <v>1215</v>
      </c>
      <c r="AB120" s="3">
        <f ca="1">IFERROR(__xludf.DUMMYFUNCTION("""COMPUTED_VALUE"""),423)</f>
        <v>423</v>
      </c>
      <c r="AC120" s="3">
        <f ca="1">IFERROR(__xludf.DUMMYFUNCTION("""COMPUTED_VALUE"""),185)</f>
        <v>185</v>
      </c>
      <c r="AD120" s="3">
        <f ca="1">IFERROR(__xludf.DUMMYFUNCTION("""COMPUTED_VALUE"""),163)</f>
        <v>163</v>
      </c>
      <c r="AE120" s="3">
        <f ca="1">IFERROR(__xludf.DUMMYFUNCTION("""COMPUTED_VALUE"""),506)</f>
        <v>506</v>
      </c>
      <c r="AF120" s="3">
        <f ca="1">IFERROR(__xludf.DUMMYFUNCTION("""COMPUTED_VALUE"""),565)</f>
        <v>565</v>
      </c>
    </row>
    <row r="121" spans="1:32" x14ac:dyDescent="0.25">
      <c r="A121" s="3" t="str">
        <f ca="1">IFERROR(__xludf.DUMMYFUNCTION("""COMPUTED_VALUE"""),"GonzagaNCAA")</f>
        <v>GonzagaNCAA</v>
      </c>
      <c r="B121" s="3">
        <f ca="1">IFERROR(__xludf.DUMMYFUNCTION("""COMPUTED_VALUE"""),37)</f>
        <v>37</v>
      </c>
      <c r="C121" s="3">
        <f ca="1">IFERROR(__xludf.DUMMYFUNCTION("""COMPUTED_VALUE"""),33)</f>
        <v>33</v>
      </c>
      <c r="D121" s="3">
        <f ca="1">IFERROR(__xludf.DUMMYFUNCTION("""COMPUTED_VALUE"""),4)</f>
        <v>4</v>
      </c>
      <c r="E121" s="3">
        <f ca="1">IFERROR(__xludf.DUMMYFUNCTION("""COMPUTED_VALUE"""),0.892)</f>
        <v>0.89200000000000002</v>
      </c>
      <c r="F121" s="3">
        <f ca="1">IFERROR(__xludf.DUMMYFUNCTION("""COMPUTED_VALUE"""),27.79)</f>
        <v>27.79</v>
      </c>
      <c r="G121" s="3">
        <f ca="1">IFERROR(__xludf.DUMMYFUNCTION("""COMPUTED_VALUE"""),5.01)</f>
        <v>5.01</v>
      </c>
      <c r="H121" s="3">
        <f ca="1">IFERROR(__xludf.DUMMYFUNCTION("""COMPUTED_VALUE"""),16)</f>
        <v>16</v>
      </c>
      <c r="I121" s="3">
        <f ca="1">IFERROR(__xludf.DUMMYFUNCTION("""COMPUTED_VALUE"""),0)</f>
        <v>0</v>
      </c>
      <c r="J121" s="3">
        <f ca="1">IFERROR(__xludf.DUMMYFUNCTION("""COMPUTED_VALUE"""),17)</f>
        <v>17</v>
      </c>
      <c r="K121" s="3">
        <f ca="1">IFERROR(__xludf.DUMMYFUNCTION("""COMPUTED_VALUE"""),0)</f>
        <v>0</v>
      </c>
      <c r="L121" s="3">
        <f ca="1">IFERROR(__xludf.DUMMYFUNCTION("""COMPUTED_VALUE"""),9)</f>
        <v>9</v>
      </c>
      <c r="M121" s="3">
        <f ca="1">IFERROR(__xludf.DUMMYFUNCTION("""COMPUTED_VALUE"""),1)</f>
        <v>1</v>
      </c>
      <c r="N121" s="3">
        <f ca="1">IFERROR(__xludf.DUMMYFUNCTION("""COMPUTED_VALUE"""),3243)</f>
        <v>3243</v>
      </c>
      <c r="O121" s="3">
        <f ca="1">IFERROR(__xludf.DUMMYFUNCTION("""COMPUTED_VALUE"""),2400)</f>
        <v>2400</v>
      </c>
      <c r="P121" s="3">
        <f ca="1">IFERROR(__xludf.DUMMYFUNCTION("""COMPUTED_VALUE"""),1480)</f>
        <v>1480</v>
      </c>
      <c r="Q121" s="3">
        <f ca="1">IFERROR(__xludf.DUMMYFUNCTION("""COMPUTED_VALUE"""),1177)</f>
        <v>1177</v>
      </c>
      <c r="R121" s="3">
        <f ca="1">IFERROR(__xludf.DUMMYFUNCTION("""COMPUTED_VALUE"""),2239)</f>
        <v>2239</v>
      </c>
      <c r="S121" s="3">
        <f ca="1">IFERROR(__xludf.DUMMYFUNCTION("""COMPUTED_VALUE"""),0.526)</f>
        <v>0.52600000000000002</v>
      </c>
      <c r="T121" s="3">
        <f ca="1">IFERROR(__xludf.DUMMYFUNCTION("""COMPUTED_VALUE"""),287)</f>
        <v>287</v>
      </c>
      <c r="U121" s="3">
        <f ca="1">IFERROR(__xludf.DUMMYFUNCTION("""COMPUTED_VALUE"""),790)</f>
        <v>790</v>
      </c>
      <c r="V121" s="3">
        <f ca="1">IFERROR(__xludf.DUMMYFUNCTION("""COMPUTED_VALUE"""),0.363)</f>
        <v>0.36299999999999999</v>
      </c>
      <c r="W121" s="3">
        <f ca="1">IFERROR(__xludf.DUMMYFUNCTION("""COMPUTED_VALUE"""),602)</f>
        <v>602</v>
      </c>
      <c r="X121" s="3">
        <f ca="1">IFERROR(__xludf.DUMMYFUNCTION("""COMPUTED_VALUE"""),791)</f>
        <v>791</v>
      </c>
      <c r="Y121" s="3">
        <f ca="1">IFERROR(__xludf.DUMMYFUNCTION("""COMPUTED_VALUE"""),0.761)</f>
        <v>0.76100000000000001</v>
      </c>
      <c r="Z121" s="3">
        <f ca="1">IFERROR(__xludf.DUMMYFUNCTION("""COMPUTED_VALUE"""),354)</f>
        <v>354</v>
      </c>
      <c r="AA121" s="3">
        <f ca="1">IFERROR(__xludf.DUMMYFUNCTION("""COMPUTED_VALUE"""),1443)</f>
        <v>1443</v>
      </c>
      <c r="AB121" s="3">
        <f ca="1">IFERROR(__xludf.DUMMYFUNCTION("""COMPUTED_VALUE"""),668)</f>
        <v>668</v>
      </c>
      <c r="AC121" s="3">
        <f ca="1">IFERROR(__xludf.DUMMYFUNCTION("""COMPUTED_VALUE"""),278)</f>
        <v>278</v>
      </c>
      <c r="AD121" s="3">
        <f ca="1">IFERROR(__xludf.DUMMYFUNCTION("""COMPUTED_VALUE"""),204)</f>
        <v>204</v>
      </c>
      <c r="AE121" s="3">
        <f ca="1">IFERROR(__xludf.DUMMYFUNCTION("""COMPUTED_VALUE"""),394)</f>
        <v>394</v>
      </c>
      <c r="AF121" s="3">
        <f ca="1">IFERROR(__xludf.DUMMYFUNCTION("""COMPUTED_VALUE"""),603)</f>
        <v>603</v>
      </c>
    </row>
    <row r="122" spans="1:32" x14ac:dyDescent="0.25">
      <c r="A122" s="3" t="str">
        <f ca="1">IFERROR(__xludf.DUMMYFUNCTION("""COMPUTED_VALUE"""),"Grambling")</f>
        <v>Grambling</v>
      </c>
      <c r="B122" s="3">
        <f ca="1">IFERROR(__xludf.DUMMYFUNCTION("""COMPUTED_VALUE"""),34)</f>
        <v>34</v>
      </c>
      <c r="C122" s="3">
        <f ca="1">IFERROR(__xludf.DUMMYFUNCTION("""COMPUTED_VALUE"""),17)</f>
        <v>17</v>
      </c>
      <c r="D122" s="3">
        <f ca="1">IFERROR(__xludf.DUMMYFUNCTION("""COMPUTED_VALUE"""),17)</f>
        <v>17</v>
      </c>
      <c r="E122" s="3">
        <f ca="1">IFERROR(__xludf.DUMMYFUNCTION("""COMPUTED_VALUE"""),0.5)</f>
        <v>0.5</v>
      </c>
      <c r="F122" s="3">
        <f ca="1">IFERROR(__xludf.DUMMYFUNCTION("""COMPUTED_VALUE"""),-9.73)</f>
        <v>-9.73</v>
      </c>
      <c r="G122" s="3">
        <f ca="1">IFERROR(__xludf.DUMMYFUNCTION("""COMPUTED_VALUE"""),-9.34)</f>
        <v>-9.34</v>
      </c>
      <c r="H122" s="3">
        <f ca="1">IFERROR(__xludf.DUMMYFUNCTION("""COMPUTED_VALUE"""),10)</f>
        <v>10</v>
      </c>
      <c r="I122" s="3">
        <f ca="1">IFERROR(__xludf.DUMMYFUNCTION("""COMPUTED_VALUE"""),8)</f>
        <v>8</v>
      </c>
      <c r="J122" s="3">
        <f ca="1">IFERROR(__xludf.DUMMYFUNCTION("""COMPUTED_VALUE"""),11)</f>
        <v>11</v>
      </c>
      <c r="K122" s="3">
        <f ca="1">IFERROR(__xludf.DUMMYFUNCTION("""COMPUTED_VALUE"""),3)</f>
        <v>3</v>
      </c>
      <c r="L122" s="3">
        <f ca="1">IFERROR(__xludf.DUMMYFUNCTION("""COMPUTED_VALUE"""),6)</f>
        <v>6</v>
      </c>
      <c r="M122" s="3">
        <f ca="1">IFERROR(__xludf.DUMMYFUNCTION("""COMPUTED_VALUE"""),12)</f>
        <v>12</v>
      </c>
      <c r="N122" s="3">
        <f ca="1">IFERROR(__xludf.DUMMYFUNCTION("""COMPUTED_VALUE"""),2426)</f>
        <v>2426</v>
      </c>
      <c r="O122" s="3">
        <f ca="1">IFERROR(__xludf.DUMMYFUNCTION("""COMPUTED_VALUE"""),2336)</f>
        <v>2336</v>
      </c>
      <c r="P122" s="3">
        <f ca="1">IFERROR(__xludf.DUMMYFUNCTION("""COMPUTED_VALUE"""),1370)</f>
        <v>1370</v>
      </c>
      <c r="Q122" s="3">
        <f ca="1">IFERROR(__xludf.DUMMYFUNCTION("""COMPUTED_VALUE"""),834)</f>
        <v>834</v>
      </c>
      <c r="R122" s="3">
        <f ca="1">IFERROR(__xludf.DUMMYFUNCTION("""COMPUTED_VALUE"""),1846)</f>
        <v>1846</v>
      </c>
      <c r="S122" s="3">
        <f ca="1">IFERROR(__xludf.DUMMYFUNCTION("""COMPUTED_VALUE"""),0.452)</f>
        <v>0.45200000000000001</v>
      </c>
      <c r="T122" s="3">
        <f ca="1">IFERROR(__xludf.DUMMYFUNCTION("""COMPUTED_VALUE"""),223)</f>
        <v>223</v>
      </c>
      <c r="U122" s="3">
        <f ca="1">IFERROR(__xludf.DUMMYFUNCTION("""COMPUTED_VALUE"""),553)</f>
        <v>553</v>
      </c>
      <c r="V122" s="3">
        <f ca="1">IFERROR(__xludf.DUMMYFUNCTION("""COMPUTED_VALUE"""),0.403)</f>
        <v>0.40300000000000002</v>
      </c>
      <c r="W122" s="3">
        <f ca="1">IFERROR(__xludf.DUMMYFUNCTION("""COMPUTED_VALUE"""),535)</f>
        <v>535</v>
      </c>
      <c r="X122" s="3">
        <f ca="1">IFERROR(__xludf.DUMMYFUNCTION("""COMPUTED_VALUE"""),781)</f>
        <v>781</v>
      </c>
      <c r="Y122" s="3">
        <f ca="1">IFERROR(__xludf.DUMMYFUNCTION("""COMPUTED_VALUE"""),0.685)</f>
        <v>0.68500000000000005</v>
      </c>
      <c r="Z122" s="3">
        <f ca="1">IFERROR(__xludf.DUMMYFUNCTION("""COMPUTED_VALUE"""),307)</f>
        <v>307</v>
      </c>
      <c r="AA122" s="3">
        <f ca="1">IFERROR(__xludf.DUMMYFUNCTION("""COMPUTED_VALUE"""),1287)</f>
        <v>1287</v>
      </c>
      <c r="AB122" s="3">
        <f ca="1">IFERROR(__xludf.DUMMYFUNCTION("""COMPUTED_VALUE"""),420)</f>
        <v>420</v>
      </c>
      <c r="AC122" s="3">
        <f ca="1">IFERROR(__xludf.DUMMYFUNCTION("""COMPUTED_VALUE"""),193)</f>
        <v>193</v>
      </c>
      <c r="AD122" s="3">
        <f ca="1">IFERROR(__xludf.DUMMYFUNCTION("""COMPUTED_VALUE"""),147)</f>
        <v>147</v>
      </c>
      <c r="AE122" s="3">
        <f ca="1">IFERROR(__xludf.DUMMYFUNCTION("""COMPUTED_VALUE"""),536)</f>
        <v>536</v>
      </c>
      <c r="AF122" s="3">
        <f ca="1">IFERROR(__xludf.DUMMYFUNCTION("""COMPUTED_VALUE"""),699)</f>
        <v>699</v>
      </c>
    </row>
    <row r="123" spans="1:32" x14ac:dyDescent="0.25">
      <c r="A123" s="3" t="str">
        <f ca="1">IFERROR(__xludf.DUMMYFUNCTION("""COMPUTED_VALUE"""),"Grand Canyon")</f>
        <v>Grand Canyon</v>
      </c>
      <c r="B123" s="3">
        <f ca="1">IFERROR(__xludf.DUMMYFUNCTION("""COMPUTED_VALUE"""),34)</f>
        <v>34</v>
      </c>
      <c r="C123" s="3">
        <f ca="1">IFERROR(__xludf.DUMMYFUNCTION("""COMPUTED_VALUE"""),20)</f>
        <v>20</v>
      </c>
      <c r="D123" s="3">
        <f ca="1">IFERROR(__xludf.DUMMYFUNCTION("""COMPUTED_VALUE"""),14)</f>
        <v>14</v>
      </c>
      <c r="E123" s="3">
        <f ca="1">IFERROR(__xludf.DUMMYFUNCTION("""COMPUTED_VALUE"""),0.588)</f>
        <v>0.58799999999999997</v>
      </c>
      <c r="F123" s="3">
        <f ca="1">IFERROR(__xludf.DUMMYFUNCTION("""COMPUTED_VALUE"""),3.85)</f>
        <v>3.85</v>
      </c>
      <c r="G123" s="3">
        <f ca="1">IFERROR(__xludf.DUMMYFUNCTION("""COMPUTED_VALUE"""),-1.49)</f>
        <v>-1.49</v>
      </c>
      <c r="H123" s="3">
        <f ca="1">IFERROR(__xludf.DUMMYFUNCTION("""COMPUTED_VALUE"""),10)</f>
        <v>10</v>
      </c>
      <c r="I123" s="3">
        <f ca="1">IFERROR(__xludf.DUMMYFUNCTION("""COMPUTED_VALUE"""),6)</f>
        <v>6</v>
      </c>
      <c r="J123" s="3">
        <f ca="1">IFERROR(__xludf.DUMMYFUNCTION("""COMPUTED_VALUE"""),12)</f>
        <v>12</v>
      </c>
      <c r="K123" s="3">
        <f ca="1">IFERROR(__xludf.DUMMYFUNCTION("""COMPUTED_VALUE"""),2)</f>
        <v>2</v>
      </c>
      <c r="L123" s="3">
        <f ca="1">IFERROR(__xludf.DUMMYFUNCTION("""COMPUTED_VALUE"""),5)</f>
        <v>5</v>
      </c>
      <c r="M123" s="3">
        <f ca="1">IFERROR(__xludf.DUMMYFUNCTION("""COMPUTED_VALUE"""),8)</f>
        <v>8</v>
      </c>
      <c r="N123" s="3">
        <f ca="1">IFERROR(__xludf.DUMMYFUNCTION("""COMPUTED_VALUE"""),2560)</f>
        <v>2560</v>
      </c>
      <c r="O123" s="3">
        <f ca="1">IFERROR(__xludf.DUMMYFUNCTION("""COMPUTED_VALUE"""),2353)</f>
        <v>2353</v>
      </c>
      <c r="P123" s="3">
        <f ca="1">IFERROR(__xludf.DUMMYFUNCTION("""COMPUTED_VALUE"""),1370)</f>
        <v>1370</v>
      </c>
      <c r="Q123" s="3">
        <f ca="1">IFERROR(__xludf.DUMMYFUNCTION("""COMPUTED_VALUE"""),907)</f>
        <v>907</v>
      </c>
      <c r="R123" s="3">
        <f ca="1">IFERROR(__xludf.DUMMYFUNCTION("""COMPUTED_VALUE"""),2006)</f>
        <v>2006</v>
      </c>
      <c r="S123" s="3">
        <f ca="1">IFERROR(__xludf.DUMMYFUNCTION("""COMPUTED_VALUE"""),0.452)</f>
        <v>0.45200000000000001</v>
      </c>
      <c r="T123" s="3">
        <f ca="1">IFERROR(__xludf.DUMMYFUNCTION("""COMPUTED_VALUE"""),257)</f>
        <v>257</v>
      </c>
      <c r="U123" s="3">
        <f ca="1">IFERROR(__xludf.DUMMYFUNCTION("""COMPUTED_VALUE"""),777)</f>
        <v>777</v>
      </c>
      <c r="V123" s="3">
        <f ca="1">IFERROR(__xludf.DUMMYFUNCTION("""COMPUTED_VALUE"""),0.331)</f>
        <v>0.33100000000000002</v>
      </c>
      <c r="W123" s="3">
        <f ca="1">IFERROR(__xludf.DUMMYFUNCTION("""COMPUTED_VALUE"""),487)</f>
        <v>487</v>
      </c>
      <c r="X123" s="3">
        <f ca="1">IFERROR(__xludf.DUMMYFUNCTION("""COMPUTED_VALUE"""),666)</f>
        <v>666</v>
      </c>
      <c r="Y123" s="3">
        <f ca="1">IFERROR(__xludf.DUMMYFUNCTION("""COMPUTED_VALUE"""),0.731)</f>
        <v>0.73099999999999998</v>
      </c>
      <c r="Z123" s="3">
        <f ca="1">IFERROR(__xludf.DUMMYFUNCTION("""COMPUTED_VALUE"""),350)</f>
        <v>350</v>
      </c>
      <c r="AA123" s="3">
        <f ca="1">IFERROR(__xludf.DUMMYFUNCTION("""COMPUTED_VALUE"""),1238)</f>
        <v>1238</v>
      </c>
      <c r="AB123" s="3">
        <f ca="1">IFERROR(__xludf.DUMMYFUNCTION("""COMPUTED_VALUE"""),478)</f>
        <v>478</v>
      </c>
      <c r="AC123" s="3">
        <f ca="1">IFERROR(__xludf.DUMMYFUNCTION("""COMPUTED_VALUE"""),207)</f>
        <v>207</v>
      </c>
      <c r="AD123" s="3">
        <f ca="1">IFERROR(__xludf.DUMMYFUNCTION("""COMPUTED_VALUE"""),75)</f>
        <v>75</v>
      </c>
      <c r="AE123" s="3">
        <f ca="1">IFERROR(__xludf.DUMMYFUNCTION("""COMPUTED_VALUE"""),411)</f>
        <v>411</v>
      </c>
      <c r="AF123" s="3">
        <f ca="1">IFERROR(__xludf.DUMMYFUNCTION("""COMPUTED_VALUE"""),598)</f>
        <v>598</v>
      </c>
    </row>
    <row r="124" spans="1:32" x14ac:dyDescent="0.25">
      <c r="A124" s="3" t="str">
        <f ca="1">IFERROR(__xludf.DUMMYFUNCTION("""COMPUTED_VALUE"""),"Green Bay")</f>
        <v>Green Bay</v>
      </c>
      <c r="B124" s="3">
        <f ca="1">IFERROR(__xludf.DUMMYFUNCTION("""COMPUTED_VALUE"""),38)</f>
        <v>38</v>
      </c>
      <c r="C124" s="3">
        <f ca="1">IFERROR(__xludf.DUMMYFUNCTION("""COMPUTED_VALUE"""),21)</f>
        <v>21</v>
      </c>
      <c r="D124" s="3">
        <f ca="1">IFERROR(__xludf.DUMMYFUNCTION("""COMPUTED_VALUE"""),17)</f>
        <v>17</v>
      </c>
      <c r="E124" s="3">
        <f ca="1">IFERROR(__xludf.DUMMYFUNCTION("""COMPUTED_VALUE"""),0.553)</f>
        <v>0.55300000000000005</v>
      </c>
      <c r="F124" s="3">
        <f ca="1">IFERROR(__xludf.DUMMYFUNCTION("""COMPUTED_VALUE"""),-2.24)</f>
        <v>-2.2400000000000002</v>
      </c>
      <c r="G124" s="3">
        <f ca="1">IFERROR(__xludf.DUMMYFUNCTION("""COMPUTED_VALUE"""),-0.36)</f>
        <v>-0.36</v>
      </c>
      <c r="H124" s="3">
        <f ca="1">IFERROR(__xludf.DUMMYFUNCTION("""COMPUTED_VALUE"""),10)</f>
        <v>10</v>
      </c>
      <c r="I124" s="3">
        <f ca="1">IFERROR(__xludf.DUMMYFUNCTION("""COMPUTED_VALUE"""),8)</f>
        <v>8</v>
      </c>
      <c r="J124" s="3">
        <f ca="1">IFERROR(__xludf.DUMMYFUNCTION("""COMPUTED_VALUE"""),15)</f>
        <v>15</v>
      </c>
      <c r="K124" s="3">
        <f ca="1">IFERROR(__xludf.DUMMYFUNCTION("""COMPUTED_VALUE"""),3)</f>
        <v>3</v>
      </c>
      <c r="L124" s="3">
        <f ca="1">IFERROR(__xludf.DUMMYFUNCTION("""COMPUTED_VALUE"""),5)</f>
        <v>5</v>
      </c>
      <c r="M124" s="3">
        <f ca="1">IFERROR(__xludf.DUMMYFUNCTION("""COMPUTED_VALUE"""),13)</f>
        <v>13</v>
      </c>
      <c r="N124" s="3">
        <f ca="1">IFERROR(__xludf.DUMMYFUNCTION("""COMPUTED_VALUE"""),3090)</f>
        <v>3090</v>
      </c>
      <c r="O124" s="3">
        <f ca="1">IFERROR(__xludf.DUMMYFUNCTION("""COMPUTED_VALUE"""),3036)</f>
        <v>3036</v>
      </c>
      <c r="P124" s="3">
        <f ca="1">IFERROR(__xludf.DUMMYFUNCTION("""COMPUTED_VALUE"""),1535)</f>
        <v>1535</v>
      </c>
      <c r="Q124" s="3">
        <f ca="1">IFERROR(__xludf.DUMMYFUNCTION("""COMPUTED_VALUE"""),1106)</f>
        <v>1106</v>
      </c>
      <c r="R124" s="3">
        <f ca="1">IFERROR(__xludf.DUMMYFUNCTION("""COMPUTED_VALUE"""),2413)</f>
        <v>2413</v>
      </c>
      <c r="S124" s="3">
        <f ca="1">IFERROR(__xludf.DUMMYFUNCTION("""COMPUTED_VALUE"""),0.458)</f>
        <v>0.45800000000000002</v>
      </c>
      <c r="T124" s="3">
        <f ca="1">IFERROR(__xludf.DUMMYFUNCTION("""COMPUTED_VALUE"""),303)</f>
        <v>303</v>
      </c>
      <c r="U124" s="3">
        <f ca="1">IFERROR(__xludf.DUMMYFUNCTION("""COMPUTED_VALUE"""),879)</f>
        <v>879</v>
      </c>
      <c r="V124" s="3">
        <f ca="1">IFERROR(__xludf.DUMMYFUNCTION("""COMPUTED_VALUE"""),0.345)</f>
        <v>0.34499999999999997</v>
      </c>
      <c r="W124" s="3">
        <f ca="1">IFERROR(__xludf.DUMMYFUNCTION("""COMPUTED_VALUE"""),575)</f>
        <v>575</v>
      </c>
      <c r="X124" s="3">
        <f ca="1">IFERROR(__xludf.DUMMYFUNCTION("""COMPUTED_VALUE"""),818)</f>
        <v>818</v>
      </c>
      <c r="Y124" s="3">
        <f ca="1">IFERROR(__xludf.DUMMYFUNCTION("""COMPUTED_VALUE"""),0.703)</f>
        <v>0.70299999999999996</v>
      </c>
      <c r="Z124" s="3">
        <f ca="1">IFERROR(__xludf.DUMMYFUNCTION("""COMPUTED_VALUE"""),376)</f>
        <v>376</v>
      </c>
      <c r="AA124" s="3">
        <f ca="1">IFERROR(__xludf.DUMMYFUNCTION("""COMPUTED_VALUE"""),1406)</f>
        <v>1406</v>
      </c>
      <c r="AB124" s="3">
        <f ca="1">IFERROR(__xludf.DUMMYFUNCTION("""COMPUTED_VALUE"""),578)</f>
        <v>578</v>
      </c>
      <c r="AC124" s="3">
        <f ca="1">IFERROR(__xludf.DUMMYFUNCTION("""COMPUTED_VALUE"""),291)</f>
        <v>291</v>
      </c>
      <c r="AD124" s="3">
        <f ca="1">IFERROR(__xludf.DUMMYFUNCTION("""COMPUTED_VALUE"""),154)</f>
        <v>154</v>
      </c>
      <c r="AE124" s="3">
        <f ca="1">IFERROR(__xludf.DUMMYFUNCTION("""COMPUTED_VALUE"""),500)</f>
        <v>500</v>
      </c>
      <c r="AF124" s="3">
        <f ca="1">IFERROR(__xludf.DUMMYFUNCTION("""COMPUTED_VALUE"""),730)</f>
        <v>730</v>
      </c>
    </row>
    <row r="125" spans="1:32" x14ac:dyDescent="0.25">
      <c r="A125" s="3" t="str">
        <f ca="1">IFERROR(__xludf.DUMMYFUNCTION("""COMPUTED_VALUE"""),"Hampton")</f>
        <v>Hampton</v>
      </c>
      <c r="B125" s="3">
        <f ca="1">IFERROR(__xludf.DUMMYFUNCTION("""COMPUTED_VALUE"""),35)</f>
        <v>35</v>
      </c>
      <c r="C125" s="3">
        <f ca="1">IFERROR(__xludf.DUMMYFUNCTION("""COMPUTED_VALUE"""),18)</f>
        <v>18</v>
      </c>
      <c r="D125" s="3">
        <f ca="1">IFERROR(__xludf.DUMMYFUNCTION("""COMPUTED_VALUE"""),17)</f>
        <v>17</v>
      </c>
      <c r="E125" s="3">
        <f ca="1">IFERROR(__xludf.DUMMYFUNCTION("""COMPUTED_VALUE"""),0.514)</f>
        <v>0.51400000000000001</v>
      </c>
      <c r="F125" s="3">
        <f ca="1">IFERROR(__xludf.DUMMYFUNCTION("""COMPUTED_VALUE"""),-3.34)</f>
        <v>-3.34</v>
      </c>
      <c r="G125" s="3">
        <f ca="1">IFERROR(__xludf.DUMMYFUNCTION("""COMPUTED_VALUE"""),-5.06)</f>
        <v>-5.0599999999999996</v>
      </c>
      <c r="H125" s="3">
        <f ca="1">IFERROR(__xludf.DUMMYFUNCTION("""COMPUTED_VALUE"""),9)</f>
        <v>9</v>
      </c>
      <c r="I125" s="3">
        <f ca="1">IFERROR(__xludf.DUMMYFUNCTION("""COMPUTED_VALUE"""),7)</f>
        <v>7</v>
      </c>
      <c r="J125" s="3">
        <f ca="1">IFERROR(__xludf.DUMMYFUNCTION("""COMPUTED_VALUE"""),12)</f>
        <v>12</v>
      </c>
      <c r="K125" s="3">
        <f ca="1">IFERROR(__xludf.DUMMYFUNCTION("""COMPUTED_VALUE"""),3)</f>
        <v>3</v>
      </c>
      <c r="L125" s="3">
        <f ca="1">IFERROR(__xludf.DUMMYFUNCTION("""COMPUTED_VALUE"""),6)</f>
        <v>6</v>
      </c>
      <c r="M125" s="3">
        <f ca="1">IFERROR(__xludf.DUMMYFUNCTION("""COMPUTED_VALUE"""),12)</f>
        <v>12</v>
      </c>
      <c r="N125" s="3">
        <f ca="1">IFERROR(__xludf.DUMMYFUNCTION("""COMPUTED_VALUE"""),2847)</f>
        <v>2847</v>
      </c>
      <c r="O125" s="3">
        <f ca="1">IFERROR(__xludf.DUMMYFUNCTION("""COMPUTED_VALUE"""),2669)</f>
        <v>2669</v>
      </c>
      <c r="P125" s="3">
        <f ca="1">IFERROR(__xludf.DUMMYFUNCTION("""COMPUTED_VALUE"""),1430)</f>
        <v>1430</v>
      </c>
      <c r="Q125" s="3">
        <f ca="1">IFERROR(__xludf.DUMMYFUNCTION("""COMPUTED_VALUE"""),966)</f>
        <v>966</v>
      </c>
      <c r="R125" s="3">
        <f ca="1">IFERROR(__xludf.DUMMYFUNCTION("""COMPUTED_VALUE"""),2236)</f>
        <v>2236</v>
      </c>
      <c r="S125" s="3">
        <f ca="1">IFERROR(__xludf.DUMMYFUNCTION("""COMPUTED_VALUE"""),0.432)</f>
        <v>0.432</v>
      </c>
      <c r="T125" s="3">
        <f ca="1">IFERROR(__xludf.DUMMYFUNCTION("""COMPUTED_VALUE"""),291)</f>
        <v>291</v>
      </c>
      <c r="U125" s="3">
        <f ca="1">IFERROR(__xludf.DUMMYFUNCTION("""COMPUTED_VALUE"""),844)</f>
        <v>844</v>
      </c>
      <c r="V125" s="3">
        <f ca="1">IFERROR(__xludf.DUMMYFUNCTION("""COMPUTED_VALUE"""),0.345)</f>
        <v>0.34499999999999997</v>
      </c>
      <c r="W125" s="3">
        <f ca="1">IFERROR(__xludf.DUMMYFUNCTION("""COMPUTED_VALUE"""),622)</f>
        <v>622</v>
      </c>
      <c r="X125" s="3">
        <f ca="1">IFERROR(__xludf.DUMMYFUNCTION("""COMPUTED_VALUE"""),790)</f>
        <v>790</v>
      </c>
      <c r="Y125" s="3">
        <f ca="1">IFERROR(__xludf.DUMMYFUNCTION("""COMPUTED_VALUE"""),0.787)</f>
        <v>0.78700000000000003</v>
      </c>
      <c r="Z125" s="3">
        <f ca="1">IFERROR(__xludf.DUMMYFUNCTION("""COMPUTED_VALUE"""),363)</f>
        <v>363</v>
      </c>
      <c r="AA125" s="3">
        <f ca="1">IFERROR(__xludf.DUMMYFUNCTION("""COMPUTED_VALUE"""),1370)</f>
        <v>1370</v>
      </c>
      <c r="AB125" s="3">
        <f ca="1">IFERROR(__xludf.DUMMYFUNCTION("""COMPUTED_VALUE"""),487)</f>
        <v>487</v>
      </c>
      <c r="AC125" s="3">
        <f ca="1">IFERROR(__xludf.DUMMYFUNCTION("""COMPUTED_VALUE"""),215)</f>
        <v>215</v>
      </c>
      <c r="AD125" s="3">
        <f ca="1">IFERROR(__xludf.DUMMYFUNCTION("""COMPUTED_VALUE"""),121)</f>
        <v>121</v>
      </c>
      <c r="AE125" s="3">
        <f ca="1">IFERROR(__xludf.DUMMYFUNCTION("""COMPUTED_VALUE"""),379)</f>
        <v>379</v>
      </c>
      <c r="AF125" s="3">
        <f ca="1">IFERROR(__xludf.DUMMYFUNCTION("""COMPUTED_VALUE"""),649)</f>
        <v>649</v>
      </c>
    </row>
    <row r="126" spans="1:32" x14ac:dyDescent="0.25">
      <c r="A126" s="3" t="str">
        <f ca="1">IFERROR(__xludf.DUMMYFUNCTION("""COMPUTED_VALUE"""),"Hartford")</f>
        <v>Hartford</v>
      </c>
      <c r="B126" s="3">
        <f ca="1">IFERROR(__xludf.DUMMYFUNCTION("""COMPUTED_VALUE"""),33)</f>
        <v>33</v>
      </c>
      <c r="C126" s="3">
        <f ca="1">IFERROR(__xludf.DUMMYFUNCTION("""COMPUTED_VALUE"""),18)</f>
        <v>18</v>
      </c>
      <c r="D126" s="3">
        <f ca="1">IFERROR(__xludf.DUMMYFUNCTION("""COMPUTED_VALUE"""),15)</f>
        <v>15</v>
      </c>
      <c r="E126" s="3">
        <f ca="1">IFERROR(__xludf.DUMMYFUNCTION("""COMPUTED_VALUE"""),0.545)</f>
        <v>0.54500000000000004</v>
      </c>
      <c r="F126" s="3">
        <f ca="1">IFERROR(__xludf.DUMMYFUNCTION("""COMPUTED_VALUE"""),-3.95)</f>
        <v>-3.95</v>
      </c>
      <c r="G126" s="3">
        <f ca="1">IFERROR(__xludf.DUMMYFUNCTION("""COMPUTED_VALUE"""),-4.89)</f>
        <v>-4.8899999999999997</v>
      </c>
      <c r="H126" s="3">
        <f ca="1">IFERROR(__xludf.DUMMYFUNCTION("""COMPUTED_VALUE"""),10)</f>
        <v>10</v>
      </c>
      <c r="I126" s="3">
        <f ca="1">IFERROR(__xludf.DUMMYFUNCTION("""COMPUTED_VALUE"""),6)</f>
        <v>6</v>
      </c>
      <c r="J126" s="3">
        <f ca="1">IFERROR(__xludf.DUMMYFUNCTION("""COMPUTED_VALUE"""),10)</f>
        <v>10</v>
      </c>
      <c r="K126" s="3">
        <f ca="1">IFERROR(__xludf.DUMMYFUNCTION("""COMPUTED_VALUE"""),4)</f>
        <v>4</v>
      </c>
      <c r="L126" s="3">
        <f ca="1">IFERROR(__xludf.DUMMYFUNCTION("""COMPUTED_VALUE"""),8)</f>
        <v>8</v>
      </c>
      <c r="M126" s="3">
        <f ca="1">IFERROR(__xludf.DUMMYFUNCTION("""COMPUTED_VALUE"""),9)</f>
        <v>9</v>
      </c>
      <c r="N126" s="3">
        <f ca="1">IFERROR(__xludf.DUMMYFUNCTION("""COMPUTED_VALUE"""),2477)</f>
        <v>2477</v>
      </c>
      <c r="O126" s="3">
        <f ca="1">IFERROR(__xludf.DUMMYFUNCTION("""COMPUTED_VALUE"""),2407)</f>
        <v>2407</v>
      </c>
      <c r="P126" s="3">
        <f ca="1">IFERROR(__xludf.DUMMYFUNCTION("""COMPUTED_VALUE"""),1345)</f>
        <v>1345</v>
      </c>
      <c r="Q126" s="3">
        <f ca="1">IFERROR(__xludf.DUMMYFUNCTION("""COMPUTED_VALUE"""),848)</f>
        <v>848</v>
      </c>
      <c r="R126" s="3">
        <f ca="1">IFERROR(__xludf.DUMMYFUNCTION("""COMPUTED_VALUE"""),1862)</f>
        <v>1862</v>
      </c>
      <c r="S126" s="3">
        <f ca="1">IFERROR(__xludf.DUMMYFUNCTION("""COMPUTED_VALUE"""),0.455)</f>
        <v>0.45500000000000002</v>
      </c>
      <c r="T126" s="3">
        <f ca="1">IFERROR(__xludf.DUMMYFUNCTION("""COMPUTED_VALUE"""),322)</f>
        <v>322</v>
      </c>
      <c r="U126" s="3">
        <f ca="1">IFERROR(__xludf.DUMMYFUNCTION("""COMPUTED_VALUE"""),846)</f>
        <v>846</v>
      </c>
      <c r="V126" s="3">
        <f ca="1">IFERROR(__xludf.DUMMYFUNCTION("""COMPUTED_VALUE"""),0.381)</f>
        <v>0.38100000000000001</v>
      </c>
      <c r="W126" s="3">
        <f ca="1">IFERROR(__xludf.DUMMYFUNCTION("""COMPUTED_VALUE"""),459)</f>
        <v>459</v>
      </c>
      <c r="X126" s="3">
        <f ca="1">IFERROR(__xludf.DUMMYFUNCTION("""COMPUTED_VALUE"""),619)</f>
        <v>619</v>
      </c>
      <c r="Y126" s="3">
        <f ca="1">IFERROR(__xludf.DUMMYFUNCTION("""COMPUTED_VALUE"""),0.742)</f>
        <v>0.74199999999999999</v>
      </c>
      <c r="Z126" s="3">
        <f ca="1">IFERROR(__xludf.DUMMYFUNCTION("""COMPUTED_VALUE"""),278)</f>
        <v>278</v>
      </c>
      <c r="AA126" s="3">
        <f ca="1">IFERROR(__xludf.DUMMYFUNCTION("""COMPUTED_VALUE"""),1050)</f>
        <v>1050</v>
      </c>
      <c r="AB126" s="3">
        <f ca="1">IFERROR(__xludf.DUMMYFUNCTION("""COMPUTED_VALUE"""),462)</f>
        <v>462</v>
      </c>
      <c r="AC126" s="3">
        <f ca="1">IFERROR(__xludf.DUMMYFUNCTION("""COMPUTED_VALUE"""),228)</f>
        <v>228</v>
      </c>
      <c r="AD126" s="3">
        <f ca="1">IFERROR(__xludf.DUMMYFUNCTION("""COMPUTED_VALUE"""),69)</f>
        <v>69</v>
      </c>
      <c r="AE126" s="3">
        <f ca="1">IFERROR(__xludf.DUMMYFUNCTION("""COMPUTED_VALUE"""),401)</f>
        <v>401</v>
      </c>
      <c r="AF126" s="3">
        <f ca="1">IFERROR(__xludf.DUMMYFUNCTION("""COMPUTED_VALUE"""),556)</f>
        <v>556</v>
      </c>
    </row>
    <row r="127" spans="1:32" x14ac:dyDescent="0.25">
      <c r="A127" s="3" t="str">
        <f ca="1">IFERROR(__xludf.DUMMYFUNCTION("""COMPUTED_VALUE"""),"Harvard")</f>
        <v>Harvard</v>
      </c>
      <c r="B127" s="3">
        <f ca="1">IFERROR(__xludf.DUMMYFUNCTION("""COMPUTED_VALUE"""),31)</f>
        <v>31</v>
      </c>
      <c r="C127" s="3">
        <f ca="1">IFERROR(__xludf.DUMMYFUNCTION("""COMPUTED_VALUE"""),19)</f>
        <v>19</v>
      </c>
      <c r="D127" s="3">
        <f ca="1">IFERROR(__xludf.DUMMYFUNCTION("""COMPUTED_VALUE"""),12)</f>
        <v>12</v>
      </c>
      <c r="E127" s="3">
        <f ca="1">IFERROR(__xludf.DUMMYFUNCTION("""COMPUTED_VALUE"""),0.613)</f>
        <v>0.61299999999999999</v>
      </c>
      <c r="F127" s="3">
        <f ca="1">IFERROR(__xludf.DUMMYFUNCTION("""COMPUTED_VALUE"""),1.86)</f>
        <v>1.86</v>
      </c>
      <c r="G127" s="3">
        <f ca="1">IFERROR(__xludf.DUMMYFUNCTION("""COMPUTED_VALUE"""),0.66)</f>
        <v>0.66</v>
      </c>
      <c r="H127" s="3">
        <f ca="1">IFERROR(__xludf.DUMMYFUNCTION("""COMPUTED_VALUE"""),10)</f>
        <v>10</v>
      </c>
      <c r="I127" s="3">
        <f ca="1">IFERROR(__xludf.DUMMYFUNCTION("""COMPUTED_VALUE"""),4)</f>
        <v>4</v>
      </c>
      <c r="J127" s="3">
        <f ca="1">IFERROR(__xludf.DUMMYFUNCTION("""COMPUTED_VALUE"""),9)</f>
        <v>9</v>
      </c>
      <c r="K127" s="3">
        <f ca="1">IFERROR(__xludf.DUMMYFUNCTION("""COMPUTED_VALUE"""),2)</f>
        <v>2</v>
      </c>
      <c r="L127" s="3">
        <f ca="1">IFERROR(__xludf.DUMMYFUNCTION("""COMPUTED_VALUE"""),8)</f>
        <v>8</v>
      </c>
      <c r="M127" s="3">
        <f ca="1">IFERROR(__xludf.DUMMYFUNCTION("""COMPUTED_VALUE"""),9)</f>
        <v>9</v>
      </c>
      <c r="N127" s="3">
        <f ca="1">IFERROR(__xludf.DUMMYFUNCTION("""COMPUTED_VALUE"""),2222)</f>
        <v>2222</v>
      </c>
      <c r="O127" s="3">
        <f ca="1">IFERROR(__xludf.DUMMYFUNCTION("""COMPUTED_VALUE"""),2174)</f>
        <v>2174</v>
      </c>
      <c r="P127" s="3">
        <f ca="1">IFERROR(__xludf.DUMMYFUNCTION("""COMPUTED_VALUE"""),1265)</f>
        <v>1265</v>
      </c>
      <c r="Q127" s="3">
        <f ca="1">IFERROR(__xludf.DUMMYFUNCTION("""COMPUTED_VALUE"""),787)</f>
        <v>787</v>
      </c>
      <c r="R127" s="3">
        <f ca="1">IFERROR(__xludf.DUMMYFUNCTION("""COMPUTED_VALUE"""),1711)</f>
        <v>1711</v>
      </c>
      <c r="S127" s="3">
        <f ca="1">IFERROR(__xludf.DUMMYFUNCTION("""COMPUTED_VALUE"""),0.46)</f>
        <v>0.46</v>
      </c>
      <c r="T127" s="3">
        <f ca="1">IFERROR(__xludf.DUMMYFUNCTION("""COMPUTED_VALUE"""),260)</f>
        <v>260</v>
      </c>
      <c r="U127" s="3">
        <f ca="1">IFERROR(__xludf.DUMMYFUNCTION("""COMPUTED_VALUE"""),722)</f>
        <v>722</v>
      </c>
      <c r="V127" s="3">
        <f ca="1">IFERROR(__xludf.DUMMYFUNCTION("""COMPUTED_VALUE"""),0.36)</f>
        <v>0.36</v>
      </c>
      <c r="W127" s="3">
        <f ca="1">IFERROR(__xludf.DUMMYFUNCTION("""COMPUTED_VALUE"""),388)</f>
        <v>388</v>
      </c>
      <c r="X127" s="3">
        <f ca="1">IFERROR(__xludf.DUMMYFUNCTION("""COMPUTED_VALUE"""),538)</f>
        <v>538</v>
      </c>
      <c r="Y127" s="3">
        <f ca="1">IFERROR(__xludf.DUMMYFUNCTION("""COMPUTED_VALUE"""),0.721)</f>
        <v>0.72099999999999997</v>
      </c>
      <c r="Z127" s="3">
        <f ca="1">IFERROR(__xludf.DUMMYFUNCTION("""COMPUTED_VALUE"""),288)</f>
        <v>288</v>
      </c>
      <c r="AA127" s="3">
        <f ca="1">IFERROR(__xludf.DUMMYFUNCTION("""COMPUTED_VALUE"""),1119)</f>
        <v>1119</v>
      </c>
      <c r="AB127" s="3">
        <f ca="1">IFERROR(__xludf.DUMMYFUNCTION("""COMPUTED_VALUE"""),369)</f>
        <v>369</v>
      </c>
      <c r="AC127" s="3">
        <f ca="1">IFERROR(__xludf.DUMMYFUNCTION("""COMPUTED_VALUE"""),174)</f>
        <v>174</v>
      </c>
      <c r="AD127" s="3">
        <f ca="1">IFERROR(__xludf.DUMMYFUNCTION("""COMPUTED_VALUE"""),123)</f>
        <v>123</v>
      </c>
      <c r="AE127" s="3">
        <f ca="1">IFERROR(__xludf.DUMMYFUNCTION("""COMPUTED_VALUE"""),491)</f>
        <v>491</v>
      </c>
      <c r="AF127" s="3">
        <f ca="1">IFERROR(__xludf.DUMMYFUNCTION("""COMPUTED_VALUE"""),554)</f>
        <v>554</v>
      </c>
    </row>
    <row r="128" spans="1:32" x14ac:dyDescent="0.25">
      <c r="A128" s="3" t="str">
        <f ca="1">IFERROR(__xludf.DUMMYFUNCTION("""COMPUTED_VALUE"""),"Hawaii")</f>
        <v>Hawaii</v>
      </c>
      <c r="B128" s="3">
        <f ca="1">IFERROR(__xludf.DUMMYFUNCTION("""COMPUTED_VALUE"""),31)</f>
        <v>31</v>
      </c>
      <c r="C128" s="3">
        <f ca="1">IFERROR(__xludf.DUMMYFUNCTION("""COMPUTED_VALUE"""),18)</f>
        <v>18</v>
      </c>
      <c r="D128" s="3">
        <f ca="1">IFERROR(__xludf.DUMMYFUNCTION("""COMPUTED_VALUE"""),13)</f>
        <v>13</v>
      </c>
      <c r="E128" s="3">
        <f ca="1">IFERROR(__xludf.DUMMYFUNCTION("""COMPUTED_VALUE"""),0.581)</f>
        <v>0.58099999999999996</v>
      </c>
      <c r="F128" s="3">
        <f ca="1">IFERROR(__xludf.DUMMYFUNCTION("""COMPUTED_VALUE"""),-1.3)</f>
        <v>-1.3</v>
      </c>
      <c r="G128" s="3">
        <f ca="1">IFERROR(__xludf.DUMMYFUNCTION("""COMPUTED_VALUE"""),-3.61)</f>
        <v>-3.61</v>
      </c>
      <c r="H128" s="3">
        <f ca="1">IFERROR(__xludf.DUMMYFUNCTION("""COMPUTED_VALUE"""),9)</f>
        <v>9</v>
      </c>
      <c r="I128" s="3">
        <f ca="1">IFERROR(__xludf.DUMMYFUNCTION("""COMPUTED_VALUE"""),7)</f>
        <v>7</v>
      </c>
      <c r="J128" s="3">
        <f ca="1">IFERROR(__xludf.DUMMYFUNCTION("""COMPUTED_VALUE"""),12)</f>
        <v>12</v>
      </c>
      <c r="K128" s="3">
        <f ca="1">IFERROR(__xludf.DUMMYFUNCTION("""COMPUTED_VALUE"""),5)</f>
        <v>5</v>
      </c>
      <c r="L128" s="3">
        <f ca="1">IFERROR(__xludf.DUMMYFUNCTION("""COMPUTED_VALUE"""),4)</f>
        <v>4</v>
      </c>
      <c r="M128" s="3">
        <f ca="1">IFERROR(__xludf.DUMMYFUNCTION("""COMPUTED_VALUE"""),5)</f>
        <v>5</v>
      </c>
      <c r="N128" s="3">
        <f ca="1">IFERROR(__xludf.DUMMYFUNCTION("""COMPUTED_VALUE"""),2241)</f>
        <v>2241</v>
      </c>
      <c r="O128" s="3">
        <f ca="1">IFERROR(__xludf.DUMMYFUNCTION("""COMPUTED_VALUE"""),2131)</f>
        <v>2131</v>
      </c>
      <c r="P128" s="3">
        <f ca="1">IFERROR(__xludf.DUMMYFUNCTION("""COMPUTED_VALUE"""),1250)</f>
        <v>1250</v>
      </c>
      <c r="Q128" s="3">
        <f ca="1">IFERROR(__xludf.DUMMYFUNCTION("""COMPUTED_VALUE"""),788)</f>
        <v>788</v>
      </c>
      <c r="R128" s="3">
        <f ca="1">IFERROR(__xludf.DUMMYFUNCTION("""COMPUTED_VALUE"""),1746)</f>
        <v>1746</v>
      </c>
      <c r="S128" s="3">
        <f ca="1">IFERROR(__xludf.DUMMYFUNCTION("""COMPUTED_VALUE"""),0.451)</f>
        <v>0.45100000000000001</v>
      </c>
      <c r="T128" s="3">
        <f ca="1">IFERROR(__xludf.DUMMYFUNCTION("""COMPUTED_VALUE"""),266)</f>
        <v>266</v>
      </c>
      <c r="U128" s="3">
        <f ca="1">IFERROR(__xludf.DUMMYFUNCTION("""COMPUTED_VALUE"""),751)</f>
        <v>751</v>
      </c>
      <c r="V128" s="3">
        <f ca="1">IFERROR(__xludf.DUMMYFUNCTION("""COMPUTED_VALUE"""),0.354)</f>
        <v>0.35399999999999998</v>
      </c>
      <c r="W128" s="3">
        <f ca="1">IFERROR(__xludf.DUMMYFUNCTION("""COMPUTED_VALUE"""),399)</f>
        <v>399</v>
      </c>
      <c r="X128" s="3">
        <f ca="1">IFERROR(__xludf.DUMMYFUNCTION("""COMPUTED_VALUE"""),576)</f>
        <v>576</v>
      </c>
      <c r="Y128" s="3">
        <f ca="1">IFERROR(__xludf.DUMMYFUNCTION("""COMPUTED_VALUE"""),0.693)</f>
        <v>0.69299999999999995</v>
      </c>
      <c r="Z128" s="3">
        <f ca="1">IFERROR(__xludf.DUMMYFUNCTION("""COMPUTED_VALUE"""),278)</f>
        <v>278</v>
      </c>
      <c r="AA128" s="3">
        <f ca="1">IFERROR(__xludf.DUMMYFUNCTION("""COMPUTED_VALUE"""),1054)</f>
        <v>1054</v>
      </c>
      <c r="AB128" s="3">
        <f ca="1">IFERROR(__xludf.DUMMYFUNCTION("""COMPUTED_VALUE"""),478)</f>
        <v>478</v>
      </c>
      <c r="AC128" s="3">
        <f ca="1">IFERROR(__xludf.DUMMYFUNCTION("""COMPUTED_VALUE"""),156)</f>
        <v>156</v>
      </c>
      <c r="AD128" s="3">
        <f ca="1">IFERROR(__xludf.DUMMYFUNCTION("""COMPUTED_VALUE"""),66)</f>
        <v>66</v>
      </c>
      <c r="AE128" s="3">
        <f ca="1">IFERROR(__xludf.DUMMYFUNCTION("""COMPUTED_VALUE"""),368)</f>
        <v>368</v>
      </c>
      <c r="AF128" s="3">
        <f ca="1">IFERROR(__xludf.DUMMYFUNCTION("""COMPUTED_VALUE"""),556)</f>
        <v>556</v>
      </c>
    </row>
    <row r="129" spans="1:32" x14ac:dyDescent="0.25">
      <c r="A129" s="3" t="str">
        <f ca="1">IFERROR(__xludf.DUMMYFUNCTION("""COMPUTED_VALUE"""),"High Point")</f>
        <v>High Point</v>
      </c>
      <c r="B129" s="3">
        <f ca="1">IFERROR(__xludf.DUMMYFUNCTION("""COMPUTED_VALUE"""),31)</f>
        <v>31</v>
      </c>
      <c r="C129" s="3">
        <f ca="1">IFERROR(__xludf.DUMMYFUNCTION("""COMPUTED_VALUE"""),16)</f>
        <v>16</v>
      </c>
      <c r="D129" s="3">
        <f ca="1">IFERROR(__xludf.DUMMYFUNCTION("""COMPUTED_VALUE"""),15)</f>
        <v>15</v>
      </c>
      <c r="E129" s="3">
        <f ca="1">IFERROR(__xludf.DUMMYFUNCTION("""COMPUTED_VALUE"""),0.516)</f>
        <v>0.51600000000000001</v>
      </c>
      <c r="F129" s="3">
        <f ca="1">IFERROR(__xludf.DUMMYFUNCTION("""COMPUTED_VALUE"""),-5.63)</f>
        <v>-5.63</v>
      </c>
      <c r="G129" s="3">
        <f ca="1">IFERROR(__xludf.DUMMYFUNCTION("""COMPUTED_VALUE"""),-4.39)</f>
        <v>-4.3899999999999997</v>
      </c>
      <c r="H129" s="3">
        <f ca="1">IFERROR(__xludf.DUMMYFUNCTION("""COMPUTED_VALUE"""),9)</f>
        <v>9</v>
      </c>
      <c r="I129" s="3">
        <f ca="1">IFERROR(__xludf.DUMMYFUNCTION("""COMPUTED_VALUE"""),7)</f>
        <v>7</v>
      </c>
      <c r="J129" s="3">
        <f ca="1">IFERROR(__xludf.DUMMYFUNCTION("""COMPUTED_VALUE"""),9)</f>
        <v>9</v>
      </c>
      <c r="K129" s="3">
        <f ca="1">IFERROR(__xludf.DUMMYFUNCTION("""COMPUTED_VALUE"""),4)</f>
        <v>4</v>
      </c>
      <c r="L129" s="3">
        <f ca="1">IFERROR(__xludf.DUMMYFUNCTION("""COMPUTED_VALUE"""),5)</f>
        <v>5</v>
      </c>
      <c r="M129" s="3">
        <f ca="1">IFERROR(__xludf.DUMMYFUNCTION("""COMPUTED_VALUE"""),8)</f>
        <v>8</v>
      </c>
      <c r="N129" s="3">
        <f ca="1">IFERROR(__xludf.DUMMYFUNCTION("""COMPUTED_VALUE"""),2115)</f>
        <v>2115</v>
      </c>
      <c r="O129" s="3">
        <f ca="1">IFERROR(__xludf.DUMMYFUNCTION("""COMPUTED_VALUE"""),2105)</f>
        <v>2105</v>
      </c>
      <c r="P129" s="3">
        <f ca="1">IFERROR(__xludf.DUMMYFUNCTION("""COMPUTED_VALUE"""),1255)</f>
        <v>1255</v>
      </c>
      <c r="Q129" s="3">
        <f ca="1">IFERROR(__xludf.DUMMYFUNCTION("""COMPUTED_VALUE"""),763)</f>
        <v>763</v>
      </c>
      <c r="R129" s="3">
        <f ca="1">IFERROR(__xludf.DUMMYFUNCTION("""COMPUTED_VALUE"""),1719)</f>
        <v>1719</v>
      </c>
      <c r="S129" s="3">
        <f ca="1">IFERROR(__xludf.DUMMYFUNCTION("""COMPUTED_VALUE"""),0.444)</f>
        <v>0.44400000000000001</v>
      </c>
      <c r="T129" s="3">
        <f ca="1">IFERROR(__xludf.DUMMYFUNCTION("""COMPUTED_VALUE"""),180)</f>
        <v>180</v>
      </c>
      <c r="U129" s="3">
        <f ca="1">IFERROR(__xludf.DUMMYFUNCTION("""COMPUTED_VALUE"""),583)</f>
        <v>583</v>
      </c>
      <c r="V129" s="3">
        <f ca="1">IFERROR(__xludf.DUMMYFUNCTION("""COMPUTED_VALUE"""),0.309)</f>
        <v>0.309</v>
      </c>
      <c r="W129" s="3">
        <f ca="1">IFERROR(__xludf.DUMMYFUNCTION("""COMPUTED_VALUE"""),409)</f>
        <v>409</v>
      </c>
      <c r="X129" s="3">
        <f ca="1">IFERROR(__xludf.DUMMYFUNCTION("""COMPUTED_VALUE"""),605)</f>
        <v>605</v>
      </c>
      <c r="Y129" s="3">
        <f ca="1">IFERROR(__xludf.DUMMYFUNCTION("""COMPUTED_VALUE"""),0.676)</f>
        <v>0.67600000000000005</v>
      </c>
      <c r="Z129" s="3">
        <f ca="1">IFERROR(__xludf.DUMMYFUNCTION("""COMPUTED_VALUE"""),363)</f>
        <v>363</v>
      </c>
      <c r="AA129" s="3">
        <f ca="1">IFERROR(__xludf.DUMMYFUNCTION("""COMPUTED_VALUE"""),1183)</f>
        <v>1183</v>
      </c>
      <c r="AB129" s="3">
        <f ca="1">IFERROR(__xludf.DUMMYFUNCTION("""COMPUTED_VALUE"""),404)</f>
        <v>404</v>
      </c>
      <c r="AC129" s="3">
        <f ca="1">IFERROR(__xludf.DUMMYFUNCTION("""COMPUTED_VALUE"""),170)</f>
        <v>170</v>
      </c>
      <c r="AD129" s="3">
        <f ca="1">IFERROR(__xludf.DUMMYFUNCTION("""COMPUTED_VALUE"""),91)</f>
        <v>91</v>
      </c>
      <c r="AE129" s="3">
        <f ca="1">IFERROR(__xludf.DUMMYFUNCTION("""COMPUTED_VALUE"""),406)</f>
        <v>406</v>
      </c>
      <c r="AF129" s="3">
        <f ca="1">IFERROR(__xludf.DUMMYFUNCTION("""COMPUTED_VALUE"""),502)</f>
        <v>502</v>
      </c>
    </row>
    <row r="130" spans="1:32" x14ac:dyDescent="0.25">
      <c r="A130" s="3" t="str">
        <f ca="1">IFERROR(__xludf.DUMMYFUNCTION("""COMPUTED_VALUE"""),"Hofstra")</f>
        <v>Hofstra</v>
      </c>
      <c r="B130" s="3">
        <f ca="1">IFERROR(__xludf.DUMMYFUNCTION("""COMPUTED_VALUE"""),35)</f>
        <v>35</v>
      </c>
      <c r="C130" s="3">
        <f ca="1">IFERROR(__xludf.DUMMYFUNCTION("""COMPUTED_VALUE"""),27)</f>
        <v>27</v>
      </c>
      <c r="D130" s="3">
        <f ca="1">IFERROR(__xludf.DUMMYFUNCTION("""COMPUTED_VALUE"""),8)</f>
        <v>8</v>
      </c>
      <c r="E130" s="3">
        <f ca="1">IFERROR(__xludf.DUMMYFUNCTION("""COMPUTED_VALUE"""),0.771)</f>
        <v>0.77100000000000002</v>
      </c>
      <c r="F130" s="3">
        <f ca="1">IFERROR(__xludf.DUMMYFUNCTION("""COMPUTED_VALUE"""),4.68)</f>
        <v>4.68</v>
      </c>
      <c r="G130" s="3">
        <f ca="1">IFERROR(__xludf.DUMMYFUNCTION("""COMPUTED_VALUE"""),-4.53)</f>
        <v>-4.53</v>
      </c>
      <c r="H130" s="3">
        <f ca="1">IFERROR(__xludf.DUMMYFUNCTION("""COMPUTED_VALUE"""),15)</f>
        <v>15</v>
      </c>
      <c r="I130" s="3">
        <f ca="1">IFERROR(__xludf.DUMMYFUNCTION("""COMPUTED_VALUE"""),3)</f>
        <v>3</v>
      </c>
      <c r="J130" s="3">
        <f ca="1">IFERROR(__xludf.DUMMYFUNCTION("""COMPUTED_VALUE"""),15)</f>
        <v>15</v>
      </c>
      <c r="K130" s="3">
        <f ca="1">IFERROR(__xludf.DUMMYFUNCTION("""COMPUTED_VALUE"""),1)</f>
        <v>1</v>
      </c>
      <c r="L130" s="3">
        <f ca="1">IFERROR(__xludf.DUMMYFUNCTION("""COMPUTED_VALUE"""),10)</f>
        <v>10</v>
      </c>
      <c r="M130" s="3">
        <f ca="1">IFERROR(__xludf.DUMMYFUNCTION("""COMPUTED_VALUE"""),6)</f>
        <v>6</v>
      </c>
      <c r="N130" s="3">
        <f ca="1">IFERROR(__xludf.DUMMYFUNCTION("""COMPUTED_VALUE"""),2919)</f>
        <v>2919</v>
      </c>
      <c r="O130" s="3">
        <f ca="1">IFERROR(__xludf.DUMMYFUNCTION("""COMPUTED_VALUE"""),2553)</f>
        <v>2553</v>
      </c>
      <c r="P130" s="3">
        <f ca="1">IFERROR(__xludf.DUMMYFUNCTION("""COMPUTED_VALUE"""),1440)</f>
        <v>1440</v>
      </c>
      <c r="Q130" s="3">
        <f ca="1">IFERROR(__xludf.DUMMYFUNCTION("""COMPUTED_VALUE"""),998)</f>
        <v>998</v>
      </c>
      <c r="R130" s="3">
        <f ca="1">IFERROR(__xludf.DUMMYFUNCTION("""COMPUTED_VALUE"""),2055)</f>
        <v>2055</v>
      </c>
      <c r="S130" s="3">
        <f ca="1">IFERROR(__xludf.DUMMYFUNCTION("""COMPUTED_VALUE"""),0.486)</f>
        <v>0.48599999999999999</v>
      </c>
      <c r="T130" s="3">
        <f ca="1">IFERROR(__xludf.DUMMYFUNCTION("""COMPUTED_VALUE"""),308)</f>
        <v>308</v>
      </c>
      <c r="U130" s="3">
        <f ca="1">IFERROR(__xludf.DUMMYFUNCTION("""COMPUTED_VALUE"""),800)</f>
        <v>800</v>
      </c>
      <c r="V130" s="3">
        <f ca="1">IFERROR(__xludf.DUMMYFUNCTION("""COMPUTED_VALUE"""),0.385)</f>
        <v>0.38500000000000001</v>
      </c>
      <c r="W130" s="3">
        <f ca="1">IFERROR(__xludf.DUMMYFUNCTION("""COMPUTED_VALUE"""),615)</f>
        <v>615</v>
      </c>
      <c r="X130" s="3">
        <f ca="1">IFERROR(__xludf.DUMMYFUNCTION("""COMPUTED_VALUE"""),767)</f>
        <v>767</v>
      </c>
      <c r="Y130" s="3">
        <f ca="1">IFERROR(__xludf.DUMMYFUNCTION("""COMPUTED_VALUE"""),0.802)</f>
        <v>0.80200000000000005</v>
      </c>
      <c r="Z130" s="3">
        <f ca="1">IFERROR(__xludf.DUMMYFUNCTION("""COMPUTED_VALUE"""),305)</f>
        <v>305</v>
      </c>
      <c r="AA130" s="3">
        <f ca="1">IFERROR(__xludf.DUMMYFUNCTION("""COMPUTED_VALUE"""),1170)</f>
        <v>1170</v>
      </c>
      <c r="AB130" s="3">
        <f ca="1">IFERROR(__xludf.DUMMYFUNCTION("""COMPUTED_VALUE"""),492)</f>
        <v>492</v>
      </c>
      <c r="AC130" s="3">
        <f ca="1">IFERROR(__xludf.DUMMYFUNCTION("""COMPUTED_VALUE"""),228)</f>
        <v>228</v>
      </c>
      <c r="AD130" s="3">
        <f ca="1">IFERROR(__xludf.DUMMYFUNCTION("""COMPUTED_VALUE"""),122)</f>
        <v>122</v>
      </c>
      <c r="AE130" s="3">
        <f ca="1">IFERROR(__xludf.DUMMYFUNCTION("""COMPUTED_VALUE"""),342)</f>
        <v>342</v>
      </c>
      <c r="AF130" s="3">
        <f ca="1">IFERROR(__xludf.DUMMYFUNCTION("""COMPUTED_VALUE"""),526)</f>
        <v>526</v>
      </c>
    </row>
    <row r="131" spans="1:32" x14ac:dyDescent="0.25">
      <c r="A131" s="3" t="str">
        <f ca="1">IFERROR(__xludf.DUMMYFUNCTION("""COMPUTED_VALUE"""),"Holy Cross")</f>
        <v>Holy Cross</v>
      </c>
      <c r="B131" s="3">
        <f ca="1">IFERROR(__xludf.DUMMYFUNCTION("""COMPUTED_VALUE"""),33)</f>
        <v>33</v>
      </c>
      <c r="C131" s="3">
        <f ca="1">IFERROR(__xludf.DUMMYFUNCTION("""COMPUTED_VALUE"""),16)</f>
        <v>16</v>
      </c>
      <c r="D131" s="3">
        <f ca="1">IFERROR(__xludf.DUMMYFUNCTION("""COMPUTED_VALUE"""),17)</f>
        <v>17</v>
      </c>
      <c r="E131" s="3">
        <f ca="1">IFERROR(__xludf.DUMMYFUNCTION("""COMPUTED_VALUE"""),0.485)</f>
        <v>0.48499999999999999</v>
      </c>
      <c r="F131" s="3">
        <f ca="1">IFERROR(__xludf.DUMMYFUNCTION("""COMPUTED_VALUE"""),-6.43)</f>
        <v>-6.43</v>
      </c>
      <c r="G131" s="3">
        <f ca="1">IFERROR(__xludf.DUMMYFUNCTION("""COMPUTED_VALUE"""),-4.01)</f>
        <v>-4.01</v>
      </c>
      <c r="H131" s="3">
        <f ca="1">IFERROR(__xludf.DUMMYFUNCTION("""COMPUTED_VALUE"""),6)</f>
        <v>6</v>
      </c>
      <c r="I131" s="3">
        <f ca="1">IFERROR(__xludf.DUMMYFUNCTION("""COMPUTED_VALUE"""),12)</f>
        <v>12</v>
      </c>
      <c r="J131" s="3">
        <f ca="1">IFERROR(__xludf.DUMMYFUNCTION("""COMPUTED_VALUE"""),8)</f>
        <v>8</v>
      </c>
      <c r="K131" s="3">
        <f ca="1">IFERROR(__xludf.DUMMYFUNCTION("""COMPUTED_VALUE"""),6)</f>
        <v>6</v>
      </c>
      <c r="L131" s="3">
        <f ca="1">IFERROR(__xludf.DUMMYFUNCTION("""COMPUTED_VALUE"""),6)</f>
        <v>6</v>
      </c>
      <c r="M131" s="3">
        <f ca="1">IFERROR(__xludf.DUMMYFUNCTION("""COMPUTED_VALUE"""),11)</f>
        <v>11</v>
      </c>
      <c r="N131" s="3">
        <f ca="1">IFERROR(__xludf.DUMMYFUNCTION("""COMPUTED_VALUE"""),2216)</f>
        <v>2216</v>
      </c>
      <c r="O131" s="3">
        <f ca="1">IFERROR(__xludf.DUMMYFUNCTION("""COMPUTED_VALUE"""),2296)</f>
        <v>2296</v>
      </c>
      <c r="P131" s="3">
        <f ca="1">IFERROR(__xludf.DUMMYFUNCTION("""COMPUTED_VALUE"""),1335)</f>
        <v>1335</v>
      </c>
      <c r="Q131" s="3">
        <f ca="1">IFERROR(__xludf.DUMMYFUNCTION("""COMPUTED_VALUE"""),848)</f>
        <v>848</v>
      </c>
      <c r="R131" s="3">
        <f ca="1">IFERROR(__xludf.DUMMYFUNCTION("""COMPUTED_VALUE"""),1834)</f>
        <v>1834</v>
      </c>
      <c r="S131" s="3">
        <f ca="1">IFERROR(__xludf.DUMMYFUNCTION("""COMPUTED_VALUE"""),0.462)</f>
        <v>0.46200000000000002</v>
      </c>
      <c r="T131" s="3">
        <f ca="1">IFERROR(__xludf.DUMMYFUNCTION("""COMPUTED_VALUE"""),237)</f>
        <v>237</v>
      </c>
      <c r="U131" s="3">
        <f ca="1">IFERROR(__xludf.DUMMYFUNCTION("""COMPUTED_VALUE"""),670)</f>
        <v>670</v>
      </c>
      <c r="V131" s="3">
        <f ca="1">IFERROR(__xludf.DUMMYFUNCTION("""COMPUTED_VALUE"""),0.354)</f>
        <v>0.35399999999999998</v>
      </c>
      <c r="W131" s="3">
        <f ca="1">IFERROR(__xludf.DUMMYFUNCTION("""COMPUTED_VALUE"""),283)</f>
        <v>283</v>
      </c>
      <c r="X131" s="3">
        <f ca="1">IFERROR(__xludf.DUMMYFUNCTION("""COMPUTED_VALUE"""),424)</f>
        <v>424</v>
      </c>
      <c r="Y131" s="3">
        <f ca="1">IFERROR(__xludf.DUMMYFUNCTION("""COMPUTED_VALUE"""),0.667)</f>
        <v>0.66700000000000004</v>
      </c>
      <c r="Z131" s="3">
        <f ca="1">IFERROR(__xludf.DUMMYFUNCTION("""COMPUTED_VALUE"""),220)</f>
        <v>220</v>
      </c>
      <c r="AA131" s="3">
        <f ca="1">IFERROR(__xludf.DUMMYFUNCTION("""COMPUTED_VALUE"""),916)</f>
        <v>916</v>
      </c>
      <c r="AB131" s="3">
        <f ca="1">IFERROR(__xludf.DUMMYFUNCTION("""COMPUTED_VALUE"""),513)</f>
        <v>513</v>
      </c>
      <c r="AC131" s="3">
        <f ca="1">IFERROR(__xludf.DUMMYFUNCTION("""COMPUTED_VALUE"""),241)</f>
        <v>241</v>
      </c>
      <c r="AD131" s="3">
        <f ca="1">IFERROR(__xludf.DUMMYFUNCTION("""COMPUTED_VALUE"""),127)</f>
        <v>127</v>
      </c>
      <c r="AE131" s="3">
        <f ca="1">IFERROR(__xludf.DUMMYFUNCTION("""COMPUTED_VALUE"""),350)</f>
        <v>350</v>
      </c>
      <c r="AF131" s="3">
        <f ca="1">IFERROR(__xludf.DUMMYFUNCTION("""COMPUTED_VALUE"""),482)</f>
        <v>482</v>
      </c>
    </row>
    <row r="132" spans="1:32" x14ac:dyDescent="0.25">
      <c r="A132" s="3" t="str">
        <f ca="1">IFERROR(__xludf.DUMMYFUNCTION("""COMPUTED_VALUE"""),"Overall")</f>
        <v>Overall</v>
      </c>
      <c r="B132" s="3" t="str">
        <f ca="1">IFERROR(__xludf.DUMMYFUNCTION("""COMPUTED_VALUE"""),"Conf.")</f>
        <v>Conf.</v>
      </c>
      <c r="C132" s="3" t="str">
        <f ca="1">IFERROR(__xludf.DUMMYFUNCTION("""COMPUTED_VALUE"""),"Home")</f>
        <v>Home</v>
      </c>
      <c r="D132" s="3" t="str">
        <f ca="1">IFERROR(__xludf.DUMMYFUNCTION("""COMPUTED_VALUE"""),"Away")</f>
        <v>Away</v>
      </c>
      <c r="E132" s="3" t="str">
        <f ca="1">IFERROR(__xludf.DUMMYFUNCTION("""COMPUTED_VALUE"""),"Points")</f>
        <v>Points</v>
      </c>
      <c r="F132" s="3" t="str">
        <f ca="1">IFERROR(__xludf.DUMMYFUNCTION("""COMPUTED_VALUE"""),"")</f>
        <v/>
      </c>
      <c r="G132" s="3" t="str">
        <f ca="1">IFERROR(__xludf.DUMMYFUNCTION("""COMPUTED_VALUE"""),"School Totals")</f>
        <v>School Totals</v>
      </c>
      <c r="H132" s="3" t="str">
        <f ca="1">IFERROR(__xludf.DUMMYFUNCTION("""COMPUTED_VALUE"""),"")</f>
        <v/>
      </c>
      <c r="I132" s="3" t="str">
        <f ca="1">IFERROR(__xludf.DUMMYFUNCTION("""COMPUTED_VALUE"""),"")</f>
        <v/>
      </c>
      <c r="J132" s="3" t="str">
        <f ca="1">IFERROR(__xludf.DUMMYFUNCTION("""COMPUTED_VALUE"""),"")</f>
        <v/>
      </c>
      <c r="K132" s="3" t="str">
        <f ca="1">IFERROR(__xludf.DUMMYFUNCTION("""COMPUTED_VALUE"""),"")</f>
        <v/>
      </c>
      <c r="L132" s="3" t="str">
        <f ca="1">IFERROR(__xludf.DUMMYFUNCTION("""COMPUTED_VALUE"""),"")</f>
        <v/>
      </c>
      <c r="M132" s="3" t="str">
        <f ca="1">IFERROR(__xludf.DUMMYFUNCTION("""COMPUTED_VALUE"""),"")</f>
        <v/>
      </c>
      <c r="N132" s="3" t="str">
        <f ca="1">IFERROR(__xludf.DUMMYFUNCTION("""COMPUTED_VALUE"""),"")</f>
        <v/>
      </c>
      <c r="O132" s="3" t="str">
        <f ca="1">IFERROR(__xludf.DUMMYFUNCTION("""COMPUTED_VALUE"""),"")</f>
        <v/>
      </c>
      <c r="P132" s="3" t="str">
        <f ca="1">IFERROR(__xludf.DUMMYFUNCTION("""COMPUTED_VALUE"""),"")</f>
        <v/>
      </c>
      <c r="Q132" s="3" t="str">
        <f ca="1">IFERROR(__xludf.DUMMYFUNCTION("""COMPUTED_VALUE"""),"")</f>
        <v/>
      </c>
      <c r="R132" s="3" t="str">
        <f ca="1">IFERROR(__xludf.DUMMYFUNCTION("""COMPUTED_VALUE"""),"")</f>
        <v/>
      </c>
      <c r="S132" s="3" t="str">
        <f ca="1">IFERROR(__xludf.DUMMYFUNCTION("""COMPUTED_VALUE"""),"")</f>
        <v/>
      </c>
      <c r="T132" s="3" t="str">
        <f ca="1">IFERROR(__xludf.DUMMYFUNCTION("""COMPUTED_VALUE"""),"")</f>
        <v/>
      </c>
      <c r="U132" s="3" t="str">
        <f ca="1">IFERROR(__xludf.DUMMYFUNCTION("""COMPUTED_VALUE"""),"")</f>
        <v/>
      </c>
      <c r="V132" s="3" t="str">
        <f ca="1">IFERROR(__xludf.DUMMYFUNCTION("""COMPUTED_VALUE"""),"")</f>
        <v/>
      </c>
      <c r="W132" s="3" t="str">
        <f ca="1">IFERROR(__xludf.DUMMYFUNCTION("""COMPUTED_VALUE"""),"")</f>
        <v/>
      </c>
      <c r="X132" s="3" t="str">
        <f ca="1">IFERROR(__xludf.DUMMYFUNCTION("""COMPUTED_VALUE"""),"")</f>
        <v/>
      </c>
      <c r="Y132" s="3" t="str">
        <f ca="1">IFERROR(__xludf.DUMMYFUNCTION("""COMPUTED_VALUE"""),"")</f>
        <v/>
      </c>
      <c r="Z132" s="3" t="str">
        <f ca="1">IFERROR(__xludf.DUMMYFUNCTION("""COMPUTED_VALUE"""),"")</f>
        <v/>
      </c>
      <c r="AA132" s="3" t="str">
        <f ca="1">IFERROR(__xludf.DUMMYFUNCTION("""COMPUTED_VALUE"""),"")</f>
        <v/>
      </c>
      <c r="AB132" s="3" t="str">
        <f ca="1">IFERROR(__xludf.DUMMYFUNCTION("""COMPUTED_VALUE"""),"")</f>
        <v/>
      </c>
      <c r="AC132" s="3" t="str">
        <f ca="1">IFERROR(__xludf.DUMMYFUNCTION("""COMPUTED_VALUE"""),"")</f>
        <v/>
      </c>
      <c r="AD132" s="3" t="str">
        <f ca="1">IFERROR(__xludf.DUMMYFUNCTION("""COMPUTED_VALUE"""),"")</f>
        <v/>
      </c>
      <c r="AE132" s="3" t="str">
        <f ca="1">IFERROR(__xludf.DUMMYFUNCTION("""COMPUTED_VALUE"""),"")</f>
        <v/>
      </c>
      <c r="AF132" s="3" t="str">
        <f ca="1">IFERROR(__xludf.DUMMYFUNCTION("""COMPUTED_VALUE"""),"")</f>
        <v/>
      </c>
    </row>
    <row r="133" spans="1:32" x14ac:dyDescent="0.25">
      <c r="A133" s="3" t="str">
        <f ca="1">IFERROR(__xludf.DUMMYFUNCTION("""COMPUTED_VALUE"""),"School")</f>
        <v>School</v>
      </c>
      <c r="B133" s="3" t="str">
        <f ca="1">IFERROR(__xludf.DUMMYFUNCTION("""COMPUTED_VALUE"""),"G")</f>
        <v>G</v>
      </c>
      <c r="C133" s="3" t="str">
        <f ca="1">IFERROR(__xludf.DUMMYFUNCTION("""COMPUTED_VALUE"""),"W")</f>
        <v>W</v>
      </c>
      <c r="D133" s="3" t="str">
        <f ca="1">IFERROR(__xludf.DUMMYFUNCTION("""COMPUTED_VALUE"""),"L")</f>
        <v>L</v>
      </c>
      <c r="E133" s="3" t="str">
        <f ca="1">IFERROR(__xludf.DUMMYFUNCTION("""COMPUTED_VALUE"""),"W-L%")</f>
        <v>W-L%</v>
      </c>
      <c r="F133" s="3" t="str">
        <f ca="1">IFERROR(__xludf.DUMMYFUNCTION("""COMPUTED_VALUE"""),"SRS")</f>
        <v>SRS</v>
      </c>
      <c r="G133" s="3" t="str">
        <f ca="1">IFERROR(__xludf.DUMMYFUNCTION("""COMPUTED_VALUE"""),"SOS")</f>
        <v>SOS</v>
      </c>
      <c r="H133" s="3" t="str">
        <f ca="1">IFERROR(__xludf.DUMMYFUNCTION("""COMPUTED_VALUE"""),"W")</f>
        <v>W</v>
      </c>
      <c r="I133" s="3" t="str">
        <f ca="1">IFERROR(__xludf.DUMMYFUNCTION("""COMPUTED_VALUE"""),"L")</f>
        <v>L</v>
      </c>
      <c r="J133" s="3" t="str">
        <f ca="1">IFERROR(__xludf.DUMMYFUNCTION("""COMPUTED_VALUE"""),"W")</f>
        <v>W</v>
      </c>
      <c r="K133" s="3" t="str">
        <f ca="1">IFERROR(__xludf.DUMMYFUNCTION("""COMPUTED_VALUE"""),"L")</f>
        <v>L</v>
      </c>
      <c r="L133" s="3" t="str">
        <f ca="1">IFERROR(__xludf.DUMMYFUNCTION("""COMPUTED_VALUE"""),"W")</f>
        <v>W</v>
      </c>
      <c r="M133" s="3" t="str">
        <f ca="1">IFERROR(__xludf.DUMMYFUNCTION("""COMPUTED_VALUE"""),"L")</f>
        <v>L</v>
      </c>
      <c r="N133" s="3" t="str">
        <f ca="1">IFERROR(__xludf.DUMMYFUNCTION("""COMPUTED_VALUE"""),"Tm.")</f>
        <v>Tm.</v>
      </c>
      <c r="O133" s="3" t="str">
        <f ca="1">IFERROR(__xludf.DUMMYFUNCTION("""COMPUTED_VALUE"""),"Opp.")</f>
        <v>Opp.</v>
      </c>
      <c r="P133" s="3" t="str">
        <f ca="1">IFERROR(__xludf.DUMMYFUNCTION("""COMPUTED_VALUE"""),"MP")</f>
        <v>MP</v>
      </c>
      <c r="Q133" s="3" t="str">
        <f ca="1">IFERROR(__xludf.DUMMYFUNCTION("""COMPUTED_VALUE"""),"FG")</f>
        <v>FG</v>
      </c>
      <c r="R133" s="3" t="str">
        <f ca="1">IFERROR(__xludf.DUMMYFUNCTION("""COMPUTED_VALUE"""),"FGA")</f>
        <v>FGA</v>
      </c>
      <c r="S133" s="3" t="str">
        <f ca="1">IFERROR(__xludf.DUMMYFUNCTION("""COMPUTED_VALUE"""),"FG%")</f>
        <v>FG%</v>
      </c>
      <c r="T133" s="3" t="str">
        <f ca="1">IFERROR(__xludf.DUMMYFUNCTION("""COMPUTED_VALUE"""),"3P")</f>
        <v>3P</v>
      </c>
      <c r="U133" s="3" t="str">
        <f ca="1">IFERROR(__xludf.DUMMYFUNCTION("""COMPUTED_VALUE"""),"3PA")</f>
        <v>3PA</v>
      </c>
      <c r="V133" s="3" t="str">
        <f ca="1">IFERROR(__xludf.DUMMYFUNCTION("""COMPUTED_VALUE"""),"3P%")</f>
        <v>3P%</v>
      </c>
      <c r="W133" s="3" t="str">
        <f ca="1">IFERROR(__xludf.DUMMYFUNCTION("""COMPUTED_VALUE"""),"FT")</f>
        <v>FT</v>
      </c>
      <c r="X133" s="3" t="str">
        <f ca="1">IFERROR(__xludf.DUMMYFUNCTION("""COMPUTED_VALUE"""),"FTA")</f>
        <v>FTA</v>
      </c>
      <c r="Y133" s="3" t="str">
        <f ca="1">IFERROR(__xludf.DUMMYFUNCTION("""COMPUTED_VALUE"""),"FT%")</f>
        <v>FT%</v>
      </c>
      <c r="Z133" s="3" t="str">
        <f ca="1">IFERROR(__xludf.DUMMYFUNCTION("""COMPUTED_VALUE"""),"ORB")</f>
        <v>ORB</v>
      </c>
      <c r="AA133" s="3" t="str">
        <f ca="1">IFERROR(__xludf.DUMMYFUNCTION("""COMPUTED_VALUE"""),"TRB")</f>
        <v>TRB</v>
      </c>
      <c r="AB133" s="3" t="str">
        <f ca="1">IFERROR(__xludf.DUMMYFUNCTION("""COMPUTED_VALUE"""),"AST")</f>
        <v>AST</v>
      </c>
      <c r="AC133" s="3" t="str">
        <f ca="1">IFERROR(__xludf.DUMMYFUNCTION("""COMPUTED_VALUE"""),"STL")</f>
        <v>STL</v>
      </c>
      <c r="AD133" s="3" t="str">
        <f ca="1">IFERROR(__xludf.DUMMYFUNCTION("""COMPUTED_VALUE"""),"BLK")</f>
        <v>BLK</v>
      </c>
      <c r="AE133" s="3" t="str">
        <f ca="1">IFERROR(__xludf.DUMMYFUNCTION("""COMPUTED_VALUE"""),"TOV")</f>
        <v>TOV</v>
      </c>
      <c r="AF133" s="3" t="str">
        <f ca="1">IFERROR(__xludf.DUMMYFUNCTION("""COMPUTED_VALUE"""),"PF")</f>
        <v>PF</v>
      </c>
    </row>
    <row r="134" spans="1:32" x14ac:dyDescent="0.25">
      <c r="A134" s="3" t="str">
        <f ca="1">IFERROR(__xludf.DUMMYFUNCTION("""COMPUTED_VALUE"""),"Houston Baptist")</f>
        <v>Houston Baptist</v>
      </c>
      <c r="B134" s="3">
        <f ca="1">IFERROR(__xludf.DUMMYFUNCTION("""COMPUTED_VALUE"""),30)</f>
        <v>30</v>
      </c>
      <c r="C134" s="3">
        <f ca="1">IFERROR(__xludf.DUMMYFUNCTION("""COMPUTED_VALUE"""),12)</f>
        <v>12</v>
      </c>
      <c r="D134" s="3">
        <f ca="1">IFERROR(__xludf.DUMMYFUNCTION("""COMPUTED_VALUE"""),18)</f>
        <v>18</v>
      </c>
      <c r="E134" s="3">
        <f ca="1">IFERROR(__xludf.DUMMYFUNCTION("""COMPUTED_VALUE"""),0.4)</f>
        <v>0.4</v>
      </c>
      <c r="F134" s="3">
        <f ca="1">IFERROR(__xludf.DUMMYFUNCTION("""COMPUTED_VALUE"""),-9.36)</f>
        <v>-9.36</v>
      </c>
      <c r="G134" s="3">
        <f ca="1">IFERROR(__xludf.DUMMYFUNCTION("""COMPUTED_VALUE"""),-5.53)</f>
        <v>-5.53</v>
      </c>
      <c r="H134" s="3">
        <f ca="1">IFERROR(__xludf.DUMMYFUNCTION("""COMPUTED_VALUE"""),8)</f>
        <v>8</v>
      </c>
      <c r="I134" s="3">
        <f ca="1">IFERROR(__xludf.DUMMYFUNCTION("""COMPUTED_VALUE"""),10)</f>
        <v>10</v>
      </c>
      <c r="J134" s="3">
        <f ca="1">IFERROR(__xludf.DUMMYFUNCTION("""COMPUTED_VALUE"""),9)</f>
        <v>9</v>
      </c>
      <c r="K134" s="3">
        <f ca="1">IFERROR(__xludf.DUMMYFUNCTION("""COMPUTED_VALUE"""),4)</f>
        <v>4</v>
      </c>
      <c r="L134" s="3">
        <f ca="1">IFERROR(__xludf.DUMMYFUNCTION("""COMPUTED_VALUE"""),3)</f>
        <v>3</v>
      </c>
      <c r="M134" s="3">
        <f ca="1">IFERROR(__xludf.DUMMYFUNCTION("""COMPUTED_VALUE"""),13)</f>
        <v>13</v>
      </c>
      <c r="N134" s="3">
        <f ca="1">IFERROR(__xludf.DUMMYFUNCTION("""COMPUTED_VALUE"""),2465)</f>
        <v>2465</v>
      </c>
      <c r="O134" s="3">
        <f ca="1">IFERROR(__xludf.DUMMYFUNCTION("""COMPUTED_VALUE"""),2484)</f>
        <v>2484</v>
      </c>
      <c r="P134" s="3">
        <f ca="1">IFERROR(__xludf.DUMMYFUNCTION("""COMPUTED_VALUE"""),1225)</f>
        <v>1225</v>
      </c>
      <c r="Q134" s="3">
        <f ca="1">IFERROR(__xludf.DUMMYFUNCTION("""COMPUTED_VALUE"""),865)</f>
        <v>865</v>
      </c>
      <c r="R134" s="3">
        <f ca="1">IFERROR(__xludf.DUMMYFUNCTION("""COMPUTED_VALUE"""),1896)</f>
        <v>1896</v>
      </c>
      <c r="S134" s="3">
        <f ca="1">IFERROR(__xludf.DUMMYFUNCTION("""COMPUTED_VALUE"""),0.456)</f>
        <v>0.45600000000000002</v>
      </c>
      <c r="T134" s="3">
        <f ca="1">IFERROR(__xludf.DUMMYFUNCTION("""COMPUTED_VALUE"""),200)</f>
        <v>200</v>
      </c>
      <c r="U134" s="3">
        <f ca="1">IFERROR(__xludf.DUMMYFUNCTION("""COMPUTED_VALUE"""),588)</f>
        <v>588</v>
      </c>
      <c r="V134" s="3">
        <f ca="1">IFERROR(__xludf.DUMMYFUNCTION("""COMPUTED_VALUE"""),0.34)</f>
        <v>0.34</v>
      </c>
      <c r="W134" s="3">
        <f ca="1">IFERROR(__xludf.DUMMYFUNCTION("""COMPUTED_VALUE"""),535)</f>
        <v>535</v>
      </c>
      <c r="X134" s="3">
        <f ca="1">IFERROR(__xludf.DUMMYFUNCTION("""COMPUTED_VALUE"""),793)</f>
        <v>793</v>
      </c>
      <c r="Y134" s="3">
        <f ca="1">IFERROR(__xludf.DUMMYFUNCTION("""COMPUTED_VALUE"""),0.675)</f>
        <v>0.67500000000000004</v>
      </c>
      <c r="Z134" s="3">
        <f ca="1">IFERROR(__xludf.DUMMYFUNCTION("""COMPUTED_VALUE"""),409)</f>
        <v>409</v>
      </c>
      <c r="AA134" s="3">
        <f ca="1">IFERROR(__xludf.DUMMYFUNCTION("""COMPUTED_VALUE"""),1142)</f>
        <v>1142</v>
      </c>
      <c r="AB134" s="3">
        <f ca="1">IFERROR(__xludf.DUMMYFUNCTION("""COMPUTED_VALUE"""),449)</f>
        <v>449</v>
      </c>
      <c r="AC134" s="3">
        <f ca="1">IFERROR(__xludf.DUMMYFUNCTION("""COMPUTED_VALUE"""),234)</f>
        <v>234</v>
      </c>
      <c r="AD134" s="3">
        <f ca="1">IFERROR(__xludf.DUMMYFUNCTION("""COMPUTED_VALUE"""),54)</f>
        <v>54</v>
      </c>
      <c r="AE134" s="3">
        <f ca="1">IFERROR(__xludf.DUMMYFUNCTION("""COMPUTED_VALUE"""),442)</f>
        <v>442</v>
      </c>
      <c r="AF134" s="3">
        <f ca="1">IFERROR(__xludf.DUMMYFUNCTION("""COMPUTED_VALUE"""),593)</f>
        <v>593</v>
      </c>
    </row>
    <row r="135" spans="1:32" x14ac:dyDescent="0.25">
      <c r="A135" s="3" t="str">
        <f ca="1">IFERROR(__xludf.DUMMYFUNCTION("""COMPUTED_VALUE"""),"HoustonNCAA")</f>
        <v>HoustonNCAA</v>
      </c>
      <c r="B135" s="3">
        <f ca="1">IFERROR(__xludf.DUMMYFUNCTION("""COMPUTED_VALUE"""),37)</f>
        <v>37</v>
      </c>
      <c r="C135" s="3">
        <f ca="1">IFERROR(__xludf.DUMMYFUNCTION("""COMPUTED_VALUE"""),33)</f>
        <v>33</v>
      </c>
      <c r="D135" s="3">
        <f ca="1">IFERROR(__xludf.DUMMYFUNCTION("""COMPUTED_VALUE"""),4)</f>
        <v>4</v>
      </c>
      <c r="E135" s="3">
        <f ca="1">IFERROR(__xludf.DUMMYFUNCTION("""COMPUTED_VALUE"""),0.892)</f>
        <v>0.89200000000000002</v>
      </c>
      <c r="F135" s="3">
        <f ca="1">IFERROR(__xludf.DUMMYFUNCTION("""COMPUTED_VALUE"""),18.91)</f>
        <v>18.91</v>
      </c>
      <c r="G135" s="3">
        <f ca="1">IFERROR(__xludf.DUMMYFUNCTION("""COMPUTED_VALUE"""),4.61)</f>
        <v>4.6100000000000003</v>
      </c>
      <c r="H135" s="3">
        <f ca="1">IFERROR(__xludf.DUMMYFUNCTION("""COMPUTED_VALUE"""),16)</f>
        <v>16</v>
      </c>
      <c r="I135" s="3">
        <f ca="1">IFERROR(__xludf.DUMMYFUNCTION("""COMPUTED_VALUE"""),2)</f>
        <v>2</v>
      </c>
      <c r="J135" s="3">
        <f ca="1">IFERROR(__xludf.DUMMYFUNCTION("""COMPUTED_VALUE"""),19)</f>
        <v>19</v>
      </c>
      <c r="K135" s="3">
        <f ca="1">IFERROR(__xludf.DUMMYFUNCTION("""COMPUTED_VALUE"""),1)</f>
        <v>1</v>
      </c>
      <c r="L135" s="3">
        <f ca="1">IFERROR(__xludf.DUMMYFUNCTION("""COMPUTED_VALUE"""),10)</f>
        <v>10</v>
      </c>
      <c r="M135" s="3">
        <f ca="1">IFERROR(__xludf.DUMMYFUNCTION("""COMPUTED_VALUE"""),1)</f>
        <v>1</v>
      </c>
      <c r="N135" s="3">
        <f ca="1">IFERROR(__xludf.DUMMYFUNCTION("""COMPUTED_VALUE"""),2787)</f>
        <v>2787</v>
      </c>
      <c r="O135" s="3">
        <f ca="1">IFERROR(__xludf.DUMMYFUNCTION("""COMPUTED_VALUE"""),2258)</f>
        <v>2258</v>
      </c>
      <c r="P135" s="3">
        <f ca="1">IFERROR(__xludf.DUMMYFUNCTION("""COMPUTED_VALUE"""),1480)</f>
        <v>1480</v>
      </c>
      <c r="Q135" s="3">
        <f ca="1">IFERROR(__xludf.DUMMYFUNCTION("""COMPUTED_VALUE"""),982)</f>
        <v>982</v>
      </c>
      <c r="R135" s="3">
        <f ca="1">IFERROR(__xludf.DUMMYFUNCTION("""COMPUTED_VALUE"""),2203)</f>
        <v>2203</v>
      </c>
      <c r="S135" s="3">
        <f ca="1">IFERROR(__xludf.DUMMYFUNCTION("""COMPUTED_VALUE"""),0.446)</f>
        <v>0.44600000000000001</v>
      </c>
      <c r="T135" s="3">
        <f ca="1">IFERROR(__xludf.DUMMYFUNCTION("""COMPUTED_VALUE"""),333)</f>
        <v>333</v>
      </c>
      <c r="U135" s="3">
        <f ca="1">IFERROR(__xludf.DUMMYFUNCTION("""COMPUTED_VALUE"""),939)</f>
        <v>939</v>
      </c>
      <c r="V135" s="3">
        <f ca="1">IFERROR(__xludf.DUMMYFUNCTION("""COMPUTED_VALUE"""),0.355)</f>
        <v>0.35499999999999998</v>
      </c>
      <c r="W135" s="3">
        <f ca="1">IFERROR(__xludf.DUMMYFUNCTION("""COMPUTED_VALUE"""),490)</f>
        <v>490</v>
      </c>
      <c r="X135" s="3">
        <f ca="1">IFERROR(__xludf.DUMMYFUNCTION("""COMPUTED_VALUE"""),697)</f>
        <v>697</v>
      </c>
      <c r="Y135" s="3">
        <f ca="1">IFERROR(__xludf.DUMMYFUNCTION("""COMPUTED_VALUE"""),0.703)</f>
        <v>0.70299999999999996</v>
      </c>
      <c r="Z135" s="3">
        <f ca="1">IFERROR(__xludf.DUMMYFUNCTION("""COMPUTED_VALUE"""),448)</f>
        <v>448</v>
      </c>
      <c r="AA135" s="3">
        <f ca="1">IFERROR(__xludf.DUMMYFUNCTION("""COMPUTED_VALUE"""),1502)</f>
        <v>1502</v>
      </c>
      <c r="AB135" s="3">
        <f ca="1">IFERROR(__xludf.DUMMYFUNCTION("""COMPUTED_VALUE"""),548)</f>
        <v>548</v>
      </c>
      <c r="AC135" s="3">
        <f ca="1">IFERROR(__xludf.DUMMYFUNCTION("""COMPUTED_VALUE"""),240)</f>
        <v>240</v>
      </c>
      <c r="AD135" s="3">
        <f ca="1">IFERROR(__xludf.DUMMYFUNCTION("""COMPUTED_VALUE"""),161)</f>
        <v>161</v>
      </c>
      <c r="AE135" s="3">
        <f ca="1">IFERROR(__xludf.DUMMYFUNCTION("""COMPUTED_VALUE"""),410)</f>
        <v>410</v>
      </c>
      <c r="AF135" s="3">
        <f ca="1">IFERROR(__xludf.DUMMYFUNCTION("""COMPUTED_VALUE"""),705)</f>
        <v>705</v>
      </c>
    </row>
    <row r="136" spans="1:32" x14ac:dyDescent="0.25">
      <c r="A136" s="3" t="str">
        <f ca="1">IFERROR(__xludf.DUMMYFUNCTION("""COMPUTED_VALUE"""),"Howard")</f>
        <v>Howard</v>
      </c>
      <c r="B136" s="3">
        <f ca="1">IFERROR(__xludf.DUMMYFUNCTION("""COMPUTED_VALUE"""),34)</f>
        <v>34</v>
      </c>
      <c r="C136" s="3">
        <f ca="1">IFERROR(__xludf.DUMMYFUNCTION("""COMPUTED_VALUE"""),17)</f>
        <v>17</v>
      </c>
      <c r="D136" s="3">
        <f ca="1">IFERROR(__xludf.DUMMYFUNCTION("""COMPUTED_VALUE"""),17)</f>
        <v>17</v>
      </c>
      <c r="E136" s="3">
        <f ca="1">IFERROR(__xludf.DUMMYFUNCTION("""COMPUTED_VALUE"""),0.5)</f>
        <v>0.5</v>
      </c>
      <c r="F136" s="3">
        <f ca="1">IFERROR(__xludf.DUMMYFUNCTION("""COMPUTED_VALUE"""),-12.3)</f>
        <v>-12.3</v>
      </c>
      <c r="G136" s="3">
        <f ca="1">IFERROR(__xludf.DUMMYFUNCTION("""COMPUTED_VALUE"""),-9.52)</f>
        <v>-9.52</v>
      </c>
      <c r="H136" s="3">
        <f ca="1">IFERROR(__xludf.DUMMYFUNCTION("""COMPUTED_VALUE"""),10)</f>
        <v>10</v>
      </c>
      <c r="I136" s="3">
        <f ca="1">IFERROR(__xludf.DUMMYFUNCTION("""COMPUTED_VALUE"""),6)</f>
        <v>6</v>
      </c>
      <c r="J136" s="3">
        <f ca="1">IFERROR(__xludf.DUMMYFUNCTION("""COMPUTED_VALUE"""),6)</f>
        <v>6</v>
      </c>
      <c r="K136" s="3">
        <f ca="1">IFERROR(__xludf.DUMMYFUNCTION("""COMPUTED_VALUE"""),8)</f>
        <v>8</v>
      </c>
      <c r="L136" s="3">
        <f ca="1">IFERROR(__xludf.DUMMYFUNCTION("""COMPUTED_VALUE"""),9)</f>
        <v>9</v>
      </c>
      <c r="M136" s="3">
        <f ca="1">IFERROR(__xludf.DUMMYFUNCTION("""COMPUTED_VALUE"""),8)</f>
        <v>8</v>
      </c>
      <c r="N136" s="3">
        <f ca="1">IFERROR(__xludf.DUMMYFUNCTION("""COMPUTED_VALUE"""),2684)</f>
        <v>2684</v>
      </c>
      <c r="O136" s="3">
        <f ca="1">IFERROR(__xludf.DUMMYFUNCTION("""COMPUTED_VALUE"""),2661)</f>
        <v>2661</v>
      </c>
      <c r="P136" s="3">
        <f ca="1">IFERROR(__xludf.DUMMYFUNCTION("""COMPUTED_VALUE"""),1370)</f>
        <v>1370</v>
      </c>
      <c r="Q136" s="3">
        <f ca="1">IFERROR(__xludf.DUMMYFUNCTION("""COMPUTED_VALUE"""),937)</f>
        <v>937</v>
      </c>
      <c r="R136" s="3">
        <f ca="1">IFERROR(__xludf.DUMMYFUNCTION("""COMPUTED_VALUE"""),2163)</f>
        <v>2163</v>
      </c>
      <c r="S136" s="3">
        <f ca="1">IFERROR(__xludf.DUMMYFUNCTION("""COMPUTED_VALUE"""),0.433)</f>
        <v>0.433</v>
      </c>
      <c r="T136" s="3">
        <f ca="1">IFERROR(__xludf.DUMMYFUNCTION("""COMPUTED_VALUE"""),244)</f>
        <v>244</v>
      </c>
      <c r="U136" s="3">
        <f ca="1">IFERROR(__xludf.DUMMYFUNCTION("""COMPUTED_VALUE"""),669)</f>
        <v>669</v>
      </c>
      <c r="V136" s="3">
        <f ca="1">IFERROR(__xludf.DUMMYFUNCTION("""COMPUTED_VALUE"""),0.365)</f>
        <v>0.36499999999999999</v>
      </c>
      <c r="W136" s="3">
        <f ca="1">IFERROR(__xludf.DUMMYFUNCTION("""COMPUTED_VALUE"""),566)</f>
        <v>566</v>
      </c>
      <c r="X136" s="3">
        <f ca="1">IFERROR(__xludf.DUMMYFUNCTION("""COMPUTED_VALUE"""),780)</f>
        <v>780</v>
      </c>
      <c r="Y136" s="3">
        <f ca="1">IFERROR(__xludf.DUMMYFUNCTION("""COMPUTED_VALUE"""),0.726)</f>
        <v>0.72599999999999998</v>
      </c>
      <c r="Z136" s="3">
        <f ca="1">IFERROR(__xludf.DUMMYFUNCTION("""COMPUTED_VALUE"""),396)</f>
        <v>396</v>
      </c>
      <c r="AA136" s="3">
        <f ca="1">IFERROR(__xludf.DUMMYFUNCTION("""COMPUTED_VALUE"""),1253)</f>
        <v>1253</v>
      </c>
      <c r="AB136" s="3">
        <f ca="1">IFERROR(__xludf.DUMMYFUNCTION("""COMPUTED_VALUE"""),463)</f>
        <v>463</v>
      </c>
      <c r="AC136" s="3">
        <f ca="1">IFERROR(__xludf.DUMMYFUNCTION("""COMPUTED_VALUE"""),198)</f>
        <v>198</v>
      </c>
      <c r="AD136" s="3">
        <f ca="1">IFERROR(__xludf.DUMMYFUNCTION("""COMPUTED_VALUE"""),144)</f>
        <v>144</v>
      </c>
      <c r="AE136" s="3">
        <f ca="1">IFERROR(__xludf.DUMMYFUNCTION("""COMPUTED_VALUE"""),427)</f>
        <v>427</v>
      </c>
      <c r="AF136" s="3">
        <f ca="1">IFERROR(__xludf.DUMMYFUNCTION("""COMPUTED_VALUE"""),652)</f>
        <v>652</v>
      </c>
    </row>
    <row r="137" spans="1:32" x14ac:dyDescent="0.25">
      <c r="A137" s="3" t="str">
        <f ca="1">IFERROR(__xludf.DUMMYFUNCTION("""COMPUTED_VALUE"""),"Idaho State")</f>
        <v>Idaho State</v>
      </c>
      <c r="B137" s="3">
        <f ca="1">IFERROR(__xludf.DUMMYFUNCTION("""COMPUTED_VALUE"""),30)</f>
        <v>30</v>
      </c>
      <c r="C137" s="3">
        <f ca="1">IFERROR(__xludf.DUMMYFUNCTION("""COMPUTED_VALUE"""),11)</f>
        <v>11</v>
      </c>
      <c r="D137" s="3">
        <f ca="1">IFERROR(__xludf.DUMMYFUNCTION("""COMPUTED_VALUE"""),19)</f>
        <v>19</v>
      </c>
      <c r="E137" s="3">
        <f ca="1">IFERROR(__xludf.DUMMYFUNCTION("""COMPUTED_VALUE"""),0.367)</f>
        <v>0.36699999999999999</v>
      </c>
      <c r="F137" s="3">
        <f ca="1">IFERROR(__xludf.DUMMYFUNCTION("""COMPUTED_VALUE"""),-13.17)</f>
        <v>-13.17</v>
      </c>
      <c r="G137" s="3">
        <f ca="1">IFERROR(__xludf.DUMMYFUNCTION("""COMPUTED_VALUE"""),-4.81)</f>
        <v>-4.8099999999999996</v>
      </c>
      <c r="H137" s="3">
        <f ca="1">IFERROR(__xludf.DUMMYFUNCTION("""COMPUTED_VALUE"""),7)</f>
        <v>7</v>
      </c>
      <c r="I137" s="3">
        <f ca="1">IFERROR(__xludf.DUMMYFUNCTION("""COMPUTED_VALUE"""),13)</f>
        <v>13</v>
      </c>
      <c r="J137" s="3">
        <f ca="1">IFERROR(__xludf.DUMMYFUNCTION("""COMPUTED_VALUE"""),6)</f>
        <v>6</v>
      </c>
      <c r="K137" s="3">
        <f ca="1">IFERROR(__xludf.DUMMYFUNCTION("""COMPUTED_VALUE"""),7)</f>
        <v>7</v>
      </c>
      <c r="L137" s="3">
        <f ca="1">IFERROR(__xludf.DUMMYFUNCTION("""COMPUTED_VALUE"""),5)</f>
        <v>5</v>
      </c>
      <c r="M137" s="3">
        <f ca="1">IFERROR(__xludf.DUMMYFUNCTION("""COMPUTED_VALUE"""),11)</f>
        <v>11</v>
      </c>
      <c r="N137" s="3">
        <f ca="1">IFERROR(__xludf.DUMMYFUNCTION("""COMPUTED_VALUE"""),2198)</f>
        <v>2198</v>
      </c>
      <c r="O137" s="3">
        <f ca="1">IFERROR(__xludf.DUMMYFUNCTION("""COMPUTED_VALUE"""),2369)</f>
        <v>2369</v>
      </c>
      <c r="P137" s="3">
        <f ca="1">IFERROR(__xludf.DUMMYFUNCTION("""COMPUTED_VALUE"""),1200)</f>
        <v>1200</v>
      </c>
      <c r="Q137" s="3">
        <f ca="1">IFERROR(__xludf.DUMMYFUNCTION("""COMPUTED_VALUE"""),779)</f>
        <v>779</v>
      </c>
      <c r="R137" s="3">
        <f ca="1">IFERROR(__xludf.DUMMYFUNCTION("""COMPUTED_VALUE"""),1742)</f>
        <v>1742</v>
      </c>
      <c r="S137" s="3">
        <f ca="1">IFERROR(__xludf.DUMMYFUNCTION("""COMPUTED_VALUE"""),0.447)</f>
        <v>0.44700000000000001</v>
      </c>
      <c r="T137" s="3">
        <f ca="1">IFERROR(__xludf.DUMMYFUNCTION("""COMPUTED_VALUE"""),274)</f>
        <v>274</v>
      </c>
      <c r="U137" s="3">
        <f ca="1">IFERROR(__xludf.DUMMYFUNCTION("""COMPUTED_VALUE"""),752)</f>
        <v>752</v>
      </c>
      <c r="V137" s="3">
        <f ca="1">IFERROR(__xludf.DUMMYFUNCTION("""COMPUTED_VALUE"""),0.364)</f>
        <v>0.36399999999999999</v>
      </c>
      <c r="W137" s="3">
        <f ca="1">IFERROR(__xludf.DUMMYFUNCTION("""COMPUTED_VALUE"""),366)</f>
        <v>366</v>
      </c>
      <c r="X137" s="3">
        <f ca="1">IFERROR(__xludf.DUMMYFUNCTION("""COMPUTED_VALUE"""),498)</f>
        <v>498</v>
      </c>
      <c r="Y137" s="3">
        <f ca="1">IFERROR(__xludf.DUMMYFUNCTION("""COMPUTED_VALUE"""),0.735)</f>
        <v>0.73499999999999999</v>
      </c>
      <c r="Z137" s="3">
        <f ca="1">IFERROR(__xludf.DUMMYFUNCTION("""COMPUTED_VALUE"""),275)</f>
        <v>275</v>
      </c>
      <c r="AA137" s="3">
        <f ca="1">IFERROR(__xludf.DUMMYFUNCTION("""COMPUTED_VALUE"""),975)</f>
        <v>975</v>
      </c>
      <c r="AB137" s="3">
        <f ca="1">IFERROR(__xludf.DUMMYFUNCTION("""COMPUTED_VALUE"""),383)</f>
        <v>383</v>
      </c>
      <c r="AC137" s="3">
        <f ca="1">IFERROR(__xludf.DUMMYFUNCTION("""COMPUTED_VALUE"""),154)</f>
        <v>154</v>
      </c>
      <c r="AD137" s="3">
        <f ca="1">IFERROR(__xludf.DUMMYFUNCTION("""COMPUTED_VALUE"""),88)</f>
        <v>88</v>
      </c>
      <c r="AE137" s="3">
        <f ca="1">IFERROR(__xludf.DUMMYFUNCTION("""COMPUTED_VALUE"""),360)</f>
        <v>360</v>
      </c>
      <c r="AF137" s="3">
        <f ca="1">IFERROR(__xludf.DUMMYFUNCTION("""COMPUTED_VALUE"""),497)</f>
        <v>497</v>
      </c>
    </row>
    <row r="138" spans="1:32" x14ac:dyDescent="0.25">
      <c r="A138" s="3" t="str">
        <f ca="1">IFERROR(__xludf.DUMMYFUNCTION("""COMPUTED_VALUE"""),"Idaho")</f>
        <v>Idaho</v>
      </c>
      <c r="B138" s="3">
        <f ca="1">IFERROR(__xludf.DUMMYFUNCTION("""COMPUTED_VALUE"""),32)</f>
        <v>32</v>
      </c>
      <c r="C138" s="3">
        <f ca="1">IFERROR(__xludf.DUMMYFUNCTION("""COMPUTED_VALUE"""),5)</f>
        <v>5</v>
      </c>
      <c r="D138" s="3">
        <f ca="1">IFERROR(__xludf.DUMMYFUNCTION("""COMPUTED_VALUE"""),27)</f>
        <v>27</v>
      </c>
      <c r="E138" s="3">
        <f ca="1">IFERROR(__xludf.DUMMYFUNCTION("""COMPUTED_VALUE"""),0.156)</f>
        <v>0.156</v>
      </c>
      <c r="F138" s="3">
        <f ca="1">IFERROR(__xludf.DUMMYFUNCTION("""COMPUTED_VALUE"""),-18.74)</f>
        <v>-18.739999999999998</v>
      </c>
      <c r="G138" s="3">
        <f ca="1">IFERROR(__xludf.DUMMYFUNCTION("""COMPUTED_VALUE"""),-6.19)</f>
        <v>-6.19</v>
      </c>
      <c r="H138" s="3">
        <f ca="1">IFERROR(__xludf.DUMMYFUNCTION("""COMPUTED_VALUE"""),2)</f>
        <v>2</v>
      </c>
      <c r="I138" s="3">
        <f ca="1">IFERROR(__xludf.DUMMYFUNCTION("""COMPUTED_VALUE"""),18)</f>
        <v>18</v>
      </c>
      <c r="J138" s="3">
        <f ca="1">IFERROR(__xludf.DUMMYFUNCTION("""COMPUTED_VALUE"""),4)</f>
        <v>4</v>
      </c>
      <c r="K138" s="3">
        <f ca="1">IFERROR(__xludf.DUMMYFUNCTION("""COMPUTED_VALUE"""),11)</f>
        <v>11</v>
      </c>
      <c r="L138" s="3">
        <f ca="1">IFERROR(__xludf.DUMMYFUNCTION("""COMPUTED_VALUE"""),1)</f>
        <v>1</v>
      </c>
      <c r="M138" s="3">
        <f ca="1">IFERROR(__xludf.DUMMYFUNCTION("""COMPUTED_VALUE"""),13)</f>
        <v>13</v>
      </c>
      <c r="N138" s="3">
        <f ca="1">IFERROR(__xludf.DUMMYFUNCTION("""COMPUTED_VALUE"""),2174)</f>
        <v>2174</v>
      </c>
      <c r="O138" s="3">
        <f ca="1">IFERROR(__xludf.DUMMYFUNCTION("""COMPUTED_VALUE"""),2460)</f>
        <v>2460</v>
      </c>
      <c r="P138" s="3">
        <f ca="1">IFERROR(__xludf.DUMMYFUNCTION("""COMPUTED_VALUE"""),1285)</f>
        <v>1285</v>
      </c>
      <c r="Q138" s="3">
        <f ca="1">IFERROR(__xludf.DUMMYFUNCTION("""COMPUTED_VALUE"""),778)</f>
        <v>778</v>
      </c>
      <c r="R138" s="3">
        <f ca="1">IFERROR(__xludf.DUMMYFUNCTION("""COMPUTED_VALUE"""),1764)</f>
        <v>1764</v>
      </c>
      <c r="S138" s="3">
        <f ca="1">IFERROR(__xludf.DUMMYFUNCTION("""COMPUTED_VALUE"""),0.441)</f>
        <v>0.441</v>
      </c>
      <c r="T138" s="3">
        <f ca="1">IFERROR(__xludf.DUMMYFUNCTION("""COMPUTED_VALUE"""),251)</f>
        <v>251</v>
      </c>
      <c r="U138" s="3">
        <f ca="1">IFERROR(__xludf.DUMMYFUNCTION("""COMPUTED_VALUE"""),678)</f>
        <v>678</v>
      </c>
      <c r="V138" s="3">
        <f ca="1">IFERROR(__xludf.DUMMYFUNCTION("""COMPUTED_VALUE"""),0.37)</f>
        <v>0.37</v>
      </c>
      <c r="W138" s="3">
        <f ca="1">IFERROR(__xludf.DUMMYFUNCTION("""COMPUTED_VALUE"""),367)</f>
        <v>367</v>
      </c>
      <c r="X138" s="3">
        <f ca="1">IFERROR(__xludf.DUMMYFUNCTION("""COMPUTED_VALUE"""),507)</f>
        <v>507</v>
      </c>
      <c r="Y138" s="3">
        <f ca="1">IFERROR(__xludf.DUMMYFUNCTION("""COMPUTED_VALUE"""),0.724)</f>
        <v>0.72399999999999998</v>
      </c>
      <c r="Z138" s="3">
        <f ca="1">IFERROR(__xludf.DUMMYFUNCTION("""COMPUTED_VALUE"""),258)</f>
        <v>258</v>
      </c>
      <c r="AA138" s="3">
        <f ca="1">IFERROR(__xludf.DUMMYFUNCTION("""COMPUTED_VALUE"""),1061)</f>
        <v>1061</v>
      </c>
      <c r="AB138" s="3">
        <f ca="1">IFERROR(__xludf.DUMMYFUNCTION("""COMPUTED_VALUE"""),399)</f>
        <v>399</v>
      </c>
      <c r="AC138" s="3">
        <f ca="1">IFERROR(__xludf.DUMMYFUNCTION("""COMPUTED_VALUE"""),130)</f>
        <v>130</v>
      </c>
      <c r="AD138" s="3">
        <f ca="1">IFERROR(__xludf.DUMMYFUNCTION("""COMPUTED_VALUE"""),53)</f>
        <v>53</v>
      </c>
      <c r="AE138" s="3">
        <f ca="1">IFERROR(__xludf.DUMMYFUNCTION("""COMPUTED_VALUE"""),433)</f>
        <v>433</v>
      </c>
      <c r="AF138" s="3">
        <f ca="1">IFERROR(__xludf.DUMMYFUNCTION("""COMPUTED_VALUE"""),582)</f>
        <v>582</v>
      </c>
    </row>
    <row r="139" spans="1:32" x14ac:dyDescent="0.25">
      <c r="A139" s="3" t="str">
        <f ca="1">IFERROR(__xludf.DUMMYFUNCTION("""COMPUTED_VALUE"""),"Illinois-Chicago")</f>
        <v>Illinois-Chicago</v>
      </c>
      <c r="B139" s="3">
        <f ca="1">IFERROR(__xludf.DUMMYFUNCTION("""COMPUTED_VALUE"""),32)</f>
        <v>32</v>
      </c>
      <c r="C139" s="3">
        <f ca="1">IFERROR(__xludf.DUMMYFUNCTION("""COMPUTED_VALUE"""),16)</f>
        <v>16</v>
      </c>
      <c r="D139" s="3">
        <f ca="1">IFERROR(__xludf.DUMMYFUNCTION("""COMPUTED_VALUE"""),16)</f>
        <v>16</v>
      </c>
      <c r="E139" s="3">
        <f ca="1">IFERROR(__xludf.DUMMYFUNCTION("""COMPUTED_VALUE"""),0.5)</f>
        <v>0.5</v>
      </c>
      <c r="F139" s="3">
        <f ca="1">IFERROR(__xludf.DUMMYFUNCTION("""COMPUTED_VALUE"""),-3.15)</f>
        <v>-3.15</v>
      </c>
      <c r="G139" s="3">
        <f ca="1">IFERROR(__xludf.DUMMYFUNCTION("""COMPUTED_VALUE"""),-1.99)</f>
        <v>-1.99</v>
      </c>
      <c r="H139" s="3">
        <f ca="1">IFERROR(__xludf.DUMMYFUNCTION("""COMPUTED_VALUE"""),10)</f>
        <v>10</v>
      </c>
      <c r="I139" s="3">
        <f ca="1">IFERROR(__xludf.DUMMYFUNCTION("""COMPUTED_VALUE"""),8)</f>
        <v>8</v>
      </c>
      <c r="J139" s="3">
        <f ca="1">IFERROR(__xludf.DUMMYFUNCTION("""COMPUTED_VALUE"""),12)</f>
        <v>12</v>
      </c>
      <c r="K139" s="3">
        <f ca="1">IFERROR(__xludf.DUMMYFUNCTION("""COMPUTED_VALUE"""),4)</f>
        <v>4</v>
      </c>
      <c r="L139" s="3">
        <f ca="1">IFERROR(__xludf.DUMMYFUNCTION("""COMPUTED_VALUE"""),4)</f>
        <v>4</v>
      </c>
      <c r="M139" s="3">
        <f ca="1">IFERROR(__xludf.DUMMYFUNCTION("""COMPUTED_VALUE"""),12)</f>
        <v>12</v>
      </c>
      <c r="N139" s="3">
        <f ca="1">IFERROR(__xludf.DUMMYFUNCTION("""COMPUTED_VALUE"""),2391)</f>
        <v>2391</v>
      </c>
      <c r="O139" s="3">
        <f ca="1">IFERROR(__xludf.DUMMYFUNCTION("""COMPUTED_VALUE"""),2385)</f>
        <v>2385</v>
      </c>
      <c r="P139" s="3">
        <f ca="1">IFERROR(__xludf.DUMMYFUNCTION("""COMPUTED_VALUE"""),1295)</f>
        <v>1295</v>
      </c>
      <c r="Q139" s="3">
        <f ca="1">IFERROR(__xludf.DUMMYFUNCTION("""COMPUTED_VALUE"""),865)</f>
        <v>865</v>
      </c>
      <c r="R139" s="3">
        <f ca="1">IFERROR(__xludf.DUMMYFUNCTION("""COMPUTED_VALUE"""),1883)</f>
        <v>1883</v>
      </c>
      <c r="S139" s="3">
        <f ca="1">IFERROR(__xludf.DUMMYFUNCTION("""COMPUTED_VALUE"""),0.459)</f>
        <v>0.45900000000000002</v>
      </c>
      <c r="T139" s="3">
        <f ca="1">IFERROR(__xludf.DUMMYFUNCTION("""COMPUTED_VALUE"""),303)</f>
        <v>303</v>
      </c>
      <c r="U139" s="3">
        <f ca="1">IFERROR(__xludf.DUMMYFUNCTION("""COMPUTED_VALUE"""),856)</f>
        <v>856</v>
      </c>
      <c r="V139" s="3">
        <f ca="1">IFERROR(__xludf.DUMMYFUNCTION("""COMPUTED_VALUE"""),0.354)</f>
        <v>0.35399999999999998</v>
      </c>
      <c r="W139" s="3">
        <f ca="1">IFERROR(__xludf.DUMMYFUNCTION("""COMPUTED_VALUE"""),358)</f>
        <v>358</v>
      </c>
      <c r="X139" s="3">
        <f ca="1">IFERROR(__xludf.DUMMYFUNCTION("""COMPUTED_VALUE"""),525)</f>
        <v>525</v>
      </c>
      <c r="Y139" s="3">
        <f ca="1">IFERROR(__xludf.DUMMYFUNCTION("""COMPUTED_VALUE"""),0.682)</f>
        <v>0.68200000000000005</v>
      </c>
      <c r="Z139" s="3">
        <f ca="1">IFERROR(__xludf.DUMMYFUNCTION("""COMPUTED_VALUE"""),271)</f>
        <v>271</v>
      </c>
      <c r="AA139" s="3">
        <f ca="1">IFERROR(__xludf.DUMMYFUNCTION("""COMPUTED_VALUE"""),1106)</f>
        <v>1106</v>
      </c>
      <c r="AB139" s="3">
        <f ca="1">IFERROR(__xludf.DUMMYFUNCTION("""COMPUTED_VALUE"""),478)</f>
        <v>478</v>
      </c>
      <c r="AC139" s="3">
        <f ca="1">IFERROR(__xludf.DUMMYFUNCTION("""COMPUTED_VALUE"""),210)</f>
        <v>210</v>
      </c>
      <c r="AD139" s="3">
        <f ca="1">IFERROR(__xludf.DUMMYFUNCTION("""COMPUTED_VALUE"""),124)</f>
        <v>124</v>
      </c>
      <c r="AE139" s="3">
        <f ca="1">IFERROR(__xludf.DUMMYFUNCTION("""COMPUTED_VALUE"""),457)</f>
        <v>457</v>
      </c>
      <c r="AF139" s="3">
        <f ca="1">IFERROR(__xludf.DUMMYFUNCTION("""COMPUTED_VALUE"""),684)</f>
        <v>684</v>
      </c>
    </row>
    <row r="140" spans="1:32" x14ac:dyDescent="0.25">
      <c r="A140" s="3" t="str">
        <f ca="1">IFERROR(__xludf.DUMMYFUNCTION("""COMPUTED_VALUE"""),"Illinois State")</f>
        <v>Illinois State</v>
      </c>
      <c r="B140" s="3">
        <f ca="1">IFERROR(__xludf.DUMMYFUNCTION("""COMPUTED_VALUE"""),33)</f>
        <v>33</v>
      </c>
      <c r="C140" s="3">
        <f ca="1">IFERROR(__xludf.DUMMYFUNCTION("""COMPUTED_VALUE"""),17)</f>
        <v>17</v>
      </c>
      <c r="D140" s="3">
        <f ca="1">IFERROR(__xludf.DUMMYFUNCTION("""COMPUTED_VALUE"""),16)</f>
        <v>16</v>
      </c>
      <c r="E140" s="3">
        <f ca="1">IFERROR(__xludf.DUMMYFUNCTION("""COMPUTED_VALUE"""),0.515)</f>
        <v>0.51500000000000001</v>
      </c>
      <c r="F140" s="3">
        <f ca="1">IFERROR(__xludf.DUMMYFUNCTION("""COMPUTED_VALUE"""),-2.06)</f>
        <v>-2.06</v>
      </c>
      <c r="G140" s="3">
        <f ca="1">IFERROR(__xludf.DUMMYFUNCTION("""COMPUTED_VALUE"""),0.25)</f>
        <v>0.25</v>
      </c>
      <c r="H140" s="3">
        <f ca="1">IFERROR(__xludf.DUMMYFUNCTION("""COMPUTED_VALUE"""),9)</f>
        <v>9</v>
      </c>
      <c r="I140" s="3">
        <f ca="1">IFERROR(__xludf.DUMMYFUNCTION("""COMPUTED_VALUE"""),9)</f>
        <v>9</v>
      </c>
      <c r="J140" s="3">
        <f ca="1">IFERROR(__xludf.DUMMYFUNCTION("""COMPUTED_VALUE"""),12)</f>
        <v>12</v>
      </c>
      <c r="K140" s="3">
        <f ca="1">IFERROR(__xludf.DUMMYFUNCTION("""COMPUTED_VALUE"""),4)</f>
        <v>4</v>
      </c>
      <c r="L140" s="3">
        <f ca="1">IFERROR(__xludf.DUMMYFUNCTION("""COMPUTED_VALUE"""),2)</f>
        <v>2</v>
      </c>
      <c r="M140" s="3">
        <f ca="1">IFERROR(__xludf.DUMMYFUNCTION("""COMPUTED_VALUE"""),10)</f>
        <v>10</v>
      </c>
      <c r="N140" s="3">
        <f ca="1">IFERROR(__xludf.DUMMYFUNCTION("""COMPUTED_VALUE"""),2257)</f>
        <v>2257</v>
      </c>
      <c r="O140" s="3">
        <f ca="1">IFERROR(__xludf.DUMMYFUNCTION("""COMPUTED_VALUE"""),2314)</f>
        <v>2314</v>
      </c>
      <c r="P140" s="3">
        <f ca="1">IFERROR(__xludf.DUMMYFUNCTION("""COMPUTED_VALUE"""),1330)</f>
        <v>1330</v>
      </c>
      <c r="Q140" s="3">
        <f ca="1">IFERROR(__xludf.DUMMYFUNCTION("""COMPUTED_VALUE"""),813)</f>
        <v>813</v>
      </c>
      <c r="R140" s="3">
        <f ca="1">IFERROR(__xludf.DUMMYFUNCTION("""COMPUTED_VALUE"""),1887)</f>
        <v>1887</v>
      </c>
      <c r="S140" s="3">
        <f ca="1">IFERROR(__xludf.DUMMYFUNCTION("""COMPUTED_VALUE"""),0.431)</f>
        <v>0.43099999999999999</v>
      </c>
      <c r="T140" s="3">
        <f ca="1">IFERROR(__xludf.DUMMYFUNCTION("""COMPUTED_VALUE"""),244)</f>
        <v>244</v>
      </c>
      <c r="U140" s="3">
        <f ca="1">IFERROR(__xludf.DUMMYFUNCTION("""COMPUTED_VALUE"""),734)</f>
        <v>734</v>
      </c>
      <c r="V140" s="3">
        <f ca="1">IFERROR(__xludf.DUMMYFUNCTION("""COMPUTED_VALUE"""),0.332)</f>
        <v>0.33200000000000002</v>
      </c>
      <c r="W140" s="3">
        <f ca="1">IFERROR(__xludf.DUMMYFUNCTION("""COMPUTED_VALUE"""),387)</f>
        <v>387</v>
      </c>
      <c r="X140" s="3">
        <f ca="1">IFERROR(__xludf.DUMMYFUNCTION("""COMPUTED_VALUE"""),540)</f>
        <v>540</v>
      </c>
      <c r="Y140" s="3">
        <f ca="1">IFERROR(__xludf.DUMMYFUNCTION("""COMPUTED_VALUE"""),0.717)</f>
        <v>0.71699999999999997</v>
      </c>
      <c r="Z140" s="3">
        <f ca="1">IFERROR(__xludf.DUMMYFUNCTION("""COMPUTED_VALUE"""),298)</f>
        <v>298</v>
      </c>
      <c r="AA140" s="3">
        <f ca="1">IFERROR(__xludf.DUMMYFUNCTION("""COMPUTED_VALUE"""),1139)</f>
        <v>1139</v>
      </c>
      <c r="AB140" s="3">
        <f ca="1">IFERROR(__xludf.DUMMYFUNCTION("""COMPUTED_VALUE"""),421)</f>
        <v>421</v>
      </c>
      <c r="AC140" s="3">
        <f ca="1">IFERROR(__xludf.DUMMYFUNCTION("""COMPUTED_VALUE"""),162)</f>
        <v>162</v>
      </c>
      <c r="AD140" s="3">
        <f ca="1">IFERROR(__xludf.DUMMYFUNCTION("""COMPUTED_VALUE"""),106)</f>
        <v>106</v>
      </c>
      <c r="AE140" s="3">
        <f ca="1">IFERROR(__xludf.DUMMYFUNCTION("""COMPUTED_VALUE"""),417)</f>
        <v>417</v>
      </c>
      <c r="AF140" s="3">
        <f ca="1">IFERROR(__xludf.DUMMYFUNCTION("""COMPUTED_VALUE"""),577)</f>
        <v>577</v>
      </c>
    </row>
    <row r="141" spans="1:32" x14ac:dyDescent="0.25">
      <c r="A141" s="3" t="str">
        <f ca="1">IFERROR(__xludf.DUMMYFUNCTION("""COMPUTED_VALUE"""),"Illinois")</f>
        <v>Illinois</v>
      </c>
      <c r="B141" s="3">
        <f ca="1">IFERROR(__xludf.DUMMYFUNCTION("""COMPUTED_VALUE"""),33)</f>
        <v>33</v>
      </c>
      <c r="C141" s="3">
        <f ca="1">IFERROR(__xludf.DUMMYFUNCTION("""COMPUTED_VALUE"""),12)</f>
        <v>12</v>
      </c>
      <c r="D141" s="3">
        <f ca="1">IFERROR(__xludf.DUMMYFUNCTION("""COMPUTED_VALUE"""),21)</f>
        <v>21</v>
      </c>
      <c r="E141" s="3">
        <f ca="1">IFERROR(__xludf.DUMMYFUNCTION("""COMPUTED_VALUE"""),0.364)</f>
        <v>0.36399999999999999</v>
      </c>
      <c r="F141" s="3">
        <f ca="1">IFERROR(__xludf.DUMMYFUNCTION("""COMPUTED_VALUE"""),8.95)</f>
        <v>8.9499999999999993</v>
      </c>
      <c r="G141" s="3">
        <f ca="1">IFERROR(__xludf.DUMMYFUNCTION("""COMPUTED_VALUE"""),11.53)</f>
        <v>11.53</v>
      </c>
      <c r="H141" s="3">
        <f ca="1">IFERROR(__xludf.DUMMYFUNCTION("""COMPUTED_VALUE"""),7)</f>
        <v>7</v>
      </c>
      <c r="I141" s="3">
        <f ca="1">IFERROR(__xludf.DUMMYFUNCTION("""COMPUTED_VALUE"""),13)</f>
        <v>13</v>
      </c>
      <c r="J141" s="3">
        <f ca="1">IFERROR(__xludf.DUMMYFUNCTION("""COMPUTED_VALUE"""),9)</f>
        <v>9</v>
      </c>
      <c r="K141" s="3">
        <f ca="1">IFERROR(__xludf.DUMMYFUNCTION("""COMPUTED_VALUE"""),6)</f>
        <v>6</v>
      </c>
      <c r="L141" s="3">
        <f ca="1">IFERROR(__xludf.DUMMYFUNCTION("""COMPUTED_VALUE"""),1)</f>
        <v>1</v>
      </c>
      <c r="M141" s="3">
        <f ca="1">IFERROR(__xludf.DUMMYFUNCTION("""COMPUTED_VALUE"""),9)</f>
        <v>9</v>
      </c>
      <c r="N141" s="3">
        <f ca="1">IFERROR(__xludf.DUMMYFUNCTION("""COMPUTED_VALUE"""),2398)</f>
        <v>2398</v>
      </c>
      <c r="O141" s="3">
        <f ca="1">IFERROR(__xludf.DUMMYFUNCTION("""COMPUTED_VALUE"""),2483)</f>
        <v>2483</v>
      </c>
      <c r="P141" s="3">
        <f ca="1">IFERROR(__xludf.DUMMYFUNCTION("""COMPUTED_VALUE"""),1335)</f>
        <v>1335</v>
      </c>
      <c r="Q141" s="3">
        <f ca="1">IFERROR(__xludf.DUMMYFUNCTION("""COMPUTED_VALUE"""),862)</f>
        <v>862</v>
      </c>
      <c r="R141" s="3">
        <f ca="1">IFERROR(__xludf.DUMMYFUNCTION("""COMPUTED_VALUE"""),2001)</f>
        <v>2001</v>
      </c>
      <c r="S141" s="3">
        <f ca="1">IFERROR(__xludf.DUMMYFUNCTION("""COMPUTED_VALUE"""),0.431)</f>
        <v>0.43099999999999999</v>
      </c>
      <c r="T141" s="3">
        <f ca="1">IFERROR(__xludf.DUMMYFUNCTION("""COMPUTED_VALUE"""),259)</f>
        <v>259</v>
      </c>
      <c r="U141" s="3">
        <f ca="1">IFERROR(__xludf.DUMMYFUNCTION("""COMPUTED_VALUE"""),751)</f>
        <v>751</v>
      </c>
      <c r="V141" s="3">
        <f ca="1">IFERROR(__xludf.DUMMYFUNCTION("""COMPUTED_VALUE"""),0.345)</f>
        <v>0.34499999999999997</v>
      </c>
      <c r="W141" s="3">
        <f ca="1">IFERROR(__xludf.DUMMYFUNCTION("""COMPUTED_VALUE"""),415)</f>
        <v>415</v>
      </c>
      <c r="X141" s="3">
        <f ca="1">IFERROR(__xludf.DUMMYFUNCTION("""COMPUTED_VALUE"""),591)</f>
        <v>591</v>
      </c>
      <c r="Y141" s="3">
        <f ca="1">IFERROR(__xludf.DUMMYFUNCTION("""COMPUTED_VALUE"""),0.702)</f>
        <v>0.70199999999999996</v>
      </c>
      <c r="Z141" s="3">
        <f ca="1">IFERROR(__xludf.DUMMYFUNCTION("""COMPUTED_VALUE"""),351)</f>
        <v>351</v>
      </c>
      <c r="AA141" s="3">
        <f ca="1">IFERROR(__xludf.DUMMYFUNCTION("""COMPUTED_VALUE"""),1091)</f>
        <v>1091</v>
      </c>
      <c r="AB141" s="3">
        <f ca="1">IFERROR(__xludf.DUMMYFUNCTION("""COMPUTED_VALUE"""),446)</f>
        <v>446</v>
      </c>
      <c r="AC141" s="3">
        <f ca="1">IFERROR(__xludf.DUMMYFUNCTION("""COMPUTED_VALUE"""),245)</f>
        <v>245</v>
      </c>
      <c r="AD141" s="3">
        <f ca="1">IFERROR(__xludf.DUMMYFUNCTION("""COMPUTED_VALUE"""),86)</f>
        <v>86</v>
      </c>
      <c r="AE141" s="3">
        <f ca="1">IFERROR(__xludf.DUMMYFUNCTION("""COMPUTED_VALUE"""),435)</f>
        <v>435</v>
      </c>
      <c r="AF141" s="3">
        <f ca="1">IFERROR(__xludf.DUMMYFUNCTION("""COMPUTED_VALUE"""),700)</f>
        <v>700</v>
      </c>
    </row>
    <row r="142" spans="1:32" x14ac:dyDescent="0.25">
      <c r="A142" s="3" t="str">
        <f ca="1">IFERROR(__xludf.DUMMYFUNCTION("""COMPUTED_VALUE"""),"Incarnate Word")</f>
        <v>Incarnate Word</v>
      </c>
      <c r="B142" s="3">
        <f ca="1">IFERROR(__xludf.DUMMYFUNCTION("""COMPUTED_VALUE"""),31)</f>
        <v>31</v>
      </c>
      <c r="C142" s="3">
        <f ca="1">IFERROR(__xludf.DUMMYFUNCTION("""COMPUTED_VALUE"""),6)</f>
        <v>6</v>
      </c>
      <c r="D142" s="3">
        <f ca="1">IFERROR(__xludf.DUMMYFUNCTION("""COMPUTED_VALUE"""),25)</f>
        <v>25</v>
      </c>
      <c r="E142" s="3">
        <f ca="1">IFERROR(__xludf.DUMMYFUNCTION("""COMPUTED_VALUE"""),0.194)</f>
        <v>0.19400000000000001</v>
      </c>
      <c r="F142" s="3">
        <f ca="1">IFERROR(__xludf.DUMMYFUNCTION("""COMPUTED_VALUE"""),-18.93)</f>
        <v>-18.93</v>
      </c>
      <c r="G142" s="3">
        <f ca="1">IFERROR(__xludf.DUMMYFUNCTION("""COMPUTED_VALUE"""),-5.11)</f>
        <v>-5.1100000000000003</v>
      </c>
      <c r="H142" s="3">
        <f ca="1">IFERROR(__xludf.DUMMYFUNCTION("""COMPUTED_VALUE"""),1)</f>
        <v>1</v>
      </c>
      <c r="I142" s="3">
        <f ca="1">IFERROR(__xludf.DUMMYFUNCTION("""COMPUTED_VALUE"""),17)</f>
        <v>17</v>
      </c>
      <c r="J142" s="3">
        <f ca="1">IFERROR(__xludf.DUMMYFUNCTION("""COMPUTED_VALUE"""),5)</f>
        <v>5</v>
      </c>
      <c r="K142" s="3">
        <f ca="1">IFERROR(__xludf.DUMMYFUNCTION("""COMPUTED_VALUE"""),9)</f>
        <v>9</v>
      </c>
      <c r="L142" s="3">
        <f ca="1">IFERROR(__xludf.DUMMYFUNCTION("""COMPUTED_VALUE"""),0)</f>
        <v>0</v>
      </c>
      <c r="M142" s="3">
        <f ca="1">IFERROR(__xludf.DUMMYFUNCTION("""COMPUTED_VALUE"""),14)</f>
        <v>14</v>
      </c>
      <c r="N142" s="3">
        <f ca="1">IFERROR(__xludf.DUMMYFUNCTION("""COMPUTED_VALUE"""),2044)</f>
        <v>2044</v>
      </c>
      <c r="O142" s="3">
        <f ca="1">IFERROR(__xludf.DUMMYFUNCTION("""COMPUTED_VALUE"""),2355)</f>
        <v>2355</v>
      </c>
      <c r="P142" s="3">
        <f ca="1">IFERROR(__xludf.DUMMYFUNCTION("""COMPUTED_VALUE"""),1255)</f>
        <v>1255</v>
      </c>
      <c r="Q142" s="3">
        <f ca="1">IFERROR(__xludf.DUMMYFUNCTION("""COMPUTED_VALUE"""),711)</f>
        <v>711</v>
      </c>
      <c r="R142" s="3">
        <f ca="1">IFERROR(__xludf.DUMMYFUNCTION("""COMPUTED_VALUE"""),1527)</f>
        <v>1527</v>
      </c>
      <c r="S142" s="3">
        <f ca="1">IFERROR(__xludf.DUMMYFUNCTION("""COMPUTED_VALUE"""),0.466)</f>
        <v>0.46600000000000003</v>
      </c>
      <c r="T142" s="3">
        <f ca="1">IFERROR(__xludf.DUMMYFUNCTION("""COMPUTED_VALUE"""),174)</f>
        <v>174</v>
      </c>
      <c r="U142" s="3">
        <f ca="1">IFERROR(__xludf.DUMMYFUNCTION("""COMPUTED_VALUE"""),508)</f>
        <v>508</v>
      </c>
      <c r="V142" s="3">
        <f ca="1">IFERROR(__xludf.DUMMYFUNCTION("""COMPUTED_VALUE"""),0.343)</f>
        <v>0.34300000000000003</v>
      </c>
      <c r="W142" s="3">
        <f ca="1">IFERROR(__xludf.DUMMYFUNCTION("""COMPUTED_VALUE"""),448)</f>
        <v>448</v>
      </c>
      <c r="X142" s="3">
        <f ca="1">IFERROR(__xludf.DUMMYFUNCTION("""COMPUTED_VALUE"""),553)</f>
        <v>553</v>
      </c>
      <c r="Y142" s="3">
        <f ca="1">IFERROR(__xludf.DUMMYFUNCTION("""COMPUTED_VALUE"""),0.81)</f>
        <v>0.81</v>
      </c>
      <c r="Z142" s="3">
        <f ca="1">IFERROR(__xludf.DUMMYFUNCTION("""COMPUTED_VALUE"""),204)</f>
        <v>204</v>
      </c>
      <c r="AA142" s="3">
        <f ca="1">IFERROR(__xludf.DUMMYFUNCTION("""COMPUTED_VALUE"""),845)</f>
        <v>845</v>
      </c>
      <c r="AB142" s="3">
        <f ca="1">IFERROR(__xludf.DUMMYFUNCTION("""COMPUTED_VALUE"""),354)</f>
        <v>354</v>
      </c>
      <c r="AC142" s="3">
        <f ca="1">IFERROR(__xludf.DUMMYFUNCTION("""COMPUTED_VALUE"""),184)</f>
        <v>184</v>
      </c>
      <c r="AD142" s="3">
        <f ca="1">IFERROR(__xludf.DUMMYFUNCTION("""COMPUTED_VALUE"""),53)</f>
        <v>53</v>
      </c>
      <c r="AE142" s="3">
        <f ca="1">IFERROR(__xludf.DUMMYFUNCTION("""COMPUTED_VALUE"""),504)</f>
        <v>504</v>
      </c>
      <c r="AF142" s="3">
        <f ca="1">IFERROR(__xludf.DUMMYFUNCTION("""COMPUTED_VALUE"""),592)</f>
        <v>592</v>
      </c>
    </row>
    <row r="143" spans="1:32" x14ac:dyDescent="0.25">
      <c r="A143" s="3" t="str">
        <f ca="1">IFERROR(__xludf.DUMMYFUNCTION("""COMPUTED_VALUE"""),"Indiana State")</f>
        <v>Indiana State</v>
      </c>
      <c r="B143" s="3">
        <f ca="1">IFERROR(__xludf.DUMMYFUNCTION("""COMPUTED_VALUE"""),31)</f>
        <v>31</v>
      </c>
      <c r="C143" s="3">
        <f ca="1">IFERROR(__xludf.DUMMYFUNCTION("""COMPUTED_VALUE"""),15)</f>
        <v>15</v>
      </c>
      <c r="D143" s="3">
        <f ca="1">IFERROR(__xludf.DUMMYFUNCTION("""COMPUTED_VALUE"""),16)</f>
        <v>16</v>
      </c>
      <c r="E143" s="3">
        <f ca="1">IFERROR(__xludf.DUMMYFUNCTION("""COMPUTED_VALUE"""),0.484)</f>
        <v>0.48399999999999999</v>
      </c>
      <c r="F143" s="3">
        <f ca="1">IFERROR(__xludf.DUMMYFUNCTION("""COMPUTED_VALUE"""),-2.72)</f>
        <v>-2.72</v>
      </c>
      <c r="G143" s="3">
        <f ca="1">IFERROR(__xludf.DUMMYFUNCTION("""COMPUTED_VALUE"""),0.62)</f>
        <v>0.62</v>
      </c>
      <c r="H143" s="3">
        <f ca="1">IFERROR(__xludf.DUMMYFUNCTION("""COMPUTED_VALUE"""),7)</f>
        <v>7</v>
      </c>
      <c r="I143" s="3">
        <f ca="1">IFERROR(__xludf.DUMMYFUNCTION("""COMPUTED_VALUE"""),11)</f>
        <v>11</v>
      </c>
      <c r="J143" s="3">
        <f ca="1">IFERROR(__xludf.DUMMYFUNCTION("""COMPUTED_VALUE"""),9)</f>
        <v>9</v>
      </c>
      <c r="K143" s="3">
        <f ca="1">IFERROR(__xludf.DUMMYFUNCTION("""COMPUTED_VALUE"""),5)</f>
        <v>5</v>
      </c>
      <c r="L143" s="3">
        <f ca="1">IFERROR(__xludf.DUMMYFUNCTION("""COMPUTED_VALUE"""),4)</f>
        <v>4</v>
      </c>
      <c r="M143" s="3">
        <f ca="1">IFERROR(__xludf.DUMMYFUNCTION("""COMPUTED_VALUE"""),9)</f>
        <v>9</v>
      </c>
      <c r="N143" s="3">
        <f ca="1">IFERROR(__xludf.DUMMYFUNCTION("""COMPUTED_VALUE"""),2146)</f>
        <v>2146</v>
      </c>
      <c r="O143" s="3">
        <f ca="1">IFERROR(__xludf.DUMMYFUNCTION("""COMPUTED_VALUE"""),2218)</f>
        <v>2218</v>
      </c>
      <c r="P143" s="3">
        <f ca="1">IFERROR(__xludf.DUMMYFUNCTION("""COMPUTED_VALUE"""),1250)</f>
        <v>1250</v>
      </c>
      <c r="Q143" s="3">
        <f ca="1">IFERROR(__xludf.DUMMYFUNCTION("""COMPUTED_VALUE"""),757)</f>
        <v>757</v>
      </c>
      <c r="R143" s="3">
        <f ca="1">IFERROR(__xludf.DUMMYFUNCTION("""COMPUTED_VALUE"""),1719)</f>
        <v>1719</v>
      </c>
      <c r="S143" s="3">
        <f ca="1">IFERROR(__xludf.DUMMYFUNCTION("""COMPUTED_VALUE"""),0.44)</f>
        <v>0.44</v>
      </c>
      <c r="T143" s="3">
        <f ca="1">IFERROR(__xludf.DUMMYFUNCTION("""COMPUTED_VALUE"""),178)</f>
        <v>178</v>
      </c>
      <c r="U143" s="3">
        <f ca="1">IFERROR(__xludf.DUMMYFUNCTION("""COMPUTED_VALUE"""),491)</f>
        <v>491</v>
      </c>
      <c r="V143" s="3">
        <f ca="1">IFERROR(__xludf.DUMMYFUNCTION("""COMPUTED_VALUE"""),0.363)</f>
        <v>0.36299999999999999</v>
      </c>
      <c r="W143" s="3">
        <f ca="1">IFERROR(__xludf.DUMMYFUNCTION("""COMPUTED_VALUE"""),454)</f>
        <v>454</v>
      </c>
      <c r="X143" s="3">
        <f ca="1">IFERROR(__xludf.DUMMYFUNCTION("""COMPUTED_VALUE"""),621)</f>
        <v>621</v>
      </c>
      <c r="Y143" s="3">
        <f ca="1">IFERROR(__xludf.DUMMYFUNCTION("""COMPUTED_VALUE"""),0.731)</f>
        <v>0.73099999999999998</v>
      </c>
      <c r="Z143" s="3">
        <f ca="1">IFERROR(__xludf.DUMMYFUNCTION("""COMPUTED_VALUE"""),250)</f>
        <v>250</v>
      </c>
      <c r="AA143" s="3">
        <f ca="1">IFERROR(__xludf.DUMMYFUNCTION("""COMPUTED_VALUE"""),1007)</f>
        <v>1007</v>
      </c>
      <c r="AB143" s="3">
        <f ca="1">IFERROR(__xludf.DUMMYFUNCTION("""COMPUTED_VALUE"""),342)</f>
        <v>342</v>
      </c>
      <c r="AC143" s="3">
        <f ca="1">IFERROR(__xludf.DUMMYFUNCTION("""COMPUTED_VALUE"""),207)</f>
        <v>207</v>
      </c>
      <c r="AD143" s="3">
        <f ca="1">IFERROR(__xludf.DUMMYFUNCTION("""COMPUTED_VALUE"""),73)</f>
        <v>73</v>
      </c>
      <c r="AE143" s="3">
        <f ca="1">IFERROR(__xludf.DUMMYFUNCTION("""COMPUTED_VALUE"""),402)</f>
        <v>402</v>
      </c>
      <c r="AF143" s="3">
        <f ca="1">IFERROR(__xludf.DUMMYFUNCTION("""COMPUTED_VALUE"""),586)</f>
        <v>586</v>
      </c>
    </row>
    <row r="144" spans="1:32" x14ac:dyDescent="0.25">
      <c r="A144" s="3" t="str">
        <f ca="1">IFERROR(__xludf.DUMMYFUNCTION("""COMPUTED_VALUE"""),"Indiana")</f>
        <v>Indiana</v>
      </c>
      <c r="B144" s="3">
        <f ca="1">IFERROR(__xludf.DUMMYFUNCTION("""COMPUTED_VALUE"""),35)</f>
        <v>35</v>
      </c>
      <c r="C144" s="3">
        <f ca="1">IFERROR(__xludf.DUMMYFUNCTION("""COMPUTED_VALUE"""),19)</f>
        <v>19</v>
      </c>
      <c r="D144" s="3">
        <f ca="1">IFERROR(__xludf.DUMMYFUNCTION("""COMPUTED_VALUE"""),16)</f>
        <v>16</v>
      </c>
      <c r="E144" s="3">
        <f ca="1">IFERROR(__xludf.DUMMYFUNCTION("""COMPUTED_VALUE"""),0.543)</f>
        <v>0.54300000000000004</v>
      </c>
      <c r="F144" s="3">
        <f ca="1">IFERROR(__xludf.DUMMYFUNCTION("""COMPUTED_VALUE"""),13.82)</f>
        <v>13.82</v>
      </c>
      <c r="G144" s="3">
        <f ca="1">IFERROR(__xludf.DUMMYFUNCTION("""COMPUTED_VALUE"""),10.1)</f>
        <v>10.1</v>
      </c>
      <c r="H144" s="3">
        <f ca="1">IFERROR(__xludf.DUMMYFUNCTION("""COMPUTED_VALUE"""),8)</f>
        <v>8</v>
      </c>
      <c r="I144" s="3">
        <f ca="1">IFERROR(__xludf.DUMMYFUNCTION("""COMPUTED_VALUE"""),12)</f>
        <v>12</v>
      </c>
      <c r="J144" s="3">
        <f ca="1">IFERROR(__xludf.DUMMYFUNCTION("""COMPUTED_VALUE"""),15)</f>
        <v>15</v>
      </c>
      <c r="K144" s="3">
        <f ca="1">IFERROR(__xludf.DUMMYFUNCTION("""COMPUTED_VALUE"""),6)</f>
        <v>6</v>
      </c>
      <c r="L144" s="3">
        <f ca="1">IFERROR(__xludf.DUMMYFUNCTION("""COMPUTED_VALUE"""),3)</f>
        <v>3</v>
      </c>
      <c r="M144" s="3">
        <f ca="1">IFERROR(__xludf.DUMMYFUNCTION("""COMPUTED_VALUE"""),9)</f>
        <v>9</v>
      </c>
      <c r="N144" s="3">
        <f ca="1">IFERROR(__xludf.DUMMYFUNCTION("""COMPUTED_VALUE"""),2504)</f>
        <v>2504</v>
      </c>
      <c r="O144" s="3">
        <f ca="1">IFERROR(__xludf.DUMMYFUNCTION("""COMPUTED_VALUE"""),2374)</f>
        <v>2374</v>
      </c>
      <c r="P144" s="3">
        <f ca="1">IFERROR(__xludf.DUMMYFUNCTION("""COMPUTED_VALUE"""),1420)</f>
        <v>1420</v>
      </c>
      <c r="Q144" s="3">
        <f ca="1">IFERROR(__xludf.DUMMYFUNCTION("""COMPUTED_VALUE"""),919)</f>
        <v>919</v>
      </c>
      <c r="R144" s="3">
        <f ca="1">IFERROR(__xludf.DUMMYFUNCTION("""COMPUTED_VALUE"""),2009)</f>
        <v>2009</v>
      </c>
      <c r="S144" s="3">
        <f ca="1">IFERROR(__xludf.DUMMYFUNCTION("""COMPUTED_VALUE"""),0.457)</f>
        <v>0.45700000000000002</v>
      </c>
      <c r="T144" s="3">
        <f ca="1">IFERROR(__xludf.DUMMYFUNCTION("""COMPUTED_VALUE"""),211)</f>
        <v>211</v>
      </c>
      <c r="U144" s="3">
        <f ca="1">IFERROR(__xludf.DUMMYFUNCTION("""COMPUTED_VALUE"""),676)</f>
        <v>676</v>
      </c>
      <c r="V144" s="3">
        <f ca="1">IFERROR(__xludf.DUMMYFUNCTION("""COMPUTED_VALUE"""),0.312)</f>
        <v>0.312</v>
      </c>
      <c r="W144" s="3">
        <f ca="1">IFERROR(__xludf.DUMMYFUNCTION("""COMPUTED_VALUE"""),455)</f>
        <v>455</v>
      </c>
      <c r="X144" s="3">
        <f ca="1">IFERROR(__xludf.DUMMYFUNCTION("""COMPUTED_VALUE"""),695)</f>
        <v>695</v>
      </c>
      <c r="Y144" s="3">
        <f ca="1">IFERROR(__xludf.DUMMYFUNCTION("""COMPUTED_VALUE"""),0.655)</f>
        <v>0.65500000000000003</v>
      </c>
      <c r="Z144" s="3">
        <f ca="1">IFERROR(__xludf.DUMMYFUNCTION("""COMPUTED_VALUE"""),341)</f>
        <v>341</v>
      </c>
      <c r="AA144" s="3">
        <f ca="1">IFERROR(__xludf.DUMMYFUNCTION("""COMPUTED_VALUE"""),1272)</f>
        <v>1272</v>
      </c>
      <c r="AB144" s="3">
        <f ca="1">IFERROR(__xludf.DUMMYFUNCTION("""COMPUTED_VALUE"""),469)</f>
        <v>469</v>
      </c>
      <c r="AC144" s="3">
        <f ca="1">IFERROR(__xludf.DUMMYFUNCTION("""COMPUTED_VALUE"""),226)</f>
        <v>226</v>
      </c>
      <c r="AD144" s="3">
        <f ca="1">IFERROR(__xludf.DUMMYFUNCTION("""COMPUTED_VALUE"""),154)</f>
        <v>154</v>
      </c>
      <c r="AE144" s="3">
        <f ca="1">IFERROR(__xludf.DUMMYFUNCTION("""COMPUTED_VALUE"""),433)</f>
        <v>433</v>
      </c>
      <c r="AF144" s="3">
        <f ca="1">IFERROR(__xludf.DUMMYFUNCTION("""COMPUTED_VALUE"""),596)</f>
        <v>596</v>
      </c>
    </row>
    <row r="145" spans="1:32" x14ac:dyDescent="0.25">
      <c r="A145" s="3" t="str">
        <f ca="1">IFERROR(__xludf.DUMMYFUNCTION("""COMPUTED_VALUE"""),"IonaNCAA")</f>
        <v>IonaNCAA</v>
      </c>
      <c r="B145" s="3">
        <f ca="1">IFERROR(__xludf.DUMMYFUNCTION("""COMPUTED_VALUE"""),33)</f>
        <v>33</v>
      </c>
      <c r="C145" s="3">
        <f ca="1">IFERROR(__xludf.DUMMYFUNCTION("""COMPUTED_VALUE"""),17)</f>
        <v>17</v>
      </c>
      <c r="D145" s="3">
        <f ca="1">IFERROR(__xludf.DUMMYFUNCTION("""COMPUTED_VALUE"""),16)</f>
        <v>16</v>
      </c>
      <c r="E145" s="3">
        <f ca="1">IFERROR(__xludf.DUMMYFUNCTION("""COMPUTED_VALUE"""),0.515)</f>
        <v>0.51500000000000001</v>
      </c>
      <c r="F145" s="3">
        <f ca="1">IFERROR(__xludf.DUMMYFUNCTION("""COMPUTED_VALUE"""),-4.78)</f>
        <v>-4.78</v>
      </c>
      <c r="G145" s="3">
        <f ca="1">IFERROR(__xludf.DUMMYFUNCTION("""COMPUTED_VALUE"""),-5.5)</f>
        <v>-5.5</v>
      </c>
      <c r="H145" s="3">
        <f ca="1">IFERROR(__xludf.DUMMYFUNCTION("""COMPUTED_VALUE"""),12)</f>
        <v>12</v>
      </c>
      <c r="I145" s="3">
        <f ca="1">IFERROR(__xludf.DUMMYFUNCTION("""COMPUTED_VALUE"""),6)</f>
        <v>6</v>
      </c>
      <c r="J145" s="3">
        <f ca="1">IFERROR(__xludf.DUMMYFUNCTION("""COMPUTED_VALUE"""),8)</f>
        <v>8</v>
      </c>
      <c r="K145" s="3">
        <f ca="1">IFERROR(__xludf.DUMMYFUNCTION("""COMPUTED_VALUE"""),3)</f>
        <v>3</v>
      </c>
      <c r="L145" s="3">
        <f ca="1">IFERROR(__xludf.DUMMYFUNCTION("""COMPUTED_VALUE"""),5)</f>
        <v>5</v>
      </c>
      <c r="M145" s="3">
        <f ca="1">IFERROR(__xludf.DUMMYFUNCTION("""COMPUTED_VALUE"""),9)</f>
        <v>9</v>
      </c>
      <c r="N145" s="3">
        <f ca="1">IFERROR(__xludf.DUMMYFUNCTION("""COMPUTED_VALUE"""),2532)</f>
        <v>2532</v>
      </c>
      <c r="O145" s="3">
        <f ca="1">IFERROR(__xludf.DUMMYFUNCTION("""COMPUTED_VALUE"""),2508)</f>
        <v>2508</v>
      </c>
      <c r="P145" s="3">
        <f ca="1">IFERROR(__xludf.DUMMYFUNCTION("""COMPUTED_VALUE"""),1320)</f>
        <v>1320</v>
      </c>
      <c r="Q145" s="3">
        <f ca="1">IFERROR(__xludf.DUMMYFUNCTION("""COMPUTED_VALUE"""),857)</f>
        <v>857</v>
      </c>
      <c r="R145" s="3">
        <f ca="1">IFERROR(__xludf.DUMMYFUNCTION("""COMPUTED_VALUE"""),1897)</f>
        <v>1897</v>
      </c>
      <c r="S145" s="3">
        <f ca="1">IFERROR(__xludf.DUMMYFUNCTION("""COMPUTED_VALUE"""),0.452)</f>
        <v>0.45200000000000001</v>
      </c>
      <c r="T145" s="3">
        <f ca="1">IFERROR(__xludf.DUMMYFUNCTION("""COMPUTED_VALUE"""),297)</f>
        <v>297</v>
      </c>
      <c r="U145" s="3">
        <f ca="1">IFERROR(__xludf.DUMMYFUNCTION("""COMPUTED_VALUE"""),845)</f>
        <v>845</v>
      </c>
      <c r="V145" s="3">
        <f ca="1">IFERROR(__xludf.DUMMYFUNCTION("""COMPUTED_VALUE"""),0.351)</f>
        <v>0.35099999999999998</v>
      </c>
      <c r="W145" s="3">
        <f ca="1">IFERROR(__xludf.DUMMYFUNCTION("""COMPUTED_VALUE"""),521)</f>
        <v>521</v>
      </c>
      <c r="X145" s="3">
        <f ca="1">IFERROR(__xludf.DUMMYFUNCTION("""COMPUTED_VALUE"""),699)</f>
        <v>699</v>
      </c>
      <c r="Y145" s="3">
        <f ca="1">IFERROR(__xludf.DUMMYFUNCTION("""COMPUTED_VALUE"""),0.745)</f>
        <v>0.745</v>
      </c>
      <c r="Z145" s="3">
        <f ca="1">IFERROR(__xludf.DUMMYFUNCTION("""COMPUTED_VALUE"""),283)</f>
        <v>283</v>
      </c>
      <c r="AA145" s="3">
        <f ca="1">IFERROR(__xludf.DUMMYFUNCTION("""COMPUTED_VALUE"""),1152)</f>
        <v>1152</v>
      </c>
      <c r="AB145" s="3">
        <f ca="1">IFERROR(__xludf.DUMMYFUNCTION("""COMPUTED_VALUE"""),432)</f>
        <v>432</v>
      </c>
      <c r="AC145" s="3">
        <f ca="1">IFERROR(__xludf.DUMMYFUNCTION("""COMPUTED_VALUE"""),223)</f>
        <v>223</v>
      </c>
      <c r="AD145" s="3">
        <f ca="1">IFERROR(__xludf.DUMMYFUNCTION("""COMPUTED_VALUE"""),90)</f>
        <v>90</v>
      </c>
      <c r="AE145" s="3">
        <f ca="1">IFERROR(__xludf.DUMMYFUNCTION("""COMPUTED_VALUE"""),406)</f>
        <v>406</v>
      </c>
      <c r="AF145" s="3">
        <f ca="1">IFERROR(__xludf.DUMMYFUNCTION("""COMPUTED_VALUE"""),564)</f>
        <v>564</v>
      </c>
    </row>
    <row r="146" spans="1:32" x14ac:dyDescent="0.25">
      <c r="A146" s="3" t="str">
        <f ca="1">IFERROR(__xludf.DUMMYFUNCTION("""COMPUTED_VALUE"""),"Iowa StateNCAA")</f>
        <v>Iowa StateNCAA</v>
      </c>
      <c r="B146" s="3">
        <f ca="1">IFERROR(__xludf.DUMMYFUNCTION("""COMPUTED_VALUE"""),35)</f>
        <v>35</v>
      </c>
      <c r="C146" s="3">
        <f ca="1">IFERROR(__xludf.DUMMYFUNCTION("""COMPUTED_VALUE"""),23)</f>
        <v>23</v>
      </c>
      <c r="D146" s="3">
        <f ca="1">IFERROR(__xludf.DUMMYFUNCTION("""COMPUTED_VALUE"""),12)</f>
        <v>12</v>
      </c>
      <c r="E146" s="3">
        <f ca="1">IFERROR(__xludf.DUMMYFUNCTION("""COMPUTED_VALUE"""),0.657)</f>
        <v>0.65700000000000003</v>
      </c>
      <c r="F146" s="3">
        <f ca="1">IFERROR(__xludf.DUMMYFUNCTION("""COMPUTED_VALUE"""),18.07)</f>
        <v>18.07</v>
      </c>
      <c r="G146" s="3">
        <f ca="1">IFERROR(__xludf.DUMMYFUNCTION("""COMPUTED_VALUE"""),9.3)</f>
        <v>9.3000000000000007</v>
      </c>
      <c r="H146" s="3">
        <f ca="1">IFERROR(__xludf.DUMMYFUNCTION("""COMPUTED_VALUE"""),9)</f>
        <v>9</v>
      </c>
      <c r="I146" s="3">
        <f ca="1">IFERROR(__xludf.DUMMYFUNCTION("""COMPUTED_VALUE"""),9)</f>
        <v>9</v>
      </c>
      <c r="J146" s="3">
        <f ca="1">IFERROR(__xludf.DUMMYFUNCTION("""COMPUTED_VALUE"""),12)</f>
        <v>12</v>
      </c>
      <c r="K146" s="3">
        <f ca="1">IFERROR(__xludf.DUMMYFUNCTION("""COMPUTED_VALUE"""),4)</f>
        <v>4</v>
      </c>
      <c r="L146" s="3">
        <f ca="1">IFERROR(__xludf.DUMMYFUNCTION("""COMPUTED_VALUE"""),5)</f>
        <v>5</v>
      </c>
      <c r="M146" s="3">
        <f ca="1">IFERROR(__xludf.DUMMYFUNCTION("""COMPUTED_VALUE"""),6)</f>
        <v>6</v>
      </c>
      <c r="N146" s="3">
        <f ca="1">IFERROR(__xludf.DUMMYFUNCTION("""COMPUTED_VALUE"""),2692)</f>
        <v>2692</v>
      </c>
      <c r="O146" s="3">
        <f ca="1">IFERROR(__xludf.DUMMYFUNCTION("""COMPUTED_VALUE"""),2385)</f>
        <v>2385</v>
      </c>
      <c r="P146" s="3">
        <f ca="1">IFERROR(__xludf.DUMMYFUNCTION("""COMPUTED_VALUE"""),1400)</f>
        <v>1400</v>
      </c>
      <c r="Q146" s="3">
        <f ca="1">IFERROR(__xludf.DUMMYFUNCTION("""COMPUTED_VALUE"""),974)</f>
        <v>974</v>
      </c>
      <c r="R146" s="3">
        <f ca="1">IFERROR(__xludf.DUMMYFUNCTION("""COMPUTED_VALUE"""),2047)</f>
        <v>2047</v>
      </c>
      <c r="S146" s="3">
        <f ca="1">IFERROR(__xludf.DUMMYFUNCTION("""COMPUTED_VALUE"""),0.476)</f>
        <v>0.47599999999999998</v>
      </c>
      <c r="T146" s="3">
        <f ca="1">IFERROR(__xludf.DUMMYFUNCTION("""COMPUTED_VALUE"""),294)</f>
        <v>294</v>
      </c>
      <c r="U146" s="3">
        <f ca="1">IFERROR(__xludf.DUMMYFUNCTION("""COMPUTED_VALUE"""),811)</f>
        <v>811</v>
      </c>
      <c r="V146" s="3">
        <f ca="1">IFERROR(__xludf.DUMMYFUNCTION("""COMPUTED_VALUE"""),0.363)</f>
        <v>0.36299999999999999</v>
      </c>
      <c r="W146" s="3">
        <f ca="1">IFERROR(__xludf.DUMMYFUNCTION("""COMPUTED_VALUE"""),450)</f>
        <v>450</v>
      </c>
      <c r="X146" s="3">
        <f ca="1">IFERROR(__xludf.DUMMYFUNCTION("""COMPUTED_VALUE"""),615)</f>
        <v>615</v>
      </c>
      <c r="Y146" s="3">
        <f ca="1">IFERROR(__xludf.DUMMYFUNCTION("""COMPUTED_VALUE"""),0.732)</f>
        <v>0.73199999999999998</v>
      </c>
      <c r="Z146" s="3">
        <f ca="1">IFERROR(__xludf.DUMMYFUNCTION("""COMPUTED_VALUE"""),327)</f>
        <v>327</v>
      </c>
      <c r="AA146" s="3">
        <f ca="1">IFERROR(__xludf.DUMMYFUNCTION("""COMPUTED_VALUE"""),1230)</f>
        <v>1230</v>
      </c>
      <c r="AB146" s="3">
        <f ca="1">IFERROR(__xludf.DUMMYFUNCTION("""COMPUTED_VALUE"""),527)</f>
        <v>527</v>
      </c>
      <c r="AC146" s="3">
        <f ca="1">IFERROR(__xludf.DUMMYFUNCTION("""COMPUTED_VALUE"""),247)</f>
        <v>247</v>
      </c>
      <c r="AD146" s="3">
        <f ca="1">IFERROR(__xludf.DUMMYFUNCTION("""COMPUTED_VALUE"""),160)</f>
        <v>160</v>
      </c>
      <c r="AE146" s="3">
        <f ca="1">IFERROR(__xludf.DUMMYFUNCTION("""COMPUTED_VALUE"""),379)</f>
        <v>379</v>
      </c>
      <c r="AF146" s="3">
        <f ca="1">IFERROR(__xludf.DUMMYFUNCTION("""COMPUTED_VALUE"""),517)</f>
        <v>517</v>
      </c>
    </row>
    <row r="147" spans="1:32" x14ac:dyDescent="0.25">
      <c r="A147" s="3" t="str">
        <f ca="1">IFERROR(__xludf.DUMMYFUNCTION("""COMPUTED_VALUE"""),"IowaNCAA")</f>
        <v>IowaNCAA</v>
      </c>
      <c r="B147" s="3">
        <f ca="1">IFERROR(__xludf.DUMMYFUNCTION("""COMPUTED_VALUE"""),35)</f>
        <v>35</v>
      </c>
      <c r="C147" s="3">
        <f ca="1">IFERROR(__xludf.DUMMYFUNCTION("""COMPUTED_VALUE"""),23)</f>
        <v>23</v>
      </c>
      <c r="D147" s="3">
        <f ca="1">IFERROR(__xludf.DUMMYFUNCTION("""COMPUTED_VALUE"""),12)</f>
        <v>12</v>
      </c>
      <c r="E147" s="3">
        <f ca="1">IFERROR(__xludf.DUMMYFUNCTION("""COMPUTED_VALUE"""),0.657)</f>
        <v>0.65700000000000003</v>
      </c>
      <c r="F147" s="3">
        <f ca="1">IFERROR(__xludf.DUMMYFUNCTION("""COMPUTED_VALUE"""),14.27)</f>
        <v>14.27</v>
      </c>
      <c r="G147" s="3">
        <f ca="1">IFERROR(__xludf.DUMMYFUNCTION("""COMPUTED_VALUE"""),9.84)</f>
        <v>9.84</v>
      </c>
      <c r="H147" s="3">
        <f ca="1">IFERROR(__xludf.DUMMYFUNCTION("""COMPUTED_VALUE"""),10)</f>
        <v>10</v>
      </c>
      <c r="I147" s="3">
        <f ca="1">IFERROR(__xludf.DUMMYFUNCTION("""COMPUTED_VALUE"""),10)</f>
        <v>10</v>
      </c>
      <c r="J147" s="3">
        <f ca="1">IFERROR(__xludf.DUMMYFUNCTION("""COMPUTED_VALUE"""),14)</f>
        <v>14</v>
      </c>
      <c r="K147" s="3">
        <f ca="1">IFERROR(__xludf.DUMMYFUNCTION("""COMPUTED_VALUE"""),4)</f>
        <v>4</v>
      </c>
      <c r="L147" s="3">
        <f ca="1">IFERROR(__xludf.DUMMYFUNCTION("""COMPUTED_VALUE"""),4)</f>
        <v>4</v>
      </c>
      <c r="M147" s="3">
        <f ca="1">IFERROR(__xludf.DUMMYFUNCTION("""COMPUTED_VALUE"""),6)</f>
        <v>6</v>
      </c>
      <c r="N147" s="3">
        <f ca="1">IFERROR(__xludf.DUMMYFUNCTION("""COMPUTED_VALUE"""),2740)</f>
        <v>2740</v>
      </c>
      <c r="O147" s="3">
        <f ca="1">IFERROR(__xludf.DUMMYFUNCTION("""COMPUTED_VALUE"""),2585)</f>
        <v>2585</v>
      </c>
      <c r="P147" s="3">
        <f ca="1">IFERROR(__xludf.DUMMYFUNCTION("""COMPUTED_VALUE"""),1415)</f>
        <v>1415</v>
      </c>
      <c r="Q147" s="3">
        <f ca="1">IFERROR(__xludf.DUMMYFUNCTION("""COMPUTED_VALUE"""),914)</f>
        <v>914</v>
      </c>
      <c r="R147" s="3">
        <f ca="1">IFERROR(__xludf.DUMMYFUNCTION("""COMPUTED_VALUE"""),2006)</f>
        <v>2006</v>
      </c>
      <c r="S147" s="3">
        <f ca="1">IFERROR(__xludf.DUMMYFUNCTION("""COMPUTED_VALUE"""),0.456)</f>
        <v>0.45600000000000002</v>
      </c>
      <c r="T147" s="3">
        <f ca="1">IFERROR(__xludf.DUMMYFUNCTION("""COMPUTED_VALUE"""),285)</f>
        <v>285</v>
      </c>
      <c r="U147" s="3">
        <f ca="1">IFERROR(__xludf.DUMMYFUNCTION("""COMPUTED_VALUE"""),782)</f>
        <v>782</v>
      </c>
      <c r="V147" s="3">
        <f ca="1">IFERROR(__xludf.DUMMYFUNCTION("""COMPUTED_VALUE"""),0.364)</f>
        <v>0.36399999999999999</v>
      </c>
      <c r="W147" s="3">
        <f ca="1">IFERROR(__xludf.DUMMYFUNCTION("""COMPUTED_VALUE"""),627)</f>
        <v>627</v>
      </c>
      <c r="X147" s="3">
        <f ca="1">IFERROR(__xludf.DUMMYFUNCTION("""COMPUTED_VALUE"""),849)</f>
        <v>849</v>
      </c>
      <c r="Y147" s="3">
        <f ca="1">IFERROR(__xludf.DUMMYFUNCTION("""COMPUTED_VALUE"""),0.739)</f>
        <v>0.73899999999999999</v>
      </c>
      <c r="Z147" s="3">
        <f ca="1">IFERROR(__xludf.DUMMYFUNCTION("""COMPUTED_VALUE"""),357)</f>
        <v>357</v>
      </c>
      <c r="AA147" s="3">
        <f ca="1">IFERROR(__xludf.DUMMYFUNCTION("""COMPUTED_VALUE"""),1246)</f>
        <v>1246</v>
      </c>
      <c r="AB147" s="3">
        <f ca="1">IFERROR(__xludf.DUMMYFUNCTION("""COMPUTED_VALUE"""),542)</f>
        <v>542</v>
      </c>
      <c r="AC147" s="3">
        <f ca="1">IFERROR(__xludf.DUMMYFUNCTION("""COMPUTED_VALUE"""),211)</f>
        <v>211</v>
      </c>
      <c r="AD147" s="3">
        <f ca="1">IFERROR(__xludf.DUMMYFUNCTION("""COMPUTED_VALUE"""),112)</f>
        <v>112</v>
      </c>
      <c r="AE147" s="3">
        <f ca="1">IFERROR(__xludf.DUMMYFUNCTION("""COMPUTED_VALUE"""),427)</f>
        <v>427</v>
      </c>
      <c r="AF147" s="3">
        <f ca="1">IFERROR(__xludf.DUMMYFUNCTION("""COMPUTED_VALUE"""),565)</f>
        <v>565</v>
      </c>
    </row>
    <row r="148" spans="1:32" x14ac:dyDescent="0.25">
      <c r="A148" s="3" t="str">
        <f ca="1">IFERROR(__xludf.DUMMYFUNCTION("""COMPUTED_VALUE"""),"Purdue-Fort Wayne")</f>
        <v>Purdue-Fort Wayne</v>
      </c>
      <c r="B148" s="3">
        <f ca="1">IFERROR(__xludf.DUMMYFUNCTION("""COMPUTED_VALUE"""),33)</f>
        <v>33</v>
      </c>
      <c r="C148" s="3">
        <f ca="1">IFERROR(__xludf.DUMMYFUNCTION("""COMPUTED_VALUE"""),18)</f>
        <v>18</v>
      </c>
      <c r="D148" s="3">
        <f ca="1">IFERROR(__xludf.DUMMYFUNCTION("""COMPUTED_VALUE"""),15)</f>
        <v>15</v>
      </c>
      <c r="E148" s="3">
        <f ca="1">IFERROR(__xludf.DUMMYFUNCTION("""COMPUTED_VALUE"""),0.545)</f>
        <v>0.54500000000000004</v>
      </c>
      <c r="F148" s="3">
        <f ca="1">IFERROR(__xludf.DUMMYFUNCTION("""COMPUTED_VALUE"""),-3.47)</f>
        <v>-3.47</v>
      </c>
      <c r="G148" s="3">
        <f ca="1">IFERROR(__xludf.DUMMYFUNCTION("""COMPUTED_VALUE"""),-3.6)</f>
        <v>-3.6</v>
      </c>
      <c r="H148" s="3">
        <f ca="1">IFERROR(__xludf.DUMMYFUNCTION("""COMPUTED_VALUE"""),9)</f>
        <v>9</v>
      </c>
      <c r="I148" s="3">
        <f ca="1">IFERROR(__xludf.DUMMYFUNCTION("""COMPUTED_VALUE"""),7)</f>
        <v>7</v>
      </c>
      <c r="J148" s="3">
        <f ca="1">IFERROR(__xludf.DUMMYFUNCTION("""COMPUTED_VALUE"""),11)</f>
        <v>11</v>
      </c>
      <c r="K148" s="3">
        <f ca="1">IFERROR(__xludf.DUMMYFUNCTION("""COMPUTED_VALUE"""),5)</f>
        <v>5</v>
      </c>
      <c r="L148" s="3">
        <f ca="1">IFERROR(__xludf.DUMMYFUNCTION("""COMPUTED_VALUE"""),6)</f>
        <v>6</v>
      </c>
      <c r="M148" s="3">
        <f ca="1">IFERROR(__xludf.DUMMYFUNCTION("""COMPUTED_VALUE"""),9)</f>
        <v>9</v>
      </c>
      <c r="N148" s="3">
        <f ca="1">IFERROR(__xludf.DUMMYFUNCTION("""COMPUTED_VALUE"""),2728)</f>
        <v>2728</v>
      </c>
      <c r="O148" s="3">
        <f ca="1">IFERROR(__xludf.DUMMYFUNCTION("""COMPUTED_VALUE"""),2556)</f>
        <v>2556</v>
      </c>
      <c r="P148" s="3">
        <f ca="1">IFERROR(__xludf.DUMMYFUNCTION("""COMPUTED_VALUE"""),1330)</f>
        <v>1330</v>
      </c>
      <c r="Q148" s="3">
        <f ca="1">IFERROR(__xludf.DUMMYFUNCTION("""COMPUTED_VALUE"""),991)</f>
        <v>991</v>
      </c>
      <c r="R148" s="3">
        <f ca="1">IFERROR(__xludf.DUMMYFUNCTION("""COMPUTED_VALUE"""),2059)</f>
        <v>2059</v>
      </c>
      <c r="S148" s="3">
        <f ca="1">IFERROR(__xludf.DUMMYFUNCTION("""COMPUTED_VALUE"""),0.481)</f>
        <v>0.48099999999999998</v>
      </c>
      <c r="T148" s="3">
        <f ca="1">IFERROR(__xludf.DUMMYFUNCTION("""COMPUTED_VALUE"""),360)</f>
        <v>360</v>
      </c>
      <c r="U148" s="3">
        <f ca="1">IFERROR(__xludf.DUMMYFUNCTION("""COMPUTED_VALUE"""),949)</f>
        <v>949</v>
      </c>
      <c r="V148" s="3">
        <f ca="1">IFERROR(__xludf.DUMMYFUNCTION("""COMPUTED_VALUE"""),0.379)</f>
        <v>0.379</v>
      </c>
      <c r="W148" s="3">
        <f ca="1">IFERROR(__xludf.DUMMYFUNCTION("""COMPUTED_VALUE"""),386)</f>
        <v>386</v>
      </c>
      <c r="X148" s="3">
        <f ca="1">IFERROR(__xludf.DUMMYFUNCTION("""COMPUTED_VALUE"""),557)</f>
        <v>557</v>
      </c>
      <c r="Y148" s="3">
        <f ca="1">IFERROR(__xludf.DUMMYFUNCTION("""COMPUTED_VALUE"""),0.693)</f>
        <v>0.69299999999999995</v>
      </c>
      <c r="Z148" s="3">
        <f ca="1">IFERROR(__xludf.DUMMYFUNCTION("""COMPUTED_VALUE"""),271)</f>
        <v>271</v>
      </c>
      <c r="AA148" s="3">
        <f ca="1">IFERROR(__xludf.DUMMYFUNCTION("""COMPUTED_VALUE"""),1140)</f>
        <v>1140</v>
      </c>
      <c r="AB148" s="3">
        <f ca="1">IFERROR(__xludf.DUMMYFUNCTION("""COMPUTED_VALUE"""),525)</f>
        <v>525</v>
      </c>
      <c r="AC148" s="3">
        <f ca="1">IFERROR(__xludf.DUMMYFUNCTION("""COMPUTED_VALUE"""),247)</f>
        <v>247</v>
      </c>
      <c r="AD148" s="3">
        <f ca="1">IFERROR(__xludf.DUMMYFUNCTION("""COMPUTED_VALUE"""),158)</f>
        <v>158</v>
      </c>
      <c r="AE148" s="3">
        <f ca="1">IFERROR(__xludf.DUMMYFUNCTION("""COMPUTED_VALUE"""),395)</f>
        <v>395</v>
      </c>
      <c r="AF148" s="3">
        <f ca="1">IFERROR(__xludf.DUMMYFUNCTION("""COMPUTED_VALUE"""),495)</f>
        <v>495</v>
      </c>
    </row>
    <row r="149" spans="1:32" x14ac:dyDescent="0.25">
      <c r="A149" s="3" t="str">
        <f ca="1">IFERROR(__xludf.DUMMYFUNCTION("""COMPUTED_VALUE"""),"IUPUI")</f>
        <v>IUPUI</v>
      </c>
      <c r="B149" s="3">
        <f ca="1">IFERROR(__xludf.DUMMYFUNCTION("""COMPUTED_VALUE"""),33)</f>
        <v>33</v>
      </c>
      <c r="C149" s="3">
        <f ca="1">IFERROR(__xludf.DUMMYFUNCTION("""COMPUTED_VALUE"""),16)</f>
        <v>16</v>
      </c>
      <c r="D149" s="3">
        <f ca="1">IFERROR(__xludf.DUMMYFUNCTION("""COMPUTED_VALUE"""),17)</f>
        <v>17</v>
      </c>
      <c r="E149" s="3">
        <f ca="1">IFERROR(__xludf.DUMMYFUNCTION("""COMPUTED_VALUE"""),0.485)</f>
        <v>0.48499999999999999</v>
      </c>
      <c r="F149" s="3">
        <f ca="1">IFERROR(__xludf.DUMMYFUNCTION("""COMPUTED_VALUE"""),-2.72)</f>
        <v>-2.72</v>
      </c>
      <c r="G149" s="3">
        <f ca="1">IFERROR(__xludf.DUMMYFUNCTION("""COMPUTED_VALUE"""),-3.04)</f>
        <v>-3.04</v>
      </c>
      <c r="H149" s="3">
        <f ca="1">IFERROR(__xludf.DUMMYFUNCTION("""COMPUTED_VALUE"""),8)</f>
        <v>8</v>
      </c>
      <c r="I149" s="3">
        <f ca="1">IFERROR(__xludf.DUMMYFUNCTION("""COMPUTED_VALUE"""),10)</f>
        <v>10</v>
      </c>
      <c r="J149" s="3">
        <f ca="1">IFERROR(__xludf.DUMMYFUNCTION("""COMPUTED_VALUE"""),11)</f>
        <v>11</v>
      </c>
      <c r="K149" s="3">
        <f ca="1">IFERROR(__xludf.DUMMYFUNCTION("""COMPUTED_VALUE"""),4)</f>
        <v>4</v>
      </c>
      <c r="L149" s="3">
        <f ca="1">IFERROR(__xludf.DUMMYFUNCTION("""COMPUTED_VALUE"""),3)</f>
        <v>3</v>
      </c>
      <c r="M149" s="3">
        <f ca="1">IFERROR(__xludf.DUMMYFUNCTION("""COMPUTED_VALUE"""),13)</f>
        <v>13</v>
      </c>
      <c r="N149" s="3">
        <f ca="1">IFERROR(__xludf.DUMMYFUNCTION("""COMPUTED_VALUE"""),2507)</f>
        <v>2507</v>
      </c>
      <c r="O149" s="3">
        <f ca="1">IFERROR(__xludf.DUMMYFUNCTION("""COMPUTED_VALUE"""),2429)</f>
        <v>2429</v>
      </c>
      <c r="P149" s="3">
        <f ca="1">IFERROR(__xludf.DUMMYFUNCTION("""COMPUTED_VALUE"""),1320)</f>
        <v>1320</v>
      </c>
      <c r="Q149" s="3">
        <f ca="1">IFERROR(__xludf.DUMMYFUNCTION("""COMPUTED_VALUE"""),891)</f>
        <v>891</v>
      </c>
      <c r="R149" s="3">
        <f ca="1">IFERROR(__xludf.DUMMYFUNCTION("""COMPUTED_VALUE"""),1969)</f>
        <v>1969</v>
      </c>
      <c r="S149" s="3">
        <f ca="1">IFERROR(__xludf.DUMMYFUNCTION("""COMPUTED_VALUE"""),0.453)</f>
        <v>0.45300000000000001</v>
      </c>
      <c r="T149" s="3">
        <f ca="1">IFERROR(__xludf.DUMMYFUNCTION("""COMPUTED_VALUE"""),234)</f>
        <v>234</v>
      </c>
      <c r="U149" s="3">
        <f ca="1">IFERROR(__xludf.DUMMYFUNCTION("""COMPUTED_VALUE"""),695)</f>
        <v>695</v>
      </c>
      <c r="V149" s="3">
        <f ca="1">IFERROR(__xludf.DUMMYFUNCTION("""COMPUTED_VALUE"""),0.337)</f>
        <v>0.33700000000000002</v>
      </c>
      <c r="W149" s="3">
        <f ca="1">IFERROR(__xludf.DUMMYFUNCTION("""COMPUTED_VALUE"""),491)</f>
        <v>491</v>
      </c>
      <c r="X149" s="3">
        <f ca="1">IFERROR(__xludf.DUMMYFUNCTION("""COMPUTED_VALUE"""),699)</f>
        <v>699</v>
      </c>
      <c r="Y149" s="3">
        <f ca="1">IFERROR(__xludf.DUMMYFUNCTION("""COMPUTED_VALUE"""),0.702)</f>
        <v>0.70199999999999996</v>
      </c>
      <c r="Z149" s="3">
        <f ca="1">IFERROR(__xludf.DUMMYFUNCTION("""COMPUTED_VALUE"""),403)</f>
        <v>403</v>
      </c>
      <c r="AA149" s="3">
        <f ca="1">IFERROR(__xludf.DUMMYFUNCTION("""COMPUTED_VALUE"""),1233)</f>
        <v>1233</v>
      </c>
      <c r="AB149" s="3">
        <f ca="1">IFERROR(__xludf.DUMMYFUNCTION("""COMPUTED_VALUE"""),471)</f>
        <v>471</v>
      </c>
      <c r="AC149" s="3">
        <f ca="1">IFERROR(__xludf.DUMMYFUNCTION("""COMPUTED_VALUE"""),228)</f>
        <v>228</v>
      </c>
      <c r="AD149" s="3">
        <f ca="1">IFERROR(__xludf.DUMMYFUNCTION("""COMPUTED_VALUE"""),103)</f>
        <v>103</v>
      </c>
      <c r="AE149" s="3">
        <f ca="1">IFERROR(__xludf.DUMMYFUNCTION("""COMPUTED_VALUE"""),462)</f>
        <v>462</v>
      </c>
      <c r="AF149" s="3">
        <f ca="1">IFERROR(__xludf.DUMMYFUNCTION("""COMPUTED_VALUE"""),578)</f>
        <v>578</v>
      </c>
    </row>
    <row r="150" spans="1:32" x14ac:dyDescent="0.25">
      <c r="A150" s="3" t="str">
        <f ca="1">IFERROR(__xludf.DUMMYFUNCTION("""COMPUTED_VALUE"""),"Jackson State")</f>
        <v>Jackson State</v>
      </c>
      <c r="B150" s="3">
        <f ca="1">IFERROR(__xludf.DUMMYFUNCTION("""COMPUTED_VALUE"""),32)</f>
        <v>32</v>
      </c>
      <c r="C150" s="3">
        <f ca="1">IFERROR(__xludf.DUMMYFUNCTION("""COMPUTED_VALUE"""),13)</f>
        <v>13</v>
      </c>
      <c r="D150" s="3">
        <f ca="1">IFERROR(__xludf.DUMMYFUNCTION("""COMPUTED_VALUE"""),19)</f>
        <v>19</v>
      </c>
      <c r="E150" s="3">
        <f ca="1">IFERROR(__xludf.DUMMYFUNCTION("""COMPUTED_VALUE"""),0.406)</f>
        <v>0.40600000000000003</v>
      </c>
      <c r="F150" s="3">
        <f ca="1">IFERROR(__xludf.DUMMYFUNCTION("""COMPUTED_VALUE"""),-14.6)</f>
        <v>-14.6</v>
      </c>
      <c r="G150" s="3">
        <f ca="1">IFERROR(__xludf.DUMMYFUNCTION("""COMPUTED_VALUE"""),-9.33)</f>
        <v>-9.33</v>
      </c>
      <c r="H150" s="3">
        <f ca="1">IFERROR(__xludf.DUMMYFUNCTION("""COMPUTED_VALUE"""),10)</f>
        <v>10</v>
      </c>
      <c r="I150" s="3">
        <f ca="1">IFERROR(__xludf.DUMMYFUNCTION("""COMPUTED_VALUE"""),8)</f>
        <v>8</v>
      </c>
      <c r="J150" s="3">
        <f ca="1">IFERROR(__xludf.DUMMYFUNCTION("""COMPUTED_VALUE"""),9)</f>
        <v>9</v>
      </c>
      <c r="K150" s="3">
        <f ca="1">IFERROR(__xludf.DUMMYFUNCTION("""COMPUTED_VALUE"""),4)</f>
        <v>4</v>
      </c>
      <c r="L150" s="3">
        <f ca="1">IFERROR(__xludf.DUMMYFUNCTION("""COMPUTED_VALUE"""),3)</f>
        <v>3</v>
      </c>
      <c r="M150" s="3">
        <f ca="1">IFERROR(__xludf.DUMMYFUNCTION("""COMPUTED_VALUE"""),14)</f>
        <v>14</v>
      </c>
      <c r="N150" s="3">
        <f ca="1">IFERROR(__xludf.DUMMYFUNCTION("""COMPUTED_VALUE"""),1974)</f>
        <v>1974</v>
      </c>
      <c r="O150" s="3">
        <f ca="1">IFERROR(__xludf.DUMMYFUNCTION("""COMPUTED_VALUE"""),2107)</f>
        <v>2107</v>
      </c>
      <c r="P150" s="3">
        <f ca="1">IFERROR(__xludf.DUMMYFUNCTION("""COMPUTED_VALUE"""),1285)</f>
        <v>1285</v>
      </c>
      <c r="Q150" s="3">
        <f ca="1">IFERROR(__xludf.DUMMYFUNCTION("""COMPUTED_VALUE"""),717)</f>
        <v>717</v>
      </c>
      <c r="R150" s="3">
        <f ca="1">IFERROR(__xludf.DUMMYFUNCTION("""COMPUTED_VALUE"""),1774)</f>
        <v>1774</v>
      </c>
      <c r="S150" s="3">
        <f ca="1">IFERROR(__xludf.DUMMYFUNCTION("""COMPUTED_VALUE"""),0.404)</f>
        <v>0.40400000000000003</v>
      </c>
      <c r="T150" s="3">
        <f ca="1">IFERROR(__xludf.DUMMYFUNCTION("""COMPUTED_VALUE"""),155)</f>
        <v>155</v>
      </c>
      <c r="U150" s="3">
        <f ca="1">IFERROR(__xludf.DUMMYFUNCTION("""COMPUTED_VALUE"""),554)</f>
        <v>554</v>
      </c>
      <c r="V150" s="3">
        <f ca="1">IFERROR(__xludf.DUMMYFUNCTION("""COMPUTED_VALUE"""),0.28)</f>
        <v>0.28000000000000003</v>
      </c>
      <c r="W150" s="3">
        <f ca="1">IFERROR(__xludf.DUMMYFUNCTION("""COMPUTED_VALUE"""),385)</f>
        <v>385</v>
      </c>
      <c r="X150" s="3">
        <f ca="1">IFERROR(__xludf.DUMMYFUNCTION("""COMPUTED_VALUE"""),607)</f>
        <v>607</v>
      </c>
      <c r="Y150" s="3">
        <f ca="1">IFERROR(__xludf.DUMMYFUNCTION("""COMPUTED_VALUE"""),0.634)</f>
        <v>0.63400000000000001</v>
      </c>
      <c r="Z150" s="3">
        <f ca="1">IFERROR(__xludf.DUMMYFUNCTION("""COMPUTED_VALUE"""),331)</f>
        <v>331</v>
      </c>
      <c r="AA150" s="3">
        <f ca="1">IFERROR(__xludf.DUMMYFUNCTION("""COMPUTED_VALUE"""),1125)</f>
        <v>1125</v>
      </c>
      <c r="AB150" s="3">
        <f ca="1">IFERROR(__xludf.DUMMYFUNCTION("""COMPUTED_VALUE"""),359)</f>
        <v>359</v>
      </c>
      <c r="AC150" s="3">
        <f ca="1">IFERROR(__xludf.DUMMYFUNCTION("""COMPUTED_VALUE"""),209)</f>
        <v>209</v>
      </c>
      <c r="AD150" s="3">
        <f ca="1">IFERROR(__xludf.DUMMYFUNCTION("""COMPUTED_VALUE"""),124)</f>
        <v>124</v>
      </c>
      <c r="AE150" s="3">
        <f ca="1">IFERROR(__xludf.DUMMYFUNCTION("""COMPUTED_VALUE"""),436)</f>
        <v>436</v>
      </c>
      <c r="AF150" s="3">
        <f ca="1">IFERROR(__xludf.DUMMYFUNCTION("""COMPUTED_VALUE"""),643)</f>
        <v>643</v>
      </c>
    </row>
    <row r="151" spans="1:32" x14ac:dyDescent="0.25">
      <c r="A151" s="3" t="str">
        <f ca="1">IFERROR(__xludf.DUMMYFUNCTION("""COMPUTED_VALUE"""),"Jacksonville State")</f>
        <v>Jacksonville State</v>
      </c>
      <c r="B151" s="3">
        <f ca="1">IFERROR(__xludf.DUMMYFUNCTION("""COMPUTED_VALUE"""),33)</f>
        <v>33</v>
      </c>
      <c r="C151" s="3">
        <f ca="1">IFERROR(__xludf.DUMMYFUNCTION("""COMPUTED_VALUE"""),24)</f>
        <v>24</v>
      </c>
      <c r="D151" s="3">
        <f ca="1">IFERROR(__xludf.DUMMYFUNCTION("""COMPUTED_VALUE"""),9)</f>
        <v>9</v>
      </c>
      <c r="E151" s="3">
        <f ca="1">IFERROR(__xludf.DUMMYFUNCTION("""COMPUTED_VALUE"""),0.727)</f>
        <v>0.72699999999999998</v>
      </c>
      <c r="F151" s="3">
        <f ca="1">IFERROR(__xludf.DUMMYFUNCTION("""COMPUTED_VALUE"""),1.59)</f>
        <v>1.59</v>
      </c>
      <c r="G151" s="3">
        <f ca="1">IFERROR(__xludf.DUMMYFUNCTION("""COMPUTED_VALUE"""),-5.47)</f>
        <v>-5.47</v>
      </c>
      <c r="H151" s="3">
        <f ca="1">IFERROR(__xludf.DUMMYFUNCTION("""COMPUTED_VALUE"""),15)</f>
        <v>15</v>
      </c>
      <c r="I151" s="3">
        <f ca="1">IFERROR(__xludf.DUMMYFUNCTION("""COMPUTED_VALUE"""),3)</f>
        <v>3</v>
      </c>
      <c r="J151" s="3">
        <f ca="1">IFERROR(__xludf.DUMMYFUNCTION("""COMPUTED_VALUE"""),11)</f>
        <v>11</v>
      </c>
      <c r="K151" s="3">
        <f ca="1">IFERROR(__xludf.DUMMYFUNCTION("""COMPUTED_VALUE"""),1)</f>
        <v>1</v>
      </c>
      <c r="L151" s="3">
        <f ca="1">IFERROR(__xludf.DUMMYFUNCTION("""COMPUTED_VALUE"""),10)</f>
        <v>10</v>
      </c>
      <c r="M151" s="3">
        <f ca="1">IFERROR(__xludf.DUMMYFUNCTION("""COMPUTED_VALUE"""),7)</f>
        <v>7</v>
      </c>
      <c r="N151" s="3">
        <f ca="1">IFERROR(__xludf.DUMMYFUNCTION("""COMPUTED_VALUE"""),2574)</f>
        <v>2574</v>
      </c>
      <c r="O151" s="3">
        <f ca="1">IFERROR(__xludf.DUMMYFUNCTION("""COMPUTED_VALUE"""),2283)</f>
        <v>2283</v>
      </c>
      <c r="P151" s="3">
        <f ca="1">IFERROR(__xludf.DUMMYFUNCTION("""COMPUTED_VALUE"""),1345)</f>
        <v>1345</v>
      </c>
      <c r="Q151" s="3">
        <f ca="1">IFERROR(__xludf.DUMMYFUNCTION("""COMPUTED_VALUE"""),953)</f>
        <v>953</v>
      </c>
      <c r="R151" s="3">
        <f ca="1">IFERROR(__xludf.DUMMYFUNCTION("""COMPUTED_VALUE"""),2063)</f>
        <v>2063</v>
      </c>
      <c r="S151" s="3">
        <f ca="1">IFERROR(__xludf.DUMMYFUNCTION("""COMPUTED_VALUE"""),0.462)</f>
        <v>0.46200000000000002</v>
      </c>
      <c r="T151" s="3">
        <f ca="1">IFERROR(__xludf.DUMMYFUNCTION("""COMPUTED_VALUE"""),200)</f>
        <v>200</v>
      </c>
      <c r="U151" s="3">
        <f ca="1">IFERROR(__xludf.DUMMYFUNCTION("""COMPUTED_VALUE"""),634)</f>
        <v>634</v>
      </c>
      <c r="V151" s="3">
        <f ca="1">IFERROR(__xludf.DUMMYFUNCTION("""COMPUTED_VALUE"""),0.315)</f>
        <v>0.315</v>
      </c>
      <c r="W151" s="3">
        <f ca="1">IFERROR(__xludf.DUMMYFUNCTION("""COMPUTED_VALUE"""),468)</f>
        <v>468</v>
      </c>
      <c r="X151" s="3">
        <f ca="1">IFERROR(__xludf.DUMMYFUNCTION("""COMPUTED_VALUE"""),630)</f>
        <v>630</v>
      </c>
      <c r="Y151" s="3">
        <f ca="1">IFERROR(__xludf.DUMMYFUNCTION("""COMPUTED_VALUE"""),0.743)</f>
        <v>0.74299999999999999</v>
      </c>
      <c r="Z151" s="3">
        <f ca="1">IFERROR(__xludf.DUMMYFUNCTION("""COMPUTED_VALUE"""),400)</f>
        <v>400</v>
      </c>
      <c r="AA151" s="3">
        <f ca="1">IFERROR(__xludf.DUMMYFUNCTION("""COMPUTED_VALUE"""),1310)</f>
        <v>1310</v>
      </c>
      <c r="AB151" s="3">
        <f ca="1">IFERROR(__xludf.DUMMYFUNCTION("""COMPUTED_VALUE"""),451)</f>
        <v>451</v>
      </c>
      <c r="AC151" s="3">
        <f ca="1">IFERROR(__xludf.DUMMYFUNCTION("""COMPUTED_VALUE"""),245)</f>
        <v>245</v>
      </c>
      <c r="AD151" s="3">
        <f ca="1">IFERROR(__xludf.DUMMYFUNCTION("""COMPUTED_VALUE"""),138)</f>
        <v>138</v>
      </c>
      <c r="AE151" s="3">
        <f ca="1">IFERROR(__xludf.DUMMYFUNCTION("""COMPUTED_VALUE"""),440)</f>
        <v>440</v>
      </c>
      <c r="AF151" s="3">
        <f ca="1">IFERROR(__xludf.DUMMYFUNCTION("""COMPUTED_VALUE"""),553)</f>
        <v>553</v>
      </c>
    </row>
    <row r="152" spans="1:32" x14ac:dyDescent="0.25">
      <c r="A152" s="3" t="str">
        <f ca="1">IFERROR(__xludf.DUMMYFUNCTION("""COMPUTED_VALUE"""),"Jacksonville")</f>
        <v>Jacksonville</v>
      </c>
      <c r="B152" s="3">
        <f ca="1">IFERROR(__xludf.DUMMYFUNCTION("""COMPUTED_VALUE"""),32)</f>
        <v>32</v>
      </c>
      <c r="C152" s="3">
        <f ca="1">IFERROR(__xludf.DUMMYFUNCTION("""COMPUTED_VALUE"""),12)</f>
        <v>12</v>
      </c>
      <c r="D152" s="3">
        <f ca="1">IFERROR(__xludf.DUMMYFUNCTION("""COMPUTED_VALUE"""),20)</f>
        <v>20</v>
      </c>
      <c r="E152" s="3">
        <f ca="1">IFERROR(__xludf.DUMMYFUNCTION("""COMPUTED_VALUE"""),0.375)</f>
        <v>0.375</v>
      </c>
      <c r="F152" s="3">
        <f ca="1">IFERROR(__xludf.DUMMYFUNCTION("""COMPUTED_VALUE"""),-8.27)</f>
        <v>-8.27</v>
      </c>
      <c r="G152" s="3">
        <f ca="1">IFERROR(__xludf.DUMMYFUNCTION("""COMPUTED_VALUE"""),-4.74)</f>
        <v>-4.74</v>
      </c>
      <c r="H152" s="3">
        <f ca="1">IFERROR(__xludf.DUMMYFUNCTION("""COMPUTED_VALUE"""),5)</f>
        <v>5</v>
      </c>
      <c r="I152" s="3">
        <f ca="1">IFERROR(__xludf.DUMMYFUNCTION("""COMPUTED_VALUE"""),11)</f>
        <v>11</v>
      </c>
      <c r="J152" s="3">
        <f ca="1">IFERROR(__xludf.DUMMYFUNCTION("""COMPUTED_VALUE"""),5)</f>
        <v>5</v>
      </c>
      <c r="K152" s="3">
        <f ca="1">IFERROR(__xludf.DUMMYFUNCTION("""COMPUTED_VALUE"""),8)</f>
        <v>8</v>
      </c>
      <c r="L152" s="3">
        <f ca="1">IFERROR(__xludf.DUMMYFUNCTION("""COMPUTED_VALUE"""),6)</f>
        <v>6</v>
      </c>
      <c r="M152" s="3">
        <f ca="1">IFERROR(__xludf.DUMMYFUNCTION("""COMPUTED_VALUE"""),11)</f>
        <v>11</v>
      </c>
      <c r="N152" s="3">
        <f ca="1">IFERROR(__xludf.DUMMYFUNCTION("""COMPUTED_VALUE"""),2385)</f>
        <v>2385</v>
      </c>
      <c r="O152" s="3">
        <f ca="1">IFERROR(__xludf.DUMMYFUNCTION("""COMPUTED_VALUE"""),2402)</f>
        <v>2402</v>
      </c>
      <c r="P152" s="3">
        <f ca="1">IFERROR(__xludf.DUMMYFUNCTION("""COMPUTED_VALUE"""),1285)</f>
        <v>1285</v>
      </c>
      <c r="Q152" s="3">
        <f ca="1">IFERROR(__xludf.DUMMYFUNCTION("""COMPUTED_VALUE"""),889)</f>
        <v>889</v>
      </c>
      <c r="R152" s="3">
        <f ca="1">IFERROR(__xludf.DUMMYFUNCTION("""COMPUTED_VALUE"""),1953)</f>
        <v>1953</v>
      </c>
      <c r="S152" s="3">
        <f ca="1">IFERROR(__xludf.DUMMYFUNCTION("""COMPUTED_VALUE"""),0.455)</f>
        <v>0.45500000000000002</v>
      </c>
      <c r="T152" s="3">
        <f ca="1">IFERROR(__xludf.DUMMYFUNCTION("""COMPUTED_VALUE"""),213)</f>
        <v>213</v>
      </c>
      <c r="U152" s="3">
        <f ca="1">IFERROR(__xludf.DUMMYFUNCTION("""COMPUTED_VALUE"""),645)</f>
        <v>645</v>
      </c>
      <c r="V152" s="3">
        <f ca="1">IFERROR(__xludf.DUMMYFUNCTION("""COMPUTED_VALUE"""),0.33)</f>
        <v>0.33</v>
      </c>
      <c r="W152" s="3">
        <f ca="1">IFERROR(__xludf.DUMMYFUNCTION("""COMPUTED_VALUE"""),394)</f>
        <v>394</v>
      </c>
      <c r="X152" s="3">
        <f ca="1">IFERROR(__xludf.DUMMYFUNCTION("""COMPUTED_VALUE"""),582)</f>
        <v>582</v>
      </c>
      <c r="Y152" s="3">
        <f ca="1">IFERROR(__xludf.DUMMYFUNCTION("""COMPUTED_VALUE"""),0.677)</f>
        <v>0.67700000000000005</v>
      </c>
      <c r="Z152" s="3">
        <f ca="1">IFERROR(__xludf.DUMMYFUNCTION("""COMPUTED_VALUE"""),330)</f>
        <v>330</v>
      </c>
      <c r="AA152" s="3">
        <f ca="1">IFERROR(__xludf.DUMMYFUNCTION("""COMPUTED_VALUE"""),1163)</f>
        <v>1163</v>
      </c>
      <c r="AB152" s="3">
        <f ca="1">IFERROR(__xludf.DUMMYFUNCTION("""COMPUTED_VALUE"""),457)</f>
        <v>457</v>
      </c>
      <c r="AC152" s="3">
        <f ca="1">IFERROR(__xludf.DUMMYFUNCTION("""COMPUTED_VALUE"""),213)</f>
        <v>213</v>
      </c>
      <c r="AD152" s="3">
        <f ca="1">IFERROR(__xludf.DUMMYFUNCTION("""COMPUTED_VALUE"""),166)</f>
        <v>166</v>
      </c>
      <c r="AE152" s="3">
        <f ca="1">IFERROR(__xludf.DUMMYFUNCTION("""COMPUTED_VALUE"""),463)</f>
        <v>463</v>
      </c>
      <c r="AF152" s="3">
        <f ca="1">IFERROR(__xludf.DUMMYFUNCTION("""COMPUTED_VALUE"""),523)</f>
        <v>523</v>
      </c>
    </row>
    <row r="153" spans="1:32" x14ac:dyDescent="0.25">
      <c r="A153" s="3" t="str">
        <f ca="1">IFERROR(__xludf.DUMMYFUNCTION("""COMPUTED_VALUE"""),"James Madison")</f>
        <v>James Madison</v>
      </c>
      <c r="B153" s="3">
        <f ca="1">IFERROR(__xludf.DUMMYFUNCTION("""COMPUTED_VALUE"""),33)</f>
        <v>33</v>
      </c>
      <c r="C153" s="3">
        <f ca="1">IFERROR(__xludf.DUMMYFUNCTION("""COMPUTED_VALUE"""),14)</f>
        <v>14</v>
      </c>
      <c r="D153" s="3">
        <f ca="1">IFERROR(__xludf.DUMMYFUNCTION("""COMPUTED_VALUE"""),19)</f>
        <v>19</v>
      </c>
      <c r="E153" s="3">
        <f ca="1">IFERROR(__xludf.DUMMYFUNCTION("""COMPUTED_VALUE"""),0.424)</f>
        <v>0.42399999999999999</v>
      </c>
      <c r="F153" s="3">
        <f ca="1">IFERROR(__xludf.DUMMYFUNCTION("""COMPUTED_VALUE"""),-8.52)</f>
        <v>-8.52</v>
      </c>
      <c r="G153" s="3">
        <f ca="1">IFERROR(__xludf.DUMMYFUNCTION("""COMPUTED_VALUE"""),-4.07)</f>
        <v>-4.07</v>
      </c>
      <c r="H153" s="3">
        <f ca="1">IFERROR(__xludf.DUMMYFUNCTION("""COMPUTED_VALUE"""),6)</f>
        <v>6</v>
      </c>
      <c r="I153" s="3">
        <f ca="1">IFERROR(__xludf.DUMMYFUNCTION("""COMPUTED_VALUE"""),12)</f>
        <v>12</v>
      </c>
      <c r="J153" s="3">
        <f ca="1">IFERROR(__xludf.DUMMYFUNCTION("""COMPUTED_VALUE"""),8)</f>
        <v>8</v>
      </c>
      <c r="K153" s="3">
        <f ca="1">IFERROR(__xludf.DUMMYFUNCTION("""COMPUTED_VALUE"""),6)</f>
        <v>6</v>
      </c>
      <c r="L153" s="3">
        <f ca="1">IFERROR(__xludf.DUMMYFUNCTION("""COMPUTED_VALUE"""),4)</f>
        <v>4</v>
      </c>
      <c r="M153" s="3">
        <f ca="1">IFERROR(__xludf.DUMMYFUNCTION("""COMPUTED_VALUE"""),11)</f>
        <v>11</v>
      </c>
      <c r="N153" s="3">
        <f ca="1">IFERROR(__xludf.DUMMYFUNCTION("""COMPUTED_VALUE"""),2322)</f>
        <v>2322</v>
      </c>
      <c r="O153" s="3">
        <f ca="1">IFERROR(__xludf.DUMMYFUNCTION("""COMPUTED_VALUE"""),2409)</f>
        <v>2409</v>
      </c>
      <c r="P153" s="3">
        <f ca="1">IFERROR(__xludf.DUMMYFUNCTION("""COMPUTED_VALUE"""),1350)</f>
        <v>1350</v>
      </c>
      <c r="Q153" s="3">
        <f ca="1">IFERROR(__xludf.DUMMYFUNCTION("""COMPUTED_VALUE"""),821)</f>
        <v>821</v>
      </c>
      <c r="R153" s="3">
        <f ca="1">IFERROR(__xludf.DUMMYFUNCTION("""COMPUTED_VALUE"""),1859)</f>
        <v>1859</v>
      </c>
      <c r="S153" s="3">
        <f ca="1">IFERROR(__xludf.DUMMYFUNCTION("""COMPUTED_VALUE"""),0.442)</f>
        <v>0.442</v>
      </c>
      <c r="T153" s="3">
        <f ca="1">IFERROR(__xludf.DUMMYFUNCTION("""COMPUTED_VALUE"""),243)</f>
        <v>243</v>
      </c>
      <c r="U153" s="3">
        <f ca="1">IFERROR(__xludf.DUMMYFUNCTION("""COMPUTED_VALUE"""),670)</f>
        <v>670</v>
      </c>
      <c r="V153" s="3">
        <f ca="1">IFERROR(__xludf.DUMMYFUNCTION("""COMPUTED_VALUE"""),0.363)</f>
        <v>0.36299999999999999</v>
      </c>
      <c r="W153" s="3">
        <f ca="1">IFERROR(__xludf.DUMMYFUNCTION("""COMPUTED_VALUE"""),437)</f>
        <v>437</v>
      </c>
      <c r="X153" s="3">
        <f ca="1">IFERROR(__xludf.DUMMYFUNCTION("""COMPUTED_VALUE"""),607)</f>
        <v>607</v>
      </c>
      <c r="Y153" s="3">
        <f ca="1">IFERROR(__xludf.DUMMYFUNCTION("""COMPUTED_VALUE"""),0.72)</f>
        <v>0.72</v>
      </c>
      <c r="Z153" s="3">
        <f ca="1">IFERROR(__xludf.DUMMYFUNCTION("""COMPUTED_VALUE"""),345)</f>
        <v>345</v>
      </c>
      <c r="AA153" s="3">
        <f ca="1">IFERROR(__xludf.DUMMYFUNCTION("""COMPUTED_VALUE"""),1123)</f>
        <v>1123</v>
      </c>
      <c r="AB153" s="3">
        <f ca="1">IFERROR(__xludf.DUMMYFUNCTION("""COMPUTED_VALUE"""),403)</f>
        <v>403</v>
      </c>
      <c r="AC153" s="3">
        <f ca="1">IFERROR(__xludf.DUMMYFUNCTION("""COMPUTED_VALUE"""),211)</f>
        <v>211</v>
      </c>
      <c r="AD153" s="3">
        <f ca="1">IFERROR(__xludf.DUMMYFUNCTION("""COMPUTED_VALUE"""),101)</f>
        <v>101</v>
      </c>
      <c r="AE153" s="3">
        <f ca="1">IFERROR(__xludf.DUMMYFUNCTION("""COMPUTED_VALUE"""),420)</f>
        <v>420</v>
      </c>
      <c r="AF153" s="3">
        <f ca="1">IFERROR(__xludf.DUMMYFUNCTION("""COMPUTED_VALUE"""),612)</f>
        <v>612</v>
      </c>
    </row>
    <row r="154" spans="1:32" x14ac:dyDescent="0.25">
      <c r="A154" s="3" t="str">
        <f ca="1">IFERROR(__xludf.DUMMYFUNCTION("""COMPUTED_VALUE"""),"Overall")</f>
        <v>Overall</v>
      </c>
      <c r="B154" s="3" t="str">
        <f ca="1">IFERROR(__xludf.DUMMYFUNCTION("""COMPUTED_VALUE"""),"Conf.")</f>
        <v>Conf.</v>
      </c>
      <c r="C154" s="3" t="str">
        <f ca="1">IFERROR(__xludf.DUMMYFUNCTION("""COMPUTED_VALUE"""),"Home")</f>
        <v>Home</v>
      </c>
      <c r="D154" s="3" t="str">
        <f ca="1">IFERROR(__xludf.DUMMYFUNCTION("""COMPUTED_VALUE"""),"Away")</f>
        <v>Away</v>
      </c>
      <c r="E154" s="3" t="str">
        <f ca="1">IFERROR(__xludf.DUMMYFUNCTION("""COMPUTED_VALUE"""),"Points")</f>
        <v>Points</v>
      </c>
      <c r="F154" s="3" t="str">
        <f ca="1">IFERROR(__xludf.DUMMYFUNCTION("""COMPUTED_VALUE"""),"")</f>
        <v/>
      </c>
      <c r="G154" s="3" t="str">
        <f ca="1">IFERROR(__xludf.DUMMYFUNCTION("""COMPUTED_VALUE"""),"School Totals")</f>
        <v>School Totals</v>
      </c>
      <c r="H154" s="3" t="str">
        <f ca="1">IFERROR(__xludf.DUMMYFUNCTION("""COMPUTED_VALUE"""),"")</f>
        <v/>
      </c>
      <c r="I154" s="3" t="str">
        <f ca="1">IFERROR(__xludf.DUMMYFUNCTION("""COMPUTED_VALUE"""),"")</f>
        <v/>
      </c>
      <c r="J154" s="3" t="str">
        <f ca="1">IFERROR(__xludf.DUMMYFUNCTION("""COMPUTED_VALUE"""),"")</f>
        <v/>
      </c>
      <c r="K154" s="3" t="str">
        <f ca="1">IFERROR(__xludf.DUMMYFUNCTION("""COMPUTED_VALUE"""),"")</f>
        <v/>
      </c>
      <c r="L154" s="3" t="str">
        <f ca="1">IFERROR(__xludf.DUMMYFUNCTION("""COMPUTED_VALUE"""),"")</f>
        <v/>
      </c>
      <c r="M154" s="3" t="str">
        <f ca="1">IFERROR(__xludf.DUMMYFUNCTION("""COMPUTED_VALUE"""),"")</f>
        <v/>
      </c>
      <c r="N154" s="3" t="str">
        <f ca="1">IFERROR(__xludf.DUMMYFUNCTION("""COMPUTED_VALUE"""),"")</f>
        <v/>
      </c>
      <c r="O154" s="3" t="str">
        <f ca="1">IFERROR(__xludf.DUMMYFUNCTION("""COMPUTED_VALUE"""),"")</f>
        <v/>
      </c>
      <c r="P154" s="3" t="str">
        <f ca="1">IFERROR(__xludf.DUMMYFUNCTION("""COMPUTED_VALUE"""),"")</f>
        <v/>
      </c>
      <c r="Q154" s="3" t="str">
        <f ca="1">IFERROR(__xludf.DUMMYFUNCTION("""COMPUTED_VALUE"""),"")</f>
        <v/>
      </c>
      <c r="R154" s="3" t="str">
        <f ca="1">IFERROR(__xludf.DUMMYFUNCTION("""COMPUTED_VALUE"""),"")</f>
        <v/>
      </c>
      <c r="S154" s="3" t="str">
        <f ca="1">IFERROR(__xludf.DUMMYFUNCTION("""COMPUTED_VALUE"""),"")</f>
        <v/>
      </c>
      <c r="T154" s="3" t="str">
        <f ca="1">IFERROR(__xludf.DUMMYFUNCTION("""COMPUTED_VALUE"""),"")</f>
        <v/>
      </c>
      <c r="U154" s="3" t="str">
        <f ca="1">IFERROR(__xludf.DUMMYFUNCTION("""COMPUTED_VALUE"""),"")</f>
        <v/>
      </c>
      <c r="V154" s="3" t="str">
        <f ca="1">IFERROR(__xludf.DUMMYFUNCTION("""COMPUTED_VALUE"""),"")</f>
        <v/>
      </c>
      <c r="W154" s="3" t="str">
        <f ca="1">IFERROR(__xludf.DUMMYFUNCTION("""COMPUTED_VALUE"""),"")</f>
        <v/>
      </c>
      <c r="X154" s="3" t="str">
        <f ca="1">IFERROR(__xludf.DUMMYFUNCTION("""COMPUTED_VALUE"""),"")</f>
        <v/>
      </c>
      <c r="Y154" s="3" t="str">
        <f ca="1">IFERROR(__xludf.DUMMYFUNCTION("""COMPUTED_VALUE"""),"")</f>
        <v/>
      </c>
      <c r="Z154" s="3" t="str">
        <f ca="1">IFERROR(__xludf.DUMMYFUNCTION("""COMPUTED_VALUE"""),"")</f>
        <v/>
      </c>
      <c r="AA154" s="3" t="str">
        <f ca="1">IFERROR(__xludf.DUMMYFUNCTION("""COMPUTED_VALUE"""),"")</f>
        <v/>
      </c>
      <c r="AB154" s="3" t="str">
        <f ca="1">IFERROR(__xludf.DUMMYFUNCTION("""COMPUTED_VALUE"""),"")</f>
        <v/>
      </c>
      <c r="AC154" s="3" t="str">
        <f ca="1">IFERROR(__xludf.DUMMYFUNCTION("""COMPUTED_VALUE"""),"")</f>
        <v/>
      </c>
      <c r="AD154" s="3" t="str">
        <f ca="1">IFERROR(__xludf.DUMMYFUNCTION("""COMPUTED_VALUE"""),"")</f>
        <v/>
      </c>
      <c r="AE154" s="3" t="str">
        <f ca="1">IFERROR(__xludf.DUMMYFUNCTION("""COMPUTED_VALUE"""),"")</f>
        <v/>
      </c>
      <c r="AF154" s="3" t="str">
        <f ca="1">IFERROR(__xludf.DUMMYFUNCTION("""COMPUTED_VALUE"""),"")</f>
        <v/>
      </c>
    </row>
    <row r="155" spans="1:32" x14ac:dyDescent="0.25">
      <c r="A155" s="3" t="str">
        <f ca="1">IFERROR(__xludf.DUMMYFUNCTION("""COMPUTED_VALUE"""),"School")</f>
        <v>School</v>
      </c>
      <c r="B155" s="3" t="str">
        <f ca="1">IFERROR(__xludf.DUMMYFUNCTION("""COMPUTED_VALUE"""),"G")</f>
        <v>G</v>
      </c>
      <c r="C155" s="3" t="str">
        <f ca="1">IFERROR(__xludf.DUMMYFUNCTION("""COMPUTED_VALUE"""),"W")</f>
        <v>W</v>
      </c>
      <c r="D155" s="3" t="str">
        <f ca="1">IFERROR(__xludf.DUMMYFUNCTION("""COMPUTED_VALUE"""),"L")</f>
        <v>L</v>
      </c>
      <c r="E155" s="3" t="str">
        <f ca="1">IFERROR(__xludf.DUMMYFUNCTION("""COMPUTED_VALUE"""),"W-L%")</f>
        <v>W-L%</v>
      </c>
      <c r="F155" s="3" t="str">
        <f ca="1">IFERROR(__xludf.DUMMYFUNCTION("""COMPUTED_VALUE"""),"SRS")</f>
        <v>SRS</v>
      </c>
      <c r="G155" s="3" t="str">
        <f ca="1">IFERROR(__xludf.DUMMYFUNCTION("""COMPUTED_VALUE"""),"SOS")</f>
        <v>SOS</v>
      </c>
      <c r="H155" s="3" t="str">
        <f ca="1">IFERROR(__xludf.DUMMYFUNCTION("""COMPUTED_VALUE"""),"W")</f>
        <v>W</v>
      </c>
      <c r="I155" s="3" t="str">
        <f ca="1">IFERROR(__xludf.DUMMYFUNCTION("""COMPUTED_VALUE"""),"L")</f>
        <v>L</v>
      </c>
      <c r="J155" s="3" t="str">
        <f ca="1">IFERROR(__xludf.DUMMYFUNCTION("""COMPUTED_VALUE"""),"W")</f>
        <v>W</v>
      </c>
      <c r="K155" s="3" t="str">
        <f ca="1">IFERROR(__xludf.DUMMYFUNCTION("""COMPUTED_VALUE"""),"L")</f>
        <v>L</v>
      </c>
      <c r="L155" s="3" t="str">
        <f ca="1">IFERROR(__xludf.DUMMYFUNCTION("""COMPUTED_VALUE"""),"W")</f>
        <v>W</v>
      </c>
      <c r="M155" s="3" t="str">
        <f ca="1">IFERROR(__xludf.DUMMYFUNCTION("""COMPUTED_VALUE"""),"L")</f>
        <v>L</v>
      </c>
      <c r="N155" s="3" t="str">
        <f ca="1">IFERROR(__xludf.DUMMYFUNCTION("""COMPUTED_VALUE"""),"Tm.")</f>
        <v>Tm.</v>
      </c>
      <c r="O155" s="3" t="str">
        <f ca="1">IFERROR(__xludf.DUMMYFUNCTION("""COMPUTED_VALUE"""),"Opp.")</f>
        <v>Opp.</v>
      </c>
      <c r="P155" s="3" t="str">
        <f ca="1">IFERROR(__xludf.DUMMYFUNCTION("""COMPUTED_VALUE"""),"MP")</f>
        <v>MP</v>
      </c>
      <c r="Q155" s="3" t="str">
        <f ca="1">IFERROR(__xludf.DUMMYFUNCTION("""COMPUTED_VALUE"""),"FG")</f>
        <v>FG</v>
      </c>
      <c r="R155" s="3" t="str">
        <f ca="1">IFERROR(__xludf.DUMMYFUNCTION("""COMPUTED_VALUE"""),"FGA")</f>
        <v>FGA</v>
      </c>
      <c r="S155" s="3" t="str">
        <f ca="1">IFERROR(__xludf.DUMMYFUNCTION("""COMPUTED_VALUE"""),"FG%")</f>
        <v>FG%</v>
      </c>
      <c r="T155" s="3" t="str">
        <f ca="1">IFERROR(__xludf.DUMMYFUNCTION("""COMPUTED_VALUE"""),"3P")</f>
        <v>3P</v>
      </c>
      <c r="U155" s="3" t="str">
        <f ca="1">IFERROR(__xludf.DUMMYFUNCTION("""COMPUTED_VALUE"""),"3PA")</f>
        <v>3PA</v>
      </c>
      <c r="V155" s="3" t="str">
        <f ca="1">IFERROR(__xludf.DUMMYFUNCTION("""COMPUTED_VALUE"""),"3P%")</f>
        <v>3P%</v>
      </c>
      <c r="W155" s="3" t="str">
        <f ca="1">IFERROR(__xludf.DUMMYFUNCTION("""COMPUTED_VALUE"""),"FT")</f>
        <v>FT</v>
      </c>
      <c r="X155" s="3" t="str">
        <f ca="1">IFERROR(__xludf.DUMMYFUNCTION("""COMPUTED_VALUE"""),"FTA")</f>
        <v>FTA</v>
      </c>
      <c r="Y155" s="3" t="str">
        <f ca="1">IFERROR(__xludf.DUMMYFUNCTION("""COMPUTED_VALUE"""),"FT%")</f>
        <v>FT%</v>
      </c>
      <c r="Z155" s="3" t="str">
        <f ca="1">IFERROR(__xludf.DUMMYFUNCTION("""COMPUTED_VALUE"""),"ORB")</f>
        <v>ORB</v>
      </c>
      <c r="AA155" s="3" t="str">
        <f ca="1">IFERROR(__xludf.DUMMYFUNCTION("""COMPUTED_VALUE"""),"TRB")</f>
        <v>TRB</v>
      </c>
      <c r="AB155" s="3" t="str">
        <f ca="1">IFERROR(__xludf.DUMMYFUNCTION("""COMPUTED_VALUE"""),"AST")</f>
        <v>AST</v>
      </c>
      <c r="AC155" s="3" t="str">
        <f ca="1">IFERROR(__xludf.DUMMYFUNCTION("""COMPUTED_VALUE"""),"STL")</f>
        <v>STL</v>
      </c>
      <c r="AD155" s="3" t="str">
        <f ca="1">IFERROR(__xludf.DUMMYFUNCTION("""COMPUTED_VALUE"""),"BLK")</f>
        <v>BLK</v>
      </c>
      <c r="AE155" s="3" t="str">
        <f ca="1">IFERROR(__xludf.DUMMYFUNCTION("""COMPUTED_VALUE"""),"TOV")</f>
        <v>TOV</v>
      </c>
      <c r="AF155" s="3" t="str">
        <f ca="1">IFERROR(__xludf.DUMMYFUNCTION("""COMPUTED_VALUE"""),"PF")</f>
        <v>PF</v>
      </c>
    </row>
    <row r="156" spans="1:32" x14ac:dyDescent="0.25">
      <c r="A156" s="3" t="str">
        <f ca="1">IFERROR(__xludf.DUMMYFUNCTION("""COMPUTED_VALUE"""),"Kansas StateNCAA")</f>
        <v>Kansas StateNCAA</v>
      </c>
      <c r="B156" s="3">
        <f ca="1">IFERROR(__xludf.DUMMYFUNCTION("""COMPUTED_VALUE"""),34)</f>
        <v>34</v>
      </c>
      <c r="C156" s="3">
        <f ca="1">IFERROR(__xludf.DUMMYFUNCTION("""COMPUTED_VALUE"""),25)</f>
        <v>25</v>
      </c>
      <c r="D156" s="3">
        <f ca="1">IFERROR(__xludf.DUMMYFUNCTION("""COMPUTED_VALUE"""),9)</f>
        <v>9</v>
      </c>
      <c r="E156" s="3">
        <f ca="1">IFERROR(__xludf.DUMMYFUNCTION("""COMPUTED_VALUE"""),0.735)</f>
        <v>0.73499999999999999</v>
      </c>
      <c r="F156" s="3">
        <f ca="1">IFERROR(__xludf.DUMMYFUNCTION("""COMPUTED_VALUE"""),15.39)</f>
        <v>15.39</v>
      </c>
      <c r="G156" s="3">
        <f ca="1">IFERROR(__xludf.DUMMYFUNCTION("""COMPUTED_VALUE"""),9.18)</f>
        <v>9.18</v>
      </c>
      <c r="H156" s="3">
        <f ca="1">IFERROR(__xludf.DUMMYFUNCTION("""COMPUTED_VALUE"""),14)</f>
        <v>14</v>
      </c>
      <c r="I156" s="3">
        <f ca="1">IFERROR(__xludf.DUMMYFUNCTION("""COMPUTED_VALUE"""),4)</f>
        <v>4</v>
      </c>
      <c r="J156" s="3">
        <f ca="1">IFERROR(__xludf.DUMMYFUNCTION("""COMPUTED_VALUE"""),13)</f>
        <v>13</v>
      </c>
      <c r="K156" s="3">
        <f ca="1">IFERROR(__xludf.DUMMYFUNCTION("""COMPUTED_VALUE"""),2)</f>
        <v>2</v>
      </c>
      <c r="L156" s="3">
        <f ca="1">IFERROR(__xludf.DUMMYFUNCTION("""COMPUTED_VALUE"""),7)</f>
        <v>7</v>
      </c>
      <c r="M156" s="3">
        <f ca="1">IFERROR(__xludf.DUMMYFUNCTION("""COMPUTED_VALUE"""),5)</f>
        <v>5</v>
      </c>
      <c r="N156" s="3">
        <f ca="1">IFERROR(__xludf.DUMMYFUNCTION("""COMPUTED_VALUE"""),2236)</f>
        <v>2236</v>
      </c>
      <c r="O156" s="3">
        <f ca="1">IFERROR(__xludf.DUMMYFUNCTION("""COMPUTED_VALUE"""),2025)</f>
        <v>2025</v>
      </c>
      <c r="P156" s="3">
        <f ca="1">IFERROR(__xludf.DUMMYFUNCTION("""COMPUTED_VALUE"""),1360)</f>
        <v>1360</v>
      </c>
      <c r="Q156" s="3">
        <f ca="1">IFERROR(__xludf.DUMMYFUNCTION("""COMPUTED_VALUE"""),806)</f>
        <v>806</v>
      </c>
      <c r="R156" s="3">
        <f ca="1">IFERROR(__xludf.DUMMYFUNCTION("""COMPUTED_VALUE"""),1878)</f>
        <v>1878</v>
      </c>
      <c r="S156" s="3">
        <f ca="1">IFERROR(__xludf.DUMMYFUNCTION("""COMPUTED_VALUE"""),0.429)</f>
        <v>0.42899999999999999</v>
      </c>
      <c r="T156" s="3">
        <f ca="1">IFERROR(__xludf.DUMMYFUNCTION("""COMPUTED_VALUE"""),241)</f>
        <v>241</v>
      </c>
      <c r="U156" s="3">
        <f ca="1">IFERROR(__xludf.DUMMYFUNCTION("""COMPUTED_VALUE"""),721)</f>
        <v>721</v>
      </c>
      <c r="V156" s="3">
        <f ca="1">IFERROR(__xludf.DUMMYFUNCTION("""COMPUTED_VALUE"""),0.334)</f>
        <v>0.33400000000000002</v>
      </c>
      <c r="W156" s="3">
        <f ca="1">IFERROR(__xludf.DUMMYFUNCTION("""COMPUTED_VALUE"""),383)</f>
        <v>383</v>
      </c>
      <c r="X156" s="3">
        <f ca="1">IFERROR(__xludf.DUMMYFUNCTION("""COMPUTED_VALUE"""),574)</f>
        <v>574</v>
      </c>
      <c r="Y156" s="3">
        <f ca="1">IFERROR(__xludf.DUMMYFUNCTION("""COMPUTED_VALUE"""),0.667)</f>
        <v>0.66700000000000004</v>
      </c>
      <c r="Z156" s="3">
        <f ca="1">IFERROR(__xludf.DUMMYFUNCTION("""COMPUTED_VALUE"""),325)</f>
        <v>325</v>
      </c>
      <c r="AA156" s="3">
        <f ca="1">IFERROR(__xludf.DUMMYFUNCTION("""COMPUTED_VALUE"""),1137)</f>
        <v>1137</v>
      </c>
      <c r="AB156" s="3">
        <f ca="1">IFERROR(__xludf.DUMMYFUNCTION("""COMPUTED_VALUE"""),464)</f>
        <v>464</v>
      </c>
      <c r="AC156" s="3">
        <f ca="1">IFERROR(__xludf.DUMMYFUNCTION("""COMPUTED_VALUE"""),256)</f>
        <v>256</v>
      </c>
      <c r="AD156" s="3">
        <f ca="1">IFERROR(__xludf.DUMMYFUNCTION("""COMPUTED_VALUE"""),76)</f>
        <v>76</v>
      </c>
      <c r="AE156" s="3">
        <f ca="1">IFERROR(__xludf.DUMMYFUNCTION("""COMPUTED_VALUE"""),385)</f>
        <v>385</v>
      </c>
      <c r="AF156" s="3">
        <f ca="1">IFERROR(__xludf.DUMMYFUNCTION("""COMPUTED_VALUE"""),550)</f>
        <v>550</v>
      </c>
    </row>
    <row r="157" spans="1:32" x14ac:dyDescent="0.25">
      <c r="A157" s="3" t="str">
        <f ca="1">IFERROR(__xludf.DUMMYFUNCTION("""COMPUTED_VALUE"""),"KansasNCAA")</f>
        <v>KansasNCAA</v>
      </c>
      <c r="B157" s="3">
        <f ca="1">IFERROR(__xludf.DUMMYFUNCTION("""COMPUTED_VALUE"""),36)</f>
        <v>36</v>
      </c>
      <c r="C157" s="3">
        <f ca="1">IFERROR(__xludf.DUMMYFUNCTION("""COMPUTED_VALUE"""),26)</f>
        <v>26</v>
      </c>
      <c r="D157" s="3">
        <f ca="1">IFERROR(__xludf.DUMMYFUNCTION("""COMPUTED_VALUE"""),10)</f>
        <v>10</v>
      </c>
      <c r="E157" s="3">
        <f ca="1">IFERROR(__xludf.DUMMYFUNCTION("""COMPUTED_VALUE"""),0.722)</f>
        <v>0.72199999999999998</v>
      </c>
      <c r="F157" s="3">
        <f ca="1">IFERROR(__xludf.DUMMYFUNCTION("""COMPUTED_VALUE"""),18.35)</f>
        <v>18.350000000000001</v>
      </c>
      <c r="G157" s="3">
        <f ca="1">IFERROR(__xludf.DUMMYFUNCTION("""COMPUTED_VALUE"""),12.79)</f>
        <v>12.79</v>
      </c>
      <c r="H157" s="3">
        <f ca="1">IFERROR(__xludf.DUMMYFUNCTION("""COMPUTED_VALUE"""),12)</f>
        <v>12</v>
      </c>
      <c r="I157" s="3">
        <f ca="1">IFERROR(__xludf.DUMMYFUNCTION("""COMPUTED_VALUE"""),6)</f>
        <v>6</v>
      </c>
      <c r="J157" s="3">
        <f ca="1">IFERROR(__xludf.DUMMYFUNCTION("""COMPUTED_VALUE"""),16)</f>
        <v>16</v>
      </c>
      <c r="K157" s="3">
        <f ca="1">IFERROR(__xludf.DUMMYFUNCTION("""COMPUTED_VALUE"""),0)</f>
        <v>0</v>
      </c>
      <c r="L157" s="3">
        <f ca="1">IFERROR(__xludf.DUMMYFUNCTION("""COMPUTED_VALUE"""),3)</f>
        <v>3</v>
      </c>
      <c r="M157" s="3">
        <f ca="1">IFERROR(__xludf.DUMMYFUNCTION("""COMPUTED_VALUE"""),8)</f>
        <v>8</v>
      </c>
      <c r="N157" s="3">
        <f ca="1">IFERROR(__xludf.DUMMYFUNCTION("""COMPUTED_VALUE"""),2725)</f>
        <v>2725</v>
      </c>
      <c r="O157" s="3">
        <f ca="1">IFERROR(__xludf.DUMMYFUNCTION("""COMPUTED_VALUE"""),2525)</f>
        <v>2525</v>
      </c>
      <c r="P157" s="3">
        <f ca="1">IFERROR(__xludf.DUMMYFUNCTION("""COMPUTED_VALUE"""),1455)</f>
        <v>1455</v>
      </c>
      <c r="Q157" s="3">
        <f ca="1">IFERROR(__xludf.DUMMYFUNCTION("""COMPUTED_VALUE"""),989)</f>
        <v>989</v>
      </c>
      <c r="R157" s="3">
        <f ca="1">IFERROR(__xludf.DUMMYFUNCTION("""COMPUTED_VALUE"""),2128)</f>
        <v>2128</v>
      </c>
      <c r="S157" s="3">
        <f ca="1">IFERROR(__xludf.DUMMYFUNCTION("""COMPUTED_VALUE"""),0.465)</f>
        <v>0.46500000000000002</v>
      </c>
      <c r="T157" s="3">
        <f ca="1">IFERROR(__xludf.DUMMYFUNCTION("""COMPUTED_VALUE"""),260)</f>
        <v>260</v>
      </c>
      <c r="U157" s="3">
        <f ca="1">IFERROR(__xludf.DUMMYFUNCTION("""COMPUTED_VALUE"""),743)</f>
        <v>743</v>
      </c>
      <c r="V157" s="3">
        <f ca="1">IFERROR(__xludf.DUMMYFUNCTION("""COMPUTED_VALUE"""),0.35)</f>
        <v>0.35</v>
      </c>
      <c r="W157" s="3">
        <f ca="1">IFERROR(__xludf.DUMMYFUNCTION("""COMPUTED_VALUE"""),487)</f>
        <v>487</v>
      </c>
      <c r="X157" s="3">
        <f ca="1">IFERROR(__xludf.DUMMYFUNCTION("""COMPUTED_VALUE"""),691)</f>
        <v>691</v>
      </c>
      <c r="Y157" s="3">
        <f ca="1">IFERROR(__xludf.DUMMYFUNCTION("""COMPUTED_VALUE"""),0.705)</f>
        <v>0.70499999999999996</v>
      </c>
      <c r="Z157" s="3">
        <f ca="1">IFERROR(__xludf.DUMMYFUNCTION("""COMPUTED_VALUE"""),374)</f>
        <v>374</v>
      </c>
      <c r="AA157" s="3">
        <f ca="1">IFERROR(__xludf.DUMMYFUNCTION("""COMPUTED_VALUE"""),1376)</f>
        <v>1376</v>
      </c>
      <c r="AB157" s="3">
        <f ca="1">IFERROR(__xludf.DUMMYFUNCTION("""COMPUTED_VALUE"""),478)</f>
        <v>478</v>
      </c>
      <c r="AC157" s="3">
        <f ca="1">IFERROR(__xludf.DUMMYFUNCTION("""COMPUTED_VALUE"""),243)</f>
        <v>243</v>
      </c>
      <c r="AD157" s="3">
        <f ca="1">IFERROR(__xludf.DUMMYFUNCTION("""COMPUTED_VALUE"""),139)</f>
        <v>139</v>
      </c>
      <c r="AE157" s="3">
        <f ca="1">IFERROR(__xludf.DUMMYFUNCTION("""COMPUTED_VALUE"""),472)</f>
        <v>472</v>
      </c>
      <c r="AF157" s="3">
        <f ca="1">IFERROR(__xludf.DUMMYFUNCTION("""COMPUTED_VALUE"""),610)</f>
        <v>610</v>
      </c>
    </row>
    <row r="158" spans="1:32" x14ac:dyDescent="0.25">
      <c r="A158" s="3" t="str">
        <f ca="1">IFERROR(__xludf.DUMMYFUNCTION("""COMPUTED_VALUE"""),"Kennesaw State")</f>
        <v>Kennesaw State</v>
      </c>
      <c r="B158" s="3">
        <f ca="1">IFERROR(__xludf.DUMMYFUNCTION("""COMPUTED_VALUE"""),32)</f>
        <v>32</v>
      </c>
      <c r="C158" s="3">
        <f ca="1">IFERROR(__xludf.DUMMYFUNCTION("""COMPUTED_VALUE"""),6)</f>
        <v>6</v>
      </c>
      <c r="D158" s="3">
        <f ca="1">IFERROR(__xludf.DUMMYFUNCTION("""COMPUTED_VALUE"""),26)</f>
        <v>26</v>
      </c>
      <c r="E158" s="3">
        <f ca="1">IFERROR(__xludf.DUMMYFUNCTION("""COMPUTED_VALUE"""),0.188)</f>
        <v>0.188</v>
      </c>
      <c r="F158" s="3">
        <f ca="1">IFERROR(__xludf.DUMMYFUNCTION("""COMPUTED_VALUE"""),-16.17)</f>
        <v>-16.170000000000002</v>
      </c>
      <c r="G158" s="3">
        <f ca="1">IFERROR(__xludf.DUMMYFUNCTION("""COMPUTED_VALUE"""),-1.04)</f>
        <v>-1.04</v>
      </c>
      <c r="H158" s="3">
        <f ca="1">IFERROR(__xludf.DUMMYFUNCTION("""COMPUTED_VALUE"""),3)</f>
        <v>3</v>
      </c>
      <c r="I158" s="3">
        <f ca="1">IFERROR(__xludf.DUMMYFUNCTION("""COMPUTED_VALUE"""),13)</f>
        <v>13</v>
      </c>
      <c r="J158" s="3">
        <f ca="1">IFERROR(__xludf.DUMMYFUNCTION("""COMPUTED_VALUE"""),6)</f>
        <v>6</v>
      </c>
      <c r="K158" s="3">
        <f ca="1">IFERROR(__xludf.DUMMYFUNCTION("""COMPUTED_VALUE"""),8)</f>
        <v>8</v>
      </c>
      <c r="L158" s="3">
        <f ca="1">IFERROR(__xludf.DUMMYFUNCTION("""COMPUTED_VALUE"""),0)</f>
        <v>0</v>
      </c>
      <c r="M158" s="3">
        <f ca="1">IFERROR(__xludf.DUMMYFUNCTION("""COMPUTED_VALUE"""),15)</f>
        <v>15</v>
      </c>
      <c r="N158" s="3">
        <f ca="1">IFERROR(__xludf.DUMMYFUNCTION("""COMPUTED_VALUE"""),2030)</f>
        <v>2030</v>
      </c>
      <c r="O158" s="3">
        <f ca="1">IFERROR(__xludf.DUMMYFUNCTION("""COMPUTED_VALUE"""),2455)</f>
        <v>2455</v>
      </c>
      <c r="P158" s="3">
        <f ca="1">IFERROR(__xludf.DUMMYFUNCTION("""COMPUTED_VALUE"""),1285)</f>
        <v>1285</v>
      </c>
      <c r="Q158" s="3">
        <f ca="1">IFERROR(__xludf.DUMMYFUNCTION("""COMPUTED_VALUE"""),742)</f>
        <v>742</v>
      </c>
      <c r="R158" s="3">
        <f ca="1">IFERROR(__xludf.DUMMYFUNCTION("""COMPUTED_VALUE"""),1945)</f>
        <v>1945</v>
      </c>
      <c r="S158" s="3">
        <f ca="1">IFERROR(__xludf.DUMMYFUNCTION("""COMPUTED_VALUE"""),0.381)</f>
        <v>0.38100000000000001</v>
      </c>
      <c r="T158" s="3">
        <f ca="1">IFERROR(__xludf.DUMMYFUNCTION("""COMPUTED_VALUE"""),136)</f>
        <v>136</v>
      </c>
      <c r="U158" s="3">
        <f ca="1">IFERROR(__xludf.DUMMYFUNCTION("""COMPUTED_VALUE"""),438)</f>
        <v>438</v>
      </c>
      <c r="V158" s="3">
        <f ca="1">IFERROR(__xludf.DUMMYFUNCTION("""COMPUTED_VALUE"""),0.311)</f>
        <v>0.311</v>
      </c>
      <c r="W158" s="3">
        <f ca="1">IFERROR(__xludf.DUMMYFUNCTION("""COMPUTED_VALUE"""),410)</f>
        <v>410</v>
      </c>
      <c r="X158" s="3">
        <f ca="1">IFERROR(__xludf.DUMMYFUNCTION("""COMPUTED_VALUE"""),590)</f>
        <v>590</v>
      </c>
      <c r="Y158" s="3">
        <f ca="1">IFERROR(__xludf.DUMMYFUNCTION("""COMPUTED_VALUE"""),0.695)</f>
        <v>0.69499999999999995</v>
      </c>
      <c r="Z158" s="3">
        <f ca="1">IFERROR(__xludf.DUMMYFUNCTION("""COMPUTED_VALUE"""),372)</f>
        <v>372</v>
      </c>
      <c r="AA158" s="3">
        <f ca="1">IFERROR(__xludf.DUMMYFUNCTION("""COMPUTED_VALUE"""),1163)</f>
        <v>1163</v>
      </c>
      <c r="AB158" s="3">
        <f ca="1">IFERROR(__xludf.DUMMYFUNCTION("""COMPUTED_VALUE"""),362)</f>
        <v>362</v>
      </c>
      <c r="AC158" s="3">
        <f ca="1">IFERROR(__xludf.DUMMYFUNCTION("""COMPUTED_VALUE"""),185)</f>
        <v>185</v>
      </c>
      <c r="AD158" s="3">
        <f ca="1">IFERROR(__xludf.DUMMYFUNCTION("""COMPUTED_VALUE"""),106)</f>
        <v>106</v>
      </c>
      <c r="AE158" s="3">
        <f ca="1">IFERROR(__xludf.DUMMYFUNCTION("""COMPUTED_VALUE"""),437)</f>
        <v>437</v>
      </c>
      <c r="AF158" s="3">
        <f ca="1">IFERROR(__xludf.DUMMYFUNCTION("""COMPUTED_VALUE"""),525)</f>
        <v>525</v>
      </c>
    </row>
    <row r="159" spans="1:32" x14ac:dyDescent="0.25">
      <c r="A159" s="3" t="str">
        <f ca="1">IFERROR(__xludf.DUMMYFUNCTION("""COMPUTED_VALUE"""),"Kent State")</f>
        <v>Kent State</v>
      </c>
      <c r="B159" s="3">
        <f ca="1">IFERROR(__xludf.DUMMYFUNCTION("""COMPUTED_VALUE"""),33)</f>
        <v>33</v>
      </c>
      <c r="C159" s="3">
        <f ca="1">IFERROR(__xludf.DUMMYFUNCTION("""COMPUTED_VALUE"""),22)</f>
        <v>22</v>
      </c>
      <c r="D159" s="3">
        <f ca="1">IFERROR(__xludf.DUMMYFUNCTION("""COMPUTED_VALUE"""),11)</f>
        <v>11</v>
      </c>
      <c r="E159" s="3">
        <f ca="1">IFERROR(__xludf.DUMMYFUNCTION("""COMPUTED_VALUE"""),0.667)</f>
        <v>0.66700000000000004</v>
      </c>
      <c r="F159" s="3">
        <f ca="1">IFERROR(__xludf.DUMMYFUNCTION("""COMPUTED_VALUE"""),1.26)</f>
        <v>1.26</v>
      </c>
      <c r="G159" s="3">
        <f ca="1">IFERROR(__xludf.DUMMYFUNCTION("""COMPUTED_VALUE"""),0.61)</f>
        <v>0.61</v>
      </c>
      <c r="H159" s="3">
        <f ca="1">IFERROR(__xludf.DUMMYFUNCTION("""COMPUTED_VALUE"""),11)</f>
        <v>11</v>
      </c>
      <c r="I159" s="3">
        <f ca="1">IFERROR(__xludf.DUMMYFUNCTION("""COMPUTED_VALUE"""),7)</f>
        <v>7</v>
      </c>
      <c r="J159" s="3">
        <f ca="1">IFERROR(__xludf.DUMMYFUNCTION("""COMPUTED_VALUE"""),14)</f>
        <v>14</v>
      </c>
      <c r="K159" s="3">
        <f ca="1">IFERROR(__xludf.DUMMYFUNCTION("""COMPUTED_VALUE"""),3)</f>
        <v>3</v>
      </c>
      <c r="L159" s="3">
        <f ca="1">IFERROR(__xludf.DUMMYFUNCTION("""COMPUTED_VALUE"""),8)</f>
        <v>8</v>
      </c>
      <c r="M159" s="3">
        <f ca="1">IFERROR(__xludf.DUMMYFUNCTION("""COMPUTED_VALUE"""),7)</f>
        <v>7</v>
      </c>
      <c r="N159" s="3">
        <f ca="1">IFERROR(__xludf.DUMMYFUNCTION("""COMPUTED_VALUE"""),2481)</f>
        <v>2481</v>
      </c>
      <c r="O159" s="3">
        <f ca="1">IFERROR(__xludf.DUMMYFUNCTION("""COMPUTED_VALUE"""),2417)</f>
        <v>2417</v>
      </c>
      <c r="P159" s="3">
        <f ca="1">IFERROR(__xludf.DUMMYFUNCTION("""COMPUTED_VALUE"""),1330)</f>
        <v>1330</v>
      </c>
      <c r="Q159" s="3">
        <f ca="1">IFERROR(__xludf.DUMMYFUNCTION("""COMPUTED_VALUE"""),878)</f>
        <v>878</v>
      </c>
      <c r="R159" s="3">
        <f ca="1">IFERROR(__xludf.DUMMYFUNCTION("""COMPUTED_VALUE"""),2032)</f>
        <v>2032</v>
      </c>
      <c r="S159" s="3">
        <f ca="1">IFERROR(__xludf.DUMMYFUNCTION("""COMPUTED_VALUE"""),0.432)</f>
        <v>0.432</v>
      </c>
      <c r="T159" s="3">
        <f ca="1">IFERROR(__xludf.DUMMYFUNCTION("""COMPUTED_VALUE"""),261)</f>
        <v>261</v>
      </c>
      <c r="U159" s="3">
        <f ca="1">IFERROR(__xludf.DUMMYFUNCTION("""COMPUTED_VALUE"""),775)</f>
        <v>775</v>
      </c>
      <c r="V159" s="3">
        <f ca="1">IFERROR(__xludf.DUMMYFUNCTION("""COMPUTED_VALUE"""),0.337)</f>
        <v>0.33700000000000002</v>
      </c>
      <c r="W159" s="3">
        <f ca="1">IFERROR(__xludf.DUMMYFUNCTION("""COMPUTED_VALUE"""),464)</f>
        <v>464</v>
      </c>
      <c r="X159" s="3">
        <f ca="1">IFERROR(__xludf.DUMMYFUNCTION("""COMPUTED_VALUE"""),641)</f>
        <v>641</v>
      </c>
      <c r="Y159" s="3">
        <f ca="1">IFERROR(__xludf.DUMMYFUNCTION("""COMPUTED_VALUE"""),0.724)</f>
        <v>0.72399999999999998</v>
      </c>
      <c r="Z159" s="3">
        <f ca="1">IFERROR(__xludf.DUMMYFUNCTION("""COMPUTED_VALUE"""),412)</f>
        <v>412</v>
      </c>
      <c r="AA159" s="3">
        <f ca="1">IFERROR(__xludf.DUMMYFUNCTION("""COMPUTED_VALUE"""),1185)</f>
        <v>1185</v>
      </c>
      <c r="AB159" s="3">
        <f ca="1">IFERROR(__xludf.DUMMYFUNCTION("""COMPUTED_VALUE"""),430)</f>
        <v>430</v>
      </c>
      <c r="AC159" s="3">
        <f ca="1">IFERROR(__xludf.DUMMYFUNCTION("""COMPUTED_VALUE"""),226)</f>
        <v>226</v>
      </c>
      <c r="AD159" s="3">
        <f ca="1">IFERROR(__xludf.DUMMYFUNCTION("""COMPUTED_VALUE"""),119)</f>
        <v>119</v>
      </c>
      <c r="AE159" s="3">
        <f ca="1">IFERROR(__xludf.DUMMYFUNCTION("""COMPUTED_VALUE"""),378)</f>
        <v>378</v>
      </c>
      <c r="AF159" s="3">
        <f ca="1">IFERROR(__xludf.DUMMYFUNCTION("""COMPUTED_VALUE"""),601)</f>
        <v>601</v>
      </c>
    </row>
    <row r="160" spans="1:32" x14ac:dyDescent="0.25">
      <c r="A160" s="3" t="str">
        <f ca="1">IFERROR(__xludf.DUMMYFUNCTION("""COMPUTED_VALUE"""),"KentuckyNCAA")</f>
        <v>KentuckyNCAA</v>
      </c>
      <c r="B160" s="3">
        <f ca="1">IFERROR(__xludf.DUMMYFUNCTION("""COMPUTED_VALUE"""),37)</f>
        <v>37</v>
      </c>
      <c r="C160" s="3">
        <f ca="1">IFERROR(__xludf.DUMMYFUNCTION("""COMPUTED_VALUE"""),30)</f>
        <v>30</v>
      </c>
      <c r="D160" s="3">
        <f ca="1">IFERROR(__xludf.DUMMYFUNCTION("""COMPUTED_VALUE"""),7)</f>
        <v>7</v>
      </c>
      <c r="E160" s="3">
        <f ca="1">IFERROR(__xludf.DUMMYFUNCTION("""COMPUTED_VALUE"""),0.811)</f>
        <v>0.81100000000000005</v>
      </c>
      <c r="F160" s="3">
        <f ca="1">IFERROR(__xludf.DUMMYFUNCTION("""COMPUTED_VALUE"""),21.43)</f>
        <v>21.43</v>
      </c>
      <c r="G160" s="3">
        <f ca="1">IFERROR(__xludf.DUMMYFUNCTION("""COMPUTED_VALUE"""),10.29)</f>
        <v>10.29</v>
      </c>
      <c r="H160" s="3">
        <f ca="1">IFERROR(__xludf.DUMMYFUNCTION("""COMPUTED_VALUE"""),15)</f>
        <v>15</v>
      </c>
      <c r="I160" s="3">
        <f ca="1">IFERROR(__xludf.DUMMYFUNCTION("""COMPUTED_VALUE"""),3)</f>
        <v>3</v>
      </c>
      <c r="J160" s="3">
        <f ca="1">IFERROR(__xludf.DUMMYFUNCTION("""COMPUTED_VALUE"""),17)</f>
        <v>17</v>
      </c>
      <c r="K160" s="3">
        <f ca="1">IFERROR(__xludf.DUMMYFUNCTION("""COMPUTED_VALUE"""),1)</f>
        <v>1</v>
      </c>
      <c r="L160" s="3">
        <f ca="1">IFERROR(__xludf.DUMMYFUNCTION("""COMPUTED_VALUE"""),8)</f>
        <v>8</v>
      </c>
      <c r="M160" s="3">
        <f ca="1">IFERROR(__xludf.DUMMYFUNCTION("""COMPUTED_VALUE"""),2)</f>
        <v>2</v>
      </c>
      <c r="N160" s="3">
        <f ca="1">IFERROR(__xludf.DUMMYFUNCTION("""COMPUTED_VALUE"""),2806)</f>
        <v>2806</v>
      </c>
      <c r="O160" s="3">
        <f ca="1">IFERROR(__xludf.DUMMYFUNCTION("""COMPUTED_VALUE"""),2394)</f>
        <v>2394</v>
      </c>
      <c r="P160" s="3">
        <f ca="1">IFERROR(__xludf.DUMMYFUNCTION("""COMPUTED_VALUE"""),1490)</f>
        <v>1490</v>
      </c>
      <c r="Q160" s="3">
        <f ca="1">IFERROR(__xludf.DUMMYFUNCTION("""COMPUTED_VALUE"""),978)</f>
        <v>978</v>
      </c>
      <c r="R160" s="3">
        <f ca="1">IFERROR(__xludf.DUMMYFUNCTION("""COMPUTED_VALUE"""),2050)</f>
        <v>2050</v>
      </c>
      <c r="S160" s="3">
        <f ca="1">IFERROR(__xludf.DUMMYFUNCTION("""COMPUTED_VALUE"""),0.477)</f>
        <v>0.47699999999999998</v>
      </c>
      <c r="T160" s="3">
        <f ca="1">IFERROR(__xludf.DUMMYFUNCTION("""COMPUTED_VALUE"""),215)</f>
        <v>215</v>
      </c>
      <c r="U160" s="3">
        <f ca="1">IFERROR(__xludf.DUMMYFUNCTION("""COMPUTED_VALUE"""),607)</f>
        <v>607</v>
      </c>
      <c r="V160" s="3">
        <f ca="1">IFERROR(__xludf.DUMMYFUNCTION("""COMPUTED_VALUE"""),0.354)</f>
        <v>0.35399999999999998</v>
      </c>
      <c r="W160" s="3">
        <f ca="1">IFERROR(__xludf.DUMMYFUNCTION("""COMPUTED_VALUE"""),635)</f>
        <v>635</v>
      </c>
      <c r="X160" s="3">
        <f ca="1">IFERROR(__xludf.DUMMYFUNCTION("""COMPUTED_VALUE"""),859)</f>
        <v>859</v>
      </c>
      <c r="Y160" s="3">
        <f ca="1">IFERROR(__xludf.DUMMYFUNCTION("""COMPUTED_VALUE"""),0.739)</f>
        <v>0.73899999999999999</v>
      </c>
      <c r="Z160" s="3">
        <f ca="1">IFERROR(__xludf.DUMMYFUNCTION("""COMPUTED_VALUE"""),427)</f>
        <v>427</v>
      </c>
      <c r="AA160" s="3">
        <f ca="1">IFERROR(__xludf.DUMMYFUNCTION("""COMPUTED_VALUE"""),1428)</f>
        <v>1428</v>
      </c>
      <c r="AB160" s="3">
        <f ca="1">IFERROR(__xludf.DUMMYFUNCTION("""COMPUTED_VALUE"""),501)</f>
        <v>501</v>
      </c>
      <c r="AC160" s="3">
        <f ca="1">IFERROR(__xludf.DUMMYFUNCTION("""COMPUTED_VALUE"""),220)</f>
        <v>220</v>
      </c>
      <c r="AD160" s="3">
        <f ca="1">IFERROR(__xludf.DUMMYFUNCTION("""COMPUTED_VALUE"""),176)</f>
        <v>176</v>
      </c>
      <c r="AE160" s="3">
        <f ca="1">IFERROR(__xludf.DUMMYFUNCTION("""COMPUTED_VALUE"""),466)</f>
        <v>466</v>
      </c>
      <c r="AF160" s="3">
        <f ca="1">IFERROR(__xludf.DUMMYFUNCTION("""COMPUTED_VALUE"""),600)</f>
        <v>600</v>
      </c>
    </row>
    <row r="161" spans="1:32" x14ac:dyDescent="0.25">
      <c r="A161" s="3" t="str">
        <f ca="1">IFERROR(__xludf.DUMMYFUNCTION("""COMPUTED_VALUE"""),"La Salle")</f>
        <v>La Salle</v>
      </c>
      <c r="B161" s="3">
        <f ca="1">IFERROR(__xludf.DUMMYFUNCTION("""COMPUTED_VALUE"""),31)</f>
        <v>31</v>
      </c>
      <c r="C161" s="3">
        <f ca="1">IFERROR(__xludf.DUMMYFUNCTION("""COMPUTED_VALUE"""),10)</f>
        <v>10</v>
      </c>
      <c r="D161" s="3">
        <f ca="1">IFERROR(__xludf.DUMMYFUNCTION("""COMPUTED_VALUE"""),21)</f>
        <v>21</v>
      </c>
      <c r="E161" s="3">
        <f ca="1">IFERROR(__xludf.DUMMYFUNCTION("""COMPUTED_VALUE"""),0.323)</f>
        <v>0.32300000000000001</v>
      </c>
      <c r="F161" s="3">
        <f ca="1">IFERROR(__xludf.DUMMYFUNCTION("""COMPUTED_VALUE"""),-3.61)</f>
        <v>-3.61</v>
      </c>
      <c r="G161" s="3">
        <f ca="1">IFERROR(__xludf.DUMMYFUNCTION("""COMPUTED_VALUE"""),1.29)</f>
        <v>1.29</v>
      </c>
      <c r="H161" s="3">
        <f ca="1">IFERROR(__xludf.DUMMYFUNCTION("""COMPUTED_VALUE"""),8)</f>
        <v>8</v>
      </c>
      <c r="I161" s="3">
        <f ca="1">IFERROR(__xludf.DUMMYFUNCTION("""COMPUTED_VALUE"""),10)</f>
        <v>10</v>
      </c>
      <c r="J161" s="3">
        <f ca="1">IFERROR(__xludf.DUMMYFUNCTION("""COMPUTED_VALUE"""),5)</f>
        <v>5</v>
      </c>
      <c r="K161" s="3">
        <f ca="1">IFERROR(__xludf.DUMMYFUNCTION("""COMPUTED_VALUE"""),9)</f>
        <v>9</v>
      </c>
      <c r="L161" s="3">
        <f ca="1">IFERROR(__xludf.DUMMYFUNCTION("""COMPUTED_VALUE"""),3)</f>
        <v>3</v>
      </c>
      <c r="M161" s="3">
        <f ca="1">IFERROR(__xludf.DUMMYFUNCTION("""COMPUTED_VALUE"""),8)</f>
        <v>8</v>
      </c>
      <c r="N161" s="3">
        <f ca="1">IFERROR(__xludf.DUMMYFUNCTION("""COMPUTED_VALUE"""),2091)</f>
        <v>2091</v>
      </c>
      <c r="O161" s="3">
        <f ca="1">IFERROR(__xludf.DUMMYFUNCTION("""COMPUTED_VALUE"""),2243)</f>
        <v>2243</v>
      </c>
      <c r="P161" s="3">
        <f ca="1">IFERROR(__xludf.DUMMYFUNCTION("""COMPUTED_VALUE"""),1240)</f>
        <v>1240</v>
      </c>
      <c r="Q161" s="3">
        <f ca="1">IFERROR(__xludf.DUMMYFUNCTION("""COMPUTED_VALUE"""),719)</f>
        <v>719</v>
      </c>
      <c r="R161" s="3">
        <f ca="1">IFERROR(__xludf.DUMMYFUNCTION("""COMPUTED_VALUE"""),1798)</f>
        <v>1798</v>
      </c>
      <c r="S161" s="3">
        <f ca="1">IFERROR(__xludf.DUMMYFUNCTION("""COMPUTED_VALUE"""),0.4)</f>
        <v>0.4</v>
      </c>
      <c r="T161" s="3">
        <f ca="1">IFERROR(__xludf.DUMMYFUNCTION("""COMPUTED_VALUE"""),259)</f>
        <v>259</v>
      </c>
      <c r="U161" s="3">
        <f ca="1">IFERROR(__xludf.DUMMYFUNCTION("""COMPUTED_VALUE"""),783)</f>
        <v>783</v>
      </c>
      <c r="V161" s="3">
        <f ca="1">IFERROR(__xludf.DUMMYFUNCTION("""COMPUTED_VALUE"""),0.331)</f>
        <v>0.33100000000000002</v>
      </c>
      <c r="W161" s="3">
        <f ca="1">IFERROR(__xludf.DUMMYFUNCTION("""COMPUTED_VALUE"""),394)</f>
        <v>394</v>
      </c>
      <c r="X161" s="3">
        <f ca="1">IFERROR(__xludf.DUMMYFUNCTION("""COMPUTED_VALUE"""),512)</f>
        <v>512</v>
      </c>
      <c r="Y161" s="3">
        <f ca="1">IFERROR(__xludf.DUMMYFUNCTION("""COMPUTED_VALUE"""),0.77)</f>
        <v>0.77</v>
      </c>
      <c r="Z161" s="3">
        <f ca="1">IFERROR(__xludf.DUMMYFUNCTION("""COMPUTED_VALUE"""),328)</f>
        <v>328</v>
      </c>
      <c r="AA161" s="3">
        <f ca="1">IFERROR(__xludf.DUMMYFUNCTION("""COMPUTED_VALUE"""),1060)</f>
        <v>1060</v>
      </c>
      <c r="AB161" s="3">
        <f ca="1">IFERROR(__xludf.DUMMYFUNCTION("""COMPUTED_VALUE"""),391)</f>
        <v>391</v>
      </c>
      <c r="AC161" s="3">
        <f ca="1">IFERROR(__xludf.DUMMYFUNCTION("""COMPUTED_VALUE"""),230)</f>
        <v>230</v>
      </c>
      <c r="AD161" s="3">
        <f ca="1">IFERROR(__xludf.DUMMYFUNCTION("""COMPUTED_VALUE"""),98)</f>
        <v>98</v>
      </c>
      <c r="AE161" s="3">
        <f ca="1">IFERROR(__xludf.DUMMYFUNCTION("""COMPUTED_VALUE"""),435)</f>
        <v>435</v>
      </c>
      <c r="AF161" s="3">
        <f ca="1">IFERROR(__xludf.DUMMYFUNCTION("""COMPUTED_VALUE"""),630)</f>
        <v>630</v>
      </c>
    </row>
    <row r="162" spans="1:32" x14ac:dyDescent="0.25">
      <c r="A162" s="3" t="str">
        <f ca="1">IFERROR(__xludf.DUMMYFUNCTION("""COMPUTED_VALUE"""),"Lafayette")</f>
        <v>Lafayette</v>
      </c>
      <c r="B162" s="3">
        <f ca="1">IFERROR(__xludf.DUMMYFUNCTION("""COMPUTED_VALUE"""),30)</f>
        <v>30</v>
      </c>
      <c r="C162" s="3">
        <f ca="1">IFERROR(__xludf.DUMMYFUNCTION("""COMPUTED_VALUE"""),10)</f>
        <v>10</v>
      </c>
      <c r="D162" s="3">
        <f ca="1">IFERROR(__xludf.DUMMYFUNCTION("""COMPUTED_VALUE"""),20)</f>
        <v>20</v>
      </c>
      <c r="E162" s="3">
        <f ca="1">IFERROR(__xludf.DUMMYFUNCTION("""COMPUTED_VALUE"""),0.333)</f>
        <v>0.33300000000000002</v>
      </c>
      <c r="F162" s="3">
        <f ca="1">IFERROR(__xludf.DUMMYFUNCTION("""COMPUTED_VALUE"""),-11.17)</f>
        <v>-11.17</v>
      </c>
      <c r="G162" s="3">
        <f ca="1">IFERROR(__xludf.DUMMYFUNCTION("""COMPUTED_VALUE"""),-4.93)</f>
        <v>-4.93</v>
      </c>
      <c r="H162" s="3">
        <f ca="1">IFERROR(__xludf.DUMMYFUNCTION("""COMPUTED_VALUE"""),7)</f>
        <v>7</v>
      </c>
      <c r="I162" s="3">
        <f ca="1">IFERROR(__xludf.DUMMYFUNCTION("""COMPUTED_VALUE"""),11)</f>
        <v>11</v>
      </c>
      <c r="J162" s="3">
        <f ca="1">IFERROR(__xludf.DUMMYFUNCTION("""COMPUTED_VALUE"""),4)</f>
        <v>4</v>
      </c>
      <c r="K162" s="3">
        <f ca="1">IFERROR(__xludf.DUMMYFUNCTION("""COMPUTED_VALUE"""),11)</f>
        <v>11</v>
      </c>
      <c r="L162" s="3">
        <f ca="1">IFERROR(__xludf.DUMMYFUNCTION("""COMPUTED_VALUE"""),6)</f>
        <v>6</v>
      </c>
      <c r="M162" s="3">
        <f ca="1">IFERROR(__xludf.DUMMYFUNCTION("""COMPUTED_VALUE"""),9)</f>
        <v>9</v>
      </c>
      <c r="N162" s="3">
        <f ca="1">IFERROR(__xludf.DUMMYFUNCTION("""COMPUTED_VALUE"""),2209)</f>
        <v>2209</v>
      </c>
      <c r="O162" s="3">
        <f ca="1">IFERROR(__xludf.DUMMYFUNCTION("""COMPUTED_VALUE"""),2349)</f>
        <v>2349</v>
      </c>
      <c r="P162" s="3">
        <f ca="1">IFERROR(__xludf.DUMMYFUNCTION("""COMPUTED_VALUE"""),1220)</f>
        <v>1220</v>
      </c>
      <c r="Q162" s="3">
        <f ca="1">IFERROR(__xludf.DUMMYFUNCTION("""COMPUTED_VALUE"""),802)</f>
        <v>802</v>
      </c>
      <c r="R162" s="3">
        <f ca="1">IFERROR(__xludf.DUMMYFUNCTION("""COMPUTED_VALUE"""),1786)</f>
        <v>1786</v>
      </c>
      <c r="S162" s="3">
        <f ca="1">IFERROR(__xludf.DUMMYFUNCTION("""COMPUTED_VALUE"""),0.449)</f>
        <v>0.44900000000000001</v>
      </c>
      <c r="T162" s="3">
        <f ca="1">IFERROR(__xludf.DUMMYFUNCTION("""COMPUTED_VALUE"""),280)</f>
        <v>280</v>
      </c>
      <c r="U162" s="3">
        <f ca="1">IFERROR(__xludf.DUMMYFUNCTION("""COMPUTED_VALUE"""),736)</f>
        <v>736</v>
      </c>
      <c r="V162" s="3">
        <f ca="1">IFERROR(__xludf.DUMMYFUNCTION("""COMPUTED_VALUE"""),0.38)</f>
        <v>0.38</v>
      </c>
      <c r="W162" s="3">
        <f ca="1">IFERROR(__xludf.DUMMYFUNCTION("""COMPUTED_VALUE"""),325)</f>
        <v>325</v>
      </c>
      <c r="X162" s="3">
        <f ca="1">IFERROR(__xludf.DUMMYFUNCTION("""COMPUTED_VALUE"""),437)</f>
        <v>437</v>
      </c>
      <c r="Y162" s="3">
        <f ca="1">IFERROR(__xludf.DUMMYFUNCTION("""COMPUTED_VALUE"""),0.744)</f>
        <v>0.74399999999999999</v>
      </c>
      <c r="Z162" s="3">
        <f ca="1">IFERROR(__xludf.DUMMYFUNCTION("""COMPUTED_VALUE"""),233)</f>
        <v>233</v>
      </c>
      <c r="AA162" s="3">
        <f ca="1">IFERROR(__xludf.DUMMYFUNCTION("""COMPUTED_VALUE"""),1004)</f>
        <v>1004</v>
      </c>
      <c r="AB162" s="3">
        <f ca="1">IFERROR(__xludf.DUMMYFUNCTION("""COMPUTED_VALUE"""),419)</f>
        <v>419</v>
      </c>
      <c r="AC162" s="3">
        <f ca="1">IFERROR(__xludf.DUMMYFUNCTION("""COMPUTED_VALUE"""),158)</f>
        <v>158</v>
      </c>
      <c r="AD162" s="3">
        <f ca="1">IFERROR(__xludf.DUMMYFUNCTION("""COMPUTED_VALUE"""),126)</f>
        <v>126</v>
      </c>
      <c r="AE162" s="3">
        <f ca="1">IFERROR(__xludf.DUMMYFUNCTION("""COMPUTED_VALUE"""),402)</f>
        <v>402</v>
      </c>
      <c r="AF162" s="3">
        <f ca="1">IFERROR(__xludf.DUMMYFUNCTION("""COMPUTED_VALUE"""),515)</f>
        <v>515</v>
      </c>
    </row>
    <row r="163" spans="1:32" x14ac:dyDescent="0.25">
      <c r="A163" s="3" t="str">
        <f ca="1">IFERROR(__xludf.DUMMYFUNCTION("""COMPUTED_VALUE"""),"Lamar")</f>
        <v>Lamar</v>
      </c>
      <c r="B163" s="3">
        <f ca="1">IFERROR(__xludf.DUMMYFUNCTION("""COMPUTED_VALUE"""),33)</f>
        <v>33</v>
      </c>
      <c r="C163" s="3">
        <f ca="1">IFERROR(__xludf.DUMMYFUNCTION("""COMPUTED_VALUE"""),20)</f>
        <v>20</v>
      </c>
      <c r="D163" s="3">
        <f ca="1">IFERROR(__xludf.DUMMYFUNCTION("""COMPUTED_VALUE"""),13)</f>
        <v>13</v>
      </c>
      <c r="E163" s="3">
        <f ca="1">IFERROR(__xludf.DUMMYFUNCTION("""COMPUTED_VALUE"""),0.606)</f>
        <v>0.60599999999999998</v>
      </c>
      <c r="F163" s="3">
        <f ca="1">IFERROR(__xludf.DUMMYFUNCTION("""COMPUTED_VALUE"""),-5.94)</f>
        <v>-5.94</v>
      </c>
      <c r="G163" s="3">
        <f ca="1">IFERROR(__xludf.DUMMYFUNCTION("""COMPUTED_VALUE"""),-7.22)</f>
        <v>-7.22</v>
      </c>
      <c r="H163" s="3">
        <f ca="1">IFERROR(__xludf.DUMMYFUNCTION("""COMPUTED_VALUE"""),12)</f>
        <v>12</v>
      </c>
      <c r="I163" s="3">
        <f ca="1">IFERROR(__xludf.DUMMYFUNCTION("""COMPUTED_VALUE"""),6)</f>
        <v>6</v>
      </c>
      <c r="J163" s="3">
        <f ca="1">IFERROR(__xludf.DUMMYFUNCTION("""COMPUTED_VALUE"""),13)</f>
        <v>13</v>
      </c>
      <c r="K163" s="3">
        <f ca="1">IFERROR(__xludf.DUMMYFUNCTION("""COMPUTED_VALUE"""),2)</f>
        <v>2</v>
      </c>
      <c r="L163" s="3">
        <f ca="1">IFERROR(__xludf.DUMMYFUNCTION("""COMPUTED_VALUE"""),6)</f>
        <v>6</v>
      </c>
      <c r="M163" s="3">
        <f ca="1">IFERROR(__xludf.DUMMYFUNCTION("""COMPUTED_VALUE"""),10)</f>
        <v>10</v>
      </c>
      <c r="N163" s="3">
        <f ca="1">IFERROR(__xludf.DUMMYFUNCTION("""COMPUTED_VALUE"""),2597)</f>
        <v>2597</v>
      </c>
      <c r="O163" s="3">
        <f ca="1">IFERROR(__xludf.DUMMYFUNCTION("""COMPUTED_VALUE"""),2322)</f>
        <v>2322</v>
      </c>
      <c r="P163" s="3">
        <f ca="1">IFERROR(__xludf.DUMMYFUNCTION("""COMPUTED_VALUE"""),1340)</f>
        <v>1340</v>
      </c>
      <c r="Q163" s="3">
        <f ca="1">IFERROR(__xludf.DUMMYFUNCTION("""COMPUTED_VALUE"""),902)</f>
        <v>902</v>
      </c>
      <c r="R163" s="3">
        <f ca="1">IFERROR(__xludf.DUMMYFUNCTION("""COMPUTED_VALUE"""),1976)</f>
        <v>1976</v>
      </c>
      <c r="S163" s="3">
        <f ca="1">IFERROR(__xludf.DUMMYFUNCTION("""COMPUTED_VALUE"""),0.456)</f>
        <v>0.45600000000000002</v>
      </c>
      <c r="T163" s="3">
        <f ca="1">IFERROR(__xludf.DUMMYFUNCTION("""COMPUTED_VALUE"""),228)</f>
        <v>228</v>
      </c>
      <c r="U163" s="3">
        <f ca="1">IFERROR(__xludf.DUMMYFUNCTION("""COMPUTED_VALUE"""),664)</f>
        <v>664</v>
      </c>
      <c r="V163" s="3">
        <f ca="1">IFERROR(__xludf.DUMMYFUNCTION("""COMPUTED_VALUE"""),0.343)</f>
        <v>0.34300000000000003</v>
      </c>
      <c r="W163" s="3">
        <f ca="1">IFERROR(__xludf.DUMMYFUNCTION("""COMPUTED_VALUE"""),565)</f>
        <v>565</v>
      </c>
      <c r="X163" s="3">
        <f ca="1">IFERROR(__xludf.DUMMYFUNCTION("""COMPUTED_VALUE"""),823)</f>
        <v>823</v>
      </c>
      <c r="Y163" s="3">
        <f ca="1">IFERROR(__xludf.DUMMYFUNCTION("""COMPUTED_VALUE"""),0.687)</f>
        <v>0.68700000000000006</v>
      </c>
      <c r="Z163" s="3">
        <f ca="1">IFERROR(__xludf.DUMMYFUNCTION("""COMPUTED_VALUE"""),446)</f>
        <v>446</v>
      </c>
      <c r="AA163" s="3">
        <f ca="1">IFERROR(__xludf.DUMMYFUNCTION("""COMPUTED_VALUE"""),1282)</f>
        <v>1282</v>
      </c>
      <c r="AB163" s="3">
        <f ca="1">IFERROR(__xludf.DUMMYFUNCTION("""COMPUTED_VALUE"""),481)</f>
        <v>481</v>
      </c>
      <c r="AC163" s="3">
        <f ca="1">IFERROR(__xludf.DUMMYFUNCTION("""COMPUTED_VALUE"""),283)</f>
        <v>283</v>
      </c>
      <c r="AD163" s="3">
        <f ca="1">IFERROR(__xludf.DUMMYFUNCTION("""COMPUTED_VALUE"""),97)</f>
        <v>97</v>
      </c>
      <c r="AE163" s="3">
        <f ca="1">IFERROR(__xludf.DUMMYFUNCTION("""COMPUTED_VALUE"""),473)</f>
        <v>473</v>
      </c>
      <c r="AF163" s="3">
        <f ca="1">IFERROR(__xludf.DUMMYFUNCTION("""COMPUTED_VALUE"""),622)</f>
        <v>622</v>
      </c>
    </row>
    <row r="164" spans="1:32" x14ac:dyDescent="0.25">
      <c r="A164" s="3" t="str">
        <f ca="1">IFERROR(__xludf.DUMMYFUNCTION("""COMPUTED_VALUE"""),"Lehigh")</f>
        <v>Lehigh</v>
      </c>
      <c r="B164" s="3">
        <f ca="1">IFERROR(__xludf.DUMMYFUNCTION("""COMPUTED_VALUE"""),31)</f>
        <v>31</v>
      </c>
      <c r="C164" s="3">
        <f ca="1">IFERROR(__xludf.DUMMYFUNCTION("""COMPUTED_VALUE"""),20)</f>
        <v>20</v>
      </c>
      <c r="D164" s="3">
        <f ca="1">IFERROR(__xludf.DUMMYFUNCTION("""COMPUTED_VALUE"""),11)</f>
        <v>11</v>
      </c>
      <c r="E164" s="3">
        <f ca="1">IFERROR(__xludf.DUMMYFUNCTION("""COMPUTED_VALUE"""),0.645)</f>
        <v>0.64500000000000002</v>
      </c>
      <c r="F164" s="3">
        <f ca="1">IFERROR(__xludf.DUMMYFUNCTION("""COMPUTED_VALUE"""),-2.34)</f>
        <v>-2.34</v>
      </c>
      <c r="G164" s="3">
        <f ca="1">IFERROR(__xludf.DUMMYFUNCTION("""COMPUTED_VALUE"""),-4.46)</f>
        <v>-4.46</v>
      </c>
      <c r="H164" s="3">
        <f ca="1">IFERROR(__xludf.DUMMYFUNCTION("""COMPUTED_VALUE"""),12)</f>
        <v>12</v>
      </c>
      <c r="I164" s="3">
        <f ca="1">IFERROR(__xludf.DUMMYFUNCTION("""COMPUTED_VALUE"""),6)</f>
        <v>6</v>
      </c>
      <c r="J164" s="3">
        <f ca="1">IFERROR(__xludf.DUMMYFUNCTION("""COMPUTED_VALUE"""),11)</f>
        <v>11</v>
      </c>
      <c r="K164" s="3">
        <f ca="1">IFERROR(__xludf.DUMMYFUNCTION("""COMPUTED_VALUE"""),3)</f>
        <v>3</v>
      </c>
      <c r="L164" s="3">
        <f ca="1">IFERROR(__xludf.DUMMYFUNCTION("""COMPUTED_VALUE"""),9)</f>
        <v>9</v>
      </c>
      <c r="M164" s="3">
        <f ca="1">IFERROR(__xludf.DUMMYFUNCTION("""COMPUTED_VALUE"""),8)</f>
        <v>8</v>
      </c>
      <c r="N164" s="3">
        <f ca="1">IFERROR(__xludf.DUMMYFUNCTION("""COMPUTED_VALUE"""),2479)</f>
        <v>2479</v>
      </c>
      <c r="O164" s="3">
        <f ca="1">IFERROR(__xludf.DUMMYFUNCTION("""COMPUTED_VALUE"""),2413)</f>
        <v>2413</v>
      </c>
      <c r="P164" s="3">
        <f ca="1">IFERROR(__xludf.DUMMYFUNCTION("""COMPUTED_VALUE"""),1250)</f>
        <v>1250</v>
      </c>
      <c r="Q164" s="3">
        <f ca="1">IFERROR(__xludf.DUMMYFUNCTION("""COMPUTED_VALUE"""),856)</f>
        <v>856</v>
      </c>
      <c r="R164" s="3">
        <f ca="1">IFERROR(__xludf.DUMMYFUNCTION("""COMPUTED_VALUE"""),1775)</f>
        <v>1775</v>
      </c>
      <c r="S164" s="3">
        <f ca="1">IFERROR(__xludf.DUMMYFUNCTION("""COMPUTED_VALUE"""),0.482)</f>
        <v>0.48199999999999998</v>
      </c>
      <c r="T164" s="3">
        <f ca="1">IFERROR(__xludf.DUMMYFUNCTION("""COMPUTED_VALUE"""),287)</f>
        <v>287</v>
      </c>
      <c r="U164" s="3">
        <f ca="1">IFERROR(__xludf.DUMMYFUNCTION("""COMPUTED_VALUE"""),679)</f>
        <v>679</v>
      </c>
      <c r="V164" s="3">
        <f ca="1">IFERROR(__xludf.DUMMYFUNCTION("""COMPUTED_VALUE"""),0.423)</f>
        <v>0.42299999999999999</v>
      </c>
      <c r="W164" s="3">
        <f ca="1">IFERROR(__xludf.DUMMYFUNCTION("""COMPUTED_VALUE"""),480)</f>
        <v>480</v>
      </c>
      <c r="X164" s="3">
        <f ca="1">IFERROR(__xludf.DUMMYFUNCTION("""COMPUTED_VALUE"""),620)</f>
        <v>620</v>
      </c>
      <c r="Y164" s="3">
        <f ca="1">IFERROR(__xludf.DUMMYFUNCTION("""COMPUTED_VALUE"""),0.774)</f>
        <v>0.77400000000000002</v>
      </c>
      <c r="Z164" s="3">
        <f ca="1">IFERROR(__xludf.DUMMYFUNCTION("""COMPUTED_VALUE"""),232)</f>
        <v>232</v>
      </c>
      <c r="AA164" s="3">
        <f ca="1">IFERROR(__xludf.DUMMYFUNCTION("""COMPUTED_VALUE"""),1105)</f>
        <v>1105</v>
      </c>
      <c r="AB164" s="3">
        <f ca="1">IFERROR(__xludf.DUMMYFUNCTION("""COMPUTED_VALUE"""),471)</f>
        <v>471</v>
      </c>
      <c r="AC164" s="3">
        <f ca="1">IFERROR(__xludf.DUMMYFUNCTION("""COMPUTED_VALUE"""),171)</f>
        <v>171</v>
      </c>
      <c r="AD164" s="3">
        <f ca="1">IFERROR(__xludf.DUMMYFUNCTION("""COMPUTED_VALUE"""),71)</f>
        <v>71</v>
      </c>
      <c r="AE164" s="3">
        <f ca="1">IFERROR(__xludf.DUMMYFUNCTION("""COMPUTED_VALUE"""),418)</f>
        <v>418</v>
      </c>
      <c r="AF164" s="3">
        <f ca="1">IFERROR(__xludf.DUMMYFUNCTION("""COMPUTED_VALUE"""),571)</f>
        <v>571</v>
      </c>
    </row>
    <row r="165" spans="1:32" x14ac:dyDescent="0.25">
      <c r="A165" s="3" t="str">
        <f ca="1">IFERROR(__xludf.DUMMYFUNCTION("""COMPUTED_VALUE"""),"LibertyNCAA")</f>
        <v>LibertyNCAA</v>
      </c>
      <c r="B165" s="3">
        <f ca="1">IFERROR(__xludf.DUMMYFUNCTION("""COMPUTED_VALUE"""),36)</f>
        <v>36</v>
      </c>
      <c r="C165" s="3">
        <f ca="1">IFERROR(__xludf.DUMMYFUNCTION("""COMPUTED_VALUE"""),29)</f>
        <v>29</v>
      </c>
      <c r="D165" s="3">
        <f ca="1">IFERROR(__xludf.DUMMYFUNCTION("""COMPUTED_VALUE"""),7)</f>
        <v>7</v>
      </c>
      <c r="E165" s="3">
        <f ca="1">IFERROR(__xludf.DUMMYFUNCTION("""COMPUTED_VALUE"""),0.806)</f>
        <v>0.80600000000000005</v>
      </c>
      <c r="F165" s="3">
        <f ca="1">IFERROR(__xludf.DUMMYFUNCTION("""COMPUTED_VALUE"""),5.27)</f>
        <v>5.27</v>
      </c>
      <c r="G165" s="3">
        <f ca="1">IFERROR(__xludf.DUMMYFUNCTION("""COMPUTED_VALUE"""),-3.88)</f>
        <v>-3.88</v>
      </c>
      <c r="H165" s="3">
        <f ca="1">IFERROR(__xludf.DUMMYFUNCTION("""COMPUTED_VALUE"""),14)</f>
        <v>14</v>
      </c>
      <c r="I165" s="3">
        <f ca="1">IFERROR(__xludf.DUMMYFUNCTION("""COMPUTED_VALUE"""),2)</f>
        <v>2</v>
      </c>
      <c r="J165" s="3">
        <f ca="1">IFERROR(__xludf.DUMMYFUNCTION("""COMPUTED_VALUE"""),16)</f>
        <v>16</v>
      </c>
      <c r="K165" s="3">
        <f ca="1">IFERROR(__xludf.DUMMYFUNCTION("""COMPUTED_VALUE"""),1)</f>
        <v>1</v>
      </c>
      <c r="L165" s="3">
        <f ca="1">IFERROR(__xludf.DUMMYFUNCTION("""COMPUTED_VALUE"""),11)</f>
        <v>11</v>
      </c>
      <c r="M165" s="3">
        <f ca="1">IFERROR(__xludf.DUMMYFUNCTION("""COMPUTED_VALUE"""),3)</f>
        <v>3</v>
      </c>
      <c r="N165" s="3">
        <f ca="1">IFERROR(__xludf.DUMMYFUNCTION("""COMPUTED_VALUE"""),2654)</f>
        <v>2654</v>
      </c>
      <c r="O165" s="3">
        <f ca="1">IFERROR(__xludf.DUMMYFUNCTION("""COMPUTED_VALUE"""),2209)</f>
        <v>2209</v>
      </c>
      <c r="P165" s="3">
        <f ca="1">IFERROR(__xludf.DUMMYFUNCTION("""COMPUTED_VALUE"""),1440)</f>
        <v>1440</v>
      </c>
      <c r="Q165" s="3">
        <f ca="1">IFERROR(__xludf.DUMMYFUNCTION("""COMPUTED_VALUE"""),963)</f>
        <v>963</v>
      </c>
      <c r="R165" s="3">
        <f ca="1">IFERROR(__xludf.DUMMYFUNCTION("""COMPUTED_VALUE"""),1977)</f>
        <v>1977</v>
      </c>
      <c r="S165" s="3">
        <f ca="1">IFERROR(__xludf.DUMMYFUNCTION("""COMPUTED_VALUE"""),0.487)</f>
        <v>0.48699999999999999</v>
      </c>
      <c r="T165" s="3">
        <f ca="1">IFERROR(__xludf.DUMMYFUNCTION("""COMPUTED_VALUE"""),322)</f>
        <v>322</v>
      </c>
      <c r="U165" s="3">
        <f ca="1">IFERROR(__xludf.DUMMYFUNCTION("""COMPUTED_VALUE"""),873)</f>
        <v>873</v>
      </c>
      <c r="V165" s="3">
        <f ca="1">IFERROR(__xludf.DUMMYFUNCTION("""COMPUTED_VALUE"""),0.369)</f>
        <v>0.36899999999999999</v>
      </c>
      <c r="W165" s="3">
        <f ca="1">IFERROR(__xludf.DUMMYFUNCTION("""COMPUTED_VALUE"""),406)</f>
        <v>406</v>
      </c>
      <c r="X165" s="3">
        <f ca="1">IFERROR(__xludf.DUMMYFUNCTION("""COMPUTED_VALUE"""),524)</f>
        <v>524</v>
      </c>
      <c r="Y165" s="3">
        <f ca="1">IFERROR(__xludf.DUMMYFUNCTION("""COMPUTED_VALUE"""),0.775)</f>
        <v>0.77500000000000002</v>
      </c>
      <c r="Z165" s="3">
        <f ca="1">IFERROR(__xludf.DUMMYFUNCTION("""COMPUTED_VALUE"""),270)</f>
        <v>270</v>
      </c>
      <c r="AA165" s="3">
        <f ca="1">IFERROR(__xludf.DUMMYFUNCTION("""COMPUTED_VALUE"""),1174)</f>
        <v>1174</v>
      </c>
      <c r="AB165" s="3">
        <f ca="1">IFERROR(__xludf.DUMMYFUNCTION("""COMPUTED_VALUE"""),532)</f>
        <v>532</v>
      </c>
      <c r="AC165" s="3">
        <f ca="1">IFERROR(__xludf.DUMMYFUNCTION("""COMPUTED_VALUE"""),223)</f>
        <v>223</v>
      </c>
      <c r="AD165" s="3">
        <f ca="1">IFERROR(__xludf.DUMMYFUNCTION("""COMPUTED_VALUE"""),96)</f>
        <v>96</v>
      </c>
      <c r="AE165" s="3">
        <f ca="1">IFERROR(__xludf.DUMMYFUNCTION("""COMPUTED_VALUE"""),395)</f>
        <v>395</v>
      </c>
      <c r="AF165" s="3">
        <f ca="1">IFERROR(__xludf.DUMMYFUNCTION("""COMPUTED_VALUE"""),543)</f>
        <v>543</v>
      </c>
    </row>
    <row r="166" spans="1:32" x14ac:dyDescent="0.25">
      <c r="A166" s="3" t="str">
        <f ca="1">IFERROR(__xludf.DUMMYFUNCTION("""COMPUTED_VALUE"""),"Lipscomb")</f>
        <v>Lipscomb</v>
      </c>
      <c r="B166" s="3">
        <f ca="1">IFERROR(__xludf.DUMMYFUNCTION("""COMPUTED_VALUE"""),37)</f>
        <v>37</v>
      </c>
      <c r="C166" s="3">
        <f ca="1">IFERROR(__xludf.DUMMYFUNCTION("""COMPUTED_VALUE"""),29)</f>
        <v>29</v>
      </c>
      <c r="D166" s="3">
        <f ca="1">IFERROR(__xludf.DUMMYFUNCTION("""COMPUTED_VALUE"""),8)</f>
        <v>8</v>
      </c>
      <c r="E166" s="3">
        <f ca="1">IFERROR(__xludf.DUMMYFUNCTION("""COMPUTED_VALUE"""),0.784)</f>
        <v>0.78400000000000003</v>
      </c>
      <c r="F166" s="3">
        <f ca="1">IFERROR(__xludf.DUMMYFUNCTION("""COMPUTED_VALUE"""),9.21)</f>
        <v>9.2100000000000009</v>
      </c>
      <c r="G166" s="3">
        <f ca="1">IFERROR(__xludf.DUMMYFUNCTION("""COMPUTED_VALUE"""),-1.2)</f>
        <v>-1.2</v>
      </c>
      <c r="H166" s="3">
        <f ca="1">IFERROR(__xludf.DUMMYFUNCTION("""COMPUTED_VALUE"""),14)</f>
        <v>14</v>
      </c>
      <c r="I166" s="3">
        <f ca="1">IFERROR(__xludf.DUMMYFUNCTION("""COMPUTED_VALUE"""),2)</f>
        <v>2</v>
      </c>
      <c r="J166" s="3">
        <f ca="1">IFERROR(__xludf.DUMMYFUNCTION("""COMPUTED_VALUE"""),14)</f>
        <v>14</v>
      </c>
      <c r="K166" s="3">
        <f ca="1">IFERROR(__xludf.DUMMYFUNCTION("""COMPUTED_VALUE"""),3)</f>
        <v>3</v>
      </c>
      <c r="L166" s="3">
        <f ca="1">IFERROR(__xludf.DUMMYFUNCTION("""COMPUTED_VALUE"""),14)</f>
        <v>14</v>
      </c>
      <c r="M166" s="3">
        <f ca="1">IFERROR(__xludf.DUMMYFUNCTION("""COMPUTED_VALUE"""),4)</f>
        <v>4</v>
      </c>
      <c r="N166" s="3">
        <f ca="1">IFERROR(__xludf.DUMMYFUNCTION("""COMPUTED_VALUE"""),3076)</f>
        <v>3076</v>
      </c>
      <c r="O166" s="3">
        <f ca="1">IFERROR(__xludf.DUMMYFUNCTION("""COMPUTED_VALUE"""),2597)</f>
        <v>2597</v>
      </c>
      <c r="P166" s="3">
        <f ca="1">IFERROR(__xludf.DUMMYFUNCTION("""COMPUTED_VALUE"""),1480)</f>
        <v>1480</v>
      </c>
      <c r="Q166" s="3">
        <f ca="1">IFERROR(__xludf.DUMMYFUNCTION("""COMPUTED_VALUE"""),1071)</f>
        <v>1071</v>
      </c>
      <c r="R166" s="3">
        <f ca="1">IFERROR(__xludf.DUMMYFUNCTION("""COMPUTED_VALUE"""),2230)</f>
        <v>2230</v>
      </c>
      <c r="S166" s="3">
        <f ca="1">IFERROR(__xludf.DUMMYFUNCTION("""COMPUTED_VALUE"""),0.48)</f>
        <v>0.48</v>
      </c>
      <c r="T166" s="3">
        <f ca="1">IFERROR(__xludf.DUMMYFUNCTION("""COMPUTED_VALUE"""),327)</f>
        <v>327</v>
      </c>
      <c r="U166" s="3">
        <f ca="1">IFERROR(__xludf.DUMMYFUNCTION("""COMPUTED_VALUE"""),876)</f>
        <v>876</v>
      </c>
      <c r="V166" s="3">
        <f ca="1">IFERROR(__xludf.DUMMYFUNCTION("""COMPUTED_VALUE"""),0.373)</f>
        <v>0.373</v>
      </c>
      <c r="W166" s="3">
        <f ca="1">IFERROR(__xludf.DUMMYFUNCTION("""COMPUTED_VALUE"""),607)</f>
        <v>607</v>
      </c>
      <c r="X166" s="3">
        <f ca="1">IFERROR(__xludf.DUMMYFUNCTION("""COMPUTED_VALUE"""),801)</f>
        <v>801</v>
      </c>
      <c r="Y166" s="3">
        <f ca="1">IFERROR(__xludf.DUMMYFUNCTION("""COMPUTED_VALUE"""),0.758)</f>
        <v>0.75800000000000001</v>
      </c>
      <c r="Z166" s="3">
        <f ca="1">IFERROR(__xludf.DUMMYFUNCTION("""COMPUTED_VALUE"""),329)</f>
        <v>329</v>
      </c>
      <c r="AA166" s="3">
        <f ca="1">IFERROR(__xludf.DUMMYFUNCTION("""COMPUTED_VALUE"""),1378)</f>
        <v>1378</v>
      </c>
      <c r="AB166" s="3">
        <f ca="1">IFERROR(__xludf.DUMMYFUNCTION("""COMPUTED_VALUE"""),654)</f>
        <v>654</v>
      </c>
      <c r="AC166" s="3">
        <f ca="1">IFERROR(__xludf.DUMMYFUNCTION("""COMPUTED_VALUE"""),268)</f>
        <v>268</v>
      </c>
      <c r="AD166" s="3">
        <f ca="1">IFERROR(__xludf.DUMMYFUNCTION("""COMPUTED_VALUE"""),108)</f>
        <v>108</v>
      </c>
      <c r="AE166" s="3">
        <f ca="1">IFERROR(__xludf.DUMMYFUNCTION("""COMPUTED_VALUE"""),489)</f>
        <v>489</v>
      </c>
      <c r="AF166" s="3">
        <f ca="1">IFERROR(__xludf.DUMMYFUNCTION("""COMPUTED_VALUE"""),633)</f>
        <v>633</v>
      </c>
    </row>
    <row r="167" spans="1:32" x14ac:dyDescent="0.25">
      <c r="A167" s="3" t="str">
        <f ca="1">IFERROR(__xludf.DUMMYFUNCTION("""COMPUTED_VALUE"""),"Cal State Long Beach")</f>
        <v>Cal State Long Beach</v>
      </c>
      <c r="B167" s="3">
        <f ca="1">IFERROR(__xludf.DUMMYFUNCTION("""COMPUTED_VALUE"""),34)</f>
        <v>34</v>
      </c>
      <c r="C167" s="3">
        <f ca="1">IFERROR(__xludf.DUMMYFUNCTION("""COMPUTED_VALUE"""),15)</f>
        <v>15</v>
      </c>
      <c r="D167" s="3">
        <f ca="1">IFERROR(__xludf.DUMMYFUNCTION("""COMPUTED_VALUE"""),19)</f>
        <v>19</v>
      </c>
      <c r="E167" s="3">
        <f ca="1">IFERROR(__xludf.DUMMYFUNCTION("""COMPUTED_VALUE"""),0.441)</f>
        <v>0.441</v>
      </c>
      <c r="F167" s="3">
        <f ca="1">IFERROR(__xludf.DUMMYFUNCTION("""COMPUTED_VALUE"""),-4.57)</f>
        <v>-4.57</v>
      </c>
      <c r="G167" s="3">
        <f ca="1">IFERROR(__xludf.DUMMYFUNCTION("""COMPUTED_VALUE"""),-0.44)</f>
        <v>-0.44</v>
      </c>
      <c r="H167" s="3">
        <f ca="1">IFERROR(__xludf.DUMMYFUNCTION("""COMPUTED_VALUE"""),8)</f>
        <v>8</v>
      </c>
      <c r="I167" s="3">
        <f ca="1">IFERROR(__xludf.DUMMYFUNCTION("""COMPUTED_VALUE"""),8)</f>
        <v>8</v>
      </c>
      <c r="J167" s="3">
        <f ca="1">IFERROR(__xludf.DUMMYFUNCTION("""COMPUTED_VALUE"""),9)</f>
        <v>9</v>
      </c>
      <c r="K167" s="3">
        <f ca="1">IFERROR(__xludf.DUMMYFUNCTION("""COMPUTED_VALUE"""),5)</f>
        <v>5</v>
      </c>
      <c r="L167" s="3">
        <f ca="1">IFERROR(__xludf.DUMMYFUNCTION("""COMPUTED_VALUE"""),4)</f>
        <v>4</v>
      </c>
      <c r="M167" s="3">
        <f ca="1">IFERROR(__xludf.DUMMYFUNCTION("""COMPUTED_VALUE"""),12)</f>
        <v>12</v>
      </c>
      <c r="N167" s="3">
        <f ca="1">IFERROR(__xludf.DUMMYFUNCTION("""COMPUTED_VALUE"""),2545)</f>
        <v>2545</v>
      </c>
      <c r="O167" s="3">
        <f ca="1">IFERROR(__xludf.DUMMYFUNCTION("""COMPUTED_VALUE"""),2584)</f>
        <v>2584</v>
      </c>
      <c r="P167" s="3">
        <f ca="1">IFERROR(__xludf.DUMMYFUNCTION("""COMPUTED_VALUE"""),1375)</f>
        <v>1375</v>
      </c>
      <c r="Q167" s="3">
        <f ca="1">IFERROR(__xludf.DUMMYFUNCTION("""COMPUTED_VALUE"""),877)</f>
        <v>877</v>
      </c>
      <c r="R167" s="3">
        <f ca="1">IFERROR(__xludf.DUMMYFUNCTION("""COMPUTED_VALUE"""),2031)</f>
        <v>2031</v>
      </c>
      <c r="S167" s="3">
        <f ca="1">IFERROR(__xludf.DUMMYFUNCTION("""COMPUTED_VALUE"""),0.432)</f>
        <v>0.432</v>
      </c>
      <c r="T167" s="3">
        <f ca="1">IFERROR(__xludf.DUMMYFUNCTION("""COMPUTED_VALUE"""),217)</f>
        <v>217</v>
      </c>
      <c r="U167" s="3">
        <f ca="1">IFERROR(__xludf.DUMMYFUNCTION("""COMPUTED_VALUE"""),630)</f>
        <v>630</v>
      </c>
      <c r="V167" s="3">
        <f ca="1">IFERROR(__xludf.DUMMYFUNCTION("""COMPUTED_VALUE"""),0.344)</f>
        <v>0.34399999999999997</v>
      </c>
      <c r="W167" s="3">
        <f ca="1">IFERROR(__xludf.DUMMYFUNCTION("""COMPUTED_VALUE"""),574)</f>
        <v>574</v>
      </c>
      <c r="X167" s="3">
        <f ca="1">IFERROR(__xludf.DUMMYFUNCTION("""COMPUTED_VALUE"""),831)</f>
        <v>831</v>
      </c>
      <c r="Y167" s="3">
        <f ca="1">IFERROR(__xludf.DUMMYFUNCTION("""COMPUTED_VALUE"""),0.691)</f>
        <v>0.69099999999999995</v>
      </c>
      <c r="Z167" s="3">
        <f ca="1">IFERROR(__xludf.DUMMYFUNCTION("""COMPUTED_VALUE"""),377)</f>
        <v>377</v>
      </c>
      <c r="AA167" s="3">
        <f ca="1">IFERROR(__xludf.DUMMYFUNCTION("""COMPUTED_VALUE"""),1263)</f>
        <v>1263</v>
      </c>
      <c r="AB167" s="3">
        <f ca="1">IFERROR(__xludf.DUMMYFUNCTION("""COMPUTED_VALUE"""),399)</f>
        <v>399</v>
      </c>
      <c r="AC167" s="3">
        <f ca="1">IFERROR(__xludf.DUMMYFUNCTION("""COMPUTED_VALUE"""),219)</f>
        <v>219</v>
      </c>
      <c r="AD167" s="3">
        <f ca="1">IFERROR(__xludf.DUMMYFUNCTION("""COMPUTED_VALUE"""),105)</f>
        <v>105</v>
      </c>
      <c r="AE167" s="3">
        <f ca="1">IFERROR(__xludf.DUMMYFUNCTION("""COMPUTED_VALUE"""),479)</f>
        <v>479</v>
      </c>
      <c r="AF167" s="3">
        <f ca="1">IFERROR(__xludf.DUMMYFUNCTION("""COMPUTED_VALUE"""),620)</f>
        <v>620</v>
      </c>
    </row>
    <row r="168" spans="1:32" x14ac:dyDescent="0.25">
      <c r="A168" s="3" t="str">
        <f ca="1">IFERROR(__xludf.DUMMYFUNCTION("""COMPUTED_VALUE"""),"Long Island University")</f>
        <v>Long Island University</v>
      </c>
      <c r="B168" s="3">
        <f ca="1">IFERROR(__xludf.DUMMYFUNCTION("""COMPUTED_VALUE"""),32)</f>
        <v>32</v>
      </c>
      <c r="C168" s="3">
        <f ca="1">IFERROR(__xludf.DUMMYFUNCTION("""COMPUTED_VALUE"""),16)</f>
        <v>16</v>
      </c>
      <c r="D168" s="3">
        <f ca="1">IFERROR(__xludf.DUMMYFUNCTION("""COMPUTED_VALUE"""),16)</f>
        <v>16</v>
      </c>
      <c r="E168" s="3">
        <f ca="1">IFERROR(__xludf.DUMMYFUNCTION("""COMPUTED_VALUE"""),0.5)</f>
        <v>0.5</v>
      </c>
      <c r="F168" s="3">
        <f ca="1">IFERROR(__xludf.DUMMYFUNCTION("""COMPUTED_VALUE"""),-8.99)</f>
        <v>-8.99</v>
      </c>
      <c r="G168" s="3">
        <f ca="1">IFERROR(__xludf.DUMMYFUNCTION("""COMPUTED_VALUE"""),-9.08)</f>
        <v>-9.08</v>
      </c>
      <c r="H168" s="3">
        <f ca="1">IFERROR(__xludf.DUMMYFUNCTION("""COMPUTED_VALUE"""),9)</f>
        <v>9</v>
      </c>
      <c r="I168" s="3">
        <f ca="1">IFERROR(__xludf.DUMMYFUNCTION("""COMPUTED_VALUE"""),9)</f>
        <v>9</v>
      </c>
      <c r="J168" s="3">
        <f ca="1">IFERROR(__xludf.DUMMYFUNCTION("""COMPUTED_VALUE"""),8)</f>
        <v>8</v>
      </c>
      <c r="K168" s="3">
        <f ca="1">IFERROR(__xludf.DUMMYFUNCTION("""COMPUTED_VALUE"""),5)</f>
        <v>5</v>
      </c>
      <c r="L168" s="3">
        <f ca="1">IFERROR(__xludf.DUMMYFUNCTION("""COMPUTED_VALUE"""),7)</f>
        <v>7</v>
      </c>
      <c r="M168" s="3">
        <f ca="1">IFERROR(__xludf.DUMMYFUNCTION("""COMPUTED_VALUE"""),9)</f>
        <v>9</v>
      </c>
      <c r="N168" s="3">
        <f ca="1">IFERROR(__xludf.DUMMYFUNCTION("""COMPUTED_VALUE"""),2373)</f>
        <v>2373</v>
      </c>
      <c r="O168" s="3">
        <f ca="1">IFERROR(__xludf.DUMMYFUNCTION("""COMPUTED_VALUE"""),2337)</f>
        <v>2337</v>
      </c>
      <c r="P168" s="3">
        <f ca="1">IFERROR(__xludf.DUMMYFUNCTION("""COMPUTED_VALUE"""),1285)</f>
        <v>1285</v>
      </c>
      <c r="Q168" s="3">
        <f ca="1">IFERROR(__xludf.DUMMYFUNCTION("""COMPUTED_VALUE"""),822)</f>
        <v>822</v>
      </c>
      <c r="R168" s="3">
        <f ca="1">IFERROR(__xludf.DUMMYFUNCTION("""COMPUTED_VALUE"""),1880)</f>
        <v>1880</v>
      </c>
      <c r="S168" s="3">
        <f ca="1">IFERROR(__xludf.DUMMYFUNCTION("""COMPUTED_VALUE"""),0.437)</f>
        <v>0.437</v>
      </c>
      <c r="T168" s="3">
        <f ca="1">IFERROR(__xludf.DUMMYFUNCTION("""COMPUTED_VALUE"""),277)</f>
        <v>277</v>
      </c>
      <c r="U168" s="3">
        <f ca="1">IFERROR(__xludf.DUMMYFUNCTION("""COMPUTED_VALUE"""),813)</f>
        <v>813</v>
      </c>
      <c r="V168" s="3">
        <f ca="1">IFERROR(__xludf.DUMMYFUNCTION("""COMPUTED_VALUE"""),0.341)</f>
        <v>0.34100000000000003</v>
      </c>
      <c r="W168" s="3">
        <f ca="1">IFERROR(__xludf.DUMMYFUNCTION("""COMPUTED_VALUE"""),452)</f>
        <v>452</v>
      </c>
      <c r="X168" s="3">
        <f ca="1">IFERROR(__xludf.DUMMYFUNCTION("""COMPUTED_VALUE"""),643)</f>
        <v>643</v>
      </c>
      <c r="Y168" s="3">
        <f ca="1">IFERROR(__xludf.DUMMYFUNCTION("""COMPUTED_VALUE"""),0.703)</f>
        <v>0.70299999999999996</v>
      </c>
      <c r="Z168" s="3">
        <f ca="1">IFERROR(__xludf.DUMMYFUNCTION("""COMPUTED_VALUE"""),321)</f>
        <v>321</v>
      </c>
      <c r="AA168" s="3">
        <f ca="1">IFERROR(__xludf.DUMMYFUNCTION("""COMPUTED_VALUE"""),1196)</f>
        <v>1196</v>
      </c>
      <c r="AB168" s="3">
        <f ca="1">IFERROR(__xludf.DUMMYFUNCTION("""COMPUTED_VALUE"""),430)</f>
        <v>430</v>
      </c>
      <c r="AC168" s="3">
        <f ca="1">IFERROR(__xludf.DUMMYFUNCTION("""COMPUTED_VALUE"""),218)</f>
        <v>218</v>
      </c>
      <c r="AD168" s="3">
        <f ca="1">IFERROR(__xludf.DUMMYFUNCTION("""COMPUTED_VALUE"""),157)</f>
        <v>157</v>
      </c>
      <c r="AE168" s="3">
        <f ca="1">IFERROR(__xludf.DUMMYFUNCTION("""COMPUTED_VALUE"""),471)</f>
        <v>471</v>
      </c>
      <c r="AF168" s="3">
        <f ca="1">IFERROR(__xludf.DUMMYFUNCTION("""COMPUTED_VALUE"""),610)</f>
        <v>610</v>
      </c>
    </row>
    <row r="169" spans="1:32" x14ac:dyDescent="0.25">
      <c r="A169" s="3" t="str">
        <f ca="1">IFERROR(__xludf.DUMMYFUNCTION("""COMPUTED_VALUE"""),"Longwood")</f>
        <v>Longwood</v>
      </c>
      <c r="B169" s="3">
        <f ca="1">IFERROR(__xludf.DUMMYFUNCTION("""COMPUTED_VALUE"""),34)</f>
        <v>34</v>
      </c>
      <c r="C169" s="3">
        <f ca="1">IFERROR(__xludf.DUMMYFUNCTION("""COMPUTED_VALUE"""),16)</f>
        <v>16</v>
      </c>
      <c r="D169" s="3">
        <f ca="1">IFERROR(__xludf.DUMMYFUNCTION("""COMPUTED_VALUE"""),18)</f>
        <v>18</v>
      </c>
      <c r="E169" s="3">
        <f ca="1">IFERROR(__xludf.DUMMYFUNCTION("""COMPUTED_VALUE"""),0.471)</f>
        <v>0.47099999999999997</v>
      </c>
      <c r="F169" s="3">
        <f ca="1">IFERROR(__xludf.DUMMYFUNCTION("""COMPUTED_VALUE"""),-8.43)</f>
        <v>-8.43</v>
      </c>
      <c r="G169" s="3">
        <f ca="1">IFERROR(__xludf.DUMMYFUNCTION("""COMPUTED_VALUE"""),-6.62)</f>
        <v>-6.62</v>
      </c>
      <c r="H169" s="3">
        <f ca="1">IFERROR(__xludf.DUMMYFUNCTION("""COMPUTED_VALUE"""),5)</f>
        <v>5</v>
      </c>
      <c r="I169" s="3">
        <f ca="1">IFERROR(__xludf.DUMMYFUNCTION("""COMPUTED_VALUE"""),11)</f>
        <v>11</v>
      </c>
      <c r="J169" s="3">
        <f ca="1">IFERROR(__xludf.DUMMYFUNCTION("""COMPUTED_VALUE"""),10)</f>
        <v>10</v>
      </c>
      <c r="K169" s="3">
        <f ca="1">IFERROR(__xludf.DUMMYFUNCTION("""COMPUTED_VALUE"""),5)</f>
        <v>5</v>
      </c>
      <c r="L169" s="3">
        <f ca="1">IFERROR(__xludf.DUMMYFUNCTION("""COMPUTED_VALUE"""),5)</f>
        <v>5</v>
      </c>
      <c r="M169" s="3">
        <f ca="1">IFERROR(__xludf.DUMMYFUNCTION("""COMPUTED_VALUE"""),12)</f>
        <v>12</v>
      </c>
      <c r="N169" s="3">
        <f ca="1">IFERROR(__xludf.DUMMYFUNCTION("""COMPUTED_VALUE"""),2407)</f>
        <v>2407</v>
      </c>
      <c r="O169" s="3">
        <f ca="1">IFERROR(__xludf.DUMMYFUNCTION("""COMPUTED_VALUE"""),2408)</f>
        <v>2408</v>
      </c>
      <c r="P169" s="3">
        <f ca="1">IFERROR(__xludf.DUMMYFUNCTION("""COMPUTED_VALUE"""),1375)</f>
        <v>1375</v>
      </c>
      <c r="Q169" s="3">
        <f ca="1">IFERROR(__xludf.DUMMYFUNCTION("""COMPUTED_VALUE"""),803)</f>
        <v>803</v>
      </c>
      <c r="R169" s="3">
        <f ca="1">IFERROR(__xludf.DUMMYFUNCTION("""COMPUTED_VALUE"""),1875)</f>
        <v>1875</v>
      </c>
      <c r="S169" s="3">
        <f ca="1">IFERROR(__xludf.DUMMYFUNCTION("""COMPUTED_VALUE"""),0.428)</f>
        <v>0.42799999999999999</v>
      </c>
      <c r="T169" s="3">
        <f ca="1">IFERROR(__xludf.DUMMYFUNCTION("""COMPUTED_VALUE"""),333)</f>
        <v>333</v>
      </c>
      <c r="U169" s="3">
        <f ca="1">IFERROR(__xludf.DUMMYFUNCTION("""COMPUTED_VALUE"""),939)</f>
        <v>939</v>
      </c>
      <c r="V169" s="3">
        <f ca="1">IFERROR(__xludf.DUMMYFUNCTION("""COMPUTED_VALUE"""),0.355)</f>
        <v>0.35499999999999998</v>
      </c>
      <c r="W169" s="3">
        <f ca="1">IFERROR(__xludf.DUMMYFUNCTION("""COMPUTED_VALUE"""),468)</f>
        <v>468</v>
      </c>
      <c r="X169" s="3">
        <f ca="1">IFERROR(__xludf.DUMMYFUNCTION("""COMPUTED_VALUE"""),639)</f>
        <v>639</v>
      </c>
      <c r="Y169" s="3">
        <f ca="1">IFERROR(__xludf.DUMMYFUNCTION("""COMPUTED_VALUE"""),0.732)</f>
        <v>0.73199999999999998</v>
      </c>
      <c r="Z169" s="3">
        <f ca="1">IFERROR(__xludf.DUMMYFUNCTION("""COMPUTED_VALUE"""),284)</f>
        <v>284</v>
      </c>
      <c r="AA169" s="3">
        <f ca="1">IFERROR(__xludf.DUMMYFUNCTION("""COMPUTED_VALUE"""),1194)</f>
        <v>1194</v>
      </c>
      <c r="AB169" s="3">
        <f ca="1">IFERROR(__xludf.DUMMYFUNCTION("""COMPUTED_VALUE"""),401)</f>
        <v>401</v>
      </c>
      <c r="AC169" s="3">
        <f ca="1">IFERROR(__xludf.DUMMYFUNCTION("""COMPUTED_VALUE"""),210)</f>
        <v>210</v>
      </c>
      <c r="AD169" s="3">
        <f ca="1">IFERROR(__xludf.DUMMYFUNCTION("""COMPUTED_VALUE"""),71)</f>
        <v>71</v>
      </c>
      <c r="AE169" s="3">
        <f ca="1">IFERROR(__xludf.DUMMYFUNCTION("""COMPUTED_VALUE"""),477)</f>
        <v>477</v>
      </c>
      <c r="AF169" s="3">
        <f ca="1">IFERROR(__xludf.DUMMYFUNCTION("""COMPUTED_VALUE"""),624)</f>
        <v>624</v>
      </c>
    </row>
    <row r="170" spans="1:32" x14ac:dyDescent="0.25">
      <c r="A170" s="3" t="str">
        <f ca="1">IFERROR(__xludf.DUMMYFUNCTION("""COMPUTED_VALUE"""),"Louisiana")</f>
        <v>Louisiana</v>
      </c>
      <c r="B170" s="3">
        <f ca="1">IFERROR(__xludf.DUMMYFUNCTION("""COMPUTED_VALUE"""),32)</f>
        <v>32</v>
      </c>
      <c r="C170" s="3">
        <f ca="1">IFERROR(__xludf.DUMMYFUNCTION("""COMPUTED_VALUE"""),19)</f>
        <v>19</v>
      </c>
      <c r="D170" s="3">
        <f ca="1">IFERROR(__xludf.DUMMYFUNCTION("""COMPUTED_VALUE"""),13)</f>
        <v>13</v>
      </c>
      <c r="E170" s="3">
        <f ca="1">IFERROR(__xludf.DUMMYFUNCTION("""COMPUTED_VALUE"""),0.594)</f>
        <v>0.59399999999999997</v>
      </c>
      <c r="F170" s="3">
        <f ca="1">IFERROR(__xludf.DUMMYFUNCTION("""COMPUTED_VALUE"""),-2.07)</f>
        <v>-2.0699999999999998</v>
      </c>
      <c r="G170" s="3">
        <f ca="1">IFERROR(__xludf.DUMMYFUNCTION("""COMPUTED_VALUE"""),-1.51)</f>
        <v>-1.51</v>
      </c>
      <c r="H170" s="3">
        <f ca="1">IFERROR(__xludf.DUMMYFUNCTION("""COMPUTED_VALUE"""),10)</f>
        <v>10</v>
      </c>
      <c r="I170" s="3">
        <f ca="1">IFERROR(__xludf.DUMMYFUNCTION("""COMPUTED_VALUE"""),8)</f>
        <v>8</v>
      </c>
      <c r="J170" s="3">
        <f ca="1">IFERROR(__xludf.DUMMYFUNCTION("""COMPUTED_VALUE"""),10)</f>
        <v>10</v>
      </c>
      <c r="K170" s="3">
        <f ca="1">IFERROR(__xludf.DUMMYFUNCTION("""COMPUTED_VALUE"""),4)</f>
        <v>4</v>
      </c>
      <c r="L170" s="3">
        <f ca="1">IFERROR(__xludf.DUMMYFUNCTION("""COMPUTED_VALUE"""),7)</f>
        <v>7</v>
      </c>
      <c r="M170" s="3">
        <f ca="1">IFERROR(__xludf.DUMMYFUNCTION("""COMPUTED_VALUE"""),7)</f>
        <v>7</v>
      </c>
      <c r="N170" s="3">
        <f ca="1">IFERROR(__xludf.DUMMYFUNCTION("""COMPUTED_VALUE"""),2612)</f>
        <v>2612</v>
      </c>
      <c r="O170" s="3">
        <f ca="1">IFERROR(__xludf.DUMMYFUNCTION("""COMPUTED_VALUE"""),2575)</f>
        <v>2575</v>
      </c>
      <c r="P170" s="3">
        <f ca="1">IFERROR(__xludf.DUMMYFUNCTION("""COMPUTED_VALUE"""),1290)</f>
        <v>1290</v>
      </c>
      <c r="Q170" s="3">
        <f ca="1">IFERROR(__xludf.DUMMYFUNCTION("""COMPUTED_VALUE"""),901)</f>
        <v>901</v>
      </c>
      <c r="R170" s="3">
        <f ca="1">IFERROR(__xludf.DUMMYFUNCTION("""COMPUTED_VALUE"""),2026)</f>
        <v>2026</v>
      </c>
      <c r="S170" s="3">
        <f ca="1">IFERROR(__xludf.DUMMYFUNCTION("""COMPUTED_VALUE"""),0.445)</f>
        <v>0.44500000000000001</v>
      </c>
      <c r="T170" s="3">
        <f ca="1">IFERROR(__xludf.DUMMYFUNCTION("""COMPUTED_VALUE"""),283)</f>
        <v>283</v>
      </c>
      <c r="U170" s="3">
        <f ca="1">IFERROR(__xludf.DUMMYFUNCTION("""COMPUTED_VALUE"""),821)</f>
        <v>821</v>
      </c>
      <c r="V170" s="3">
        <f ca="1">IFERROR(__xludf.DUMMYFUNCTION("""COMPUTED_VALUE"""),0.345)</f>
        <v>0.34499999999999997</v>
      </c>
      <c r="W170" s="3">
        <f ca="1">IFERROR(__xludf.DUMMYFUNCTION("""COMPUTED_VALUE"""),527)</f>
        <v>527</v>
      </c>
      <c r="X170" s="3">
        <f ca="1">IFERROR(__xludf.DUMMYFUNCTION("""COMPUTED_VALUE"""),710)</f>
        <v>710</v>
      </c>
      <c r="Y170" s="3">
        <f ca="1">IFERROR(__xludf.DUMMYFUNCTION("""COMPUTED_VALUE"""),0.742)</f>
        <v>0.74199999999999999</v>
      </c>
      <c r="Z170" s="3">
        <f ca="1">IFERROR(__xludf.DUMMYFUNCTION("""COMPUTED_VALUE"""),364)</f>
        <v>364</v>
      </c>
      <c r="AA170" s="3">
        <f ca="1">IFERROR(__xludf.DUMMYFUNCTION("""COMPUTED_VALUE"""),1142)</f>
        <v>1142</v>
      </c>
      <c r="AB170" s="3">
        <f ca="1">IFERROR(__xludf.DUMMYFUNCTION("""COMPUTED_VALUE"""),487)</f>
        <v>487</v>
      </c>
      <c r="AC170" s="3">
        <f ca="1">IFERROR(__xludf.DUMMYFUNCTION("""COMPUTED_VALUE"""),226)</f>
        <v>226</v>
      </c>
      <c r="AD170" s="3">
        <f ca="1">IFERROR(__xludf.DUMMYFUNCTION("""COMPUTED_VALUE"""),125)</f>
        <v>125</v>
      </c>
      <c r="AE170" s="3">
        <f ca="1">IFERROR(__xludf.DUMMYFUNCTION("""COMPUTED_VALUE"""),423)</f>
        <v>423</v>
      </c>
      <c r="AF170" s="3">
        <f ca="1">IFERROR(__xludf.DUMMYFUNCTION("""COMPUTED_VALUE"""),612)</f>
        <v>612</v>
      </c>
    </row>
    <row r="171" spans="1:32" x14ac:dyDescent="0.25">
      <c r="A171" s="3" t="str">
        <f ca="1">IFERROR(__xludf.DUMMYFUNCTION("""COMPUTED_VALUE"""),"Louisiana-Monroe")</f>
        <v>Louisiana-Monroe</v>
      </c>
      <c r="B171" s="3">
        <f ca="1">IFERROR(__xludf.DUMMYFUNCTION("""COMPUTED_VALUE"""),35)</f>
        <v>35</v>
      </c>
      <c r="C171" s="3">
        <f ca="1">IFERROR(__xludf.DUMMYFUNCTION("""COMPUTED_VALUE"""),19)</f>
        <v>19</v>
      </c>
      <c r="D171" s="3">
        <f ca="1">IFERROR(__xludf.DUMMYFUNCTION("""COMPUTED_VALUE"""),16)</f>
        <v>16</v>
      </c>
      <c r="E171" s="3">
        <f ca="1">IFERROR(__xludf.DUMMYFUNCTION("""COMPUTED_VALUE"""),0.543)</f>
        <v>0.54300000000000004</v>
      </c>
      <c r="F171" s="3">
        <f ca="1">IFERROR(__xludf.DUMMYFUNCTION("""COMPUTED_VALUE"""),0.81)</f>
        <v>0.81</v>
      </c>
      <c r="G171" s="3">
        <f ca="1">IFERROR(__xludf.DUMMYFUNCTION("""COMPUTED_VALUE"""),-1.96)</f>
        <v>-1.96</v>
      </c>
      <c r="H171" s="3">
        <f ca="1">IFERROR(__xludf.DUMMYFUNCTION("""COMPUTED_VALUE"""),9)</f>
        <v>9</v>
      </c>
      <c r="I171" s="3">
        <f ca="1">IFERROR(__xludf.DUMMYFUNCTION("""COMPUTED_VALUE"""),9)</f>
        <v>9</v>
      </c>
      <c r="J171" s="3">
        <f ca="1">IFERROR(__xludf.DUMMYFUNCTION("""COMPUTED_VALUE"""),14)</f>
        <v>14</v>
      </c>
      <c r="K171" s="3">
        <f ca="1">IFERROR(__xludf.DUMMYFUNCTION("""COMPUTED_VALUE"""),3)</f>
        <v>3</v>
      </c>
      <c r="L171" s="3">
        <f ca="1">IFERROR(__xludf.DUMMYFUNCTION("""COMPUTED_VALUE"""),4)</f>
        <v>4</v>
      </c>
      <c r="M171" s="3">
        <f ca="1">IFERROR(__xludf.DUMMYFUNCTION("""COMPUTED_VALUE"""),12)</f>
        <v>12</v>
      </c>
      <c r="N171" s="3">
        <f ca="1">IFERROR(__xludf.DUMMYFUNCTION("""COMPUTED_VALUE"""),2773)</f>
        <v>2773</v>
      </c>
      <c r="O171" s="3">
        <f ca="1">IFERROR(__xludf.DUMMYFUNCTION("""COMPUTED_VALUE"""),2637)</f>
        <v>2637</v>
      </c>
      <c r="P171" s="3">
        <f ca="1">IFERROR(__xludf.DUMMYFUNCTION("""COMPUTED_VALUE"""),1425)</f>
        <v>1425</v>
      </c>
      <c r="Q171" s="3">
        <f ca="1">IFERROR(__xludf.DUMMYFUNCTION("""COMPUTED_VALUE"""),922)</f>
        <v>922</v>
      </c>
      <c r="R171" s="3">
        <f ca="1">IFERROR(__xludf.DUMMYFUNCTION("""COMPUTED_VALUE"""),2029)</f>
        <v>2029</v>
      </c>
      <c r="S171" s="3">
        <f ca="1">IFERROR(__xludf.DUMMYFUNCTION("""COMPUTED_VALUE"""),0.454)</f>
        <v>0.45400000000000001</v>
      </c>
      <c r="T171" s="3">
        <f ca="1">IFERROR(__xludf.DUMMYFUNCTION("""COMPUTED_VALUE"""),353)</f>
        <v>353</v>
      </c>
      <c r="U171" s="3">
        <f ca="1">IFERROR(__xludf.DUMMYFUNCTION("""COMPUTED_VALUE"""),891)</f>
        <v>891</v>
      </c>
      <c r="V171" s="3">
        <f ca="1">IFERROR(__xludf.DUMMYFUNCTION("""COMPUTED_VALUE"""),0.396)</f>
        <v>0.39600000000000002</v>
      </c>
      <c r="W171" s="3">
        <f ca="1">IFERROR(__xludf.DUMMYFUNCTION("""COMPUTED_VALUE"""),576)</f>
        <v>576</v>
      </c>
      <c r="X171" s="3">
        <f ca="1">IFERROR(__xludf.DUMMYFUNCTION("""COMPUTED_VALUE"""),737)</f>
        <v>737</v>
      </c>
      <c r="Y171" s="3">
        <f ca="1">IFERROR(__xludf.DUMMYFUNCTION("""COMPUTED_VALUE"""),0.782)</f>
        <v>0.78200000000000003</v>
      </c>
      <c r="Z171" s="3">
        <f ca="1">IFERROR(__xludf.DUMMYFUNCTION("""COMPUTED_VALUE"""),317)</f>
        <v>317</v>
      </c>
      <c r="AA171" s="3">
        <f ca="1">IFERROR(__xludf.DUMMYFUNCTION("""COMPUTED_VALUE"""),1176)</f>
        <v>1176</v>
      </c>
      <c r="AB171" s="3">
        <f ca="1">IFERROR(__xludf.DUMMYFUNCTION("""COMPUTED_VALUE"""),498)</f>
        <v>498</v>
      </c>
      <c r="AC171" s="3">
        <f ca="1">IFERROR(__xludf.DUMMYFUNCTION("""COMPUTED_VALUE"""),206)</f>
        <v>206</v>
      </c>
      <c r="AD171" s="3">
        <f ca="1">IFERROR(__xludf.DUMMYFUNCTION("""COMPUTED_VALUE"""),78)</f>
        <v>78</v>
      </c>
      <c r="AE171" s="3">
        <f ca="1">IFERROR(__xludf.DUMMYFUNCTION("""COMPUTED_VALUE"""),398)</f>
        <v>398</v>
      </c>
      <c r="AF171" s="3">
        <f ca="1">IFERROR(__xludf.DUMMYFUNCTION("""COMPUTED_VALUE"""),545)</f>
        <v>545</v>
      </c>
    </row>
    <row r="172" spans="1:32" x14ac:dyDescent="0.25">
      <c r="A172" s="3" t="str">
        <f ca="1">IFERROR(__xludf.DUMMYFUNCTION("""COMPUTED_VALUE"""),"Louisiana StateNCAA")</f>
        <v>Louisiana StateNCAA</v>
      </c>
      <c r="B172" s="3">
        <f ca="1">IFERROR(__xludf.DUMMYFUNCTION("""COMPUTED_VALUE"""),35)</f>
        <v>35</v>
      </c>
      <c r="C172" s="3">
        <f ca="1">IFERROR(__xludf.DUMMYFUNCTION("""COMPUTED_VALUE"""),28)</f>
        <v>28</v>
      </c>
      <c r="D172" s="3">
        <f ca="1">IFERROR(__xludf.DUMMYFUNCTION("""COMPUTED_VALUE"""),7)</f>
        <v>7</v>
      </c>
      <c r="E172" s="3">
        <f ca="1">IFERROR(__xludf.DUMMYFUNCTION("""COMPUTED_VALUE"""),0.8)</f>
        <v>0.8</v>
      </c>
      <c r="F172" s="3">
        <f ca="1">IFERROR(__xludf.DUMMYFUNCTION("""COMPUTED_VALUE"""),16.5)</f>
        <v>16.5</v>
      </c>
      <c r="G172" s="3">
        <f ca="1">IFERROR(__xludf.DUMMYFUNCTION("""COMPUTED_VALUE"""),9.16)</f>
        <v>9.16</v>
      </c>
      <c r="H172" s="3">
        <f ca="1">IFERROR(__xludf.DUMMYFUNCTION("""COMPUTED_VALUE"""),16)</f>
        <v>16</v>
      </c>
      <c r="I172" s="3">
        <f ca="1">IFERROR(__xludf.DUMMYFUNCTION("""COMPUTED_VALUE"""),2)</f>
        <v>2</v>
      </c>
      <c r="J172" s="3">
        <f ca="1">IFERROR(__xludf.DUMMYFUNCTION("""COMPUTED_VALUE"""),15)</f>
        <v>15</v>
      </c>
      <c r="K172" s="3">
        <f ca="1">IFERROR(__xludf.DUMMYFUNCTION("""COMPUTED_VALUE"""),2)</f>
        <v>2</v>
      </c>
      <c r="L172" s="3">
        <f ca="1">IFERROR(__xludf.DUMMYFUNCTION("""COMPUTED_VALUE"""),9)</f>
        <v>9</v>
      </c>
      <c r="M172" s="3">
        <f ca="1">IFERROR(__xludf.DUMMYFUNCTION("""COMPUTED_VALUE"""),1)</f>
        <v>1</v>
      </c>
      <c r="N172" s="3">
        <f ca="1">IFERROR(__xludf.DUMMYFUNCTION("""COMPUTED_VALUE"""),2815)</f>
        <v>2815</v>
      </c>
      <c r="O172" s="3">
        <f ca="1">IFERROR(__xludf.DUMMYFUNCTION("""COMPUTED_VALUE"""),2558)</f>
        <v>2558</v>
      </c>
      <c r="P172" s="3">
        <f ca="1">IFERROR(__xludf.DUMMYFUNCTION("""COMPUTED_VALUE"""),1435)</f>
        <v>1435</v>
      </c>
      <c r="Q172" s="3">
        <f ca="1">IFERROR(__xludf.DUMMYFUNCTION("""COMPUTED_VALUE"""),988)</f>
        <v>988</v>
      </c>
      <c r="R172" s="3">
        <f ca="1">IFERROR(__xludf.DUMMYFUNCTION("""COMPUTED_VALUE"""),2162)</f>
        <v>2162</v>
      </c>
      <c r="S172" s="3">
        <f ca="1">IFERROR(__xludf.DUMMYFUNCTION("""COMPUTED_VALUE"""),0.457)</f>
        <v>0.45700000000000002</v>
      </c>
      <c r="T172" s="3">
        <f ca="1">IFERROR(__xludf.DUMMYFUNCTION("""COMPUTED_VALUE"""),236)</f>
        <v>236</v>
      </c>
      <c r="U172" s="3">
        <f ca="1">IFERROR(__xludf.DUMMYFUNCTION("""COMPUTED_VALUE"""),740)</f>
        <v>740</v>
      </c>
      <c r="V172" s="3">
        <f ca="1">IFERROR(__xludf.DUMMYFUNCTION("""COMPUTED_VALUE"""),0.319)</f>
        <v>0.31900000000000001</v>
      </c>
      <c r="W172" s="3">
        <f ca="1">IFERROR(__xludf.DUMMYFUNCTION("""COMPUTED_VALUE"""),603)</f>
        <v>603</v>
      </c>
      <c r="X172" s="3">
        <f ca="1">IFERROR(__xludf.DUMMYFUNCTION("""COMPUTED_VALUE"""),802)</f>
        <v>802</v>
      </c>
      <c r="Y172" s="3">
        <f ca="1">IFERROR(__xludf.DUMMYFUNCTION("""COMPUTED_VALUE"""),0.752)</f>
        <v>0.752</v>
      </c>
      <c r="Z172" s="3">
        <f ca="1">IFERROR(__xludf.DUMMYFUNCTION("""COMPUTED_VALUE"""),460)</f>
        <v>460</v>
      </c>
      <c r="AA172" s="3">
        <f ca="1">IFERROR(__xludf.DUMMYFUNCTION("""COMPUTED_VALUE"""),1355)</f>
        <v>1355</v>
      </c>
      <c r="AB172" s="3">
        <f ca="1">IFERROR(__xludf.DUMMYFUNCTION("""COMPUTED_VALUE"""),452)</f>
        <v>452</v>
      </c>
      <c r="AC172" s="3">
        <f ca="1">IFERROR(__xludf.DUMMYFUNCTION("""COMPUTED_VALUE"""),308)</f>
        <v>308</v>
      </c>
      <c r="AD172" s="3">
        <f ca="1">IFERROR(__xludf.DUMMYFUNCTION("""COMPUTED_VALUE"""),148)</f>
        <v>148</v>
      </c>
      <c r="AE172" s="3">
        <f ca="1">IFERROR(__xludf.DUMMYFUNCTION("""COMPUTED_VALUE"""),452)</f>
        <v>452</v>
      </c>
      <c r="AF172" s="3">
        <f ca="1">IFERROR(__xludf.DUMMYFUNCTION("""COMPUTED_VALUE"""),634)</f>
        <v>634</v>
      </c>
    </row>
    <row r="173" spans="1:32" x14ac:dyDescent="0.25">
      <c r="A173" s="3" t="str">
        <f ca="1">IFERROR(__xludf.DUMMYFUNCTION("""COMPUTED_VALUE"""),"Louisiana Tech")</f>
        <v>Louisiana Tech</v>
      </c>
      <c r="B173" s="3">
        <f ca="1">IFERROR(__xludf.DUMMYFUNCTION("""COMPUTED_VALUE"""),33)</f>
        <v>33</v>
      </c>
      <c r="C173" s="3">
        <f ca="1">IFERROR(__xludf.DUMMYFUNCTION("""COMPUTED_VALUE"""),20)</f>
        <v>20</v>
      </c>
      <c r="D173" s="3">
        <f ca="1">IFERROR(__xludf.DUMMYFUNCTION("""COMPUTED_VALUE"""),13)</f>
        <v>13</v>
      </c>
      <c r="E173" s="3">
        <f ca="1">IFERROR(__xludf.DUMMYFUNCTION("""COMPUTED_VALUE"""),0.606)</f>
        <v>0.60599999999999998</v>
      </c>
      <c r="F173" s="3">
        <f ca="1">IFERROR(__xludf.DUMMYFUNCTION("""COMPUTED_VALUE"""),0.95)</f>
        <v>0.95</v>
      </c>
      <c r="G173" s="3">
        <f ca="1">IFERROR(__xludf.DUMMYFUNCTION("""COMPUTED_VALUE"""),-2.31)</f>
        <v>-2.31</v>
      </c>
      <c r="H173" s="3">
        <f ca="1">IFERROR(__xludf.DUMMYFUNCTION("""COMPUTED_VALUE"""),9)</f>
        <v>9</v>
      </c>
      <c r="I173" s="3">
        <f ca="1">IFERROR(__xludf.DUMMYFUNCTION("""COMPUTED_VALUE"""),9)</f>
        <v>9</v>
      </c>
      <c r="J173" s="3">
        <f ca="1">IFERROR(__xludf.DUMMYFUNCTION("""COMPUTED_VALUE"""),15)</f>
        <v>15</v>
      </c>
      <c r="K173" s="3">
        <f ca="1">IFERROR(__xludf.DUMMYFUNCTION("""COMPUTED_VALUE"""),1)</f>
        <v>1</v>
      </c>
      <c r="L173" s="3">
        <f ca="1">IFERROR(__xludf.DUMMYFUNCTION("""COMPUTED_VALUE"""),4)</f>
        <v>4</v>
      </c>
      <c r="M173" s="3">
        <f ca="1">IFERROR(__xludf.DUMMYFUNCTION("""COMPUTED_VALUE"""),10)</f>
        <v>10</v>
      </c>
      <c r="N173" s="3">
        <f ca="1">IFERROR(__xludf.DUMMYFUNCTION("""COMPUTED_VALUE"""),2386)</f>
        <v>2386</v>
      </c>
      <c r="O173" s="3">
        <f ca="1">IFERROR(__xludf.DUMMYFUNCTION("""COMPUTED_VALUE"""),2235)</f>
        <v>2235</v>
      </c>
      <c r="P173" s="3">
        <f ca="1">IFERROR(__xludf.DUMMYFUNCTION("""COMPUTED_VALUE"""),1335)</f>
        <v>1335</v>
      </c>
      <c r="Q173" s="3">
        <f ca="1">IFERROR(__xludf.DUMMYFUNCTION("""COMPUTED_VALUE"""),840)</f>
        <v>840</v>
      </c>
      <c r="R173" s="3">
        <f ca="1">IFERROR(__xludf.DUMMYFUNCTION("""COMPUTED_VALUE"""),1928)</f>
        <v>1928</v>
      </c>
      <c r="S173" s="3">
        <f ca="1">IFERROR(__xludf.DUMMYFUNCTION("""COMPUTED_VALUE"""),0.436)</f>
        <v>0.436</v>
      </c>
      <c r="T173" s="3">
        <f ca="1">IFERROR(__xludf.DUMMYFUNCTION("""COMPUTED_VALUE"""),253)</f>
        <v>253</v>
      </c>
      <c r="U173" s="3">
        <f ca="1">IFERROR(__xludf.DUMMYFUNCTION("""COMPUTED_VALUE"""),756)</f>
        <v>756</v>
      </c>
      <c r="V173" s="3">
        <f ca="1">IFERROR(__xludf.DUMMYFUNCTION("""COMPUTED_VALUE"""),0.335)</f>
        <v>0.33500000000000002</v>
      </c>
      <c r="W173" s="3">
        <f ca="1">IFERROR(__xludf.DUMMYFUNCTION("""COMPUTED_VALUE"""),453)</f>
        <v>453</v>
      </c>
      <c r="X173" s="3">
        <f ca="1">IFERROR(__xludf.DUMMYFUNCTION("""COMPUTED_VALUE"""),690)</f>
        <v>690</v>
      </c>
      <c r="Y173" s="3">
        <f ca="1">IFERROR(__xludf.DUMMYFUNCTION("""COMPUTED_VALUE"""),0.657)</f>
        <v>0.65700000000000003</v>
      </c>
      <c r="Z173" s="3">
        <f ca="1">IFERROR(__xludf.DUMMYFUNCTION("""COMPUTED_VALUE"""),368)</f>
        <v>368</v>
      </c>
      <c r="AA173" s="3">
        <f ca="1">IFERROR(__xludf.DUMMYFUNCTION("""COMPUTED_VALUE"""),1204)</f>
        <v>1204</v>
      </c>
      <c r="AB173" s="3">
        <f ca="1">IFERROR(__xludf.DUMMYFUNCTION("""COMPUTED_VALUE"""),440)</f>
        <v>440</v>
      </c>
      <c r="AC173" s="3">
        <f ca="1">IFERROR(__xludf.DUMMYFUNCTION("""COMPUTED_VALUE"""),190)</f>
        <v>190</v>
      </c>
      <c r="AD173" s="3">
        <f ca="1">IFERROR(__xludf.DUMMYFUNCTION("""COMPUTED_VALUE"""),115)</f>
        <v>115</v>
      </c>
      <c r="AE173" s="3">
        <f ca="1">IFERROR(__xludf.DUMMYFUNCTION("""COMPUTED_VALUE"""),386)</f>
        <v>386</v>
      </c>
      <c r="AF173" s="3">
        <f ca="1">IFERROR(__xludf.DUMMYFUNCTION("""COMPUTED_VALUE"""),535)</f>
        <v>535</v>
      </c>
    </row>
    <row r="174" spans="1:32" x14ac:dyDescent="0.25">
      <c r="A174" s="3" t="str">
        <f ca="1">IFERROR(__xludf.DUMMYFUNCTION("""COMPUTED_VALUE"""),"LouisvilleNCAA")</f>
        <v>LouisvilleNCAA</v>
      </c>
      <c r="B174" s="3">
        <f ca="1">IFERROR(__xludf.DUMMYFUNCTION("""COMPUTED_VALUE"""),34)</f>
        <v>34</v>
      </c>
      <c r="C174" s="3">
        <f ca="1">IFERROR(__xludf.DUMMYFUNCTION("""COMPUTED_VALUE"""),20)</f>
        <v>20</v>
      </c>
      <c r="D174" s="3">
        <f ca="1">IFERROR(__xludf.DUMMYFUNCTION("""COMPUTED_VALUE"""),14)</f>
        <v>14</v>
      </c>
      <c r="E174" s="3">
        <f ca="1">IFERROR(__xludf.DUMMYFUNCTION("""COMPUTED_VALUE"""),0.588)</f>
        <v>0.58799999999999997</v>
      </c>
      <c r="F174" s="3">
        <f ca="1">IFERROR(__xludf.DUMMYFUNCTION("""COMPUTED_VALUE"""),17.28)</f>
        <v>17.28</v>
      </c>
      <c r="G174" s="3">
        <f ca="1">IFERROR(__xludf.DUMMYFUNCTION("""COMPUTED_VALUE"""),11.04)</f>
        <v>11.04</v>
      </c>
      <c r="H174" s="3">
        <f ca="1">IFERROR(__xludf.DUMMYFUNCTION("""COMPUTED_VALUE"""),10)</f>
        <v>10</v>
      </c>
      <c r="I174" s="3">
        <f ca="1">IFERROR(__xludf.DUMMYFUNCTION("""COMPUTED_VALUE"""),8)</f>
        <v>8</v>
      </c>
      <c r="J174" s="3">
        <f ca="1">IFERROR(__xludf.DUMMYFUNCTION("""COMPUTED_VALUE"""),14)</f>
        <v>14</v>
      </c>
      <c r="K174" s="3">
        <f ca="1">IFERROR(__xludf.DUMMYFUNCTION("""COMPUTED_VALUE"""),4)</f>
        <v>4</v>
      </c>
      <c r="L174" s="3">
        <f ca="1">IFERROR(__xludf.DUMMYFUNCTION("""COMPUTED_VALUE"""),5)</f>
        <v>5</v>
      </c>
      <c r="M174" s="3">
        <f ca="1">IFERROR(__xludf.DUMMYFUNCTION("""COMPUTED_VALUE"""),6)</f>
        <v>6</v>
      </c>
      <c r="N174" s="3">
        <f ca="1">IFERROR(__xludf.DUMMYFUNCTION("""COMPUTED_VALUE"""),2536)</f>
        <v>2536</v>
      </c>
      <c r="O174" s="3">
        <f ca="1">IFERROR(__xludf.DUMMYFUNCTION("""COMPUTED_VALUE"""),2324)</f>
        <v>2324</v>
      </c>
      <c r="P174" s="3">
        <f ca="1">IFERROR(__xludf.DUMMYFUNCTION("""COMPUTED_VALUE"""),1380)</f>
        <v>1380</v>
      </c>
      <c r="Q174" s="3">
        <f ca="1">IFERROR(__xludf.DUMMYFUNCTION("""COMPUTED_VALUE"""),854)</f>
        <v>854</v>
      </c>
      <c r="R174" s="3">
        <f ca="1">IFERROR(__xludf.DUMMYFUNCTION("""COMPUTED_VALUE"""),1967)</f>
        <v>1967</v>
      </c>
      <c r="S174" s="3">
        <f ca="1">IFERROR(__xludf.DUMMYFUNCTION("""COMPUTED_VALUE"""),0.434)</f>
        <v>0.434</v>
      </c>
      <c r="T174" s="3">
        <f ca="1">IFERROR(__xludf.DUMMYFUNCTION("""COMPUTED_VALUE"""),294)</f>
        <v>294</v>
      </c>
      <c r="U174" s="3">
        <f ca="1">IFERROR(__xludf.DUMMYFUNCTION("""COMPUTED_VALUE"""),860)</f>
        <v>860</v>
      </c>
      <c r="V174" s="3">
        <f ca="1">IFERROR(__xludf.DUMMYFUNCTION("""COMPUTED_VALUE"""),0.342)</f>
        <v>0.34200000000000003</v>
      </c>
      <c r="W174" s="3">
        <f ca="1">IFERROR(__xludf.DUMMYFUNCTION("""COMPUTED_VALUE"""),534)</f>
        <v>534</v>
      </c>
      <c r="X174" s="3">
        <f ca="1">IFERROR(__xludf.DUMMYFUNCTION("""COMPUTED_VALUE"""),687)</f>
        <v>687</v>
      </c>
      <c r="Y174" s="3">
        <f ca="1">IFERROR(__xludf.DUMMYFUNCTION("""COMPUTED_VALUE"""),0.777)</f>
        <v>0.77700000000000002</v>
      </c>
      <c r="Z174" s="3">
        <f ca="1">IFERROR(__xludf.DUMMYFUNCTION("""COMPUTED_VALUE"""),345)</f>
        <v>345</v>
      </c>
      <c r="AA174" s="3">
        <f ca="1">IFERROR(__xludf.DUMMYFUNCTION("""COMPUTED_VALUE"""),1297)</f>
        <v>1297</v>
      </c>
      <c r="AB174" s="3">
        <f ca="1">IFERROR(__xludf.DUMMYFUNCTION("""COMPUTED_VALUE"""),458)</f>
        <v>458</v>
      </c>
      <c r="AC174" s="3">
        <f ca="1">IFERROR(__xludf.DUMMYFUNCTION("""COMPUTED_VALUE"""),149)</f>
        <v>149</v>
      </c>
      <c r="AD174" s="3">
        <f ca="1">IFERROR(__xludf.DUMMYFUNCTION("""COMPUTED_VALUE"""),99)</f>
        <v>99</v>
      </c>
      <c r="AE174" s="3">
        <f ca="1">IFERROR(__xludf.DUMMYFUNCTION("""COMPUTED_VALUE"""),412)</f>
        <v>412</v>
      </c>
      <c r="AF174" s="3">
        <f ca="1">IFERROR(__xludf.DUMMYFUNCTION("""COMPUTED_VALUE"""),591)</f>
        <v>591</v>
      </c>
    </row>
    <row r="175" spans="1:32" x14ac:dyDescent="0.25">
      <c r="A175" s="3" t="str">
        <f ca="1">IFERROR(__xludf.DUMMYFUNCTION("""COMPUTED_VALUE"""),"Loyola (IL)")</f>
        <v>Loyola (IL)</v>
      </c>
      <c r="B175" s="3">
        <f ca="1">IFERROR(__xludf.DUMMYFUNCTION("""COMPUTED_VALUE"""),34)</f>
        <v>34</v>
      </c>
      <c r="C175" s="3">
        <f ca="1">IFERROR(__xludf.DUMMYFUNCTION("""COMPUTED_VALUE"""),20)</f>
        <v>20</v>
      </c>
      <c r="D175" s="3">
        <f ca="1">IFERROR(__xludf.DUMMYFUNCTION("""COMPUTED_VALUE"""),14)</f>
        <v>14</v>
      </c>
      <c r="E175" s="3">
        <f ca="1">IFERROR(__xludf.DUMMYFUNCTION("""COMPUTED_VALUE"""),0.588)</f>
        <v>0.58799999999999997</v>
      </c>
      <c r="F175" s="3">
        <f ca="1">IFERROR(__xludf.DUMMYFUNCTION("""COMPUTED_VALUE"""),3.99)</f>
        <v>3.99</v>
      </c>
      <c r="G175" s="3">
        <f ca="1">IFERROR(__xludf.DUMMYFUNCTION("""COMPUTED_VALUE"""),-0.16)</f>
        <v>-0.16</v>
      </c>
      <c r="H175" s="3">
        <f ca="1">IFERROR(__xludf.DUMMYFUNCTION("""COMPUTED_VALUE"""),12)</f>
        <v>12</v>
      </c>
      <c r="I175" s="3">
        <f ca="1">IFERROR(__xludf.DUMMYFUNCTION("""COMPUTED_VALUE"""),6)</f>
        <v>6</v>
      </c>
      <c r="J175" s="3">
        <f ca="1">IFERROR(__xludf.DUMMYFUNCTION("""COMPUTED_VALUE"""),13)</f>
        <v>13</v>
      </c>
      <c r="K175" s="3">
        <f ca="1">IFERROR(__xludf.DUMMYFUNCTION("""COMPUTED_VALUE"""),4)</f>
        <v>4</v>
      </c>
      <c r="L175" s="3">
        <f ca="1">IFERROR(__xludf.DUMMYFUNCTION("""COMPUTED_VALUE"""),5)</f>
        <v>5</v>
      </c>
      <c r="M175" s="3">
        <f ca="1">IFERROR(__xludf.DUMMYFUNCTION("""COMPUTED_VALUE"""),7)</f>
        <v>7</v>
      </c>
      <c r="N175" s="3">
        <f ca="1">IFERROR(__xludf.DUMMYFUNCTION("""COMPUTED_VALUE"""),2231)</f>
        <v>2231</v>
      </c>
      <c r="O175" s="3">
        <f ca="1">IFERROR(__xludf.DUMMYFUNCTION("""COMPUTED_VALUE"""),2066)</f>
        <v>2066</v>
      </c>
      <c r="P175" s="3">
        <f ca="1">IFERROR(__xludf.DUMMYFUNCTION("""COMPUTED_VALUE"""),1360)</f>
        <v>1360</v>
      </c>
      <c r="Q175" s="3">
        <f ca="1">IFERROR(__xludf.DUMMYFUNCTION("""COMPUTED_VALUE"""),831)</f>
        <v>831</v>
      </c>
      <c r="R175" s="3">
        <f ca="1">IFERROR(__xludf.DUMMYFUNCTION("""COMPUTED_VALUE"""),1687)</f>
        <v>1687</v>
      </c>
      <c r="S175" s="3">
        <f ca="1">IFERROR(__xludf.DUMMYFUNCTION("""COMPUTED_VALUE"""),0.493)</f>
        <v>0.49299999999999999</v>
      </c>
      <c r="T175" s="3">
        <f ca="1">IFERROR(__xludf.DUMMYFUNCTION("""COMPUTED_VALUE"""),206)</f>
        <v>206</v>
      </c>
      <c r="U175" s="3">
        <f ca="1">IFERROR(__xludf.DUMMYFUNCTION("""COMPUTED_VALUE"""),563)</f>
        <v>563</v>
      </c>
      <c r="V175" s="3">
        <f ca="1">IFERROR(__xludf.DUMMYFUNCTION("""COMPUTED_VALUE"""),0.366)</f>
        <v>0.36599999999999999</v>
      </c>
      <c r="W175" s="3">
        <f ca="1">IFERROR(__xludf.DUMMYFUNCTION("""COMPUTED_VALUE"""),363)</f>
        <v>363</v>
      </c>
      <c r="X175" s="3">
        <f ca="1">IFERROR(__xludf.DUMMYFUNCTION("""COMPUTED_VALUE"""),545)</f>
        <v>545</v>
      </c>
      <c r="Y175" s="3">
        <f ca="1">IFERROR(__xludf.DUMMYFUNCTION("""COMPUTED_VALUE"""),0.666)</f>
        <v>0.66600000000000004</v>
      </c>
      <c r="Z175" s="3">
        <f ca="1">IFERROR(__xludf.DUMMYFUNCTION("""COMPUTED_VALUE"""),190)</f>
        <v>190</v>
      </c>
      <c r="AA175" s="3">
        <f ca="1">IFERROR(__xludf.DUMMYFUNCTION("""COMPUTED_VALUE"""),1013)</f>
        <v>1013</v>
      </c>
      <c r="AB175" s="3">
        <f ca="1">IFERROR(__xludf.DUMMYFUNCTION("""COMPUTED_VALUE"""),468)</f>
        <v>468</v>
      </c>
      <c r="AC175" s="3">
        <f ca="1">IFERROR(__xludf.DUMMYFUNCTION("""COMPUTED_VALUE"""),220)</f>
        <v>220</v>
      </c>
      <c r="AD175" s="3">
        <f ca="1">IFERROR(__xludf.DUMMYFUNCTION("""COMPUTED_VALUE"""),78)</f>
        <v>78</v>
      </c>
      <c r="AE175" s="3">
        <f ca="1">IFERROR(__xludf.DUMMYFUNCTION("""COMPUTED_VALUE"""),407)</f>
        <v>407</v>
      </c>
      <c r="AF175" s="3">
        <f ca="1">IFERROR(__xludf.DUMMYFUNCTION("""COMPUTED_VALUE"""),471)</f>
        <v>471</v>
      </c>
    </row>
    <row r="176" spans="1:32" x14ac:dyDescent="0.25">
      <c r="A176" s="3" t="str">
        <f ca="1">IFERROR(__xludf.DUMMYFUNCTION("""COMPUTED_VALUE"""),"Overall")</f>
        <v>Overall</v>
      </c>
      <c r="B176" s="3" t="str">
        <f ca="1">IFERROR(__xludf.DUMMYFUNCTION("""COMPUTED_VALUE"""),"Conf.")</f>
        <v>Conf.</v>
      </c>
      <c r="C176" s="3" t="str">
        <f ca="1">IFERROR(__xludf.DUMMYFUNCTION("""COMPUTED_VALUE"""),"Home")</f>
        <v>Home</v>
      </c>
      <c r="D176" s="3" t="str">
        <f ca="1">IFERROR(__xludf.DUMMYFUNCTION("""COMPUTED_VALUE"""),"Away")</f>
        <v>Away</v>
      </c>
      <c r="E176" s="3" t="str">
        <f ca="1">IFERROR(__xludf.DUMMYFUNCTION("""COMPUTED_VALUE"""),"Points")</f>
        <v>Points</v>
      </c>
      <c r="F176" s="3" t="str">
        <f ca="1">IFERROR(__xludf.DUMMYFUNCTION("""COMPUTED_VALUE"""),"")</f>
        <v/>
      </c>
      <c r="G176" s="3" t="str">
        <f ca="1">IFERROR(__xludf.DUMMYFUNCTION("""COMPUTED_VALUE"""),"School Totals")</f>
        <v>School Totals</v>
      </c>
      <c r="H176" s="3" t="str">
        <f ca="1">IFERROR(__xludf.DUMMYFUNCTION("""COMPUTED_VALUE"""),"")</f>
        <v/>
      </c>
      <c r="I176" s="3" t="str">
        <f ca="1">IFERROR(__xludf.DUMMYFUNCTION("""COMPUTED_VALUE"""),"")</f>
        <v/>
      </c>
      <c r="J176" s="3" t="str">
        <f ca="1">IFERROR(__xludf.DUMMYFUNCTION("""COMPUTED_VALUE"""),"")</f>
        <v/>
      </c>
      <c r="K176" s="3" t="str">
        <f ca="1">IFERROR(__xludf.DUMMYFUNCTION("""COMPUTED_VALUE"""),"")</f>
        <v/>
      </c>
      <c r="L176" s="3" t="str">
        <f ca="1">IFERROR(__xludf.DUMMYFUNCTION("""COMPUTED_VALUE"""),"")</f>
        <v/>
      </c>
      <c r="M176" s="3" t="str">
        <f ca="1">IFERROR(__xludf.DUMMYFUNCTION("""COMPUTED_VALUE"""),"")</f>
        <v/>
      </c>
      <c r="N176" s="3" t="str">
        <f ca="1">IFERROR(__xludf.DUMMYFUNCTION("""COMPUTED_VALUE"""),"")</f>
        <v/>
      </c>
      <c r="O176" s="3" t="str">
        <f ca="1">IFERROR(__xludf.DUMMYFUNCTION("""COMPUTED_VALUE"""),"")</f>
        <v/>
      </c>
      <c r="P176" s="3" t="str">
        <f ca="1">IFERROR(__xludf.DUMMYFUNCTION("""COMPUTED_VALUE"""),"")</f>
        <v/>
      </c>
      <c r="Q176" s="3" t="str">
        <f ca="1">IFERROR(__xludf.DUMMYFUNCTION("""COMPUTED_VALUE"""),"")</f>
        <v/>
      </c>
      <c r="R176" s="3" t="str">
        <f ca="1">IFERROR(__xludf.DUMMYFUNCTION("""COMPUTED_VALUE"""),"")</f>
        <v/>
      </c>
      <c r="S176" s="3" t="str">
        <f ca="1">IFERROR(__xludf.DUMMYFUNCTION("""COMPUTED_VALUE"""),"")</f>
        <v/>
      </c>
      <c r="T176" s="3" t="str">
        <f ca="1">IFERROR(__xludf.DUMMYFUNCTION("""COMPUTED_VALUE"""),"")</f>
        <v/>
      </c>
      <c r="U176" s="3" t="str">
        <f ca="1">IFERROR(__xludf.DUMMYFUNCTION("""COMPUTED_VALUE"""),"")</f>
        <v/>
      </c>
      <c r="V176" s="3" t="str">
        <f ca="1">IFERROR(__xludf.DUMMYFUNCTION("""COMPUTED_VALUE"""),"")</f>
        <v/>
      </c>
      <c r="W176" s="3" t="str">
        <f ca="1">IFERROR(__xludf.DUMMYFUNCTION("""COMPUTED_VALUE"""),"")</f>
        <v/>
      </c>
      <c r="X176" s="3" t="str">
        <f ca="1">IFERROR(__xludf.DUMMYFUNCTION("""COMPUTED_VALUE"""),"")</f>
        <v/>
      </c>
      <c r="Y176" s="3" t="str">
        <f ca="1">IFERROR(__xludf.DUMMYFUNCTION("""COMPUTED_VALUE"""),"")</f>
        <v/>
      </c>
      <c r="Z176" s="3" t="str">
        <f ca="1">IFERROR(__xludf.DUMMYFUNCTION("""COMPUTED_VALUE"""),"")</f>
        <v/>
      </c>
      <c r="AA176" s="3" t="str">
        <f ca="1">IFERROR(__xludf.DUMMYFUNCTION("""COMPUTED_VALUE"""),"")</f>
        <v/>
      </c>
      <c r="AB176" s="3" t="str">
        <f ca="1">IFERROR(__xludf.DUMMYFUNCTION("""COMPUTED_VALUE"""),"")</f>
        <v/>
      </c>
      <c r="AC176" s="3" t="str">
        <f ca="1">IFERROR(__xludf.DUMMYFUNCTION("""COMPUTED_VALUE"""),"")</f>
        <v/>
      </c>
      <c r="AD176" s="3" t="str">
        <f ca="1">IFERROR(__xludf.DUMMYFUNCTION("""COMPUTED_VALUE"""),"")</f>
        <v/>
      </c>
      <c r="AE176" s="3" t="str">
        <f ca="1">IFERROR(__xludf.DUMMYFUNCTION("""COMPUTED_VALUE"""),"")</f>
        <v/>
      </c>
      <c r="AF176" s="3" t="str">
        <f ca="1">IFERROR(__xludf.DUMMYFUNCTION("""COMPUTED_VALUE"""),"")</f>
        <v/>
      </c>
    </row>
    <row r="177" spans="1:32" x14ac:dyDescent="0.25">
      <c r="A177" s="3" t="str">
        <f ca="1">IFERROR(__xludf.DUMMYFUNCTION("""COMPUTED_VALUE"""),"School")</f>
        <v>School</v>
      </c>
      <c r="B177" s="3" t="str">
        <f ca="1">IFERROR(__xludf.DUMMYFUNCTION("""COMPUTED_VALUE"""),"G")</f>
        <v>G</v>
      </c>
      <c r="C177" s="3" t="str">
        <f ca="1">IFERROR(__xludf.DUMMYFUNCTION("""COMPUTED_VALUE"""),"W")</f>
        <v>W</v>
      </c>
      <c r="D177" s="3" t="str">
        <f ca="1">IFERROR(__xludf.DUMMYFUNCTION("""COMPUTED_VALUE"""),"L")</f>
        <v>L</v>
      </c>
      <c r="E177" s="3" t="str">
        <f ca="1">IFERROR(__xludf.DUMMYFUNCTION("""COMPUTED_VALUE"""),"W-L%")</f>
        <v>W-L%</v>
      </c>
      <c r="F177" s="3" t="str">
        <f ca="1">IFERROR(__xludf.DUMMYFUNCTION("""COMPUTED_VALUE"""),"SRS")</f>
        <v>SRS</v>
      </c>
      <c r="G177" s="3" t="str">
        <f ca="1">IFERROR(__xludf.DUMMYFUNCTION("""COMPUTED_VALUE"""),"SOS")</f>
        <v>SOS</v>
      </c>
      <c r="H177" s="3" t="str">
        <f ca="1">IFERROR(__xludf.DUMMYFUNCTION("""COMPUTED_VALUE"""),"W")</f>
        <v>W</v>
      </c>
      <c r="I177" s="3" t="str">
        <f ca="1">IFERROR(__xludf.DUMMYFUNCTION("""COMPUTED_VALUE"""),"L")</f>
        <v>L</v>
      </c>
      <c r="J177" s="3" t="str">
        <f ca="1">IFERROR(__xludf.DUMMYFUNCTION("""COMPUTED_VALUE"""),"W")</f>
        <v>W</v>
      </c>
      <c r="K177" s="3" t="str">
        <f ca="1">IFERROR(__xludf.DUMMYFUNCTION("""COMPUTED_VALUE"""),"L")</f>
        <v>L</v>
      </c>
      <c r="L177" s="3" t="str">
        <f ca="1">IFERROR(__xludf.DUMMYFUNCTION("""COMPUTED_VALUE"""),"W")</f>
        <v>W</v>
      </c>
      <c r="M177" s="3" t="str">
        <f ca="1">IFERROR(__xludf.DUMMYFUNCTION("""COMPUTED_VALUE"""),"L")</f>
        <v>L</v>
      </c>
      <c r="N177" s="3" t="str">
        <f ca="1">IFERROR(__xludf.DUMMYFUNCTION("""COMPUTED_VALUE"""),"Tm.")</f>
        <v>Tm.</v>
      </c>
      <c r="O177" s="3" t="str">
        <f ca="1">IFERROR(__xludf.DUMMYFUNCTION("""COMPUTED_VALUE"""),"Opp.")</f>
        <v>Opp.</v>
      </c>
      <c r="P177" s="3" t="str">
        <f ca="1">IFERROR(__xludf.DUMMYFUNCTION("""COMPUTED_VALUE"""),"MP")</f>
        <v>MP</v>
      </c>
      <c r="Q177" s="3" t="str">
        <f ca="1">IFERROR(__xludf.DUMMYFUNCTION("""COMPUTED_VALUE"""),"FG")</f>
        <v>FG</v>
      </c>
      <c r="R177" s="3" t="str">
        <f ca="1">IFERROR(__xludf.DUMMYFUNCTION("""COMPUTED_VALUE"""),"FGA")</f>
        <v>FGA</v>
      </c>
      <c r="S177" s="3" t="str">
        <f ca="1">IFERROR(__xludf.DUMMYFUNCTION("""COMPUTED_VALUE"""),"FG%")</f>
        <v>FG%</v>
      </c>
      <c r="T177" s="3" t="str">
        <f ca="1">IFERROR(__xludf.DUMMYFUNCTION("""COMPUTED_VALUE"""),"3P")</f>
        <v>3P</v>
      </c>
      <c r="U177" s="3" t="str">
        <f ca="1">IFERROR(__xludf.DUMMYFUNCTION("""COMPUTED_VALUE"""),"3PA")</f>
        <v>3PA</v>
      </c>
      <c r="V177" s="3" t="str">
        <f ca="1">IFERROR(__xludf.DUMMYFUNCTION("""COMPUTED_VALUE"""),"3P%")</f>
        <v>3P%</v>
      </c>
      <c r="W177" s="3" t="str">
        <f ca="1">IFERROR(__xludf.DUMMYFUNCTION("""COMPUTED_VALUE"""),"FT")</f>
        <v>FT</v>
      </c>
      <c r="X177" s="3" t="str">
        <f ca="1">IFERROR(__xludf.DUMMYFUNCTION("""COMPUTED_VALUE"""),"FTA")</f>
        <v>FTA</v>
      </c>
      <c r="Y177" s="3" t="str">
        <f ca="1">IFERROR(__xludf.DUMMYFUNCTION("""COMPUTED_VALUE"""),"FT%")</f>
        <v>FT%</v>
      </c>
      <c r="Z177" s="3" t="str">
        <f ca="1">IFERROR(__xludf.DUMMYFUNCTION("""COMPUTED_VALUE"""),"ORB")</f>
        <v>ORB</v>
      </c>
      <c r="AA177" s="3" t="str">
        <f ca="1">IFERROR(__xludf.DUMMYFUNCTION("""COMPUTED_VALUE"""),"TRB")</f>
        <v>TRB</v>
      </c>
      <c r="AB177" s="3" t="str">
        <f ca="1">IFERROR(__xludf.DUMMYFUNCTION("""COMPUTED_VALUE"""),"AST")</f>
        <v>AST</v>
      </c>
      <c r="AC177" s="3" t="str">
        <f ca="1">IFERROR(__xludf.DUMMYFUNCTION("""COMPUTED_VALUE"""),"STL")</f>
        <v>STL</v>
      </c>
      <c r="AD177" s="3" t="str">
        <f ca="1">IFERROR(__xludf.DUMMYFUNCTION("""COMPUTED_VALUE"""),"BLK")</f>
        <v>BLK</v>
      </c>
      <c r="AE177" s="3" t="str">
        <f ca="1">IFERROR(__xludf.DUMMYFUNCTION("""COMPUTED_VALUE"""),"TOV")</f>
        <v>TOV</v>
      </c>
      <c r="AF177" s="3" t="str">
        <f ca="1">IFERROR(__xludf.DUMMYFUNCTION("""COMPUTED_VALUE"""),"PF")</f>
        <v>PF</v>
      </c>
    </row>
    <row r="178" spans="1:32" x14ac:dyDescent="0.25">
      <c r="A178" s="3" t="str">
        <f ca="1">IFERROR(__xludf.DUMMYFUNCTION("""COMPUTED_VALUE"""),"Loyola Marymount")</f>
        <v>Loyola Marymount</v>
      </c>
      <c r="B178" s="3">
        <f ca="1">IFERROR(__xludf.DUMMYFUNCTION("""COMPUTED_VALUE"""),34)</f>
        <v>34</v>
      </c>
      <c r="C178" s="3">
        <f ca="1">IFERROR(__xludf.DUMMYFUNCTION("""COMPUTED_VALUE"""),22)</f>
        <v>22</v>
      </c>
      <c r="D178" s="3">
        <f ca="1">IFERROR(__xludf.DUMMYFUNCTION("""COMPUTED_VALUE"""),12)</f>
        <v>12</v>
      </c>
      <c r="E178" s="3">
        <f ca="1">IFERROR(__xludf.DUMMYFUNCTION("""COMPUTED_VALUE"""),0.647)</f>
        <v>0.64700000000000002</v>
      </c>
      <c r="F178" s="3">
        <f ca="1">IFERROR(__xludf.DUMMYFUNCTION("""COMPUTED_VALUE"""),2.93)</f>
        <v>2.93</v>
      </c>
      <c r="G178" s="3">
        <f ca="1">IFERROR(__xludf.DUMMYFUNCTION("""COMPUTED_VALUE"""),0.9)</f>
        <v>0.9</v>
      </c>
      <c r="H178" s="3">
        <f ca="1">IFERROR(__xludf.DUMMYFUNCTION("""COMPUTED_VALUE"""),8)</f>
        <v>8</v>
      </c>
      <c r="I178" s="3">
        <f ca="1">IFERROR(__xludf.DUMMYFUNCTION("""COMPUTED_VALUE"""),8)</f>
        <v>8</v>
      </c>
      <c r="J178" s="3">
        <f ca="1">IFERROR(__xludf.DUMMYFUNCTION("""COMPUTED_VALUE"""),12)</f>
        <v>12</v>
      </c>
      <c r="K178" s="3">
        <f ca="1">IFERROR(__xludf.DUMMYFUNCTION("""COMPUTED_VALUE"""),4)</f>
        <v>4</v>
      </c>
      <c r="L178" s="3">
        <f ca="1">IFERROR(__xludf.DUMMYFUNCTION("""COMPUTED_VALUE"""),8)</f>
        <v>8</v>
      </c>
      <c r="M178" s="3">
        <f ca="1">IFERROR(__xludf.DUMMYFUNCTION("""COMPUTED_VALUE"""),7)</f>
        <v>7</v>
      </c>
      <c r="N178" s="3">
        <f ca="1">IFERROR(__xludf.DUMMYFUNCTION("""COMPUTED_VALUE"""),2278)</f>
        <v>2278</v>
      </c>
      <c r="O178" s="3">
        <f ca="1">IFERROR(__xludf.DUMMYFUNCTION("""COMPUTED_VALUE"""),2125)</f>
        <v>2125</v>
      </c>
      <c r="P178" s="3">
        <f ca="1">IFERROR(__xludf.DUMMYFUNCTION("""COMPUTED_VALUE"""),1360)</f>
        <v>1360</v>
      </c>
      <c r="Q178" s="3">
        <f ca="1">IFERROR(__xludf.DUMMYFUNCTION("""COMPUTED_VALUE"""),817)</f>
        <v>817</v>
      </c>
      <c r="R178" s="3">
        <f ca="1">IFERROR(__xludf.DUMMYFUNCTION("""COMPUTED_VALUE"""),1800)</f>
        <v>1800</v>
      </c>
      <c r="S178" s="3">
        <f ca="1">IFERROR(__xludf.DUMMYFUNCTION("""COMPUTED_VALUE"""),0.454)</f>
        <v>0.45400000000000001</v>
      </c>
      <c r="T178" s="3">
        <f ca="1">IFERROR(__xludf.DUMMYFUNCTION("""COMPUTED_VALUE"""),163)</f>
        <v>163</v>
      </c>
      <c r="U178" s="3">
        <f ca="1">IFERROR(__xludf.DUMMYFUNCTION("""COMPUTED_VALUE"""),510)</f>
        <v>510</v>
      </c>
      <c r="V178" s="3">
        <f ca="1">IFERROR(__xludf.DUMMYFUNCTION("""COMPUTED_VALUE"""),0.32)</f>
        <v>0.32</v>
      </c>
      <c r="W178" s="3">
        <f ca="1">IFERROR(__xludf.DUMMYFUNCTION("""COMPUTED_VALUE"""),481)</f>
        <v>481</v>
      </c>
      <c r="X178" s="3">
        <f ca="1">IFERROR(__xludf.DUMMYFUNCTION("""COMPUTED_VALUE"""),645)</f>
        <v>645</v>
      </c>
      <c r="Y178" s="3">
        <f ca="1">IFERROR(__xludf.DUMMYFUNCTION("""COMPUTED_VALUE"""),0.746)</f>
        <v>0.746</v>
      </c>
      <c r="Z178" s="3">
        <f ca="1">IFERROR(__xludf.DUMMYFUNCTION("""COMPUTED_VALUE"""),314)</f>
        <v>314</v>
      </c>
      <c r="AA178" s="3">
        <f ca="1">IFERROR(__xludf.DUMMYFUNCTION("""COMPUTED_VALUE"""),1098)</f>
        <v>1098</v>
      </c>
      <c r="AB178" s="3">
        <f ca="1">IFERROR(__xludf.DUMMYFUNCTION("""COMPUTED_VALUE"""),460)</f>
        <v>460</v>
      </c>
      <c r="AC178" s="3">
        <f ca="1">IFERROR(__xludf.DUMMYFUNCTION("""COMPUTED_VALUE"""),250)</f>
        <v>250</v>
      </c>
      <c r="AD178" s="3">
        <f ca="1">IFERROR(__xludf.DUMMYFUNCTION("""COMPUTED_VALUE"""),102)</f>
        <v>102</v>
      </c>
      <c r="AE178" s="3">
        <f ca="1">IFERROR(__xludf.DUMMYFUNCTION("""COMPUTED_VALUE"""),425)</f>
        <v>425</v>
      </c>
      <c r="AF178" s="3">
        <f ca="1">IFERROR(__xludf.DUMMYFUNCTION("""COMPUTED_VALUE"""),602)</f>
        <v>602</v>
      </c>
    </row>
    <row r="179" spans="1:32" x14ac:dyDescent="0.25">
      <c r="A179" s="3" t="str">
        <f ca="1">IFERROR(__xludf.DUMMYFUNCTION("""COMPUTED_VALUE"""),"Loyola (MD)")</f>
        <v>Loyola (MD)</v>
      </c>
      <c r="B179" s="3">
        <f ca="1">IFERROR(__xludf.DUMMYFUNCTION("""COMPUTED_VALUE"""),32)</f>
        <v>32</v>
      </c>
      <c r="C179" s="3">
        <f ca="1">IFERROR(__xludf.DUMMYFUNCTION("""COMPUTED_VALUE"""),11)</f>
        <v>11</v>
      </c>
      <c r="D179" s="3">
        <f ca="1">IFERROR(__xludf.DUMMYFUNCTION("""COMPUTED_VALUE"""),21)</f>
        <v>21</v>
      </c>
      <c r="E179" s="3">
        <f ca="1">IFERROR(__xludf.DUMMYFUNCTION("""COMPUTED_VALUE"""),0.344)</f>
        <v>0.34399999999999997</v>
      </c>
      <c r="F179" s="3">
        <f ca="1">IFERROR(__xludf.DUMMYFUNCTION("""COMPUTED_VALUE"""),-9.13)</f>
        <v>-9.1300000000000008</v>
      </c>
      <c r="G179" s="3">
        <f ca="1">IFERROR(__xludf.DUMMYFUNCTION("""COMPUTED_VALUE"""),-4.6)</f>
        <v>-4.5999999999999996</v>
      </c>
      <c r="H179" s="3">
        <f ca="1">IFERROR(__xludf.DUMMYFUNCTION("""COMPUTED_VALUE"""),7)</f>
        <v>7</v>
      </c>
      <c r="I179" s="3">
        <f ca="1">IFERROR(__xludf.DUMMYFUNCTION("""COMPUTED_VALUE"""),11)</f>
        <v>11</v>
      </c>
      <c r="J179" s="3">
        <f ca="1">IFERROR(__xludf.DUMMYFUNCTION("""COMPUTED_VALUE"""),7)</f>
        <v>7</v>
      </c>
      <c r="K179" s="3">
        <f ca="1">IFERROR(__xludf.DUMMYFUNCTION("""COMPUTED_VALUE"""),5)</f>
        <v>5</v>
      </c>
      <c r="L179" s="3">
        <f ca="1">IFERROR(__xludf.DUMMYFUNCTION("""COMPUTED_VALUE"""),3)</f>
        <v>3</v>
      </c>
      <c r="M179" s="3">
        <f ca="1">IFERROR(__xludf.DUMMYFUNCTION("""COMPUTED_VALUE"""),16)</f>
        <v>16</v>
      </c>
      <c r="N179" s="3">
        <f ca="1">IFERROR(__xludf.DUMMYFUNCTION("""COMPUTED_VALUE"""),2332)</f>
        <v>2332</v>
      </c>
      <c r="O179" s="3">
        <f ca="1">IFERROR(__xludf.DUMMYFUNCTION("""COMPUTED_VALUE"""),2477)</f>
        <v>2477</v>
      </c>
      <c r="P179" s="3">
        <f ca="1">IFERROR(__xludf.DUMMYFUNCTION("""COMPUTED_VALUE"""),1295)</f>
        <v>1295</v>
      </c>
      <c r="Q179" s="3">
        <f ca="1">IFERROR(__xludf.DUMMYFUNCTION("""COMPUTED_VALUE"""),842)</f>
        <v>842</v>
      </c>
      <c r="R179" s="3">
        <f ca="1">IFERROR(__xludf.DUMMYFUNCTION("""COMPUTED_VALUE"""),1836)</f>
        <v>1836</v>
      </c>
      <c r="S179" s="3">
        <f ca="1">IFERROR(__xludf.DUMMYFUNCTION("""COMPUTED_VALUE"""),0.459)</f>
        <v>0.45900000000000002</v>
      </c>
      <c r="T179" s="3">
        <f ca="1">IFERROR(__xludf.DUMMYFUNCTION("""COMPUTED_VALUE"""),210)</f>
        <v>210</v>
      </c>
      <c r="U179" s="3">
        <f ca="1">IFERROR(__xludf.DUMMYFUNCTION("""COMPUTED_VALUE"""),616)</f>
        <v>616</v>
      </c>
      <c r="V179" s="3">
        <f ca="1">IFERROR(__xludf.DUMMYFUNCTION("""COMPUTED_VALUE"""),0.341)</f>
        <v>0.34100000000000003</v>
      </c>
      <c r="W179" s="3">
        <f ca="1">IFERROR(__xludf.DUMMYFUNCTION("""COMPUTED_VALUE"""),438)</f>
        <v>438</v>
      </c>
      <c r="X179" s="3">
        <f ca="1">IFERROR(__xludf.DUMMYFUNCTION("""COMPUTED_VALUE"""),617)</f>
        <v>617</v>
      </c>
      <c r="Y179" s="3">
        <f ca="1">IFERROR(__xludf.DUMMYFUNCTION("""COMPUTED_VALUE"""),0.71)</f>
        <v>0.71</v>
      </c>
      <c r="Z179" s="3">
        <f ca="1">IFERROR(__xludf.DUMMYFUNCTION("""COMPUTED_VALUE"""),292)</f>
        <v>292</v>
      </c>
      <c r="AA179" s="3">
        <f ca="1">IFERROR(__xludf.DUMMYFUNCTION("""COMPUTED_VALUE"""),997)</f>
        <v>997</v>
      </c>
      <c r="AB179" s="3">
        <f ca="1">IFERROR(__xludf.DUMMYFUNCTION("""COMPUTED_VALUE"""),448)</f>
        <v>448</v>
      </c>
      <c r="AC179" s="3">
        <f ca="1">IFERROR(__xludf.DUMMYFUNCTION("""COMPUTED_VALUE"""),278)</f>
        <v>278</v>
      </c>
      <c r="AD179" s="3">
        <f ca="1">IFERROR(__xludf.DUMMYFUNCTION("""COMPUTED_VALUE"""),73)</f>
        <v>73</v>
      </c>
      <c r="AE179" s="3">
        <f ca="1">IFERROR(__xludf.DUMMYFUNCTION("""COMPUTED_VALUE"""),444)</f>
        <v>444</v>
      </c>
      <c r="AF179" s="3">
        <f ca="1">IFERROR(__xludf.DUMMYFUNCTION("""COMPUTED_VALUE"""),573)</f>
        <v>573</v>
      </c>
    </row>
    <row r="180" spans="1:32" x14ac:dyDescent="0.25">
      <c r="A180" s="3" t="str">
        <f ca="1">IFERROR(__xludf.DUMMYFUNCTION("""COMPUTED_VALUE"""),"Maine")</f>
        <v>Maine</v>
      </c>
      <c r="B180" s="3">
        <f ca="1">IFERROR(__xludf.DUMMYFUNCTION("""COMPUTED_VALUE"""),32)</f>
        <v>32</v>
      </c>
      <c r="C180" s="3">
        <f ca="1">IFERROR(__xludf.DUMMYFUNCTION("""COMPUTED_VALUE"""),5)</f>
        <v>5</v>
      </c>
      <c r="D180" s="3">
        <f ca="1">IFERROR(__xludf.DUMMYFUNCTION("""COMPUTED_VALUE"""),27)</f>
        <v>27</v>
      </c>
      <c r="E180" s="3">
        <f ca="1">IFERROR(__xludf.DUMMYFUNCTION("""COMPUTED_VALUE"""),0.156)</f>
        <v>0.156</v>
      </c>
      <c r="F180" s="3">
        <f ca="1">IFERROR(__xludf.DUMMYFUNCTION("""COMPUTED_VALUE"""),-15.11)</f>
        <v>-15.11</v>
      </c>
      <c r="G180" s="3">
        <f ca="1">IFERROR(__xludf.DUMMYFUNCTION("""COMPUTED_VALUE"""),-4.21)</f>
        <v>-4.21</v>
      </c>
      <c r="H180" s="3">
        <f ca="1">IFERROR(__xludf.DUMMYFUNCTION("""COMPUTED_VALUE"""),3)</f>
        <v>3</v>
      </c>
      <c r="I180" s="3">
        <f ca="1">IFERROR(__xludf.DUMMYFUNCTION("""COMPUTED_VALUE"""),13)</f>
        <v>13</v>
      </c>
      <c r="J180" s="3">
        <f ca="1">IFERROR(__xludf.DUMMYFUNCTION("""COMPUTED_VALUE"""),3)</f>
        <v>3</v>
      </c>
      <c r="K180" s="3">
        <f ca="1">IFERROR(__xludf.DUMMYFUNCTION("""COMPUTED_VALUE"""),9)</f>
        <v>9</v>
      </c>
      <c r="L180" s="3">
        <f ca="1">IFERROR(__xludf.DUMMYFUNCTION("""COMPUTED_VALUE"""),2)</f>
        <v>2</v>
      </c>
      <c r="M180" s="3">
        <f ca="1">IFERROR(__xludf.DUMMYFUNCTION("""COMPUTED_VALUE"""),18)</f>
        <v>18</v>
      </c>
      <c r="N180" s="3">
        <f ca="1">IFERROR(__xludf.DUMMYFUNCTION("""COMPUTED_VALUE"""),1988)</f>
        <v>1988</v>
      </c>
      <c r="O180" s="3">
        <f ca="1">IFERROR(__xludf.DUMMYFUNCTION("""COMPUTED_VALUE"""),2271)</f>
        <v>2271</v>
      </c>
      <c r="P180" s="3">
        <f ca="1">IFERROR(__xludf.DUMMYFUNCTION("""COMPUTED_VALUE"""),1310)</f>
        <v>1310</v>
      </c>
      <c r="Q180" s="3">
        <f ca="1">IFERROR(__xludf.DUMMYFUNCTION("""COMPUTED_VALUE"""),747)</f>
        <v>747</v>
      </c>
      <c r="R180" s="3">
        <f ca="1">IFERROR(__xludf.DUMMYFUNCTION("""COMPUTED_VALUE"""),1728)</f>
        <v>1728</v>
      </c>
      <c r="S180" s="3">
        <f ca="1">IFERROR(__xludf.DUMMYFUNCTION("""COMPUTED_VALUE"""),0.432)</f>
        <v>0.432</v>
      </c>
      <c r="T180" s="3">
        <f ca="1">IFERROR(__xludf.DUMMYFUNCTION("""COMPUTED_VALUE"""),201)</f>
        <v>201</v>
      </c>
      <c r="U180" s="3">
        <f ca="1">IFERROR(__xludf.DUMMYFUNCTION("""COMPUTED_VALUE"""),647)</f>
        <v>647</v>
      </c>
      <c r="V180" s="3">
        <f ca="1">IFERROR(__xludf.DUMMYFUNCTION("""COMPUTED_VALUE"""),0.311)</f>
        <v>0.311</v>
      </c>
      <c r="W180" s="3">
        <f ca="1">IFERROR(__xludf.DUMMYFUNCTION("""COMPUTED_VALUE"""),293)</f>
        <v>293</v>
      </c>
      <c r="X180" s="3">
        <f ca="1">IFERROR(__xludf.DUMMYFUNCTION("""COMPUTED_VALUE"""),452)</f>
        <v>452</v>
      </c>
      <c r="Y180" s="3">
        <f ca="1">IFERROR(__xludf.DUMMYFUNCTION("""COMPUTED_VALUE"""),0.648)</f>
        <v>0.64800000000000002</v>
      </c>
      <c r="Z180" s="3">
        <f ca="1">IFERROR(__xludf.DUMMYFUNCTION("""COMPUTED_VALUE"""),280)</f>
        <v>280</v>
      </c>
      <c r="AA180" s="3">
        <f ca="1">IFERROR(__xludf.DUMMYFUNCTION("""COMPUTED_VALUE"""),1015)</f>
        <v>1015</v>
      </c>
      <c r="AB180" s="3">
        <f ca="1">IFERROR(__xludf.DUMMYFUNCTION("""COMPUTED_VALUE"""),471)</f>
        <v>471</v>
      </c>
      <c r="AC180" s="3">
        <f ca="1">IFERROR(__xludf.DUMMYFUNCTION("""COMPUTED_VALUE"""),239)</f>
        <v>239</v>
      </c>
      <c r="AD180" s="3">
        <f ca="1">IFERROR(__xludf.DUMMYFUNCTION("""COMPUTED_VALUE"""),94)</f>
        <v>94</v>
      </c>
      <c r="AE180" s="3">
        <f ca="1">IFERROR(__xludf.DUMMYFUNCTION("""COMPUTED_VALUE"""),460)</f>
        <v>460</v>
      </c>
      <c r="AF180" s="3">
        <f ca="1">IFERROR(__xludf.DUMMYFUNCTION("""COMPUTED_VALUE"""),566)</f>
        <v>566</v>
      </c>
    </row>
    <row r="181" spans="1:32" x14ac:dyDescent="0.25">
      <c r="A181" s="3" t="str">
        <f ca="1">IFERROR(__xludf.DUMMYFUNCTION("""COMPUTED_VALUE"""),"Manhattan")</f>
        <v>Manhattan</v>
      </c>
      <c r="B181" s="3">
        <f ca="1">IFERROR(__xludf.DUMMYFUNCTION("""COMPUTED_VALUE"""),32)</f>
        <v>32</v>
      </c>
      <c r="C181" s="3">
        <f ca="1">IFERROR(__xludf.DUMMYFUNCTION("""COMPUTED_VALUE"""),11)</f>
        <v>11</v>
      </c>
      <c r="D181" s="3">
        <f ca="1">IFERROR(__xludf.DUMMYFUNCTION("""COMPUTED_VALUE"""),21)</f>
        <v>21</v>
      </c>
      <c r="E181" s="3">
        <f ca="1">IFERROR(__xludf.DUMMYFUNCTION("""COMPUTED_VALUE"""),0.344)</f>
        <v>0.34399999999999997</v>
      </c>
      <c r="F181" s="3">
        <f ca="1">IFERROR(__xludf.DUMMYFUNCTION("""COMPUTED_VALUE"""),-12.89)</f>
        <v>-12.89</v>
      </c>
      <c r="G181" s="3">
        <f ca="1">IFERROR(__xludf.DUMMYFUNCTION("""COMPUTED_VALUE"""),-7.32)</f>
        <v>-7.32</v>
      </c>
      <c r="H181" s="3">
        <f ca="1">IFERROR(__xludf.DUMMYFUNCTION("""COMPUTED_VALUE"""),8)</f>
        <v>8</v>
      </c>
      <c r="I181" s="3">
        <f ca="1">IFERROR(__xludf.DUMMYFUNCTION("""COMPUTED_VALUE"""),10)</f>
        <v>10</v>
      </c>
      <c r="J181" s="3">
        <f ca="1">IFERROR(__xludf.DUMMYFUNCTION("""COMPUTED_VALUE"""),4)</f>
        <v>4</v>
      </c>
      <c r="K181" s="3">
        <f ca="1">IFERROR(__xludf.DUMMYFUNCTION("""COMPUTED_VALUE"""),9)</f>
        <v>9</v>
      </c>
      <c r="L181" s="3">
        <f ca="1">IFERROR(__xludf.DUMMYFUNCTION("""COMPUTED_VALUE"""),4)</f>
        <v>4</v>
      </c>
      <c r="M181" s="3">
        <f ca="1">IFERROR(__xludf.DUMMYFUNCTION("""COMPUTED_VALUE"""),11)</f>
        <v>11</v>
      </c>
      <c r="N181" s="3">
        <f ca="1">IFERROR(__xludf.DUMMYFUNCTION("""COMPUTED_VALUE"""),1833)</f>
        <v>1833</v>
      </c>
      <c r="O181" s="3">
        <f ca="1">IFERROR(__xludf.DUMMYFUNCTION("""COMPUTED_VALUE"""),2011)</f>
        <v>2011</v>
      </c>
      <c r="P181" s="3">
        <f ca="1">IFERROR(__xludf.DUMMYFUNCTION("""COMPUTED_VALUE"""),1285)</f>
        <v>1285</v>
      </c>
      <c r="Q181" s="3">
        <f ca="1">IFERROR(__xludf.DUMMYFUNCTION("""COMPUTED_VALUE"""),651)</f>
        <v>651</v>
      </c>
      <c r="R181" s="3">
        <f ca="1">IFERROR(__xludf.DUMMYFUNCTION("""COMPUTED_VALUE"""),1608)</f>
        <v>1608</v>
      </c>
      <c r="S181" s="3">
        <f ca="1">IFERROR(__xludf.DUMMYFUNCTION("""COMPUTED_VALUE"""),0.405)</f>
        <v>0.40500000000000003</v>
      </c>
      <c r="T181" s="3">
        <f ca="1">IFERROR(__xludf.DUMMYFUNCTION("""COMPUTED_VALUE"""),219)</f>
        <v>219</v>
      </c>
      <c r="U181" s="3">
        <f ca="1">IFERROR(__xludf.DUMMYFUNCTION("""COMPUTED_VALUE"""),661)</f>
        <v>661</v>
      </c>
      <c r="V181" s="3">
        <f ca="1">IFERROR(__xludf.DUMMYFUNCTION("""COMPUTED_VALUE"""),0.331)</f>
        <v>0.33100000000000002</v>
      </c>
      <c r="W181" s="3">
        <f ca="1">IFERROR(__xludf.DUMMYFUNCTION("""COMPUTED_VALUE"""),312)</f>
        <v>312</v>
      </c>
      <c r="X181" s="3">
        <f ca="1">IFERROR(__xludf.DUMMYFUNCTION("""COMPUTED_VALUE"""),534)</f>
        <v>534</v>
      </c>
      <c r="Y181" s="3">
        <f ca="1">IFERROR(__xludf.DUMMYFUNCTION("""COMPUTED_VALUE"""),0.584)</f>
        <v>0.58399999999999996</v>
      </c>
      <c r="Z181" s="3">
        <f ca="1">IFERROR(__xludf.DUMMYFUNCTION("""COMPUTED_VALUE"""),326)</f>
        <v>326</v>
      </c>
      <c r="AA181" s="3">
        <f ca="1">IFERROR(__xludf.DUMMYFUNCTION("""COMPUTED_VALUE"""),1026)</f>
        <v>1026</v>
      </c>
      <c r="AB181" s="3">
        <f ca="1">IFERROR(__xludf.DUMMYFUNCTION("""COMPUTED_VALUE"""),360)</f>
        <v>360</v>
      </c>
      <c r="AC181" s="3">
        <f ca="1">IFERROR(__xludf.DUMMYFUNCTION("""COMPUTED_VALUE"""),221)</f>
        <v>221</v>
      </c>
      <c r="AD181" s="3">
        <f ca="1">IFERROR(__xludf.DUMMYFUNCTION("""COMPUTED_VALUE"""),78)</f>
        <v>78</v>
      </c>
      <c r="AE181" s="3">
        <f ca="1">IFERROR(__xludf.DUMMYFUNCTION("""COMPUTED_VALUE"""),487)</f>
        <v>487</v>
      </c>
      <c r="AF181" s="3">
        <f ca="1">IFERROR(__xludf.DUMMYFUNCTION("""COMPUTED_VALUE"""),672)</f>
        <v>672</v>
      </c>
    </row>
    <row r="182" spans="1:32" x14ac:dyDescent="0.25">
      <c r="A182" s="3" t="str">
        <f ca="1">IFERROR(__xludf.DUMMYFUNCTION("""COMPUTED_VALUE"""),"Marist")</f>
        <v>Marist</v>
      </c>
      <c r="B182" s="3">
        <f ca="1">IFERROR(__xludf.DUMMYFUNCTION("""COMPUTED_VALUE"""),31)</f>
        <v>31</v>
      </c>
      <c r="C182" s="3">
        <f ca="1">IFERROR(__xludf.DUMMYFUNCTION("""COMPUTED_VALUE"""),12)</f>
        <v>12</v>
      </c>
      <c r="D182" s="3">
        <f ca="1">IFERROR(__xludf.DUMMYFUNCTION("""COMPUTED_VALUE"""),19)</f>
        <v>19</v>
      </c>
      <c r="E182" s="3">
        <f ca="1">IFERROR(__xludf.DUMMYFUNCTION("""COMPUTED_VALUE"""),0.387)</f>
        <v>0.38700000000000001</v>
      </c>
      <c r="F182" s="3">
        <f ca="1">IFERROR(__xludf.DUMMYFUNCTION("""COMPUTED_VALUE"""),-9.49)</f>
        <v>-9.49</v>
      </c>
      <c r="G182" s="3">
        <f ca="1">IFERROR(__xludf.DUMMYFUNCTION("""COMPUTED_VALUE"""),-7.53)</f>
        <v>-7.53</v>
      </c>
      <c r="H182" s="3">
        <f ca="1">IFERROR(__xludf.DUMMYFUNCTION("""COMPUTED_VALUE"""),7)</f>
        <v>7</v>
      </c>
      <c r="I182" s="3">
        <f ca="1">IFERROR(__xludf.DUMMYFUNCTION("""COMPUTED_VALUE"""),11)</f>
        <v>11</v>
      </c>
      <c r="J182" s="3">
        <f ca="1">IFERROR(__xludf.DUMMYFUNCTION("""COMPUTED_VALUE"""),4)</f>
        <v>4</v>
      </c>
      <c r="K182" s="3">
        <f ca="1">IFERROR(__xludf.DUMMYFUNCTION("""COMPUTED_VALUE"""),7)</f>
        <v>7</v>
      </c>
      <c r="L182" s="3">
        <f ca="1">IFERROR(__xludf.DUMMYFUNCTION("""COMPUTED_VALUE"""),6)</f>
        <v>6</v>
      </c>
      <c r="M182" s="3">
        <f ca="1">IFERROR(__xludf.DUMMYFUNCTION("""COMPUTED_VALUE"""),11)</f>
        <v>11</v>
      </c>
      <c r="N182" s="3">
        <f ca="1">IFERROR(__xludf.DUMMYFUNCTION("""COMPUTED_VALUE"""),2086)</f>
        <v>2086</v>
      </c>
      <c r="O182" s="3">
        <f ca="1">IFERROR(__xludf.DUMMYFUNCTION("""COMPUTED_VALUE"""),2147)</f>
        <v>2147</v>
      </c>
      <c r="P182" s="3">
        <f ca="1">IFERROR(__xludf.DUMMYFUNCTION("""COMPUTED_VALUE"""),1250)</f>
        <v>1250</v>
      </c>
      <c r="Q182" s="3">
        <f ca="1">IFERROR(__xludf.DUMMYFUNCTION("""COMPUTED_VALUE"""),739)</f>
        <v>739</v>
      </c>
      <c r="R182" s="3">
        <f ca="1">IFERROR(__xludf.DUMMYFUNCTION("""COMPUTED_VALUE"""),1647)</f>
        <v>1647</v>
      </c>
      <c r="S182" s="3">
        <f ca="1">IFERROR(__xludf.DUMMYFUNCTION("""COMPUTED_VALUE"""),0.449)</f>
        <v>0.44900000000000001</v>
      </c>
      <c r="T182" s="3">
        <f ca="1">IFERROR(__xludf.DUMMYFUNCTION("""COMPUTED_VALUE"""),245)</f>
        <v>245</v>
      </c>
      <c r="U182" s="3">
        <f ca="1">IFERROR(__xludf.DUMMYFUNCTION("""COMPUTED_VALUE"""),675)</f>
        <v>675</v>
      </c>
      <c r="V182" s="3">
        <f ca="1">IFERROR(__xludf.DUMMYFUNCTION("""COMPUTED_VALUE"""),0.363)</f>
        <v>0.36299999999999999</v>
      </c>
      <c r="W182" s="3">
        <f ca="1">IFERROR(__xludf.DUMMYFUNCTION("""COMPUTED_VALUE"""),363)</f>
        <v>363</v>
      </c>
      <c r="X182" s="3">
        <f ca="1">IFERROR(__xludf.DUMMYFUNCTION("""COMPUTED_VALUE"""),530)</f>
        <v>530</v>
      </c>
      <c r="Y182" s="3">
        <f ca="1">IFERROR(__xludf.DUMMYFUNCTION("""COMPUTED_VALUE"""),0.685)</f>
        <v>0.68500000000000005</v>
      </c>
      <c r="Z182" s="3">
        <f ca="1">IFERROR(__xludf.DUMMYFUNCTION("""COMPUTED_VALUE"""),241)</f>
        <v>241</v>
      </c>
      <c r="AA182" s="3">
        <f ca="1">IFERROR(__xludf.DUMMYFUNCTION("""COMPUTED_VALUE"""),967)</f>
        <v>967</v>
      </c>
      <c r="AB182" s="3">
        <f ca="1">IFERROR(__xludf.DUMMYFUNCTION("""COMPUTED_VALUE"""),377)</f>
        <v>377</v>
      </c>
      <c r="AC182" s="3">
        <f ca="1">IFERROR(__xludf.DUMMYFUNCTION("""COMPUTED_VALUE"""),172)</f>
        <v>172</v>
      </c>
      <c r="AD182" s="3">
        <f ca="1">IFERROR(__xludf.DUMMYFUNCTION("""COMPUTED_VALUE"""),53)</f>
        <v>53</v>
      </c>
      <c r="AE182" s="3">
        <f ca="1">IFERROR(__xludf.DUMMYFUNCTION("""COMPUTED_VALUE"""),387)</f>
        <v>387</v>
      </c>
      <c r="AF182" s="3">
        <f ca="1">IFERROR(__xludf.DUMMYFUNCTION("""COMPUTED_VALUE"""),583)</f>
        <v>583</v>
      </c>
    </row>
    <row r="183" spans="1:32" x14ac:dyDescent="0.25">
      <c r="A183" s="3" t="str">
        <f ca="1">IFERROR(__xludf.DUMMYFUNCTION("""COMPUTED_VALUE"""),"MarquetteNCAA")</f>
        <v>MarquetteNCAA</v>
      </c>
      <c r="B183" s="3">
        <f ca="1">IFERROR(__xludf.DUMMYFUNCTION("""COMPUTED_VALUE"""),34)</f>
        <v>34</v>
      </c>
      <c r="C183" s="3">
        <f ca="1">IFERROR(__xludf.DUMMYFUNCTION("""COMPUTED_VALUE"""),24)</f>
        <v>24</v>
      </c>
      <c r="D183" s="3">
        <f ca="1">IFERROR(__xludf.DUMMYFUNCTION("""COMPUTED_VALUE"""),10)</f>
        <v>10</v>
      </c>
      <c r="E183" s="3">
        <f ca="1">IFERROR(__xludf.DUMMYFUNCTION("""COMPUTED_VALUE"""),0.706)</f>
        <v>0.70599999999999996</v>
      </c>
      <c r="F183" s="3">
        <f ca="1">IFERROR(__xludf.DUMMYFUNCTION("""COMPUTED_VALUE"""),14.78)</f>
        <v>14.78</v>
      </c>
      <c r="G183" s="3">
        <f ca="1">IFERROR(__xludf.DUMMYFUNCTION("""COMPUTED_VALUE"""),6.96)</f>
        <v>6.96</v>
      </c>
      <c r="H183" s="3">
        <f ca="1">IFERROR(__xludf.DUMMYFUNCTION("""COMPUTED_VALUE"""),12)</f>
        <v>12</v>
      </c>
      <c r="I183" s="3">
        <f ca="1">IFERROR(__xludf.DUMMYFUNCTION("""COMPUTED_VALUE"""),6)</f>
        <v>6</v>
      </c>
      <c r="J183" s="3">
        <f ca="1">IFERROR(__xludf.DUMMYFUNCTION("""COMPUTED_VALUE"""),16)</f>
        <v>16</v>
      </c>
      <c r="K183" s="3">
        <f ca="1">IFERROR(__xludf.DUMMYFUNCTION("""COMPUTED_VALUE"""),3)</f>
        <v>3</v>
      </c>
      <c r="L183" s="3">
        <f ca="1">IFERROR(__xludf.DUMMYFUNCTION("""COMPUTED_VALUE"""),6)</f>
        <v>6</v>
      </c>
      <c r="M183" s="3">
        <f ca="1">IFERROR(__xludf.DUMMYFUNCTION("""COMPUTED_VALUE"""),4)</f>
        <v>4</v>
      </c>
      <c r="N183" s="3">
        <f ca="1">IFERROR(__xludf.DUMMYFUNCTION("""COMPUTED_VALUE"""),2629)</f>
        <v>2629</v>
      </c>
      <c r="O183" s="3">
        <f ca="1">IFERROR(__xludf.DUMMYFUNCTION("""COMPUTED_VALUE"""),2363)</f>
        <v>2363</v>
      </c>
      <c r="P183" s="3">
        <f ca="1">IFERROR(__xludf.DUMMYFUNCTION("""COMPUTED_VALUE"""),1375)</f>
        <v>1375</v>
      </c>
      <c r="Q183" s="3">
        <f ca="1">IFERROR(__xludf.DUMMYFUNCTION("""COMPUTED_VALUE"""),893)</f>
        <v>893</v>
      </c>
      <c r="R183" s="3">
        <f ca="1">IFERROR(__xludf.DUMMYFUNCTION("""COMPUTED_VALUE"""),1969)</f>
        <v>1969</v>
      </c>
      <c r="S183" s="3">
        <f ca="1">IFERROR(__xludf.DUMMYFUNCTION("""COMPUTED_VALUE"""),0.454)</f>
        <v>0.45400000000000001</v>
      </c>
      <c r="T183" s="3">
        <f ca="1">IFERROR(__xludf.DUMMYFUNCTION("""COMPUTED_VALUE"""),319)</f>
        <v>319</v>
      </c>
      <c r="U183" s="3">
        <f ca="1">IFERROR(__xludf.DUMMYFUNCTION("""COMPUTED_VALUE"""),822)</f>
        <v>822</v>
      </c>
      <c r="V183" s="3">
        <f ca="1">IFERROR(__xludf.DUMMYFUNCTION("""COMPUTED_VALUE"""),0.388)</f>
        <v>0.38800000000000001</v>
      </c>
      <c r="W183" s="3">
        <f ca="1">IFERROR(__xludf.DUMMYFUNCTION("""COMPUTED_VALUE"""),524)</f>
        <v>524</v>
      </c>
      <c r="X183" s="3">
        <f ca="1">IFERROR(__xludf.DUMMYFUNCTION("""COMPUTED_VALUE"""),692)</f>
        <v>692</v>
      </c>
      <c r="Y183" s="3">
        <f ca="1">IFERROR(__xludf.DUMMYFUNCTION("""COMPUTED_VALUE"""),0.757)</f>
        <v>0.75700000000000001</v>
      </c>
      <c r="Z183" s="3">
        <f ca="1">IFERROR(__xludf.DUMMYFUNCTION("""COMPUTED_VALUE"""),331)</f>
        <v>331</v>
      </c>
      <c r="AA183" s="3">
        <f ca="1">IFERROR(__xludf.DUMMYFUNCTION("""COMPUTED_VALUE"""),1292)</f>
        <v>1292</v>
      </c>
      <c r="AB183" s="3">
        <f ca="1">IFERROR(__xludf.DUMMYFUNCTION("""COMPUTED_VALUE"""),456)</f>
        <v>456</v>
      </c>
      <c r="AC183" s="3">
        <f ca="1">IFERROR(__xludf.DUMMYFUNCTION("""COMPUTED_VALUE"""),168)</f>
        <v>168</v>
      </c>
      <c r="AD183" s="3">
        <f ca="1">IFERROR(__xludf.DUMMYFUNCTION("""COMPUTED_VALUE"""),145)</f>
        <v>145</v>
      </c>
      <c r="AE183" s="3">
        <f ca="1">IFERROR(__xludf.DUMMYFUNCTION("""COMPUTED_VALUE"""),467)</f>
        <v>467</v>
      </c>
      <c r="AF183" s="3">
        <f ca="1">IFERROR(__xludf.DUMMYFUNCTION("""COMPUTED_VALUE"""),635)</f>
        <v>635</v>
      </c>
    </row>
    <row r="184" spans="1:32" x14ac:dyDescent="0.25">
      <c r="A184" s="3" t="str">
        <f ca="1">IFERROR(__xludf.DUMMYFUNCTION("""COMPUTED_VALUE"""),"Marshall")</f>
        <v>Marshall</v>
      </c>
      <c r="B184" s="3">
        <f ca="1">IFERROR(__xludf.DUMMYFUNCTION("""COMPUTED_VALUE"""),37)</f>
        <v>37</v>
      </c>
      <c r="C184" s="3">
        <f ca="1">IFERROR(__xludf.DUMMYFUNCTION("""COMPUTED_VALUE"""),23)</f>
        <v>23</v>
      </c>
      <c r="D184" s="3">
        <f ca="1">IFERROR(__xludf.DUMMYFUNCTION("""COMPUTED_VALUE"""),14)</f>
        <v>14</v>
      </c>
      <c r="E184" s="3">
        <f ca="1">IFERROR(__xludf.DUMMYFUNCTION("""COMPUTED_VALUE"""),0.622)</f>
        <v>0.622</v>
      </c>
      <c r="F184" s="3">
        <f ca="1">IFERROR(__xludf.DUMMYFUNCTION("""COMPUTED_VALUE"""),-0.64)</f>
        <v>-0.64</v>
      </c>
      <c r="G184" s="3">
        <f ca="1">IFERROR(__xludf.DUMMYFUNCTION("""COMPUTED_VALUE"""),-0.61)</f>
        <v>-0.61</v>
      </c>
      <c r="H184" s="3">
        <f ca="1">IFERROR(__xludf.DUMMYFUNCTION("""COMPUTED_VALUE"""),11)</f>
        <v>11</v>
      </c>
      <c r="I184" s="3">
        <f ca="1">IFERROR(__xludf.DUMMYFUNCTION("""COMPUTED_VALUE"""),7)</f>
        <v>7</v>
      </c>
      <c r="J184" s="3">
        <f ca="1">IFERROR(__xludf.DUMMYFUNCTION("""COMPUTED_VALUE"""),16)</f>
        <v>16</v>
      </c>
      <c r="K184" s="3">
        <f ca="1">IFERROR(__xludf.DUMMYFUNCTION("""COMPUTED_VALUE"""),3)</f>
        <v>3</v>
      </c>
      <c r="L184" s="3">
        <f ca="1">IFERROR(__xludf.DUMMYFUNCTION("""COMPUTED_VALUE"""),6)</f>
        <v>6</v>
      </c>
      <c r="M184" s="3">
        <f ca="1">IFERROR(__xludf.DUMMYFUNCTION("""COMPUTED_VALUE"""),10)</f>
        <v>10</v>
      </c>
      <c r="N184" s="3">
        <f ca="1">IFERROR(__xludf.DUMMYFUNCTION("""COMPUTED_VALUE"""),2978)</f>
        <v>2978</v>
      </c>
      <c r="O184" s="3">
        <f ca="1">IFERROR(__xludf.DUMMYFUNCTION("""COMPUTED_VALUE"""),2979)</f>
        <v>2979</v>
      </c>
      <c r="P184" s="3">
        <f ca="1">IFERROR(__xludf.DUMMYFUNCTION("""COMPUTED_VALUE"""),1495)</f>
        <v>1495</v>
      </c>
      <c r="Q184" s="3">
        <f ca="1">IFERROR(__xludf.DUMMYFUNCTION("""COMPUTED_VALUE"""),1047)</f>
        <v>1047</v>
      </c>
      <c r="R184" s="3">
        <f ca="1">IFERROR(__xludf.DUMMYFUNCTION("""COMPUTED_VALUE"""),2367)</f>
        <v>2367</v>
      </c>
      <c r="S184" s="3">
        <f ca="1">IFERROR(__xludf.DUMMYFUNCTION("""COMPUTED_VALUE"""),0.442)</f>
        <v>0.442</v>
      </c>
      <c r="T184" s="3">
        <f ca="1">IFERROR(__xludf.DUMMYFUNCTION("""COMPUTED_VALUE"""),362)</f>
        <v>362</v>
      </c>
      <c r="U184" s="3">
        <f ca="1">IFERROR(__xludf.DUMMYFUNCTION("""COMPUTED_VALUE"""),1058)</f>
        <v>1058</v>
      </c>
      <c r="V184" s="3">
        <f ca="1">IFERROR(__xludf.DUMMYFUNCTION("""COMPUTED_VALUE"""),0.342)</f>
        <v>0.34200000000000003</v>
      </c>
      <c r="W184" s="3">
        <f ca="1">IFERROR(__xludf.DUMMYFUNCTION("""COMPUTED_VALUE"""),522)</f>
        <v>522</v>
      </c>
      <c r="X184" s="3">
        <f ca="1">IFERROR(__xludf.DUMMYFUNCTION("""COMPUTED_VALUE"""),723)</f>
        <v>723</v>
      </c>
      <c r="Y184" s="3">
        <f ca="1">IFERROR(__xludf.DUMMYFUNCTION("""COMPUTED_VALUE"""),0.722)</f>
        <v>0.72199999999999998</v>
      </c>
      <c r="Z184" s="3">
        <f ca="1">IFERROR(__xludf.DUMMYFUNCTION("""COMPUTED_VALUE"""),319)</f>
        <v>319</v>
      </c>
      <c r="AA184" s="3">
        <f ca="1">IFERROR(__xludf.DUMMYFUNCTION("""COMPUTED_VALUE"""),1260)</f>
        <v>1260</v>
      </c>
      <c r="AB184" s="3">
        <f ca="1">IFERROR(__xludf.DUMMYFUNCTION("""COMPUTED_VALUE"""),527)</f>
        <v>527</v>
      </c>
      <c r="AC184" s="3">
        <f ca="1">IFERROR(__xludf.DUMMYFUNCTION("""COMPUTED_VALUE"""),334)</f>
        <v>334</v>
      </c>
      <c r="AD184" s="3">
        <f ca="1">IFERROR(__xludf.DUMMYFUNCTION("""COMPUTED_VALUE"""),170)</f>
        <v>170</v>
      </c>
      <c r="AE184" s="3">
        <f ca="1">IFERROR(__xludf.DUMMYFUNCTION("""COMPUTED_VALUE"""),453)</f>
        <v>453</v>
      </c>
      <c r="AF184" s="3">
        <f ca="1">IFERROR(__xludf.DUMMYFUNCTION("""COMPUTED_VALUE"""),664)</f>
        <v>664</v>
      </c>
    </row>
    <row r="185" spans="1:32" x14ac:dyDescent="0.25">
      <c r="A185" s="3" t="str">
        <f ca="1">IFERROR(__xludf.DUMMYFUNCTION("""COMPUTED_VALUE"""),"Maryland-Baltimore County")</f>
        <v>Maryland-Baltimore County</v>
      </c>
      <c r="B185" s="3">
        <f ca="1">IFERROR(__xludf.DUMMYFUNCTION("""COMPUTED_VALUE"""),34)</f>
        <v>34</v>
      </c>
      <c r="C185" s="3">
        <f ca="1">IFERROR(__xludf.DUMMYFUNCTION("""COMPUTED_VALUE"""),21)</f>
        <v>21</v>
      </c>
      <c r="D185" s="3">
        <f ca="1">IFERROR(__xludf.DUMMYFUNCTION("""COMPUTED_VALUE"""),13)</f>
        <v>13</v>
      </c>
      <c r="E185" s="3">
        <f ca="1">IFERROR(__xludf.DUMMYFUNCTION("""COMPUTED_VALUE"""),0.618)</f>
        <v>0.61799999999999999</v>
      </c>
      <c r="F185" s="3">
        <f ca="1">IFERROR(__xludf.DUMMYFUNCTION("""COMPUTED_VALUE"""),-5.85)</f>
        <v>-5.85</v>
      </c>
      <c r="G185" s="3">
        <f ca="1">IFERROR(__xludf.DUMMYFUNCTION("""COMPUTED_VALUE"""),-5.85)</f>
        <v>-5.85</v>
      </c>
      <c r="H185" s="3">
        <f ca="1">IFERROR(__xludf.DUMMYFUNCTION("""COMPUTED_VALUE"""),11)</f>
        <v>11</v>
      </c>
      <c r="I185" s="3">
        <f ca="1">IFERROR(__xludf.DUMMYFUNCTION("""COMPUTED_VALUE"""),5)</f>
        <v>5</v>
      </c>
      <c r="J185" s="3">
        <f ca="1">IFERROR(__xludf.DUMMYFUNCTION("""COMPUTED_VALUE"""),13)</f>
        <v>13</v>
      </c>
      <c r="K185" s="3">
        <f ca="1">IFERROR(__xludf.DUMMYFUNCTION("""COMPUTED_VALUE"""),4)</f>
        <v>4</v>
      </c>
      <c r="L185" s="3">
        <f ca="1">IFERROR(__xludf.DUMMYFUNCTION("""COMPUTED_VALUE"""),6)</f>
        <v>6</v>
      </c>
      <c r="M185" s="3">
        <f ca="1">IFERROR(__xludf.DUMMYFUNCTION("""COMPUTED_VALUE"""),8)</f>
        <v>8</v>
      </c>
      <c r="N185" s="3">
        <f ca="1">IFERROR(__xludf.DUMMYFUNCTION("""COMPUTED_VALUE"""),2296)</f>
        <v>2296</v>
      </c>
      <c r="O185" s="3">
        <f ca="1">IFERROR(__xludf.DUMMYFUNCTION("""COMPUTED_VALUE"""),2177)</f>
        <v>2177</v>
      </c>
      <c r="P185" s="3">
        <f ca="1">IFERROR(__xludf.DUMMYFUNCTION("""COMPUTED_VALUE"""),1400)</f>
        <v>1400</v>
      </c>
      <c r="Q185" s="3">
        <f ca="1">IFERROR(__xludf.DUMMYFUNCTION("""COMPUTED_VALUE"""),820)</f>
        <v>820</v>
      </c>
      <c r="R185" s="3">
        <f ca="1">IFERROR(__xludf.DUMMYFUNCTION("""COMPUTED_VALUE"""),1893)</f>
        <v>1893</v>
      </c>
      <c r="S185" s="3">
        <f ca="1">IFERROR(__xludf.DUMMYFUNCTION("""COMPUTED_VALUE"""),0.433)</f>
        <v>0.433</v>
      </c>
      <c r="T185" s="3">
        <f ca="1">IFERROR(__xludf.DUMMYFUNCTION("""COMPUTED_VALUE"""),261)</f>
        <v>261</v>
      </c>
      <c r="U185" s="3">
        <f ca="1">IFERROR(__xludf.DUMMYFUNCTION("""COMPUTED_VALUE"""),807)</f>
        <v>807</v>
      </c>
      <c r="V185" s="3">
        <f ca="1">IFERROR(__xludf.DUMMYFUNCTION("""COMPUTED_VALUE"""),0.323)</f>
        <v>0.32300000000000001</v>
      </c>
      <c r="W185" s="3">
        <f ca="1">IFERROR(__xludf.DUMMYFUNCTION("""COMPUTED_VALUE"""),395)</f>
        <v>395</v>
      </c>
      <c r="X185" s="3">
        <f ca="1">IFERROR(__xludf.DUMMYFUNCTION("""COMPUTED_VALUE"""),573)</f>
        <v>573</v>
      </c>
      <c r="Y185" s="3">
        <f ca="1">IFERROR(__xludf.DUMMYFUNCTION("""COMPUTED_VALUE"""),0.689)</f>
        <v>0.68899999999999995</v>
      </c>
      <c r="Z185" s="3">
        <f ca="1">IFERROR(__xludf.DUMMYFUNCTION("""COMPUTED_VALUE"""),296)</f>
        <v>296</v>
      </c>
      <c r="AA185" s="3">
        <f ca="1">IFERROR(__xludf.DUMMYFUNCTION("""COMPUTED_VALUE"""),1145)</f>
        <v>1145</v>
      </c>
      <c r="AB185" s="3">
        <f ca="1">IFERROR(__xludf.DUMMYFUNCTION("""COMPUTED_VALUE"""),453)</f>
        <v>453</v>
      </c>
      <c r="AC185" s="3">
        <f ca="1">IFERROR(__xludf.DUMMYFUNCTION("""COMPUTED_VALUE"""),268)</f>
        <v>268</v>
      </c>
      <c r="AD185" s="3">
        <f ca="1">IFERROR(__xludf.DUMMYFUNCTION("""COMPUTED_VALUE"""),83)</f>
        <v>83</v>
      </c>
      <c r="AE185" s="3">
        <f ca="1">IFERROR(__xludf.DUMMYFUNCTION("""COMPUTED_VALUE"""),428)</f>
        <v>428</v>
      </c>
      <c r="AF185" s="3">
        <f ca="1">IFERROR(__xludf.DUMMYFUNCTION("""COMPUTED_VALUE"""),578)</f>
        <v>578</v>
      </c>
    </row>
    <row r="186" spans="1:32" x14ac:dyDescent="0.25">
      <c r="A186" s="3" t="str">
        <f ca="1">IFERROR(__xludf.DUMMYFUNCTION("""COMPUTED_VALUE"""),"Maryland-Eastern Shore")</f>
        <v>Maryland-Eastern Shore</v>
      </c>
      <c r="B186" s="3">
        <f ca="1">IFERROR(__xludf.DUMMYFUNCTION("""COMPUTED_VALUE"""),32)</f>
        <v>32</v>
      </c>
      <c r="C186" s="3">
        <f ca="1">IFERROR(__xludf.DUMMYFUNCTION("""COMPUTED_VALUE"""),7)</f>
        <v>7</v>
      </c>
      <c r="D186" s="3">
        <f ca="1">IFERROR(__xludf.DUMMYFUNCTION("""COMPUTED_VALUE"""),25)</f>
        <v>25</v>
      </c>
      <c r="E186" s="3">
        <f ca="1">IFERROR(__xludf.DUMMYFUNCTION("""COMPUTED_VALUE"""),0.219)</f>
        <v>0.219</v>
      </c>
      <c r="F186" s="3">
        <f ca="1">IFERROR(__xludf.DUMMYFUNCTION("""COMPUTED_VALUE"""),-24.21)</f>
        <v>-24.21</v>
      </c>
      <c r="G186" s="3">
        <f ca="1">IFERROR(__xludf.DUMMYFUNCTION("""COMPUTED_VALUE"""),-7.91)</f>
        <v>-7.91</v>
      </c>
      <c r="H186" s="3">
        <f ca="1">IFERROR(__xludf.DUMMYFUNCTION("""COMPUTED_VALUE"""),5)</f>
        <v>5</v>
      </c>
      <c r="I186" s="3">
        <f ca="1">IFERROR(__xludf.DUMMYFUNCTION("""COMPUTED_VALUE"""),11)</f>
        <v>11</v>
      </c>
      <c r="J186" s="3">
        <f ca="1">IFERROR(__xludf.DUMMYFUNCTION("""COMPUTED_VALUE"""),5)</f>
        <v>5</v>
      </c>
      <c r="K186" s="3">
        <f ca="1">IFERROR(__xludf.DUMMYFUNCTION("""COMPUTED_VALUE"""),7)</f>
        <v>7</v>
      </c>
      <c r="L186" s="3">
        <f ca="1">IFERROR(__xludf.DUMMYFUNCTION("""COMPUTED_VALUE"""),2)</f>
        <v>2</v>
      </c>
      <c r="M186" s="3">
        <f ca="1">IFERROR(__xludf.DUMMYFUNCTION("""COMPUTED_VALUE"""),17)</f>
        <v>17</v>
      </c>
      <c r="N186" s="3">
        <f ca="1">IFERROR(__xludf.DUMMYFUNCTION("""COMPUTED_VALUE"""),1833)</f>
        <v>1833</v>
      </c>
      <c r="O186" s="3">
        <f ca="1">IFERROR(__xludf.DUMMYFUNCTION("""COMPUTED_VALUE"""),2291)</f>
        <v>2291</v>
      </c>
      <c r="P186" s="3">
        <f ca="1">IFERROR(__xludf.DUMMYFUNCTION("""COMPUTED_VALUE"""),1285)</f>
        <v>1285</v>
      </c>
      <c r="Q186" s="3">
        <f ca="1">IFERROR(__xludf.DUMMYFUNCTION("""COMPUTED_VALUE"""),666)</f>
        <v>666</v>
      </c>
      <c r="R186" s="3">
        <f ca="1">IFERROR(__xludf.DUMMYFUNCTION("""COMPUTED_VALUE"""),1705)</f>
        <v>1705</v>
      </c>
      <c r="S186" s="3">
        <f ca="1">IFERROR(__xludf.DUMMYFUNCTION("""COMPUTED_VALUE"""),0.391)</f>
        <v>0.39100000000000001</v>
      </c>
      <c r="T186" s="3">
        <f ca="1">IFERROR(__xludf.DUMMYFUNCTION("""COMPUTED_VALUE"""),172)</f>
        <v>172</v>
      </c>
      <c r="U186" s="3">
        <f ca="1">IFERROR(__xludf.DUMMYFUNCTION("""COMPUTED_VALUE"""),610)</f>
        <v>610</v>
      </c>
      <c r="V186" s="3">
        <f ca="1">IFERROR(__xludf.DUMMYFUNCTION("""COMPUTED_VALUE"""),0.282)</f>
        <v>0.28199999999999997</v>
      </c>
      <c r="W186" s="3">
        <f ca="1">IFERROR(__xludf.DUMMYFUNCTION("""COMPUTED_VALUE"""),329)</f>
        <v>329</v>
      </c>
      <c r="X186" s="3">
        <f ca="1">IFERROR(__xludf.DUMMYFUNCTION("""COMPUTED_VALUE"""),489)</f>
        <v>489</v>
      </c>
      <c r="Y186" s="3">
        <f ca="1">IFERROR(__xludf.DUMMYFUNCTION("""COMPUTED_VALUE"""),0.673)</f>
        <v>0.67300000000000004</v>
      </c>
      <c r="Z186" s="3">
        <f ca="1">IFERROR(__xludf.DUMMYFUNCTION("""COMPUTED_VALUE"""),264)</f>
        <v>264</v>
      </c>
      <c r="AA186" s="3">
        <f ca="1">IFERROR(__xludf.DUMMYFUNCTION("""COMPUTED_VALUE"""),989)</f>
        <v>989</v>
      </c>
      <c r="AB186" s="3">
        <f ca="1">IFERROR(__xludf.DUMMYFUNCTION("""COMPUTED_VALUE"""),361)</f>
        <v>361</v>
      </c>
      <c r="AC186" s="3">
        <f ca="1">IFERROR(__xludf.DUMMYFUNCTION("""COMPUTED_VALUE"""),186)</f>
        <v>186</v>
      </c>
      <c r="AD186" s="3">
        <f ca="1">IFERROR(__xludf.DUMMYFUNCTION("""COMPUTED_VALUE"""),70)</f>
        <v>70</v>
      </c>
      <c r="AE186" s="3">
        <f ca="1">IFERROR(__xludf.DUMMYFUNCTION("""COMPUTED_VALUE"""),431)</f>
        <v>431</v>
      </c>
      <c r="AF186" s="3">
        <f ca="1">IFERROR(__xludf.DUMMYFUNCTION("""COMPUTED_VALUE"""),575)</f>
        <v>575</v>
      </c>
    </row>
    <row r="187" spans="1:32" x14ac:dyDescent="0.25">
      <c r="A187" s="3" t="str">
        <f ca="1">IFERROR(__xludf.DUMMYFUNCTION("""COMPUTED_VALUE"""),"MarylandNCAA")</f>
        <v>MarylandNCAA</v>
      </c>
      <c r="B187" s="3">
        <f ca="1">IFERROR(__xludf.DUMMYFUNCTION("""COMPUTED_VALUE"""),34)</f>
        <v>34</v>
      </c>
      <c r="C187" s="3">
        <f ca="1">IFERROR(__xludf.DUMMYFUNCTION("""COMPUTED_VALUE"""),23)</f>
        <v>23</v>
      </c>
      <c r="D187" s="3">
        <f ca="1">IFERROR(__xludf.DUMMYFUNCTION("""COMPUTED_VALUE"""),11)</f>
        <v>11</v>
      </c>
      <c r="E187" s="3">
        <f ca="1">IFERROR(__xludf.DUMMYFUNCTION("""COMPUTED_VALUE"""),0.676)</f>
        <v>0.67600000000000005</v>
      </c>
      <c r="F187" s="3">
        <f ca="1">IFERROR(__xludf.DUMMYFUNCTION("""COMPUTED_VALUE"""),16.01)</f>
        <v>16.010000000000002</v>
      </c>
      <c r="G187" s="3">
        <f ca="1">IFERROR(__xludf.DUMMYFUNCTION("""COMPUTED_VALUE"""),10.09)</f>
        <v>10.09</v>
      </c>
      <c r="H187" s="3">
        <f ca="1">IFERROR(__xludf.DUMMYFUNCTION("""COMPUTED_VALUE"""),13)</f>
        <v>13</v>
      </c>
      <c r="I187" s="3">
        <f ca="1">IFERROR(__xludf.DUMMYFUNCTION("""COMPUTED_VALUE"""),7)</f>
        <v>7</v>
      </c>
      <c r="J187" s="3">
        <f ca="1">IFERROR(__xludf.DUMMYFUNCTION("""COMPUTED_VALUE"""),15)</f>
        <v>15</v>
      </c>
      <c r="K187" s="3">
        <f ca="1">IFERROR(__xludf.DUMMYFUNCTION("""COMPUTED_VALUE"""),3)</f>
        <v>3</v>
      </c>
      <c r="L187" s="3">
        <f ca="1">IFERROR(__xludf.DUMMYFUNCTION("""COMPUTED_VALUE"""),6)</f>
        <v>6</v>
      </c>
      <c r="M187" s="3">
        <f ca="1">IFERROR(__xludf.DUMMYFUNCTION("""COMPUTED_VALUE"""),5)</f>
        <v>5</v>
      </c>
      <c r="N187" s="3">
        <f ca="1">IFERROR(__xludf.DUMMYFUNCTION("""COMPUTED_VALUE"""),2429)</f>
        <v>2429</v>
      </c>
      <c r="O187" s="3">
        <f ca="1">IFERROR(__xludf.DUMMYFUNCTION("""COMPUTED_VALUE"""),2228)</f>
        <v>2228</v>
      </c>
      <c r="P187" s="3">
        <f ca="1">IFERROR(__xludf.DUMMYFUNCTION("""COMPUTED_VALUE"""),1360)</f>
        <v>1360</v>
      </c>
      <c r="Q187" s="3">
        <f ca="1">IFERROR(__xludf.DUMMYFUNCTION("""COMPUTED_VALUE"""),858)</f>
        <v>858</v>
      </c>
      <c r="R187" s="3">
        <f ca="1">IFERROR(__xludf.DUMMYFUNCTION("""COMPUTED_VALUE"""),1909)</f>
        <v>1909</v>
      </c>
      <c r="S187" s="3">
        <f ca="1">IFERROR(__xludf.DUMMYFUNCTION("""COMPUTED_VALUE"""),0.449)</f>
        <v>0.44900000000000001</v>
      </c>
      <c r="T187" s="3">
        <f ca="1">IFERROR(__xludf.DUMMYFUNCTION("""COMPUTED_VALUE"""),247)</f>
        <v>247</v>
      </c>
      <c r="U187" s="3">
        <f ca="1">IFERROR(__xludf.DUMMYFUNCTION("""COMPUTED_VALUE"""),707)</f>
        <v>707</v>
      </c>
      <c r="V187" s="3">
        <f ca="1">IFERROR(__xludf.DUMMYFUNCTION("""COMPUTED_VALUE"""),0.349)</f>
        <v>0.34899999999999998</v>
      </c>
      <c r="W187" s="3">
        <f ca="1">IFERROR(__xludf.DUMMYFUNCTION("""COMPUTED_VALUE"""),466)</f>
        <v>466</v>
      </c>
      <c r="X187" s="3">
        <f ca="1">IFERROR(__xludf.DUMMYFUNCTION("""COMPUTED_VALUE"""),627)</f>
        <v>627</v>
      </c>
      <c r="Y187" s="3">
        <f ca="1">IFERROR(__xludf.DUMMYFUNCTION("""COMPUTED_VALUE"""),0.743)</f>
        <v>0.74299999999999999</v>
      </c>
      <c r="Z187" s="3">
        <f ca="1">IFERROR(__xludf.DUMMYFUNCTION("""COMPUTED_VALUE"""),378)</f>
        <v>378</v>
      </c>
      <c r="AA187" s="3">
        <f ca="1">IFERROR(__xludf.DUMMYFUNCTION("""COMPUTED_VALUE"""),1336)</f>
        <v>1336</v>
      </c>
      <c r="AB187" s="3">
        <f ca="1">IFERROR(__xludf.DUMMYFUNCTION("""COMPUTED_VALUE"""),447)</f>
        <v>447</v>
      </c>
      <c r="AC187" s="3">
        <f ca="1">IFERROR(__xludf.DUMMYFUNCTION("""COMPUTED_VALUE"""),148)</f>
        <v>148</v>
      </c>
      <c r="AD187" s="3">
        <f ca="1">IFERROR(__xludf.DUMMYFUNCTION("""COMPUTED_VALUE"""),163)</f>
        <v>163</v>
      </c>
      <c r="AE187" s="3">
        <f ca="1">IFERROR(__xludf.DUMMYFUNCTION("""COMPUTED_VALUE"""),437)</f>
        <v>437</v>
      </c>
      <c r="AF187" s="3">
        <f ca="1">IFERROR(__xludf.DUMMYFUNCTION("""COMPUTED_VALUE"""),526)</f>
        <v>526</v>
      </c>
    </row>
    <row r="188" spans="1:32" x14ac:dyDescent="0.25">
      <c r="A188" s="3" t="str">
        <f ca="1">IFERROR(__xludf.DUMMYFUNCTION("""COMPUTED_VALUE"""),"Massachusetts-Lowell")</f>
        <v>Massachusetts-Lowell</v>
      </c>
      <c r="B188" s="3">
        <f ca="1">IFERROR(__xludf.DUMMYFUNCTION("""COMPUTED_VALUE"""),32)</f>
        <v>32</v>
      </c>
      <c r="C188" s="3">
        <f ca="1">IFERROR(__xludf.DUMMYFUNCTION("""COMPUTED_VALUE"""),15)</f>
        <v>15</v>
      </c>
      <c r="D188" s="3">
        <f ca="1">IFERROR(__xludf.DUMMYFUNCTION("""COMPUTED_VALUE"""),17)</f>
        <v>17</v>
      </c>
      <c r="E188" s="3">
        <f ca="1">IFERROR(__xludf.DUMMYFUNCTION("""COMPUTED_VALUE"""),0.469)</f>
        <v>0.46899999999999997</v>
      </c>
      <c r="F188" s="3">
        <f ca="1">IFERROR(__xludf.DUMMYFUNCTION("""COMPUTED_VALUE"""),-8.28)</f>
        <v>-8.2799999999999994</v>
      </c>
      <c r="G188" s="3">
        <f ca="1">IFERROR(__xludf.DUMMYFUNCTION("""COMPUTED_VALUE"""),-6.95)</f>
        <v>-6.95</v>
      </c>
      <c r="H188" s="3">
        <f ca="1">IFERROR(__xludf.DUMMYFUNCTION("""COMPUTED_VALUE"""),7)</f>
        <v>7</v>
      </c>
      <c r="I188" s="3">
        <f ca="1">IFERROR(__xludf.DUMMYFUNCTION("""COMPUTED_VALUE"""),9)</f>
        <v>9</v>
      </c>
      <c r="J188" s="3">
        <f ca="1">IFERROR(__xludf.DUMMYFUNCTION("""COMPUTED_VALUE"""),8)</f>
        <v>8</v>
      </c>
      <c r="K188" s="3">
        <f ca="1">IFERROR(__xludf.DUMMYFUNCTION("""COMPUTED_VALUE"""),5)</f>
        <v>5</v>
      </c>
      <c r="L188" s="3">
        <f ca="1">IFERROR(__xludf.DUMMYFUNCTION("""COMPUTED_VALUE"""),5)</f>
        <v>5</v>
      </c>
      <c r="M188" s="3">
        <f ca="1">IFERROR(__xludf.DUMMYFUNCTION("""COMPUTED_VALUE"""),12)</f>
        <v>12</v>
      </c>
      <c r="N188" s="3">
        <f ca="1">IFERROR(__xludf.DUMMYFUNCTION("""COMPUTED_VALUE"""),2456)</f>
        <v>2456</v>
      </c>
      <c r="O188" s="3">
        <f ca="1">IFERROR(__xludf.DUMMYFUNCTION("""COMPUTED_VALUE"""),2420)</f>
        <v>2420</v>
      </c>
      <c r="P188" s="3">
        <f ca="1">IFERROR(__xludf.DUMMYFUNCTION("""COMPUTED_VALUE"""),1290)</f>
        <v>1290</v>
      </c>
      <c r="Q188" s="3">
        <f ca="1">IFERROR(__xludf.DUMMYFUNCTION("""COMPUTED_VALUE"""),875)</f>
        <v>875</v>
      </c>
      <c r="R188" s="3">
        <f ca="1">IFERROR(__xludf.DUMMYFUNCTION("""COMPUTED_VALUE"""),1852)</f>
        <v>1852</v>
      </c>
      <c r="S188" s="3">
        <f ca="1">IFERROR(__xludf.DUMMYFUNCTION("""COMPUTED_VALUE"""),0.472)</f>
        <v>0.47199999999999998</v>
      </c>
      <c r="T188" s="3">
        <f ca="1">IFERROR(__xludf.DUMMYFUNCTION("""COMPUTED_VALUE"""),246)</f>
        <v>246</v>
      </c>
      <c r="U188" s="3">
        <f ca="1">IFERROR(__xludf.DUMMYFUNCTION("""COMPUTED_VALUE"""),721)</f>
        <v>721</v>
      </c>
      <c r="V188" s="3">
        <f ca="1">IFERROR(__xludf.DUMMYFUNCTION("""COMPUTED_VALUE"""),0.341)</f>
        <v>0.34100000000000003</v>
      </c>
      <c r="W188" s="3">
        <f ca="1">IFERROR(__xludf.DUMMYFUNCTION("""COMPUTED_VALUE"""),460)</f>
        <v>460</v>
      </c>
      <c r="X188" s="3">
        <f ca="1">IFERROR(__xludf.DUMMYFUNCTION("""COMPUTED_VALUE"""),639)</f>
        <v>639</v>
      </c>
      <c r="Y188" s="3">
        <f ca="1">IFERROR(__xludf.DUMMYFUNCTION("""COMPUTED_VALUE"""),0.72)</f>
        <v>0.72</v>
      </c>
      <c r="Z188" s="3">
        <f ca="1">IFERROR(__xludf.DUMMYFUNCTION("""COMPUTED_VALUE"""),293)</f>
        <v>293</v>
      </c>
      <c r="AA188" s="3">
        <f ca="1">IFERROR(__xludf.DUMMYFUNCTION("""COMPUTED_VALUE"""),1115)</f>
        <v>1115</v>
      </c>
      <c r="AB188" s="3">
        <f ca="1">IFERROR(__xludf.DUMMYFUNCTION("""COMPUTED_VALUE"""),500)</f>
        <v>500</v>
      </c>
      <c r="AC188" s="3">
        <f ca="1">IFERROR(__xludf.DUMMYFUNCTION("""COMPUTED_VALUE"""),181)</f>
        <v>181</v>
      </c>
      <c r="AD188" s="3">
        <f ca="1">IFERROR(__xludf.DUMMYFUNCTION("""COMPUTED_VALUE"""),85)</f>
        <v>85</v>
      </c>
      <c r="AE188" s="3">
        <f ca="1">IFERROR(__xludf.DUMMYFUNCTION("""COMPUTED_VALUE"""),447)</f>
        <v>447</v>
      </c>
      <c r="AF188" s="3">
        <f ca="1">IFERROR(__xludf.DUMMYFUNCTION("""COMPUTED_VALUE"""),589)</f>
        <v>589</v>
      </c>
    </row>
    <row r="189" spans="1:32" x14ac:dyDescent="0.25">
      <c r="A189" s="3" t="str">
        <f ca="1">IFERROR(__xludf.DUMMYFUNCTION("""COMPUTED_VALUE"""),"Massachusetts")</f>
        <v>Massachusetts</v>
      </c>
      <c r="B189" s="3">
        <f ca="1">IFERROR(__xludf.DUMMYFUNCTION("""COMPUTED_VALUE"""),32)</f>
        <v>32</v>
      </c>
      <c r="C189" s="3">
        <f ca="1">IFERROR(__xludf.DUMMYFUNCTION("""COMPUTED_VALUE"""),11)</f>
        <v>11</v>
      </c>
      <c r="D189" s="3">
        <f ca="1">IFERROR(__xludf.DUMMYFUNCTION("""COMPUTED_VALUE"""),21)</f>
        <v>21</v>
      </c>
      <c r="E189" s="3">
        <f ca="1">IFERROR(__xludf.DUMMYFUNCTION("""COMPUTED_VALUE"""),0.344)</f>
        <v>0.34399999999999997</v>
      </c>
      <c r="F189" s="3">
        <f ca="1">IFERROR(__xludf.DUMMYFUNCTION("""COMPUTED_VALUE"""),-3.02)</f>
        <v>-3.02</v>
      </c>
      <c r="G189" s="3">
        <f ca="1">IFERROR(__xludf.DUMMYFUNCTION("""COMPUTED_VALUE"""),-0.18)</f>
        <v>-0.18</v>
      </c>
      <c r="H189" s="3">
        <f ca="1">IFERROR(__xludf.DUMMYFUNCTION("""COMPUTED_VALUE"""),4)</f>
        <v>4</v>
      </c>
      <c r="I189" s="3">
        <f ca="1">IFERROR(__xludf.DUMMYFUNCTION("""COMPUTED_VALUE"""),14)</f>
        <v>14</v>
      </c>
      <c r="J189" s="3">
        <f ca="1">IFERROR(__xludf.DUMMYFUNCTION("""COMPUTED_VALUE"""),9)</f>
        <v>9</v>
      </c>
      <c r="K189" s="3">
        <f ca="1">IFERROR(__xludf.DUMMYFUNCTION("""COMPUTED_VALUE"""),8)</f>
        <v>8</v>
      </c>
      <c r="L189" s="3">
        <f ca="1">IFERROR(__xludf.DUMMYFUNCTION("""COMPUTED_VALUE"""),1)</f>
        <v>1</v>
      </c>
      <c r="M189" s="3">
        <f ca="1">IFERROR(__xludf.DUMMYFUNCTION("""COMPUTED_VALUE"""),11)</f>
        <v>11</v>
      </c>
      <c r="N189" s="3">
        <f ca="1">IFERROR(__xludf.DUMMYFUNCTION("""COMPUTED_VALUE"""),2263)</f>
        <v>2263</v>
      </c>
      <c r="O189" s="3">
        <f ca="1">IFERROR(__xludf.DUMMYFUNCTION("""COMPUTED_VALUE"""),2354)</f>
        <v>2354</v>
      </c>
      <c r="P189" s="3">
        <f ca="1">IFERROR(__xludf.DUMMYFUNCTION("""COMPUTED_VALUE"""),1290)</f>
        <v>1290</v>
      </c>
      <c r="Q189" s="3">
        <f ca="1">IFERROR(__xludf.DUMMYFUNCTION("""COMPUTED_VALUE"""),808)</f>
        <v>808</v>
      </c>
      <c r="R189" s="3">
        <f ca="1">IFERROR(__xludf.DUMMYFUNCTION("""COMPUTED_VALUE"""),1831)</f>
        <v>1831</v>
      </c>
      <c r="S189" s="3">
        <f ca="1">IFERROR(__xludf.DUMMYFUNCTION("""COMPUTED_VALUE"""),0.441)</f>
        <v>0.441</v>
      </c>
      <c r="T189" s="3">
        <f ca="1">IFERROR(__xludf.DUMMYFUNCTION("""COMPUTED_VALUE"""),256)</f>
        <v>256</v>
      </c>
      <c r="U189" s="3">
        <f ca="1">IFERROR(__xludf.DUMMYFUNCTION("""COMPUTED_VALUE"""),732)</f>
        <v>732</v>
      </c>
      <c r="V189" s="3">
        <f ca="1">IFERROR(__xludf.DUMMYFUNCTION("""COMPUTED_VALUE"""),0.35)</f>
        <v>0.35</v>
      </c>
      <c r="W189" s="3">
        <f ca="1">IFERROR(__xludf.DUMMYFUNCTION("""COMPUTED_VALUE"""),391)</f>
        <v>391</v>
      </c>
      <c r="X189" s="3">
        <f ca="1">IFERROR(__xludf.DUMMYFUNCTION("""COMPUTED_VALUE"""),574)</f>
        <v>574</v>
      </c>
      <c r="Y189" s="3">
        <f ca="1">IFERROR(__xludf.DUMMYFUNCTION("""COMPUTED_VALUE"""),0.681)</f>
        <v>0.68100000000000005</v>
      </c>
      <c r="Z189" s="3">
        <f ca="1">IFERROR(__xludf.DUMMYFUNCTION("""COMPUTED_VALUE"""),342)</f>
        <v>342</v>
      </c>
      <c r="AA189" s="3">
        <f ca="1">IFERROR(__xludf.DUMMYFUNCTION("""COMPUTED_VALUE"""),1123)</f>
        <v>1123</v>
      </c>
      <c r="AB189" s="3">
        <f ca="1">IFERROR(__xludf.DUMMYFUNCTION("""COMPUTED_VALUE"""),468)</f>
        <v>468</v>
      </c>
      <c r="AC189" s="3">
        <f ca="1">IFERROR(__xludf.DUMMYFUNCTION("""COMPUTED_VALUE"""),154)</f>
        <v>154</v>
      </c>
      <c r="AD189" s="3">
        <f ca="1">IFERROR(__xludf.DUMMYFUNCTION("""COMPUTED_VALUE"""),93)</f>
        <v>93</v>
      </c>
      <c r="AE189" s="3">
        <f ca="1">IFERROR(__xludf.DUMMYFUNCTION("""COMPUTED_VALUE"""),445)</f>
        <v>445</v>
      </c>
      <c r="AF189" s="3">
        <f ca="1">IFERROR(__xludf.DUMMYFUNCTION("""COMPUTED_VALUE"""),643)</f>
        <v>643</v>
      </c>
    </row>
    <row r="190" spans="1:32" x14ac:dyDescent="0.25">
      <c r="A190" s="3" t="str">
        <f ca="1">IFERROR(__xludf.DUMMYFUNCTION("""COMPUTED_VALUE"""),"McNeese State")</f>
        <v>McNeese State</v>
      </c>
      <c r="B190" s="3">
        <f ca="1">IFERROR(__xludf.DUMMYFUNCTION("""COMPUTED_VALUE"""),31)</f>
        <v>31</v>
      </c>
      <c r="C190" s="3">
        <f ca="1">IFERROR(__xludf.DUMMYFUNCTION("""COMPUTED_VALUE"""),9)</f>
        <v>9</v>
      </c>
      <c r="D190" s="3">
        <f ca="1">IFERROR(__xludf.DUMMYFUNCTION("""COMPUTED_VALUE"""),22)</f>
        <v>22</v>
      </c>
      <c r="E190" s="3">
        <f ca="1">IFERROR(__xludf.DUMMYFUNCTION("""COMPUTED_VALUE"""),0.29)</f>
        <v>0.28999999999999998</v>
      </c>
      <c r="F190" s="3">
        <f ca="1">IFERROR(__xludf.DUMMYFUNCTION("""COMPUTED_VALUE"""),-14.41)</f>
        <v>-14.41</v>
      </c>
      <c r="G190" s="3">
        <f ca="1">IFERROR(__xludf.DUMMYFUNCTION("""COMPUTED_VALUE"""),-6.15)</f>
        <v>-6.15</v>
      </c>
      <c r="H190" s="3">
        <f ca="1">IFERROR(__xludf.DUMMYFUNCTION("""COMPUTED_VALUE"""),5)</f>
        <v>5</v>
      </c>
      <c r="I190" s="3">
        <f ca="1">IFERROR(__xludf.DUMMYFUNCTION("""COMPUTED_VALUE"""),13)</f>
        <v>13</v>
      </c>
      <c r="J190" s="3">
        <f ca="1">IFERROR(__xludf.DUMMYFUNCTION("""COMPUTED_VALUE"""),7)</f>
        <v>7</v>
      </c>
      <c r="K190" s="3">
        <f ca="1">IFERROR(__xludf.DUMMYFUNCTION("""COMPUTED_VALUE"""),8)</f>
        <v>8</v>
      </c>
      <c r="L190" s="3">
        <f ca="1">IFERROR(__xludf.DUMMYFUNCTION("""COMPUTED_VALUE"""),2)</f>
        <v>2</v>
      </c>
      <c r="M190" s="3">
        <f ca="1">IFERROR(__xludf.DUMMYFUNCTION("""COMPUTED_VALUE"""),14)</f>
        <v>14</v>
      </c>
      <c r="N190" s="3">
        <f ca="1">IFERROR(__xludf.DUMMYFUNCTION("""COMPUTED_VALUE"""),2149)</f>
        <v>2149</v>
      </c>
      <c r="O190" s="3">
        <f ca="1">IFERROR(__xludf.DUMMYFUNCTION("""COMPUTED_VALUE"""),2303)</f>
        <v>2303</v>
      </c>
      <c r="P190" s="3">
        <f ca="1">IFERROR(__xludf.DUMMYFUNCTION("""COMPUTED_VALUE"""),1245)</f>
        <v>1245</v>
      </c>
      <c r="Q190" s="3">
        <f ca="1">IFERROR(__xludf.DUMMYFUNCTION("""COMPUTED_VALUE"""),760)</f>
        <v>760</v>
      </c>
      <c r="R190" s="3">
        <f ca="1">IFERROR(__xludf.DUMMYFUNCTION("""COMPUTED_VALUE"""),1676)</f>
        <v>1676</v>
      </c>
      <c r="S190" s="3">
        <f ca="1">IFERROR(__xludf.DUMMYFUNCTION("""COMPUTED_VALUE"""),0.453)</f>
        <v>0.45300000000000001</v>
      </c>
      <c r="T190" s="3">
        <f ca="1">IFERROR(__xludf.DUMMYFUNCTION("""COMPUTED_VALUE"""),168)</f>
        <v>168</v>
      </c>
      <c r="U190" s="3">
        <f ca="1">IFERROR(__xludf.DUMMYFUNCTION("""COMPUTED_VALUE"""),548)</f>
        <v>548</v>
      </c>
      <c r="V190" s="3">
        <f ca="1">IFERROR(__xludf.DUMMYFUNCTION("""COMPUTED_VALUE"""),0.307)</f>
        <v>0.307</v>
      </c>
      <c r="W190" s="3">
        <f ca="1">IFERROR(__xludf.DUMMYFUNCTION("""COMPUTED_VALUE"""),461)</f>
        <v>461</v>
      </c>
      <c r="X190" s="3">
        <f ca="1">IFERROR(__xludf.DUMMYFUNCTION("""COMPUTED_VALUE"""),647)</f>
        <v>647</v>
      </c>
      <c r="Y190" s="3">
        <f ca="1">IFERROR(__xludf.DUMMYFUNCTION("""COMPUTED_VALUE"""),0.713)</f>
        <v>0.71299999999999997</v>
      </c>
      <c r="Z190" s="3">
        <f ca="1">IFERROR(__xludf.DUMMYFUNCTION("""COMPUTED_VALUE"""),310)</f>
        <v>310</v>
      </c>
      <c r="AA190" s="3">
        <f ca="1">IFERROR(__xludf.DUMMYFUNCTION("""COMPUTED_VALUE"""),1054)</f>
        <v>1054</v>
      </c>
      <c r="AB190" s="3">
        <f ca="1">IFERROR(__xludf.DUMMYFUNCTION("""COMPUTED_VALUE"""),429)</f>
        <v>429</v>
      </c>
      <c r="AC190" s="3">
        <f ca="1">IFERROR(__xludf.DUMMYFUNCTION("""COMPUTED_VALUE"""),147)</f>
        <v>147</v>
      </c>
      <c r="AD190" s="3">
        <f ca="1">IFERROR(__xludf.DUMMYFUNCTION("""COMPUTED_VALUE"""),97)</f>
        <v>97</v>
      </c>
      <c r="AE190" s="3">
        <f ca="1">IFERROR(__xludf.DUMMYFUNCTION("""COMPUTED_VALUE"""),450)</f>
        <v>450</v>
      </c>
      <c r="AF190" s="3">
        <f ca="1">IFERROR(__xludf.DUMMYFUNCTION("""COMPUTED_VALUE"""),467)</f>
        <v>467</v>
      </c>
    </row>
    <row r="191" spans="1:32" x14ac:dyDescent="0.25">
      <c r="A191" s="3" t="str">
        <f ca="1">IFERROR(__xludf.DUMMYFUNCTION("""COMPUTED_VALUE"""),"Memphis")</f>
        <v>Memphis</v>
      </c>
      <c r="B191" s="3">
        <f ca="1">IFERROR(__xludf.DUMMYFUNCTION("""COMPUTED_VALUE"""),36)</f>
        <v>36</v>
      </c>
      <c r="C191" s="3">
        <f ca="1">IFERROR(__xludf.DUMMYFUNCTION("""COMPUTED_VALUE"""),22)</f>
        <v>22</v>
      </c>
      <c r="D191" s="3">
        <f ca="1">IFERROR(__xludf.DUMMYFUNCTION("""COMPUTED_VALUE"""),14)</f>
        <v>14</v>
      </c>
      <c r="E191" s="3">
        <f ca="1">IFERROR(__xludf.DUMMYFUNCTION("""COMPUTED_VALUE"""),0.611)</f>
        <v>0.61099999999999999</v>
      </c>
      <c r="F191" s="3">
        <f ca="1">IFERROR(__xludf.DUMMYFUNCTION("""COMPUTED_VALUE"""),10.7)</f>
        <v>10.7</v>
      </c>
      <c r="G191" s="3">
        <f ca="1">IFERROR(__xludf.DUMMYFUNCTION("""COMPUTED_VALUE"""),5.09)</f>
        <v>5.09</v>
      </c>
      <c r="H191" s="3">
        <f ca="1">IFERROR(__xludf.DUMMYFUNCTION("""COMPUTED_VALUE"""),11)</f>
        <v>11</v>
      </c>
      <c r="I191" s="3">
        <f ca="1">IFERROR(__xludf.DUMMYFUNCTION("""COMPUTED_VALUE"""),7)</f>
        <v>7</v>
      </c>
      <c r="J191" s="3">
        <f ca="1">IFERROR(__xludf.DUMMYFUNCTION("""COMPUTED_VALUE"""),17)</f>
        <v>17</v>
      </c>
      <c r="K191" s="3">
        <f ca="1">IFERROR(__xludf.DUMMYFUNCTION("""COMPUTED_VALUE"""),2)</f>
        <v>2</v>
      </c>
      <c r="L191" s="3">
        <f ca="1">IFERROR(__xludf.DUMMYFUNCTION("""COMPUTED_VALUE"""),3)</f>
        <v>3</v>
      </c>
      <c r="M191" s="3">
        <f ca="1">IFERROR(__xludf.DUMMYFUNCTION("""COMPUTED_VALUE"""),8)</f>
        <v>8</v>
      </c>
      <c r="N191" s="3">
        <f ca="1">IFERROR(__xludf.DUMMYFUNCTION("""COMPUTED_VALUE"""),2882)</f>
        <v>2882</v>
      </c>
      <c r="O191" s="3">
        <f ca="1">IFERROR(__xludf.DUMMYFUNCTION("""COMPUTED_VALUE"""),2680)</f>
        <v>2680</v>
      </c>
      <c r="P191" s="3">
        <f ca="1">IFERROR(__xludf.DUMMYFUNCTION("""COMPUTED_VALUE"""),1450)</f>
        <v>1450</v>
      </c>
      <c r="Q191" s="3">
        <f ca="1">IFERROR(__xludf.DUMMYFUNCTION("""COMPUTED_VALUE"""),1013)</f>
        <v>1013</v>
      </c>
      <c r="R191" s="3">
        <f ca="1">IFERROR(__xludf.DUMMYFUNCTION("""COMPUTED_VALUE"""),2238)</f>
        <v>2238</v>
      </c>
      <c r="S191" s="3">
        <f ca="1">IFERROR(__xludf.DUMMYFUNCTION("""COMPUTED_VALUE"""),0.453)</f>
        <v>0.45300000000000001</v>
      </c>
      <c r="T191" s="3">
        <f ca="1">IFERROR(__xludf.DUMMYFUNCTION("""COMPUTED_VALUE"""),260)</f>
        <v>260</v>
      </c>
      <c r="U191" s="3">
        <f ca="1">IFERROR(__xludf.DUMMYFUNCTION("""COMPUTED_VALUE"""),807)</f>
        <v>807</v>
      </c>
      <c r="V191" s="3">
        <f ca="1">IFERROR(__xludf.DUMMYFUNCTION("""COMPUTED_VALUE"""),0.322)</f>
        <v>0.32200000000000001</v>
      </c>
      <c r="W191" s="3">
        <f ca="1">IFERROR(__xludf.DUMMYFUNCTION("""COMPUTED_VALUE"""),596)</f>
        <v>596</v>
      </c>
      <c r="X191" s="3">
        <f ca="1">IFERROR(__xludf.DUMMYFUNCTION("""COMPUTED_VALUE"""),835)</f>
        <v>835</v>
      </c>
      <c r="Y191" s="3">
        <f ca="1">IFERROR(__xludf.DUMMYFUNCTION("""COMPUTED_VALUE"""),0.714)</f>
        <v>0.71399999999999997</v>
      </c>
      <c r="Z191" s="3">
        <f ca="1">IFERROR(__xludf.DUMMYFUNCTION("""COMPUTED_VALUE"""),436)</f>
        <v>436</v>
      </c>
      <c r="AA191" s="3">
        <f ca="1">IFERROR(__xludf.DUMMYFUNCTION("""COMPUTED_VALUE"""),1358)</f>
        <v>1358</v>
      </c>
      <c r="AB191" s="3">
        <f ca="1">IFERROR(__xludf.DUMMYFUNCTION("""COMPUTED_VALUE"""),553)</f>
        <v>553</v>
      </c>
      <c r="AC191" s="3">
        <f ca="1">IFERROR(__xludf.DUMMYFUNCTION("""COMPUTED_VALUE"""),288)</f>
        <v>288</v>
      </c>
      <c r="AD191" s="3">
        <f ca="1">IFERROR(__xludf.DUMMYFUNCTION("""COMPUTED_VALUE"""),144)</f>
        <v>144</v>
      </c>
      <c r="AE191" s="3">
        <f ca="1">IFERROR(__xludf.DUMMYFUNCTION("""COMPUTED_VALUE"""),538)</f>
        <v>538</v>
      </c>
      <c r="AF191" s="3">
        <f ca="1">IFERROR(__xludf.DUMMYFUNCTION("""COMPUTED_VALUE"""),739)</f>
        <v>739</v>
      </c>
    </row>
    <row r="192" spans="1:32" x14ac:dyDescent="0.25">
      <c r="A192" s="3" t="str">
        <f ca="1">IFERROR(__xludf.DUMMYFUNCTION("""COMPUTED_VALUE"""),"Mercer")</f>
        <v>Mercer</v>
      </c>
      <c r="B192" s="3">
        <f ca="1">IFERROR(__xludf.DUMMYFUNCTION("""COMPUTED_VALUE"""),31)</f>
        <v>31</v>
      </c>
      <c r="C192" s="3">
        <f ca="1">IFERROR(__xludf.DUMMYFUNCTION("""COMPUTED_VALUE"""),11)</f>
        <v>11</v>
      </c>
      <c r="D192" s="3">
        <f ca="1">IFERROR(__xludf.DUMMYFUNCTION("""COMPUTED_VALUE"""),20)</f>
        <v>20</v>
      </c>
      <c r="E192" s="3">
        <f ca="1">IFERROR(__xludf.DUMMYFUNCTION("""COMPUTED_VALUE"""),0.355)</f>
        <v>0.35499999999999998</v>
      </c>
      <c r="F192" s="3">
        <f ca="1">IFERROR(__xludf.DUMMYFUNCTION("""COMPUTED_VALUE"""),-2.86)</f>
        <v>-2.86</v>
      </c>
      <c r="G192" s="3">
        <f ca="1">IFERROR(__xludf.DUMMYFUNCTION("""COMPUTED_VALUE"""),-0.24)</f>
        <v>-0.24</v>
      </c>
      <c r="H192" s="3">
        <f ca="1">IFERROR(__xludf.DUMMYFUNCTION("""COMPUTED_VALUE"""),6)</f>
        <v>6</v>
      </c>
      <c r="I192" s="3">
        <f ca="1">IFERROR(__xludf.DUMMYFUNCTION("""COMPUTED_VALUE"""),12)</f>
        <v>12</v>
      </c>
      <c r="J192" s="3">
        <f ca="1">IFERROR(__xludf.DUMMYFUNCTION("""COMPUTED_VALUE"""),9)</f>
        <v>9</v>
      </c>
      <c r="K192" s="3">
        <f ca="1">IFERROR(__xludf.DUMMYFUNCTION("""COMPUTED_VALUE"""),6)</f>
        <v>6</v>
      </c>
      <c r="L192" s="3">
        <f ca="1">IFERROR(__xludf.DUMMYFUNCTION("""COMPUTED_VALUE"""),2)</f>
        <v>2</v>
      </c>
      <c r="M192" s="3">
        <f ca="1">IFERROR(__xludf.DUMMYFUNCTION("""COMPUTED_VALUE"""),12)</f>
        <v>12</v>
      </c>
      <c r="N192" s="3">
        <f ca="1">IFERROR(__xludf.DUMMYFUNCTION("""COMPUTED_VALUE"""),2248)</f>
        <v>2248</v>
      </c>
      <c r="O192" s="3">
        <f ca="1">IFERROR(__xludf.DUMMYFUNCTION("""COMPUTED_VALUE"""),2246)</f>
        <v>2246</v>
      </c>
      <c r="P192" s="3">
        <f ca="1">IFERROR(__xludf.DUMMYFUNCTION("""COMPUTED_VALUE"""),1245)</f>
        <v>1245</v>
      </c>
      <c r="Q192" s="3">
        <f ca="1">IFERROR(__xludf.DUMMYFUNCTION("""COMPUTED_VALUE"""),787)</f>
        <v>787</v>
      </c>
      <c r="R192" s="3">
        <f ca="1">IFERROR(__xludf.DUMMYFUNCTION("""COMPUTED_VALUE"""),1746)</f>
        <v>1746</v>
      </c>
      <c r="S192" s="3">
        <f ca="1">IFERROR(__xludf.DUMMYFUNCTION("""COMPUTED_VALUE"""),0.451)</f>
        <v>0.45100000000000001</v>
      </c>
      <c r="T192" s="3">
        <f ca="1">IFERROR(__xludf.DUMMYFUNCTION("""COMPUTED_VALUE"""),228)</f>
        <v>228</v>
      </c>
      <c r="U192" s="3">
        <f ca="1">IFERROR(__xludf.DUMMYFUNCTION("""COMPUTED_VALUE"""),663)</f>
        <v>663</v>
      </c>
      <c r="V192" s="3">
        <f ca="1">IFERROR(__xludf.DUMMYFUNCTION("""COMPUTED_VALUE"""),0.344)</f>
        <v>0.34399999999999997</v>
      </c>
      <c r="W192" s="3">
        <f ca="1">IFERROR(__xludf.DUMMYFUNCTION("""COMPUTED_VALUE"""),446)</f>
        <v>446</v>
      </c>
      <c r="X192" s="3">
        <f ca="1">IFERROR(__xludf.DUMMYFUNCTION("""COMPUTED_VALUE"""),648)</f>
        <v>648</v>
      </c>
      <c r="Y192" s="3">
        <f ca="1">IFERROR(__xludf.DUMMYFUNCTION("""COMPUTED_VALUE"""),0.688)</f>
        <v>0.68799999999999994</v>
      </c>
      <c r="Z192" s="3">
        <f ca="1">IFERROR(__xludf.DUMMYFUNCTION("""COMPUTED_VALUE"""),307)</f>
        <v>307</v>
      </c>
      <c r="AA192" s="3">
        <f ca="1">IFERROR(__xludf.DUMMYFUNCTION("""COMPUTED_VALUE"""),1057)</f>
        <v>1057</v>
      </c>
      <c r="AB192" s="3">
        <f ca="1">IFERROR(__xludf.DUMMYFUNCTION("""COMPUTED_VALUE"""),393)</f>
        <v>393</v>
      </c>
      <c r="AC192" s="3">
        <f ca="1">IFERROR(__xludf.DUMMYFUNCTION("""COMPUTED_VALUE"""),207)</f>
        <v>207</v>
      </c>
      <c r="AD192" s="3">
        <f ca="1">IFERROR(__xludf.DUMMYFUNCTION("""COMPUTED_VALUE"""),80)</f>
        <v>80</v>
      </c>
      <c r="AE192" s="3">
        <f ca="1">IFERROR(__xludf.DUMMYFUNCTION("""COMPUTED_VALUE"""),407)</f>
        <v>407</v>
      </c>
      <c r="AF192" s="3">
        <f ca="1">IFERROR(__xludf.DUMMYFUNCTION("""COMPUTED_VALUE"""),557)</f>
        <v>557</v>
      </c>
    </row>
    <row r="193" spans="1:32" x14ac:dyDescent="0.25">
      <c r="A193" s="3" t="str">
        <f ca="1">IFERROR(__xludf.DUMMYFUNCTION("""COMPUTED_VALUE"""),"Miami (FL)")</f>
        <v>Miami (FL)</v>
      </c>
      <c r="B193" s="3">
        <f ca="1">IFERROR(__xludf.DUMMYFUNCTION("""COMPUTED_VALUE"""),32)</f>
        <v>32</v>
      </c>
      <c r="C193" s="3">
        <f ca="1">IFERROR(__xludf.DUMMYFUNCTION("""COMPUTED_VALUE"""),14)</f>
        <v>14</v>
      </c>
      <c r="D193" s="3">
        <f ca="1">IFERROR(__xludf.DUMMYFUNCTION("""COMPUTED_VALUE"""),18)</f>
        <v>18</v>
      </c>
      <c r="E193" s="3">
        <f ca="1">IFERROR(__xludf.DUMMYFUNCTION("""COMPUTED_VALUE"""),0.438)</f>
        <v>0.438</v>
      </c>
      <c r="F193" s="3">
        <f ca="1">IFERROR(__xludf.DUMMYFUNCTION("""COMPUTED_VALUE"""),9.39)</f>
        <v>9.39</v>
      </c>
      <c r="G193" s="3">
        <f ca="1">IFERROR(__xludf.DUMMYFUNCTION("""COMPUTED_VALUE"""),8.7)</f>
        <v>8.6999999999999993</v>
      </c>
      <c r="H193" s="3">
        <f ca="1">IFERROR(__xludf.DUMMYFUNCTION("""COMPUTED_VALUE"""),5)</f>
        <v>5</v>
      </c>
      <c r="I193" s="3">
        <f ca="1">IFERROR(__xludf.DUMMYFUNCTION("""COMPUTED_VALUE"""),13)</f>
        <v>13</v>
      </c>
      <c r="J193" s="3">
        <f ca="1">IFERROR(__xludf.DUMMYFUNCTION("""COMPUTED_VALUE"""),11)</f>
        <v>11</v>
      </c>
      <c r="K193" s="3">
        <f ca="1">IFERROR(__xludf.DUMMYFUNCTION("""COMPUTED_VALUE"""),5)</f>
        <v>5</v>
      </c>
      <c r="L193" s="3">
        <f ca="1">IFERROR(__xludf.DUMMYFUNCTION("""COMPUTED_VALUE"""),0)</f>
        <v>0</v>
      </c>
      <c r="M193" s="3">
        <f ca="1">IFERROR(__xludf.DUMMYFUNCTION("""COMPUTED_VALUE"""),10)</f>
        <v>10</v>
      </c>
      <c r="N193" s="3">
        <f ca="1">IFERROR(__xludf.DUMMYFUNCTION("""COMPUTED_VALUE"""),2297)</f>
        <v>2297</v>
      </c>
      <c r="O193" s="3">
        <f ca="1">IFERROR(__xludf.DUMMYFUNCTION("""COMPUTED_VALUE"""),2275)</f>
        <v>2275</v>
      </c>
      <c r="P193" s="3">
        <f ca="1">IFERROR(__xludf.DUMMYFUNCTION("""COMPUTED_VALUE"""),1285)</f>
        <v>1285</v>
      </c>
      <c r="Q193" s="3">
        <f ca="1">IFERROR(__xludf.DUMMYFUNCTION("""COMPUTED_VALUE"""),805)</f>
        <v>805</v>
      </c>
      <c r="R193" s="3">
        <f ca="1">IFERROR(__xludf.DUMMYFUNCTION("""COMPUTED_VALUE"""),1851)</f>
        <v>1851</v>
      </c>
      <c r="S193" s="3">
        <f ca="1">IFERROR(__xludf.DUMMYFUNCTION("""COMPUTED_VALUE"""),0.435)</f>
        <v>0.435</v>
      </c>
      <c r="T193" s="3">
        <f ca="1">IFERROR(__xludf.DUMMYFUNCTION("""COMPUTED_VALUE"""),268)</f>
        <v>268</v>
      </c>
      <c r="U193" s="3">
        <f ca="1">IFERROR(__xludf.DUMMYFUNCTION("""COMPUTED_VALUE"""),805)</f>
        <v>805</v>
      </c>
      <c r="V193" s="3">
        <f ca="1">IFERROR(__xludf.DUMMYFUNCTION("""COMPUTED_VALUE"""),0.333)</f>
        <v>0.33300000000000002</v>
      </c>
      <c r="W193" s="3">
        <f ca="1">IFERROR(__xludf.DUMMYFUNCTION("""COMPUTED_VALUE"""),419)</f>
        <v>419</v>
      </c>
      <c r="X193" s="3">
        <f ca="1">IFERROR(__xludf.DUMMYFUNCTION("""COMPUTED_VALUE"""),570)</f>
        <v>570</v>
      </c>
      <c r="Y193" s="3">
        <f ca="1">IFERROR(__xludf.DUMMYFUNCTION("""COMPUTED_VALUE"""),0.735)</f>
        <v>0.73499999999999999</v>
      </c>
      <c r="Z193" s="3">
        <f ca="1">IFERROR(__xludf.DUMMYFUNCTION("""COMPUTED_VALUE"""),291)</f>
        <v>291</v>
      </c>
      <c r="AA193" s="3">
        <f ca="1">IFERROR(__xludf.DUMMYFUNCTION("""COMPUTED_VALUE"""),1061)</f>
        <v>1061</v>
      </c>
      <c r="AB193" s="3">
        <f ca="1">IFERROR(__xludf.DUMMYFUNCTION("""COMPUTED_VALUE"""),413)</f>
        <v>413</v>
      </c>
      <c r="AC193" s="3">
        <f ca="1">IFERROR(__xludf.DUMMYFUNCTION("""COMPUTED_VALUE"""),212)</f>
        <v>212</v>
      </c>
      <c r="AD193" s="3">
        <f ca="1">IFERROR(__xludf.DUMMYFUNCTION("""COMPUTED_VALUE"""),100)</f>
        <v>100</v>
      </c>
      <c r="AE193" s="3">
        <f ca="1">IFERROR(__xludf.DUMMYFUNCTION("""COMPUTED_VALUE"""),372)</f>
        <v>372</v>
      </c>
      <c r="AF193" s="3">
        <f ca="1">IFERROR(__xludf.DUMMYFUNCTION("""COMPUTED_VALUE"""),465)</f>
        <v>465</v>
      </c>
    </row>
    <row r="194" spans="1:32" x14ac:dyDescent="0.25">
      <c r="A194" s="3" t="str">
        <f ca="1">IFERROR(__xludf.DUMMYFUNCTION("""COMPUTED_VALUE"""),"Miami (OH)")</f>
        <v>Miami (OH)</v>
      </c>
      <c r="B194" s="3">
        <f ca="1">IFERROR(__xludf.DUMMYFUNCTION("""COMPUTED_VALUE"""),32)</f>
        <v>32</v>
      </c>
      <c r="C194" s="3">
        <f ca="1">IFERROR(__xludf.DUMMYFUNCTION("""COMPUTED_VALUE"""),15)</f>
        <v>15</v>
      </c>
      <c r="D194" s="3">
        <f ca="1">IFERROR(__xludf.DUMMYFUNCTION("""COMPUTED_VALUE"""),17)</f>
        <v>17</v>
      </c>
      <c r="E194" s="3">
        <f ca="1">IFERROR(__xludf.DUMMYFUNCTION("""COMPUTED_VALUE"""),0.469)</f>
        <v>0.46899999999999997</v>
      </c>
      <c r="F194" s="3">
        <f ca="1">IFERROR(__xludf.DUMMYFUNCTION("""COMPUTED_VALUE"""),0.77)</f>
        <v>0.77</v>
      </c>
      <c r="G194" s="3">
        <f ca="1">IFERROR(__xludf.DUMMYFUNCTION("""COMPUTED_VALUE"""),2.31)</f>
        <v>2.31</v>
      </c>
      <c r="H194" s="3">
        <f ca="1">IFERROR(__xludf.DUMMYFUNCTION("""COMPUTED_VALUE"""),7)</f>
        <v>7</v>
      </c>
      <c r="I194" s="3">
        <f ca="1">IFERROR(__xludf.DUMMYFUNCTION("""COMPUTED_VALUE"""),11)</f>
        <v>11</v>
      </c>
      <c r="J194" s="3">
        <f ca="1">IFERROR(__xludf.DUMMYFUNCTION("""COMPUTED_VALUE"""),10)</f>
        <v>10</v>
      </c>
      <c r="K194" s="3">
        <f ca="1">IFERROR(__xludf.DUMMYFUNCTION("""COMPUTED_VALUE"""),5)</f>
        <v>5</v>
      </c>
      <c r="L194" s="3">
        <f ca="1">IFERROR(__xludf.DUMMYFUNCTION("""COMPUTED_VALUE"""),4)</f>
        <v>4</v>
      </c>
      <c r="M194" s="3">
        <f ca="1">IFERROR(__xludf.DUMMYFUNCTION("""COMPUTED_VALUE"""),10)</f>
        <v>10</v>
      </c>
      <c r="N194" s="3">
        <f ca="1">IFERROR(__xludf.DUMMYFUNCTION("""COMPUTED_VALUE"""),2267)</f>
        <v>2267</v>
      </c>
      <c r="O194" s="3">
        <f ca="1">IFERROR(__xludf.DUMMYFUNCTION("""COMPUTED_VALUE"""),2233)</f>
        <v>2233</v>
      </c>
      <c r="P194" s="3">
        <f ca="1">IFERROR(__xludf.DUMMYFUNCTION("""COMPUTED_VALUE"""),1285)</f>
        <v>1285</v>
      </c>
      <c r="Q194" s="3">
        <f ca="1">IFERROR(__xludf.DUMMYFUNCTION("""COMPUTED_VALUE"""),777)</f>
        <v>777</v>
      </c>
      <c r="R194" s="3">
        <f ca="1">IFERROR(__xludf.DUMMYFUNCTION("""COMPUTED_VALUE"""),1847)</f>
        <v>1847</v>
      </c>
      <c r="S194" s="3">
        <f ca="1">IFERROR(__xludf.DUMMYFUNCTION("""COMPUTED_VALUE"""),0.421)</f>
        <v>0.42099999999999999</v>
      </c>
      <c r="T194" s="3">
        <f ca="1">IFERROR(__xludf.DUMMYFUNCTION("""COMPUTED_VALUE"""),269)</f>
        <v>269</v>
      </c>
      <c r="U194" s="3">
        <f ca="1">IFERROR(__xludf.DUMMYFUNCTION("""COMPUTED_VALUE"""),832)</f>
        <v>832</v>
      </c>
      <c r="V194" s="3">
        <f ca="1">IFERROR(__xludf.DUMMYFUNCTION("""COMPUTED_VALUE"""),0.323)</f>
        <v>0.32300000000000001</v>
      </c>
      <c r="W194" s="3">
        <f ca="1">IFERROR(__xludf.DUMMYFUNCTION("""COMPUTED_VALUE"""),444)</f>
        <v>444</v>
      </c>
      <c r="X194" s="3">
        <f ca="1">IFERROR(__xludf.DUMMYFUNCTION("""COMPUTED_VALUE"""),626)</f>
        <v>626</v>
      </c>
      <c r="Y194" s="3">
        <f ca="1">IFERROR(__xludf.DUMMYFUNCTION("""COMPUTED_VALUE"""),0.709)</f>
        <v>0.70899999999999996</v>
      </c>
      <c r="Z194" s="3">
        <f ca="1">IFERROR(__xludf.DUMMYFUNCTION("""COMPUTED_VALUE"""),353)</f>
        <v>353</v>
      </c>
      <c r="AA194" s="3">
        <f ca="1">IFERROR(__xludf.DUMMYFUNCTION("""COMPUTED_VALUE"""),1190)</f>
        <v>1190</v>
      </c>
      <c r="AB194" s="3">
        <f ca="1">IFERROR(__xludf.DUMMYFUNCTION("""COMPUTED_VALUE"""),349)</f>
        <v>349</v>
      </c>
      <c r="AC194" s="3">
        <f ca="1">IFERROR(__xludf.DUMMYFUNCTION("""COMPUTED_VALUE"""),194)</f>
        <v>194</v>
      </c>
      <c r="AD194" s="3">
        <f ca="1">IFERROR(__xludf.DUMMYFUNCTION("""COMPUTED_VALUE"""),87)</f>
        <v>87</v>
      </c>
      <c r="AE194" s="3">
        <f ca="1">IFERROR(__xludf.DUMMYFUNCTION("""COMPUTED_VALUE"""),413)</f>
        <v>413</v>
      </c>
      <c r="AF194" s="3">
        <f ca="1">IFERROR(__xludf.DUMMYFUNCTION("""COMPUTED_VALUE"""),581)</f>
        <v>581</v>
      </c>
    </row>
    <row r="195" spans="1:32" x14ac:dyDescent="0.25">
      <c r="A195" s="3" t="str">
        <f ca="1">IFERROR(__xludf.DUMMYFUNCTION("""COMPUTED_VALUE"""),"Michigan StateNCAA")</f>
        <v>Michigan StateNCAA</v>
      </c>
      <c r="B195" s="3">
        <f ca="1">IFERROR(__xludf.DUMMYFUNCTION("""COMPUTED_VALUE"""),39)</f>
        <v>39</v>
      </c>
      <c r="C195" s="3">
        <f ca="1">IFERROR(__xludf.DUMMYFUNCTION("""COMPUTED_VALUE"""),32)</f>
        <v>32</v>
      </c>
      <c r="D195" s="3">
        <f ca="1">IFERROR(__xludf.DUMMYFUNCTION("""COMPUTED_VALUE"""),7)</f>
        <v>7</v>
      </c>
      <c r="E195" s="3">
        <f ca="1">IFERROR(__xludf.DUMMYFUNCTION("""COMPUTED_VALUE"""),0.821)</f>
        <v>0.82099999999999995</v>
      </c>
      <c r="F195" s="3">
        <f ca="1">IFERROR(__xludf.DUMMYFUNCTION("""COMPUTED_VALUE"""),24.93)</f>
        <v>24.93</v>
      </c>
      <c r="G195" s="3">
        <f ca="1">IFERROR(__xludf.DUMMYFUNCTION("""COMPUTED_VALUE"""),12.34)</f>
        <v>12.34</v>
      </c>
      <c r="H195" s="3">
        <f ca="1">IFERROR(__xludf.DUMMYFUNCTION("""COMPUTED_VALUE"""),16)</f>
        <v>16</v>
      </c>
      <c r="I195" s="3">
        <f ca="1">IFERROR(__xludf.DUMMYFUNCTION("""COMPUTED_VALUE"""),4)</f>
        <v>4</v>
      </c>
      <c r="J195" s="3">
        <f ca="1">IFERROR(__xludf.DUMMYFUNCTION("""COMPUTED_VALUE"""),15)</f>
        <v>15</v>
      </c>
      <c r="K195" s="3">
        <f ca="1">IFERROR(__xludf.DUMMYFUNCTION("""COMPUTED_VALUE"""),1)</f>
        <v>1</v>
      </c>
      <c r="L195" s="3">
        <f ca="1">IFERROR(__xludf.DUMMYFUNCTION("""COMPUTED_VALUE"""),8)</f>
        <v>8</v>
      </c>
      <c r="M195" s="3">
        <f ca="1">IFERROR(__xludf.DUMMYFUNCTION("""COMPUTED_VALUE"""),4)</f>
        <v>4</v>
      </c>
      <c r="N195" s="3">
        <f ca="1">IFERROR(__xludf.DUMMYFUNCTION("""COMPUTED_VALUE"""),3025)</f>
        <v>3025</v>
      </c>
      <c r="O195" s="3">
        <f ca="1">IFERROR(__xludf.DUMMYFUNCTION("""COMPUTED_VALUE"""),2534)</f>
        <v>2534</v>
      </c>
      <c r="P195" s="3">
        <f ca="1">IFERROR(__xludf.DUMMYFUNCTION("""COMPUTED_VALUE"""),1570)</f>
        <v>1570</v>
      </c>
      <c r="Q195" s="3">
        <f ca="1">IFERROR(__xludf.DUMMYFUNCTION("""COMPUTED_VALUE"""),1071)</f>
        <v>1071</v>
      </c>
      <c r="R195" s="3">
        <f ca="1">IFERROR(__xludf.DUMMYFUNCTION("""COMPUTED_VALUE"""),2230)</f>
        <v>2230</v>
      </c>
      <c r="S195" s="3">
        <f ca="1">IFERROR(__xludf.DUMMYFUNCTION("""COMPUTED_VALUE"""),0.48)</f>
        <v>0.48</v>
      </c>
      <c r="T195" s="3">
        <f ca="1">IFERROR(__xludf.DUMMYFUNCTION("""COMPUTED_VALUE"""),319)</f>
        <v>319</v>
      </c>
      <c r="U195" s="3">
        <f ca="1">IFERROR(__xludf.DUMMYFUNCTION("""COMPUTED_VALUE"""),844)</f>
        <v>844</v>
      </c>
      <c r="V195" s="3">
        <f ca="1">IFERROR(__xludf.DUMMYFUNCTION("""COMPUTED_VALUE"""),0.378)</f>
        <v>0.378</v>
      </c>
      <c r="W195" s="3">
        <f ca="1">IFERROR(__xludf.DUMMYFUNCTION("""COMPUTED_VALUE"""),564)</f>
        <v>564</v>
      </c>
      <c r="X195" s="3">
        <f ca="1">IFERROR(__xludf.DUMMYFUNCTION("""COMPUTED_VALUE"""),749)</f>
        <v>749</v>
      </c>
      <c r="Y195" s="3">
        <f ca="1">IFERROR(__xludf.DUMMYFUNCTION("""COMPUTED_VALUE"""),0.753)</f>
        <v>0.753</v>
      </c>
      <c r="Z195" s="3">
        <f ca="1">IFERROR(__xludf.DUMMYFUNCTION("""COMPUTED_VALUE"""),414)</f>
        <v>414</v>
      </c>
      <c r="AA195" s="3">
        <f ca="1">IFERROR(__xludf.DUMMYFUNCTION("""COMPUTED_VALUE"""),1579)</f>
        <v>1579</v>
      </c>
      <c r="AB195" s="3">
        <f ca="1">IFERROR(__xludf.DUMMYFUNCTION("""COMPUTED_VALUE"""),715)</f>
        <v>715</v>
      </c>
      <c r="AC195" s="3">
        <f ca="1">IFERROR(__xludf.DUMMYFUNCTION("""COMPUTED_VALUE"""),201)</f>
        <v>201</v>
      </c>
      <c r="AD195" s="3">
        <f ca="1">IFERROR(__xludf.DUMMYFUNCTION("""COMPUTED_VALUE"""),205)</f>
        <v>205</v>
      </c>
      <c r="AE195" s="3">
        <f ca="1">IFERROR(__xludf.DUMMYFUNCTION("""COMPUTED_VALUE"""),493)</f>
        <v>493</v>
      </c>
      <c r="AF195" s="3">
        <f ca="1">IFERROR(__xludf.DUMMYFUNCTION("""COMPUTED_VALUE"""),647)</f>
        <v>647</v>
      </c>
    </row>
    <row r="196" spans="1:32" x14ac:dyDescent="0.25">
      <c r="A196" s="3" t="str">
        <f ca="1">IFERROR(__xludf.DUMMYFUNCTION("""COMPUTED_VALUE"""),"MichiganNCAA")</f>
        <v>MichiganNCAA</v>
      </c>
      <c r="B196" s="3">
        <f ca="1">IFERROR(__xludf.DUMMYFUNCTION("""COMPUTED_VALUE"""),37)</f>
        <v>37</v>
      </c>
      <c r="C196" s="3">
        <f ca="1">IFERROR(__xludf.DUMMYFUNCTION("""COMPUTED_VALUE"""),30)</f>
        <v>30</v>
      </c>
      <c r="D196" s="3">
        <f ca="1">IFERROR(__xludf.DUMMYFUNCTION("""COMPUTED_VALUE"""),7)</f>
        <v>7</v>
      </c>
      <c r="E196" s="3">
        <f ca="1">IFERROR(__xludf.DUMMYFUNCTION("""COMPUTED_VALUE"""),0.811)</f>
        <v>0.81100000000000005</v>
      </c>
      <c r="F196" s="3">
        <f ca="1">IFERROR(__xludf.DUMMYFUNCTION("""COMPUTED_VALUE"""),21.82)</f>
        <v>21.82</v>
      </c>
      <c r="G196" s="3">
        <f ca="1">IFERROR(__xludf.DUMMYFUNCTION("""COMPUTED_VALUE"""),10.55)</f>
        <v>10.55</v>
      </c>
      <c r="H196" s="3">
        <f ca="1">IFERROR(__xludf.DUMMYFUNCTION("""COMPUTED_VALUE"""),15)</f>
        <v>15</v>
      </c>
      <c r="I196" s="3">
        <f ca="1">IFERROR(__xludf.DUMMYFUNCTION("""COMPUTED_VALUE"""),5)</f>
        <v>5</v>
      </c>
      <c r="J196" s="3">
        <f ca="1">IFERROR(__xludf.DUMMYFUNCTION("""COMPUTED_VALUE"""),17)</f>
        <v>17</v>
      </c>
      <c r="K196" s="3">
        <f ca="1">IFERROR(__xludf.DUMMYFUNCTION("""COMPUTED_VALUE"""),1)</f>
        <v>1</v>
      </c>
      <c r="L196" s="3">
        <f ca="1">IFERROR(__xludf.DUMMYFUNCTION("""COMPUTED_VALUE"""),7)</f>
        <v>7</v>
      </c>
      <c r="M196" s="3">
        <f ca="1">IFERROR(__xludf.DUMMYFUNCTION("""COMPUTED_VALUE"""),4)</f>
        <v>4</v>
      </c>
      <c r="N196" s="3">
        <f ca="1">IFERROR(__xludf.DUMMYFUNCTION("""COMPUTED_VALUE"""),2575)</f>
        <v>2575</v>
      </c>
      <c r="O196" s="3">
        <f ca="1">IFERROR(__xludf.DUMMYFUNCTION("""COMPUTED_VALUE"""),2158)</f>
        <v>2158</v>
      </c>
      <c r="P196" s="3">
        <f ca="1">IFERROR(__xludf.DUMMYFUNCTION("""COMPUTED_VALUE"""),1480)</f>
        <v>1480</v>
      </c>
      <c r="Q196" s="3">
        <f ca="1">IFERROR(__xludf.DUMMYFUNCTION("""COMPUTED_VALUE"""),941)</f>
        <v>941</v>
      </c>
      <c r="R196" s="3">
        <f ca="1">IFERROR(__xludf.DUMMYFUNCTION("""COMPUTED_VALUE"""),2102)</f>
        <v>2102</v>
      </c>
      <c r="S196" s="3">
        <f ca="1">IFERROR(__xludf.DUMMYFUNCTION("""COMPUTED_VALUE"""),0.448)</f>
        <v>0.44800000000000001</v>
      </c>
      <c r="T196" s="3">
        <f ca="1">IFERROR(__xludf.DUMMYFUNCTION("""COMPUTED_VALUE"""),287)</f>
        <v>287</v>
      </c>
      <c r="U196" s="3">
        <f ca="1">IFERROR(__xludf.DUMMYFUNCTION("""COMPUTED_VALUE"""),839)</f>
        <v>839</v>
      </c>
      <c r="V196" s="3">
        <f ca="1">IFERROR(__xludf.DUMMYFUNCTION("""COMPUTED_VALUE"""),0.342)</f>
        <v>0.34200000000000003</v>
      </c>
      <c r="W196" s="3">
        <f ca="1">IFERROR(__xludf.DUMMYFUNCTION("""COMPUTED_VALUE"""),406)</f>
        <v>406</v>
      </c>
      <c r="X196" s="3">
        <f ca="1">IFERROR(__xludf.DUMMYFUNCTION("""COMPUTED_VALUE"""),579)</f>
        <v>579</v>
      </c>
      <c r="Y196" s="3">
        <f ca="1">IFERROR(__xludf.DUMMYFUNCTION("""COMPUTED_VALUE"""),0.701)</f>
        <v>0.70099999999999996</v>
      </c>
      <c r="Z196" s="3">
        <f ca="1">IFERROR(__xludf.DUMMYFUNCTION("""COMPUTED_VALUE"""),299)</f>
        <v>299</v>
      </c>
      <c r="AA196" s="3">
        <f ca="1">IFERROR(__xludf.DUMMYFUNCTION("""COMPUTED_VALUE"""),1307)</f>
        <v>1307</v>
      </c>
      <c r="AB196" s="3">
        <f ca="1">IFERROR(__xludf.DUMMYFUNCTION("""COMPUTED_VALUE"""),512)</f>
        <v>512</v>
      </c>
      <c r="AC196" s="3">
        <f ca="1">IFERROR(__xludf.DUMMYFUNCTION("""COMPUTED_VALUE"""),225)</f>
        <v>225</v>
      </c>
      <c r="AD196" s="3">
        <f ca="1">IFERROR(__xludf.DUMMYFUNCTION("""COMPUTED_VALUE"""),149)</f>
        <v>149</v>
      </c>
      <c r="AE196" s="3">
        <f ca="1">IFERROR(__xludf.DUMMYFUNCTION("""COMPUTED_VALUE"""),334)</f>
        <v>334</v>
      </c>
      <c r="AF196" s="3">
        <f ca="1">IFERROR(__xludf.DUMMYFUNCTION("""COMPUTED_VALUE"""),514)</f>
        <v>514</v>
      </c>
    </row>
    <row r="197" spans="1:32" x14ac:dyDescent="0.25">
      <c r="A197" s="3" t="str">
        <f ca="1">IFERROR(__xludf.DUMMYFUNCTION("""COMPUTED_VALUE"""),"Middle Tennessee")</f>
        <v>Middle Tennessee</v>
      </c>
      <c r="B197" s="3">
        <f ca="1">IFERROR(__xludf.DUMMYFUNCTION("""COMPUTED_VALUE"""),32)</f>
        <v>32</v>
      </c>
      <c r="C197" s="3">
        <f ca="1">IFERROR(__xludf.DUMMYFUNCTION("""COMPUTED_VALUE"""),11)</f>
        <v>11</v>
      </c>
      <c r="D197" s="3">
        <f ca="1">IFERROR(__xludf.DUMMYFUNCTION("""COMPUTED_VALUE"""),21)</f>
        <v>21</v>
      </c>
      <c r="E197" s="3">
        <f ca="1">IFERROR(__xludf.DUMMYFUNCTION("""COMPUTED_VALUE"""),0.344)</f>
        <v>0.34399999999999997</v>
      </c>
      <c r="F197" s="3">
        <f ca="1">IFERROR(__xludf.DUMMYFUNCTION("""COMPUTED_VALUE"""),-6.09)</f>
        <v>-6.09</v>
      </c>
      <c r="G197" s="3">
        <f ca="1">IFERROR(__xludf.DUMMYFUNCTION("""COMPUTED_VALUE"""),1.44)</f>
        <v>1.44</v>
      </c>
      <c r="H197" s="3">
        <f ca="1">IFERROR(__xludf.DUMMYFUNCTION("""COMPUTED_VALUE"""),8)</f>
        <v>8</v>
      </c>
      <c r="I197" s="3">
        <f ca="1">IFERROR(__xludf.DUMMYFUNCTION("""COMPUTED_VALUE"""),10)</f>
        <v>10</v>
      </c>
      <c r="J197" s="3">
        <f ca="1">IFERROR(__xludf.DUMMYFUNCTION("""COMPUTED_VALUE"""),9)</f>
        <v>9</v>
      </c>
      <c r="K197" s="3">
        <f ca="1">IFERROR(__xludf.DUMMYFUNCTION("""COMPUTED_VALUE"""),5)</f>
        <v>5</v>
      </c>
      <c r="L197" s="3">
        <f ca="1">IFERROR(__xludf.DUMMYFUNCTION("""COMPUTED_VALUE"""),2)</f>
        <v>2</v>
      </c>
      <c r="M197" s="3">
        <f ca="1">IFERROR(__xludf.DUMMYFUNCTION("""COMPUTED_VALUE"""),11)</f>
        <v>11</v>
      </c>
      <c r="N197" s="3">
        <f ca="1">IFERROR(__xludf.DUMMYFUNCTION("""COMPUTED_VALUE"""),2141)</f>
        <v>2141</v>
      </c>
      <c r="O197" s="3">
        <f ca="1">IFERROR(__xludf.DUMMYFUNCTION("""COMPUTED_VALUE"""),2313)</f>
        <v>2313</v>
      </c>
      <c r="P197" s="3">
        <f ca="1">IFERROR(__xludf.DUMMYFUNCTION("""COMPUTED_VALUE"""),1280)</f>
        <v>1280</v>
      </c>
      <c r="Q197" s="3">
        <f ca="1">IFERROR(__xludf.DUMMYFUNCTION("""COMPUTED_VALUE"""),778)</f>
        <v>778</v>
      </c>
      <c r="R197" s="3">
        <f ca="1">IFERROR(__xludf.DUMMYFUNCTION("""COMPUTED_VALUE"""),1858)</f>
        <v>1858</v>
      </c>
      <c r="S197" s="3">
        <f ca="1">IFERROR(__xludf.DUMMYFUNCTION("""COMPUTED_VALUE"""),0.419)</f>
        <v>0.41899999999999998</v>
      </c>
      <c r="T197" s="3">
        <f ca="1">IFERROR(__xludf.DUMMYFUNCTION("""COMPUTED_VALUE"""),212)</f>
        <v>212</v>
      </c>
      <c r="U197" s="3">
        <f ca="1">IFERROR(__xludf.DUMMYFUNCTION("""COMPUTED_VALUE"""),650)</f>
        <v>650</v>
      </c>
      <c r="V197" s="3">
        <f ca="1">IFERROR(__xludf.DUMMYFUNCTION("""COMPUTED_VALUE"""),0.326)</f>
        <v>0.32600000000000001</v>
      </c>
      <c r="W197" s="3">
        <f ca="1">IFERROR(__xludf.DUMMYFUNCTION("""COMPUTED_VALUE"""),373)</f>
        <v>373</v>
      </c>
      <c r="X197" s="3">
        <f ca="1">IFERROR(__xludf.DUMMYFUNCTION("""COMPUTED_VALUE"""),551)</f>
        <v>551</v>
      </c>
      <c r="Y197" s="3">
        <f ca="1">IFERROR(__xludf.DUMMYFUNCTION("""COMPUTED_VALUE"""),0.677)</f>
        <v>0.67700000000000005</v>
      </c>
      <c r="Z197" s="3">
        <f ca="1">IFERROR(__xludf.DUMMYFUNCTION("""COMPUTED_VALUE"""),382)</f>
        <v>382</v>
      </c>
      <c r="AA197" s="3">
        <f ca="1">IFERROR(__xludf.DUMMYFUNCTION("""COMPUTED_VALUE"""),1228)</f>
        <v>1228</v>
      </c>
      <c r="AB197" s="3">
        <f ca="1">IFERROR(__xludf.DUMMYFUNCTION("""COMPUTED_VALUE"""),352)</f>
        <v>352</v>
      </c>
      <c r="AC197" s="3">
        <f ca="1">IFERROR(__xludf.DUMMYFUNCTION("""COMPUTED_VALUE"""),190)</f>
        <v>190</v>
      </c>
      <c r="AD197" s="3">
        <f ca="1">IFERROR(__xludf.DUMMYFUNCTION("""COMPUTED_VALUE"""),85)</f>
        <v>85</v>
      </c>
      <c r="AE197" s="3">
        <f ca="1">IFERROR(__xludf.DUMMYFUNCTION("""COMPUTED_VALUE"""),512)</f>
        <v>512</v>
      </c>
      <c r="AF197" s="3">
        <f ca="1">IFERROR(__xludf.DUMMYFUNCTION("""COMPUTED_VALUE"""),583)</f>
        <v>583</v>
      </c>
    </row>
    <row r="198" spans="1:32" x14ac:dyDescent="0.25">
      <c r="A198" s="3" t="str">
        <f ca="1">IFERROR(__xludf.DUMMYFUNCTION("""COMPUTED_VALUE"""),"Overall")</f>
        <v>Overall</v>
      </c>
      <c r="B198" s="3" t="str">
        <f ca="1">IFERROR(__xludf.DUMMYFUNCTION("""COMPUTED_VALUE"""),"Conf.")</f>
        <v>Conf.</v>
      </c>
      <c r="C198" s="3" t="str">
        <f ca="1">IFERROR(__xludf.DUMMYFUNCTION("""COMPUTED_VALUE"""),"Home")</f>
        <v>Home</v>
      </c>
      <c r="D198" s="3" t="str">
        <f ca="1">IFERROR(__xludf.DUMMYFUNCTION("""COMPUTED_VALUE"""),"Away")</f>
        <v>Away</v>
      </c>
      <c r="E198" s="3" t="str">
        <f ca="1">IFERROR(__xludf.DUMMYFUNCTION("""COMPUTED_VALUE"""),"Points")</f>
        <v>Points</v>
      </c>
      <c r="F198" s="3" t="str">
        <f ca="1">IFERROR(__xludf.DUMMYFUNCTION("""COMPUTED_VALUE"""),"")</f>
        <v/>
      </c>
      <c r="G198" s="3" t="str">
        <f ca="1">IFERROR(__xludf.DUMMYFUNCTION("""COMPUTED_VALUE"""),"School Totals")</f>
        <v>School Totals</v>
      </c>
      <c r="H198" s="3" t="str">
        <f ca="1">IFERROR(__xludf.DUMMYFUNCTION("""COMPUTED_VALUE"""),"")</f>
        <v/>
      </c>
      <c r="I198" s="3" t="str">
        <f ca="1">IFERROR(__xludf.DUMMYFUNCTION("""COMPUTED_VALUE"""),"")</f>
        <v/>
      </c>
      <c r="J198" s="3" t="str">
        <f ca="1">IFERROR(__xludf.DUMMYFUNCTION("""COMPUTED_VALUE"""),"")</f>
        <v/>
      </c>
      <c r="K198" s="3" t="str">
        <f ca="1">IFERROR(__xludf.DUMMYFUNCTION("""COMPUTED_VALUE"""),"")</f>
        <v/>
      </c>
      <c r="L198" s="3" t="str">
        <f ca="1">IFERROR(__xludf.DUMMYFUNCTION("""COMPUTED_VALUE"""),"")</f>
        <v/>
      </c>
      <c r="M198" s="3" t="str">
        <f ca="1">IFERROR(__xludf.DUMMYFUNCTION("""COMPUTED_VALUE"""),"")</f>
        <v/>
      </c>
      <c r="N198" s="3" t="str">
        <f ca="1">IFERROR(__xludf.DUMMYFUNCTION("""COMPUTED_VALUE"""),"")</f>
        <v/>
      </c>
      <c r="O198" s="3" t="str">
        <f ca="1">IFERROR(__xludf.DUMMYFUNCTION("""COMPUTED_VALUE"""),"")</f>
        <v/>
      </c>
      <c r="P198" s="3" t="str">
        <f ca="1">IFERROR(__xludf.DUMMYFUNCTION("""COMPUTED_VALUE"""),"")</f>
        <v/>
      </c>
      <c r="Q198" s="3" t="str">
        <f ca="1">IFERROR(__xludf.DUMMYFUNCTION("""COMPUTED_VALUE"""),"")</f>
        <v/>
      </c>
      <c r="R198" s="3" t="str">
        <f ca="1">IFERROR(__xludf.DUMMYFUNCTION("""COMPUTED_VALUE"""),"")</f>
        <v/>
      </c>
      <c r="S198" s="3" t="str">
        <f ca="1">IFERROR(__xludf.DUMMYFUNCTION("""COMPUTED_VALUE"""),"")</f>
        <v/>
      </c>
      <c r="T198" s="3" t="str">
        <f ca="1">IFERROR(__xludf.DUMMYFUNCTION("""COMPUTED_VALUE"""),"")</f>
        <v/>
      </c>
      <c r="U198" s="3" t="str">
        <f ca="1">IFERROR(__xludf.DUMMYFUNCTION("""COMPUTED_VALUE"""),"")</f>
        <v/>
      </c>
      <c r="V198" s="3" t="str">
        <f ca="1">IFERROR(__xludf.DUMMYFUNCTION("""COMPUTED_VALUE"""),"")</f>
        <v/>
      </c>
      <c r="W198" s="3" t="str">
        <f ca="1">IFERROR(__xludf.DUMMYFUNCTION("""COMPUTED_VALUE"""),"")</f>
        <v/>
      </c>
      <c r="X198" s="3" t="str">
        <f ca="1">IFERROR(__xludf.DUMMYFUNCTION("""COMPUTED_VALUE"""),"")</f>
        <v/>
      </c>
      <c r="Y198" s="3" t="str">
        <f ca="1">IFERROR(__xludf.DUMMYFUNCTION("""COMPUTED_VALUE"""),"")</f>
        <v/>
      </c>
      <c r="Z198" s="3" t="str">
        <f ca="1">IFERROR(__xludf.DUMMYFUNCTION("""COMPUTED_VALUE"""),"")</f>
        <v/>
      </c>
      <c r="AA198" s="3" t="str">
        <f ca="1">IFERROR(__xludf.DUMMYFUNCTION("""COMPUTED_VALUE"""),"")</f>
        <v/>
      </c>
      <c r="AB198" s="3" t="str">
        <f ca="1">IFERROR(__xludf.DUMMYFUNCTION("""COMPUTED_VALUE"""),"")</f>
        <v/>
      </c>
      <c r="AC198" s="3" t="str">
        <f ca="1">IFERROR(__xludf.DUMMYFUNCTION("""COMPUTED_VALUE"""),"")</f>
        <v/>
      </c>
      <c r="AD198" s="3" t="str">
        <f ca="1">IFERROR(__xludf.DUMMYFUNCTION("""COMPUTED_VALUE"""),"")</f>
        <v/>
      </c>
      <c r="AE198" s="3" t="str">
        <f ca="1">IFERROR(__xludf.DUMMYFUNCTION("""COMPUTED_VALUE"""),"")</f>
        <v/>
      </c>
      <c r="AF198" s="3" t="str">
        <f ca="1">IFERROR(__xludf.DUMMYFUNCTION("""COMPUTED_VALUE"""),"")</f>
        <v/>
      </c>
    </row>
    <row r="199" spans="1:32" x14ac:dyDescent="0.25">
      <c r="A199" s="3" t="str">
        <f ca="1">IFERROR(__xludf.DUMMYFUNCTION("""COMPUTED_VALUE"""),"School")</f>
        <v>School</v>
      </c>
      <c r="B199" s="3" t="str">
        <f ca="1">IFERROR(__xludf.DUMMYFUNCTION("""COMPUTED_VALUE"""),"G")</f>
        <v>G</v>
      </c>
      <c r="C199" s="3" t="str">
        <f ca="1">IFERROR(__xludf.DUMMYFUNCTION("""COMPUTED_VALUE"""),"W")</f>
        <v>W</v>
      </c>
      <c r="D199" s="3" t="str">
        <f ca="1">IFERROR(__xludf.DUMMYFUNCTION("""COMPUTED_VALUE"""),"L")</f>
        <v>L</v>
      </c>
      <c r="E199" s="3" t="str">
        <f ca="1">IFERROR(__xludf.DUMMYFUNCTION("""COMPUTED_VALUE"""),"W-L%")</f>
        <v>W-L%</v>
      </c>
      <c r="F199" s="3" t="str">
        <f ca="1">IFERROR(__xludf.DUMMYFUNCTION("""COMPUTED_VALUE"""),"SRS")</f>
        <v>SRS</v>
      </c>
      <c r="G199" s="3" t="str">
        <f ca="1">IFERROR(__xludf.DUMMYFUNCTION("""COMPUTED_VALUE"""),"SOS")</f>
        <v>SOS</v>
      </c>
      <c r="H199" s="3" t="str">
        <f ca="1">IFERROR(__xludf.DUMMYFUNCTION("""COMPUTED_VALUE"""),"W")</f>
        <v>W</v>
      </c>
      <c r="I199" s="3" t="str">
        <f ca="1">IFERROR(__xludf.DUMMYFUNCTION("""COMPUTED_VALUE"""),"L")</f>
        <v>L</v>
      </c>
      <c r="J199" s="3" t="str">
        <f ca="1">IFERROR(__xludf.DUMMYFUNCTION("""COMPUTED_VALUE"""),"W")</f>
        <v>W</v>
      </c>
      <c r="K199" s="3" t="str">
        <f ca="1">IFERROR(__xludf.DUMMYFUNCTION("""COMPUTED_VALUE"""),"L")</f>
        <v>L</v>
      </c>
      <c r="L199" s="3" t="str">
        <f ca="1">IFERROR(__xludf.DUMMYFUNCTION("""COMPUTED_VALUE"""),"W")</f>
        <v>W</v>
      </c>
      <c r="M199" s="3" t="str">
        <f ca="1">IFERROR(__xludf.DUMMYFUNCTION("""COMPUTED_VALUE"""),"L")</f>
        <v>L</v>
      </c>
      <c r="N199" s="3" t="str">
        <f ca="1">IFERROR(__xludf.DUMMYFUNCTION("""COMPUTED_VALUE"""),"Tm.")</f>
        <v>Tm.</v>
      </c>
      <c r="O199" s="3" t="str">
        <f ca="1">IFERROR(__xludf.DUMMYFUNCTION("""COMPUTED_VALUE"""),"Opp.")</f>
        <v>Opp.</v>
      </c>
      <c r="P199" s="3" t="str">
        <f ca="1">IFERROR(__xludf.DUMMYFUNCTION("""COMPUTED_VALUE"""),"MP")</f>
        <v>MP</v>
      </c>
      <c r="Q199" s="3" t="str">
        <f ca="1">IFERROR(__xludf.DUMMYFUNCTION("""COMPUTED_VALUE"""),"FG")</f>
        <v>FG</v>
      </c>
      <c r="R199" s="3" t="str">
        <f ca="1">IFERROR(__xludf.DUMMYFUNCTION("""COMPUTED_VALUE"""),"FGA")</f>
        <v>FGA</v>
      </c>
      <c r="S199" s="3" t="str">
        <f ca="1">IFERROR(__xludf.DUMMYFUNCTION("""COMPUTED_VALUE"""),"FG%")</f>
        <v>FG%</v>
      </c>
      <c r="T199" s="3" t="str">
        <f ca="1">IFERROR(__xludf.DUMMYFUNCTION("""COMPUTED_VALUE"""),"3P")</f>
        <v>3P</v>
      </c>
      <c r="U199" s="3" t="str">
        <f ca="1">IFERROR(__xludf.DUMMYFUNCTION("""COMPUTED_VALUE"""),"3PA")</f>
        <v>3PA</v>
      </c>
      <c r="V199" s="3" t="str">
        <f ca="1">IFERROR(__xludf.DUMMYFUNCTION("""COMPUTED_VALUE"""),"3P%")</f>
        <v>3P%</v>
      </c>
      <c r="W199" s="3" t="str">
        <f ca="1">IFERROR(__xludf.DUMMYFUNCTION("""COMPUTED_VALUE"""),"FT")</f>
        <v>FT</v>
      </c>
      <c r="X199" s="3" t="str">
        <f ca="1">IFERROR(__xludf.DUMMYFUNCTION("""COMPUTED_VALUE"""),"FTA")</f>
        <v>FTA</v>
      </c>
      <c r="Y199" s="3" t="str">
        <f ca="1">IFERROR(__xludf.DUMMYFUNCTION("""COMPUTED_VALUE"""),"FT%")</f>
        <v>FT%</v>
      </c>
      <c r="Z199" s="3" t="str">
        <f ca="1">IFERROR(__xludf.DUMMYFUNCTION("""COMPUTED_VALUE"""),"ORB")</f>
        <v>ORB</v>
      </c>
      <c r="AA199" s="3" t="str">
        <f ca="1">IFERROR(__xludf.DUMMYFUNCTION("""COMPUTED_VALUE"""),"TRB")</f>
        <v>TRB</v>
      </c>
      <c r="AB199" s="3" t="str">
        <f ca="1">IFERROR(__xludf.DUMMYFUNCTION("""COMPUTED_VALUE"""),"AST")</f>
        <v>AST</v>
      </c>
      <c r="AC199" s="3" t="str">
        <f ca="1">IFERROR(__xludf.DUMMYFUNCTION("""COMPUTED_VALUE"""),"STL")</f>
        <v>STL</v>
      </c>
      <c r="AD199" s="3" t="str">
        <f ca="1">IFERROR(__xludf.DUMMYFUNCTION("""COMPUTED_VALUE"""),"BLK")</f>
        <v>BLK</v>
      </c>
      <c r="AE199" s="3" t="str">
        <f ca="1">IFERROR(__xludf.DUMMYFUNCTION("""COMPUTED_VALUE"""),"TOV")</f>
        <v>TOV</v>
      </c>
      <c r="AF199" s="3" t="str">
        <f ca="1">IFERROR(__xludf.DUMMYFUNCTION("""COMPUTED_VALUE"""),"PF")</f>
        <v>PF</v>
      </c>
    </row>
    <row r="200" spans="1:32" x14ac:dyDescent="0.25">
      <c r="A200" s="3" t="str">
        <f ca="1">IFERROR(__xludf.DUMMYFUNCTION("""COMPUTED_VALUE"""),"Milwaukee")</f>
        <v>Milwaukee</v>
      </c>
      <c r="B200" s="3">
        <f ca="1">IFERROR(__xludf.DUMMYFUNCTION("""COMPUTED_VALUE"""),31)</f>
        <v>31</v>
      </c>
      <c r="C200" s="3">
        <f ca="1">IFERROR(__xludf.DUMMYFUNCTION("""COMPUTED_VALUE"""),9)</f>
        <v>9</v>
      </c>
      <c r="D200" s="3">
        <f ca="1">IFERROR(__xludf.DUMMYFUNCTION("""COMPUTED_VALUE"""),22)</f>
        <v>22</v>
      </c>
      <c r="E200" s="3">
        <f ca="1">IFERROR(__xludf.DUMMYFUNCTION("""COMPUTED_VALUE"""),0.29)</f>
        <v>0.28999999999999998</v>
      </c>
      <c r="F200" s="3">
        <f ca="1">IFERROR(__xludf.DUMMYFUNCTION("""COMPUTED_VALUE"""),-8.9)</f>
        <v>-8.9</v>
      </c>
      <c r="G200" s="3">
        <f ca="1">IFERROR(__xludf.DUMMYFUNCTION("""COMPUTED_VALUE"""),-2.5)</f>
        <v>-2.5</v>
      </c>
      <c r="H200" s="3">
        <f ca="1">IFERROR(__xludf.DUMMYFUNCTION("""COMPUTED_VALUE"""),4)</f>
        <v>4</v>
      </c>
      <c r="I200" s="3">
        <f ca="1">IFERROR(__xludf.DUMMYFUNCTION("""COMPUTED_VALUE"""),14)</f>
        <v>14</v>
      </c>
      <c r="J200" s="3">
        <f ca="1">IFERROR(__xludf.DUMMYFUNCTION("""COMPUTED_VALUE"""),6)</f>
        <v>6</v>
      </c>
      <c r="K200" s="3">
        <f ca="1">IFERROR(__xludf.DUMMYFUNCTION("""COMPUTED_VALUE"""),8)</f>
        <v>8</v>
      </c>
      <c r="L200" s="3">
        <f ca="1">IFERROR(__xludf.DUMMYFUNCTION("""COMPUTED_VALUE"""),3)</f>
        <v>3</v>
      </c>
      <c r="M200" s="3">
        <f ca="1">IFERROR(__xludf.DUMMYFUNCTION("""COMPUTED_VALUE"""),12)</f>
        <v>12</v>
      </c>
      <c r="N200" s="3">
        <f ca="1">IFERROR(__xludf.DUMMYFUNCTION("""COMPUTED_VALUE"""),2146)</f>
        <v>2146</v>
      </c>
      <c r="O200" s="3">
        <f ca="1">IFERROR(__xludf.DUMMYFUNCTION("""COMPUTED_VALUE"""),2315)</f>
        <v>2315</v>
      </c>
      <c r="P200" s="3">
        <f ca="1">IFERROR(__xludf.DUMMYFUNCTION("""COMPUTED_VALUE"""),1245)</f>
        <v>1245</v>
      </c>
      <c r="Q200" s="3">
        <f ca="1">IFERROR(__xludf.DUMMYFUNCTION("""COMPUTED_VALUE"""),765)</f>
        <v>765</v>
      </c>
      <c r="R200" s="3">
        <f ca="1">IFERROR(__xludf.DUMMYFUNCTION("""COMPUTED_VALUE"""),1820)</f>
        <v>1820</v>
      </c>
      <c r="S200" s="3">
        <f ca="1">IFERROR(__xludf.DUMMYFUNCTION("""COMPUTED_VALUE"""),0.42)</f>
        <v>0.42</v>
      </c>
      <c r="T200" s="3">
        <f ca="1">IFERROR(__xludf.DUMMYFUNCTION("""COMPUTED_VALUE"""),237)</f>
        <v>237</v>
      </c>
      <c r="U200" s="3">
        <f ca="1">IFERROR(__xludf.DUMMYFUNCTION("""COMPUTED_VALUE"""),692)</f>
        <v>692</v>
      </c>
      <c r="V200" s="3">
        <f ca="1">IFERROR(__xludf.DUMMYFUNCTION("""COMPUTED_VALUE"""),0.342)</f>
        <v>0.34200000000000003</v>
      </c>
      <c r="W200" s="3">
        <f ca="1">IFERROR(__xludf.DUMMYFUNCTION("""COMPUTED_VALUE"""),379)</f>
        <v>379</v>
      </c>
      <c r="X200" s="3">
        <f ca="1">IFERROR(__xludf.DUMMYFUNCTION("""COMPUTED_VALUE"""),508)</f>
        <v>508</v>
      </c>
      <c r="Y200" s="3">
        <f ca="1">IFERROR(__xludf.DUMMYFUNCTION("""COMPUTED_VALUE"""),0.746)</f>
        <v>0.746</v>
      </c>
      <c r="Z200" s="3">
        <f ca="1">IFERROR(__xludf.DUMMYFUNCTION("""COMPUTED_VALUE"""),288)</f>
        <v>288</v>
      </c>
      <c r="AA200" s="3">
        <f ca="1">IFERROR(__xludf.DUMMYFUNCTION("""COMPUTED_VALUE"""),1094)</f>
        <v>1094</v>
      </c>
      <c r="AB200" s="3">
        <f ca="1">IFERROR(__xludf.DUMMYFUNCTION("""COMPUTED_VALUE"""),356)</f>
        <v>356</v>
      </c>
      <c r="AC200" s="3">
        <f ca="1">IFERROR(__xludf.DUMMYFUNCTION("""COMPUTED_VALUE"""),145)</f>
        <v>145</v>
      </c>
      <c r="AD200" s="3">
        <f ca="1">IFERROR(__xludf.DUMMYFUNCTION("""COMPUTED_VALUE"""),94)</f>
        <v>94</v>
      </c>
      <c r="AE200" s="3">
        <f ca="1">IFERROR(__xludf.DUMMYFUNCTION("""COMPUTED_VALUE"""),382)</f>
        <v>382</v>
      </c>
      <c r="AF200" s="3">
        <f ca="1">IFERROR(__xludf.DUMMYFUNCTION("""COMPUTED_VALUE"""),579)</f>
        <v>579</v>
      </c>
    </row>
    <row r="201" spans="1:32" x14ac:dyDescent="0.25">
      <c r="A201" s="3" t="str">
        <f ca="1">IFERROR(__xludf.DUMMYFUNCTION("""COMPUTED_VALUE"""),"MinnesotaNCAA")</f>
        <v>MinnesotaNCAA</v>
      </c>
      <c r="B201" s="3">
        <f ca="1">IFERROR(__xludf.DUMMYFUNCTION("""COMPUTED_VALUE"""),36)</f>
        <v>36</v>
      </c>
      <c r="C201" s="3">
        <f ca="1">IFERROR(__xludf.DUMMYFUNCTION("""COMPUTED_VALUE"""),22)</f>
        <v>22</v>
      </c>
      <c r="D201" s="3">
        <f ca="1">IFERROR(__xludf.DUMMYFUNCTION("""COMPUTED_VALUE"""),14)</f>
        <v>14</v>
      </c>
      <c r="E201" s="3">
        <f ca="1">IFERROR(__xludf.DUMMYFUNCTION("""COMPUTED_VALUE"""),0.611)</f>
        <v>0.61099999999999999</v>
      </c>
      <c r="F201" s="3">
        <f ca="1">IFERROR(__xludf.DUMMYFUNCTION("""COMPUTED_VALUE"""),12.52)</f>
        <v>12.52</v>
      </c>
      <c r="G201" s="3">
        <f ca="1">IFERROR(__xludf.DUMMYFUNCTION("""COMPUTED_VALUE"""),11.27)</f>
        <v>11.27</v>
      </c>
      <c r="H201" s="3">
        <f ca="1">IFERROR(__xludf.DUMMYFUNCTION("""COMPUTED_VALUE"""),9)</f>
        <v>9</v>
      </c>
      <c r="I201" s="3">
        <f ca="1">IFERROR(__xludf.DUMMYFUNCTION("""COMPUTED_VALUE"""),11)</f>
        <v>11</v>
      </c>
      <c r="J201" s="3">
        <f ca="1">IFERROR(__xludf.DUMMYFUNCTION("""COMPUTED_VALUE"""),14)</f>
        <v>14</v>
      </c>
      <c r="K201" s="3">
        <f ca="1">IFERROR(__xludf.DUMMYFUNCTION("""COMPUTED_VALUE"""),3)</f>
        <v>3</v>
      </c>
      <c r="L201" s="3">
        <f ca="1">IFERROR(__xludf.DUMMYFUNCTION("""COMPUTED_VALUE"""),2)</f>
        <v>2</v>
      </c>
      <c r="M201" s="3">
        <f ca="1">IFERROR(__xludf.DUMMYFUNCTION("""COMPUTED_VALUE"""),9)</f>
        <v>9</v>
      </c>
      <c r="N201" s="3">
        <f ca="1">IFERROR(__xludf.DUMMYFUNCTION("""COMPUTED_VALUE"""),2543)</f>
        <v>2543</v>
      </c>
      <c r="O201" s="3">
        <f ca="1">IFERROR(__xludf.DUMMYFUNCTION("""COMPUTED_VALUE"""),2498)</f>
        <v>2498</v>
      </c>
      <c r="P201" s="3">
        <f ca="1">IFERROR(__xludf.DUMMYFUNCTION("""COMPUTED_VALUE"""),1445)</f>
        <v>1445</v>
      </c>
      <c r="Q201" s="3">
        <f ca="1">IFERROR(__xludf.DUMMYFUNCTION("""COMPUTED_VALUE"""),887)</f>
        <v>887</v>
      </c>
      <c r="R201" s="3">
        <f ca="1">IFERROR(__xludf.DUMMYFUNCTION("""COMPUTED_VALUE"""),2039)</f>
        <v>2039</v>
      </c>
      <c r="S201" s="3">
        <f ca="1">IFERROR(__xludf.DUMMYFUNCTION("""COMPUTED_VALUE"""),0.435)</f>
        <v>0.435</v>
      </c>
      <c r="T201" s="3">
        <f ca="1">IFERROR(__xludf.DUMMYFUNCTION("""COMPUTED_VALUE"""),191)</f>
        <v>191</v>
      </c>
      <c r="U201" s="3">
        <f ca="1">IFERROR(__xludf.DUMMYFUNCTION("""COMPUTED_VALUE"""),603)</f>
        <v>603</v>
      </c>
      <c r="V201" s="3">
        <f ca="1">IFERROR(__xludf.DUMMYFUNCTION("""COMPUTED_VALUE"""),0.317)</f>
        <v>0.317</v>
      </c>
      <c r="W201" s="3">
        <f ca="1">IFERROR(__xludf.DUMMYFUNCTION("""COMPUTED_VALUE"""),578)</f>
        <v>578</v>
      </c>
      <c r="X201" s="3">
        <f ca="1">IFERROR(__xludf.DUMMYFUNCTION("""COMPUTED_VALUE"""),848)</f>
        <v>848</v>
      </c>
      <c r="Y201" s="3">
        <f ca="1">IFERROR(__xludf.DUMMYFUNCTION("""COMPUTED_VALUE"""),0.682)</f>
        <v>0.68200000000000005</v>
      </c>
      <c r="Z201" s="3">
        <f ca="1">IFERROR(__xludf.DUMMYFUNCTION("""COMPUTED_VALUE"""),402)</f>
        <v>402</v>
      </c>
      <c r="AA201" s="3">
        <f ca="1">IFERROR(__xludf.DUMMYFUNCTION("""COMPUTED_VALUE"""),1314)</f>
        <v>1314</v>
      </c>
      <c r="AB201" s="3">
        <f ca="1">IFERROR(__xludf.DUMMYFUNCTION("""COMPUTED_VALUE"""),523)</f>
        <v>523</v>
      </c>
      <c r="AC201" s="3">
        <f ca="1">IFERROR(__xludf.DUMMYFUNCTION("""COMPUTED_VALUE"""),175)</f>
        <v>175</v>
      </c>
      <c r="AD201" s="3">
        <f ca="1">IFERROR(__xludf.DUMMYFUNCTION("""COMPUTED_VALUE"""),140)</f>
        <v>140</v>
      </c>
      <c r="AE201" s="3">
        <f ca="1">IFERROR(__xludf.DUMMYFUNCTION("""COMPUTED_VALUE"""),418)</f>
        <v>418</v>
      </c>
      <c r="AF201" s="3">
        <f ca="1">IFERROR(__xludf.DUMMYFUNCTION("""COMPUTED_VALUE"""),578)</f>
        <v>578</v>
      </c>
    </row>
    <row r="202" spans="1:32" x14ac:dyDescent="0.25">
      <c r="A202" s="3" t="str">
        <f ca="1">IFERROR(__xludf.DUMMYFUNCTION("""COMPUTED_VALUE"""),"Mississippi StateNCAA")</f>
        <v>Mississippi StateNCAA</v>
      </c>
      <c r="B202" s="3">
        <f ca="1">IFERROR(__xludf.DUMMYFUNCTION("""COMPUTED_VALUE"""),34)</f>
        <v>34</v>
      </c>
      <c r="C202" s="3">
        <f ca="1">IFERROR(__xludf.DUMMYFUNCTION("""COMPUTED_VALUE"""),23)</f>
        <v>23</v>
      </c>
      <c r="D202" s="3">
        <f ca="1">IFERROR(__xludf.DUMMYFUNCTION("""COMPUTED_VALUE"""),11)</f>
        <v>11</v>
      </c>
      <c r="E202" s="3">
        <f ca="1">IFERROR(__xludf.DUMMYFUNCTION("""COMPUTED_VALUE"""),0.676)</f>
        <v>0.67600000000000005</v>
      </c>
      <c r="F202" s="3">
        <f ca="1">IFERROR(__xludf.DUMMYFUNCTION("""COMPUTED_VALUE"""),15.96)</f>
        <v>15.96</v>
      </c>
      <c r="G202" s="3">
        <f ca="1">IFERROR(__xludf.DUMMYFUNCTION("""COMPUTED_VALUE"""),9.07)</f>
        <v>9.07</v>
      </c>
      <c r="H202" s="3">
        <f ca="1">IFERROR(__xludf.DUMMYFUNCTION("""COMPUTED_VALUE"""),10)</f>
        <v>10</v>
      </c>
      <c r="I202" s="3">
        <f ca="1">IFERROR(__xludf.DUMMYFUNCTION("""COMPUTED_VALUE"""),8)</f>
        <v>8</v>
      </c>
      <c r="J202" s="3">
        <f ca="1">IFERROR(__xludf.DUMMYFUNCTION("""COMPUTED_VALUE"""),14)</f>
        <v>14</v>
      </c>
      <c r="K202" s="3">
        <f ca="1">IFERROR(__xludf.DUMMYFUNCTION("""COMPUTED_VALUE"""),3)</f>
        <v>3</v>
      </c>
      <c r="L202" s="3">
        <f ca="1">IFERROR(__xludf.DUMMYFUNCTION("""COMPUTED_VALUE"""),5)</f>
        <v>5</v>
      </c>
      <c r="M202" s="3">
        <f ca="1">IFERROR(__xludf.DUMMYFUNCTION("""COMPUTED_VALUE"""),5)</f>
        <v>5</v>
      </c>
      <c r="N202" s="3">
        <f ca="1">IFERROR(__xludf.DUMMYFUNCTION("""COMPUTED_VALUE"""),2628)</f>
        <v>2628</v>
      </c>
      <c r="O202" s="3">
        <f ca="1">IFERROR(__xludf.DUMMYFUNCTION("""COMPUTED_VALUE"""),2394)</f>
        <v>2394</v>
      </c>
      <c r="P202" s="3">
        <f ca="1">IFERROR(__xludf.DUMMYFUNCTION("""COMPUTED_VALUE"""),1370)</f>
        <v>1370</v>
      </c>
      <c r="Q202" s="3">
        <f ca="1">IFERROR(__xludf.DUMMYFUNCTION("""COMPUTED_VALUE"""),936)</f>
        <v>936</v>
      </c>
      <c r="R202" s="3">
        <f ca="1">IFERROR(__xludf.DUMMYFUNCTION("""COMPUTED_VALUE"""),1982)</f>
        <v>1982</v>
      </c>
      <c r="S202" s="3">
        <f ca="1">IFERROR(__xludf.DUMMYFUNCTION("""COMPUTED_VALUE"""),0.472)</f>
        <v>0.47199999999999998</v>
      </c>
      <c r="T202" s="3">
        <f ca="1">IFERROR(__xludf.DUMMYFUNCTION("""COMPUTED_VALUE"""),292)</f>
        <v>292</v>
      </c>
      <c r="U202" s="3">
        <f ca="1">IFERROR(__xludf.DUMMYFUNCTION("""COMPUTED_VALUE"""),774)</f>
        <v>774</v>
      </c>
      <c r="V202" s="3">
        <f ca="1">IFERROR(__xludf.DUMMYFUNCTION("""COMPUTED_VALUE"""),0.377)</f>
        <v>0.377</v>
      </c>
      <c r="W202" s="3">
        <f ca="1">IFERROR(__xludf.DUMMYFUNCTION("""COMPUTED_VALUE"""),464)</f>
        <v>464</v>
      </c>
      <c r="X202" s="3">
        <f ca="1">IFERROR(__xludf.DUMMYFUNCTION("""COMPUTED_VALUE"""),647)</f>
        <v>647</v>
      </c>
      <c r="Y202" s="3">
        <f ca="1">IFERROR(__xludf.DUMMYFUNCTION("""COMPUTED_VALUE"""),0.717)</f>
        <v>0.71699999999999997</v>
      </c>
      <c r="Z202" s="3">
        <f ca="1">IFERROR(__xludf.DUMMYFUNCTION("""COMPUTED_VALUE"""),393)</f>
        <v>393</v>
      </c>
      <c r="AA202" s="3">
        <f ca="1">IFERROR(__xludf.DUMMYFUNCTION("""COMPUTED_VALUE"""),1215)</f>
        <v>1215</v>
      </c>
      <c r="AB202" s="3">
        <f ca="1">IFERROR(__xludf.DUMMYFUNCTION("""COMPUTED_VALUE"""),481)</f>
        <v>481</v>
      </c>
      <c r="AC202" s="3">
        <f ca="1">IFERROR(__xludf.DUMMYFUNCTION("""COMPUTED_VALUE"""),274)</f>
        <v>274</v>
      </c>
      <c r="AD202" s="3">
        <f ca="1">IFERROR(__xludf.DUMMYFUNCTION("""COMPUTED_VALUE"""),172)</f>
        <v>172</v>
      </c>
      <c r="AE202" s="3">
        <f ca="1">IFERROR(__xludf.DUMMYFUNCTION("""COMPUTED_VALUE"""),451)</f>
        <v>451</v>
      </c>
      <c r="AF202" s="3">
        <f ca="1">IFERROR(__xludf.DUMMYFUNCTION("""COMPUTED_VALUE"""),586)</f>
        <v>586</v>
      </c>
    </row>
    <row r="203" spans="1:32" x14ac:dyDescent="0.25">
      <c r="A203" s="3" t="str">
        <f ca="1">IFERROR(__xludf.DUMMYFUNCTION("""COMPUTED_VALUE"""),"Mississippi Valley State")</f>
        <v>Mississippi Valley State</v>
      </c>
      <c r="B203" s="3">
        <f ca="1">IFERROR(__xludf.DUMMYFUNCTION("""COMPUTED_VALUE"""),32)</f>
        <v>32</v>
      </c>
      <c r="C203" s="3">
        <f ca="1">IFERROR(__xludf.DUMMYFUNCTION("""COMPUTED_VALUE"""),6)</f>
        <v>6</v>
      </c>
      <c r="D203" s="3">
        <f ca="1">IFERROR(__xludf.DUMMYFUNCTION("""COMPUTED_VALUE"""),26)</f>
        <v>26</v>
      </c>
      <c r="E203" s="3">
        <f ca="1">IFERROR(__xludf.DUMMYFUNCTION("""COMPUTED_VALUE"""),0.188)</f>
        <v>0.188</v>
      </c>
      <c r="F203" s="3">
        <f ca="1">IFERROR(__xludf.DUMMYFUNCTION("""COMPUTED_VALUE"""),-22.47)</f>
        <v>-22.47</v>
      </c>
      <c r="G203" s="3">
        <f ca="1">IFERROR(__xludf.DUMMYFUNCTION("""COMPUTED_VALUE"""),-6.99)</f>
        <v>-6.99</v>
      </c>
      <c r="H203" s="3">
        <f ca="1">IFERROR(__xludf.DUMMYFUNCTION("""COMPUTED_VALUE"""),4)</f>
        <v>4</v>
      </c>
      <c r="I203" s="3">
        <f ca="1">IFERROR(__xludf.DUMMYFUNCTION("""COMPUTED_VALUE"""),14)</f>
        <v>14</v>
      </c>
      <c r="J203" s="3">
        <f ca="1">IFERROR(__xludf.DUMMYFUNCTION("""COMPUTED_VALUE"""),6)</f>
        <v>6</v>
      </c>
      <c r="K203" s="3">
        <f ca="1">IFERROR(__xludf.DUMMYFUNCTION("""COMPUTED_VALUE"""),6)</f>
        <v>6</v>
      </c>
      <c r="L203" s="3">
        <f ca="1">IFERROR(__xludf.DUMMYFUNCTION("""COMPUTED_VALUE"""),0)</f>
        <v>0</v>
      </c>
      <c r="M203" s="3">
        <f ca="1">IFERROR(__xludf.DUMMYFUNCTION("""COMPUTED_VALUE"""),20)</f>
        <v>20</v>
      </c>
      <c r="N203" s="3">
        <f ca="1">IFERROR(__xludf.DUMMYFUNCTION("""COMPUTED_VALUE"""),2058)</f>
        <v>2058</v>
      </c>
      <c r="O203" s="3">
        <f ca="1">IFERROR(__xludf.DUMMYFUNCTION("""COMPUTED_VALUE"""),2498)</f>
        <v>2498</v>
      </c>
      <c r="P203" s="3">
        <f ca="1">IFERROR(__xludf.DUMMYFUNCTION("""COMPUTED_VALUE"""),1285)</f>
        <v>1285</v>
      </c>
      <c r="Q203" s="3">
        <f ca="1">IFERROR(__xludf.DUMMYFUNCTION("""COMPUTED_VALUE"""),730)</f>
        <v>730</v>
      </c>
      <c r="R203" s="3">
        <f ca="1">IFERROR(__xludf.DUMMYFUNCTION("""COMPUTED_VALUE"""),1923)</f>
        <v>1923</v>
      </c>
      <c r="S203" s="3">
        <f ca="1">IFERROR(__xludf.DUMMYFUNCTION("""COMPUTED_VALUE"""),0.38)</f>
        <v>0.38</v>
      </c>
      <c r="T203" s="3">
        <f ca="1">IFERROR(__xludf.DUMMYFUNCTION("""COMPUTED_VALUE"""),172)</f>
        <v>172</v>
      </c>
      <c r="U203" s="3">
        <f ca="1">IFERROR(__xludf.DUMMYFUNCTION("""COMPUTED_VALUE"""),554)</f>
        <v>554</v>
      </c>
      <c r="V203" s="3">
        <f ca="1">IFERROR(__xludf.DUMMYFUNCTION("""COMPUTED_VALUE"""),0.31)</f>
        <v>0.31</v>
      </c>
      <c r="W203" s="3">
        <f ca="1">IFERROR(__xludf.DUMMYFUNCTION("""COMPUTED_VALUE"""),426)</f>
        <v>426</v>
      </c>
      <c r="X203" s="3">
        <f ca="1">IFERROR(__xludf.DUMMYFUNCTION("""COMPUTED_VALUE"""),647)</f>
        <v>647</v>
      </c>
      <c r="Y203" s="3">
        <f ca="1">IFERROR(__xludf.DUMMYFUNCTION("""COMPUTED_VALUE"""),0.658)</f>
        <v>0.65800000000000003</v>
      </c>
      <c r="Z203" s="3">
        <f ca="1">IFERROR(__xludf.DUMMYFUNCTION("""COMPUTED_VALUE"""),378)</f>
        <v>378</v>
      </c>
      <c r="AA203" s="3">
        <f ca="1">IFERROR(__xludf.DUMMYFUNCTION("""COMPUTED_VALUE"""),1165)</f>
        <v>1165</v>
      </c>
      <c r="AB203" s="3">
        <f ca="1">IFERROR(__xludf.DUMMYFUNCTION("""COMPUTED_VALUE"""),361)</f>
        <v>361</v>
      </c>
      <c r="AC203" s="3">
        <f ca="1">IFERROR(__xludf.DUMMYFUNCTION("""COMPUTED_VALUE"""),176)</f>
        <v>176</v>
      </c>
      <c r="AD203" s="3">
        <f ca="1">IFERROR(__xludf.DUMMYFUNCTION("""COMPUTED_VALUE"""),70)</f>
        <v>70</v>
      </c>
      <c r="AE203" s="3">
        <f ca="1">IFERROR(__xludf.DUMMYFUNCTION("""COMPUTED_VALUE"""),415)</f>
        <v>415</v>
      </c>
      <c r="AF203" s="3">
        <f ca="1">IFERROR(__xludf.DUMMYFUNCTION("""COMPUTED_VALUE"""),570)</f>
        <v>570</v>
      </c>
    </row>
    <row r="204" spans="1:32" x14ac:dyDescent="0.25">
      <c r="A204" s="3" t="str">
        <f ca="1">IFERROR(__xludf.DUMMYFUNCTION("""COMPUTED_VALUE"""),"MississippiNCAA")</f>
        <v>MississippiNCAA</v>
      </c>
      <c r="B204" s="3">
        <f ca="1">IFERROR(__xludf.DUMMYFUNCTION("""COMPUTED_VALUE"""),33)</f>
        <v>33</v>
      </c>
      <c r="C204" s="3">
        <f ca="1">IFERROR(__xludf.DUMMYFUNCTION("""COMPUTED_VALUE"""),20)</f>
        <v>20</v>
      </c>
      <c r="D204" s="3">
        <f ca="1">IFERROR(__xludf.DUMMYFUNCTION("""COMPUTED_VALUE"""),13)</f>
        <v>13</v>
      </c>
      <c r="E204" s="3">
        <f ca="1">IFERROR(__xludf.DUMMYFUNCTION("""COMPUTED_VALUE"""),0.606)</f>
        <v>0.60599999999999998</v>
      </c>
      <c r="F204" s="3">
        <f ca="1">IFERROR(__xludf.DUMMYFUNCTION("""COMPUTED_VALUE"""),12.32)</f>
        <v>12.32</v>
      </c>
      <c r="G204" s="3">
        <f ca="1">IFERROR(__xludf.DUMMYFUNCTION("""COMPUTED_VALUE"""),8.13)</f>
        <v>8.1300000000000008</v>
      </c>
      <c r="H204" s="3">
        <f ca="1">IFERROR(__xludf.DUMMYFUNCTION("""COMPUTED_VALUE"""),10)</f>
        <v>10</v>
      </c>
      <c r="I204" s="3">
        <f ca="1">IFERROR(__xludf.DUMMYFUNCTION("""COMPUTED_VALUE"""),8)</f>
        <v>8</v>
      </c>
      <c r="J204" s="3">
        <f ca="1">IFERROR(__xludf.DUMMYFUNCTION("""COMPUTED_VALUE"""),11)</f>
        <v>11</v>
      </c>
      <c r="K204" s="3">
        <f ca="1">IFERROR(__xludf.DUMMYFUNCTION("""COMPUTED_VALUE"""),5)</f>
        <v>5</v>
      </c>
      <c r="L204" s="3">
        <f ca="1">IFERROR(__xludf.DUMMYFUNCTION("""COMPUTED_VALUE"""),6)</f>
        <v>6</v>
      </c>
      <c r="M204" s="3">
        <f ca="1">IFERROR(__xludf.DUMMYFUNCTION("""COMPUTED_VALUE"""),5)</f>
        <v>5</v>
      </c>
      <c r="N204" s="3">
        <f ca="1">IFERROR(__xludf.DUMMYFUNCTION("""COMPUTED_VALUE"""),2485)</f>
        <v>2485</v>
      </c>
      <c r="O204" s="3">
        <f ca="1">IFERROR(__xludf.DUMMYFUNCTION("""COMPUTED_VALUE"""),2347)</f>
        <v>2347</v>
      </c>
      <c r="P204" s="3">
        <f ca="1">IFERROR(__xludf.DUMMYFUNCTION("""COMPUTED_VALUE"""),1325)</f>
        <v>1325</v>
      </c>
      <c r="Q204" s="3">
        <f ca="1">IFERROR(__xludf.DUMMYFUNCTION("""COMPUTED_VALUE"""),876)</f>
        <v>876</v>
      </c>
      <c r="R204" s="3">
        <f ca="1">IFERROR(__xludf.DUMMYFUNCTION("""COMPUTED_VALUE"""),1906)</f>
        <v>1906</v>
      </c>
      <c r="S204" s="3">
        <f ca="1">IFERROR(__xludf.DUMMYFUNCTION("""COMPUTED_VALUE"""),0.46)</f>
        <v>0.46</v>
      </c>
      <c r="T204" s="3">
        <f ca="1">IFERROR(__xludf.DUMMYFUNCTION("""COMPUTED_VALUE"""),272)</f>
        <v>272</v>
      </c>
      <c r="U204" s="3">
        <f ca="1">IFERROR(__xludf.DUMMYFUNCTION("""COMPUTED_VALUE"""),760)</f>
        <v>760</v>
      </c>
      <c r="V204" s="3">
        <f ca="1">IFERROR(__xludf.DUMMYFUNCTION("""COMPUTED_VALUE"""),0.358)</f>
        <v>0.35799999999999998</v>
      </c>
      <c r="W204" s="3">
        <f ca="1">IFERROR(__xludf.DUMMYFUNCTION("""COMPUTED_VALUE"""),461)</f>
        <v>461</v>
      </c>
      <c r="X204" s="3">
        <f ca="1">IFERROR(__xludf.DUMMYFUNCTION("""COMPUTED_VALUE"""),589)</f>
        <v>589</v>
      </c>
      <c r="Y204" s="3">
        <f ca="1">IFERROR(__xludf.DUMMYFUNCTION("""COMPUTED_VALUE"""),0.783)</f>
        <v>0.78300000000000003</v>
      </c>
      <c r="Z204" s="3">
        <f ca="1">IFERROR(__xludf.DUMMYFUNCTION("""COMPUTED_VALUE"""),322)</f>
        <v>322</v>
      </c>
      <c r="AA204" s="3">
        <f ca="1">IFERROR(__xludf.DUMMYFUNCTION("""COMPUTED_VALUE"""),1128)</f>
        <v>1128</v>
      </c>
      <c r="AB204" s="3">
        <f ca="1">IFERROR(__xludf.DUMMYFUNCTION("""COMPUTED_VALUE"""),475)</f>
        <v>475</v>
      </c>
      <c r="AC204" s="3">
        <f ca="1">IFERROR(__xludf.DUMMYFUNCTION("""COMPUTED_VALUE"""),235)</f>
        <v>235</v>
      </c>
      <c r="AD204" s="3">
        <f ca="1">IFERROR(__xludf.DUMMYFUNCTION("""COMPUTED_VALUE"""),118)</f>
        <v>118</v>
      </c>
      <c r="AE204" s="3">
        <f ca="1">IFERROR(__xludf.DUMMYFUNCTION("""COMPUTED_VALUE"""),416)</f>
        <v>416</v>
      </c>
      <c r="AF204" s="3">
        <f ca="1">IFERROR(__xludf.DUMMYFUNCTION("""COMPUTED_VALUE"""),603)</f>
        <v>603</v>
      </c>
    </row>
    <row r="205" spans="1:32" x14ac:dyDescent="0.25">
      <c r="A205" s="3" t="str">
        <f ca="1">IFERROR(__xludf.DUMMYFUNCTION("""COMPUTED_VALUE"""),"Missouri-Kansas City")</f>
        <v>Missouri-Kansas City</v>
      </c>
      <c r="B205" s="3">
        <f ca="1">IFERROR(__xludf.DUMMYFUNCTION("""COMPUTED_VALUE"""),32)</f>
        <v>32</v>
      </c>
      <c r="C205" s="3">
        <f ca="1">IFERROR(__xludf.DUMMYFUNCTION("""COMPUTED_VALUE"""),11)</f>
        <v>11</v>
      </c>
      <c r="D205" s="3">
        <f ca="1">IFERROR(__xludf.DUMMYFUNCTION("""COMPUTED_VALUE"""),21)</f>
        <v>21</v>
      </c>
      <c r="E205" s="3">
        <f ca="1">IFERROR(__xludf.DUMMYFUNCTION("""COMPUTED_VALUE"""),0.344)</f>
        <v>0.34399999999999997</v>
      </c>
      <c r="F205" s="3">
        <f ca="1">IFERROR(__xludf.DUMMYFUNCTION("""COMPUTED_VALUE"""),-6.61)</f>
        <v>-6.61</v>
      </c>
      <c r="G205" s="3">
        <f ca="1">IFERROR(__xludf.DUMMYFUNCTION("""COMPUTED_VALUE"""),-1.55)</f>
        <v>-1.55</v>
      </c>
      <c r="H205" s="3">
        <f ca="1">IFERROR(__xludf.DUMMYFUNCTION("""COMPUTED_VALUE"""),6)</f>
        <v>6</v>
      </c>
      <c r="I205" s="3">
        <f ca="1">IFERROR(__xludf.DUMMYFUNCTION("""COMPUTED_VALUE"""),10)</f>
        <v>10</v>
      </c>
      <c r="J205" s="3">
        <f ca="1">IFERROR(__xludf.DUMMYFUNCTION("""COMPUTED_VALUE"""),8)</f>
        <v>8</v>
      </c>
      <c r="K205" s="3">
        <f ca="1">IFERROR(__xludf.DUMMYFUNCTION("""COMPUTED_VALUE"""),5)</f>
        <v>5</v>
      </c>
      <c r="L205" s="3">
        <f ca="1">IFERROR(__xludf.DUMMYFUNCTION("""COMPUTED_VALUE"""),3)</f>
        <v>3</v>
      </c>
      <c r="M205" s="3">
        <f ca="1">IFERROR(__xludf.DUMMYFUNCTION("""COMPUTED_VALUE"""),13)</f>
        <v>13</v>
      </c>
      <c r="N205" s="3">
        <f ca="1">IFERROR(__xludf.DUMMYFUNCTION("""COMPUTED_VALUE"""),2220)</f>
        <v>2220</v>
      </c>
      <c r="O205" s="3">
        <f ca="1">IFERROR(__xludf.DUMMYFUNCTION("""COMPUTED_VALUE"""),2341)</f>
        <v>2341</v>
      </c>
      <c r="P205" s="3">
        <f ca="1">IFERROR(__xludf.DUMMYFUNCTION("""COMPUTED_VALUE"""),1290)</f>
        <v>1290</v>
      </c>
      <c r="Q205" s="3">
        <f ca="1">IFERROR(__xludf.DUMMYFUNCTION("""COMPUTED_VALUE"""),774)</f>
        <v>774</v>
      </c>
      <c r="R205" s="3">
        <f ca="1">IFERROR(__xludf.DUMMYFUNCTION("""COMPUTED_VALUE"""),1794)</f>
        <v>1794</v>
      </c>
      <c r="S205" s="3">
        <f ca="1">IFERROR(__xludf.DUMMYFUNCTION("""COMPUTED_VALUE"""),0.431)</f>
        <v>0.43099999999999999</v>
      </c>
      <c r="T205" s="3">
        <f ca="1">IFERROR(__xludf.DUMMYFUNCTION("""COMPUTED_VALUE"""),259)</f>
        <v>259</v>
      </c>
      <c r="U205" s="3">
        <f ca="1">IFERROR(__xludf.DUMMYFUNCTION("""COMPUTED_VALUE"""),728)</f>
        <v>728</v>
      </c>
      <c r="V205" s="3">
        <f ca="1">IFERROR(__xludf.DUMMYFUNCTION("""COMPUTED_VALUE"""),0.356)</f>
        <v>0.35599999999999998</v>
      </c>
      <c r="W205" s="3">
        <f ca="1">IFERROR(__xludf.DUMMYFUNCTION("""COMPUTED_VALUE"""),413)</f>
        <v>413</v>
      </c>
      <c r="X205" s="3">
        <f ca="1">IFERROR(__xludf.DUMMYFUNCTION("""COMPUTED_VALUE"""),590)</f>
        <v>590</v>
      </c>
      <c r="Y205" s="3">
        <f ca="1">IFERROR(__xludf.DUMMYFUNCTION("""COMPUTED_VALUE"""),0.7)</f>
        <v>0.7</v>
      </c>
      <c r="Z205" s="3">
        <f ca="1">IFERROR(__xludf.DUMMYFUNCTION("""COMPUTED_VALUE"""),261)</f>
        <v>261</v>
      </c>
      <c r="AA205" s="3">
        <f ca="1">IFERROR(__xludf.DUMMYFUNCTION("""COMPUTED_VALUE"""),966)</f>
        <v>966</v>
      </c>
      <c r="AB205" s="3">
        <f ca="1">IFERROR(__xludf.DUMMYFUNCTION("""COMPUTED_VALUE"""),351)</f>
        <v>351</v>
      </c>
      <c r="AC205" s="3">
        <f ca="1">IFERROR(__xludf.DUMMYFUNCTION("""COMPUTED_VALUE"""),233)</f>
        <v>233</v>
      </c>
      <c r="AD205" s="3">
        <f ca="1">IFERROR(__xludf.DUMMYFUNCTION("""COMPUTED_VALUE"""),90)</f>
        <v>90</v>
      </c>
      <c r="AE205" s="3">
        <f ca="1">IFERROR(__xludf.DUMMYFUNCTION("""COMPUTED_VALUE"""),391)</f>
        <v>391</v>
      </c>
      <c r="AF205" s="3">
        <f ca="1">IFERROR(__xludf.DUMMYFUNCTION("""COMPUTED_VALUE"""),647)</f>
        <v>647</v>
      </c>
    </row>
    <row r="206" spans="1:32" x14ac:dyDescent="0.25">
      <c r="A206" s="3" t="str">
        <f ca="1">IFERROR(__xludf.DUMMYFUNCTION("""COMPUTED_VALUE"""),"Missouri State")</f>
        <v>Missouri State</v>
      </c>
      <c r="B206" s="3">
        <f ca="1">IFERROR(__xludf.DUMMYFUNCTION("""COMPUTED_VALUE"""),32)</f>
        <v>32</v>
      </c>
      <c r="C206" s="3">
        <f ca="1">IFERROR(__xludf.DUMMYFUNCTION("""COMPUTED_VALUE"""),16)</f>
        <v>16</v>
      </c>
      <c r="D206" s="3">
        <f ca="1">IFERROR(__xludf.DUMMYFUNCTION("""COMPUTED_VALUE"""),16)</f>
        <v>16</v>
      </c>
      <c r="E206" s="3">
        <f ca="1">IFERROR(__xludf.DUMMYFUNCTION("""COMPUTED_VALUE"""),0.5)</f>
        <v>0.5</v>
      </c>
      <c r="F206" s="3">
        <f ca="1">IFERROR(__xludf.DUMMYFUNCTION("""COMPUTED_VALUE"""),-1.2)</f>
        <v>-1.2</v>
      </c>
      <c r="G206" s="3">
        <f ca="1">IFERROR(__xludf.DUMMYFUNCTION("""COMPUTED_VALUE"""),-1.03)</f>
        <v>-1.03</v>
      </c>
      <c r="H206" s="3">
        <f ca="1">IFERROR(__xludf.DUMMYFUNCTION("""COMPUTED_VALUE"""),10)</f>
        <v>10</v>
      </c>
      <c r="I206" s="3">
        <f ca="1">IFERROR(__xludf.DUMMYFUNCTION("""COMPUTED_VALUE"""),8)</f>
        <v>8</v>
      </c>
      <c r="J206" s="3">
        <f ca="1">IFERROR(__xludf.DUMMYFUNCTION("""COMPUTED_VALUE"""),11)</f>
        <v>11</v>
      </c>
      <c r="K206" s="3">
        <f ca="1">IFERROR(__xludf.DUMMYFUNCTION("""COMPUTED_VALUE"""),4)</f>
        <v>4</v>
      </c>
      <c r="L206" s="3">
        <f ca="1">IFERROR(__xludf.DUMMYFUNCTION("""COMPUTED_VALUE"""),5)</f>
        <v>5</v>
      </c>
      <c r="M206" s="3">
        <f ca="1">IFERROR(__xludf.DUMMYFUNCTION("""COMPUTED_VALUE"""),9)</f>
        <v>9</v>
      </c>
      <c r="N206" s="3">
        <f ca="1">IFERROR(__xludf.DUMMYFUNCTION("""COMPUTED_VALUE"""),2206)</f>
        <v>2206</v>
      </c>
      <c r="O206" s="3">
        <f ca="1">IFERROR(__xludf.DUMMYFUNCTION("""COMPUTED_VALUE"""),2157)</f>
        <v>2157</v>
      </c>
      <c r="P206" s="3">
        <f ca="1">IFERROR(__xludf.DUMMYFUNCTION("""COMPUTED_VALUE"""),1285)</f>
        <v>1285</v>
      </c>
      <c r="Q206" s="3">
        <f ca="1">IFERROR(__xludf.DUMMYFUNCTION("""COMPUTED_VALUE"""),774)</f>
        <v>774</v>
      </c>
      <c r="R206" s="3">
        <f ca="1">IFERROR(__xludf.DUMMYFUNCTION("""COMPUTED_VALUE"""),1714)</f>
        <v>1714</v>
      </c>
      <c r="S206" s="3">
        <f ca="1">IFERROR(__xludf.DUMMYFUNCTION("""COMPUTED_VALUE"""),0.452)</f>
        <v>0.45200000000000001</v>
      </c>
      <c r="T206" s="3">
        <f ca="1">IFERROR(__xludf.DUMMYFUNCTION("""COMPUTED_VALUE"""),224)</f>
        <v>224</v>
      </c>
      <c r="U206" s="3">
        <f ca="1">IFERROR(__xludf.DUMMYFUNCTION("""COMPUTED_VALUE"""),649)</f>
        <v>649</v>
      </c>
      <c r="V206" s="3">
        <f ca="1">IFERROR(__xludf.DUMMYFUNCTION("""COMPUTED_VALUE"""),0.345)</f>
        <v>0.34499999999999997</v>
      </c>
      <c r="W206" s="3">
        <f ca="1">IFERROR(__xludf.DUMMYFUNCTION("""COMPUTED_VALUE"""),434)</f>
        <v>434</v>
      </c>
      <c r="X206" s="3">
        <f ca="1">IFERROR(__xludf.DUMMYFUNCTION("""COMPUTED_VALUE"""),627)</f>
        <v>627</v>
      </c>
      <c r="Y206" s="3">
        <f ca="1">IFERROR(__xludf.DUMMYFUNCTION("""COMPUTED_VALUE"""),0.692)</f>
        <v>0.69199999999999995</v>
      </c>
      <c r="Z206" s="3">
        <f ca="1">IFERROR(__xludf.DUMMYFUNCTION("""COMPUTED_VALUE"""),270)</f>
        <v>270</v>
      </c>
      <c r="AA206" s="3">
        <f ca="1">IFERROR(__xludf.DUMMYFUNCTION("""COMPUTED_VALUE"""),1000)</f>
        <v>1000</v>
      </c>
      <c r="AB206" s="3">
        <f ca="1">IFERROR(__xludf.DUMMYFUNCTION("""COMPUTED_VALUE"""),354)</f>
        <v>354</v>
      </c>
      <c r="AC206" s="3">
        <f ca="1">IFERROR(__xludf.DUMMYFUNCTION("""COMPUTED_VALUE"""),221)</f>
        <v>221</v>
      </c>
      <c r="AD206" s="3">
        <f ca="1">IFERROR(__xludf.DUMMYFUNCTION("""COMPUTED_VALUE"""),127)</f>
        <v>127</v>
      </c>
      <c r="AE206" s="3">
        <f ca="1">IFERROR(__xludf.DUMMYFUNCTION("""COMPUTED_VALUE"""),385)</f>
        <v>385</v>
      </c>
      <c r="AF206" s="3">
        <f ca="1">IFERROR(__xludf.DUMMYFUNCTION("""COMPUTED_VALUE"""),540)</f>
        <v>540</v>
      </c>
    </row>
    <row r="207" spans="1:32" x14ac:dyDescent="0.25">
      <c r="A207" s="3" t="str">
        <f ca="1">IFERROR(__xludf.DUMMYFUNCTION("""COMPUTED_VALUE"""),"Missouri")</f>
        <v>Missouri</v>
      </c>
      <c r="B207" s="3">
        <f ca="1">IFERROR(__xludf.DUMMYFUNCTION("""COMPUTED_VALUE"""),32)</f>
        <v>32</v>
      </c>
      <c r="C207" s="3">
        <f ca="1">IFERROR(__xludf.DUMMYFUNCTION("""COMPUTED_VALUE"""),15)</f>
        <v>15</v>
      </c>
      <c r="D207" s="3">
        <f ca="1">IFERROR(__xludf.DUMMYFUNCTION("""COMPUTED_VALUE"""),17)</f>
        <v>17</v>
      </c>
      <c r="E207" s="3">
        <f ca="1">IFERROR(__xludf.DUMMYFUNCTION("""COMPUTED_VALUE"""),0.469)</f>
        <v>0.46899999999999997</v>
      </c>
      <c r="F207" s="3">
        <f ca="1">IFERROR(__xludf.DUMMYFUNCTION("""COMPUTED_VALUE"""),8.6)</f>
        <v>8.6</v>
      </c>
      <c r="G207" s="3">
        <f ca="1">IFERROR(__xludf.DUMMYFUNCTION("""COMPUTED_VALUE"""),9.16)</f>
        <v>9.16</v>
      </c>
      <c r="H207" s="3">
        <f ca="1">IFERROR(__xludf.DUMMYFUNCTION("""COMPUTED_VALUE"""),5)</f>
        <v>5</v>
      </c>
      <c r="I207" s="3">
        <f ca="1">IFERROR(__xludf.DUMMYFUNCTION("""COMPUTED_VALUE"""),13)</f>
        <v>13</v>
      </c>
      <c r="J207" s="3">
        <f ca="1">IFERROR(__xludf.DUMMYFUNCTION("""COMPUTED_VALUE"""),9)</f>
        <v>9</v>
      </c>
      <c r="K207" s="3">
        <f ca="1">IFERROR(__xludf.DUMMYFUNCTION("""COMPUTED_VALUE"""),7)</f>
        <v>7</v>
      </c>
      <c r="L207" s="3">
        <f ca="1">IFERROR(__xludf.DUMMYFUNCTION("""COMPUTED_VALUE"""),2)</f>
        <v>2</v>
      </c>
      <c r="M207" s="3">
        <f ca="1">IFERROR(__xludf.DUMMYFUNCTION("""COMPUTED_VALUE"""),8)</f>
        <v>8</v>
      </c>
      <c r="N207" s="3">
        <f ca="1">IFERROR(__xludf.DUMMYFUNCTION("""COMPUTED_VALUE"""),2150)</f>
        <v>2150</v>
      </c>
      <c r="O207" s="3">
        <f ca="1">IFERROR(__xludf.DUMMYFUNCTION("""COMPUTED_VALUE"""),2168)</f>
        <v>2168</v>
      </c>
      <c r="P207" s="3">
        <f ca="1">IFERROR(__xludf.DUMMYFUNCTION("""COMPUTED_VALUE"""),1290)</f>
        <v>1290</v>
      </c>
      <c r="Q207" s="3">
        <f ca="1">IFERROR(__xludf.DUMMYFUNCTION("""COMPUTED_VALUE"""),758)</f>
        <v>758</v>
      </c>
      <c r="R207" s="3">
        <f ca="1">IFERROR(__xludf.DUMMYFUNCTION("""COMPUTED_VALUE"""),1764)</f>
        <v>1764</v>
      </c>
      <c r="S207" s="3">
        <f ca="1">IFERROR(__xludf.DUMMYFUNCTION("""COMPUTED_VALUE"""),0.43)</f>
        <v>0.43</v>
      </c>
      <c r="T207" s="3">
        <f ca="1">IFERROR(__xludf.DUMMYFUNCTION("""COMPUTED_VALUE"""),264)</f>
        <v>264</v>
      </c>
      <c r="U207" s="3">
        <f ca="1">IFERROR(__xludf.DUMMYFUNCTION("""COMPUTED_VALUE"""),727)</f>
        <v>727</v>
      </c>
      <c r="V207" s="3">
        <f ca="1">IFERROR(__xludf.DUMMYFUNCTION("""COMPUTED_VALUE"""),0.363)</f>
        <v>0.36299999999999999</v>
      </c>
      <c r="W207" s="3">
        <f ca="1">IFERROR(__xludf.DUMMYFUNCTION("""COMPUTED_VALUE"""),370)</f>
        <v>370</v>
      </c>
      <c r="X207" s="3">
        <f ca="1">IFERROR(__xludf.DUMMYFUNCTION("""COMPUTED_VALUE"""),526)</f>
        <v>526</v>
      </c>
      <c r="Y207" s="3">
        <f ca="1">IFERROR(__xludf.DUMMYFUNCTION("""COMPUTED_VALUE"""),0.703)</f>
        <v>0.70299999999999996</v>
      </c>
      <c r="Z207" s="3">
        <f ca="1">IFERROR(__xludf.DUMMYFUNCTION("""COMPUTED_VALUE"""),345)</f>
        <v>345</v>
      </c>
      <c r="AA207" s="3">
        <f ca="1">IFERROR(__xludf.DUMMYFUNCTION("""COMPUTED_VALUE"""),1130)</f>
        <v>1130</v>
      </c>
      <c r="AB207" s="3">
        <f ca="1">IFERROR(__xludf.DUMMYFUNCTION("""COMPUTED_VALUE"""),354)</f>
        <v>354</v>
      </c>
      <c r="AC207" s="3">
        <f ca="1">IFERROR(__xludf.DUMMYFUNCTION("""COMPUTED_VALUE"""),149)</f>
        <v>149</v>
      </c>
      <c r="AD207" s="3">
        <f ca="1">IFERROR(__xludf.DUMMYFUNCTION("""COMPUTED_VALUE"""),53)</f>
        <v>53</v>
      </c>
      <c r="AE207" s="3">
        <f ca="1">IFERROR(__xludf.DUMMYFUNCTION("""COMPUTED_VALUE"""),448)</f>
        <v>448</v>
      </c>
      <c r="AF207" s="3">
        <f ca="1">IFERROR(__xludf.DUMMYFUNCTION("""COMPUTED_VALUE"""),625)</f>
        <v>625</v>
      </c>
    </row>
    <row r="208" spans="1:32" x14ac:dyDescent="0.25">
      <c r="A208" s="3" t="str">
        <f ca="1">IFERROR(__xludf.DUMMYFUNCTION("""COMPUTED_VALUE"""),"Monmouth")</f>
        <v>Monmouth</v>
      </c>
      <c r="B208" s="3">
        <f ca="1">IFERROR(__xludf.DUMMYFUNCTION("""COMPUTED_VALUE"""),35)</f>
        <v>35</v>
      </c>
      <c r="C208" s="3">
        <f ca="1">IFERROR(__xludf.DUMMYFUNCTION("""COMPUTED_VALUE"""),14)</f>
        <v>14</v>
      </c>
      <c r="D208" s="3">
        <f ca="1">IFERROR(__xludf.DUMMYFUNCTION("""COMPUTED_VALUE"""),21)</f>
        <v>21</v>
      </c>
      <c r="E208" s="3">
        <f ca="1">IFERROR(__xludf.DUMMYFUNCTION("""COMPUTED_VALUE"""),0.4)</f>
        <v>0.4</v>
      </c>
      <c r="F208" s="3">
        <f ca="1">IFERROR(__xludf.DUMMYFUNCTION("""COMPUTED_VALUE"""),-10.66)</f>
        <v>-10.66</v>
      </c>
      <c r="G208" s="3">
        <f ca="1">IFERROR(__xludf.DUMMYFUNCTION("""COMPUTED_VALUE"""),-4.83)</f>
        <v>-4.83</v>
      </c>
      <c r="H208" s="3">
        <f ca="1">IFERROR(__xludf.DUMMYFUNCTION("""COMPUTED_VALUE"""),10)</f>
        <v>10</v>
      </c>
      <c r="I208" s="3">
        <f ca="1">IFERROR(__xludf.DUMMYFUNCTION("""COMPUTED_VALUE"""),8)</f>
        <v>8</v>
      </c>
      <c r="J208" s="3">
        <f ca="1">IFERROR(__xludf.DUMMYFUNCTION("""COMPUTED_VALUE"""),6)</f>
        <v>6</v>
      </c>
      <c r="K208" s="3">
        <f ca="1">IFERROR(__xludf.DUMMYFUNCTION("""COMPUTED_VALUE"""),6)</f>
        <v>6</v>
      </c>
      <c r="L208" s="3">
        <f ca="1">IFERROR(__xludf.DUMMYFUNCTION("""COMPUTED_VALUE"""),5)</f>
        <v>5</v>
      </c>
      <c r="M208" s="3">
        <f ca="1">IFERROR(__xludf.DUMMYFUNCTION("""COMPUTED_VALUE"""),11)</f>
        <v>11</v>
      </c>
      <c r="N208" s="3">
        <f ca="1">IFERROR(__xludf.DUMMYFUNCTION("""COMPUTED_VALUE"""),2286)</f>
        <v>2286</v>
      </c>
      <c r="O208" s="3">
        <f ca="1">IFERROR(__xludf.DUMMYFUNCTION("""COMPUTED_VALUE"""),2490)</f>
        <v>2490</v>
      </c>
      <c r="P208" s="3">
        <f ca="1">IFERROR(__xludf.DUMMYFUNCTION("""COMPUTED_VALUE"""),1420)</f>
        <v>1420</v>
      </c>
      <c r="Q208" s="3">
        <f ca="1">IFERROR(__xludf.DUMMYFUNCTION("""COMPUTED_VALUE"""),794)</f>
        <v>794</v>
      </c>
      <c r="R208" s="3">
        <f ca="1">IFERROR(__xludf.DUMMYFUNCTION("""COMPUTED_VALUE"""),1915)</f>
        <v>1915</v>
      </c>
      <c r="S208" s="3">
        <f ca="1">IFERROR(__xludf.DUMMYFUNCTION("""COMPUTED_VALUE"""),0.415)</f>
        <v>0.41499999999999998</v>
      </c>
      <c r="T208" s="3">
        <f ca="1">IFERROR(__xludf.DUMMYFUNCTION("""COMPUTED_VALUE"""),168)</f>
        <v>168</v>
      </c>
      <c r="U208" s="3">
        <f ca="1">IFERROR(__xludf.DUMMYFUNCTION("""COMPUTED_VALUE"""),565)</f>
        <v>565</v>
      </c>
      <c r="V208" s="3">
        <f ca="1">IFERROR(__xludf.DUMMYFUNCTION("""COMPUTED_VALUE"""),0.297)</f>
        <v>0.29699999999999999</v>
      </c>
      <c r="W208" s="3">
        <f ca="1">IFERROR(__xludf.DUMMYFUNCTION("""COMPUTED_VALUE"""),530)</f>
        <v>530</v>
      </c>
      <c r="X208" s="3">
        <f ca="1">IFERROR(__xludf.DUMMYFUNCTION("""COMPUTED_VALUE"""),773)</f>
        <v>773</v>
      </c>
      <c r="Y208" s="3">
        <f ca="1">IFERROR(__xludf.DUMMYFUNCTION("""COMPUTED_VALUE"""),0.686)</f>
        <v>0.68600000000000005</v>
      </c>
      <c r="Z208" s="3">
        <f ca="1">IFERROR(__xludf.DUMMYFUNCTION("""COMPUTED_VALUE"""),360)</f>
        <v>360</v>
      </c>
      <c r="AA208" s="3">
        <f ca="1">IFERROR(__xludf.DUMMYFUNCTION("""COMPUTED_VALUE"""),1224)</f>
        <v>1224</v>
      </c>
      <c r="AB208" s="3">
        <f ca="1">IFERROR(__xludf.DUMMYFUNCTION("""COMPUTED_VALUE"""),379)</f>
        <v>379</v>
      </c>
      <c r="AC208" s="3">
        <f ca="1">IFERROR(__xludf.DUMMYFUNCTION("""COMPUTED_VALUE"""),237)</f>
        <v>237</v>
      </c>
      <c r="AD208" s="3">
        <f ca="1">IFERROR(__xludf.DUMMYFUNCTION("""COMPUTED_VALUE"""),101)</f>
        <v>101</v>
      </c>
      <c r="AE208" s="3">
        <f ca="1">IFERROR(__xludf.DUMMYFUNCTION("""COMPUTED_VALUE"""),502)</f>
        <v>502</v>
      </c>
      <c r="AF208" s="3">
        <f ca="1">IFERROR(__xludf.DUMMYFUNCTION("""COMPUTED_VALUE"""),698)</f>
        <v>698</v>
      </c>
    </row>
    <row r="209" spans="1:32" x14ac:dyDescent="0.25">
      <c r="A209" s="3" t="str">
        <f ca="1">IFERROR(__xludf.DUMMYFUNCTION("""COMPUTED_VALUE"""),"Montana State")</f>
        <v>Montana State</v>
      </c>
      <c r="B209" s="3">
        <f ca="1">IFERROR(__xludf.DUMMYFUNCTION("""COMPUTED_VALUE"""),32)</f>
        <v>32</v>
      </c>
      <c r="C209" s="3">
        <f ca="1">IFERROR(__xludf.DUMMYFUNCTION("""COMPUTED_VALUE"""),15)</f>
        <v>15</v>
      </c>
      <c r="D209" s="3">
        <f ca="1">IFERROR(__xludf.DUMMYFUNCTION("""COMPUTED_VALUE"""),17)</f>
        <v>17</v>
      </c>
      <c r="E209" s="3">
        <f ca="1">IFERROR(__xludf.DUMMYFUNCTION("""COMPUTED_VALUE"""),0.469)</f>
        <v>0.46899999999999997</v>
      </c>
      <c r="F209" s="3">
        <f ca="1">IFERROR(__xludf.DUMMYFUNCTION("""COMPUTED_VALUE"""),-7.91)</f>
        <v>-7.91</v>
      </c>
      <c r="G209" s="3">
        <f ca="1">IFERROR(__xludf.DUMMYFUNCTION("""COMPUTED_VALUE"""),-5.81)</f>
        <v>-5.81</v>
      </c>
      <c r="H209" s="3">
        <f ca="1">IFERROR(__xludf.DUMMYFUNCTION("""COMPUTED_VALUE"""),11)</f>
        <v>11</v>
      </c>
      <c r="I209" s="3">
        <f ca="1">IFERROR(__xludf.DUMMYFUNCTION("""COMPUTED_VALUE"""),9)</f>
        <v>9</v>
      </c>
      <c r="J209" s="3">
        <f ca="1">IFERROR(__xludf.DUMMYFUNCTION("""COMPUTED_VALUE"""),9)</f>
        <v>9</v>
      </c>
      <c r="K209" s="3">
        <f ca="1">IFERROR(__xludf.DUMMYFUNCTION("""COMPUTED_VALUE"""),4)</f>
        <v>4</v>
      </c>
      <c r="L209" s="3">
        <f ca="1">IFERROR(__xludf.DUMMYFUNCTION("""COMPUTED_VALUE"""),4)</f>
        <v>4</v>
      </c>
      <c r="M209" s="3">
        <f ca="1">IFERROR(__xludf.DUMMYFUNCTION("""COMPUTED_VALUE"""),12)</f>
        <v>12</v>
      </c>
      <c r="N209" s="3">
        <f ca="1">IFERROR(__xludf.DUMMYFUNCTION("""COMPUTED_VALUE"""),2502)</f>
        <v>2502</v>
      </c>
      <c r="O209" s="3">
        <f ca="1">IFERROR(__xludf.DUMMYFUNCTION("""COMPUTED_VALUE"""),2552)</f>
        <v>2552</v>
      </c>
      <c r="P209" s="3">
        <f ca="1">IFERROR(__xludf.DUMMYFUNCTION("""COMPUTED_VALUE"""),1280)</f>
        <v>1280</v>
      </c>
      <c r="Q209" s="3">
        <f ca="1">IFERROR(__xludf.DUMMYFUNCTION("""COMPUTED_VALUE"""),858)</f>
        <v>858</v>
      </c>
      <c r="R209" s="3">
        <f ca="1">IFERROR(__xludf.DUMMYFUNCTION("""COMPUTED_VALUE"""),1882)</f>
        <v>1882</v>
      </c>
      <c r="S209" s="3">
        <f ca="1">IFERROR(__xludf.DUMMYFUNCTION("""COMPUTED_VALUE"""),0.456)</f>
        <v>0.45600000000000002</v>
      </c>
      <c r="T209" s="3">
        <f ca="1">IFERROR(__xludf.DUMMYFUNCTION("""COMPUTED_VALUE"""),306)</f>
        <v>306</v>
      </c>
      <c r="U209" s="3">
        <f ca="1">IFERROR(__xludf.DUMMYFUNCTION("""COMPUTED_VALUE"""),818)</f>
        <v>818</v>
      </c>
      <c r="V209" s="3">
        <f ca="1">IFERROR(__xludf.DUMMYFUNCTION("""COMPUTED_VALUE"""),0.374)</f>
        <v>0.374</v>
      </c>
      <c r="W209" s="3">
        <f ca="1">IFERROR(__xludf.DUMMYFUNCTION("""COMPUTED_VALUE"""),480)</f>
        <v>480</v>
      </c>
      <c r="X209" s="3">
        <f ca="1">IFERROR(__xludf.DUMMYFUNCTION("""COMPUTED_VALUE"""),651)</f>
        <v>651</v>
      </c>
      <c r="Y209" s="3">
        <f ca="1">IFERROR(__xludf.DUMMYFUNCTION("""COMPUTED_VALUE"""),0.737)</f>
        <v>0.73699999999999999</v>
      </c>
      <c r="Z209" s="3">
        <f ca="1">IFERROR(__xludf.DUMMYFUNCTION("""COMPUTED_VALUE"""),292)</f>
        <v>292</v>
      </c>
      <c r="AA209" s="3">
        <f ca="1">IFERROR(__xludf.DUMMYFUNCTION("""COMPUTED_VALUE"""),1083)</f>
        <v>1083</v>
      </c>
      <c r="AB209" s="3">
        <f ca="1">IFERROR(__xludf.DUMMYFUNCTION("""COMPUTED_VALUE"""),491)</f>
        <v>491</v>
      </c>
      <c r="AC209" s="3">
        <f ca="1">IFERROR(__xludf.DUMMYFUNCTION("""COMPUTED_VALUE"""),169)</f>
        <v>169</v>
      </c>
      <c r="AD209" s="3">
        <f ca="1">IFERROR(__xludf.DUMMYFUNCTION("""COMPUTED_VALUE"""),46)</f>
        <v>46</v>
      </c>
      <c r="AE209" s="3">
        <f ca="1">IFERROR(__xludf.DUMMYFUNCTION("""COMPUTED_VALUE"""),394)</f>
        <v>394</v>
      </c>
      <c r="AF209" s="3">
        <f ca="1">IFERROR(__xludf.DUMMYFUNCTION("""COMPUTED_VALUE"""),567)</f>
        <v>567</v>
      </c>
    </row>
    <row r="210" spans="1:32" x14ac:dyDescent="0.25">
      <c r="A210" s="3" t="str">
        <f ca="1">IFERROR(__xludf.DUMMYFUNCTION("""COMPUTED_VALUE"""),"MontanaNCAA")</f>
        <v>MontanaNCAA</v>
      </c>
      <c r="B210" s="3">
        <f ca="1">IFERROR(__xludf.DUMMYFUNCTION("""COMPUTED_VALUE"""),35)</f>
        <v>35</v>
      </c>
      <c r="C210" s="3">
        <f ca="1">IFERROR(__xludf.DUMMYFUNCTION("""COMPUTED_VALUE"""),26)</f>
        <v>26</v>
      </c>
      <c r="D210" s="3">
        <f ca="1">IFERROR(__xludf.DUMMYFUNCTION("""COMPUTED_VALUE"""),9)</f>
        <v>9</v>
      </c>
      <c r="E210" s="3">
        <f ca="1">IFERROR(__xludf.DUMMYFUNCTION("""COMPUTED_VALUE"""),0.743)</f>
        <v>0.74299999999999999</v>
      </c>
      <c r="F210" s="3">
        <f ca="1">IFERROR(__xludf.DUMMYFUNCTION("""COMPUTED_VALUE"""),1.5)</f>
        <v>1.5</v>
      </c>
      <c r="G210" s="3">
        <f ca="1">IFERROR(__xludf.DUMMYFUNCTION("""COMPUTED_VALUE"""),-5.05)</f>
        <v>-5.05</v>
      </c>
      <c r="H210" s="3">
        <f ca="1">IFERROR(__xludf.DUMMYFUNCTION("""COMPUTED_VALUE"""),16)</f>
        <v>16</v>
      </c>
      <c r="I210" s="3">
        <f ca="1">IFERROR(__xludf.DUMMYFUNCTION("""COMPUTED_VALUE"""),4)</f>
        <v>4</v>
      </c>
      <c r="J210" s="3">
        <f ca="1">IFERROR(__xludf.DUMMYFUNCTION("""COMPUTED_VALUE"""),12)</f>
        <v>12</v>
      </c>
      <c r="K210" s="3">
        <f ca="1">IFERROR(__xludf.DUMMYFUNCTION("""COMPUTED_VALUE"""),2)</f>
        <v>2</v>
      </c>
      <c r="L210" s="3">
        <f ca="1">IFERROR(__xludf.DUMMYFUNCTION("""COMPUTED_VALUE"""),9)</f>
        <v>9</v>
      </c>
      <c r="M210" s="3">
        <f ca="1">IFERROR(__xludf.DUMMYFUNCTION("""COMPUTED_VALUE"""),5)</f>
        <v>5</v>
      </c>
      <c r="N210" s="3">
        <f ca="1">IFERROR(__xludf.DUMMYFUNCTION("""COMPUTED_VALUE"""),2665)</f>
        <v>2665</v>
      </c>
      <c r="O210" s="3">
        <f ca="1">IFERROR(__xludf.DUMMYFUNCTION("""COMPUTED_VALUE"""),2397)</f>
        <v>2397</v>
      </c>
      <c r="P210" s="3">
        <f ca="1">IFERROR(__xludf.DUMMYFUNCTION("""COMPUTED_VALUE"""),1405)</f>
        <v>1405</v>
      </c>
      <c r="Q210" s="3">
        <f ca="1">IFERROR(__xludf.DUMMYFUNCTION("""COMPUTED_VALUE"""),975)</f>
        <v>975</v>
      </c>
      <c r="R210" s="3">
        <f ca="1">IFERROR(__xludf.DUMMYFUNCTION("""COMPUTED_VALUE"""),1983)</f>
        <v>1983</v>
      </c>
      <c r="S210" s="3">
        <f ca="1">IFERROR(__xludf.DUMMYFUNCTION("""COMPUTED_VALUE"""),0.492)</f>
        <v>0.49199999999999999</v>
      </c>
      <c r="T210" s="3">
        <f ca="1">IFERROR(__xludf.DUMMYFUNCTION("""COMPUTED_VALUE"""),287)</f>
        <v>287</v>
      </c>
      <c r="U210" s="3">
        <f ca="1">IFERROR(__xludf.DUMMYFUNCTION("""COMPUTED_VALUE"""),763)</f>
        <v>763</v>
      </c>
      <c r="V210" s="3">
        <f ca="1">IFERROR(__xludf.DUMMYFUNCTION("""COMPUTED_VALUE"""),0.376)</f>
        <v>0.376</v>
      </c>
      <c r="W210" s="3">
        <f ca="1">IFERROR(__xludf.DUMMYFUNCTION("""COMPUTED_VALUE"""),428)</f>
        <v>428</v>
      </c>
      <c r="X210" s="3">
        <f ca="1">IFERROR(__xludf.DUMMYFUNCTION("""COMPUTED_VALUE"""),621)</f>
        <v>621</v>
      </c>
      <c r="Y210" s="3">
        <f ca="1">IFERROR(__xludf.DUMMYFUNCTION("""COMPUTED_VALUE"""),0.689)</f>
        <v>0.68899999999999995</v>
      </c>
      <c r="Z210" s="3">
        <f ca="1">IFERROR(__xludf.DUMMYFUNCTION("""COMPUTED_VALUE"""),293)</f>
        <v>293</v>
      </c>
      <c r="AA210" s="3">
        <f ca="1">IFERROR(__xludf.DUMMYFUNCTION("""COMPUTED_VALUE"""),1176)</f>
        <v>1176</v>
      </c>
      <c r="AB210" s="3">
        <f ca="1">IFERROR(__xludf.DUMMYFUNCTION("""COMPUTED_VALUE"""),510)</f>
        <v>510</v>
      </c>
      <c r="AC210" s="3">
        <f ca="1">IFERROR(__xludf.DUMMYFUNCTION("""COMPUTED_VALUE"""),229)</f>
        <v>229</v>
      </c>
      <c r="AD210" s="3">
        <f ca="1">IFERROR(__xludf.DUMMYFUNCTION("""COMPUTED_VALUE"""),106)</f>
        <v>106</v>
      </c>
      <c r="AE210" s="3">
        <f ca="1">IFERROR(__xludf.DUMMYFUNCTION("""COMPUTED_VALUE"""),416)</f>
        <v>416</v>
      </c>
      <c r="AF210" s="3">
        <f ca="1">IFERROR(__xludf.DUMMYFUNCTION("""COMPUTED_VALUE"""),655)</f>
        <v>655</v>
      </c>
    </row>
    <row r="211" spans="1:32" x14ac:dyDescent="0.25">
      <c r="A211" s="3" t="str">
        <f ca="1">IFERROR(__xludf.DUMMYFUNCTION("""COMPUTED_VALUE"""),"Morehead State")</f>
        <v>Morehead State</v>
      </c>
      <c r="B211" s="3">
        <f ca="1">IFERROR(__xludf.DUMMYFUNCTION("""COMPUTED_VALUE"""),33)</f>
        <v>33</v>
      </c>
      <c r="C211" s="3">
        <f ca="1">IFERROR(__xludf.DUMMYFUNCTION("""COMPUTED_VALUE"""),13)</f>
        <v>13</v>
      </c>
      <c r="D211" s="3">
        <f ca="1">IFERROR(__xludf.DUMMYFUNCTION("""COMPUTED_VALUE"""),20)</f>
        <v>20</v>
      </c>
      <c r="E211" s="3">
        <f ca="1">IFERROR(__xludf.DUMMYFUNCTION("""COMPUTED_VALUE"""),0.394)</f>
        <v>0.39400000000000002</v>
      </c>
      <c r="F211" s="3">
        <f ca="1">IFERROR(__xludf.DUMMYFUNCTION("""COMPUTED_VALUE"""),-7.73)</f>
        <v>-7.73</v>
      </c>
      <c r="G211" s="3">
        <f ca="1">IFERROR(__xludf.DUMMYFUNCTION("""COMPUTED_VALUE"""),-1.76)</f>
        <v>-1.76</v>
      </c>
      <c r="H211" s="3">
        <f ca="1">IFERROR(__xludf.DUMMYFUNCTION("""COMPUTED_VALUE"""),8)</f>
        <v>8</v>
      </c>
      <c r="I211" s="3">
        <f ca="1">IFERROR(__xludf.DUMMYFUNCTION("""COMPUTED_VALUE"""),10)</f>
        <v>10</v>
      </c>
      <c r="J211" s="3">
        <f ca="1">IFERROR(__xludf.DUMMYFUNCTION("""COMPUTED_VALUE"""),7)</f>
        <v>7</v>
      </c>
      <c r="K211" s="3">
        <f ca="1">IFERROR(__xludf.DUMMYFUNCTION("""COMPUTED_VALUE"""),7)</f>
        <v>7</v>
      </c>
      <c r="L211" s="3">
        <f ca="1">IFERROR(__xludf.DUMMYFUNCTION("""COMPUTED_VALUE"""),4)</f>
        <v>4</v>
      </c>
      <c r="M211" s="3">
        <f ca="1">IFERROR(__xludf.DUMMYFUNCTION("""COMPUTED_VALUE"""),11)</f>
        <v>11</v>
      </c>
      <c r="N211" s="3">
        <f ca="1">IFERROR(__xludf.DUMMYFUNCTION("""COMPUTED_VALUE"""),2431)</f>
        <v>2431</v>
      </c>
      <c r="O211" s="3">
        <f ca="1">IFERROR(__xludf.DUMMYFUNCTION("""COMPUTED_VALUE"""),2543)</f>
        <v>2543</v>
      </c>
      <c r="P211" s="3">
        <f ca="1">IFERROR(__xludf.DUMMYFUNCTION("""COMPUTED_VALUE"""),1335)</f>
        <v>1335</v>
      </c>
      <c r="Q211" s="3">
        <f ca="1">IFERROR(__xludf.DUMMYFUNCTION("""COMPUTED_VALUE"""),855)</f>
        <v>855</v>
      </c>
      <c r="R211" s="3">
        <f ca="1">IFERROR(__xludf.DUMMYFUNCTION("""COMPUTED_VALUE"""),1993)</f>
        <v>1993</v>
      </c>
      <c r="S211" s="3">
        <f ca="1">IFERROR(__xludf.DUMMYFUNCTION("""COMPUTED_VALUE"""),0.429)</f>
        <v>0.42899999999999999</v>
      </c>
      <c r="T211" s="3">
        <f ca="1">IFERROR(__xludf.DUMMYFUNCTION("""COMPUTED_VALUE"""),260)</f>
        <v>260</v>
      </c>
      <c r="U211" s="3">
        <f ca="1">IFERROR(__xludf.DUMMYFUNCTION("""COMPUTED_VALUE"""),762)</f>
        <v>762</v>
      </c>
      <c r="V211" s="3">
        <f ca="1">IFERROR(__xludf.DUMMYFUNCTION("""COMPUTED_VALUE"""),0.341)</f>
        <v>0.34100000000000003</v>
      </c>
      <c r="W211" s="3">
        <f ca="1">IFERROR(__xludf.DUMMYFUNCTION("""COMPUTED_VALUE"""),461)</f>
        <v>461</v>
      </c>
      <c r="X211" s="3">
        <f ca="1">IFERROR(__xludf.DUMMYFUNCTION("""COMPUTED_VALUE"""),654)</f>
        <v>654</v>
      </c>
      <c r="Y211" s="3">
        <f ca="1">IFERROR(__xludf.DUMMYFUNCTION("""COMPUTED_VALUE"""),0.705)</f>
        <v>0.70499999999999996</v>
      </c>
      <c r="Z211" s="3">
        <f ca="1">IFERROR(__xludf.DUMMYFUNCTION("""COMPUTED_VALUE"""),357)</f>
        <v>357</v>
      </c>
      <c r="AA211" s="3">
        <f ca="1">IFERROR(__xludf.DUMMYFUNCTION("""COMPUTED_VALUE"""),1177)</f>
        <v>1177</v>
      </c>
      <c r="AB211" s="3">
        <f ca="1">IFERROR(__xludf.DUMMYFUNCTION("""COMPUTED_VALUE"""),440)</f>
        <v>440</v>
      </c>
      <c r="AC211" s="3">
        <f ca="1">IFERROR(__xludf.DUMMYFUNCTION("""COMPUTED_VALUE"""),186)</f>
        <v>186</v>
      </c>
      <c r="AD211" s="3">
        <f ca="1">IFERROR(__xludf.DUMMYFUNCTION("""COMPUTED_VALUE"""),137)</f>
        <v>137</v>
      </c>
      <c r="AE211" s="3">
        <f ca="1">IFERROR(__xludf.DUMMYFUNCTION("""COMPUTED_VALUE"""),402)</f>
        <v>402</v>
      </c>
      <c r="AF211" s="3">
        <f ca="1">IFERROR(__xludf.DUMMYFUNCTION("""COMPUTED_VALUE"""),561)</f>
        <v>561</v>
      </c>
    </row>
    <row r="212" spans="1:32" x14ac:dyDescent="0.25">
      <c r="A212" s="3" t="str">
        <f ca="1">IFERROR(__xludf.DUMMYFUNCTION("""COMPUTED_VALUE"""),"Morgan State")</f>
        <v>Morgan State</v>
      </c>
      <c r="B212" s="3">
        <f ca="1">IFERROR(__xludf.DUMMYFUNCTION("""COMPUTED_VALUE"""),30)</f>
        <v>30</v>
      </c>
      <c r="C212" s="3">
        <f ca="1">IFERROR(__xludf.DUMMYFUNCTION("""COMPUTED_VALUE"""),9)</f>
        <v>9</v>
      </c>
      <c r="D212" s="3">
        <f ca="1">IFERROR(__xludf.DUMMYFUNCTION("""COMPUTED_VALUE"""),21)</f>
        <v>21</v>
      </c>
      <c r="E212" s="3">
        <f ca="1">IFERROR(__xludf.DUMMYFUNCTION("""COMPUTED_VALUE"""),0.3)</f>
        <v>0.3</v>
      </c>
      <c r="F212" s="3">
        <f ca="1">IFERROR(__xludf.DUMMYFUNCTION("""COMPUTED_VALUE"""),-15.98)</f>
        <v>-15.98</v>
      </c>
      <c r="G212" s="3">
        <f ca="1">IFERROR(__xludf.DUMMYFUNCTION("""COMPUTED_VALUE"""),-10.7)</f>
        <v>-10.7</v>
      </c>
      <c r="H212" s="3">
        <f ca="1">IFERROR(__xludf.DUMMYFUNCTION("""COMPUTED_VALUE"""),4)</f>
        <v>4</v>
      </c>
      <c r="I212" s="3">
        <f ca="1">IFERROR(__xludf.DUMMYFUNCTION("""COMPUTED_VALUE"""),12)</f>
        <v>12</v>
      </c>
      <c r="J212" s="3">
        <f ca="1">IFERROR(__xludf.DUMMYFUNCTION("""COMPUTED_VALUE"""),6)</f>
        <v>6</v>
      </c>
      <c r="K212" s="3">
        <f ca="1">IFERROR(__xludf.DUMMYFUNCTION("""COMPUTED_VALUE"""),7)</f>
        <v>7</v>
      </c>
      <c r="L212" s="3">
        <f ca="1">IFERROR(__xludf.DUMMYFUNCTION("""COMPUTED_VALUE"""),2)</f>
        <v>2</v>
      </c>
      <c r="M212" s="3">
        <f ca="1">IFERROR(__xludf.DUMMYFUNCTION("""COMPUTED_VALUE"""),13)</f>
        <v>13</v>
      </c>
      <c r="N212" s="3">
        <f ca="1">IFERROR(__xludf.DUMMYFUNCTION("""COMPUTED_VALUE"""),2161)</f>
        <v>2161</v>
      </c>
      <c r="O212" s="3">
        <f ca="1">IFERROR(__xludf.DUMMYFUNCTION("""COMPUTED_VALUE"""),2304)</f>
        <v>2304</v>
      </c>
      <c r="P212" s="3">
        <f ca="1">IFERROR(__xludf.DUMMYFUNCTION("""COMPUTED_VALUE"""),1210)</f>
        <v>1210</v>
      </c>
      <c r="Q212" s="3">
        <f ca="1">IFERROR(__xludf.DUMMYFUNCTION("""COMPUTED_VALUE"""),758)</f>
        <v>758</v>
      </c>
      <c r="R212" s="3">
        <f ca="1">IFERROR(__xludf.DUMMYFUNCTION("""COMPUTED_VALUE"""),1920)</f>
        <v>1920</v>
      </c>
      <c r="S212" s="3">
        <f ca="1">IFERROR(__xludf.DUMMYFUNCTION("""COMPUTED_VALUE"""),0.395)</f>
        <v>0.39500000000000002</v>
      </c>
      <c r="T212" s="3">
        <f ca="1">IFERROR(__xludf.DUMMYFUNCTION("""COMPUTED_VALUE"""),168)</f>
        <v>168</v>
      </c>
      <c r="U212" s="3">
        <f ca="1">IFERROR(__xludf.DUMMYFUNCTION("""COMPUTED_VALUE"""),521)</f>
        <v>521</v>
      </c>
      <c r="V212" s="3">
        <f ca="1">IFERROR(__xludf.DUMMYFUNCTION("""COMPUTED_VALUE"""),0.322)</f>
        <v>0.32200000000000001</v>
      </c>
      <c r="W212" s="3">
        <f ca="1">IFERROR(__xludf.DUMMYFUNCTION("""COMPUTED_VALUE"""),477)</f>
        <v>477</v>
      </c>
      <c r="X212" s="3">
        <f ca="1">IFERROR(__xludf.DUMMYFUNCTION("""COMPUTED_VALUE"""),669)</f>
        <v>669</v>
      </c>
      <c r="Y212" s="3">
        <f ca="1">IFERROR(__xludf.DUMMYFUNCTION("""COMPUTED_VALUE"""),0.713)</f>
        <v>0.71299999999999997</v>
      </c>
      <c r="Z212" s="3">
        <f ca="1">IFERROR(__xludf.DUMMYFUNCTION("""COMPUTED_VALUE"""),397)</f>
        <v>397</v>
      </c>
      <c r="AA212" s="3">
        <f ca="1">IFERROR(__xludf.DUMMYFUNCTION("""COMPUTED_VALUE"""),1078)</f>
        <v>1078</v>
      </c>
      <c r="AB212" s="3">
        <f ca="1">IFERROR(__xludf.DUMMYFUNCTION("""COMPUTED_VALUE"""),362)</f>
        <v>362</v>
      </c>
      <c r="AC212" s="3">
        <f ca="1">IFERROR(__xludf.DUMMYFUNCTION("""COMPUTED_VALUE"""),230)</f>
        <v>230</v>
      </c>
      <c r="AD212" s="3">
        <f ca="1">IFERROR(__xludf.DUMMYFUNCTION("""COMPUTED_VALUE"""),48)</f>
        <v>48</v>
      </c>
      <c r="AE212" s="3">
        <f ca="1">IFERROR(__xludf.DUMMYFUNCTION("""COMPUTED_VALUE"""),401)</f>
        <v>401</v>
      </c>
      <c r="AF212" s="3">
        <f ca="1">IFERROR(__xludf.DUMMYFUNCTION("""COMPUTED_VALUE"""),614)</f>
        <v>614</v>
      </c>
    </row>
    <row r="213" spans="1:32" x14ac:dyDescent="0.25">
      <c r="A213" s="3" t="str">
        <f ca="1">IFERROR(__xludf.DUMMYFUNCTION("""COMPUTED_VALUE"""),"Mount St. Mary's")</f>
        <v>Mount St. Mary's</v>
      </c>
      <c r="B213" s="3">
        <f ca="1">IFERROR(__xludf.DUMMYFUNCTION("""COMPUTED_VALUE"""),31)</f>
        <v>31</v>
      </c>
      <c r="C213" s="3">
        <f ca="1">IFERROR(__xludf.DUMMYFUNCTION("""COMPUTED_VALUE"""),9)</f>
        <v>9</v>
      </c>
      <c r="D213" s="3">
        <f ca="1">IFERROR(__xludf.DUMMYFUNCTION("""COMPUTED_VALUE"""),22)</f>
        <v>22</v>
      </c>
      <c r="E213" s="3">
        <f ca="1">IFERROR(__xludf.DUMMYFUNCTION("""COMPUTED_VALUE"""),0.29)</f>
        <v>0.28999999999999998</v>
      </c>
      <c r="F213" s="3">
        <f ca="1">IFERROR(__xludf.DUMMYFUNCTION("""COMPUTED_VALUE"""),-14.57)</f>
        <v>-14.57</v>
      </c>
      <c r="G213" s="3">
        <f ca="1">IFERROR(__xludf.DUMMYFUNCTION("""COMPUTED_VALUE"""),-6.02)</f>
        <v>-6.02</v>
      </c>
      <c r="H213" s="3">
        <f ca="1">IFERROR(__xludf.DUMMYFUNCTION("""COMPUTED_VALUE"""),6)</f>
        <v>6</v>
      </c>
      <c r="I213" s="3">
        <f ca="1">IFERROR(__xludf.DUMMYFUNCTION("""COMPUTED_VALUE"""),12)</f>
        <v>12</v>
      </c>
      <c r="J213" s="3">
        <f ca="1">IFERROR(__xludf.DUMMYFUNCTION("""COMPUTED_VALUE"""),4)</f>
        <v>4</v>
      </c>
      <c r="K213" s="3">
        <f ca="1">IFERROR(__xludf.DUMMYFUNCTION("""COMPUTED_VALUE"""),9)</f>
        <v>9</v>
      </c>
      <c r="L213" s="3">
        <f ca="1">IFERROR(__xludf.DUMMYFUNCTION("""COMPUTED_VALUE"""),5)</f>
        <v>5</v>
      </c>
      <c r="M213" s="3">
        <f ca="1">IFERROR(__xludf.DUMMYFUNCTION("""COMPUTED_VALUE"""),13)</f>
        <v>13</v>
      </c>
      <c r="N213" s="3">
        <f ca="1">IFERROR(__xludf.DUMMYFUNCTION("""COMPUTED_VALUE"""),2092)</f>
        <v>2092</v>
      </c>
      <c r="O213" s="3">
        <f ca="1">IFERROR(__xludf.DUMMYFUNCTION("""COMPUTED_VALUE"""),2286)</f>
        <v>2286</v>
      </c>
      <c r="P213" s="3">
        <f ca="1">IFERROR(__xludf.DUMMYFUNCTION("""COMPUTED_VALUE"""),1240)</f>
        <v>1240</v>
      </c>
      <c r="Q213" s="3">
        <f ca="1">IFERROR(__xludf.DUMMYFUNCTION("""COMPUTED_VALUE"""),733)</f>
        <v>733</v>
      </c>
      <c r="R213" s="3">
        <f ca="1">IFERROR(__xludf.DUMMYFUNCTION("""COMPUTED_VALUE"""),1755)</f>
        <v>1755</v>
      </c>
      <c r="S213" s="3">
        <f ca="1">IFERROR(__xludf.DUMMYFUNCTION("""COMPUTED_VALUE"""),0.418)</f>
        <v>0.41799999999999998</v>
      </c>
      <c r="T213" s="3">
        <f ca="1">IFERROR(__xludf.DUMMYFUNCTION("""COMPUTED_VALUE"""),223)</f>
        <v>223</v>
      </c>
      <c r="U213" s="3">
        <f ca="1">IFERROR(__xludf.DUMMYFUNCTION("""COMPUTED_VALUE"""),723)</f>
        <v>723</v>
      </c>
      <c r="V213" s="3">
        <f ca="1">IFERROR(__xludf.DUMMYFUNCTION("""COMPUTED_VALUE"""),0.308)</f>
        <v>0.308</v>
      </c>
      <c r="W213" s="3">
        <f ca="1">IFERROR(__xludf.DUMMYFUNCTION("""COMPUTED_VALUE"""),403)</f>
        <v>403</v>
      </c>
      <c r="X213" s="3">
        <f ca="1">IFERROR(__xludf.DUMMYFUNCTION("""COMPUTED_VALUE"""),594)</f>
        <v>594</v>
      </c>
      <c r="Y213" s="3">
        <f ca="1">IFERROR(__xludf.DUMMYFUNCTION("""COMPUTED_VALUE"""),0.678)</f>
        <v>0.67800000000000005</v>
      </c>
      <c r="Z213" s="3">
        <f ca="1">IFERROR(__xludf.DUMMYFUNCTION("""COMPUTED_VALUE"""),293)</f>
        <v>293</v>
      </c>
      <c r="AA213" s="3">
        <f ca="1">IFERROR(__xludf.DUMMYFUNCTION("""COMPUTED_VALUE"""),1036)</f>
        <v>1036</v>
      </c>
      <c r="AB213" s="3">
        <f ca="1">IFERROR(__xludf.DUMMYFUNCTION("""COMPUTED_VALUE"""),354)</f>
        <v>354</v>
      </c>
      <c r="AC213" s="3">
        <f ca="1">IFERROR(__xludf.DUMMYFUNCTION("""COMPUTED_VALUE"""),146)</f>
        <v>146</v>
      </c>
      <c r="AD213" s="3">
        <f ca="1">IFERROR(__xludf.DUMMYFUNCTION("""COMPUTED_VALUE"""),107)</f>
        <v>107</v>
      </c>
      <c r="AE213" s="3">
        <f ca="1">IFERROR(__xludf.DUMMYFUNCTION("""COMPUTED_VALUE"""),410)</f>
        <v>410</v>
      </c>
      <c r="AF213" s="3">
        <f ca="1">IFERROR(__xludf.DUMMYFUNCTION("""COMPUTED_VALUE"""),576)</f>
        <v>576</v>
      </c>
    </row>
    <row r="214" spans="1:32" x14ac:dyDescent="0.25">
      <c r="A214" s="3" t="str">
        <f ca="1">IFERROR(__xludf.DUMMYFUNCTION("""COMPUTED_VALUE"""),"Murray StateNCAA")</f>
        <v>Murray StateNCAA</v>
      </c>
      <c r="B214" s="3">
        <f ca="1">IFERROR(__xludf.DUMMYFUNCTION("""COMPUTED_VALUE"""),33)</f>
        <v>33</v>
      </c>
      <c r="C214" s="3">
        <f ca="1">IFERROR(__xludf.DUMMYFUNCTION("""COMPUTED_VALUE"""),28)</f>
        <v>28</v>
      </c>
      <c r="D214" s="3">
        <f ca="1">IFERROR(__xludf.DUMMYFUNCTION("""COMPUTED_VALUE"""),5)</f>
        <v>5</v>
      </c>
      <c r="E214" s="3">
        <f ca="1">IFERROR(__xludf.DUMMYFUNCTION("""COMPUTED_VALUE"""),0.848)</f>
        <v>0.84799999999999998</v>
      </c>
      <c r="F214" s="3">
        <f ca="1">IFERROR(__xludf.DUMMYFUNCTION("""COMPUTED_VALUE"""),8.96)</f>
        <v>8.9600000000000009</v>
      </c>
      <c r="G214" s="3">
        <f ca="1">IFERROR(__xludf.DUMMYFUNCTION("""COMPUTED_VALUE"""),-3.11)</f>
        <v>-3.11</v>
      </c>
      <c r="H214" s="3">
        <f ca="1">IFERROR(__xludf.DUMMYFUNCTION("""COMPUTED_VALUE"""),16)</f>
        <v>16</v>
      </c>
      <c r="I214" s="3">
        <f ca="1">IFERROR(__xludf.DUMMYFUNCTION("""COMPUTED_VALUE"""),2)</f>
        <v>2</v>
      </c>
      <c r="J214" s="3">
        <f ca="1">IFERROR(__xludf.DUMMYFUNCTION("""COMPUTED_VALUE"""),15)</f>
        <v>15</v>
      </c>
      <c r="K214" s="3">
        <f ca="1">IFERROR(__xludf.DUMMYFUNCTION("""COMPUTED_VALUE"""),1)</f>
        <v>1</v>
      </c>
      <c r="L214" s="3">
        <f ca="1">IFERROR(__xludf.DUMMYFUNCTION("""COMPUTED_VALUE"""),10)</f>
        <v>10</v>
      </c>
      <c r="M214" s="3">
        <f ca="1">IFERROR(__xludf.DUMMYFUNCTION("""COMPUTED_VALUE"""),3)</f>
        <v>3</v>
      </c>
      <c r="N214" s="3">
        <f ca="1">IFERROR(__xludf.DUMMYFUNCTION("""COMPUTED_VALUE"""),2727)</f>
        <v>2727</v>
      </c>
      <c r="O214" s="3">
        <f ca="1">IFERROR(__xludf.DUMMYFUNCTION("""COMPUTED_VALUE"""),2255)</f>
        <v>2255</v>
      </c>
      <c r="P214" s="3">
        <f ca="1">IFERROR(__xludf.DUMMYFUNCTION("""COMPUTED_VALUE"""),1320)</f>
        <v>1320</v>
      </c>
      <c r="Q214" s="3">
        <f ca="1">IFERROR(__xludf.DUMMYFUNCTION("""COMPUTED_VALUE"""),988)</f>
        <v>988</v>
      </c>
      <c r="R214" s="3">
        <f ca="1">IFERROR(__xludf.DUMMYFUNCTION("""COMPUTED_VALUE"""),2007)</f>
        <v>2007</v>
      </c>
      <c r="S214" s="3">
        <f ca="1">IFERROR(__xludf.DUMMYFUNCTION("""COMPUTED_VALUE"""),0.492)</f>
        <v>0.49199999999999999</v>
      </c>
      <c r="T214" s="3">
        <f ca="1">IFERROR(__xludf.DUMMYFUNCTION("""COMPUTED_VALUE"""),258)</f>
        <v>258</v>
      </c>
      <c r="U214" s="3">
        <f ca="1">IFERROR(__xludf.DUMMYFUNCTION("""COMPUTED_VALUE"""),731)</f>
        <v>731</v>
      </c>
      <c r="V214" s="3">
        <f ca="1">IFERROR(__xludf.DUMMYFUNCTION("""COMPUTED_VALUE"""),0.353)</f>
        <v>0.35299999999999998</v>
      </c>
      <c r="W214" s="3">
        <f ca="1">IFERROR(__xludf.DUMMYFUNCTION("""COMPUTED_VALUE"""),493)</f>
        <v>493</v>
      </c>
      <c r="X214" s="3">
        <f ca="1">IFERROR(__xludf.DUMMYFUNCTION("""COMPUTED_VALUE"""),673)</f>
        <v>673</v>
      </c>
      <c r="Y214" s="3">
        <f ca="1">IFERROR(__xludf.DUMMYFUNCTION("""COMPUTED_VALUE"""),0.733)</f>
        <v>0.73299999999999998</v>
      </c>
      <c r="Z214" s="3">
        <f ca="1">IFERROR(__xludf.DUMMYFUNCTION("""COMPUTED_VALUE"""),351)</f>
        <v>351</v>
      </c>
      <c r="AA214" s="3">
        <f ca="1">IFERROR(__xludf.DUMMYFUNCTION("""COMPUTED_VALUE"""),1247)</f>
        <v>1247</v>
      </c>
      <c r="AB214" s="3">
        <f ca="1">IFERROR(__xludf.DUMMYFUNCTION("""COMPUTED_VALUE"""),591)</f>
        <v>591</v>
      </c>
      <c r="AC214" s="3">
        <f ca="1">IFERROR(__xludf.DUMMYFUNCTION("""COMPUTED_VALUE"""),249)</f>
        <v>249</v>
      </c>
      <c r="AD214" s="3">
        <f ca="1">IFERROR(__xludf.DUMMYFUNCTION("""COMPUTED_VALUE"""),149)</f>
        <v>149</v>
      </c>
      <c r="AE214" s="3">
        <f ca="1">IFERROR(__xludf.DUMMYFUNCTION("""COMPUTED_VALUE"""),401)</f>
        <v>401</v>
      </c>
      <c r="AF214" s="3">
        <f ca="1">IFERROR(__xludf.DUMMYFUNCTION("""COMPUTED_VALUE"""),527)</f>
        <v>527</v>
      </c>
    </row>
    <row r="215" spans="1:32" x14ac:dyDescent="0.25">
      <c r="A215" s="3" t="str">
        <f ca="1">IFERROR(__xludf.DUMMYFUNCTION("""COMPUTED_VALUE"""),"Navy")</f>
        <v>Navy</v>
      </c>
      <c r="B215" s="3">
        <f ca="1">IFERROR(__xludf.DUMMYFUNCTION("""COMPUTED_VALUE"""),31)</f>
        <v>31</v>
      </c>
      <c r="C215" s="3">
        <f ca="1">IFERROR(__xludf.DUMMYFUNCTION("""COMPUTED_VALUE"""),12)</f>
        <v>12</v>
      </c>
      <c r="D215" s="3">
        <f ca="1">IFERROR(__xludf.DUMMYFUNCTION("""COMPUTED_VALUE"""),19)</f>
        <v>19</v>
      </c>
      <c r="E215" s="3">
        <f ca="1">IFERROR(__xludf.DUMMYFUNCTION("""COMPUTED_VALUE"""),0.387)</f>
        <v>0.38700000000000001</v>
      </c>
      <c r="F215" s="3">
        <f ca="1">IFERROR(__xludf.DUMMYFUNCTION("""COMPUTED_VALUE"""),-10.09)</f>
        <v>-10.09</v>
      </c>
      <c r="G215" s="3">
        <f ca="1">IFERROR(__xludf.DUMMYFUNCTION("""COMPUTED_VALUE"""),-4)</f>
        <v>-4</v>
      </c>
      <c r="H215" s="3">
        <f ca="1">IFERROR(__xludf.DUMMYFUNCTION("""COMPUTED_VALUE"""),8)</f>
        <v>8</v>
      </c>
      <c r="I215" s="3">
        <f ca="1">IFERROR(__xludf.DUMMYFUNCTION("""COMPUTED_VALUE"""),10)</f>
        <v>10</v>
      </c>
      <c r="J215" s="3">
        <f ca="1">IFERROR(__xludf.DUMMYFUNCTION("""COMPUTED_VALUE"""),8)</f>
        <v>8</v>
      </c>
      <c r="K215" s="3">
        <f ca="1">IFERROR(__xludf.DUMMYFUNCTION("""COMPUTED_VALUE"""),6)</f>
        <v>6</v>
      </c>
      <c r="L215" s="3">
        <f ca="1">IFERROR(__xludf.DUMMYFUNCTION("""COMPUTED_VALUE"""),4)</f>
        <v>4</v>
      </c>
      <c r="M215" s="3">
        <f ca="1">IFERROR(__xludf.DUMMYFUNCTION("""COMPUTED_VALUE"""),13)</f>
        <v>13</v>
      </c>
      <c r="N215" s="3">
        <f ca="1">IFERROR(__xludf.DUMMYFUNCTION("""COMPUTED_VALUE"""),2061)</f>
        <v>2061</v>
      </c>
      <c r="O215" s="3">
        <f ca="1">IFERROR(__xludf.DUMMYFUNCTION("""COMPUTED_VALUE"""),2250)</f>
        <v>2250</v>
      </c>
      <c r="P215" s="3">
        <f ca="1">IFERROR(__xludf.DUMMYFUNCTION("""COMPUTED_VALUE"""),1240)</f>
        <v>1240</v>
      </c>
      <c r="Q215" s="3">
        <f ca="1">IFERROR(__xludf.DUMMYFUNCTION("""COMPUTED_VALUE"""),732)</f>
        <v>732</v>
      </c>
      <c r="R215" s="3">
        <f ca="1">IFERROR(__xludf.DUMMYFUNCTION("""COMPUTED_VALUE"""),1785)</f>
        <v>1785</v>
      </c>
      <c r="S215" s="3">
        <f ca="1">IFERROR(__xludf.DUMMYFUNCTION("""COMPUTED_VALUE"""),0.41)</f>
        <v>0.41</v>
      </c>
      <c r="T215" s="3">
        <f ca="1">IFERROR(__xludf.DUMMYFUNCTION("""COMPUTED_VALUE"""),208)</f>
        <v>208</v>
      </c>
      <c r="U215" s="3">
        <f ca="1">IFERROR(__xludf.DUMMYFUNCTION("""COMPUTED_VALUE"""),656)</f>
        <v>656</v>
      </c>
      <c r="V215" s="3">
        <f ca="1">IFERROR(__xludf.DUMMYFUNCTION("""COMPUTED_VALUE"""),0.317)</f>
        <v>0.317</v>
      </c>
      <c r="W215" s="3">
        <f ca="1">IFERROR(__xludf.DUMMYFUNCTION("""COMPUTED_VALUE"""),389)</f>
        <v>389</v>
      </c>
      <c r="X215" s="3">
        <f ca="1">IFERROR(__xludf.DUMMYFUNCTION("""COMPUTED_VALUE"""),544)</f>
        <v>544</v>
      </c>
      <c r="Y215" s="3">
        <f ca="1">IFERROR(__xludf.DUMMYFUNCTION("""COMPUTED_VALUE"""),0.715)</f>
        <v>0.71499999999999997</v>
      </c>
      <c r="Z215" s="3">
        <f ca="1">IFERROR(__xludf.DUMMYFUNCTION("""COMPUTED_VALUE"""),359)</f>
        <v>359</v>
      </c>
      <c r="AA215" s="3">
        <f ca="1">IFERROR(__xludf.DUMMYFUNCTION("""COMPUTED_VALUE"""),1160)</f>
        <v>1160</v>
      </c>
      <c r="AB215" s="3">
        <f ca="1">IFERROR(__xludf.DUMMYFUNCTION("""COMPUTED_VALUE"""),399)</f>
        <v>399</v>
      </c>
      <c r="AC215" s="3">
        <f ca="1">IFERROR(__xludf.DUMMYFUNCTION("""COMPUTED_VALUE"""),167)</f>
        <v>167</v>
      </c>
      <c r="AD215" s="3">
        <f ca="1">IFERROR(__xludf.DUMMYFUNCTION("""COMPUTED_VALUE"""),58)</f>
        <v>58</v>
      </c>
      <c r="AE215" s="3">
        <f ca="1">IFERROR(__xludf.DUMMYFUNCTION("""COMPUTED_VALUE"""),437)</f>
        <v>437</v>
      </c>
      <c r="AF215" s="3">
        <f ca="1">IFERROR(__xludf.DUMMYFUNCTION("""COMPUTED_VALUE"""),534)</f>
        <v>534</v>
      </c>
    </row>
    <row r="216" spans="1:32" x14ac:dyDescent="0.25">
      <c r="A216" s="3" t="str">
        <f ca="1">IFERROR(__xludf.DUMMYFUNCTION("""COMPUTED_VALUE"""),"Omaha")</f>
        <v>Omaha</v>
      </c>
      <c r="B216" s="3">
        <f ca="1">IFERROR(__xludf.DUMMYFUNCTION("""COMPUTED_VALUE"""),32)</f>
        <v>32</v>
      </c>
      <c r="C216" s="3">
        <f ca="1">IFERROR(__xludf.DUMMYFUNCTION("""COMPUTED_VALUE"""),21)</f>
        <v>21</v>
      </c>
      <c r="D216" s="3">
        <f ca="1">IFERROR(__xludf.DUMMYFUNCTION("""COMPUTED_VALUE"""),11)</f>
        <v>11</v>
      </c>
      <c r="E216" s="3">
        <f ca="1">IFERROR(__xludf.DUMMYFUNCTION("""COMPUTED_VALUE"""),0.656)</f>
        <v>0.65600000000000003</v>
      </c>
      <c r="F216" s="3">
        <f ca="1">IFERROR(__xludf.DUMMYFUNCTION("""COMPUTED_VALUE"""),-2.32)</f>
        <v>-2.3199999999999998</v>
      </c>
      <c r="G216" s="3">
        <f ca="1">IFERROR(__xludf.DUMMYFUNCTION("""COMPUTED_VALUE"""),-3.39)</f>
        <v>-3.39</v>
      </c>
      <c r="H216" s="3">
        <f ca="1">IFERROR(__xludf.DUMMYFUNCTION("""COMPUTED_VALUE"""),13)</f>
        <v>13</v>
      </c>
      <c r="I216" s="3">
        <f ca="1">IFERROR(__xludf.DUMMYFUNCTION("""COMPUTED_VALUE"""),3)</f>
        <v>3</v>
      </c>
      <c r="J216" s="3">
        <f ca="1">IFERROR(__xludf.DUMMYFUNCTION("""COMPUTED_VALUE"""),10)</f>
        <v>10</v>
      </c>
      <c r="K216" s="3">
        <f ca="1">IFERROR(__xludf.DUMMYFUNCTION("""COMPUTED_VALUE"""),2)</f>
        <v>2</v>
      </c>
      <c r="L216" s="3">
        <f ca="1">IFERROR(__xludf.DUMMYFUNCTION("""COMPUTED_VALUE"""),9)</f>
        <v>9</v>
      </c>
      <c r="M216" s="3">
        <f ca="1">IFERROR(__xludf.DUMMYFUNCTION("""COMPUTED_VALUE"""),8)</f>
        <v>8</v>
      </c>
      <c r="N216" s="3">
        <f ca="1">IFERROR(__xludf.DUMMYFUNCTION("""COMPUTED_VALUE"""),2523)</f>
        <v>2523</v>
      </c>
      <c r="O216" s="3">
        <f ca="1">IFERROR(__xludf.DUMMYFUNCTION("""COMPUTED_VALUE"""),2454)</f>
        <v>2454</v>
      </c>
      <c r="P216" s="3">
        <f ca="1">IFERROR(__xludf.DUMMYFUNCTION("""COMPUTED_VALUE"""),1290)</f>
        <v>1290</v>
      </c>
      <c r="Q216" s="3">
        <f ca="1">IFERROR(__xludf.DUMMYFUNCTION("""COMPUTED_VALUE"""),950)</f>
        <v>950</v>
      </c>
      <c r="R216" s="3">
        <f ca="1">IFERROR(__xludf.DUMMYFUNCTION("""COMPUTED_VALUE"""),1998)</f>
        <v>1998</v>
      </c>
      <c r="S216" s="3">
        <f ca="1">IFERROR(__xludf.DUMMYFUNCTION("""COMPUTED_VALUE"""),0.475)</f>
        <v>0.47499999999999998</v>
      </c>
      <c r="T216" s="3">
        <f ca="1">IFERROR(__xludf.DUMMYFUNCTION("""COMPUTED_VALUE"""),282)</f>
        <v>282</v>
      </c>
      <c r="U216" s="3">
        <f ca="1">IFERROR(__xludf.DUMMYFUNCTION("""COMPUTED_VALUE"""),719)</f>
        <v>719</v>
      </c>
      <c r="V216" s="3">
        <f ca="1">IFERROR(__xludf.DUMMYFUNCTION("""COMPUTED_VALUE"""),0.392)</f>
        <v>0.39200000000000002</v>
      </c>
      <c r="W216" s="3">
        <f ca="1">IFERROR(__xludf.DUMMYFUNCTION("""COMPUTED_VALUE"""),341)</f>
        <v>341</v>
      </c>
      <c r="X216" s="3">
        <f ca="1">IFERROR(__xludf.DUMMYFUNCTION("""COMPUTED_VALUE"""),473)</f>
        <v>473</v>
      </c>
      <c r="Y216" s="3">
        <f ca="1">IFERROR(__xludf.DUMMYFUNCTION("""COMPUTED_VALUE"""),0.721)</f>
        <v>0.72099999999999997</v>
      </c>
      <c r="Z216" s="3">
        <f ca="1">IFERROR(__xludf.DUMMYFUNCTION("""COMPUTED_VALUE"""),273)</f>
        <v>273</v>
      </c>
      <c r="AA216" s="3">
        <f ca="1">IFERROR(__xludf.DUMMYFUNCTION("""COMPUTED_VALUE"""),1047)</f>
        <v>1047</v>
      </c>
      <c r="AB216" s="3">
        <f ca="1">IFERROR(__xludf.DUMMYFUNCTION("""COMPUTED_VALUE"""),409)</f>
        <v>409</v>
      </c>
      <c r="AC216" s="3">
        <f ca="1">IFERROR(__xludf.DUMMYFUNCTION("""COMPUTED_VALUE"""),180)</f>
        <v>180</v>
      </c>
      <c r="AD216" s="3">
        <f ca="1">IFERROR(__xludf.DUMMYFUNCTION("""COMPUTED_VALUE"""),61)</f>
        <v>61</v>
      </c>
      <c r="AE216" s="3">
        <f ca="1">IFERROR(__xludf.DUMMYFUNCTION("""COMPUTED_VALUE"""),304)</f>
        <v>304</v>
      </c>
      <c r="AF216" s="3">
        <f ca="1">IFERROR(__xludf.DUMMYFUNCTION("""COMPUTED_VALUE"""),486)</f>
        <v>486</v>
      </c>
    </row>
    <row r="217" spans="1:32" x14ac:dyDescent="0.25">
      <c r="A217" s="3" t="str">
        <f ca="1">IFERROR(__xludf.DUMMYFUNCTION("""COMPUTED_VALUE"""),"Nebraska")</f>
        <v>Nebraska</v>
      </c>
      <c r="B217" s="3">
        <f ca="1">IFERROR(__xludf.DUMMYFUNCTION("""COMPUTED_VALUE"""),36)</f>
        <v>36</v>
      </c>
      <c r="C217" s="3">
        <f ca="1">IFERROR(__xludf.DUMMYFUNCTION("""COMPUTED_VALUE"""),19)</f>
        <v>19</v>
      </c>
      <c r="D217" s="3">
        <f ca="1">IFERROR(__xludf.DUMMYFUNCTION("""COMPUTED_VALUE"""),17)</f>
        <v>17</v>
      </c>
      <c r="E217" s="3">
        <f ca="1">IFERROR(__xludf.DUMMYFUNCTION("""COMPUTED_VALUE"""),0.528)</f>
        <v>0.52800000000000002</v>
      </c>
      <c r="F217" s="3">
        <f ca="1">IFERROR(__xludf.DUMMYFUNCTION("""COMPUTED_VALUE"""),14.85)</f>
        <v>14.85</v>
      </c>
      <c r="G217" s="3">
        <f ca="1">IFERROR(__xludf.DUMMYFUNCTION("""COMPUTED_VALUE"""),11.31)</f>
        <v>11.31</v>
      </c>
      <c r="H217" s="3">
        <f ca="1">IFERROR(__xludf.DUMMYFUNCTION("""COMPUTED_VALUE"""),6)</f>
        <v>6</v>
      </c>
      <c r="I217" s="3">
        <f ca="1">IFERROR(__xludf.DUMMYFUNCTION("""COMPUTED_VALUE"""),14)</f>
        <v>14</v>
      </c>
      <c r="J217" s="3">
        <f ca="1">IFERROR(__xludf.DUMMYFUNCTION("""COMPUTED_VALUE"""),13)</f>
        <v>13</v>
      </c>
      <c r="K217" s="3">
        <f ca="1">IFERROR(__xludf.DUMMYFUNCTION("""COMPUTED_VALUE"""),5)</f>
        <v>5</v>
      </c>
      <c r="L217" s="3">
        <f ca="1">IFERROR(__xludf.DUMMYFUNCTION("""COMPUTED_VALUE"""),2)</f>
        <v>2</v>
      </c>
      <c r="M217" s="3">
        <f ca="1">IFERROR(__xludf.DUMMYFUNCTION("""COMPUTED_VALUE"""),10)</f>
        <v>10</v>
      </c>
      <c r="N217" s="3">
        <f ca="1">IFERROR(__xludf.DUMMYFUNCTION("""COMPUTED_VALUE"""),2586)</f>
        <v>2586</v>
      </c>
      <c r="O217" s="3">
        <f ca="1">IFERROR(__xludf.DUMMYFUNCTION("""COMPUTED_VALUE"""),2421)</f>
        <v>2421</v>
      </c>
      <c r="P217" s="3">
        <f ca="1">IFERROR(__xludf.DUMMYFUNCTION("""COMPUTED_VALUE"""),1445)</f>
        <v>1445</v>
      </c>
      <c r="Q217" s="3">
        <f ca="1">IFERROR(__xludf.DUMMYFUNCTION("""COMPUTED_VALUE"""),916)</f>
        <v>916</v>
      </c>
      <c r="R217" s="3">
        <f ca="1">IFERROR(__xludf.DUMMYFUNCTION("""COMPUTED_VALUE"""),2133)</f>
        <v>2133</v>
      </c>
      <c r="S217" s="3">
        <f ca="1">IFERROR(__xludf.DUMMYFUNCTION("""COMPUTED_VALUE"""),0.429)</f>
        <v>0.42899999999999999</v>
      </c>
      <c r="T217" s="3">
        <f ca="1">IFERROR(__xludf.DUMMYFUNCTION("""COMPUTED_VALUE"""),270)</f>
        <v>270</v>
      </c>
      <c r="U217" s="3">
        <f ca="1">IFERROR(__xludf.DUMMYFUNCTION("""COMPUTED_VALUE"""),800)</f>
        <v>800</v>
      </c>
      <c r="V217" s="3">
        <f ca="1">IFERROR(__xludf.DUMMYFUNCTION("""COMPUTED_VALUE"""),0.338)</f>
        <v>0.33800000000000002</v>
      </c>
      <c r="W217" s="3">
        <f ca="1">IFERROR(__xludf.DUMMYFUNCTION("""COMPUTED_VALUE"""),484)</f>
        <v>484</v>
      </c>
      <c r="X217" s="3">
        <f ca="1">IFERROR(__xludf.DUMMYFUNCTION("""COMPUTED_VALUE"""),694)</f>
        <v>694</v>
      </c>
      <c r="Y217" s="3">
        <f ca="1">IFERROR(__xludf.DUMMYFUNCTION("""COMPUTED_VALUE"""),0.697)</f>
        <v>0.69699999999999995</v>
      </c>
      <c r="Z217" s="3">
        <f ca="1">IFERROR(__xludf.DUMMYFUNCTION("""COMPUTED_VALUE"""),379)</f>
        <v>379</v>
      </c>
      <c r="AA217" s="3">
        <f ca="1">IFERROR(__xludf.DUMMYFUNCTION("""COMPUTED_VALUE"""),1278)</f>
        <v>1278</v>
      </c>
      <c r="AB217" s="3">
        <f ca="1">IFERROR(__xludf.DUMMYFUNCTION("""COMPUTED_VALUE"""),466)</f>
        <v>466</v>
      </c>
      <c r="AC217" s="3">
        <f ca="1">IFERROR(__xludf.DUMMYFUNCTION("""COMPUTED_VALUE"""),260)</f>
        <v>260</v>
      </c>
      <c r="AD217" s="3">
        <f ca="1">IFERROR(__xludf.DUMMYFUNCTION("""COMPUTED_VALUE"""),151)</f>
        <v>151</v>
      </c>
      <c r="AE217" s="3">
        <f ca="1">IFERROR(__xludf.DUMMYFUNCTION("""COMPUTED_VALUE"""),345)</f>
        <v>345</v>
      </c>
      <c r="AF217" s="3">
        <f ca="1">IFERROR(__xludf.DUMMYFUNCTION("""COMPUTED_VALUE"""),580)</f>
        <v>580</v>
      </c>
    </row>
    <row r="218" spans="1:32" x14ac:dyDescent="0.25">
      <c r="A218" s="3" t="str">
        <f ca="1">IFERROR(__xludf.DUMMYFUNCTION("""COMPUTED_VALUE"""),"Nevada-Las Vegas")</f>
        <v>Nevada-Las Vegas</v>
      </c>
      <c r="B218" s="3">
        <f ca="1">IFERROR(__xludf.DUMMYFUNCTION("""COMPUTED_VALUE"""),31)</f>
        <v>31</v>
      </c>
      <c r="C218" s="3">
        <f ca="1">IFERROR(__xludf.DUMMYFUNCTION("""COMPUTED_VALUE"""),17)</f>
        <v>17</v>
      </c>
      <c r="D218" s="3">
        <f ca="1">IFERROR(__xludf.DUMMYFUNCTION("""COMPUTED_VALUE"""),14)</f>
        <v>14</v>
      </c>
      <c r="E218" s="3">
        <f ca="1">IFERROR(__xludf.DUMMYFUNCTION("""COMPUTED_VALUE"""),0.548)</f>
        <v>0.54800000000000004</v>
      </c>
      <c r="F218" s="3">
        <f ca="1">IFERROR(__xludf.DUMMYFUNCTION("""COMPUTED_VALUE"""),1.58)</f>
        <v>1.58</v>
      </c>
      <c r="G218" s="3">
        <f ca="1">IFERROR(__xludf.DUMMYFUNCTION("""COMPUTED_VALUE"""),0.48)</f>
        <v>0.48</v>
      </c>
      <c r="H218" s="3">
        <f ca="1">IFERROR(__xludf.DUMMYFUNCTION("""COMPUTED_VALUE"""),11)</f>
        <v>11</v>
      </c>
      <c r="I218" s="3">
        <f ca="1">IFERROR(__xludf.DUMMYFUNCTION("""COMPUTED_VALUE"""),7)</f>
        <v>7</v>
      </c>
      <c r="J218" s="3">
        <f ca="1">IFERROR(__xludf.DUMMYFUNCTION("""COMPUTED_VALUE"""),10)</f>
        <v>10</v>
      </c>
      <c r="K218" s="3">
        <f ca="1">IFERROR(__xludf.DUMMYFUNCTION("""COMPUTED_VALUE"""),6)</f>
        <v>6</v>
      </c>
      <c r="L218" s="3">
        <f ca="1">IFERROR(__xludf.DUMMYFUNCTION("""COMPUTED_VALUE"""),6)</f>
        <v>6</v>
      </c>
      <c r="M218" s="3">
        <f ca="1">IFERROR(__xludf.DUMMYFUNCTION("""COMPUTED_VALUE"""),5)</f>
        <v>5</v>
      </c>
      <c r="N218" s="3">
        <f ca="1">IFERROR(__xludf.DUMMYFUNCTION("""COMPUTED_VALUE"""),2276)</f>
        <v>2276</v>
      </c>
      <c r="O218" s="3">
        <f ca="1">IFERROR(__xludf.DUMMYFUNCTION("""COMPUTED_VALUE"""),2242)</f>
        <v>2242</v>
      </c>
      <c r="P218" s="3">
        <f ca="1">IFERROR(__xludf.DUMMYFUNCTION("""COMPUTED_VALUE"""),1250)</f>
        <v>1250</v>
      </c>
      <c r="Q218" s="3">
        <f ca="1">IFERROR(__xludf.DUMMYFUNCTION("""COMPUTED_VALUE"""),791)</f>
        <v>791</v>
      </c>
      <c r="R218" s="3">
        <f ca="1">IFERROR(__xludf.DUMMYFUNCTION("""COMPUTED_VALUE"""),1852)</f>
        <v>1852</v>
      </c>
      <c r="S218" s="3">
        <f ca="1">IFERROR(__xludf.DUMMYFUNCTION("""COMPUTED_VALUE"""),0.427)</f>
        <v>0.42699999999999999</v>
      </c>
      <c r="T218" s="3">
        <f ca="1">IFERROR(__xludf.DUMMYFUNCTION("""COMPUTED_VALUE"""),251)</f>
        <v>251</v>
      </c>
      <c r="U218" s="3">
        <f ca="1">IFERROR(__xludf.DUMMYFUNCTION("""COMPUTED_VALUE"""),745)</f>
        <v>745</v>
      </c>
      <c r="V218" s="3">
        <f ca="1">IFERROR(__xludf.DUMMYFUNCTION("""COMPUTED_VALUE"""),0.337)</f>
        <v>0.33700000000000002</v>
      </c>
      <c r="W218" s="3">
        <f ca="1">IFERROR(__xludf.DUMMYFUNCTION("""COMPUTED_VALUE"""),443)</f>
        <v>443</v>
      </c>
      <c r="X218" s="3">
        <f ca="1">IFERROR(__xludf.DUMMYFUNCTION("""COMPUTED_VALUE"""),647)</f>
        <v>647</v>
      </c>
      <c r="Y218" s="3">
        <f ca="1">IFERROR(__xludf.DUMMYFUNCTION("""COMPUTED_VALUE"""),0.685)</f>
        <v>0.68500000000000005</v>
      </c>
      <c r="Z218" s="3">
        <f ca="1">IFERROR(__xludf.DUMMYFUNCTION("""COMPUTED_VALUE"""),408)</f>
        <v>408</v>
      </c>
      <c r="AA218" s="3">
        <f ca="1">IFERROR(__xludf.DUMMYFUNCTION("""COMPUTED_VALUE"""),1204)</f>
        <v>1204</v>
      </c>
      <c r="AB218" s="3">
        <f ca="1">IFERROR(__xludf.DUMMYFUNCTION("""COMPUTED_VALUE"""),401)</f>
        <v>401</v>
      </c>
      <c r="AC218" s="3">
        <f ca="1">IFERROR(__xludf.DUMMYFUNCTION("""COMPUTED_VALUE"""),184)</f>
        <v>184</v>
      </c>
      <c r="AD218" s="3">
        <f ca="1">IFERROR(__xludf.DUMMYFUNCTION("""COMPUTED_VALUE"""),115)</f>
        <v>115</v>
      </c>
      <c r="AE218" s="3">
        <f ca="1">IFERROR(__xludf.DUMMYFUNCTION("""COMPUTED_VALUE"""),401)</f>
        <v>401</v>
      </c>
      <c r="AF218" s="3">
        <f ca="1">IFERROR(__xludf.DUMMYFUNCTION("""COMPUTED_VALUE"""),556)</f>
        <v>556</v>
      </c>
    </row>
    <row r="219" spans="1:32" x14ac:dyDescent="0.25">
      <c r="A219" s="3" t="str">
        <f ca="1">IFERROR(__xludf.DUMMYFUNCTION("""COMPUTED_VALUE"""),"NevadaNCAA")</f>
        <v>NevadaNCAA</v>
      </c>
      <c r="B219" s="3">
        <f ca="1">IFERROR(__xludf.DUMMYFUNCTION("""COMPUTED_VALUE"""),34)</f>
        <v>34</v>
      </c>
      <c r="C219" s="3">
        <f ca="1">IFERROR(__xludf.DUMMYFUNCTION("""COMPUTED_VALUE"""),29)</f>
        <v>29</v>
      </c>
      <c r="D219" s="3">
        <f ca="1">IFERROR(__xludf.DUMMYFUNCTION("""COMPUTED_VALUE"""),5)</f>
        <v>5</v>
      </c>
      <c r="E219" s="3">
        <f ca="1">IFERROR(__xludf.DUMMYFUNCTION("""COMPUTED_VALUE"""),0.853)</f>
        <v>0.85299999999999998</v>
      </c>
      <c r="F219" s="3">
        <f ca="1">IFERROR(__xludf.DUMMYFUNCTION("""COMPUTED_VALUE"""),16)</f>
        <v>16</v>
      </c>
      <c r="G219" s="3">
        <f ca="1">IFERROR(__xludf.DUMMYFUNCTION("""COMPUTED_VALUE"""),2.68)</f>
        <v>2.68</v>
      </c>
      <c r="H219" s="3">
        <f ca="1">IFERROR(__xludf.DUMMYFUNCTION("""COMPUTED_VALUE"""),15)</f>
        <v>15</v>
      </c>
      <c r="I219" s="3">
        <f ca="1">IFERROR(__xludf.DUMMYFUNCTION("""COMPUTED_VALUE"""),3)</f>
        <v>3</v>
      </c>
      <c r="J219" s="3">
        <f ca="1">IFERROR(__xludf.DUMMYFUNCTION("""COMPUTED_VALUE"""),15)</f>
        <v>15</v>
      </c>
      <c r="K219" s="3">
        <f ca="1">IFERROR(__xludf.DUMMYFUNCTION("""COMPUTED_VALUE"""),0)</f>
        <v>0</v>
      </c>
      <c r="L219" s="3">
        <f ca="1">IFERROR(__xludf.DUMMYFUNCTION("""COMPUTED_VALUE"""),9)</f>
        <v>9</v>
      </c>
      <c r="M219" s="3">
        <f ca="1">IFERROR(__xludf.DUMMYFUNCTION("""COMPUTED_VALUE"""),3)</f>
        <v>3</v>
      </c>
      <c r="N219" s="3">
        <f ca="1">IFERROR(__xludf.DUMMYFUNCTION("""COMPUTED_VALUE"""),2723)</f>
        <v>2723</v>
      </c>
      <c r="O219" s="3">
        <f ca="1">IFERROR(__xludf.DUMMYFUNCTION("""COMPUTED_VALUE"""),2270)</f>
        <v>2270</v>
      </c>
      <c r="P219" s="3">
        <f ca="1">IFERROR(__xludf.DUMMYFUNCTION("""COMPUTED_VALUE"""),1360)</f>
        <v>1360</v>
      </c>
      <c r="Q219" s="3">
        <f ca="1">IFERROR(__xludf.DUMMYFUNCTION("""COMPUTED_VALUE"""),924)</f>
        <v>924</v>
      </c>
      <c r="R219" s="3">
        <f ca="1">IFERROR(__xludf.DUMMYFUNCTION("""COMPUTED_VALUE"""),1999)</f>
        <v>1999</v>
      </c>
      <c r="S219" s="3">
        <f ca="1">IFERROR(__xludf.DUMMYFUNCTION("""COMPUTED_VALUE"""),0.462)</f>
        <v>0.46200000000000002</v>
      </c>
      <c r="T219" s="3">
        <f ca="1">IFERROR(__xludf.DUMMYFUNCTION("""COMPUTED_VALUE"""),297)</f>
        <v>297</v>
      </c>
      <c r="U219" s="3">
        <f ca="1">IFERROR(__xludf.DUMMYFUNCTION("""COMPUTED_VALUE"""),855)</f>
        <v>855</v>
      </c>
      <c r="V219" s="3">
        <f ca="1">IFERROR(__xludf.DUMMYFUNCTION("""COMPUTED_VALUE"""),0.347)</f>
        <v>0.34699999999999998</v>
      </c>
      <c r="W219" s="3">
        <f ca="1">IFERROR(__xludf.DUMMYFUNCTION("""COMPUTED_VALUE"""),578)</f>
        <v>578</v>
      </c>
      <c r="X219" s="3">
        <f ca="1">IFERROR(__xludf.DUMMYFUNCTION("""COMPUTED_VALUE"""),816)</f>
        <v>816</v>
      </c>
      <c r="Y219" s="3">
        <f ca="1">IFERROR(__xludf.DUMMYFUNCTION("""COMPUTED_VALUE"""),0.708)</f>
        <v>0.70799999999999996</v>
      </c>
      <c r="Z219" s="3">
        <f ca="1">IFERROR(__xludf.DUMMYFUNCTION("""COMPUTED_VALUE"""),325)</f>
        <v>325</v>
      </c>
      <c r="AA219" s="3">
        <f ca="1">IFERROR(__xludf.DUMMYFUNCTION("""COMPUTED_VALUE"""),1274)</f>
        <v>1274</v>
      </c>
      <c r="AB219" s="3">
        <f ca="1">IFERROR(__xludf.DUMMYFUNCTION("""COMPUTED_VALUE"""),498)</f>
        <v>498</v>
      </c>
      <c r="AC219" s="3">
        <f ca="1">IFERROR(__xludf.DUMMYFUNCTION("""COMPUTED_VALUE"""),211)</f>
        <v>211</v>
      </c>
      <c r="AD219" s="3">
        <f ca="1">IFERROR(__xludf.DUMMYFUNCTION("""COMPUTED_VALUE"""),134)</f>
        <v>134</v>
      </c>
      <c r="AE219" s="3">
        <f ca="1">IFERROR(__xludf.DUMMYFUNCTION("""COMPUTED_VALUE"""),352)</f>
        <v>352</v>
      </c>
      <c r="AF219" s="3">
        <f ca="1">IFERROR(__xludf.DUMMYFUNCTION("""COMPUTED_VALUE"""),584)</f>
        <v>584</v>
      </c>
    </row>
    <row r="220" spans="1:32" x14ac:dyDescent="0.25">
      <c r="A220" s="3" t="str">
        <f ca="1">IFERROR(__xludf.DUMMYFUNCTION("""COMPUTED_VALUE"""),"Overall")</f>
        <v>Overall</v>
      </c>
      <c r="B220" s="3" t="str">
        <f ca="1">IFERROR(__xludf.DUMMYFUNCTION("""COMPUTED_VALUE"""),"Conf.")</f>
        <v>Conf.</v>
      </c>
      <c r="C220" s="3" t="str">
        <f ca="1">IFERROR(__xludf.DUMMYFUNCTION("""COMPUTED_VALUE"""),"Home")</f>
        <v>Home</v>
      </c>
      <c r="D220" s="3" t="str">
        <f ca="1">IFERROR(__xludf.DUMMYFUNCTION("""COMPUTED_VALUE"""),"Away")</f>
        <v>Away</v>
      </c>
      <c r="E220" s="3" t="str">
        <f ca="1">IFERROR(__xludf.DUMMYFUNCTION("""COMPUTED_VALUE"""),"Points")</f>
        <v>Points</v>
      </c>
      <c r="F220" s="3" t="str">
        <f ca="1">IFERROR(__xludf.DUMMYFUNCTION("""COMPUTED_VALUE"""),"")</f>
        <v/>
      </c>
      <c r="G220" s="3" t="str">
        <f ca="1">IFERROR(__xludf.DUMMYFUNCTION("""COMPUTED_VALUE"""),"School Totals")</f>
        <v>School Totals</v>
      </c>
      <c r="H220" s="3" t="str">
        <f ca="1">IFERROR(__xludf.DUMMYFUNCTION("""COMPUTED_VALUE"""),"")</f>
        <v/>
      </c>
      <c r="I220" s="3" t="str">
        <f ca="1">IFERROR(__xludf.DUMMYFUNCTION("""COMPUTED_VALUE"""),"")</f>
        <v/>
      </c>
      <c r="J220" s="3" t="str">
        <f ca="1">IFERROR(__xludf.DUMMYFUNCTION("""COMPUTED_VALUE"""),"")</f>
        <v/>
      </c>
      <c r="K220" s="3" t="str">
        <f ca="1">IFERROR(__xludf.DUMMYFUNCTION("""COMPUTED_VALUE"""),"")</f>
        <v/>
      </c>
      <c r="L220" s="3" t="str">
        <f ca="1">IFERROR(__xludf.DUMMYFUNCTION("""COMPUTED_VALUE"""),"")</f>
        <v/>
      </c>
      <c r="M220" s="3" t="str">
        <f ca="1">IFERROR(__xludf.DUMMYFUNCTION("""COMPUTED_VALUE"""),"")</f>
        <v/>
      </c>
      <c r="N220" s="3" t="str">
        <f ca="1">IFERROR(__xludf.DUMMYFUNCTION("""COMPUTED_VALUE"""),"")</f>
        <v/>
      </c>
      <c r="O220" s="3" t="str">
        <f ca="1">IFERROR(__xludf.DUMMYFUNCTION("""COMPUTED_VALUE"""),"")</f>
        <v/>
      </c>
      <c r="P220" s="3" t="str">
        <f ca="1">IFERROR(__xludf.DUMMYFUNCTION("""COMPUTED_VALUE"""),"")</f>
        <v/>
      </c>
      <c r="Q220" s="3" t="str">
        <f ca="1">IFERROR(__xludf.DUMMYFUNCTION("""COMPUTED_VALUE"""),"")</f>
        <v/>
      </c>
      <c r="R220" s="3" t="str">
        <f ca="1">IFERROR(__xludf.DUMMYFUNCTION("""COMPUTED_VALUE"""),"")</f>
        <v/>
      </c>
      <c r="S220" s="3" t="str">
        <f ca="1">IFERROR(__xludf.DUMMYFUNCTION("""COMPUTED_VALUE"""),"")</f>
        <v/>
      </c>
      <c r="T220" s="3" t="str">
        <f ca="1">IFERROR(__xludf.DUMMYFUNCTION("""COMPUTED_VALUE"""),"")</f>
        <v/>
      </c>
      <c r="U220" s="3" t="str">
        <f ca="1">IFERROR(__xludf.DUMMYFUNCTION("""COMPUTED_VALUE"""),"")</f>
        <v/>
      </c>
      <c r="V220" s="3" t="str">
        <f ca="1">IFERROR(__xludf.DUMMYFUNCTION("""COMPUTED_VALUE"""),"")</f>
        <v/>
      </c>
      <c r="W220" s="3" t="str">
        <f ca="1">IFERROR(__xludf.DUMMYFUNCTION("""COMPUTED_VALUE"""),"")</f>
        <v/>
      </c>
      <c r="X220" s="3" t="str">
        <f ca="1">IFERROR(__xludf.DUMMYFUNCTION("""COMPUTED_VALUE"""),"")</f>
        <v/>
      </c>
      <c r="Y220" s="3" t="str">
        <f ca="1">IFERROR(__xludf.DUMMYFUNCTION("""COMPUTED_VALUE"""),"")</f>
        <v/>
      </c>
      <c r="Z220" s="3" t="str">
        <f ca="1">IFERROR(__xludf.DUMMYFUNCTION("""COMPUTED_VALUE"""),"")</f>
        <v/>
      </c>
      <c r="AA220" s="3" t="str">
        <f ca="1">IFERROR(__xludf.DUMMYFUNCTION("""COMPUTED_VALUE"""),"")</f>
        <v/>
      </c>
      <c r="AB220" s="3" t="str">
        <f ca="1">IFERROR(__xludf.DUMMYFUNCTION("""COMPUTED_VALUE"""),"")</f>
        <v/>
      </c>
      <c r="AC220" s="3" t="str">
        <f ca="1">IFERROR(__xludf.DUMMYFUNCTION("""COMPUTED_VALUE"""),"")</f>
        <v/>
      </c>
      <c r="AD220" s="3" t="str">
        <f ca="1">IFERROR(__xludf.DUMMYFUNCTION("""COMPUTED_VALUE"""),"")</f>
        <v/>
      </c>
      <c r="AE220" s="3" t="str">
        <f ca="1">IFERROR(__xludf.DUMMYFUNCTION("""COMPUTED_VALUE"""),"")</f>
        <v/>
      </c>
      <c r="AF220" s="3" t="str">
        <f ca="1">IFERROR(__xludf.DUMMYFUNCTION("""COMPUTED_VALUE"""),"")</f>
        <v/>
      </c>
    </row>
    <row r="221" spans="1:32" x14ac:dyDescent="0.25">
      <c r="A221" s="3" t="str">
        <f ca="1">IFERROR(__xludf.DUMMYFUNCTION("""COMPUTED_VALUE"""),"School")</f>
        <v>School</v>
      </c>
      <c r="B221" s="3" t="str">
        <f ca="1">IFERROR(__xludf.DUMMYFUNCTION("""COMPUTED_VALUE"""),"G")</f>
        <v>G</v>
      </c>
      <c r="C221" s="3" t="str">
        <f ca="1">IFERROR(__xludf.DUMMYFUNCTION("""COMPUTED_VALUE"""),"W")</f>
        <v>W</v>
      </c>
      <c r="D221" s="3" t="str">
        <f ca="1">IFERROR(__xludf.DUMMYFUNCTION("""COMPUTED_VALUE"""),"L")</f>
        <v>L</v>
      </c>
      <c r="E221" s="3" t="str">
        <f ca="1">IFERROR(__xludf.DUMMYFUNCTION("""COMPUTED_VALUE"""),"W-L%")</f>
        <v>W-L%</v>
      </c>
      <c r="F221" s="3" t="str">
        <f ca="1">IFERROR(__xludf.DUMMYFUNCTION("""COMPUTED_VALUE"""),"SRS")</f>
        <v>SRS</v>
      </c>
      <c r="G221" s="3" t="str">
        <f ca="1">IFERROR(__xludf.DUMMYFUNCTION("""COMPUTED_VALUE"""),"SOS")</f>
        <v>SOS</v>
      </c>
      <c r="H221" s="3" t="str">
        <f ca="1">IFERROR(__xludf.DUMMYFUNCTION("""COMPUTED_VALUE"""),"W")</f>
        <v>W</v>
      </c>
      <c r="I221" s="3" t="str">
        <f ca="1">IFERROR(__xludf.DUMMYFUNCTION("""COMPUTED_VALUE"""),"L")</f>
        <v>L</v>
      </c>
      <c r="J221" s="3" t="str">
        <f ca="1">IFERROR(__xludf.DUMMYFUNCTION("""COMPUTED_VALUE"""),"W")</f>
        <v>W</v>
      </c>
      <c r="K221" s="3" t="str">
        <f ca="1">IFERROR(__xludf.DUMMYFUNCTION("""COMPUTED_VALUE"""),"L")</f>
        <v>L</v>
      </c>
      <c r="L221" s="3" t="str">
        <f ca="1">IFERROR(__xludf.DUMMYFUNCTION("""COMPUTED_VALUE"""),"W")</f>
        <v>W</v>
      </c>
      <c r="M221" s="3" t="str">
        <f ca="1">IFERROR(__xludf.DUMMYFUNCTION("""COMPUTED_VALUE"""),"L")</f>
        <v>L</v>
      </c>
      <c r="N221" s="3" t="str">
        <f ca="1">IFERROR(__xludf.DUMMYFUNCTION("""COMPUTED_VALUE"""),"Tm.")</f>
        <v>Tm.</v>
      </c>
      <c r="O221" s="3" t="str">
        <f ca="1">IFERROR(__xludf.DUMMYFUNCTION("""COMPUTED_VALUE"""),"Opp.")</f>
        <v>Opp.</v>
      </c>
      <c r="P221" s="3" t="str">
        <f ca="1">IFERROR(__xludf.DUMMYFUNCTION("""COMPUTED_VALUE"""),"MP")</f>
        <v>MP</v>
      </c>
      <c r="Q221" s="3" t="str">
        <f ca="1">IFERROR(__xludf.DUMMYFUNCTION("""COMPUTED_VALUE"""),"FG")</f>
        <v>FG</v>
      </c>
      <c r="R221" s="3" t="str">
        <f ca="1">IFERROR(__xludf.DUMMYFUNCTION("""COMPUTED_VALUE"""),"FGA")</f>
        <v>FGA</v>
      </c>
      <c r="S221" s="3" t="str">
        <f ca="1">IFERROR(__xludf.DUMMYFUNCTION("""COMPUTED_VALUE"""),"FG%")</f>
        <v>FG%</v>
      </c>
      <c r="T221" s="3" t="str">
        <f ca="1">IFERROR(__xludf.DUMMYFUNCTION("""COMPUTED_VALUE"""),"3P")</f>
        <v>3P</v>
      </c>
      <c r="U221" s="3" t="str">
        <f ca="1">IFERROR(__xludf.DUMMYFUNCTION("""COMPUTED_VALUE"""),"3PA")</f>
        <v>3PA</v>
      </c>
      <c r="V221" s="3" t="str">
        <f ca="1">IFERROR(__xludf.DUMMYFUNCTION("""COMPUTED_VALUE"""),"3P%")</f>
        <v>3P%</v>
      </c>
      <c r="W221" s="3" t="str">
        <f ca="1">IFERROR(__xludf.DUMMYFUNCTION("""COMPUTED_VALUE"""),"FT")</f>
        <v>FT</v>
      </c>
      <c r="X221" s="3" t="str">
        <f ca="1">IFERROR(__xludf.DUMMYFUNCTION("""COMPUTED_VALUE"""),"FTA")</f>
        <v>FTA</v>
      </c>
      <c r="Y221" s="3" t="str">
        <f ca="1">IFERROR(__xludf.DUMMYFUNCTION("""COMPUTED_VALUE"""),"FT%")</f>
        <v>FT%</v>
      </c>
      <c r="Z221" s="3" t="str">
        <f ca="1">IFERROR(__xludf.DUMMYFUNCTION("""COMPUTED_VALUE"""),"ORB")</f>
        <v>ORB</v>
      </c>
      <c r="AA221" s="3" t="str">
        <f ca="1">IFERROR(__xludf.DUMMYFUNCTION("""COMPUTED_VALUE"""),"TRB")</f>
        <v>TRB</v>
      </c>
      <c r="AB221" s="3" t="str">
        <f ca="1">IFERROR(__xludf.DUMMYFUNCTION("""COMPUTED_VALUE"""),"AST")</f>
        <v>AST</v>
      </c>
      <c r="AC221" s="3" t="str">
        <f ca="1">IFERROR(__xludf.DUMMYFUNCTION("""COMPUTED_VALUE"""),"STL")</f>
        <v>STL</v>
      </c>
      <c r="AD221" s="3" t="str">
        <f ca="1">IFERROR(__xludf.DUMMYFUNCTION("""COMPUTED_VALUE"""),"BLK")</f>
        <v>BLK</v>
      </c>
      <c r="AE221" s="3" t="str">
        <f ca="1">IFERROR(__xludf.DUMMYFUNCTION("""COMPUTED_VALUE"""),"TOV")</f>
        <v>TOV</v>
      </c>
      <c r="AF221" s="3" t="str">
        <f ca="1">IFERROR(__xludf.DUMMYFUNCTION("""COMPUTED_VALUE"""),"PF")</f>
        <v>PF</v>
      </c>
    </row>
    <row r="222" spans="1:32" x14ac:dyDescent="0.25">
      <c r="A222" s="3" t="str">
        <f ca="1">IFERROR(__xludf.DUMMYFUNCTION("""COMPUTED_VALUE"""),"New Hampshire")</f>
        <v>New Hampshire</v>
      </c>
      <c r="B222" s="3">
        <f ca="1">IFERROR(__xludf.DUMMYFUNCTION("""COMPUTED_VALUE"""),29)</f>
        <v>29</v>
      </c>
      <c r="C222" s="3">
        <f ca="1">IFERROR(__xludf.DUMMYFUNCTION("""COMPUTED_VALUE"""),5)</f>
        <v>5</v>
      </c>
      <c r="D222" s="3">
        <f ca="1">IFERROR(__xludf.DUMMYFUNCTION("""COMPUTED_VALUE"""),24)</f>
        <v>24</v>
      </c>
      <c r="E222" s="3">
        <f ca="1">IFERROR(__xludf.DUMMYFUNCTION("""COMPUTED_VALUE"""),0.172)</f>
        <v>0.17199999999999999</v>
      </c>
      <c r="F222" s="3">
        <f ca="1">IFERROR(__xludf.DUMMYFUNCTION("""COMPUTED_VALUE"""),-18.66)</f>
        <v>-18.66</v>
      </c>
      <c r="G222" s="3">
        <f ca="1">IFERROR(__xludf.DUMMYFUNCTION("""COMPUTED_VALUE"""),-6.03)</f>
        <v>-6.03</v>
      </c>
      <c r="H222" s="3">
        <f ca="1">IFERROR(__xludf.DUMMYFUNCTION("""COMPUTED_VALUE"""),3)</f>
        <v>3</v>
      </c>
      <c r="I222" s="3">
        <f ca="1">IFERROR(__xludf.DUMMYFUNCTION("""COMPUTED_VALUE"""),13)</f>
        <v>13</v>
      </c>
      <c r="J222" s="3">
        <f ca="1">IFERROR(__xludf.DUMMYFUNCTION("""COMPUTED_VALUE"""),4)</f>
        <v>4</v>
      </c>
      <c r="K222" s="3">
        <f ca="1">IFERROR(__xludf.DUMMYFUNCTION("""COMPUTED_VALUE"""),10)</f>
        <v>10</v>
      </c>
      <c r="L222" s="3">
        <f ca="1">IFERROR(__xludf.DUMMYFUNCTION("""COMPUTED_VALUE"""),1)</f>
        <v>1</v>
      </c>
      <c r="M222" s="3">
        <f ca="1">IFERROR(__xludf.DUMMYFUNCTION("""COMPUTED_VALUE"""),14)</f>
        <v>14</v>
      </c>
      <c r="N222" s="3">
        <f ca="1">IFERROR(__xludf.DUMMYFUNCTION("""COMPUTED_VALUE"""),1742)</f>
        <v>1742</v>
      </c>
      <c r="O222" s="3">
        <f ca="1">IFERROR(__xludf.DUMMYFUNCTION("""COMPUTED_VALUE"""),1990)</f>
        <v>1990</v>
      </c>
      <c r="P222" s="3">
        <f ca="1">IFERROR(__xludf.DUMMYFUNCTION("""COMPUTED_VALUE"""),1160)</f>
        <v>1160</v>
      </c>
      <c r="Q222" s="3">
        <f ca="1">IFERROR(__xludf.DUMMYFUNCTION("""COMPUTED_VALUE"""),623)</f>
        <v>623</v>
      </c>
      <c r="R222" s="3">
        <f ca="1">IFERROR(__xludf.DUMMYFUNCTION("""COMPUTED_VALUE"""),1656)</f>
        <v>1656</v>
      </c>
      <c r="S222" s="3">
        <f ca="1">IFERROR(__xludf.DUMMYFUNCTION("""COMPUTED_VALUE"""),0.376)</f>
        <v>0.376</v>
      </c>
      <c r="T222" s="3">
        <f ca="1">IFERROR(__xludf.DUMMYFUNCTION("""COMPUTED_VALUE"""),261)</f>
        <v>261</v>
      </c>
      <c r="U222" s="3">
        <f ca="1">IFERROR(__xludf.DUMMYFUNCTION("""COMPUTED_VALUE"""),787)</f>
        <v>787</v>
      </c>
      <c r="V222" s="3">
        <f ca="1">IFERROR(__xludf.DUMMYFUNCTION("""COMPUTED_VALUE"""),0.332)</f>
        <v>0.33200000000000002</v>
      </c>
      <c r="W222" s="3">
        <f ca="1">IFERROR(__xludf.DUMMYFUNCTION("""COMPUTED_VALUE"""),235)</f>
        <v>235</v>
      </c>
      <c r="X222" s="3">
        <f ca="1">IFERROR(__xludf.DUMMYFUNCTION("""COMPUTED_VALUE"""),385)</f>
        <v>385</v>
      </c>
      <c r="Y222" s="3">
        <f ca="1">IFERROR(__xludf.DUMMYFUNCTION("""COMPUTED_VALUE"""),0.61)</f>
        <v>0.61</v>
      </c>
      <c r="Z222" s="3">
        <f ca="1">IFERROR(__xludf.DUMMYFUNCTION("""COMPUTED_VALUE"""),260)</f>
        <v>260</v>
      </c>
      <c r="AA222" s="3">
        <f ca="1">IFERROR(__xludf.DUMMYFUNCTION("""COMPUTED_VALUE"""),986)</f>
        <v>986</v>
      </c>
      <c r="AB222" s="3">
        <f ca="1">IFERROR(__xludf.DUMMYFUNCTION("""COMPUTED_VALUE"""),325)</f>
        <v>325</v>
      </c>
      <c r="AC222" s="3">
        <f ca="1">IFERROR(__xludf.DUMMYFUNCTION("""COMPUTED_VALUE"""),116)</f>
        <v>116</v>
      </c>
      <c r="AD222" s="3">
        <f ca="1">IFERROR(__xludf.DUMMYFUNCTION("""COMPUTED_VALUE"""),53)</f>
        <v>53</v>
      </c>
      <c r="AE222" s="3">
        <f ca="1">IFERROR(__xludf.DUMMYFUNCTION("""COMPUTED_VALUE"""),356)</f>
        <v>356</v>
      </c>
      <c r="AF222" s="3">
        <f ca="1">IFERROR(__xludf.DUMMYFUNCTION("""COMPUTED_VALUE"""),533)</f>
        <v>533</v>
      </c>
    </row>
    <row r="223" spans="1:32" x14ac:dyDescent="0.25">
      <c r="A223" s="3" t="str">
        <f ca="1">IFERROR(__xludf.DUMMYFUNCTION("""COMPUTED_VALUE"""),"New Mexico StateNCAA")</f>
        <v>New Mexico StateNCAA</v>
      </c>
      <c r="B223" s="3">
        <f ca="1">IFERROR(__xludf.DUMMYFUNCTION("""COMPUTED_VALUE"""),35)</f>
        <v>35</v>
      </c>
      <c r="C223" s="3">
        <f ca="1">IFERROR(__xludf.DUMMYFUNCTION("""COMPUTED_VALUE"""),30)</f>
        <v>30</v>
      </c>
      <c r="D223" s="3">
        <f ca="1">IFERROR(__xludf.DUMMYFUNCTION("""COMPUTED_VALUE"""),5)</f>
        <v>5</v>
      </c>
      <c r="E223" s="3">
        <f ca="1">IFERROR(__xludf.DUMMYFUNCTION("""COMPUTED_VALUE"""),0.857)</f>
        <v>0.85699999999999998</v>
      </c>
      <c r="F223" s="3">
        <f ca="1">IFERROR(__xludf.DUMMYFUNCTION("""COMPUTED_VALUE"""),10.05)</f>
        <v>10.050000000000001</v>
      </c>
      <c r="G223" s="3">
        <f ca="1">IFERROR(__xludf.DUMMYFUNCTION("""COMPUTED_VALUE"""),-2.38)</f>
        <v>-2.38</v>
      </c>
      <c r="H223" s="3">
        <f ca="1">IFERROR(__xludf.DUMMYFUNCTION("""COMPUTED_VALUE"""),15)</f>
        <v>15</v>
      </c>
      <c r="I223" s="3">
        <f ca="1">IFERROR(__xludf.DUMMYFUNCTION("""COMPUTED_VALUE"""),1)</f>
        <v>1</v>
      </c>
      <c r="J223" s="3">
        <f ca="1">IFERROR(__xludf.DUMMYFUNCTION("""COMPUTED_VALUE"""),16)</f>
        <v>16</v>
      </c>
      <c r="K223" s="3">
        <f ca="1">IFERROR(__xludf.DUMMYFUNCTION("""COMPUTED_VALUE"""),1)</f>
        <v>1</v>
      </c>
      <c r="L223" s="3">
        <f ca="1">IFERROR(__xludf.DUMMYFUNCTION("""COMPUTED_VALUE"""),10)</f>
        <v>10</v>
      </c>
      <c r="M223" s="3">
        <f ca="1">IFERROR(__xludf.DUMMYFUNCTION("""COMPUTED_VALUE"""),1)</f>
        <v>1</v>
      </c>
      <c r="N223" s="3">
        <f ca="1">IFERROR(__xludf.DUMMYFUNCTION("""COMPUTED_VALUE"""),2734)</f>
        <v>2734</v>
      </c>
      <c r="O223" s="3">
        <f ca="1">IFERROR(__xludf.DUMMYFUNCTION("""COMPUTED_VALUE"""),2259)</f>
        <v>2259</v>
      </c>
      <c r="P223" s="3">
        <f ca="1">IFERROR(__xludf.DUMMYFUNCTION("""COMPUTED_VALUE"""),1405)</f>
        <v>1405</v>
      </c>
      <c r="Q223" s="3">
        <f ca="1">IFERROR(__xludf.DUMMYFUNCTION("""COMPUTED_VALUE"""),962)</f>
        <v>962</v>
      </c>
      <c r="R223" s="3">
        <f ca="1">IFERROR(__xludf.DUMMYFUNCTION("""COMPUTED_VALUE"""),2092)</f>
        <v>2092</v>
      </c>
      <c r="S223" s="3">
        <f ca="1">IFERROR(__xludf.DUMMYFUNCTION("""COMPUTED_VALUE"""),0.46)</f>
        <v>0.46</v>
      </c>
      <c r="T223" s="3">
        <f ca="1">IFERROR(__xludf.DUMMYFUNCTION("""COMPUTED_VALUE"""),326)</f>
        <v>326</v>
      </c>
      <c r="U223" s="3">
        <f ca="1">IFERROR(__xludf.DUMMYFUNCTION("""COMPUTED_VALUE"""),977)</f>
        <v>977</v>
      </c>
      <c r="V223" s="3">
        <f ca="1">IFERROR(__xludf.DUMMYFUNCTION("""COMPUTED_VALUE"""),0.334)</f>
        <v>0.33400000000000002</v>
      </c>
      <c r="W223" s="3">
        <f ca="1">IFERROR(__xludf.DUMMYFUNCTION("""COMPUTED_VALUE"""),484)</f>
        <v>484</v>
      </c>
      <c r="X223" s="3">
        <f ca="1">IFERROR(__xludf.DUMMYFUNCTION("""COMPUTED_VALUE"""),714)</f>
        <v>714</v>
      </c>
      <c r="Y223" s="3">
        <f ca="1">IFERROR(__xludf.DUMMYFUNCTION("""COMPUTED_VALUE"""),0.678)</f>
        <v>0.67800000000000005</v>
      </c>
      <c r="Z223" s="3">
        <f ca="1">IFERROR(__xludf.DUMMYFUNCTION("""COMPUTED_VALUE"""),445)</f>
        <v>445</v>
      </c>
      <c r="AA223" s="3">
        <f ca="1">IFERROR(__xludf.DUMMYFUNCTION("""COMPUTED_VALUE"""),1343)</f>
        <v>1343</v>
      </c>
      <c r="AB223" s="3">
        <f ca="1">IFERROR(__xludf.DUMMYFUNCTION("""COMPUTED_VALUE"""),514)</f>
        <v>514</v>
      </c>
      <c r="AC223" s="3">
        <f ca="1">IFERROR(__xludf.DUMMYFUNCTION("""COMPUTED_VALUE"""),197)</f>
        <v>197</v>
      </c>
      <c r="AD223" s="3">
        <f ca="1">IFERROR(__xludf.DUMMYFUNCTION("""COMPUTED_VALUE"""),91)</f>
        <v>91</v>
      </c>
      <c r="AE223" s="3">
        <f ca="1">IFERROR(__xludf.DUMMYFUNCTION("""COMPUTED_VALUE"""),419)</f>
        <v>419</v>
      </c>
      <c r="AF223" s="3">
        <f ca="1">IFERROR(__xludf.DUMMYFUNCTION("""COMPUTED_VALUE"""),632)</f>
        <v>632</v>
      </c>
    </row>
    <row r="224" spans="1:32" x14ac:dyDescent="0.25">
      <c r="A224" s="3" t="str">
        <f ca="1">IFERROR(__xludf.DUMMYFUNCTION("""COMPUTED_VALUE"""),"New Mexico")</f>
        <v>New Mexico</v>
      </c>
      <c r="B224" s="3">
        <f ca="1">IFERROR(__xludf.DUMMYFUNCTION("""COMPUTED_VALUE"""),32)</f>
        <v>32</v>
      </c>
      <c r="C224" s="3">
        <f ca="1">IFERROR(__xludf.DUMMYFUNCTION("""COMPUTED_VALUE"""),14)</f>
        <v>14</v>
      </c>
      <c r="D224" s="3">
        <f ca="1">IFERROR(__xludf.DUMMYFUNCTION("""COMPUTED_VALUE"""),18)</f>
        <v>18</v>
      </c>
      <c r="E224" s="3">
        <f ca="1">IFERROR(__xludf.DUMMYFUNCTION("""COMPUTED_VALUE"""),0.438)</f>
        <v>0.438</v>
      </c>
      <c r="F224" s="3">
        <f ca="1">IFERROR(__xludf.DUMMYFUNCTION("""COMPUTED_VALUE"""),-0.55)</f>
        <v>-0.55000000000000004</v>
      </c>
      <c r="G224" s="3">
        <f ca="1">IFERROR(__xludf.DUMMYFUNCTION("""COMPUTED_VALUE"""),1.61)</f>
        <v>1.61</v>
      </c>
      <c r="H224" s="3">
        <f ca="1">IFERROR(__xludf.DUMMYFUNCTION("""COMPUTED_VALUE"""),7)</f>
        <v>7</v>
      </c>
      <c r="I224" s="3">
        <f ca="1">IFERROR(__xludf.DUMMYFUNCTION("""COMPUTED_VALUE"""),11)</f>
        <v>11</v>
      </c>
      <c r="J224" s="3">
        <f ca="1">IFERROR(__xludf.DUMMYFUNCTION("""COMPUTED_VALUE"""),9)</f>
        <v>9</v>
      </c>
      <c r="K224" s="3">
        <f ca="1">IFERROR(__xludf.DUMMYFUNCTION("""COMPUTED_VALUE"""),7)</f>
        <v>7</v>
      </c>
      <c r="L224" s="3">
        <f ca="1">IFERROR(__xludf.DUMMYFUNCTION("""COMPUTED_VALUE"""),4)</f>
        <v>4</v>
      </c>
      <c r="M224" s="3">
        <f ca="1">IFERROR(__xludf.DUMMYFUNCTION("""COMPUTED_VALUE"""),9)</f>
        <v>9</v>
      </c>
      <c r="N224" s="3">
        <f ca="1">IFERROR(__xludf.DUMMYFUNCTION("""COMPUTED_VALUE"""),2443)</f>
        <v>2443</v>
      </c>
      <c r="O224" s="3">
        <f ca="1">IFERROR(__xludf.DUMMYFUNCTION("""COMPUTED_VALUE"""),2454)</f>
        <v>2454</v>
      </c>
      <c r="P224" s="3">
        <f ca="1">IFERROR(__xludf.DUMMYFUNCTION("""COMPUTED_VALUE"""),1280)</f>
        <v>1280</v>
      </c>
      <c r="Q224" s="3">
        <f ca="1">IFERROR(__xludf.DUMMYFUNCTION("""COMPUTED_VALUE"""),814)</f>
        <v>814</v>
      </c>
      <c r="R224" s="3">
        <f ca="1">IFERROR(__xludf.DUMMYFUNCTION("""COMPUTED_VALUE"""),1927)</f>
        <v>1927</v>
      </c>
      <c r="S224" s="3">
        <f ca="1">IFERROR(__xludf.DUMMYFUNCTION("""COMPUTED_VALUE"""),0.422)</f>
        <v>0.42199999999999999</v>
      </c>
      <c r="T224" s="3">
        <f ca="1">IFERROR(__xludf.DUMMYFUNCTION("""COMPUTED_VALUE"""),292)</f>
        <v>292</v>
      </c>
      <c r="U224" s="3">
        <f ca="1">IFERROR(__xludf.DUMMYFUNCTION("""COMPUTED_VALUE"""),844)</f>
        <v>844</v>
      </c>
      <c r="V224" s="3">
        <f ca="1">IFERROR(__xludf.DUMMYFUNCTION("""COMPUTED_VALUE"""),0.346)</f>
        <v>0.34599999999999997</v>
      </c>
      <c r="W224" s="3">
        <f ca="1">IFERROR(__xludf.DUMMYFUNCTION("""COMPUTED_VALUE"""),523)</f>
        <v>523</v>
      </c>
      <c r="X224" s="3">
        <f ca="1">IFERROR(__xludf.DUMMYFUNCTION("""COMPUTED_VALUE"""),745)</f>
        <v>745</v>
      </c>
      <c r="Y224" s="3">
        <f ca="1">IFERROR(__xludf.DUMMYFUNCTION("""COMPUTED_VALUE"""),0.702)</f>
        <v>0.70199999999999996</v>
      </c>
      <c r="Z224" s="3">
        <f ca="1">IFERROR(__xludf.DUMMYFUNCTION("""COMPUTED_VALUE"""),351)</f>
        <v>351</v>
      </c>
      <c r="AA224" s="3">
        <f ca="1">IFERROR(__xludf.DUMMYFUNCTION("""COMPUTED_VALUE"""),1199)</f>
        <v>1199</v>
      </c>
      <c r="AB224" s="3">
        <f ca="1">IFERROR(__xludf.DUMMYFUNCTION("""COMPUTED_VALUE"""),446)</f>
        <v>446</v>
      </c>
      <c r="AC224" s="3">
        <f ca="1">IFERROR(__xludf.DUMMYFUNCTION("""COMPUTED_VALUE"""),220)</f>
        <v>220</v>
      </c>
      <c r="AD224" s="3">
        <f ca="1">IFERROR(__xludf.DUMMYFUNCTION("""COMPUTED_VALUE"""),107)</f>
        <v>107</v>
      </c>
      <c r="AE224" s="3">
        <f ca="1">IFERROR(__xludf.DUMMYFUNCTION("""COMPUTED_VALUE"""),455)</f>
        <v>455</v>
      </c>
      <c r="AF224" s="3">
        <f ca="1">IFERROR(__xludf.DUMMYFUNCTION("""COMPUTED_VALUE"""),627)</f>
        <v>627</v>
      </c>
    </row>
    <row r="225" spans="1:32" x14ac:dyDescent="0.25">
      <c r="A225" s="3" t="str">
        <f ca="1">IFERROR(__xludf.DUMMYFUNCTION("""COMPUTED_VALUE"""),"New Orleans")</f>
        <v>New Orleans</v>
      </c>
      <c r="B225" s="3">
        <f ca="1">IFERROR(__xludf.DUMMYFUNCTION("""COMPUTED_VALUE"""),33)</f>
        <v>33</v>
      </c>
      <c r="C225" s="3">
        <f ca="1">IFERROR(__xludf.DUMMYFUNCTION("""COMPUTED_VALUE"""),19)</f>
        <v>19</v>
      </c>
      <c r="D225" s="3">
        <f ca="1">IFERROR(__xludf.DUMMYFUNCTION("""COMPUTED_VALUE"""),14)</f>
        <v>14</v>
      </c>
      <c r="E225" s="3">
        <f ca="1">IFERROR(__xludf.DUMMYFUNCTION("""COMPUTED_VALUE"""),0.576)</f>
        <v>0.57599999999999996</v>
      </c>
      <c r="F225" s="3">
        <f ca="1">IFERROR(__xludf.DUMMYFUNCTION("""COMPUTED_VALUE"""),-8.88)</f>
        <v>-8.8800000000000008</v>
      </c>
      <c r="G225" s="3">
        <f ca="1">IFERROR(__xludf.DUMMYFUNCTION("""COMPUTED_VALUE"""),-6.47)</f>
        <v>-6.47</v>
      </c>
      <c r="H225" s="3">
        <f ca="1">IFERROR(__xludf.DUMMYFUNCTION("""COMPUTED_VALUE"""),12)</f>
        <v>12</v>
      </c>
      <c r="I225" s="3">
        <f ca="1">IFERROR(__xludf.DUMMYFUNCTION("""COMPUTED_VALUE"""),6)</f>
        <v>6</v>
      </c>
      <c r="J225" s="3">
        <f ca="1">IFERROR(__xludf.DUMMYFUNCTION("""COMPUTED_VALUE"""),12)</f>
        <v>12</v>
      </c>
      <c r="K225" s="3">
        <f ca="1">IFERROR(__xludf.DUMMYFUNCTION("""COMPUTED_VALUE"""),4)</f>
        <v>4</v>
      </c>
      <c r="L225" s="3">
        <f ca="1">IFERROR(__xludf.DUMMYFUNCTION("""COMPUTED_VALUE"""),5)</f>
        <v>5</v>
      </c>
      <c r="M225" s="3">
        <f ca="1">IFERROR(__xludf.DUMMYFUNCTION("""COMPUTED_VALUE"""),9)</f>
        <v>9</v>
      </c>
      <c r="N225" s="3">
        <f ca="1">IFERROR(__xludf.DUMMYFUNCTION("""COMPUTED_VALUE"""),2384)</f>
        <v>2384</v>
      </c>
      <c r="O225" s="3">
        <f ca="1">IFERROR(__xludf.DUMMYFUNCTION("""COMPUTED_VALUE"""),2325)</f>
        <v>2325</v>
      </c>
      <c r="P225" s="3">
        <f ca="1">IFERROR(__xludf.DUMMYFUNCTION("""COMPUTED_VALUE"""),1345)</f>
        <v>1345</v>
      </c>
      <c r="Q225" s="3">
        <f ca="1">IFERROR(__xludf.DUMMYFUNCTION("""COMPUTED_VALUE"""),862)</f>
        <v>862</v>
      </c>
      <c r="R225" s="3">
        <f ca="1">IFERROR(__xludf.DUMMYFUNCTION("""COMPUTED_VALUE"""),1941)</f>
        <v>1941</v>
      </c>
      <c r="S225" s="3">
        <f ca="1">IFERROR(__xludf.DUMMYFUNCTION("""COMPUTED_VALUE"""),0.444)</f>
        <v>0.44400000000000001</v>
      </c>
      <c r="T225" s="3">
        <f ca="1">IFERROR(__xludf.DUMMYFUNCTION("""COMPUTED_VALUE"""),189)</f>
        <v>189</v>
      </c>
      <c r="U225" s="3">
        <f ca="1">IFERROR(__xludf.DUMMYFUNCTION("""COMPUTED_VALUE"""),566)</f>
        <v>566</v>
      </c>
      <c r="V225" s="3">
        <f ca="1">IFERROR(__xludf.DUMMYFUNCTION("""COMPUTED_VALUE"""),0.334)</f>
        <v>0.33400000000000002</v>
      </c>
      <c r="W225" s="3">
        <f ca="1">IFERROR(__xludf.DUMMYFUNCTION("""COMPUTED_VALUE"""),471)</f>
        <v>471</v>
      </c>
      <c r="X225" s="3">
        <f ca="1">IFERROR(__xludf.DUMMYFUNCTION("""COMPUTED_VALUE"""),681)</f>
        <v>681</v>
      </c>
      <c r="Y225" s="3">
        <f ca="1">IFERROR(__xludf.DUMMYFUNCTION("""COMPUTED_VALUE"""),0.692)</f>
        <v>0.69199999999999995</v>
      </c>
      <c r="Z225" s="3">
        <f ca="1">IFERROR(__xludf.DUMMYFUNCTION("""COMPUTED_VALUE"""),393)</f>
        <v>393</v>
      </c>
      <c r="AA225" s="3">
        <f ca="1">IFERROR(__xludf.DUMMYFUNCTION("""COMPUTED_VALUE"""),1166)</f>
        <v>1166</v>
      </c>
      <c r="AB225" s="3">
        <f ca="1">IFERROR(__xludf.DUMMYFUNCTION("""COMPUTED_VALUE"""),497)</f>
        <v>497</v>
      </c>
      <c r="AC225" s="3">
        <f ca="1">IFERROR(__xludf.DUMMYFUNCTION("""COMPUTED_VALUE"""),285)</f>
        <v>285</v>
      </c>
      <c r="AD225" s="3">
        <f ca="1">IFERROR(__xludf.DUMMYFUNCTION("""COMPUTED_VALUE"""),134)</f>
        <v>134</v>
      </c>
      <c r="AE225" s="3">
        <f ca="1">IFERROR(__xludf.DUMMYFUNCTION("""COMPUTED_VALUE"""),517)</f>
        <v>517</v>
      </c>
      <c r="AF225" s="3">
        <f ca="1">IFERROR(__xludf.DUMMYFUNCTION("""COMPUTED_VALUE"""),631)</f>
        <v>631</v>
      </c>
    </row>
    <row r="226" spans="1:32" x14ac:dyDescent="0.25">
      <c r="A226" s="3" t="str">
        <f ca="1">IFERROR(__xludf.DUMMYFUNCTION("""COMPUTED_VALUE"""),"Niagara")</f>
        <v>Niagara</v>
      </c>
      <c r="B226" s="3">
        <f ca="1">IFERROR(__xludf.DUMMYFUNCTION("""COMPUTED_VALUE"""),32)</f>
        <v>32</v>
      </c>
      <c r="C226" s="3">
        <f ca="1">IFERROR(__xludf.DUMMYFUNCTION("""COMPUTED_VALUE"""),13)</f>
        <v>13</v>
      </c>
      <c r="D226" s="3">
        <f ca="1">IFERROR(__xludf.DUMMYFUNCTION("""COMPUTED_VALUE"""),19)</f>
        <v>19</v>
      </c>
      <c r="E226" s="3">
        <f ca="1">IFERROR(__xludf.DUMMYFUNCTION("""COMPUTED_VALUE"""),0.406)</f>
        <v>0.40600000000000003</v>
      </c>
      <c r="F226" s="3">
        <f ca="1">IFERROR(__xludf.DUMMYFUNCTION("""COMPUTED_VALUE"""),-11.33)</f>
        <v>-11.33</v>
      </c>
      <c r="G226" s="3">
        <f ca="1">IFERROR(__xludf.DUMMYFUNCTION("""COMPUTED_VALUE"""),-7.77)</f>
        <v>-7.77</v>
      </c>
      <c r="H226" s="3">
        <f ca="1">IFERROR(__xludf.DUMMYFUNCTION("""COMPUTED_VALUE"""),6)</f>
        <v>6</v>
      </c>
      <c r="I226" s="3">
        <f ca="1">IFERROR(__xludf.DUMMYFUNCTION("""COMPUTED_VALUE"""),12)</f>
        <v>12</v>
      </c>
      <c r="J226" s="3">
        <f ca="1">IFERROR(__xludf.DUMMYFUNCTION("""COMPUTED_VALUE"""),8)</f>
        <v>8</v>
      </c>
      <c r="K226" s="3">
        <f ca="1">IFERROR(__xludf.DUMMYFUNCTION("""COMPUTED_VALUE"""),8)</f>
        <v>8</v>
      </c>
      <c r="L226" s="3">
        <f ca="1">IFERROR(__xludf.DUMMYFUNCTION("""COMPUTED_VALUE"""),5)</f>
        <v>5</v>
      </c>
      <c r="M226" s="3">
        <f ca="1">IFERROR(__xludf.DUMMYFUNCTION("""COMPUTED_VALUE"""),10)</f>
        <v>10</v>
      </c>
      <c r="N226" s="3">
        <f ca="1">IFERROR(__xludf.DUMMYFUNCTION("""COMPUTED_VALUE"""),2318)</f>
        <v>2318</v>
      </c>
      <c r="O226" s="3">
        <f ca="1">IFERROR(__xludf.DUMMYFUNCTION("""COMPUTED_VALUE"""),2432)</f>
        <v>2432</v>
      </c>
      <c r="P226" s="3">
        <f ca="1">IFERROR(__xludf.DUMMYFUNCTION("""COMPUTED_VALUE"""),1285)</f>
        <v>1285</v>
      </c>
      <c r="Q226" s="3">
        <f ca="1">IFERROR(__xludf.DUMMYFUNCTION("""COMPUTED_VALUE"""),795)</f>
        <v>795</v>
      </c>
      <c r="R226" s="3">
        <f ca="1">IFERROR(__xludf.DUMMYFUNCTION("""COMPUTED_VALUE"""),1887)</f>
        <v>1887</v>
      </c>
      <c r="S226" s="3">
        <f ca="1">IFERROR(__xludf.DUMMYFUNCTION("""COMPUTED_VALUE"""),0.421)</f>
        <v>0.42099999999999999</v>
      </c>
      <c r="T226" s="3">
        <f ca="1">IFERROR(__xludf.DUMMYFUNCTION("""COMPUTED_VALUE"""),265)</f>
        <v>265</v>
      </c>
      <c r="U226" s="3">
        <f ca="1">IFERROR(__xludf.DUMMYFUNCTION("""COMPUTED_VALUE"""),738)</f>
        <v>738</v>
      </c>
      <c r="V226" s="3">
        <f ca="1">IFERROR(__xludf.DUMMYFUNCTION("""COMPUTED_VALUE"""),0.359)</f>
        <v>0.35899999999999999</v>
      </c>
      <c r="W226" s="3">
        <f ca="1">IFERROR(__xludf.DUMMYFUNCTION("""COMPUTED_VALUE"""),463)</f>
        <v>463</v>
      </c>
      <c r="X226" s="3">
        <f ca="1">IFERROR(__xludf.DUMMYFUNCTION("""COMPUTED_VALUE"""),629)</f>
        <v>629</v>
      </c>
      <c r="Y226" s="3">
        <f ca="1">IFERROR(__xludf.DUMMYFUNCTION("""COMPUTED_VALUE"""),0.736)</f>
        <v>0.73599999999999999</v>
      </c>
      <c r="Z226" s="3">
        <f ca="1">IFERROR(__xludf.DUMMYFUNCTION("""COMPUTED_VALUE"""),315)</f>
        <v>315</v>
      </c>
      <c r="AA226" s="3">
        <f ca="1">IFERROR(__xludf.DUMMYFUNCTION("""COMPUTED_VALUE"""),1143)</f>
        <v>1143</v>
      </c>
      <c r="AB226" s="3">
        <f ca="1">IFERROR(__xludf.DUMMYFUNCTION("""COMPUTED_VALUE"""),343)</f>
        <v>343</v>
      </c>
      <c r="AC226" s="3">
        <f ca="1">IFERROR(__xludf.DUMMYFUNCTION("""COMPUTED_VALUE"""),128)</f>
        <v>128</v>
      </c>
      <c r="AD226" s="3">
        <f ca="1">IFERROR(__xludf.DUMMYFUNCTION("""COMPUTED_VALUE"""),127)</f>
        <v>127</v>
      </c>
      <c r="AE226" s="3">
        <f ca="1">IFERROR(__xludf.DUMMYFUNCTION("""COMPUTED_VALUE"""),390)</f>
        <v>390</v>
      </c>
      <c r="AF226" s="3">
        <f ca="1">IFERROR(__xludf.DUMMYFUNCTION("""COMPUTED_VALUE"""),511)</f>
        <v>511</v>
      </c>
    </row>
    <row r="227" spans="1:32" x14ac:dyDescent="0.25">
      <c r="A227" s="3" t="str">
        <f ca="1">IFERROR(__xludf.DUMMYFUNCTION("""COMPUTED_VALUE"""),"Nicholls State")</f>
        <v>Nicholls State</v>
      </c>
      <c r="B227" s="3">
        <f ca="1">IFERROR(__xludf.DUMMYFUNCTION("""COMPUTED_VALUE"""),31)</f>
        <v>31</v>
      </c>
      <c r="C227" s="3">
        <f ca="1">IFERROR(__xludf.DUMMYFUNCTION("""COMPUTED_VALUE"""),14)</f>
        <v>14</v>
      </c>
      <c r="D227" s="3">
        <f ca="1">IFERROR(__xludf.DUMMYFUNCTION("""COMPUTED_VALUE"""),17)</f>
        <v>17</v>
      </c>
      <c r="E227" s="3">
        <f ca="1">IFERROR(__xludf.DUMMYFUNCTION("""COMPUTED_VALUE"""),0.452)</f>
        <v>0.45200000000000001</v>
      </c>
      <c r="F227" s="3">
        <f ca="1">IFERROR(__xludf.DUMMYFUNCTION("""COMPUTED_VALUE"""),-11.87)</f>
        <v>-11.87</v>
      </c>
      <c r="G227" s="3">
        <f ca="1">IFERROR(__xludf.DUMMYFUNCTION("""COMPUTED_VALUE"""),-6.98)</f>
        <v>-6.98</v>
      </c>
      <c r="H227" s="3">
        <f ca="1">IFERROR(__xludf.DUMMYFUNCTION("""COMPUTED_VALUE"""),7)</f>
        <v>7</v>
      </c>
      <c r="I227" s="3">
        <f ca="1">IFERROR(__xludf.DUMMYFUNCTION("""COMPUTED_VALUE"""),11)</f>
        <v>11</v>
      </c>
      <c r="J227" s="3">
        <f ca="1">IFERROR(__xludf.DUMMYFUNCTION("""COMPUTED_VALUE"""),9)</f>
        <v>9</v>
      </c>
      <c r="K227" s="3">
        <f ca="1">IFERROR(__xludf.DUMMYFUNCTION("""COMPUTED_VALUE"""),4)</f>
        <v>4</v>
      </c>
      <c r="L227" s="3">
        <f ca="1">IFERROR(__xludf.DUMMYFUNCTION("""COMPUTED_VALUE"""),3)</f>
        <v>3</v>
      </c>
      <c r="M227" s="3">
        <f ca="1">IFERROR(__xludf.DUMMYFUNCTION("""COMPUTED_VALUE"""),13)</f>
        <v>13</v>
      </c>
      <c r="N227" s="3">
        <f ca="1">IFERROR(__xludf.DUMMYFUNCTION("""COMPUTED_VALUE"""),2260)</f>
        <v>2260</v>
      </c>
      <c r="O227" s="3">
        <f ca="1">IFERROR(__xludf.DUMMYFUNCTION("""COMPUTED_VALUE"""),2302)</f>
        <v>2302</v>
      </c>
      <c r="P227" s="3">
        <f ca="1">IFERROR(__xludf.DUMMYFUNCTION("""COMPUTED_VALUE"""),1250)</f>
        <v>1250</v>
      </c>
      <c r="Q227" s="3">
        <f ca="1">IFERROR(__xludf.DUMMYFUNCTION("""COMPUTED_VALUE"""),807)</f>
        <v>807</v>
      </c>
      <c r="R227" s="3">
        <f ca="1">IFERROR(__xludf.DUMMYFUNCTION("""COMPUTED_VALUE"""),1914)</f>
        <v>1914</v>
      </c>
      <c r="S227" s="3">
        <f ca="1">IFERROR(__xludf.DUMMYFUNCTION("""COMPUTED_VALUE"""),0.422)</f>
        <v>0.42199999999999999</v>
      </c>
      <c r="T227" s="3">
        <f ca="1">IFERROR(__xludf.DUMMYFUNCTION("""COMPUTED_VALUE"""),324)</f>
        <v>324</v>
      </c>
      <c r="U227" s="3">
        <f ca="1">IFERROR(__xludf.DUMMYFUNCTION("""COMPUTED_VALUE"""),883)</f>
        <v>883</v>
      </c>
      <c r="V227" s="3">
        <f ca="1">IFERROR(__xludf.DUMMYFUNCTION("""COMPUTED_VALUE"""),0.367)</f>
        <v>0.36699999999999999</v>
      </c>
      <c r="W227" s="3">
        <f ca="1">IFERROR(__xludf.DUMMYFUNCTION("""COMPUTED_VALUE"""),322)</f>
        <v>322</v>
      </c>
      <c r="X227" s="3">
        <f ca="1">IFERROR(__xludf.DUMMYFUNCTION("""COMPUTED_VALUE"""),418)</f>
        <v>418</v>
      </c>
      <c r="Y227" s="3">
        <f ca="1">IFERROR(__xludf.DUMMYFUNCTION("""COMPUTED_VALUE"""),0.77)</f>
        <v>0.77</v>
      </c>
      <c r="Z227" s="3">
        <f ca="1">IFERROR(__xludf.DUMMYFUNCTION("""COMPUTED_VALUE"""),280)</f>
        <v>280</v>
      </c>
      <c r="AA227" s="3">
        <f ca="1">IFERROR(__xludf.DUMMYFUNCTION("""COMPUTED_VALUE"""),1041)</f>
        <v>1041</v>
      </c>
      <c r="AB227" s="3">
        <f ca="1">IFERROR(__xludf.DUMMYFUNCTION("""COMPUTED_VALUE"""),428)</f>
        <v>428</v>
      </c>
      <c r="AC227" s="3">
        <f ca="1">IFERROR(__xludf.DUMMYFUNCTION("""COMPUTED_VALUE"""),208)</f>
        <v>208</v>
      </c>
      <c r="AD227" s="3">
        <f ca="1">IFERROR(__xludf.DUMMYFUNCTION("""COMPUTED_VALUE"""),128)</f>
        <v>128</v>
      </c>
      <c r="AE227" s="3">
        <f ca="1">IFERROR(__xludf.DUMMYFUNCTION("""COMPUTED_VALUE"""),386)</f>
        <v>386</v>
      </c>
      <c r="AF227" s="3">
        <f ca="1">IFERROR(__xludf.DUMMYFUNCTION("""COMPUTED_VALUE"""),587)</f>
        <v>587</v>
      </c>
    </row>
    <row r="228" spans="1:32" x14ac:dyDescent="0.25">
      <c r="A228" s="3" t="str">
        <f ca="1">IFERROR(__xludf.DUMMYFUNCTION("""COMPUTED_VALUE"""),"NJIT")</f>
        <v>NJIT</v>
      </c>
      <c r="B228" s="3">
        <f ca="1">IFERROR(__xludf.DUMMYFUNCTION("""COMPUTED_VALUE"""),35)</f>
        <v>35</v>
      </c>
      <c r="C228" s="3">
        <f ca="1">IFERROR(__xludf.DUMMYFUNCTION("""COMPUTED_VALUE"""),22)</f>
        <v>22</v>
      </c>
      <c r="D228" s="3">
        <f ca="1">IFERROR(__xludf.DUMMYFUNCTION("""COMPUTED_VALUE"""),13)</f>
        <v>13</v>
      </c>
      <c r="E228" s="3">
        <f ca="1">IFERROR(__xludf.DUMMYFUNCTION("""COMPUTED_VALUE"""),0.629)</f>
        <v>0.629</v>
      </c>
      <c r="F228" s="3">
        <f ca="1">IFERROR(__xludf.DUMMYFUNCTION("""COMPUTED_VALUE"""),-3.63)</f>
        <v>-3.63</v>
      </c>
      <c r="G228" s="3">
        <f ca="1">IFERROR(__xludf.DUMMYFUNCTION("""COMPUTED_VALUE"""),-4.74)</f>
        <v>-4.74</v>
      </c>
      <c r="H228" s="3">
        <f ca="1">IFERROR(__xludf.DUMMYFUNCTION("""COMPUTED_VALUE"""),8)</f>
        <v>8</v>
      </c>
      <c r="I228" s="3">
        <f ca="1">IFERROR(__xludf.DUMMYFUNCTION("""COMPUTED_VALUE"""),8)</f>
        <v>8</v>
      </c>
      <c r="J228" s="3">
        <f ca="1">IFERROR(__xludf.DUMMYFUNCTION("""COMPUTED_VALUE"""),11)</f>
        <v>11</v>
      </c>
      <c r="K228" s="3">
        <f ca="1">IFERROR(__xludf.DUMMYFUNCTION("""COMPUTED_VALUE"""),5)</f>
        <v>5</v>
      </c>
      <c r="L228" s="3">
        <f ca="1">IFERROR(__xludf.DUMMYFUNCTION("""COMPUTED_VALUE"""),11)</f>
        <v>11</v>
      </c>
      <c r="M228" s="3">
        <f ca="1">IFERROR(__xludf.DUMMYFUNCTION("""COMPUTED_VALUE"""),8)</f>
        <v>8</v>
      </c>
      <c r="N228" s="3">
        <f ca="1">IFERROR(__xludf.DUMMYFUNCTION("""COMPUTED_VALUE"""),2472)</f>
        <v>2472</v>
      </c>
      <c r="O228" s="3">
        <f ca="1">IFERROR(__xludf.DUMMYFUNCTION("""COMPUTED_VALUE"""),2401)</f>
        <v>2401</v>
      </c>
      <c r="P228" s="3">
        <f ca="1">IFERROR(__xludf.DUMMYFUNCTION("""COMPUTED_VALUE"""),1410)</f>
        <v>1410</v>
      </c>
      <c r="Q228" s="3">
        <f ca="1">IFERROR(__xludf.DUMMYFUNCTION("""COMPUTED_VALUE"""),849)</f>
        <v>849</v>
      </c>
      <c r="R228" s="3">
        <f ca="1">IFERROR(__xludf.DUMMYFUNCTION("""COMPUTED_VALUE"""),1913)</f>
        <v>1913</v>
      </c>
      <c r="S228" s="3">
        <f ca="1">IFERROR(__xludf.DUMMYFUNCTION("""COMPUTED_VALUE"""),0.444)</f>
        <v>0.44400000000000001</v>
      </c>
      <c r="T228" s="3">
        <f ca="1">IFERROR(__xludf.DUMMYFUNCTION("""COMPUTED_VALUE"""),246)</f>
        <v>246</v>
      </c>
      <c r="U228" s="3">
        <f ca="1">IFERROR(__xludf.DUMMYFUNCTION("""COMPUTED_VALUE"""),713)</f>
        <v>713</v>
      </c>
      <c r="V228" s="3">
        <f ca="1">IFERROR(__xludf.DUMMYFUNCTION("""COMPUTED_VALUE"""),0.345)</f>
        <v>0.34499999999999997</v>
      </c>
      <c r="W228" s="3">
        <f ca="1">IFERROR(__xludf.DUMMYFUNCTION("""COMPUTED_VALUE"""),528)</f>
        <v>528</v>
      </c>
      <c r="X228" s="3">
        <f ca="1">IFERROR(__xludf.DUMMYFUNCTION("""COMPUTED_VALUE"""),732)</f>
        <v>732</v>
      </c>
      <c r="Y228" s="3">
        <f ca="1">IFERROR(__xludf.DUMMYFUNCTION("""COMPUTED_VALUE"""),0.721)</f>
        <v>0.72099999999999997</v>
      </c>
      <c r="Z228" s="3">
        <f ca="1">IFERROR(__xludf.DUMMYFUNCTION("""COMPUTED_VALUE"""),250)</f>
        <v>250</v>
      </c>
      <c r="AA228" s="3">
        <f ca="1">IFERROR(__xludf.DUMMYFUNCTION("""COMPUTED_VALUE"""),1178)</f>
        <v>1178</v>
      </c>
      <c r="AB228" s="3">
        <f ca="1">IFERROR(__xludf.DUMMYFUNCTION("""COMPUTED_VALUE"""),376)</f>
        <v>376</v>
      </c>
      <c r="AC228" s="3">
        <f ca="1">IFERROR(__xludf.DUMMYFUNCTION("""COMPUTED_VALUE"""),223)</f>
        <v>223</v>
      </c>
      <c r="AD228" s="3">
        <f ca="1">IFERROR(__xludf.DUMMYFUNCTION("""COMPUTED_VALUE"""),94)</f>
        <v>94</v>
      </c>
      <c r="AE228" s="3">
        <f ca="1">IFERROR(__xludf.DUMMYFUNCTION("""COMPUTED_VALUE"""),421)</f>
        <v>421</v>
      </c>
      <c r="AF228" s="3">
        <f ca="1">IFERROR(__xludf.DUMMYFUNCTION("""COMPUTED_VALUE"""),582)</f>
        <v>582</v>
      </c>
    </row>
    <row r="229" spans="1:32" x14ac:dyDescent="0.25">
      <c r="A229" s="3" t="str">
        <f ca="1">IFERROR(__xludf.DUMMYFUNCTION("""COMPUTED_VALUE"""),"Norfolk State")</f>
        <v>Norfolk State</v>
      </c>
      <c r="B229" s="3">
        <f ca="1">IFERROR(__xludf.DUMMYFUNCTION("""COMPUTED_VALUE"""),36)</f>
        <v>36</v>
      </c>
      <c r="C229" s="3">
        <f ca="1">IFERROR(__xludf.DUMMYFUNCTION("""COMPUTED_VALUE"""),22)</f>
        <v>22</v>
      </c>
      <c r="D229" s="3">
        <f ca="1">IFERROR(__xludf.DUMMYFUNCTION("""COMPUTED_VALUE"""),14)</f>
        <v>14</v>
      </c>
      <c r="E229" s="3">
        <f ca="1">IFERROR(__xludf.DUMMYFUNCTION("""COMPUTED_VALUE"""),0.611)</f>
        <v>0.61099999999999999</v>
      </c>
      <c r="F229" s="3">
        <f ca="1">IFERROR(__xludf.DUMMYFUNCTION("""COMPUTED_VALUE"""),-8.04)</f>
        <v>-8.0399999999999991</v>
      </c>
      <c r="G229" s="3">
        <f ca="1">IFERROR(__xludf.DUMMYFUNCTION("""COMPUTED_VALUE"""),-8.74)</f>
        <v>-8.74</v>
      </c>
      <c r="H229" s="3">
        <f ca="1">IFERROR(__xludf.DUMMYFUNCTION("""COMPUTED_VALUE"""),14)</f>
        <v>14</v>
      </c>
      <c r="I229" s="3">
        <f ca="1">IFERROR(__xludf.DUMMYFUNCTION("""COMPUTED_VALUE"""),2)</f>
        <v>2</v>
      </c>
      <c r="J229" s="3">
        <f ca="1">IFERROR(__xludf.DUMMYFUNCTION("""COMPUTED_VALUE"""),11)</f>
        <v>11</v>
      </c>
      <c r="K229" s="3">
        <f ca="1">IFERROR(__xludf.DUMMYFUNCTION("""COMPUTED_VALUE"""),2)</f>
        <v>2</v>
      </c>
      <c r="L229" s="3">
        <f ca="1">IFERROR(__xludf.DUMMYFUNCTION("""COMPUTED_VALUE"""),9)</f>
        <v>9</v>
      </c>
      <c r="M229" s="3">
        <f ca="1">IFERROR(__xludf.DUMMYFUNCTION("""COMPUTED_VALUE"""),8)</f>
        <v>8</v>
      </c>
      <c r="N229" s="3">
        <f ca="1">IFERROR(__xludf.DUMMYFUNCTION("""COMPUTED_VALUE"""),2652)</f>
        <v>2652</v>
      </c>
      <c r="O229" s="3">
        <f ca="1">IFERROR(__xludf.DUMMYFUNCTION("""COMPUTED_VALUE"""),2503)</f>
        <v>2503</v>
      </c>
      <c r="P229" s="3">
        <f ca="1">IFERROR(__xludf.DUMMYFUNCTION("""COMPUTED_VALUE"""),1460)</f>
        <v>1460</v>
      </c>
      <c r="Q229" s="3">
        <f ca="1">IFERROR(__xludf.DUMMYFUNCTION("""COMPUTED_VALUE"""),900)</f>
        <v>900</v>
      </c>
      <c r="R229" s="3">
        <f ca="1">IFERROR(__xludf.DUMMYFUNCTION("""COMPUTED_VALUE"""),2079)</f>
        <v>2079</v>
      </c>
      <c r="S229" s="3">
        <f ca="1">IFERROR(__xludf.DUMMYFUNCTION("""COMPUTED_VALUE"""),0.433)</f>
        <v>0.433</v>
      </c>
      <c r="T229" s="3">
        <f ca="1">IFERROR(__xludf.DUMMYFUNCTION("""COMPUTED_VALUE"""),282)</f>
        <v>282</v>
      </c>
      <c r="U229" s="3">
        <f ca="1">IFERROR(__xludf.DUMMYFUNCTION("""COMPUTED_VALUE"""),770)</f>
        <v>770</v>
      </c>
      <c r="V229" s="3">
        <f ca="1">IFERROR(__xludf.DUMMYFUNCTION("""COMPUTED_VALUE"""),0.366)</f>
        <v>0.36599999999999999</v>
      </c>
      <c r="W229" s="3">
        <f ca="1">IFERROR(__xludf.DUMMYFUNCTION("""COMPUTED_VALUE"""),570)</f>
        <v>570</v>
      </c>
      <c r="X229" s="3">
        <f ca="1">IFERROR(__xludf.DUMMYFUNCTION("""COMPUTED_VALUE"""),803)</f>
        <v>803</v>
      </c>
      <c r="Y229" s="3">
        <f ca="1">IFERROR(__xludf.DUMMYFUNCTION("""COMPUTED_VALUE"""),0.71)</f>
        <v>0.71</v>
      </c>
      <c r="Z229" s="3">
        <f ca="1">IFERROR(__xludf.DUMMYFUNCTION("""COMPUTED_VALUE"""),366)</f>
        <v>366</v>
      </c>
      <c r="AA229" s="3">
        <f ca="1">IFERROR(__xludf.DUMMYFUNCTION("""COMPUTED_VALUE"""),1318)</f>
        <v>1318</v>
      </c>
      <c r="AB229" s="3">
        <f ca="1">IFERROR(__xludf.DUMMYFUNCTION("""COMPUTED_VALUE"""),457)</f>
        <v>457</v>
      </c>
      <c r="AC229" s="3">
        <f ca="1">IFERROR(__xludf.DUMMYFUNCTION("""COMPUTED_VALUE"""),219)</f>
        <v>219</v>
      </c>
      <c r="AD229" s="3">
        <f ca="1">IFERROR(__xludf.DUMMYFUNCTION("""COMPUTED_VALUE"""),154)</f>
        <v>154</v>
      </c>
      <c r="AE229" s="3">
        <f ca="1">IFERROR(__xludf.DUMMYFUNCTION("""COMPUTED_VALUE"""),523)</f>
        <v>523</v>
      </c>
      <c r="AF229" s="3">
        <f ca="1">IFERROR(__xludf.DUMMYFUNCTION("""COMPUTED_VALUE"""),763)</f>
        <v>763</v>
      </c>
    </row>
    <row r="230" spans="1:32" x14ac:dyDescent="0.25">
      <c r="A230" s="3" t="str">
        <f ca="1">IFERROR(__xludf.DUMMYFUNCTION("""COMPUTED_VALUE"""),"North Alabama")</f>
        <v>North Alabama</v>
      </c>
      <c r="B230" s="3">
        <f ca="1">IFERROR(__xludf.DUMMYFUNCTION("""COMPUTED_VALUE"""),32)</f>
        <v>32</v>
      </c>
      <c r="C230" s="3">
        <f ca="1">IFERROR(__xludf.DUMMYFUNCTION("""COMPUTED_VALUE"""),10)</f>
        <v>10</v>
      </c>
      <c r="D230" s="3">
        <f ca="1">IFERROR(__xludf.DUMMYFUNCTION("""COMPUTED_VALUE"""),22)</f>
        <v>22</v>
      </c>
      <c r="E230" s="3">
        <f ca="1">IFERROR(__xludf.DUMMYFUNCTION("""COMPUTED_VALUE"""),0.313)</f>
        <v>0.313</v>
      </c>
      <c r="F230" s="3">
        <f ca="1">IFERROR(__xludf.DUMMYFUNCTION("""COMPUTED_VALUE"""),-11)</f>
        <v>-11</v>
      </c>
      <c r="G230" s="3">
        <f ca="1">IFERROR(__xludf.DUMMYFUNCTION("""COMPUTED_VALUE"""),-1.69)</f>
        <v>-1.69</v>
      </c>
      <c r="H230" s="3">
        <f ca="1">IFERROR(__xludf.DUMMYFUNCTION("""COMPUTED_VALUE"""),7)</f>
        <v>7</v>
      </c>
      <c r="I230" s="3">
        <f ca="1">IFERROR(__xludf.DUMMYFUNCTION("""COMPUTED_VALUE"""),9)</f>
        <v>9</v>
      </c>
      <c r="J230" s="3">
        <f ca="1">IFERROR(__xludf.DUMMYFUNCTION("""COMPUTED_VALUE"""),8)</f>
        <v>8</v>
      </c>
      <c r="K230" s="3">
        <f ca="1">IFERROR(__xludf.DUMMYFUNCTION("""COMPUTED_VALUE"""),4)</f>
        <v>4</v>
      </c>
      <c r="L230" s="3">
        <f ca="1">IFERROR(__xludf.DUMMYFUNCTION("""COMPUTED_VALUE"""),2)</f>
        <v>2</v>
      </c>
      <c r="M230" s="3">
        <f ca="1">IFERROR(__xludf.DUMMYFUNCTION("""COMPUTED_VALUE"""),18)</f>
        <v>18</v>
      </c>
      <c r="N230" s="3">
        <f ca="1">IFERROR(__xludf.DUMMYFUNCTION("""COMPUTED_VALUE"""),2145)</f>
        <v>2145</v>
      </c>
      <c r="O230" s="3">
        <f ca="1">IFERROR(__xludf.DUMMYFUNCTION("""COMPUTED_VALUE"""),2358)</f>
        <v>2358</v>
      </c>
      <c r="P230" s="3">
        <f ca="1">IFERROR(__xludf.DUMMYFUNCTION("""COMPUTED_VALUE"""),1285)</f>
        <v>1285</v>
      </c>
      <c r="Q230" s="3">
        <f ca="1">IFERROR(__xludf.DUMMYFUNCTION("""COMPUTED_VALUE"""),744)</f>
        <v>744</v>
      </c>
      <c r="R230" s="3">
        <f ca="1">IFERROR(__xludf.DUMMYFUNCTION("""COMPUTED_VALUE"""),1914)</f>
        <v>1914</v>
      </c>
      <c r="S230" s="3">
        <f ca="1">IFERROR(__xludf.DUMMYFUNCTION("""COMPUTED_VALUE"""),0.389)</f>
        <v>0.38900000000000001</v>
      </c>
      <c r="T230" s="3">
        <f ca="1">IFERROR(__xludf.DUMMYFUNCTION("""COMPUTED_VALUE"""),240)</f>
        <v>240</v>
      </c>
      <c r="U230" s="3">
        <f ca="1">IFERROR(__xludf.DUMMYFUNCTION("""COMPUTED_VALUE"""),805)</f>
        <v>805</v>
      </c>
      <c r="V230" s="3">
        <f ca="1">IFERROR(__xludf.DUMMYFUNCTION("""COMPUTED_VALUE"""),0.298)</f>
        <v>0.29799999999999999</v>
      </c>
      <c r="W230" s="3">
        <f ca="1">IFERROR(__xludf.DUMMYFUNCTION("""COMPUTED_VALUE"""),417)</f>
        <v>417</v>
      </c>
      <c r="X230" s="3">
        <f ca="1">IFERROR(__xludf.DUMMYFUNCTION("""COMPUTED_VALUE"""),619)</f>
        <v>619</v>
      </c>
      <c r="Y230" s="3">
        <f ca="1">IFERROR(__xludf.DUMMYFUNCTION("""COMPUTED_VALUE"""),0.674)</f>
        <v>0.67400000000000004</v>
      </c>
      <c r="Z230" s="3">
        <f ca="1">IFERROR(__xludf.DUMMYFUNCTION("""COMPUTED_VALUE"""),351)</f>
        <v>351</v>
      </c>
      <c r="AA230" s="3">
        <f ca="1">IFERROR(__xludf.DUMMYFUNCTION("""COMPUTED_VALUE"""),1170)</f>
        <v>1170</v>
      </c>
      <c r="AB230" s="3">
        <f ca="1">IFERROR(__xludf.DUMMYFUNCTION("""COMPUTED_VALUE"""),334)</f>
        <v>334</v>
      </c>
      <c r="AC230" s="3">
        <f ca="1">IFERROR(__xludf.DUMMYFUNCTION("""COMPUTED_VALUE"""),209)</f>
        <v>209</v>
      </c>
      <c r="AD230" s="3">
        <f ca="1">IFERROR(__xludf.DUMMYFUNCTION("""COMPUTED_VALUE"""),74)</f>
        <v>74</v>
      </c>
      <c r="AE230" s="3">
        <f ca="1">IFERROR(__xludf.DUMMYFUNCTION("""COMPUTED_VALUE"""),435)</f>
        <v>435</v>
      </c>
      <c r="AF230" s="3">
        <f ca="1">IFERROR(__xludf.DUMMYFUNCTION("""COMPUTED_VALUE"""),614)</f>
        <v>614</v>
      </c>
    </row>
    <row r="231" spans="1:32" x14ac:dyDescent="0.25">
      <c r="A231" s="3" t="str">
        <f ca="1">IFERROR(__xludf.DUMMYFUNCTION("""COMPUTED_VALUE"""),"North Carolina-Asheville")</f>
        <v>North Carolina-Asheville</v>
      </c>
      <c r="B231" s="3">
        <f ca="1">IFERROR(__xludf.DUMMYFUNCTION("""COMPUTED_VALUE"""),31)</f>
        <v>31</v>
      </c>
      <c r="C231" s="3">
        <f ca="1">IFERROR(__xludf.DUMMYFUNCTION("""COMPUTED_VALUE"""),4)</f>
        <v>4</v>
      </c>
      <c r="D231" s="3">
        <f ca="1">IFERROR(__xludf.DUMMYFUNCTION("""COMPUTED_VALUE"""),27)</f>
        <v>27</v>
      </c>
      <c r="E231" s="3">
        <f ca="1">IFERROR(__xludf.DUMMYFUNCTION("""COMPUTED_VALUE"""),0.129)</f>
        <v>0.129</v>
      </c>
      <c r="F231" s="3">
        <f ca="1">IFERROR(__xludf.DUMMYFUNCTION("""COMPUTED_VALUE"""),-19.81)</f>
        <v>-19.809999999999999</v>
      </c>
      <c r="G231" s="3">
        <f ca="1">IFERROR(__xludf.DUMMYFUNCTION("""COMPUTED_VALUE"""),-2.35)</f>
        <v>-2.35</v>
      </c>
      <c r="H231" s="3">
        <f ca="1">IFERROR(__xludf.DUMMYFUNCTION("""COMPUTED_VALUE"""),2)</f>
        <v>2</v>
      </c>
      <c r="I231" s="3">
        <f ca="1">IFERROR(__xludf.DUMMYFUNCTION("""COMPUTED_VALUE"""),14)</f>
        <v>14</v>
      </c>
      <c r="J231" s="3">
        <f ca="1">IFERROR(__xludf.DUMMYFUNCTION("""COMPUTED_VALUE"""),3)</f>
        <v>3</v>
      </c>
      <c r="K231" s="3">
        <f ca="1">IFERROR(__xludf.DUMMYFUNCTION("""COMPUTED_VALUE"""),10)</f>
        <v>10</v>
      </c>
      <c r="L231" s="3">
        <f ca="1">IFERROR(__xludf.DUMMYFUNCTION("""COMPUTED_VALUE"""),1)</f>
        <v>1</v>
      </c>
      <c r="M231" s="3">
        <f ca="1">IFERROR(__xludf.DUMMYFUNCTION("""COMPUTED_VALUE"""),15)</f>
        <v>15</v>
      </c>
      <c r="N231" s="3">
        <f ca="1">IFERROR(__xludf.DUMMYFUNCTION("""COMPUTED_VALUE"""),1857)</f>
        <v>1857</v>
      </c>
      <c r="O231" s="3">
        <f ca="1">IFERROR(__xludf.DUMMYFUNCTION("""COMPUTED_VALUE"""),2313)</f>
        <v>2313</v>
      </c>
      <c r="P231" s="3">
        <f ca="1">IFERROR(__xludf.DUMMYFUNCTION("""COMPUTED_VALUE"""),1245)</f>
        <v>1245</v>
      </c>
      <c r="Q231" s="3">
        <f ca="1">IFERROR(__xludf.DUMMYFUNCTION("""COMPUTED_VALUE"""),655)</f>
        <v>655</v>
      </c>
      <c r="R231" s="3">
        <f ca="1">IFERROR(__xludf.DUMMYFUNCTION("""COMPUTED_VALUE"""),1627)</f>
        <v>1627</v>
      </c>
      <c r="S231" s="3">
        <f ca="1">IFERROR(__xludf.DUMMYFUNCTION("""COMPUTED_VALUE"""),0.403)</f>
        <v>0.40300000000000002</v>
      </c>
      <c r="T231" s="3">
        <f ca="1">IFERROR(__xludf.DUMMYFUNCTION("""COMPUTED_VALUE"""),223)</f>
        <v>223</v>
      </c>
      <c r="U231" s="3">
        <f ca="1">IFERROR(__xludf.DUMMYFUNCTION("""COMPUTED_VALUE"""),687)</f>
        <v>687</v>
      </c>
      <c r="V231" s="3">
        <f ca="1">IFERROR(__xludf.DUMMYFUNCTION("""COMPUTED_VALUE"""),0.325)</f>
        <v>0.32500000000000001</v>
      </c>
      <c r="W231" s="3">
        <f ca="1">IFERROR(__xludf.DUMMYFUNCTION("""COMPUTED_VALUE"""),324)</f>
        <v>324</v>
      </c>
      <c r="X231" s="3">
        <f ca="1">IFERROR(__xludf.DUMMYFUNCTION("""COMPUTED_VALUE"""),437)</f>
        <v>437</v>
      </c>
      <c r="Y231" s="3">
        <f ca="1">IFERROR(__xludf.DUMMYFUNCTION("""COMPUTED_VALUE"""),0.741)</f>
        <v>0.74099999999999999</v>
      </c>
      <c r="Z231" s="3">
        <f ca="1">IFERROR(__xludf.DUMMYFUNCTION("""COMPUTED_VALUE"""),298)</f>
        <v>298</v>
      </c>
      <c r="AA231" s="3">
        <f ca="1">IFERROR(__xludf.DUMMYFUNCTION("""COMPUTED_VALUE"""),931)</f>
        <v>931</v>
      </c>
      <c r="AB231" s="3">
        <f ca="1">IFERROR(__xludf.DUMMYFUNCTION("""COMPUTED_VALUE"""),331)</f>
        <v>331</v>
      </c>
      <c r="AC231" s="3">
        <f ca="1">IFERROR(__xludf.DUMMYFUNCTION("""COMPUTED_VALUE"""),196)</f>
        <v>196</v>
      </c>
      <c r="AD231" s="3">
        <f ca="1">IFERROR(__xludf.DUMMYFUNCTION("""COMPUTED_VALUE"""),86)</f>
        <v>86</v>
      </c>
      <c r="AE231" s="3">
        <f ca="1">IFERROR(__xludf.DUMMYFUNCTION("""COMPUTED_VALUE"""),456)</f>
        <v>456</v>
      </c>
      <c r="AF231" s="3">
        <f ca="1">IFERROR(__xludf.DUMMYFUNCTION("""COMPUTED_VALUE"""),533)</f>
        <v>533</v>
      </c>
    </row>
    <row r="232" spans="1:32" x14ac:dyDescent="0.25">
      <c r="A232" s="3" t="str">
        <f ca="1">IFERROR(__xludf.DUMMYFUNCTION("""COMPUTED_VALUE"""),"North Carolina A&amp;T")</f>
        <v>North Carolina A&amp;T</v>
      </c>
      <c r="B232" s="3">
        <f ca="1">IFERROR(__xludf.DUMMYFUNCTION("""COMPUTED_VALUE"""),32)</f>
        <v>32</v>
      </c>
      <c r="C232" s="3">
        <f ca="1">IFERROR(__xludf.DUMMYFUNCTION("""COMPUTED_VALUE"""),19)</f>
        <v>19</v>
      </c>
      <c r="D232" s="3">
        <f ca="1">IFERROR(__xludf.DUMMYFUNCTION("""COMPUTED_VALUE"""),13)</f>
        <v>13</v>
      </c>
      <c r="E232" s="3">
        <f ca="1">IFERROR(__xludf.DUMMYFUNCTION("""COMPUTED_VALUE"""),0.594)</f>
        <v>0.59399999999999997</v>
      </c>
      <c r="F232" s="3">
        <f ca="1">IFERROR(__xludf.DUMMYFUNCTION("""COMPUTED_VALUE"""),-11.24)</f>
        <v>-11.24</v>
      </c>
      <c r="G232" s="3">
        <f ca="1">IFERROR(__xludf.DUMMYFUNCTION("""COMPUTED_VALUE"""),-9.88)</f>
        <v>-9.8800000000000008</v>
      </c>
      <c r="H232" s="3">
        <f ca="1">IFERROR(__xludf.DUMMYFUNCTION("""COMPUTED_VALUE"""),13)</f>
        <v>13</v>
      </c>
      <c r="I232" s="3">
        <f ca="1">IFERROR(__xludf.DUMMYFUNCTION("""COMPUTED_VALUE"""),3)</f>
        <v>3</v>
      </c>
      <c r="J232" s="3">
        <f ca="1">IFERROR(__xludf.DUMMYFUNCTION("""COMPUTED_VALUE"""),11)</f>
        <v>11</v>
      </c>
      <c r="K232" s="3">
        <f ca="1">IFERROR(__xludf.DUMMYFUNCTION("""COMPUTED_VALUE"""),2)</f>
        <v>2</v>
      </c>
      <c r="L232" s="3">
        <f ca="1">IFERROR(__xludf.DUMMYFUNCTION("""COMPUTED_VALUE"""),7)</f>
        <v>7</v>
      </c>
      <c r="M232" s="3">
        <f ca="1">IFERROR(__xludf.DUMMYFUNCTION("""COMPUTED_VALUE"""),10)</f>
        <v>10</v>
      </c>
      <c r="N232" s="3">
        <f ca="1">IFERROR(__xludf.DUMMYFUNCTION("""COMPUTED_VALUE"""),2241)</f>
        <v>2241</v>
      </c>
      <c r="O232" s="3">
        <f ca="1">IFERROR(__xludf.DUMMYFUNCTION("""COMPUTED_VALUE"""),2209)</f>
        <v>2209</v>
      </c>
      <c r="P232" s="3">
        <f ca="1">IFERROR(__xludf.DUMMYFUNCTION("""COMPUTED_VALUE"""),1290)</f>
        <v>1290</v>
      </c>
      <c r="Q232" s="3">
        <f ca="1">IFERROR(__xludf.DUMMYFUNCTION("""COMPUTED_VALUE"""),825)</f>
        <v>825</v>
      </c>
      <c r="R232" s="3">
        <f ca="1">IFERROR(__xludf.DUMMYFUNCTION("""COMPUTED_VALUE"""),1797)</f>
        <v>1797</v>
      </c>
      <c r="S232" s="3">
        <f ca="1">IFERROR(__xludf.DUMMYFUNCTION("""COMPUTED_VALUE"""),0.459)</f>
        <v>0.45900000000000002</v>
      </c>
      <c r="T232" s="3">
        <f ca="1">IFERROR(__xludf.DUMMYFUNCTION("""COMPUTED_VALUE"""),227)</f>
        <v>227</v>
      </c>
      <c r="U232" s="3">
        <f ca="1">IFERROR(__xludf.DUMMYFUNCTION("""COMPUTED_VALUE"""),649)</f>
        <v>649</v>
      </c>
      <c r="V232" s="3">
        <f ca="1">IFERROR(__xludf.DUMMYFUNCTION("""COMPUTED_VALUE"""),0.35)</f>
        <v>0.35</v>
      </c>
      <c r="W232" s="3">
        <f ca="1">IFERROR(__xludf.DUMMYFUNCTION("""COMPUTED_VALUE"""),364)</f>
        <v>364</v>
      </c>
      <c r="X232" s="3">
        <f ca="1">IFERROR(__xludf.DUMMYFUNCTION("""COMPUTED_VALUE"""),548)</f>
        <v>548</v>
      </c>
      <c r="Y232" s="3">
        <f ca="1">IFERROR(__xludf.DUMMYFUNCTION("""COMPUTED_VALUE"""),0.664)</f>
        <v>0.66400000000000003</v>
      </c>
      <c r="Z232" s="3">
        <f ca="1">IFERROR(__xludf.DUMMYFUNCTION("""COMPUTED_VALUE"""),291)</f>
        <v>291</v>
      </c>
      <c r="AA232" s="3">
        <f ca="1">IFERROR(__xludf.DUMMYFUNCTION("""COMPUTED_VALUE"""),1059)</f>
        <v>1059</v>
      </c>
      <c r="AB232" s="3">
        <f ca="1">IFERROR(__xludf.DUMMYFUNCTION("""COMPUTED_VALUE"""),452)</f>
        <v>452</v>
      </c>
      <c r="AC232" s="3">
        <f ca="1">IFERROR(__xludf.DUMMYFUNCTION("""COMPUTED_VALUE"""),215)</f>
        <v>215</v>
      </c>
      <c r="AD232" s="3">
        <f ca="1">IFERROR(__xludf.DUMMYFUNCTION("""COMPUTED_VALUE"""),108)</f>
        <v>108</v>
      </c>
      <c r="AE232" s="3">
        <f ca="1">IFERROR(__xludf.DUMMYFUNCTION("""COMPUTED_VALUE"""),417)</f>
        <v>417</v>
      </c>
      <c r="AF232" s="3">
        <f ca="1">IFERROR(__xludf.DUMMYFUNCTION("""COMPUTED_VALUE"""),514)</f>
        <v>514</v>
      </c>
    </row>
    <row r="233" spans="1:32" x14ac:dyDescent="0.25">
      <c r="A233" s="3" t="str">
        <f ca="1">IFERROR(__xludf.DUMMYFUNCTION("""COMPUTED_VALUE"""),"North Carolina CentralNCAA")</f>
        <v>North Carolina CentralNCAA</v>
      </c>
      <c r="B233" s="3">
        <f ca="1">IFERROR(__xludf.DUMMYFUNCTION("""COMPUTED_VALUE"""),34)</f>
        <v>34</v>
      </c>
      <c r="C233" s="3">
        <f ca="1">IFERROR(__xludf.DUMMYFUNCTION("""COMPUTED_VALUE"""),18)</f>
        <v>18</v>
      </c>
      <c r="D233" s="3">
        <f ca="1">IFERROR(__xludf.DUMMYFUNCTION("""COMPUTED_VALUE"""),16)</f>
        <v>16</v>
      </c>
      <c r="E233" s="3">
        <f ca="1">IFERROR(__xludf.DUMMYFUNCTION("""COMPUTED_VALUE"""),0.529)</f>
        <v>0.52900000000000003</v>
      </c>
      <c r="F233" s="3">
        <f ca="1">IFERROR(__xludf.DUMMYFUNCTION("""COMPUTED_VALUE"""),-11.53)</f>
        <v>-11.53</v>
      </c>
      <c r="G233" s="3">
        <f ca="1">IFERROR(__xludf.DUMMYFUNCTION("""COMPUTED_VALUE"""),-11.24)</f>
        <v>-11.24</v>
      </c>
      <c r="H233" s="3">
        <f ca="1">IFERROR(__xludf.DUMMYFUNCTION("""COMPUTED_VALUE"""),10)</f>
        <v>10</v>
      </c>
      <c r="I233" s="3">
        <f ca="1">IFERROR(__xludf.DUMMYFUNCTION("""COMPUTED_VALUE"""),6)</f>
        <v>6</v>
      </c>
      <c r="J233" s="3">
        <f ca="1">IFERROR(__xludf.DUMMYFUNCTION("""COMPUTED_VALUE"""),10)</f>
        <v>10</v>
      </c>
      <c r="K233" s="3">
        <f ca="1">IFERROR(__xludf.DUMMYFUNCTION("""COMPUTED_VALUE"""),2)</f>
        <v>2</v>
      </c>
      <c r="L233" s="3">
        <f ca="1">IFERROR(__xludf.DUMMYFUNCTION("""COMPUTED_VALUE"""),4)</f>
        <v>4</v>
      </c>
      <c r="M233" s="3">
        <f ca="1">IFERROR(__xludf.DUMMYFUNCTION("""COMPUTED_VALUE"""),12)</f>
        <v>12</v>
      </c>
      <c r="N233" s="3">
        <f ca="1">IFERROR(__xludf.DUMMYFUNCTION("""COMPUTED_VALUE"""),2429)</f>
        <v>2429</v>
      </c>
      <c r="O233" s="3">
        <f ca="1">IFERROR(__xludf.DUMMYFUNCTION("""COMPUTED_VALUE"""),2266)</f>
        <v>2266</v>
      </c>
      <c r="P233" s="3">
        <f ca="1">IFERROR(__xludf.DUMMYFUNCTION("""COMPUTED_VALUE"""),1365)</f>
        <v>1365</v>
      </c>
      <c r="Q233" s="3">
        <f ca="1">IFERROR(__xludf.DUMMYFUNCTION("""COMPUTED_VALUE"""),874)</f>
        <v>874</v>
      </c>
      <c r="R233" s="3">
        <f ca="1">IFERROR(__xludf.DUMMYFUNCTION("""COMPUTED_VALUE"""),1922)</f>
        <v>1922</v>
      </c>
      <c r="S233" s="3">
        <f ca="1">IFERROR(__xludf.DUMMYFUNCTION("""COMPUTED_VALUE"""),0.455)</f>
        <v>0.45500000000000002</v>
      </c>
      <c r="T233" s="3">
        <f ca="1">IFERROR(__xludf.DUMMYFUNCTION("""COMPUTED_VALUE"""),221)</f>
        <v>221</v>
      </c>
      <c r="U233" s="3">
        <f ca="1">IFERROR(__xludf.DUMMYFUNCTION("""COMPUTED_VALUE"""),693)</f>
        <v>693</v>
      </c>
      <c r="V233" s="3">
        <f ca="1">IFERROR(__xludf.DUMMYFUNCTION("""COMPUTED_VALUE"""),0.319)</f>
        <v>0.31900000000000001</v>
      </c>
      <c r="W233" s="3">
        <f ca="1">IFERROR(__xludf.DUMMYFUNCTION("""COMPUTED_VALUE"""),460)</f>
        <v>460</v>
      </c>
      <c r="X233" s="3">
        <f ca="1">IFERROR(__xludf.DUMMYFUNCTION("""COMPUTED_VALUE"""),641)</f>
        <v>641</v>
      </c>
      <c r="Y233" s="3">
        <f ca="1">IFERROR(__xludf.DUMMYFUNCTION("""COMPUTED_VALUE"""),0.718)</f>
        <v>0.71799999999999997</v>
      </c>
      <c r="Z233" s="3">
        <f ca="1">IFERROR(__xludf.DUMMYFUNCTION("""COMPUTED_VALUE"""),399)</f>
        <v>399</v>
      </c>
      <c r="AA233" s="3">
        <f ca="1">IFERROR(__xludf.DUMMYFUNCTION("""COMPUTED_VALUE"""),1265)</f>
        <v>1265</v>
      </c>
      <c r="AB233" s="3">
        <f ca="1">IFERROR(__xludf.DUMMYFUNCTION("""COMPUTED_VALUE"""),526)</f>
        <v>526</v>
      </c>
      <c r="AC233" s="3">
        <f ca="1">IFERROR(__xludf.DUMMYFUNCTION("""COMPUTED_VALUE"""),207)</f>
        <v>207</v>
      </c>
      <c r="AD233" s="3">
        <f ca="1">IFERROR(__xludf.DUMMYFUNCTION("""COMPUTED_VALUE"""),93)</f>
        <v>93</v>
      </c>
      <c r="AE233" s="3">
        <f ca="1">IFERROR(__xludf.DUMMYFUNCTION("""COMPUTED_VALUE"""),515)</f>
        <v>515</v>
      </c>
      <c r="AF233" s="3">
        <f ca="1">IFERROR(__xludf.DUMMYFUNCTION("""COMPUTED_VALUE"""),610)</f>
        <v>610</v>
      </c>
    </row>
    <row r="234" spans="1:32" x14ac:dyDescent="0.25">
      <c r="A234" s="3" t="str">
        <f ca="1">IFERROR(__xludf.DUMMYFUNCTION("""COMPUTED_VALUE"""),"North Carolina-Greensboro")</f>
        <v>North Carolina-Greensboro</v>
      </c>
      <c r="B234" s="3">
        <f ca="1">IFERROR(__xludf.DUMMYFUNCTION("""COMPUTED_VALUE"""),36)</f>
        <v>36</v>
      </c>
      <c r="C234" s="3">
        <f ca="1">IFERROR(__xludf.DUMMYFUNCTION("""COMPUTED_VALUE"""),29)</f>
        <v>29</v>
      </c>
      <c r="D234" s="3">
        <f ca="1">IFERROR(__xludf.DUMMYFUNCTION("""COMPUTED_VALUE"""),7)</f>
        <v>7</v>
      </c>
      <c r="E234" s="3">
        <f ca="1">IFERROR(__xludf.DUMMYFUNCTION("""COMPUTED_VALUE"""),0.806)</f>
        <v>0.80600000000000005</v>
      </c>
      <c r="F234" s="3">
        <f ca="1">IFERROR(__xludf.DUMMYFUNCTION("""COMPUTED_VALUE"""),4.08)</f>
        <v>4.08</v>
      </c>
      <c r="G234" s="3">
        <f ca="1">IFERROR(__xludf.DUMMYFUNCTION("""COMPUTED_VALUE"""),-0.9)</f>
        <v>-0.9</v>
      </c>
      <c r="H234" s="3">
        <f ca="1">IFERROR(__xludf.DUMMYFUNCTION("""COMPUTED_VALUE"""),15)</f>
        <v>15</v>
      </c>
      <c r="I234" s="3">
        <f ca="1">IFERROR(__xludf.DUMMYFUNCTION("""COMPUTED_VALUE"""),3)</f>
        <v>3</v>
      </c>
      <c r="J234" s="3">
        <f ca="1">IFERROR(__xludf.DUMMYFUNCTION("""COMPUTED_VALUE"""),15)</f>
        <v>15</v>
      </c>
      <c r="K234" s="3">
        <f ca="1">IFERROR(__xludf.DUMMYFUNCTION("""COMPUTED_VALUE"""),2)</f>
        <v>2</v>
      </c>
      <c r="L234" s="3">
        <f ca="1">IFERROR(__xludf.DUMMYFUNCTION("""COMPUTED_VALUE"""),11)</f>
        <v>11</v>
      </c>
      <c r="M234" s="3">
        <f ca="1">IFERROR(__xludf.DUMMYFUNCTION("""COMPUTED_VALUE"""),4)</f>
        <v>4</v>
      </c>
      <c r="N234" s="3">
        <f ca="1">IFERROR(__xludf.DUMMYFUNCTION("""COMPUTED_VALUE"""),2738)</f>
        <v>2738</v>
      </c>
      <c r="O234" s="3">
        <f ca="1">IFERROR(__xludf.DUMMYFUNCTION("""COMPUTED_VALUE"""),2443)</f>
        <v>2443</v>
      </c>
      <c r="P234" s="3">
        <f ca="1">IFERROR(__xludf.DUMMYFUNCTION("""COMPUTED_VALUE"""),1445)</f>
        <v>1445</v>
      </c>
      <c r="Q234" s="3">
        <f ca="1">IFERROR(__xludf.DUMMYFUNCTION("""COMPUTED_VALUE"""),997)</f>
        <v>997</v>
      </c>
      <c r="R234" s="3">
        <f ca="1">IFERROR(__xludf.DUMMYFUNCTION("""COMPUTED_VALUE"""),2184)</f>
        <v>2184</v>
      </c>
      <c r="S234" s="3">
        <f ca="1">IFERROR(__xludf.DUMMYFUNCTION("""COMPUTED_VALUE"""),0.457)</f>
        <v>0.45700000000000002</v>
      </c>
      <c r="T234" s="3">
        <f ca="1">IFERROR(__xludf.DUMMYFUNCTION("""COMPUTED_VALUE"""),280)</f>
        <v>280</v>
      </c>
      <c r="U234" s="3">
        <f ca="1">IFERROR(__xludf.DUMMYFUNCTION("""COMPUTED_VALUE"""),818)</f>
        <v>818</v>
      </c>
      <c r="V234" s="3">
        <f ca="1">IFERROR(__xludf.DUMMYFUNCTION("""COMPUTED_VALUE"""),0.342)</f>
        <v>0.34200000000000003</v>
      </c>
      <c r="W234" s="3">
        <f ca="1">IFERROR(__xludf.DUMMYFUNCTION("""COMPUTED_VALUE"""),464)</f>
        <v>464</v>
      </c>
      <c r="X234" s="3">
        <f ca="1">IFERROR(__xludf.DUMMYFUNCTION("""COMPUTED_VALUE"""),666)</f>
        <v>666</v>
      </c>
      <c r="Y234" s="3">
        <f ca="1">IFERROR(__xludf.DUMMYFUNCTION("""COMPUTED_VALUE"""),0.697)</f>
        <v>0.69699999999999995</v>
      </c>
      <c r="Z234" s="3">
        <f ca="1">IFERROR(__xludf.DUMMYFUNCTION("""COMPUTED_VALUE"""),399)</f>
        <v>399</v>
      </c>
      <c r="AA234" s="3">
        <f ca="1">IFERROR(__xludf.DUMMYFUNCTION("""COMPUTED_VALUE"""),1251)</f>
        <v>1251</v>
      </c>
      <c r="AB234" s="3">
        <f ca="1">IFERROR(__xludf.DUMMYFUNCTION("""COMPUTED_VALUE"""),453)</f>
        <v>453</v>
      </c>
      <c r="AC234" s="3">
        <f ca="1">IFERROR(__xludf.DUMMYFUNCTION("""COMPUTED_VALUE"""),315)</f>
        <v>315</v>
      </c>
      <c r="AD234" s="3">
        <f ca="1">IFERROR(__xludf.DUMMYFUNCTION("""COMPUTED_VALUE"""),140)</f>
        <v>140</v>
      </c>
      <c r="AE234" s="3">
        <f ca="1">IFERROR(__xludf.DUMMYFUNCTION("""COMPUTED_VALUE"""),423)</f>
        <v>423</v>
      </c>
      <c r="AF234" s="3">
        <f ca="1">IFERROR(__xludf.DUMMYFUNCTION("""COMPUTED_VALUE"""),631)</f>
        <v>631</v>
      </c>
    </row>
    <row r="235" spans="1:32" x14ac:dyDescent="0.25">
      <c r="A235" s="3" t="str">
        <f ca="1">IFERROR(__xludf.DUMMYFUNCTION("""COMPUTED_VALUE"""),"North Carolina State")</f>
        <v>North Carolina State</v>
      </c>
      <c r="B235" s="3">
        <f ca="1">IFERROR(__xludf.DUMMYFUNCTION("""COMPUTED_VALUE"""),36)</f>
        <v>36</v>
      </c>
      <c r="C235" s="3">
        <f ca="1">IFERROR(__xludf.DUMMYFUNCTION("""COMPUTED_VALUE"""),24)</f>
        <v>24</v>
      </c>
      <c r="D235" s="3">
        <f ca="1">IFERROR(__xludf.DUMMYFUNCTION("""COMPUTED_VALUE"""),12)</f>
        <v>12</v>
      </c>
      <c r="E235" s="3">
        <f ca="1">IFERROR(__xludf.DUMMYFUNCTION("""COMPUTED_VALUE"""),0.667)</f>
        <v>0.66700000000000004</v>
      </c>
      <c r="F235" s="3">
        <f ca="1">IFERROR(__xludf.DUMMYFUNCTION("""COMPUTED_VALUE"""),14.94)</f>
        <v>14.94</v>
      </c>
      <c r="G235" s="3">
        <f ca="1">IFERROR(__xludf.DUMMYFUNCTION("""COMPUTED_VALUE"""),6.22)</f>
        <v>6.22</v>
      </c>
      <c r="H235" s="3">
        <f ca="1">IFERROR(__xludf.DUMMYFUNCTION("""COMPUTED_VALUE"""),9)</f>
        <v>9</v>
      </c>
      <c r="I235" s="3">
        <f ca="1">IFERROR(__xludf.DUMMYFUNCTION("""COMPUTED_VALUE"""),9)</f>
        <v>9</v>
      </c>
      <c r="J235" s="3">
        <f ca="1">IFERROR(__xludf.DUMMYFUNCTION("""COMPUTED_VALUE"""),17)</f>
        <v>17</v>
      </c>
      <c r="K235" s="3">
        <f ca="1">IFERROR(__xludf.DUMMYFUNCTION("""COMPUTED_VALUE"""),5)</f>
        <v>5</v>
      </c>
      <c r="L235" s="3">
        <f ca="1">IFERROR(__xludf.DUMMYFUNCTION("""COMPUTED_VALUE"""),4)</f>
        <v>4</v>
      </c>
      <c r="M235" s="3">
        <f ca="1">IFERROR(__xludf.DUMMYFUNCTION("""COMPUTED_VALUE"""),6)</f>
        <v>6</v>
      </c>
      <c r="N235" s="3">
        <f ca="1">IFERROR(__xludf.DUMMYFUNCTION("""COMPUTED_VALUE"""),2882)</f>
        <v>2882</v>
      </c>
      <c r="O235" s="3">
        <f ca="1">IFERROR(__xludf.DUMMYFUNCTION("""COMPUTED_VALUE"""),2568)</f>
        <v>2568</v>
      </c>
      <c r="P235" s="3">
        <f ca="1">IFERROR(__xludf.DUMMYFUNCTION("""COMPUTED_VALUE"""),1450)</f>
        <v>1450</v>
      </c>
      <c r="Q235" s="3">
        <f ca="1">IFERROR(__xludf.DUMMYFUNCTION("""COMPUTED_VALUE"""),1061)</f>
        <v>1061</v>
      </c>
      <c r="R235" s="3">
        <f ca="1">IFERROR(__xludf.DUMMYFUNCTION("""COMPUTED_VALUE"""),2319)</f>
        <v>2319</v>
      </c>
      <c r="S235" s="3">
        <f ca="1">IFERROR(__xludf.DUMMYFUNCTION("""COMPUTED_VALUE"""),0.458)</f>
        <v>0.45800000000000002</v>
      </c>
      <c r="T235" s="3">
        <f ca="1">IFERROR(__xludf.DUMMYFUNCTION("""COMPUTED_VALUE"""),292)</f>
        <v>292</v>
      </c>
      <c r="U235" s="3">
        <f ca="1">IFERROR(__xludf.DUMMYFUNCTION("""COMPUTED_VALUE"""),830)</f>
        <v>830</v>
      </c>
      <c r="V235" s="3">
        <f ca="1">IFERROR(__xludf.DUMMYFUNCTION("""COMPUTED_VALUE"""),0.352)</f>
        <v>0.35199999999999998</v>
      </c>
      <c r="W235" s="3">
        <f ca="1">IFERROR(__xludf.DUMMYFUNCTION("""COMPUTED_VALUE"""),468)</f>
        <v>468</v>
      </c>
      <c r="X235" s="3">
        <f ca="1">IFERROR(__xludf.DUMMYFUNCTION("""COMPUTED_VALUE"""),661)</f>
        <v>661</v>
      </c>
      <c r="Y235" s="3">
        <f ca="1">IFERROR(__xludf.DUMMYFUNCTION("""COMPUTED_VALUE"""),0.708)</f>
        <v>0.70799999999999996</v>
      </c>
      <c r="Z235" s="3">
        <f ca="1">IFERROR(__xludf.DUMMYFUNCTION("""COMPUTED_VALUE"""),486)</f>
        <v>486</v>
      </c>
      <c r="AA235" s="3">
        <f ca="1">IFERROR(__xludf.DUMMYFUNCTION("""COMPUTED_VALUE"""),1390)</f>
        <v>1390</v>
      </c>
      <c r="AB235" s="3">
        <f ca="1">IFERROR(__xludf.DUMMYFUNCTION("""COMPUTED_VALUE"""),539)</f>
        <v>539</v>
      </c>
      <c r="AC235" s="3">
        <f ca="1">IFERROR(__xludf.DUMMYFUNCTION("""COMPUTED_VALUE"""),257)</f>
        <v>257</v>
      </c>
      <c r="AD235" s="3">
        <f ca="1">IFERROR(__xludf.DUMMYFUNCTION("""COMPUTED_VALUE"""),138)</f>
        <v>138</v>
      </c>
      <c r="AE235" s="3">
        <f ca="1">IFERROR(__xludf.DUMMYFUNCTION("""COMPUTED_VALUE"""),449)</f>
        <v>449</v>
      </c>
      <c r="AF235" s="3">
        <f ca="1">IFERROR(__xludf.DUMMYFUNCTION("""COMPUTED_VALUE"""),691)</f>
        <v>691</v>
      </c>
    </row>
    <row r="236" spans="1:32" x14ac:dyDescent="0.25">
      <c r="A236" s="3" t="str">
        <f ca="1">IFERROR(__xludf.DUMMYFUNCTION("""COMPUTED_VALUE"""),"North Carolina-Wilmington")</f>
        <v>North Carolina-Wilmington</v>
      </c>
      <c r="B236" s="3">
        <f ca="1">IFERROR(__xludf.DUMMYFUNCTION("""COMPUTED_VALUE"""),33)</f>
        <v>33</v>
      </c>
      <c r="C236" s="3">
        <f ca="1">IFERROR(__xludf.DUMMYFUNCTION("""COMPUTED_VALUE"""),10)</f>
        <v>10</v>
      </c>
      <c r="D236" s="3">
        <f ca="1">IFERROR(__xludf.DUMMYFUNCTION("""COMPUTED_VALUE"""),23)</f>
        <v>23</v>
      </c>
      <c r="E236" s="3">
        <f ca="1">IFERROR(__xludf.DUMMYFUNCTION("""COMPUTED_VALUE"""),0.303)</f>
        <v>0.30299999999999999</v>
      </c>
      <c r="F236" s="3">
        <f ca="1">IFERROR(__xludf.DUMMYFUNCTION("""COMPUTED_VALUE"""),-8.1)</f>
        <v>-8.1</v>
      </c>
      <c r="G236" s="3">
        <f ca="1">IFERROR(__xludf.DUMMYFUNCTION("""COMPUTED_VALUE"""),-2.04)</f>
        <v>-2.04</v>
      </c>
      <c r="H236" s="3">
        <f ca="1">IFERROR(__xludf.DUMMYFUNCTION("""COMPUTED_VALUE"""),5)</f>
        <v>5</v>
      </c>
      <c r="I236" s="3">
        <f ca="1">IFERROR(__xludf.DUMMYFUNCTION("""COMPUTED_VALUE"""),13)</f>
        <v>13</v>
      </c>
      <c r="J236" s="3">
        <f ca="1">IFERROR(__xludf.DUMMYFUNCTION("""COMPUTED_VALUE"""),5)</f>
        <v>5</v>
      </c>
      <c r="K236" s="3">
        <f ca="1">IFERROR(__xludf.DUMMYFUNCTION("""COMPUTED_VALUE"""),9)</f>
        <v>9</v>
      </c>
      <c r="L236" s="3">
        <f ca="1">IFERROR(__xludf.DUMMYFUNCTION("""COMPUTED_VALUE"""),2)</f>
        <v>2</v>
      </c>
      <c r="M236" s="3">
        <f ca="1">IFERROR(__xludf.DUMMYFUNCTION("""COMPUTED_VALUE"""),12)</f>
        <v>12</v>
      </c>
      <c r="N236" s="3">
        <f ca="1">IFERROR(__xludf.DUMMYFUNCTION("""COMPUTED_VALUE"""),2515)</f>
        <v>2515</v>
      </c>
      <c r="O236" s="3">
        <f ca="1">IFERROR(__xludf.DUMMYFUNCTION("""COMPUTED_VALUE"""),2670)</f>
        <v>2670</v>
      </c>
      <c r="P236" s="3">
        <f ca="1">IFERROR(__xludf.DUMMYFUNCTION("""COMPUTED_VALUE"""),1335)</f>
        <v>1335</v>
      </c>
      <c r="Q236" s="3">
        <f ca="1">IFERROR(__xludf.DUMMYFUNCTION("""COMPUTED_VALUE"""),880)</f>
        <v>880</v>
      </c>
      <c r="R236" s="3">
        <f ca="1">IFERROR(__xludf.DUMMYFUNCTION("""COMPUTED_VALUE"""),1986)</f>
        <v>1986</v>
      </c>
      <c r="S236" s="3">
        <f ca="1">IFERROR(__xludf.DUMMYFUNCTION("""COMPUTED_VALUE"""),0.443)</f>
        <v>0.443</v>
      </c>
      <c r="T236" s="3">
        <f ca="1">IFERROR(__xludf.DUMMYFUNCTION("""COMPUTED_VALUE"""),260)</f>
        <v>260</v>
      </c>
      <c r="U236" s="3">
        <f ca="1">IFERROR(__xludf.DUMMYFUNCTION("""COMPUTED_VALUE"""),744)</f>
        <v>744</v>
      </c>
      <c r="V236" s="3">
        <f ca="1">IFERROR(__xludf.DUMMYFUNCTION("""COMPUTED_VALUE"""),0.349)</f>
        <v>0.34899999999999998</v>
      </c>
      <c r="W236" s="3">
        <f ca="1">IFERROR(__xludf.DUMMYFUNCTION("""COMPUTED_VALUE"""),493)</f>
        <v>493</v>
      </c>
      <c r="X236" s="3">
        <f ca="1">IFERROR(__xludf.DUMMYFUNCTION("""COMPUTED_VALUE"""),673)</f>
        <v>673</v>
      </c>
      <c r="Y236" s="3">
        <f ca="1">IFERROR(__xludf.DUMMYFUNCTION("""COMPUTED_VALUE"""),0.733)</f>
        <v>0.73299999999999998</v>
      </c>
      <c r="Z236" s="3">
        <f ca="1">IFERROR(__xludf.DUMMYFUNCTION("""COMPUTED_VALUE"""),387)</f>
        <v>387</v>
      </c>
      <c r="AA236" s="3">
        <f ca="1">IFERROR(__xludf.DUMMYFUNCTION("""COMPUTED_VALUE"""),1221)</f>
        <v>1221</v>
      </c>
      <c r="AB236" s="3">
        <f ca="1">IFERROR(__xludf.DUMMYFUNCTION("""COMPUTED_VALUE"""),495)</f>
        <v>495</v>
      </c>
      <c r="AC236" s="3">
        <f ca="1">IFERROR(__xludf.DUMMYFUNCTION("""COMPUTED_VALUE"""),150)</f>
        <v>150</v>
      </c>
      <c r="AD236" s="3">
        <f ca="1">IFERROR(__xludf.DUMMYFUNCTION("""COMPUTED_VALUE"""),68)</f>
        <v>68</v>
      </c>
      <c r="AE236" s="3">
        <f ca="1">IFERROR(__xludf.DUMMYFUNCTION("""COMPUTED_VALUE"""),436)</f>
        <v>436</v>
      </c>
      <c r="AF236" s="3">
        <f ca="1">IFERROR(__xludf.DUMMYFUNCTION("""COMPUTED_VALUE"""),585)</f>
        <v>585</v>
      </c>
    </row>
    <row r="237" spans="1:32" x14ac:dyDescent="0.25">
      <c r="A237" s="3" t="str">
        <f ca="1">IFERROR(__xludf.DUMMYFUNCTION("""COMPUTED_VALUE"""),"North CarolinaNCAA")</f>
        <v>North CarolinaNCAA</v>
      </c>
      <c r="B237" s="3">
        <f ca="1">IFERROR(__xludf.DUMMYFUNCTION("""COMPUTED_VALUE"""),36)</f>
        <v>36</v>
      </c>
      <c r="C237" s="3">
        <f ca="1">IFERROR(__xludf.DUMMYFUNCTION("""COMPUTED_VALUE"""),29)</f>
        <v>29</v>
      </c>
      <c r="D237" s="3">
        <f ca="1">IFERROR(__xludf.DUMMYFUNCTION("""COMPUTED_VALUE"""),7)</f>
        <v>7</v>
      </c>
      <c r="E237" s="3">
        <f ca="1">IFERROR(__xludf.DUMMYFUNCTION("""COMPUTED_VALUE"""),0.806)</f>
        <v>0.80600000000000005</v>
      </c>
      <c r="F237" s="3">
        <f ca="1">IFERROR(__xludf.DUMMYFUNCTION("""COMPUTED_VALUE"""),23.94)</f>
        <v>23.94</v>
      </c>
      <c r="G237" s="3">
        <f ca="1">IFERROR(__xludf.DUMMYFUNCTION("""COMPUTED_VALUE"""),11.35)</f>
        <v>11.35</v>
      </c>
      <c r="H237" s="3">
        <f ca="1">IFERROR(__xludf.DUMMYFUNCTION("""COMPUTED_VALUE"""),16)</f>
        <v>16</v>
      </c>
      <c r="I237" s="3">
        <f ca="1">IFERROR(__xludf.DUMMYFUNCTION("""COMPUTED_VALUE"""),2)</f>
        <v>2</v>
      </c>
      <c r="J237" s="3">
        <f ca="1">IFERROR(__xludf.DUMMYFUNCTION("""COMPUTED_VALUE"""),14)</f>
        <v>14</v>
      </c>
      <c r="K237" s="3">
        <f ca="1">IFERROR(__xludf.DUMMYFUNCTION("""COMPUTED_VALUE"""),2)</f>
        <v>2</v>
      </c>
      <c r="L237" s="3">
        <f ca="1">IFERROR(__xludf.DUMMYFUNCTION("""COMPUTED_VALUE"""),11)</f>
        <v>11</v>
      </c>
      <c r="M237" s="3">
        <f ca="1">IFERROR(__xludf.DUMMYFUNCTION("""COMPUTED_VALUE"""),1)</f>
        <v>1</v>
      </c>
      <c r="N237" s="3">
        <f ca="1">IFERROR(__xludf.DUMMYFUNCTION("""COMPUTED_VALUE"""),3089)</f>
        <v>3089</v>
      </c>
      <c r="O237" s="3">
        <f ca="1">IFERROR(__xludf.DUMMYFUNCTION("""COMPUTED_VALUE"""),2636)</f>
        <v>2636</v>
      </c>
      <c r="P237" s="3">
        <f ca="1">IFERROR(__xludf.DUMMYFUNCTION("""COMPUTED_VALUE"""),1445)</f>
        <v>1445</v>
      </c>
      <c r="Q237" s="3">
        <f ca="1">IFERROR(__xludf.DUMMYFUNCTION("""COMPUTED_VALUE"""),1118)</f>
        <v>1118</v>
      </c>
      <c r="R237" s="3">
        <f ca="1">IFERROR(__xludf.DUMMYFUNCTION("""COMPUTED_VALUE"""),2410)</f>
        <v>2410</v>
      </c>
      <c r="S237" s="3">
        <f ca="1">IFERROR(__xludf.DUMMYFUNCTION("""COMPUTED_VALUE"""),0.464)</f>
        <v>0.46400000000000002</v>
      </c>
      <c r="T237" s="3">
        <f ca="1">IFERROR(__xludf.DUMMYFUNCTION("""COMPUTED_VALUE"""),312)</f>
        <v>312</v>
      </c>
      <c r="U237" s="3">
        <f ca="1">IFERROR(__xludf.DUMMYFUNCTION("""COMPUTED_VALUE"""),862)</f>
        <v>862</v>
      </c>
      <c r="V237" s="3">
        <f ca="1">IFERROR(__xludf.DUMMYFUNCTION("""COMPUTED_VALUE"""),0.362)</f>
        <v>0.36199999999999999</v>
      </c>
      <c r="W237" s="3">
        <f ca="1">IFERROR(__xludf.DUMMYFUNCTION("""COMPUTED_VALUE"""),541)</f>
        <v>541</v>
      </c>
      <c r="X237" s="3">
        <f ca="1">IFERROR(__xludf.DUMMYFUNCTION("""COMPUTED_VALUE"""),728)</f>
        <v>728</v>
      </c>
      <c r="Y237" s="3">
        <f ca="1">IFERROR(__xludf.DUMMYFUNCTION("""COMPUTED_VALUE"""),0.743)</f>
        <v>0.74299999999999999</v>
      </c>
      <c r="Z237" s="3">
        <f ca="1">IFERROR(__xludf.DUMMYFUNCTION("""COMPUTED_VALUE"""),477)</f>
        <v>477</v>
      </c>
      <c r="AA237" s="3">
        <f ca="1">IFERROR(__xludf.DUMMYFUNCTION("""COMPUTED_VALUE"""),1589)</f>
        <v>1589</v>
      </c>
      <c r="AB237" s="3">
        <f ca="1">IFERROR(__xludf.DUMMYFUNCTION("""COMPUTED_VALUE"""),678)</f>
        <v>678</v>
      </c>
      <c r="AC237" s="3">
        <f ca="1">IFERROR(__xludf.DUMMYFUNCTION("""COMPUTED_VALUE"""),252)</f>
        <v>252</v>
      </c>
      <c r="AD237" s="3">
        <f ca="1">IFERROR(__xludf.DUMMYFUNCTION("""COMPUTED_VALUE"""),120)</f>
        <v>120</v>
      </c>
      <c r="AE237" s="3">
        <f ca="1">IFERROR(__xludf.DUMMYFUNCTION("""COMPUTED_VALUE"""),473)</f>
        <v>473</v>
      </c>
      <c r="AF237" s="3">
        <f ca="1">IFERROR(__xludf.DUMMYFUNCTION("""COMPUTED_VALUE"""),611)</f>
        <v>611</v>
      </c>
    </row>
    <row r="238" spans="1:32" x14ac:dyDescent="0.25">
      <c r="A238" s="3" t="str">
        <f ca="1">IFERROR(__xludf.DUMMYFUNCTION("""COMPUTED_VALUE"""),"North Dakota StateNCAA")</f>
        <v>North Dakota StateNCAA</v>
      </c>
      <c r="B238" s="3">
        <f ca="1">IFERROR(__xludf.DUMMYFUNCTION("""COMPUTED_VALUE"""),35)</f>
        <v>35</v>
      </c>
      <c r="C238" s="3">
        <f ca="1">IFERROR(__xludf.DUMMYFUNCTION("""COMPUTED_VALUE"""),19)</f>
        <v>19</v>
      </c>
      <c r="D238" s="3">
        <f ca="1">IFERROR(__xludf.DUMMYFUNCTION("""COMPUTED_VALUE"""),16)</f>
        <v>16</v>
      </c>
      <c r="E238" s="3">
        <f ca="1">IFERROR(__xludf.DUMMYFUNCTION("""COMPUTED_VALUE"""),0.543)</f>
        <v>0.54300000000000004</v>
      </c>
      <c r="F238" s="3">
        <f ca="1">IFERROR(__xludf.DUMMYFUNCTION("""COMPUTED_VALUE"""),-4.01)</f>
        <v>-4.01</v>
      </c>
      <c r="G238" s="3">
        <f ca="1">IFERROR(__xludf.DUMMYFUNCTION("""COMPUTED_VALUE"""),-2.07)</f>
        <v>-2.0699999999999998</v>
      </c>
      <c r="H238" s="3">
        <f ca="1">IFERROR(__xludf.DUMMYFUNCTION("""COMPUTED_VALUE"""),9)</f>
        <v>9</v>
      </c>
      <c r="I238" s="3">
        <f ca="1">IFERROR(__xludf.DUMMYFUNCTION("""COMPUTED_VALUE"""),7)</f>
        <v>7</v>
      </c>
      <c r="J238" s="3">
        <f ca="1">IFERROR(__xludf.DUMMYFUNCTION("""COMPUTED_VALUE"""),10)</f>
        <v>10</v>
      </c>
      <c r="K238" s="3">
        <f ca="1">IFERROR(__xludf.DUMMYFUNCTION("""COMPUTED_VALUE"""),3)</f>
        <v>3</v>
      </c>
      <c r="L238" s="3">
        <f ca="1">IFERROR(__xludf.DUMMYFUNCTION("""COMPUTED_VALUE"""),4)</f>
        <v>4</v>
      </c>
      <c r="M238" s="3">
        <f ca="1">IFERROR(__xludf.DUMMYFUNCTION("""COMPUTED_VALUE"""),9)</f>
        <v>9</v>
      </c>
      <c r="N238" s="3">
        <f ca="1">IFERROR(__xludf.DUMMYFUNCTION("""COMPUTED_VALUE"""),2556)</f>
        <v>2556</v>
      </c>
      <c r="O238" s="3">
        <f ca="1">IFERROR(__xludf.DUMMYFUNCTION("""COMPUTED_VALUE"""),2541)</f>
        <v>2541</v>
      </c>
      <c r="P238" s="3">
        <f ca="1">IFERROR(__xludf.DUMMYFUNCTION("""COMPUTED_VALUE"""),1410)</f>
        <v>1410</v>
      </c>
      <c r="Q238" s="3">
        <f ca="1">IFERROR(__xludf.DUMMYFUNCTION("""COMPUTED_VALUE"""),874)</f>
        <v>874</v>
      </c>
      <c r="R238" s="3">
        <f ca="1">IFERROR(__xludf.DUMMYFUNCTION("""COMPUTED_VALUE"""),1926)</f>
        <v>1926</v>
      </c>
      <c r="S238" s="3">
        <f ca="1">IFERROR(__xludf.DUMMYFUNCTION("""COMPUTED_VALUE"""),0.454)</f>
        <v>0.45400000000000001</v>
      </c>
      <c r="T238" s="3">
        <f ca="1">IFERROR(__xludf.DUMMYFUNCTION("""COMPUTED_VALUE"""),332)</f>
        <v>332</v>
      </c>
      <c r="U238" s="3">
        <f ca="1">IFERROR(__xludf.DUMMYFUNCTION("""COMPUTED_VALUE"""),910)</f>
        <v>910</v>
      </c>
      <c r="V238" s="3">
        <f ca="1">IFERROR(__xludf.DUMMYFUNCTION("""COMPUTED_VALUE"""),0.365)</f>
        <v>0.36499999999999999</v>
      </c>
      <c r="W238" s="3">
        <f ca="1">IFERROR(__xludf.DUMMYFUNCTION("""COMPUTED_VALUE"""),476)</f>
        <v>476</v>
      </c>
      <c r="X238" s="3">
        <f ca="1">IFERROR(__xludf.DUMMYFUNCTION("""COMPUTED_VALUE"""),613)</f>
        <v>613</v>
      </c>
      <c r="Y238" s="3">
        <f ca="1">IFERROR(__xludf.DUMMYFUNCTION("""COMPUTED_VALUE"""),0.777)</f>
        <v>0.77700000000000002</v>
      </c>
      <c r="Z238" s="3">
        <f ca="1">IFERROR(__xludf.DUMMYFUNCTION("""COMPUTED_VALUE"""),229)</f>
        <v>229</v>
      </c>
      <c r="AA238" s="3">
        <f ca="1">IFERROR(__xludf.DUMMYFUNCTION("""COMPUTED_VALUE"""),1105)</f>
        <v>1105</v>
      </c>
      <c r="AB238" s="3">
        <f ca="1">IFERROR(__xludf.DUMMYFUNCTION("""COMPUTED_VALUE"""),402)</f>
        <v>402</v>
      </c>
      <c r="AC238" s="3">
        <f ca="1">IFERROR(__xludf.DUMMYFUNCTION("""COMPUTED_VALUE"""),160)</f>
        <v>160</v>
      </c>
      <c r="AD238" s="3">
        <f ca="1">IFERROR(__xludf.DUMMYFUNCTION("""COMPUTED_VALUE"""),87)</f>
        <v>87</v>
      </c>
      <c r="AE238" s="3">
        <f ca="1">IFERROR(__xludf.DUMMYFUNCTION("""COMPUTED_VALUE"""),368)</f>
        <v>368</v>
      </c>
      <c r="AF238" s="3">
        <f ca="1">IFERROR(__xludf.DUMMYFUNCTION("""COMPUTED_VALUE"""),523)</f>
        <v>523</v>
      </c>
    </row>
    <row r="239" spans="1:32" x14ac:dyDescent="0.25">
      <c r="A239" s="3" t="str">
        <f ca="1">IFERROR(__xludf.DUMMYFUNCTION("""COMPUTED_VALUE"""),"North Dakota")</f>
        <v>North Dakota</v>
      </c>
      <c r="B239" s="3">
        <f ca="1">IFERROR(__xludf.DUMMYFUNCTION("""COMPUTED_VALUE"""),30)</f>
        <v>30</v>
      </c>
      <c r="C239" s="3">
        <f ca="1">IFERROR(__xludf.DUMMYFUNCTION("""COMPUTED_VALUE"""),12)</f>
        <v>12</v>
      </c>
      <c r="D239" s="3">
        <f ca="1">IFERROR(__xludf.DUMMYFUNCTION("""COMPUTED_VALUE"""),18)</f>
        <v>18</v>
      </c>
      <c r="E239" s="3">
        <f ca="1">IFERROR(__xludf.DUMMYFUNCTION("""COMPUTED_VALUE"""),0.4)</f>
        <v>0.4</v>
      </c>
      <c r="F239" s="3">
        <f ca="1">IFERROR(__xludf.DUMMYFUNCTION("""COMPUTED_VALUE"""),-8.78)</f>
        <v>-8.7799999999999994</v>
      </c>
      <c r="G239" s="3">
        <f ca="1">IFERROR(__xludf.DUMMYFUNCTION("""COMPUTED_VALUE"""),-3.55)</f>
        <v>-3.55</v>
      </c>
      <c r="H239" s="3">
        <f ca="1">IFERROR(__xludf.DUMMYFUNCTION("""COMPUTED_VALUE"""),6)</f>
        <v>6</v>
      </c>
      <c r="I239" s="3">
        <f ca="1">IFERROR(__xludf.DUMMYFUNCTION("""COMPUTED_VALUE"""),10)</f>
        <v>10</v>
      </c>
      <c r="J239" s="3">
        <f ca="1">IFERROR(__xludf.DUMMYFUNCTION("""COMPUTED_VALUE"""),8)</f>
        <v>8</v>
      </c>
      <c r="K239" s="3">
        <f ca="1">IFERROR(__xludf.DUMMYFUNCTION("""COMPUTED_VALUE"""),6)</f>
        <v>6</v>
      </c>
      <c r="L239" s="3">
        <f ca="1">IFERROR(__xludf.DUMMYFUNCTION("""COMPUTED_VALUE"""),4)</f>
        <v>4</v>
      </c>
      <c r="M239" s="3">
        <f ca="1">IFERROR(__xludf.DUMMYFUNCTION("""COMPUTED_VALUE"""),11)</f>
        <v>11</v>
      </c>
      <c r="N239" s="3">
        <f ca="1">IFERROR(__xludf.DUMMYFUNCTION("""COMPUTED_VALUE"""),2220)</f>
        <v>2220</v>
      </c>
      <c r="O239" s="3">
        <f ca="1">IFERROR(__xludf.DUMMYFUNCTION("""COMPUTED_VALUE"""),2196)</f>
        <v>2196</v>
      </c>
      <c r="P239" s="3">
        <f ca="1">IFERROR(__xludf.DUMMYFUNCTION("""COMPUTED_VALUE"""),1200)</f>
        <v>1200</v>
      </c>
      <c r="Q239" s="3">
        <f ca="1">IFERROR(__xludf.DUMMYFUNCTION("""COMPUTED_VALUE"""),822)</f>
        <v>822</v>
      </c>
      <c r="R239" s="3">
        <f ca="1">IFERROR(__xludf.DUMMYFUNCTION("""COMPUTED_VALUE"""),1771)</f>
        <v>1771</v>
      </c>
      <c r="S239" s="3">
        <f ca="1">IFERROR(__xludf.DUMMYFUNCTION("""COMPUTED_VALUE"""),0.464)</f>
        <v>0.46400000000000002</v>
      </c>
      <c r="T239" s="3">
        <f ca="1">IFERROR(__xludf.DUMMYFUNCTION("""COMPUTED_VALUE"""),241)</f>
        <v>241</v>
      </c>
      <c r="U239" s="3">
        <f ca="1">IFERROR(__xludf.DUMMYFUNCTION("""COMPUTED_VALUE"""),647)</f>
        <v>647</v>
      </c>
      <c r="V239" s="3">
        <f ca="1">IFERROR(__xludf.DUMMYFUNCTION("""COMPUTED_VALUE"""),0.372)</f>
        <v>0.372</v>
      </c>
      <c r="W239" s="3">
        <f ca="1">IFERROR(__xludf.DUMMYFUNCTION("""COMPUTED_VALUE"""),335)</f>
        <v>335</v>
      </c>
      <c r="X239" s="3">
        <f ca="1">IFERROR(__xludf.DUMMYFUNCTION("""COMPUTED_VALUE"""),482)</f>
        <v>482</v>
      </c>
      <c r="Y239" s="3">
        <f ca="1">IFERROR(__xludf.DUMMYFUNCTION("""COMPUTED_VALUE"""),0.695)</f>
        <v>0.69499999999999995</v>
      </c>
      <c r="Z239" s="3">
        <f ca="1">IFERROR(__xludf.DUMMYFUNCTION("""COMPUTED_VALUE"""),233)</f>
        <v>233</v>
      </c>
      <c r="AA239" s="3">
        <f ca="1">IFERROR(__xludf.DUMMYFUNCTION("""COMPUTED_VALUE"""),1009)</f>
        <v>1009</v>
      </c>
      <c r="AB239" s="3">
        <f ca="1">IFERROR(__xludf.DUMMYFUNCTION("""COMPUTED_VALUE"""),398)</f>
        <v>398</v>
      </c>
      <c r="AC239" s="3">
        <f ca="1">IFERROR(__xludf.DUMMYFUNCTION("""COMPUTED_VALUE"""),171)</f>
        <v>171</v>
      </c>
      <c r="AD239" s="3">
        <f ca="1">IFERROR(__xludf.DUMMYFUNCTION("""COMPUTED_VALUE"""),87)</f>
        <v>87</v>
      </c>
      <c r="AE239" s="3">
        <f ca="1">IFERROR(__xludf.DUMMYFUNCTION("""COMPUTED_VALUE"""),380)</f>
        <v>380</v>
      </c>
      <c r="AF239" s="3">
        <f ca="1">IFERROR(__xludf.DUMMYFUNCTION("""COMPUTED_VALUE"""),485)</f>
        <v>485</v>
      </c>
    </row>
    <row r="240" spans="1:32" x14ac:dyDescent="0.25">
      <c r="A240" s="3" t="str">
        <f ca="1">IFERROR(__xludf.DUMMYFUNCTION("""COMPUTED_VALUE"""),"North Florida")</f>
        <v>North Florida</v>
      </c>
      <c r="B240" s="3">
        <f ca="1">IFERROR(__xludf.DUMMYFUNCTION("""COMPUTED_VALUE"""),33)</f>
        <v>33</v>
      </c>
      <c r="C240" s="3">
        <f ca="1">IFERROR(__xludf.DUMMYFUNCTION("""COMPUTED_VALUE"""),16)</f>
        <v>16</v>
      </c>
      <c r="D240" s="3">
        <f ca="1">IFERROR(__xludf.DUMMYFUNCTION("""COMPUTED_VALUE"""),17)</f>
        <v>17</v>
      </c>
      <c r="E240" s="3">
        <f ca="1">IFERROR(__xludf.DUMMYFUNCTION("""COMPUTED_VALUE"""),0.485)</f>
        <v>0.48499999999999999</v>
      </c>
      <c r="F240" s="3">
        <f ca="1">IFERROR(__xludf.DUMMYFUNCTION("""COMPUTED_VALUE"""),-3.47)</f>
        <v>-3.47</v>
      </c>
      <c r="G240" s="3">
        <f ca="1">IFERROR(__xludf.DUMMYFUNCTION("""COMPUTED_VALUE"""),-0.7)</f>
        <v>-0.7</v>
      </c>
      <c r="H240" s="3">
        <f ca="1">IFERROR(__xludf.DUMMYFUNCTION("""COMPUTED_VALUE"""),9)</f>
        <v>9</v>
      </c>
      <c r="I240" s="3">
        <f ca="1">IFERROR(__xludf.DUMMYFUNCTION("""COMPUTED_VALUE"""),7)</f>
        <v>7</v>
      </c>
      <c r="J240" s="3">
        <f ca="1">IFERROR(__xludf.DUMMYFUNCTION("""COMPUTED_VALUE"""),10)</f>
        <v>10</v>
      </c>
      <c r="K240" s="3">
        <f ca="1">IFERROR(__xludf.DUMMYFUNCTION("""COMPUTED_VALUE"""),3)</f>
        <v>3</v>
      </c>
      <c r="L240" s="3">
        <f ca="1">IFERROR(__xludf.DUMMYFUNCTION("""COMPUTED_VALUE"""),5)</f>
        <v>5</v>
      </c>
      <c r="M240" s="3">
        <f ca="1">IFERROR(__xludf.DUMMYFUNCTION("""COMPUTED_VALUE"""),13)</f>
        <v>13</v>
      </c>
      <c r="N240" s="3">
        <f ca="1">IFERROR(__xludf.DUMMYFUNCTION("""COMPUTED_VALUE"""),2485)</f>
        <v>2485</v>
      </c>
      <c r="O240" s="3">
        <f ca="1">IFERROR(__xludf.DUMMYFUNCTION("""COMPUTED_VALUE"""),2531)</f>
        <v>2531</v>
      </c>
      <c r="P240" s="3">
        <f ca="1">IFERROR(__xludf.DUMMYFUNCTION("""COMPUTED_VALUE"""),1325)</f>
        <v>1325</v>
      </c>
      <c r="Q240" s="3">
        <f ca="1">IFERROR(__xludf.DUMMYFUNCTION("""COMPUTED_VALUE"""),902)</f>
        <v>902</v>
      </c>
      <c r="R240" s="3">
        <f ca="1">IFERROR(__xludf.DUMMYFUNCTION("""COMPUTED_VALUE"""),2014)</f>
        <v>2014</v>
      </c>
      <c r="S240" s="3">
        <f ca="1">IFERROR(__xludf.DUMMYFUNCTION("""COMPUTED_VALUE"""),0.448)</f>
        <v>0.44800000000000001</v>
      </c>
      <c r="T240" s="3">
        <f ca="1">IFERROR(__xludf.DUMMYFUNCTION("""COMPUTED_VALUE"""),308)</f>
        <v>308</v>
      </c>
      <c r="U240" s="3">
        <f ca="1">IFERROR(__xludf.DUMMYFUNCTION("""COMPUTED_VALUE"""),897)</f>
        <v>897</v>
      </c>
      <c r="V240" s="3">
        <f ca="1">IFERROR(__xludf.DUMMYFUNCTION("""COMPUTED_VALUE"""),0.343)</f>
        <v>0.34300000000000003</v>
      </c>
      <c r="W240" s="3">
        <f ca="1">IFERROR(__xludf.DUMMYFUNCTION("""COMPUTED_VALUE"""),373)</f>
        <v>373</v>
      </c>
      <c r="X240" s="3">
        <f ca="1">IFERROR(__xludf.DUMMYFUNCTION("""COMPUTED_VALUE"""),539)</f>
        <v>539</v>
      </c>
      <c r="Y240" s="3">
        <f ca="1">IFERROR(__xludf.DUMMYFUNCTION("""COMPUTED_VALUE"""),0.692)</f>
        <v>0.69199999999999995</v>
      </c>
      <c r="Z240" s="3">
        <f ca="1">IFERROR(__xludf.DUMMYFUNCTION("""COMPUTED_VALUE"""),363)</f>
        <v>363</v>
      </c>
      <c r="AA240" s="3">
        <f ca="1">IFERROR(__xludf.DUMMYFUNCTION("""COMPUTED_VALUE"""),1252)</f>
        <v>1252</v>
      </c>
      <c r="AB240" s="3">
        <f ca="1">IFERROR(__xludf.DUMMYFUNCTION("""COMPUTED_VALUE"""),520)</f>
        <v>520</v>
      </c>
      <c r="AC240" s="3">
        <f ca="1">IFERROR(__xludf.DUMMYFUNCTION("""COMPUTED_VALUE"""),212)</f>
        <v>212</v>
      </c>
      <c r="AD240" s="3">
        <f ca="1">IFERROR(__xludf.DUMMYFUNCTION("""COMPUTED_VALUE"""),165)</f>
        <v>165</v>
      </c>
      <c r="AE240" s="3">
        <f ca="1">IFERROR(__xludf.DUMMYFUNCTION("""COMPUTED_VALUE"""),536)</f>
        <v>536</v>
      </c>
      <c r="AF240" s="3">
        <f ca="1">IFERROR(__xludf.DUMMYFUNCTION("""COMPUTED_VALUE"""),573)</f>
        <v>573</v>
      </c>
    </row>
    <row r="241" spans="1:32" x14ac:dyDescent="0.25">
      <c r="A241" s="3" t="str">
        <f ca="1">IFERROR(__xludf.DUMMYFUNCTION("""COMPUTED_VALUE"""),"North Texas")</f>
        <v>North Texas</v>
      </c>
      <c r="B241" s="3">
        <f ca="1">IFERROR(__xludf.DUMMYFUNCTION("""COMPUTED_VALUE"""),33)</f>
        <v>33</v>
      </c>
      <c r="C241" s="3">
        <f ca="1">IFERROR(__xludf.DUMMYFUNCTION("""COMPUTED_VALUE"""),21)</f>
        <v>21</v>
      </c>
      <c r="D241" s="3">
        <f ca="1">IFERROR(__xludf.DUMMYFUNCTION("""COMPUTED_VALUE"""),12)</f>
        <v>12</v>
      </c>
      <c r="E241" s="3">
        <f ca="1">IFERROR(__xludf.DUMMYFUNCTION("""COMPUTED_VALUE"""),0.636)</f>
        <v>0.63600000000000001</v>
      </c>
      <c r="F241" s="3">
        <f ca="1">IFERROR(__xludf.DUMMYFUNCTION("""COMPUTED_VALUE"""),-0.25)</f>
        <v>-0.25</v>
      </c>
      <c r="G241" s="3">
        <f ca="1">IFERROR(__xludf.DUMMYFUNCTION("""COMPUTED_VALUE"""),-3.48)</f>
        <v>-3.48</v>
      </c>
      <c r="H241" s="3">
        <f ca="1">IFERROR(__xludf.DUMMYFUNCTION("""COMPUTED_VALUE"""),8)</f>
        <v>8</v>
      </c>
      <c r="I241" s="3">
        <f ca="1">IFERROR(__xludf.DUMMYFUNCTION("""COMPUTED_VALUE"""),10)</f>
        <v>10</v>
      </c>
      <c r="J241" s="3">
        <f ca="1">IFERROR(__xludf.DUMMYFUNCTION("""COMPUTED_VALUE"""),12)</f>
        <v>12</v>
      </c>
      <c r="K241" s="3">
        <f ca="1">IFERROR(__xludf.DUMMYFUNCTION("""COMPUTED_VALUE"""),4)</f>
        <v>4</v>
      </c>
      <c r="L241" s="3">
        <f ca="1">IFERROR(__xludf.DUMMYFUNCTION("""COMPUTED_VALUE"""),6)</f>
        <v>6</v>
      </c>
      <c r="M241" s="3">
        <f ca="1">IFERROR(__xludf.DUMMYFUNCTION("""COMPUTED_VALUE"""),7)</f>
        <v>7</v>
      </c>
      <c r="N241" s="3">
        <f ca="1">IFERROR(__xludf.DUMMYFUNCTION("""COMPUTED_VALUE"""),2302)</f>
        <v>2302</v>
      </c>
      <c r="O241" s="3">
        <f ca="1">IFERROR(__xludf.DUMMYFUNCTION("""COMPUTED_VALUE"""),2077)</f>
        <v>2077</v>
      </c>
      <c r="P241" s="3">
        <f ca="1">IFERROR(__xludf.DUMMYFUNCTION("""COMPUTED_VALUE"""),1325)</f>
        <v>1325</v>
      </c>
      <c r="Q241" s="3">
        <f ca="1">IFERROR(__xludf.DUMMYFUNCTION("""COMPUTED_VALUE"""),831)</f>
        <v>831</v>
      </c>
      <c r="R241" s="3">
        <f ca="1">IFERROR(__xludf.DUMMYFUNCTION("""COMPUTED_VALUE"""),1910)</f>
        <v>1910</v>
      </c>
      <c r="S241" s="3">
        <f ca="1">IFERROR(__xludf.DUMMYFUNCTION("""COMPUTED_VALUE"""),0.435)</f>
        <v>0.435</v>
      </c>
      <c r="T241" s="3">
        <f ca="1">IFERROR(__xludf.DUMMYFUNCTION("""COMPUTED_VALUE"""),284)</f>
        <v>284</v>
      </c>
      <c r="U241" s="3">
        <f ca="1">IFERROR(__xludf.DUMMYFUNCTION("""COMPUTED_VALUE"""),838)</f>
        <v>838</v>
      </c>
      <c r="V241" s="3">
        <f ca="1">IFERROR(__xludf.DUMMYFUNCTION("""COMPUTED_VALUE"""),0.339)</f>
        <v>0.33900000000000002</v>
      </c>
      <c r="W241" s="3">
        <f ca="1">IFERROR(__xludf.DUMMYFUNCTION("""COMPUTED_VALUE"""),356)</f>
        <v>356</v>
      </c>
      <c r="X241" s="3">
        <f ca="1">IFERROR(__xludf.DUMMYFUNCTION("""COMPUTED_VALUE"""),532)</f>
        <v>532</v>
      </c>
      <c r="Y241" s="3">
        <f ca="1">IFERROR(__xludf.DUMMYFUNCTION("""COMPUTED_VALUE"""),0.669)</f>
        <v>0.66900000000000004</v>
      </c>
      <c r="Z241" s="3">
        <f ca="1">IFERROR(__xludf.DUMMYFUNCTION("""COMPUTED_VALUE"""),368)</f>
        <v>368</v>
      </c>
      <c r="AA241" s="3">
        <f ca="1">IFERROR(__xludf.DUMMYFUNCTION("""COMPUTED_VALUE"""),1244)</f>
        <v>1244</v>
      </c>
      <c r="AB241" s="3">
        <f ca="1">IFERROR(__xludf.DUMMYFUNCTION("""COMPUTED_VALUE"""),428)</f>
        <v>428</v>
      </c>
      <c r="AC241" s="3">
        <f ca="1">IFERROR(__xludf.DUMMYFUNCTION("""COMPUTED_VALUE"""),210)</f>
        <v>210</v>
      </c>
      <c r="AD241" s="3">
        <f ca="1">IFERROR(__xludf.DUMMYFUNCTION("""COMPUTED_VALUE"""),88)</f>
        <v>88</v>
      </c>
      <c r="AE241" s="3">
        <f ca="1">IFERROR(__xludf.DUMMYFUNCTION("""COMPUTED_VALUE"""),443)</f>
        <v>443</v>
      </c>
      <c r="AF241" s="3">
        <f ca="1">IFERROR(__xludf.DUMMYFUNCTION("""COMPUTED_VALUE"""),589)</f>
        <v>589</v>
      </c>
    </row>
    <row r="242" spans="1:32" x14ac:dyDescent="0.25">
      <c r="A242" s="3" t="str">
        <f ca="1">IFERROR(__xludf.DUMMYFUNCTION("""COMPUTED_VALUE"""),"Overall")</f>
        <v>Overall</v>
      </c>
      <c r="B242" s="3" t="str">
        <f ca="1">IFERROR(__xludf.DUMMYFUNCTION("""COMPUTED_VALUE"""),"Conf.")</f>
        <v>Conf.</v>
      </c>
      <c r="C242" s="3" t="str">
        <f ca="1">IFERROR(__xludf.DUMMYFUNCTION("""COMPUTED_VALUE"""),"Home")</f>
        <v>Home</v>
      </c>
      <c r="D242" s="3" t="str">
        <f ca="1">IFERROR(__xludf.DUMMYFUNCTION("""COMPUTED_VALUE"""),"Away")</f>
        <v>Away</v>
      </c>
      <c r="E242" s="3" t="str">
        <f ca="1">IFERROR(__xludf.DUMMYFUNCTION("""COMPUTED_VALUE"""),"Points")</f>
        <v>Points</v>
      </c>
      <c r="F242" s="3" t="str">
        <f ca="1">IFERROR(__xludf.DUMMYFUNCTION("""COMPUTED_VALUE"""),"")</f>
        <v/>
      </c>
      <c r="G242" s="3" t="str">
        <f ca="1">IFERROR(__xludf.DUMMYFUNCTION("""COMPUTED_VALUE"""),"School Totals")</f>
        <v>School Totals</v>
      </c>
      <c r="H242" s="3" t="str">
        <f ca="1">IFERROR(__xludf.DUMMYFUNCTION("""COMPUTED_VALUE"""),"")</f>
        <v/>
      </c>
      <c r="I242" s="3" t="str">
        <f ca="1">IFERROR(__xludf.DUMMYFUNCTION("""COMPUTED_VALUE"""),"")</f>
        <v/>
      </c>
      <c r="J242" s="3" t="str">
        <f ca="1">IFERROR(__xludf.DUMMYFUNCTION("""COMPUTED_VALUE"""),"")</f>
        <v/>
      </c>
      <c r="K242" s="3" t="str">
        <f ca="1">IFERROR(__xludf.DUMMYFUNCTION("""COMPUTED_VALUE"""),"")</f>
        <v/>
      </c>
      <c r="L242" s="3" t="str">
        <f ca="1">IFERROR(__xludf.DUMMYFUNCTION("""COMPUTED_VALUE"""),"")</f>
        <v/>
      </c>
      <c r="M242" s="3" t="str">
        <f ca="1">IFERROR(__xludf.DUMMYFUNCTION("""COMPUTED_VALUE"""),"")</f>
        <v/>
      </c>
      <c r="N242" s="3" t="str">
        <f ca="1">IFERROR(__xludf.DUMMYFUNCTION("""COMPUTED_VALUE"""),"")</f>
        <v/>
      </c>
      <c r="O242" s="3" t="str">
        <f ca="1">IFERROR(__xludf.DUMMYFUNCTION("""COMPUTED_VALUE"""),"")</f>
        <v/>
      </c>
      <c r="P242" s="3" t="str">
        <f ca="1">IFERROR(__xludf.DUMMYFUNCTION("""COMPUTED_VALUE"""),"")</f>
        <v/>
      </c>
      <c r="Q242" s="3" t="str">
        <f ca="1">IFERROR(__xludf.DUMMYFUNCTION("""COMPUTED_VALUE"""),"")</f>
        <v/>
      </c>
      <c r="R242" s="3" t="str">
        <f ca="1">IFERROR(__xludf.DUMMYFUNCTION("""COMPUTED_VALUE"""),"")</f>
        <v/>
      </c>
      <c r="S242" s="3" t="str">
        <f ca="1">IFERROR(__xludf.DUMMYFUNCTION("""COMPUTED_VALUE"""),"")</f>
        <v/>
      </c>
      <c r="T242" s="3" t="str">
        <f ca="1">IFERROR(__xludf.DUMMYFUNCTION("""COMPUTED_VALUE"""),"")</f>
        <v/>
      </c>
      <c r="U242" s="3" t="str">
        <f ca="1">IFERROR(__xludf.DUMMYFUNCTION("""COMPUTED_VALUE"""),"")</f>
        <v/>
      </c>
      <c r="V242" s="3" t="str">
        <f ca="1">IFERROR(__xludf.DUMMYFUNCTION("""COMPUTED_VALUE"""),"")</f>
        <v/>
      </c>
      <c r="W242" s="3" t="str">
        <f ca="1">IFERROR(__xludf.DUMMYFUNCTION("""COMPUTED_VALUE"""),"")</f>
        <v/>
      </c>
      <c r="X242" s="3" t="str">
        <f ca="1">IFERROR(__xludf.DUMMYFUNCTION("""COMPUTED_VALUE"""),"")</f>
        <v/>
      </c>
      <c r="Y242" s="3" t="str">
        <f ca="1">IFERROR(__xludf.DUMMYFUNCTION("""COMPUTED_VALUE"""),"")</f>
        <v/>
      </c>
      <c r="Z242" s="3" t="str">
        <f ca="1">IFERROR(__xludf.DUMMYFUNCTION("""COMPUTED_VALUE"""),"")</f>
        <v/>
      </c>
      <c r="AA242" s="3" t="str">
        <f ca="1">IFERROR(__xludf.DUMMYFUNCTION("""COMPUTED_VALUE"""),"")</f>
        <v/>
      </c>
      <c r="AB242" s="3" t="str">
        <f ca="1">IFERROR(__xludf.DUMMYFUNCTION("""COMPUTED_VALUE"""),"")</f>
        <v/>
      </c>
      <c r="AC242" s="3" t="str">
        <f ca="1">IFERROR(__xludf.DUMMYFUNCTION("""COMPUTED_VALUE"""),"")</f>
        <v/>
      </c>
      <c r="AD242" s="3" t="str">
        <f ca="1">IFERROR(__xludf.DUMMYFUNCTION("""COMPUTED_VALUE"""),"")</f>
        <v/>
      </c>
      <c r="AE242" s="3" t="str">
        <f ca="1">IFERROR(__xludf.DUMMYFUNCTION("""COMPUTED_VALUE"""),"")</f>
        <v/>
      </c>
      <c r="AF242" s="3" t="str">
        <f ca="1">IFERROR(__xludf.DUMMYFUNCTION("""COMPUTED_VALUE"""),"")</f>
        <v/>
      </c>
    </row>
    <row r="243" spans="1:32" x14ac:dyDescent="0.25">
      <c r="A243" s="3" t="str">
        <f ca="1">IFERROR(__xludf.DUMMYFUNCTION("""COMPUTED_VALUE"""),"School")</f>
        <v>School</v>
      </c>
      <c r="B243" s="3" t="str">
        <f ca="1">IFERROR(__xludf.DUMMYFUNCTION("""COMPUTED_VALUE"""),"G")</f>
        <v>G</v>
      </c>
      <c r="C243" s="3" t="str">
        <f ca="1">IFERROR(__xludf.DUMMYFUNCTION("""COMPUTED_VALUE"""),"W")</f>
        <v>W</v>
      </c>
      <c r="D243" s="3" t="str">
        <f ca="1">IFERROR(__xludf.DUMMYFUNCTION("""COMPUTED_VALUE"""),"L")</f>
        <v>L</v>
      </c>
      <c r="E243" s="3" t="str">
        <f ca="1">IFERROR(__xludf.DUMMYFUNCTION("""COMPUTED_VALUE"""),"W-L%")</f>
        <v>W-L%</v>
      </c>
      <c r="F243" s="3" t="str">
        <f ca="1">IFERROR(__xludf.DUMMYFUNCTION("""COMPUTED_VALUE"""),"SRS")</f>
        <v>SRS</v>
      </c>
      <c r="G243" s="3" t="str">
        <f ca="1">IFERROR(__xludf.DUMMYFUNCTION("""COMPUTED_VALUE"""),"SOS")</f>
        <v>SOS</v>
      </c>
      <c r="H243" s="3" t="str">
        <f ca="1">IFERROR(__xludf.DUMMYFUNCTION("""COMPUTED_VALUE"""),"W")</f>
        <v>W</v>
      </c>
      <c r="I243" s="3" t="str">
        <f ca="1">IFERROR(__xludf.DUMMYFUNCTION("""COMPUTED_VALUE"""),"L")</f>
        <v>L</v>
      </c>
      <c r="J243" s="3" t="str">
        <f ca="1">IFERROR(__xludf.DUMMYFUNCTION("""COMPUTED_VALUE"""),"W")</f>
        <v>W</v>
      </c>
      <c r="K243" s="3" t="str">
        <f ca="1">IFERROR(__xludf.DUMMYFUNCTION("""COMPUTED_VALUE"""),"L")</f>
        <v>L</v>
      </c>
      <c r="L243" s="3" t="str">
        <f ca="1">IFERROR(__xludf.DUMMYFUNCTION("""COMPUTED_VALUE"""),"W")</f>
        <v>W</v>
      </c>
      <c r="M243" s="3" t="str">
        <f ca="1">IFERROR(__xludf.DUMMYFUNCTION("""COMPUTED_VALUE"""),"L")</f>
        <v>L</v>
      </c>
      <c r="N243" s="3" t="str">
        <f ca="1">IFERROR(__xludf.DUMMYFUNCTION("""COMPUTED_VALUE"""),"Tm.")</f>
        <v>Tm.</v>
      </c>
      <c r="O243" s="3" t="str">
        <f ca="1">IFERROR(__xludf.DUMMYFUNCTION("""COMPUTED_VALUE"""),"Opp.")</f>
        <v>Opp.</v>
      </c>
      <c r="P243" s="3" t="str">
        <f ca="1">IFERROR(__xludf.DUMMYFUNCTION("""COMPUTED_VALUE"""),"MP")</f>
        <v>MP</v>
      </c>
      <c r="Q243" s="3" t="str">
        <f ca="1">IFERROR(__xludf.DUMMYFUNCTION("""COMPUTED_VALUE"""),"FG")</f>
        <v>FG</v>
      </c>
      <c r="R243" s="3" t="str">
        <f ca="1">IFERROR(__xludf.DUMMYFUNCTION("""COMPUTED_VALUE"""),"FGA")</f>
        <v>FGA</v>
      </c>
      <c r="S243" s="3" t="str">
        <f ca="1">IFERROR(__xludf.DUMMYFUNCTION("""COMPUTED_VALUE"""),"FG%")</f>
        <v>FG%</v>
      </c>
      <c r="T243" s="3" t="str">
        <f ca="1">IFERROR(__xludf.DUMMYFUNCTION("""COMPUTED_VALUE"""),"3P")</f>
        <v>3P</v>
      </c>
      <c r="U243" s="3" t="str">
        <f ca="1">IFERROR(__xludf.DUMMYFUNCTION("""COMPUTED_VALUE"""),"3PA")</f>
        <v>3PA</v>
      </c>
      <c r="V243" s="3" t="str">
        <f ca="1">IFERROR(__xludf.DUMMYFUNCTION("""COMPUTED_VALUE"""),"3P%")</f>
        <v>3P%</v>
      </c>
      <c r="W243" s="3" t="str">
        <f ca="1">IFERROR(__xludf.DUMMYFUNCTION("""COMPUTED_VALUE"""),"FT")</f>
        <v>FT</v>
      </c>
      <c r="X243" s="3" t="str">
        <f ca="1">IFERROR(__xludf.DUMMYFUNCTION("""COMPUTED_VALUE"""),"FTA")</f>
        <v>FTA</v>
      </c>
      <c r="Y243" s="3" t="str">
        <f ca="1">IFERROR(__xludf.DUMMYFUNCTION("""COMPUTED_VALUE"""),"FT%")</f>
        <v>FT%</v>
      </c>
      <c r="Z243" s="3" t="str">
        <f ca="1">IFERROR(__xludf.DUMMYFUNCTION("""COMPUTED_VALUE"""),"ORB")</f>
        <v>ORB</v>
      </c>
      <c r="AA243" s="3" t="str">
        <f ca="1">IFERROR(__xludf.DUMMYFUNCTION("""COMPUTED_VALUE"""),"TRB")</f>
        <v>TRB</v>
      </c>
      <c r="AB243" s="3" t="str">
        <f ca="1">IFERROR(__xludf.DUMMYFUNCTION("""COMPUTED_VALUE"""),"AST")</f>
        <v>AST</v>
      </c>
      <c r="AC243" s="3" t="str">
        <f ca="1">IFERROR(__xludf.DUMMYFUNCTION("""COMPUTED_VALUE"""),"STL")</f>
        <v>STL</v>
      </c>
      <c r="AD243" s="3" t="str">
        <f ca="1">IFERROR(__xludf.DUMMYFUNCTION("""COMPUTED_VALUE"""),"BLK")</f>
        <v>BLK</v>
      </c>
      <c r="AE243" s="3" t="str">
        <f ca="1">IFERROR(__xludf.DUMMYFUNCTION("""COMPUTED_VALUE"""),"TOV")</f>
        <v>TOV</v>
      </c>
      <c r="AF243" s="3" t="str">
        <f ca="1">IFERROR(__xludf.DUMMYFUNCTION("""COMPUTED_VALUE"""),"PF")</f>
        <v>PF</v>
      </c>
    </row>
    <row r="244" spans="1:32" x14ac:dyDescent="0.25">
      <c r="A244" s="3" t="str">
        <f ca="1">IFERROR(__xludf.DUMMYFUNCTION("""COMPUTED_VALUE"""),"NortheasternNCAA")</f>
        <v>NortheasternNCAA</v>
      </c>
      <c r="B244" s="3">
        <f ca="1">IFERROR(__xludf.DUMMYFUNCTION("""COMPUTED_VALUE"""),34)</f>
        <v>34</v>
      </c>
      <c r="C244" s="3">
        <f ca="1">IFERROR(__xludf.DUMMYFUNCTION("""COMPUTED_VALUE"""),23)</f>
        <v>23</v>
      </c>
      <c r="D244" s="3">
        <f ca="1">IFERROR(__xludf.DUMMYFUNCTION("""COMPUTED_VALUE"""),11)</f>
        <v>11</v>
      </c>
      <c r="E244" s="3">
        <f ca="1">IFERROR(__xludf.DUMMYFUNCTION("""COMPUTED_VALUE"""),0.676)</f>
        <v>0.67600000000000005</v>
      </c>
      <c r="F244" s="3">
        <f ca="1">IFERROR(__xludf.DUMMYFUNCTION("""COMPUTED_VALUE"""),3.95)</f>
        <v>3.95</v>
      </c>
      <c r="G244" s="3">
        <f ca="1">IFERROR(__xludf.DUMMYFUNCTION("""COMPUTED_VALUE"""),-0.7)</f>
        <v>-0.7</v>
      </c>
      <c r="H244" s="3">
        <f ca="1">IFERROR(__xludf.DUMMYFUNCTION("""COMPUTED_VALUE"""),14)</f>
        <v>14</v>
      </c>
      <c r="I244" s="3">
        <f ca="1">IFERROR(__xludf.DUMMYFUNCTION("""COMPUTED_VALUE"""),4)</f>
        <v>4</v>
      </c>
      <c r="J244" s="3">
        <f ca="1">IFERROR(__xludf.DUMMYFUNCTION("""COMPUTED_VALUE"""),11)</f>
        <v>11</v>
      </c>
      <c r="K244" s="3">
        <f ca="1">IFERROR(__xludf.DUMMYFUNCTION("""COMPUTED_VALUE"""),2)</f>
        <v>2</v>
      </c>
      <c r="L244" s="3">
        <f ca="1">IFERROR(__xludf.DUMMYFUNCTION("""COMPUTED_VALUE"""),8)</f>
        <v>8</v>
      </c>
      <c r="M244" s="3">
        <f ca="1">IFERROR(__xludf.DUMMYFUNCTION("""COMPUTED_VALUE"""),6)</f>
        <v>6</v>
      </c>
      <c r="N244" s="3">
        <f ca="1">IFERROR(__xludf.DUMMYFUNCTION("""COMPUTED_VALUE"""),2564)</f>
        <v>2564</v>
      </c>
      <c r="O244" s="3">
        <f ca="1">IFERROR(__xludf.DUMMYFUNCTION("""COMPUTED_VALUE"""),2406)</f>
        <v>2406</v>
      </c>
      <c r="P244" s="3">
        <f ca="1">IFERROR(__xludf.DUMMYFUNCTION("""COMPUTED_VALUE"""),1385)</f>
        <v>1385</v>
      </c>
      <c r="Q244" s="3">
        <f ca="1">IFERROR(__xludf.DUMMYFUNCTION("""COMPUTED_VALUE"""),880)</f>
        <v>880</v>
      </c>
      <c r="R244" s="3">
        <f ca="1">IFERROR(__xludf.DUMMYFUNCTION("""COMPUTED_VALUE"""),1848)</f>
        <v>1848</v>
      </c>
      <c r="S244" s="3">
        <f ca="1">IFERROR(__xludf.DUMMYFUNCTION("""COMPUTED_VALUE"""),0.476)</f>
        <v>0.47599999999999998</v>
      </c>
      <c r="T244" s="3">
        <f ca="1">IFERROR(__xludf.DUMMYFUNCTION("""COMPUTED_VALUE"""),328)</f>
        <v>328</v>
      </c>
      <c r="U244" s="3">
        <f ca="1">IFERROR(__xludf.DUMMYFUNCTION("""COMPUTED_VALUE"""),858)</f>
        <v>858</v>
      </c>
      <c r="V244" s="3">
        <f ca="1">IFERROR(__xludf.DUMMYFUNCTION("""COMPUTED_VALUE"""),0.382)</f>
        <v>0.38200000000000001</v>
      </c>
      <c r="W244" s="3">
        <f ca="1">IFERROR(__xludf.DUMMYFUNCTION("""COMPUTED_VALUE"""),476)</f>
        <v>476</v>
      </c>
      <c r="X244" s="3">
        <f ca="1">IFERROR(__xludf.DUMMYFUNCTION("""COMPUTED_VALUE"""),634)</f>
        <v>634</v>
      </c>
      <c r="Y244" s="3">
        <f ca="1">IFERROR(__xludf.DUMMYFUNCTION("""COMPUTED_VALUE"""),0.751)</f>
        <v>0.751</v>
      </c>
      <c r="Z244" s="3">
        <f ca="1">IFERROR(__xludf.DUMMYFUNCTION("""COMPUTED_VALUE"""),237)</f>
        <v>237</v>
      </c>
      <c r="AA244" s="3">
        <f ca="1">IFERROR(__xludf.DUMMYFUNCTION("""COMPUTED_VALUE"""),1075)</f>
        <v>1075</v>
      </c>
      <c r="AB244" s="3">
        <f ca="1">IFERROR(__xludf.DUMMYFUNCTION("""COMPUTED_VALUE"""),480)</f>
        <v>480</v>
      </c>
      <c r="AC244" s="3">
        <f ca="1">IFERROR(__xludf.DUMMYFUNCTION("""COMPUTED_VALUE"""),211)</f>
        <v>211</v>
      </c>
      <c r="AD244" s="3">
        <f ca="1">IFERROR(__xludf.DUMMYFUNCTION("""COMPUTED_VALUE"""),74)</f>
        <v>74</v>
      </c>
      <c r="AE244" s="3">
        <f ca="1">IFERROR(__xludf.DUMMYFUNCTION("""COMPUTED_VALUE"""),381)</f>
        <v>381</v>
      </c>
      <c r="AF244" s="3">
        <f ca="1">IFERROR(__xludf.DUMMYFUNCTION("""COMPUTED_VALUE"""),539)</f>
        <v>539</v>
      </c>
    </row>
    <row r="245" spans="1:32" x14ac:dyDescent="0.25">
      <c r="A245" s="3" t="str">
        <f ca="1">IFERROR(__xludf.DUMMYFUNCTION("""COMPUTED_VALUE"""),"Northern Arizona")</f>
        <v>Northern Arizona</v>
      </c>
      <c r="B245" s="3">
        <f ca="1">IFERROR(__xludf.DUMMYFUNCTION("""COMPUTED_VALUE"""),31)</f>
        <v>31</v>
      </c>
      <c r="C245" s="3">
        <f ca="1">IFERROR(__xludf.DUMMYFUNCTION("""COMPUTED_VALUE"""),10)</f>
        <v>10</v>
      </c>
      <c r="D245" s="3">
        <f ca="1">IFERROR(__xludf.DUMMYFUNCTION("""COMPUTED_VALUE"""),21)</f>
        <v>21</v>
      </c>
      <c r="E245" s="3">
        <f ca="1">IFERROR(__xludf.DUMMYFUNCTION("""COMPUTED_VALUE"""),0.323)</f>
        <v>0.32300000000000001</v>
      </c>
      <c r="F245" s="3">
        <f ca="1">IFERROR(__xludf.DUMMYFUNCTION("""COMPUTED_VALUE"""),-10.75)</f>
        <v>-10.75</v>
      </c>
      <c r="G245" s="3">
        <f ca="1">IFERROR(__xludf.DUMMYFUNCTION("""COMPUTED_VALUE"""),-6.23)</f>
        <v>-6.23</v>
      </c>
      <c r="H245" s="3">
        <f ca="1">IFERROR(__xludf.DUMMYFUNCTION("""COMPUTED_VALUE"""),8)</f>
        <v>8</v>
      </c>
      <c r="I245" s="3">
        <f ca="1">IFERROR(__xludf.DUMMYFUNCTION("""COMPUTED_VALUE"""),12)</f>
        <v>12</v>
      </c>
      <c r="J245" s="3">
        <f ca="1">IFERROR(__xludf.DUMMYFUNCTION("""COMPUTED_VALUE"""),5)</f>
        <v>5</v>
      </c>
      <c r="K245" s="3">
        <f ca="1">IFERROR(__xludf.DUMMYFUNCTION("""COMPUTED_VALUE"""),7)</f>
        <v>7</v>
      </c>
      <c r="L245" s="3">
        <f ca="1">IFERROR(__xludf.DUMMYFUNCTION("""COMPUTED_VALUE"""),5)</f>
        <v>5</v>
      </c>
      <c r="M245" s="3">
        <f ca="1">IFERROR(__xludf.DUMMYFUNCTION("""COMPUTED_VALUE"""),13)</f>
        <v>13</v>
      </c>
      <c r="N245" s="3">
        <f ca="1">IFERROR(__xludf.DUMMYFUNCTION("""COMPUTED_VALUE"""),2262)</f>
        <v>2262</v>
      </c>
      <c r="O245" s="3">
        <f ca="1">IFERROR(__xludf.DUMMYFUNCTION("""COMPUTED_VALUE"""),2402)</f>
        <v>2402</v>
      </c>
      <c r="P245" s="3">
        <f ca="1">IFERROR(__xludf.DUMMYFUNCTION("""COMPUTED_VALUE"""),1250)</f>
        <v>1250</v>
      </c>
      <c r="Q245" s="3">
        <f ca="1">IFERROR(__xludf.DUMMYFUNCTION("""COMPUTED_VALUE"""),785)</f>
        <v>785</v>
      </c>
      <c r="R245" s="3">
        <f ca="1">IFERROR(__xludf.DUMMYFUNCTION("""COMPUTED_VALUE"""),1819)</f>
        <v>1819</v>
      </c>
      <c r="S245" s="3">
        <f ca="1">IFERROR(__xludf.DUMMYFUNCTION("""COMPUTED_VALUE"""),0.432)</f>
        <v>0.432</v>
      </c>
      <c r="T245" s="3">
        <f ca="1">IFERROR(__xludf.DUMMYFUNCTION("""COMPUTED_VALUE"""),259)</f>
        <v>259</v>
      </c>
      <c r="U245" s="3">
        <f ca="1">IFERROR(__xludf.DUMMYFUNCTION("""COMPUTED_VALUE"""),749)</f>
        <v>749</v>
      </c>
      <c r="V245" s="3">
        <f ca="1">IFERROR(__xludf.DUMMYFUNCTION("""COMPUTED_VALUE"""),0.346)</f>
        <v>0.34599999999999997</v>
      </c>
      <c r="W245" s="3">
        <f ca="1">IFERROR(__xludf.DUMMYFUNCTION("""COMPUTED_VALUE"""),433)</f>
        <v>433</v>
      </c>
      <c r="X245" s="3">
        <f ca="1">IFERROR(__xludf.DUMMYFUNCTION("""COMPUTED_VALUE"""),614)</f>
        <v>614</v>
      </c>
      <c r="Y245" s="3">
        <f ca="1">IFERROR(__xludf.DUMMYFUNCTION("""COMPUTED_VALUE"""),0.705)</f>
        <v>0.70499999999999996</v>
      </c>
      <c r="Z245" s="3">
        <f ca="1">IFERROR(__xludf.DUMMYFUNCTION("""COMPUTED_VALUE"""),290)</f>
        <v>290</v>
      </c>
      <c r="AA245" s="3">
        <f ca="1">IFERROR(__xludf.DUMMYFUNCTION("""COMPUTED_VALUE"""),1055)</f>
        <v>1055</v>
      </c>
      <c r="AB245" s="3">
        <f ca="1">IFERROR(__xludf.DUMMYFUNCTION("""COMPUTED_VALUE"""),381)</f>
        <v>381</v>
      </c>
      <c r="AC245" s="3">
        <f ca="1">IFERROR(__xludf.DUMMYFUNCTION("""COMPUTED_VALUE"""),196)</f>
        <v>196</v>
      </c>
      <c r="AD245" s="3">
        <f ca="1">IFERROR(__xludf.DUMMYFUNCTION("""COMPUTED_VALUE"""),65)</f>
        <v>65</v>
      </c>
      <c r="AE245" s="3">
        <f ca="1">IFERROR(__xludf.DUMMYFUNCTION("""COMPUTED_VALUE"""),372)</f>
        <v>372</v>
      </c>
      <c r="AF245" s="3">
        <f ca="1">IFERROR(__xludf.DUMMYFUNCTION("""COMPUTED_VALUE"""),537)</f>
        <v>537</v>
      </c>
    </row>
    <row r="246" spans="1:32" x14ac:dyDescent="0.25">
      <c r="A246" s="3" t="str">
        <f ca="1">IFERROR(__xludf.DUMMYFUNCTION("""COMPUTED_VALUE"""),"Northern Colorado")</f>
        <v>Northern Colorado</v>
      </c>
      <c r="B246" s="3">
        <f ca="1">IFERROR(__xludf.DUMMYFUNCTION("""COMPUTED_VALUE"""),32)</f>
        <v>32</v>
      </c>
      <c r="C246" s="3">
        <f ca="1">IFERROR(__xludf.DUMMYFUNCTION("""COMPUTED_VALUE"""),21)</f>
        <v>21</v>
      </c>
      <c r="D246" s="3">
        <f ca="1">IFERROR(__xludf.DUMMYFUNCTION("""COMPUTED_VALUE"""),11)</f>
        <v>11</v>
      </c>
      <c r="E246" s="3">
        <f ca="1">IFERROR(__xludf.DUMMYFUNCTION("""COMPUTED_VALUE"""),0.656)</f>
        <v>0.65600000000000003</v>
      </c>
      <c r="F246" s="3">
        <f ca="1">IFERROR(__xludf.DUMMYFUNCTION("""COMPUTED_VALUE"""),-3.92)</f>
        <v>-3.92</v>
      </c>
      <c r="G246" s="3">
        <f ca="1">IFERROR(__xludf.DUMMYFUNCTION("""COMPUTED_VALUE"""),-6.76)</f>
        <v>-6.76</v>
      </c>
      <c r="H246" s="3">
        <f ca="1">IFERROR(__xludf.DUMMYFUNCTION("""COMPUTED_VALUE"""),15)</f>
        <v>15</v>
      </c>
      <c r="I246" s="3">
        <f ca="1">IFERROR(__xludf.DUMMYFUNCTION("""COMPUTED_VALUE"""),5)</f>
        <v>5</v>
      </c>
      <c r="J246" s="3">
        <f ca="1">IFERROR(__xludf.DUMMYFUNCTION("""COMPUTED_VALUE"""),10)</f>
        <v>10</v>
      </c>
      <c r="K246" s="3">
        <f ca="1">IFERROR(__xludf.DUMMYFUNCTION("""COMPUTED_VALUE"""),3)</f>
        <v>3</v>
      </c>
      <c r="L246" s="3">
        <f ca="1">IFERROR(__xludf.DUMMYFUNCTION("""COMPUTED_VALUE"""),11)</f>
        <v>11</v>
      </c>
      <c r="M246" s="3">
        <f ca="1">IFERROR(__xludf.DUMMYFUNCTION("""COMPUTED_VALUE"""),5)</f>
        <v>5</v>
      </c>
      <c r="N246" s="3">
        <f ca="1">IFERROR(__xludf.DUMMYFUNCTION("""COMPUTED_VALUE"""),2450)</f>
        <v>2450</v>
      </c>
      <c r="O246" s="3">
        <f ca="1">IFERROR(__xludf.DUMMYFUNCTION("""COMPUTED_VALUE"""),2229)</f>
        <v>2229</v>
      </c>
      <c r="P246" s="3">
        <f ca="1">IFERROR(__xludf.DUMMYFUNCTION("""COMPUTED_VALUE"""),1295)</f>
        <v>1295</v>
      </c>
      <c r="Q246" s="3">
        <f ca="1">IFERROR(__xludf.DUMMYFUNCTION("""COMPUTED_VALUE"""),849)</f>
        <v>849</v>
      </c>
      <c r="R246" s="3">
        <f ca="1">IFERROR(__xludf.DUMMYFUNCTION("""COMPUTED_VALUE"""),1837)</f>
        <v>1837</v>
      </c>
      <c r="S246" s="3">
        <f ca="1">IFERROR(__xludf.DUMMYFUNCTION("""COMPUTED_VALUE"""),0.462)</f>
        <v>0.46200000000000002</v>
      </c>
      <c r="T246" s="3">
        <f ca="1">IFERROR(__xludf.DUMMYFUNCTION("""COMPUTED_VALUE"""),307)</f>
        <v>307</v>
      </c>
      <c r="U246" s="3">
        <f ca="1">IFERROR(__xludf.DUMMYFUNCTION("""COMPUTED_VALUE"""),849)</f>
        <v>849</v>
      </c>
      <c r="V246" s="3">
        <f ca="1">IFERROR(__xludf.DUMMYFUNCTION("""COMPUTED_VALUE"""),0.362)</f>
        <v>0.36199999999999999</v>
      </c>
      <c r="W246" s="3">
        <f ca="1">IFERROR(__xludf.DUMMYFUNCTION("""COMPUTED_VALUE"""),445)</f>
        <v>445</v>
      </c>
      <c r="X246" s="3">
        <f ca="1">IFERROR(__xludf.DUMMYFUNCTION("""COMPUTED_VALUE"""),633)</f>
        <v>633</v>
      </c>
      <c r="Y246" s="3">
        <f ca="1">IFERROR(__xludf.DUMMYFUNCTION("""COMPUTED_VALUE"""),0.703)</f>
        <v>0.70299999999999996</v>
      </c>
      <c r="Z246" s="3">
        <f ca="1">IFERROR(__xludf.DUMMYFUNCTION("""COMPUTED_VALUE"""),309)</f>
        <v>309</v>
      </c>
      <c r="AA246" s="3">
        <f ca="1">IFERROR(__xludf.DUMMYFUNCTION("""COMPUTED_VALUE"""),1128)</f>
        <v>1128</v>
      </c>
      <c r="AB246" s="3">
        <f ca="1">IFERROR(__xludf.DUMMYFUNCTION("""COMPUTED_VALUE"""),422)</f>
        <v>422</v>
      </c>
      <c r="AC246" s="3">
        <f ca="1">IFERROR(__xludf.DUMMYFUNCTION("""COMPUTED_VALUE"""),176)</f>
        <v>176</v>
      </c>
      <c r="AD246" s="3">
        <f ca="1">IFERROR(__xludf.DUMMYFUNCTION("""COMPUTED_VALUE"""),101)</f>
        <v>101</v>
      </c>
      <c r="AE246" s="3">
        <f ca="1">IFERROR(__xludf.DUMMYFUNCTION("""COMPUTED_VALUE"""),398)</f>
        <v>398</v>
      </c>
      <c r="AF246" s="3">
        <f ca="1">IFERROR(__xludf.DUMMYFUNCTION("""COMPUTED_VALUE"""),538)</f>
        <v>538</v>
      </c>
    </row>
    <row r="247" spans="1:32" x14ac:dyDescent="0.25">
      <c r="A247" s="3" t="str">
        <f ca="1">IFERROR(__xludf.DUMMYFUNCTION("""COMPUTED_VALUE"""),"Northern Illinois")</f>
        <v>Northern Illinois</v>
      </c>
      <c r="B247" s="3">
        <f ca="1">IFERROR(__xludf.DUMMYFUNCTION("""COMPUTED_VALUE"""),34)</f>
        <v>34</v>
      </c>
      <c r="C247" s="3">
        <f ca="1">IFERROR(__xludf.DUMMYFUNCTION("""COMPUTED_VALUE"""),17)</f>
        <v>17</v>
      </c>
      <c r="D247" s="3">
        <f ca="1">IFERROR(__xludf.DUMMYFUNCTION("""COMPUTED_VALUE"""),17)</f>
        <v>17</v>
      </c>
      <c r="E247" s="3">
        <f ca="1">IFERROR(__xludf.DUMMYFUNCTION("""COMPUTED_VALUE"""),0.5)</f>
        <v>0.5</v>
      </c>
      <c r="F247" s="3">
        <f ca="1">IFERROR(__xludf.DUMMYFUNCTION("""COMPUTED_VALUE"""),2.58)</f>
        <v>2.58</v>
      </c>
      <c r="G247" s="3">
        <f ca="1">IFERROR(__xludf.DUMMYFUNCTION("""COMPUTED_VALUE"""),1.11)</f>
        <v>1.1100000000000001</v>
      </c>
      <c r="H247" s="3">
        <f ca="1">IFERROR(__xludf.DUMMYFUNCTION("""COMPUTED_VALUE"""),8)</f>
        <v>8</v>
      </c>
      <c r="I247" s="3">
        <f ca="1">IFERROR(__xludf.DUMMYFUNCTION("""COMPUTED_VALUE"""),10)</f>
        <v>10</v>
      </c>
      <c r="J247" s="3">
        <f ca="1">IFERROR(__xludf.DUMMYFUNCTION("""COMPUTED_VALUE"""),10)</f>
        <v>10</v>
      </c>
      <c r="K247" s="3">
        <f ca="1">IFERROR(__xludf.DUMMYFUNCTION("""COMPUTED_VALUE"""),6)</f>
        <v>6</v>
      </c>
      <c r="L247" s="3">
        <f ca="1">IFERROR(__xludf.DUMMYFUNCTION("""COMPUTED_VALUE"""),5)</f>
        <v>5</v>
      </c>
      <c r="M247" s="3">
        <f ca="1">IFERROR(__xludf.DUMMYFUNCTION("""COMPUTED_VALUE"""),9)</f>
        <v>9</v>
      </c>
      <c r="N247" s="3">
        <f ca="1">IFERROR(__xludf.DUMMYFUNCTION("""COMPUTED_VALUE"""),2506)</f>
        <v>2506</v>
      </c>
      <c r="O247" s="3">
        <f ca="1">IFERROR(__xludf.DUMMYFUNCTION("""COMPUTED_VALUE"""),2413)</f>
        <v>2413</v>
      </c>
      <c r="P247" s="3">
        <f ca="1">IFERROR(__xludf.DUMMYFUNCTION("""COMPUTED_VALUE"""),1375)</f>
        <v>1375</v>
      </c>
      <c r="Q247" s="3">
        <f ca="1">IFERROR(__xludf.DUMMYFUNCTION("""COMPUTED_VALUE"""),940)</f>
        <v>940</v>
      </c>
      <c r="R247" s="3">
        <f ca="1">IFERROR(__xludf.DUMMYFUNCTION("""COMPUTED_VALUE"""),1995)</f>
        <v>1995</v>
      </c>
      <c r="S247" s="3">
        <f ca="1">IFERROR(__xludf.DUMMYFUNCTION("""COMPUTED_VALUE"""),0.471)</f>
        <v>0.47099999999999997</v>
      </c>
      <c r="T247" s="3">
        <f ca="1">IFERROR(__xludf.DUMMYFUNCTION("""COMPUTED_VALUE"""),229)</f>
        <v>229</v>
      </c>
      <c r="U247" s="3">
        <f ca="1">IFERROR(__xludf.DUMMYFUNCTION("""COMPUTED_VALUE"""),642)</f>
        <v>642</v>
      </c>
      <c r="V247" s="3">
        <f ca="1">IFERROR(__xludf.DUMMYFUNCTION("""COMPUTED_VALUE"""),0.357)</f>
        <v>0.35699999999999998</v>
      </c>
      <c r="W247" s="3">
        <f ca="1">IFERROR(__xludf.DUMMYFUNCTION("""COMPUTED_VALUE"""),397)</f>
        <v>397</v>
      </c>
      <c r="X247" s="3">
        <f ca="1">IFERROR(__xludf.DUMMYFUNCTION("""COMPUTED_VALUE"""),543)</f>
        <v>543</v>
      </c>
      <c r="Y247" s="3">
        <f ca="1">IFERROR(__xludf.DUMMYFUNCTION("""COMPUTED_VALUE"""),0.731)</f>
        <v>0.73099999999999998</v>
      </c>
      <c r="Z247" s="3">
        <f ca="1">IFERROR(__xludf.DUMMYFUNCTION("""COMPUTED_VALUE"""),304)</f>
        <v>304</v>
      </c>
      <c r="AA247" s="3">
        <f ca="1">IFERROR(__xludf.DUMMYFUNCTION("""COMPUTED_VALUE"""),1179)</f>
        <v>1179</v>
      </c>
      <c r="AB247" s="3">
        <f ca="1">IFERROR(__xludf.DUMMYFUNCTION("""COMPUTED_VALUE"""),374)</f>
        <v>374</v>
      </c>
      <c r="AC247" s="3">
        <f ca="1">IFERROR(__xludf.DUMMYFUNCTION("""COMPUTED_VALUE"""),188)</f>
        <v>188</v>
      </c>
      <c r="AD247" s="3">
        <f ca="1">IFERROR(__xludf.DUMMYFUNCTION("""COMPUTED_VALUE"""),75)</f>
        <v>75</v>
      </c>
      <c r="AE247" s="3">
        <f ca="1">IFERROR(__xludf.DUMMYFUNCTION("""COMPUTED_VALUE"""),404)</f>
        <v>404</v>
      </c>
      <c r="AF247" s="3">
        <f ca="1">IFERROR(__xludf.DUMMYFUNCTION("""COMPUTED_VALUE"""),653)</f>
        <v>653</v>
      </c>
    </row>
    <row r="248" spans="1:32" x14ac:dyDescent="0.25">
      <c r="A248" s="3" t="str">
        <f ca="1">IFERROR(__xludf.DUMMYFUNCTION("""COMPUTED_VALUE"""),"Northern Iowa")</f>
        <v>Northern Iowa</v>
      </c>
      <c r="B248" s="3">
        <f ca="1">IFERROR(__xludf.DUMMYFUNCTION("""COMPUTED_VALUE"""),34)</f>
        <v>34</v>
      </c>
      <c r="C248" s="3">
        <f ca="1">IFERROR(__xludf.DUMMYFUNCTION("""COMPUTED_VALUE"""),16)</f>
        <v>16</v>
      </c>
      <c r="D248" s="3">
        <f ca="1">IFERROR(__xludf.DUMMYFUNCTION("""COMPUTED_VALUE"""),18)</f>
        <v>18</v>
      </c>
      <c r="E248" s="3">
        <f ca="1">IFERROR(__xludf.DUMMYFUNCTION("""COMPUTED_VALUE"""),0.471)</f>
        <v>0.47099999999999997</v>
      </c>
      <c r="F248" s="3">
        <f ca="1">IFERROR(__xludf.DUMMYFUNCTION("""COMPUTED_VALUE"""),-1.54)</f>
        <v>-1.54</v>
      </c>
      <c r="G248" s="3">
        <f ca="1">IFERROR(__xludf.DUMMYFUNCTION("""COMPUTED_VALUE"""),0.62)</f>
        <v>0.62</v>
      </c>
      <c r="H248" s="3">
        <f ca="1">IFERROR(__xludf.DUMMYFUNCTION("""COMPUTED_VALUE"""),9)</f>
        <v>9</v>
      </c>
      <c r="I248" s="3">
        <f ca="1">IFERROR(__xludf.DUMMYFUNCTION("""COMPUTED_VALUE"""),9)</f>
        <v>9</v>
      </c>
      <c r="J248" s="3">
        <f ca="1">IFERROR(__xludf.DUMMYFUNCTION("""COMPUTED_VALUE"""),9)</f>
        <v>9</v>
      </c>
      <c r="K248" s="3">
        <f ca="1">IFERROR(__xludf.DUMMYFUNCTION("""COMPUTED_VALUE"""),5)</f>
        <v>5</v>
      </c>
      <c r="L248" s="3">
        <f ca="1">IFERROR(__xludf.DUMMYFUNCTION("""COMPUTED_VALUE"""),3)</f>
        <v>3</v>
      </c>
      <c r="M248" s="3">
        <f ca="1">IFERROR(__xludf.DUMMYFUNCTION("""COMPUTED_VALUE"""),9)</f>
        <v>9</v>
      </c>
      <c r="N248" s="3">
        <f ca="1">IFERROR(__xludf.DUMMYFUNCTION("""COMPUTED_VALUE"""),2215)</f>
        <v>2215</v>
      </c>
      <c r="O248" s="3">
        <f ca="1">IFERROR(__xludf.DUMMYFUNCTION("""COMPUTED_VALUE"""),2230)</f>
        <v>2230</v>
      </c>
      <c r="P248" s="3">
        <f ca="1">IFERROR(__xludf.DUMMYFUNCTION("""COMPUTED_VALUE"""),1360)</f>
        <v>1360</v>
      </c>
      <c r="Q248" s="3">
        <f ca="1">IFERROR(__xludf.DUMMYFUNCTION("""COMPUTED_VALUE"""),769)</f>
        <v>769</v>
      </c>
      <c r="R248" s="3">
        <f ca="1">IFERROR(__xludf.DUMMYFUNCTION("""COMPUTED_VALUE"""),1847)</f>
        <v>1847</v>
      </c>
      <c r="S248" s="3">
        <f ca="1">IFERROR(__xludf.DUMMYFUNCTION("""COMPUTED_VALUE"""),0.416)</f>
        <v>0.41599999999999998</v>
      </c>
      <c r="T248" s="3">
        <f ca="1">IFERROR(__xludf.DUMMYFUNCTION("""COMPUTED_VALUE"""),276)</f>
        <v>276</v>
      </c>
      <c r="U248" s="3">
        <f ca="1">IFERROR(__xludf.DUMMYFUNCTION("""COMPUTED_VALUE"""),792)</f>
        <v>792</v>
      </c>
      <c r="V248" s="3">
        <f ca="1">IFERROR(__xludf.DUMMYFUNCTION("""COMPUTED_VALUE"""),0.348)</f>
        <v>0.34799999999999998</v>
      </c>
      <c r="W248" s="3">
        <f ca="1">IFERROR(__xludf.DUMMYFUNCTION("""COMPUTED_VALUE"""),401)</f>
        <v>401</v>
      </c>
      <c r="X248" s="3">
        <f ca="1">IFERROR(__xludf.DUMMYFUNCTION("""COMPUTED_VALUE"""),537)</f>
        <v>537</v>
      </c>
      <c r="Y248" s="3">
        <f ca="1">IFERROR(__xludf.DUMMYFUNCTION("""COMPUTED_VALUE"""),0.747)</f>
        <v>0.747</v>
      </c>
      <c r="Z248" s="3">
        <f ca="1">IFERROR(__xludf.DUMMYFUNCTION("""COMPUTED_VALUE"""),262)</f>
        <v>262</v>
      </c>
      <c r="AA248" s="3">
        <f ca="1">IFERROR(__xludf.DUMMYFUNCTION("""COMPUTED_VALUE"""),1115)</f>
        <v>1115</v>
      </c>
      <c r="AB248" s="3">
        <f ca="1">IFERROR(__xludf.DUMMYFUNCTION("""COMPUTED_VALUE"""),370)</f>
        <v>370</v>
      </c>
      <c r="AC248" s="3">
        <f ca="1">IFERROR(__xludf.DUMMYFUNCTION("""COMPUTED_VALUE"""),165)</f>
        <v>165</v>
      </c>
      <c r="AD248" s="3">
        <f ca="1">IFERROR(__xludf.DUMMYFUNCTION("""COMPUTED_VALUE"""),75)</f>
        <v>75</v>
      </c>
      <c r="AE248" s="3">
        <f ca="1">IFERROR(__xludf.DUMMYFUNCTION("""COMPUTED_VALUE"""),393)</f>
        <v>393</v>
      </c>
      <c r="AF248" s="3">
        <f ca="1">IFERROR(__xludf.DUMMYFUNCTION("""COMPUTED_VALUE"""),554)</f>
        <v>554</v>
      </c>
    </row>
    <row r="249" spans="1:32" x14ac:dyDescent="0.25">
      <c r="A249" s="3" t="str">
        <f ca="1">IFERROR(__xludf.DUMMYFUNCTION("""COMPUTED_VALUE"""),"Northern KentuckyNCAA")</f>
        <v>Northern KentuckyNCAA</v>
      </c>
      <c r="B249" s="3">
        <f ca="1">IFERROR(__xludf.DUMMYFUNCTION("""COMPUTED_VALUE"""),35)</f>
        <v>35</v>
      </c>
      <c r="C249" s="3">
        <f ca="1">IFERROR(__xludf.DUMMYFUNCTION("""COMPUTED_VALUE"""),26)</f>
        <v>26</v>
      </c>
      <c r="D249" s="3">
        <f ca="1">IFERROR(__xludf.DUMMYFUNCTION("""COMPUTED_VALUE"""),9)</f>
        <v>9</v>
      </c>
      <c r="E249" s="3">
        <f ca="1">IFERROR(__xludf.DUMMYFUNCTION("""COMPUTED_VALUE"""),0.743)</f>
        <v>0.74299999999999999</v>
      </c>
      <c r="F249" s="3">
        <f ca="1">IFERROR(__xludf.DUMMYFUNCTION("""COMPUTED_VALUE"""),4.67)</f>
        <v>4.67</v>
      </c>
      <c r="G249" s="3">
        <f ca="1">IFERROR(__xludf.DUMMYFUNCTION("""COMPUTED_VALUE"""),-2.39)</f>
        <v>-2.39</v>
      </c>
      <c r="H249" s="3">
        <f ca="1">IFERROR(__xludf.DUMMYFUNCTION("""COMPUTED_VALUE"""),13)</f>
        <v>13</v>
      </c>
      <c r="I249" s="3">
        <f ca="1">IFERROR(__xludf.DUMMYFUNCTION("""COMPUTED_VALUE"""),5)</f>
        <v>5</v>
      </c>
      <c r="J249" s="3">
        <f ca="1">IFERROR(__xludf.DUMMYFUNCTION("""COMPUTED_VALUE"""),17)</f>
        <v>17</v>
      </c>
      <c r="K249" s="3">
        <f ca="1">IFERROR(__xludf.DUMMYFUNCTION("""COMPUTED_VALUE"""),1)</f>
        <v>1</v>
      </c>
      <c r="L249" s="3">
        <f ca="1">IFERROR(__xludf.DUMMYFUNCTION("""COMPUTED_VALUE"""),7)</f>
        <v>7</v>
      </c>
      <c r="M249" s="3">
        <f ca="1">IFERROR(__xludf.DUMMYFUNCTION("""COMPUTED_VALUE"""),7)</f>
        <v>7</v>
      </c>
      <c r="N249" s="3">
        <f ca="1">IFERROR(__xludf.DUMMYFUNCTION("""COMPUTED_VALUE"""),2747)</f>
        <v>2747</v>
      </c>
      <c r="O249" s="3">
        <f ca="1">IFERROR(__xludf.DUMMYFUNCTION("""COMPUTED_VALUE"""),2410)</f>
        <v>2410</v>
      </c>
      <c r="P249" s="3">
        <f ca="1">IFERROR(__xludf.DUMMYFUNCTION("""COMPUTED_VALUE"""),1410)</f>
        <v>1410</v>
      </c>
      <c r="Q249" s="3">
        <f ca="1">IFERROR(__xludf.DUMMYFUNCTION("""COMPUTED_VALUE"""),979)</f>
        <v>979</v>
      </c>
      <c r="R249" s="3">
        <f ca="1">IFERROR(__xludf.DUMMYFUNCTION("""COMPUTED_VALUE"""),2047)</f>
        <v>2047</v>
      </c>
      <c r="S249" s="3">
        <f ca="1">IFERROR(__xludf.DUMMYFUNCTION("""COMPUTED_VALUE"""),0.478)</f>
        <v>0.47799999999999998</v>
      </c>
      <c r="T249" s="3">
        <f ca="1">IFERROR(__xludf.DUMMYFUNCTION("""COMPUTED_VALUE"""),306)</f>
        <v>306</v>
      </c>
      <c r="U249" s="3">
        <f ca="1">IFERROR(__xludf.DUMMYFUNCTION("""COMPUTED_VALUE"""),844)</f>
        <v>844</v>
      </c>
      <c r="V249" s="3">
        <f ca="1">IFERROR(__xludf.DUMMYFUNCTION("""COMPUTED_VALUE"""),0.363)</f>
        <v>0.36299999999999999</v>
      </c>
      <c r="W249" s="3">
        <f ca="1">IFERROR(__xludf.DUMMYFUNCTION("""COMPUTED_VALUE"""),483)</f>
        <v>483</v>
      </c>
      <c r="X249" s="3">
        <f ca="1">IFERROR(__xludf.DUMMYFUNCTION("""COMPUTED_VALUE"""),725)</f>
        <v>725</v>
      </c>
      <c r="Y249" s="3">
        <f ca="1">IFERROR(__xludf.DUMMYFUNCTION("""COMPUTED_VALUE"""),0.666)</f>
        <v>0.66600000000000004</v>
      </c>
      <c r="Z249" s="3">
        <f ca="1">IFERROR(__xludf.DUMMYFUNCTION("""COMPUTED_VALUE"""),364)</f>
        <v>364</v>
      </c>
      <c r="AA249" s="3">
        <f ca="1">IFERROR(__xludf.DUMMYFUNCTION("""COMPUTED_VALUE"""),1298)</f>
        <v>1298</v>
      </c>
      <c r="AB249" s="3">
        <f ca="1">IFERROR(__xludf.DUMMYFUNCTION("""COMPUTED_VALUE"""),592)</f>
        <v>592</v>
      </c>
      <c r="AC249" s="3">
        <f ca="1">IFERROR(__xludf.DUMMYFUNCTION("""COMPUTED_VALUE"""),218)</f>
        <v>218</v>
      </c>
      <c r="AD249" s="3">
        <f ca="1">IFERROR(__xludf.DUMMYFUNCTION("""COMPUTED_VALUE"""),139)</f>
        <v>139</v>
      </c>
      <c r="AE249" s="3">
        <f ca="1">IFERROR(__xludf.DUMMYFUNCTION("""COMPUTED_VALUE"""),441)</f>
        <v>441</v>
      </c>
      <c r="AF249" s="3">
        <f ca="1">IFERROR(__xludf.DUMMYFUNCTION("""COMPUTED_VALUE"""),664)</f>
        <v>664</v>
      </c>
    </row>
    <row r="250" spans="1:32" x14ac:dyDescent="0.25">
      <c r="A250" s="3" t="str">
        <f ca="1">IFERROR(__xludf.DUMMYFUNCTION("""COMPUTED_VALUE"""),"Northwestern State")</f>
        <v>Northwestern State</v>
      </c>
      <c r="B250" s="3">
        <f ca="1">IFERROR(__xludf.DUMMYFUNCTION("""COMPUTED_VALUE"""),31)</f>
        <v>31</v>
      </c>
      <c r="C250" s="3">
        <f ca="1">IFERROR(__xludf.DUMMYFUNCTION("""COMPUTED_VALUE"""),11)</f>
        <v>11</v>
      </c>
      <c r="D250" s="3">
        <f ca="1">IFERROR(__xludf.DUMMYFUNCTION("""COMPUTED_VALUE"""),20)</f>
        <v>20</v>
      </c>
      <c r="E250" s="3">
        <f ca="1">IFERROR(__xludf.DUMMYFUNCTION("""COMPUTED_VALUE"""),0.355)</f>
        <v>0.35499999999999998</v>
      </c>
      <c r="F250" s="3">
        <f ca="1">IFERROR(__xludf.DUMMYFUNCTION("""COMPUTED_VALUE"""),-17.06)</f>
        <v>-17.059999999999999</v>
      </c>
      <c r="G250" s="3">
        <f ca="1">IFERROR(__xludf.DUMMYFUNCTION("""COMPUTED_VALUE"""),-5.99)</f>
        <v>-5.99</v>
      </c>
      <c r="H250" s="3">
        <f ca="1">IFERROR(__xludf.DUMMYFUNCTION("""COMPUTED_VALUE"""),6)</f>
        <v>6</v>
      </c>
      <c r="I250" s="3">
        <f ca="1">IFERROR(__xludf.DUMMYFUNCTION("""COMPUTED_VALUE"""),12)</f>
        <v>12</v>
      </c>
      <c r="J250" s="3">
        <f ca="1">IFERROR(__xludf.DUMMYFUNCTION("""COMPUTED_VALUE"""),8)</f>
        <v>8</v>
      </c>
      <c r="K250" s="3">
        <f ca="1">IFERROR(__xludf.DUMMYFUNCTION("""COMPUTED_VALUE"""),7)</f>
        <v>7</v>
      </c>
      <c r="L250" s="3">
        <f ca="1">IFERROR(__xludf.DUMMYFUNCTION("""COMPUTED_VALUE"""),3)</f>
        <v>3</v>
      </c>
      <c r="M250" s="3">
        <f ca="1">IFERROR(__xludf.DUMMYFUNCTION("""COMPUTED_VALUE"""),13)</f>
        <v>13</v>
      </c>
      <c r="N250" s="3">
        <f ca="1">IFERROR(__xludf.DUMMYFUNCTION("""COMPUTED_VALUE"""),2051)</f>
        <v>2051</v>
      </c>
      <c r="O250" s="3">
        <f ca="1">IFERROR(__xludf.DUMMYFUNCTION("""COMPUTED_VALUE"""),2280)</f>
        <v>2280</v>
      </c>
      <c r="P250" s="3">
        <f ca="1">IFERROR(__xludf.DUMMYFUNCTION("""COMPUTED_VALUE"""),1250)</f>
        <v>1250</v>
      </c>
      <c r="Q250" s="3">
        <f ca="1">IFERROR(__xludf.DUMMYFUNCTION("""COMPUTED_VALUE"""),725)</f>
        <v>725</v>
      </c>
      <c r="R250" s="3">
        <f ca="1">IFERROR(__xludf.DUMMYFUNCTION("""COMPUTED_VALUE"""),1790)</f>
        <v>1790</v>
      </c>
      <c r="S250" s="3">
        <f ca="1">IFERROR(__xludf.DUMMYFUNCTION("""COMPUTED_VALUE"""),0.405)</f>
        <v>0.40500000000000003</v>
      </c>
      <c r="T250" s="3">
        <f ca="1">IFERROR(__xludf.DUMMYFUNCTION("""COMPUTED_VALUE"""),190)</f>
        <v>190</v>
      </c>
      <c r="U250" s="3">
        <f ca="1">IFERROR(__xludf.DUMMYFUNCTION("""COMPUTED_VALUE"""),646)</f>
        <v>646</v>
      </c>
      <c r="V250" s="3">
        <f ca="1">IFERROR(__xludf.DUMMYFUNCTION("""COMPUTED_VALUE"""),0.294)</f>
        <v>0.29399999999999998</v>
      </c>
      <c r="W250" s="3">
        <f ca="1">IFERROR(__xludf.DUMMYFUNCTION("""COMPUTED_VALUE"""),411)</f>
        <v>411</v>
      </c>
      <c r="X250" s="3">
        <f ca="1">IFERROR(__xludf.DUMMYFUNCTION("""COMPUTED_VALUE"""),604)</f>
        <v>604</v>
      </c>
      <c r="Y250" s="3">
        <f ca="1">IFERROR(__xludf.DUMMYFUNCTION("""COMPUTED_VALUE"""),0.68)</f>
        <v>0.68</v>
      </c>
      <c r="Z250" s="3">
        <f ca="1">IFERROR(__xludf.DUMMYFUNCTION("""COMPUTED_VALUE"""),352)</f>
        <v>352</v>
      </c>
      <c r="AA250" s="3">
        <f ca="1">IFERROR(__xludf.DUMMYFUNCTION("""COMPUTED_VALUE"""),1103)</f>
        <v>1103</v>
      </c>
      <c r="AB250" s="3">
        <f ca="1">IFERROR(__xludf.DUMMYFUNCTION("""COMPUTED_VALUE"""),340)</f>
        <v>340</v>
      </c>
      <c r="AC250" s="3">
        <f ca="1">IFERROR(__xludf.DUMMYFUNCTION("""COMPUTED_VALUE"""),192)</f>
        <v>192</v>
      </c>
      <c r="AD250" s="3">
        <f ca="1">IFERROR(__xludf.DUMMYFUNCTION("""COMPUTED_VALUE"""),138)</f>
        <v>138</v>
      </c>
      <c r="AE250" s="3">
        <f ca="1">IFERROR(__xludf.DUMMYFUNCTION("""COMPUTED_VALUE"""),496)</f>
        <v>496</v>
      </c>
      <c r="AF250" s="3">
        <f ca="1">IFERROR(__xludf.DUMMYFUNCTION("""COMPUTED_VALUE"""),578)</f>
        <v>578</v>
      </c>
    </row>
    <row r="251" spans="1:32" x14ac:dyDescent="0.25">
      <c r="A251" s="3" t="str">
        <f ca="1">IFERROR(__xludf.DUMMYFUNCTION("""COMPUTED_VALUE"""),"Northwestern")</f>
        <v>Northwestern</v>
      </c>
      <c r="B251" s="3">
        <f ca="1">IFERROR(__xludf.DUMMYFUNCTION("""COMPUTED_VALUE"""),32)</f>
        <v>32</v>
      </c>
      <c r="C251" s="3">
        <f ca="1">IFERROR(__xludf.DUMMYFUNCTION("""COMPUTED_VALUE"""),13)</f>
        <v>13</v>
      </c>
      <c r="D251" s="3">
        <f ca="1">IFERROR(__xludf.DUMMYFUNCTION("""COMPUTED_VALUE"""),19)</f>
        <v>19</v>
      </c>
      <c r="E251" s="3">
        <f ca="1">IFERROR(__xludf.DUMMYFUNCTION("""COMPUTED_VALUE"""),0.406)</f>
        <v>0.40600000000000003</v>
      </c>
      <c r="F251" s="3">
        <f ca="1">IFERROR(__xludf.DUMMYFUNCTION("""COMPUTED_VALUE"""),9.97)</f>
        <v>9.9700000000000006</v>
      </c>
      <c r="G251" s="3">
        <f ca="1">IFERROR(__xludf.DUMMYFUNCTION("""COMPUTED_VALUE"""),9.16)</f>
        <v>9.16</v>
      </c>
      <c r="H251" s="3">
        <f ca="1">IFERROR(__xludf.DUMMYFUNCTION("""COMPUTED_VALUE"""),4)</f>
        <v>4</v>
      </c>
      <c r="I251" s="3">
        <f ca="1">IFERROR(__xludf.DUMMYFUNCTION("""COMPUTED_VALUE"""),16)</f>
        <v>16</v>
      </c>
      <c r="J251" s="3">
        <f ca="1">IFERROR(__xludf.DUMMYFUNCTION("""COMPUTED_VALUE"""),10)</f>
        <v>10</v>
      </c>
      <c r="K251" s="3">
        <f ca="1">IFERROR(__xludf.DUMMYFUNCTION("""COMPUTED_VALUE"""),8)</f>
        <v>8</v>
      </c>
      <c r="L251" s="3">
        <f ca="1">IFERROR(__xludf.DUMMYFUNCTION("""COMPUTED_VALUE"""),1)</f>
        <v>1</v>
      </c>
      <c r="M251" s="3">
        <f ca="1">IFERROR(__xludf.DUMMYFUNCTION("""COMPUTED_VALUE"""),9)</f>
        <v>9</v>
      </c>
      <c r="N251" s="3">
        <f ca="1">IFERROR(__xludf.DUMMYFUNCTION("""COMPUTED_VALUE"""),2108)</f>
        <v>2108</v>
      </c>
      <c r="O251" s="3">
        <f ca="1">IFERROR(__xludf.DUMMYFUNCTION("""COMPUTED_VALUE"""),2082)</f>
        <v>2082</v>
      </c>
      <c r="P251" s="3">
        <f ca="1">IFERROR(__xludf.DUMMYFUNCTION("""COMPUTED_VALUE"""),1290)</f>
        <v>1290</v>
      </c>
      <c r="Q251" s="3">
        <f ca="1">IFERROR(__xludf.DUMMYFUNCTION("""COMPUTED_VALUE"""),735)</f>
        <v>735</v>
      </c>
      <c r="R251" s="3">
        <f ca="1">IFERROR(__xludf.DUMMYFUNCTION("""COMPUTED_VALUE"""),1827)</f>
        <v>1827</v>
      </c>
      <c r="S251" s="3">
        <f ca="1">IFERROR(__xludf.DUMMYFUNCTION("""COMPUTED_VALUE"""),0.402)</f>
        <v>0.40200000000000002</v>
      </c>
      <c r="T251" s="3">
        <f ca="1">IFERROR(__xludf.DUMMYFUNCTION("""COMPUTED_VALUE"""),233)</f>
        <v>233</v>
      </c>
      <c r="U251" s="3">
        <f ca="1">IFERROR(__xludf.DUMMYFUNCTION("""COMPUTED_VALUE"""),744)</f>
        <v>744</v>
      </c>
      <c r="V251" s="3">
        <f ca="1">IFERROR(__xludf.DUMMYFUNCTION("""COMPUTED_VALUE"""),0.313)</f>
        <v>0.313</v>
      </c>
      <c r="W251" s="3">
        <f ca="1">IFERROR(__xludf.DUMMYFUNCTION("""COMPUTED_VALUE"""),405)</f>
        <v>405</v>
      </c>
      <c r="X251" s="3">
        <f ca="1">IFERROR(__xludf.DUMMYFUNCTION("""COMPUTED_VALUE"""),551)</f>
        <v>551</v>
      </c>
      <c r="Y251" s="3">
        <f ca="1">IFERROR(__xludf.DUMMYFUNCTION("""COMPUTED_VALUE"""),0.735)</f>
        <v>0.73499999999999999</v>
      </c>
      <c r="Z251" s="3">
        <f ca="1">IFERROR(__xludf.DUMMYFUNCTION("""COMPUTED_VALUE"""),278)</f>
        <v>278</v>
      </c>
      <c r="AA251" s="3">
        <f ca="1">IFERROR(__xludf.DUMMYFUNCTION("""COMPUTED_VALUE"""),1086)</f>
        <v>1086</v>
      </c>
      <c r="AB251" s="3">
        <f ca="1">IFERROR(__xludf.DUMMYFUNCTION("""COMPUTED_VALUE"""),451)</f>
        <v>451</v>
      </c>
      <c r="AC251" s="3">
        <f ca="1">IFERROR(__xludf.DUMMYFUNCTION("""COMPUTED_VALUE"""),176)</f>
        <v>176</v>
      </c>
      <c r="AD251" s="3">
        <f ca="1">IFERROR(__xludf.DUMMYFUNCTION("""COMPUTED_VALUE"""),134)</f>
        <v>134</v>
      </c>
      <c r="AE251" s="3">
        <f ca="1">IFERROR(__xludf.DUMMYFUNCTION("""COMPUTED_VALUE"""),349)</f>
        <v>349</v>
      </c>
      <c r="AF251" s="3">
        <f ca="1">IFERROR(__xludf.DUMMYFUNCTION("""COMPUTED_VALUE"""),583)</f>
        <v>583</v>
      </c>
    </row>
    <row r="252" spans="1:32" x14ac:dyDescent="0.25">
      <c r="A252" s="3" t="str">
        <f ca="1">IFERROR(__xludf.DUMMYFUNCTION("""COMPUTED_VALUE"""),"Notre Dame")</f>
        <v>Notre Dame</v>
      </c>
      <c r="B252" s="3">
        <f ca="1">IFERROR(__xludf.DUMMYFUNCTION("""COMPUTED_VALUE"""),33)</f>
        <v>33</v>
      </c>
      <c r="C252" s="3">
        <f ca="1">IFERROR(__xludf.DUMMYFUNCTION("""COMPUTED_VALUE"""),14)</f>
        <v>14</v>
      </c>
      <c r="D252" s="3">
        <f ca="1">IFERROR(__xludf.DUMMYFUNCTION("""COMPUTED_VALUE"""),19)</f>
        <v>19</v>
      </c>
      <c r="E252" s="3">
        <f ca="1">IFERROR(__xludf.DUMMYFUNCTION("""COMPUTED_VALUE"""),0.424)</f>
        <v>0.42399999999999999</v>
      </c>
      <c r="F252" s="3">
        <f ca="1">IFERROR(__xludf.DUMMYFUNCTION("""COMPUTED_VALUE"""),7.97)</f>
        <v>7.97</v>
      </c>
      <c r="G252" s="3">
        <f ca="1">IFERROR(__xludf.DUMMYFUNCTION("""COMPUTED_VALUE"""),8.28)</f>
        <v>8.2799999999999994</v>
      </c>
      <c r="H252" s="3">
        <f ca="1">IFERROR(__xludf.DUMMYFUNCTION("""COMPUTED_VALUE"""),3)</f>
        <v>3</v>
      </c>
      <c r="I252" s="3">
        <f ca="1">IFERROR(__xludf.DUMMYFUNCTION("""COMPUTED_VALUE"""),15)</f>
        <v>15</v>
      </c>
      <c r="J252" s="3">
        <f ca="1">IFERROR(__xludf.DUMMYFUNCTION("""COMPUTED_VALUE"""),11)</f>
        <v>11</v>
      </c>
      <c r="K252" s="3">
        <f ca="1">IFERROR(__xludf.DUMMYFUNCTION("""COMPUTED_VALUE"""),8)</f>
        <v>8</v>
      </c>
      <c r="L252" s="3">
        <f ca="1">IFERROR(__xludf.DUMMYFUNCTION("""COMPUTED_VALUE"""),1)</f>
        <v>1</v>
      </c>
      <c r="M252" s="3">
        <f ca="1">IFERROR(__xludf.DUMMYFUNCTION("""COMPUTED_VALUE"""),9)</f>
        <v>9</v>
      </c>
      <c r="N252" s="3">
        <f ca="1">IFERROR(__xludf.DUMMYFUNCTION("""COMPUTED_VALUE"""),2266)</f>
        <v>2266</v>
      </c>
      <c r="O252" s="3">
        <f ca="1">IFERROR(__xludf.DUMMYFUNCTION("""COMPUTED_VALUE"""),2276)</f>
        <v>2276</v>
      </c>
      <c r="P252" s="3">
        <f ca="1">IFERROR(__xludf.DUMMYFUNCTION("""COMPUTED_VALUE"""),1320)</f>
        <v>1320</v>
      </c>
      <c r="Q252" s="3">
        <f ca="1">IFERROR(__xludf.DUMMYFUNCTION("""COMPUTED_VALUE"""),776)</f>
        <v>776</v>
      </c>
      <c r="R252" s="3">
        <f ca="1">IFERROR(__xludf.DUMMYFUNCTION("""COMPUTED_VALUE"""),1973)</f>
        <v>1973</v>
      </c>
      <c r="S252" s="3">
        <f ca="1">IFERROR(__xludf.DUMMYFUNCTION("""COMPUTED_VALUE"""),0.393)</f>
        <v>0.39300000000000002</v>
      </c>
      <c r="T252" s="3">
        <f ca="1">IFERROR(__xludf.DUMMYFUNCTION("""COMPUTED_VALUE"""),272)</f>
        <v>272</v>
      </c>
      <c r="U252" s="3">
        <f ca="1">IFERROR(__xludf.DUMMYFUNCTION("""COMPUTED_VALUE"""),863)</f>
        <v>863</v>
      </c>
      <c r="V252" s="3">
        <f ca="1">IFERROR(__xludf.DUMMYFUNCTION("""COMPUTED_VALUE"""),0.315)</f>
        <v>0.315</v>
      </c>
      <c r="W252" s="3">
        <f ca="1">IFERROR(__xludf.DUMMYFUNCTION("""COMPUTED_VALUE"""),442)</f>
        <v>442</v>
      </c>
      <c r="X252" s="3">
        <f ca="1">IFERROR(__xludf.DUMMYFUNCTION("""COMPUTED_VALUE"""),594)</f>
        <v>594</v>
      </c>
      <c r="Y252" s="3">
        <f ca="1">IFERROR(__xludf.DUMMYFUNCTION("""COMPUTED_VALUE"""),0.744)</f>
        <v>0.74399999999999999</v>
      </c>
      <c r="Z252" s="3">
        <f ca="1">IFERROR(__xludf.DUMMYFUNCTION("""COMPUTED_VALUE"""),370)</f>
        <v>370</v>
      </c>
      <c r="AA252" s="3">
        <f ca="1">IFERROR(__xludf.DUMMYFUNCTION("""COMPUTED_VALUE"""),1208)</f>
        <v>1208</v>
      </c>
      <c r="AB252" s="3">
        <f ca="1">IFERROR(__xludf.DUMMYFUNCTION("""COMPUTED_VALUE"""),423)</f>
        <v>423</v>
      </c>
      <c r="AC252" s="3">
        <f ca="1">IFERROR(__xludf.DUMMYFUNCTION("""COMPUTED_VALUE"""),179)</f>
        <v>179</v>
      </c>
      <c r="AD252" s="3">
        <f ca="1">IFERROR(__xludf.DUMMYFUNCTION("""COMPUTED_VALUE"""),148)</f>
        <v>148</v>
      </c>
      <c r="AE252" s="3">
        <f ca="1">IFERROR(__xludf.DUMMYFUNCTION("""COMPUTED_VALUE"""),306)</f>
        <v>306</v>
      </c>
      <c r="AF252" s="3">
        <f ca="1">IFERROR(__xludf.DUMMYFUNCTION("""COMPUTED_VALUE"""),455)</f>
        <v>455</v>
      </c>
    </row>
    <row r="253" spans="1:32" x14ac:dyDescent="0.25">
      <c r="A253" s="3" t="str">
        <f ca="1">IFERROR(__xludf.DUMMYFUNCTION("""COMPUTED_VALUE"""),"Oakland")</f>
        <v>Oakland</v>
      </c>
      <c r="B253" s="3">
        <f ca="1">IFERROR(__xludf.DUMMYFUNCTION("""COMPUTED_VALUE"""),33)</f>
        <v>33</v>
      </c>
      <c r="C253" s="3">
        <f ca="1">IFERROR(__xludf.DUMMYFUNCTION("""COMPUTED_VALUE"""),16)</f>
        <v>16</v>
      </c>
      <c r="D253" s="3">
        <f ca="1">IFERROR(__xludf.DUMMYFUNCTION("""COMPUTED_VALUE"""),17)</f>
        <v>17</v>
      </c>
      <c r="E253" s="3">
        <f ca="1">IFERROR(__xludf.DUMMYFUNCTION("""COMPUTED_VALUE"""),0.485)</f>
        <v>0.48499999999999999</v>
      </c>
      <c r="F253" s="3">
        <f ca="1">IFERROR(__xludf.DUMMYFUNCTION("""COMPUTED_VALUE"""),-2.27)</f>
        <v>-2.27</v>
      </c>
      <c r="G253" s="3">
        <f ca="1">IFERROR(__xludf.DUMMYFUNCTION("""COMPUTED_VALUE"""),-1.48)</f>
        <v>-1.48</v>
      </c>
      <c r="H253" s="3">
        <f ca="1">IFERROR(__xludf.DUMMYFUNCTION("""COMPUTED_VALUE"""),11)</f>
        <v>11</v>
      </c>
      <c r="I253" s="3">
        <f ca="1">IFERROR(__xludf.DUMMYFUNCTION("""COMPUTED_VALUE"""),7)</f>
        <v>7</v>
      </c>
      <c r="J253" s="3">
        <f ca="1">IFERROR(__xludf.DUMMYFUNCTION("""COMPUTED_VALUE"""),10)</f>
        <v>10</v>
      </c>
      <c r="K253" s="3">
        <f ca="1">IFERROR(__xludf.DUMMYFUNCTION("""COMPUTED_VALUE"""),6)</f>
        <v>6</v>
      </c>
      <c r="L253" s="3">
        <f ca="1">IFERROR(__xludf.DUMMYFUNCTION("""COMPUTED_VALUE"""),6)</f>
        <v>6</v>
      </c>
      <c r="M253" s="3">
        <f ca="1">IFERROR(__xludf.DUMMYFUNCTION("""COMPUTED_VALUE"""),10)</f>
        <v>10</v>
      </c>
      <c r="N253" s="3">
        <f ca="1">IFERROR(__xludf.DUMMYFUNCTION("""COMPUTED_VALUE"""),2534)</f>
        <v>2534</v>
      </c>
      <c r="O253" s="3">
        <f ca="1">IFERROR(__xludf.DUMMYFUNCTION("""COMPUTED_VALUE"""),2515)</f>
        <v>2515</v>
      </c>
      <c r="P253" s="3">
        <f ca="1">IFERROR(__xludf.DUMMYFUNCTION("""COMPUTED_VALUE"""),1325)</f>
        <v>1325</v>
      </c>
      <c r="Q253" s="3">
        <f ca="1">IFERROR(__xludf.DUMMYFUNCTION("""COMPUTED_VALUE"""),864)</f>
        <v>864</v>
      </c>
      <c r="R253" s="3">
        <f ca="1">IFERROR(__xludf.DUMMYFUNCTION("""COMPUTED_VALUE"""),1859)</f>
        <v>1859</v>
      </c>
      <c r="S253" s="3">
        <f ca="1">IFERROR(__xludf.DUMMYFUNCTION("""COMPUTED_VALUE"""),0.465)</f>
        <v>0.46500000000000002</v>
      </c>
      <c r="T253" s="3">
        <f ca="1">IFERROR(__xludf.DUMMYFUNCTION("""COMPUTED_VALUE"""),314)</f>
        <v>314</v>
      </c>
      <c r="U253" s="3">
        <f ca="1">IFERROR(__xludf.DUMMYFUNCTION("""COMPUTED_VALUE"""),816)</f>
        <v>816</v>
      </c>
      <c r="V253" s="3">
        <f ca="1">IFERROR(__xludf.DUMMYFUNCTION("""COMPUTED_VALUE"""),0.385)</f>
        <v>0.38500000000000001</v>
      </c>
      <c r="W253" s="3">
        <f ca="1">IFERROR(__xludf.DUMMYFUNCTION("""COMPUTED_VALUE"""),492)</f>
        <v>492</v>
      </c>
      <c r="X253" s="3">
        <f ca="1">IFERROR(__xludf.DUMMYFUNCTION("""COMPUTED_VALUE"""),663)</f>
        <v>663</v>
      </c>
      <c r="Y253" s="3">
        <f ca="1">IFERROR(__xludf.DUMMYFUNCTION("""COMPUTED_VALUE"""),0.742)</f>
        <v>0.74199999999999999</v>
      </c>
      <c r="Z253" s="3">
        <f ca="1">IFERROR(__xludf.DUMMYFUNCTION("""COMPUTED_VALUE"""),275)</f>
        <v>275</v>
      </c>
      <c r="AA253" s="3">
        <f ca="1">IFERROR(__xludf.DUMMYFUNCTION("""COMPUTED_VALUE"""),1063)</f>
        <v>1063</v>
      </c>
      <c r="AB253" s="3">
        <f ca="1">IFERROR(__xludf.DUMMYFUNCTION("""COMPUTED_VALUE"""),580)</f>
        <v>580</v>
      </c>
      <c r="AC253" s="3">
        <f ca="1">IFERROR(__xludf.DUMMYFUNCTION("""COMPUTED_VALUE"""),191)</f>
        <v>191</v>
      </c>
      <c r="AD253" s="3">
        <f ca="1">IFERROR(__xludf.DUMMYFUNCTION("""COMPUTED_VALUE"""),99)</f>
        <v>99</v>
      </c>
      <c r="AE253" s="3">
        <f ca="1">IFERROR(__xludf.DUMMYFUNCTION("""COMPUTED_VALUE"""),426)</f>
        <v>426</v>
      </c>
      <c r="AF253" s="3">
        <f ca="1">IFERROR(__xludf.DUMMYFUNCTION("""COMPUTED_VALUE"""),534)</f>
        <v>534</v>
      </c>
    </row>
    <row r="254" spans="1:32" x14ac:dyDescent="0.25">
      <c r="A254" s="3" t="str">
        <f ca="1">IFERROR(__xludf.DUMMYFUNCTION("""COMPUTED_VALUE"""),"Ohio StateNCAA")</f>
        <v>Ohio StateNCAA</v>
      </c>
      <c r="B254" s="3">
        <f ca="1">IFERROR(__xludf.DUMMYFUNCTION("""COMPUTED_VALUE"""),35)</f>
        <v>35</v>
      </c>
      <c r="C254" s="3">
        <f ca="1">IFERROR(__xludf.DUMMYFUNCTION("""COMPUTED_VALUE"""),20)</f>
        <v>20</v>
      </c>
      <c r="D254" s="3">
        <f ca="1">IFERROR(__xludf.DUMMYFUNCTION("""COMPUTED_VALUE"""),15)</f>
        <v>15</v>
      </c>
      <c r="E254" s="3">
        <f ca="1">IFERROR(__xludf.DUMMYFUNCTION("""COMPUTED_VALUE"""),0.571)</f>
        <v>0.57099999999999995</v>
      </c>
      <c r="F254" s="3">
        <f ca="1">IFERROR(__xludf.DUMMYFUNCTION("""COMPUTED_VALUE"""),13.89)</f>
        <v>13.89</v>
      </c>
      <c r="G254" s="3">
        <f ca="1">IFERROR(__xludf.DUMMYFUNCTION("""COMPUTED_VALUE"""),11)</f>
        <v>11</v>
      </c>
      <c r="H254" s="3">
        <f ca="1">IFERROR(__xludf.DUMMYFUNCTION("""COMPUTED_VALUE"""),8)</f>
        <v>8</v>
      </c>
      <c r="I254" s="3">
        <f ca="1">IFERROR(__xludf.DUMMYFUNCTION("""COMPUTED_VALUE"""),12)</f>
        <v>12</v>
      </c>
      <c r="J254" s="3">
        <f ca="1">IFERROR(__xludf.DUMMYFUNCTION("""COMPUTED_VALUE"""),12)</f>
        <v>12</v>
      </c>
      <c r="K254" s="3">
        <f ca="1">IFERROR(__xludf.DUMMYFUNCTION("""COMPUTED_VALUE"""),6)</f>
        <v>6</v>
      </c>
      <c r="L254" s="3">
        <f ca="1">IFERROR(__xludf.DUMMYFUNCTION("""COMPUTED_VALUE"""),4)</f>
        <v>4</v>
      </c>
      <c r="M254" s="3">
        <f ca="1">IFERROR(__xludf.DUMMYFUNCTION("""COMPUTED_VALUE"""),7)</f>
        <v>7</v>
      </c>
      <c r="N254" s="3">
        <f ca="1">IFERROR(__xludf.DUMMYFUNCTION("""COMPUTED_VALUE"""),2419)</f>
        <v>2419</v>
      </c>
      <c r="O254" s="3">
        <f ca="1">IFERROR(__xludf.DUMMYFUNCTION("""COMPUTED_VALUE"""),2318)</f>
        <v>2318</v>
      </c>
      <c r="P254" s="3">
        <f ca="1">IFERROR(__xludf.DUMMYFUNCTION("""COMPUTED_VALUE"""),1405)</f>
        <v>1405</v>
      </c>
      <c r="Q254" s="3">
        <f ca="1">IFERROR(__xludf.DUMMYFUNCTION("""COMPUTED_VALUE"""),839)</f>
        <v>839</v>
      </c>
      <c r="R254" s="3">
        <f ca="1">IFERROR(__xludf.DUMMYFUNCTION("""COMPUTED_VALUE"""),1931)</f>
        <v>1931</v>
      </c>
      <c r="S254" s="3">
        <f ca="1">IFERROR(__xludf.DUMMYFUNCTION("""COMPUTED_VALUE"""),0.434)</f>
        <v>0.434</v>
      </c>
      <c r="T254" s="3">
        <f ca="1">IFERROR(__xludf.DUMMYFUNCTION("""COMPUTED_VALUE"""),264)</f>
        <v>264</v>
      </c>
      <c r="U254" s="3">
        <f ca="1">IFERROR(__xludf.DUMMYFUNCTION("""COMPUTED_VALUE"""),774)</f>
        <v>774</v>
      </c>
      <c r="V254" s="3">
        <f ca="1">IFERROR(__xludf.DUMMYFUNCTION("""COMPUTED_VALUE"""),0.341)</f>
        <v>0.34100000000000003</v>
      </c>
      <c r="W254" s="3">
        <f ca="1">IFERROR(__xludf.DUMMYFUNCTION("""COMPUTED_VALUE"""),477)</f>
        <v>477</v>
      </c>
      <c r="X254" s="3">
        <f ca="1">IFERROR(__xludf.DUMMYFUNCTION("""COMPUTED_VALUE"""),650)</f>
        <v>650</v>
      </c>
      <c r="Y254" s="3">
        <f ca="1">IFERROR(__xludf.DUMMYFUNCTION("""COMPUTED_VALUE"""),0.734)</f>
        <v>0.73399999999999999</v>
      </c>
      <c r="Z254" s="3">
        <f ca="1">IFERROR(__xludf.DUMMYFUNCTION("""COMPUTED_VALUE"""),328)</f>
        <v>328</v>
      </c>
      <c r="AA254" s="3">
        <f ca="1">IFERROR(__xludf.DUMMYFUNCTION("""COMPUTED_VALUE"""),1215)</f>
        <v>1215</v>
      </c>
      <c r="AB254" s="3">
        <f ca="1">IFERROR(__xludf.DUMMYFUNCTION("""COMPUTED_VALUE"""),494)</f>
        <v>494</v>
      </c>
      <c r="AC254" s="3">
        <f ca="1">IFERROR(__xludf.DUMMYFUNCTION("""COMPUTED_VALUE"""),206)</f>
        <v>206</v>
      </c>
      <c r="AD254" s="3">
        <f ca="1">IFERROR(__xludf.DUMMYFUNCTION("""COMPUTED_VALUE"""),85)</f>
        <v>85</v>
      </c>
      <c r="AE254" s="3">
        <f ca="1">IFERROR(__xludf.DUMMYFUNCTION("""COMPUTED_VALUE"""),438)</f>
        <v>438</v>
      </c>
      <c r="AF254" s="3">
        <f ca="1">IFERROR(__xludf.DUMMYFUNCTION("""COMPUTED_VALUE"""),623)</f>
        <v>623</v>
      </c>
    </row>
    <row r="255" spans="1:32" x14ac:dyDescent="0.25">
      <c r="A255" s="3" t="str">
        <f ca="1">IFERROR(__xludf.DUMMYFUNCTION("""COMPUTED_VALUE"""),"Ohio")</f>
        <v>Ohio</v>
      </c>
      <c r="B255" s="3">
        <f ca="1">IFERROR(__xludf.DUMMYFUNCTION("""COMPUTED_VALUE"""),31)</f>
        <v>31</v>
      </c>
      <c r="C255" s="3">
        <f ca="1">IFERROR(__xludf.DUMMYFUNCTION("""COMPUTED_VALUE"""),14)</f>
        <v>14</v>
      </c>
      <c r="D255" s="3">
        <f ca="1">IFERROR(__xludf.DUMMYFUNCTION("""COMPUTED_VALUE"""),17)</f>
        <v>17</v>
      </c>
      <c r="E255" s="3">
        <f ca="1">IFERROR(__xludf.DUMMYFUNCTION("""COMPUTED_VALUE"""),0.452)</f>
        <v>0.45200000000000001</v>
      </c>
      <c r="F255" s="3">
        <f ca="1">IFERROR(__xludf.DUMMYFUNCTION("""COMPUTED_VALUE"""),-1.84)</f>
        <v>-1.84</v>
      </c>
      <c r="G255" s="3">
        <f ca="1">IFERROR(__xludf.DUMMYFUNCTION("""COMPUTED_VALUE"""),3.16)</f>
        <v>3.16</v>
      </c>
      <c r="H255" s="3">
        <f ca="1">IFERROR(__xludf.DUMMYFUNCTION("""COMPUTED_VALUE"""),6)</f>
        <v>6</v>
      </c>
      <c r="I255" s="3">
        <f ca="1">IFERROR(__xludf.DUMMYFUNCTION("""COMPUTED_VALUE"""),12)</f>
        <v>12</v>
      </c>
      <c r="J255" s="3">
        <f ca="1">IFERROR(__xludf.DUMMYFUNCTION("""COMPUTED_VALUE"""),11)</f>
        <v>11</v>
      </c>
      <c r="K255" s="3">
        <f ca="1">IFERROR(__xludf.DUMMYFUNCTION("""COMPUTED_VALUE"""),5)</f>
        <v>5</v>
      </c>
      <c r="L255" s="3">
        <f ca="1">IFERROR(__xludf.DUMMYFUNCTION("""COMPUTED_VALUE"""),3)</f>
        <v>3</v>
      </c>
      <c r="M255" s="3">
        <f ca="1">IFERROR(__xludf.DUMMYFUNCTION("""COMPUTED_VALUE"""),10)</f>
        <v>10</v>
      </c>
      <c r="N255" s="3">
        <f ca="1">IFERROR(__xludf.DUMMYFUNCTION("""COMPUTED_VALUE"""),2174)</f>
        <v>2174</v>
      </c>
      <c r="O255" s="3">
        <f ca="1">IFERROR(__xludf.DUMMYFUNCTION("""COMPUTED_VALUE"""),2288)</f>
        <v>2288</v>
      </c>
      <c r="P255" s="3">
        <f ca="1">IFERROR(__xludf.DUMMYFUNCTION("""COMPUTED_VALUE"""),1255)</f>
        <v>1255</v>
      </c>
      <c r="Q255" s="3">
        <f ca="1">IFERROR(__xludf.DUMMYFUNCTION("""COMPUTED_VALUE"""),803)</f>
        <v>803</v>
      </c>
      <c r="R255" s="3">
        <f ca="1">IFERROR(__xludf.DUMMYFUNCTION("""COMPUTED_VALUE"""),1838)</f>
        <v>1838</v>
      </c>
      <c r="S255" s="3">
        <f ca="1">IFERROR(__xludf.DUMMYFUNCTION("""COMPUTED_VALUE"""),0.437)</f>
        <v>0.437</v>
      </c>
      <c r="T255" s="3">
        <f ca="1">IFERROR(__xludf.DUMMYFUNCTION("""COMPUTED_VALUE"""),187)</f>
        <v>187</v>
      </c>
      <c r="U255" s="3">
        <f ca="1">IFERROR(__xludf.DUMMYFUNCTION("""COMPUTED_VALUE"""),633)</f>
        <v>633</v>
      </c>
      <c r="V255" s="3">
        <f ca="1">IFERROR(__xludf.DUMMYFUNCTION("""COMPUTED_VALUE"""),0.295)</f>
        <v>0.29499999999999998</v>
      </c>
      <c r="W255" s="3">
        <f ca="1">IFERROR(__xludf.DUMMYFUNCTION("""COMPUTED_VALUE"""),381)</f>
        <v>381</v>
      </c>
      <c r="X255" s="3">
        <f ca="1">IFERROR(__xludf.DUMMYFUNCTION("""COMPUTED_VALUE"""),602)</f>
        <v>602</v>
      </c>
      <c r="Y255" s="3">
        <f ca="1">IFERROR(__xludf.DUMMYFUNCTION("""COMPUTED_VALUE"""),0.633)</f>
        <v>0.63300000000000001</v>
      </c>
      <c r="Z255" s="3">
        <f ca="1">IFERROR(__xludf.DUMMYFUNCTION("""COMPUTED_VALUE"""),332)</f>
        <v>332</v>
      </c>
      <c r="AA255" s="3">
        <f ca="1">IFERROR(__xludf.DUMMYFUNCTION("""COMPUTED_VALUE"""),1152)</f>
        <v>1152</v>
      </c>
      <c r="AB255" s="3">
        <f ca="1">IFERROR(__xludf.DUMMYFUNCTION("""COMPUTED_VALUE"""),451)</f>
        <v>451</v>
      </c>
      <c r="AC255" s="3">
        <f ca="1">IFERROR(__xludf.DUMMYFUNCTION("""COMPUTED_VALUE"""),200)</f>
        <v>200</v>
      </c>
      <c r="AD255" s="3">
        <f ca="1">IFERROR(__xludf.DUMMYFUNCTION("""COMPUTED_VALUE"""),115)</f>
        <v>115</v>
      </c>
      <c r="AE255" s="3">
        <f ca="1">IFERROR(__xludf.DUMMYFUNCTION("""COMPUTED_VALUE"""),448)</f>
        <v>448</v>
      </c>
      <c r="AF255" s="3">
        <f ca="1">IFERROR(__xludf.DUMMYFUNCTION("""COMPUTED_VALUE"""),504)</f>
        <v>504</v>
      </c>
    </row>
    <row r="256" spans="1:32" x14ac:dyDescent="0.25">
      <c r="A256" s="3" t="str">
        <f ca="1">IFERROR(__xludf.DUMMYFUNCTION("""COMPUTED_VALUE"""),"Oklahoma State")</f>
        <v>Oklahoma State</v>
      </c>
      <c r="B256" s="3">
        <f ca="1">IFERROR(__xludf.DUMMYFUNCTION("""COMPUTED_VALUE"""),32)</f>
        <v>32</v>
      </c>
      <c r="C256" s="3">
        <f ca="1">IFERROR(__xludf.DUMMYFUNCTION("""COMPUTED_VALUE"""),12)</f>
        <v>12</v>
      </c>
      <c r="D256" s="3">
        <f ca="1">IFERROR(__xludf.DUMMYFUNCTION("""COMPUTED_VALUE"""),20)</f>
        <v>20</v>
      </c>
      <c r="E256" s="3">
        <f ca="1">IFERROR(__xludf.DUMMYFUNCTION("""COMPUTED_VALUE"""),0.375)</f>
        <v>0.375</v>
      </c>
      <c r="F256" s="3">
        <f ca="1">IFERROR(__xludf.DUMMYFUNCTION("""COMPUTED_VALUE"""),8.09)</f>
        <v>8.09</v>
      </c>
      <c r="G256" s="3">
        <f ca="1">IFERROR(__xludf.DUMMYFUNCTION("""COMPUTED_VALUE"""),11.53)</f>
        <v>11.53</v>
      </c>
      <c r="H256" s="3">
        <f ca="1">IFERROR(__xludf.DUMMYFUNCTION("""COMPUTED_VALUE"""),5)</f>
        <v>5</v>
      </c>
      <c r="I256" s="3">
        <f ca="1">IFERROR(__xludf.DUMMYFUNCTION("""COMPUTED_VALUE"""),13)</f>
        <v>13</v>
      </c>
      <c r="J256" s="3">
        <f ca="1">IFERROR(__xludf.DUMMYFUNCTION("""COMPUTED_VALUE"""),8)</f>
        <v>8</v>
      </c>
      <c r="K256" s="3">
        <f ca="1">IFERROR(__xludf.DUMMYFUNCTION("""COMPUTED_VALUE"""),7)</f>
        <v>7</v>
      </c>
      <c r="L256" s="3">
        <f ca="1">IFERROR(__xludf.DUMMYFUNCTION("""COMPUTED_VALUE"""),2)</f>
        <v>2</v>
      </c>
      <c r="M256" s="3">
        <f ca="1">IFERROR(__xludf.DUMMYFUNCTION("""COMPUTED_VALUE"""),10)</f>
        <v>10</v>
      </c>
      <c r="N256" s="3">
        <f ca="1">IFERROR(__xludf.DUMMYFUNCTION("""COMPUTED_VALUE"""),2178)</f>
        <v>2178</v>
      </c>
      <c r="O256" s="3">
        <f ca="1">IFERROR(__xludf.DUMMYFUNCTION("""COMPUTED_VALUE"""),2288)</f>
        <v>2288</v>
      </c>
      <c r="P256" s="3">
        <f ca="1">IFERROR(__xludf.DUMMYFUNCTION("""COMPUTED_VALUE"""),1285)</f>
        <v>1285</v>
      </c>
      <c r="Q256" s="3">
        <f ca="1">IFERROR(__xludf.DUMMYFUNCTION("""COMPUTED_VALUE"""),760)</f>
        <v>760</v>
      </c>
      <c r="R256" s="3">
        <f ca="1">IFERROR(__xludf.DUMMYFUNCTION("""COMPUTED_VALUE"""),1796)</f>
        <v>1796</v>
      </c>
      <c r="S256" s="3">
        <f ca="1">IFERROR(__xludf.DUMMYFUNCTION("""COMPUTED_VALUE"""),0.423)</f>
        <v>0.42299999999999999</v>
      </c>
      <c r="T256" s="3">
        <f ca="1">IFERROR(__xludf.DUMMYFUNCTION("""COMPUTED_VALUE"""),280)</f>
        <v>280</v>
      </c>
      <c r="U256" s="3">
        <f ca="1">IFERROR(__xludf.DUMMYFUNCTION("""COMPUTED_VALUE"""),753)</f>
        <v>753</v>
      </c>
      <c r="V256" s="3">
        <f ca="1">IFERROR(__xludf.DUMMYFUNCTION("""COMPUTED_VALUE"""),0.372)</f>
        <v>0.372</v>
      </c>
      <c r="W256" s="3">
        <f ca="1">IFERROR(__xludf.DUMMYFUNCTION("""COMPUTED_VALUE"""),378)</f>
        <v>378</v>
      </c>
      <c r="X256" s="3">
        <f ca="1">IFERROR(__xludf.DUMMYFUNCTION("""COMPUTED_VALUE"""),549)</f>
        <v>549</v>
      </c>
      <c r="Y256" s="3">
        <f ca="1">IFERROR(__xludf.DUMMYFUNCTION("""COMPUTED_VALUE"""),0.689)</f>
        <v>0.68899999999999995</v>
      </c>
      <c r="Z256" s="3">
        <f ca="1">IFERROR(__xludf.DUMMYFUNCTION("""COMPUTED_VALUE"""),295)</f>
        <v>295</v>
      </c>
      <c r="AA256" s="3">
        <f ca="1">IFERROR(__xludf.DUMMYFUNCTION("""COMPUTED_VALUE"""),1093)</f>
        <v>1093</v>
      </c>
      <c r="AB256" s="3">
        <f ca="1">IFERROR(__xludf.DUMMYFUNCTION("""COMPUTED_VALUE"""),422)</f>
        <v>422</v>
      </c>
      <c r="AC256" s="3">
        <f ca="1">IFERROR(__xludf.DUMMYFUNCTION("""COMPUTED_VALUE"""),183)</f>
        <v>183</v>
      </c>
      <c r="AD256" s="3">
        <f ca="1">IFERROR(__xludf.DUMMYFUNCTION("""COMPUTED_VALUE"""),139)</f>
        <v>139</v>
      </c>
      <c r="AE256" s="3">
        <f ca="1">IFERROR(__xludf.DUMMYFUNCTION("""COMPUTED_VALUE"""),386)</f>
        <v>386</v>
      </c>
      <c r="AF256" s="3">
        <f ca="1">IFERROR(__xludf.DUMMYFUNCTION("""COMPUTED_VALUE"""),516)</f>
        <v>516</v>
      </c>
    </row>
    <row r="257" spans="1:32" x14ac:dyDescent="0.25">
      <c r="A257" s="3" t="str">
        <f ca="1">IFERROR(__xludf.DUMMYFUNCTION("""COMPUTED_VALUE"""),"OklahomaNCAA")</f>
        <v>OklahomaNCAA</v>
      </c>
      <c r="B257" s="3">
        <f ca="1">IFERROR(__xludf.DUMMYFUNCTION("""COMPUTED_VALUE"""),34)</f>
        <v>34</v>
      </c>
      <c r="C257" s="3">
        <f ca="1">IFERROR(__xludf.DUMMYFUNCTION("""COMPUTED_VALUE"""),20)</f>
        <v>20</v>
      </c>
      <c r="D257" s="3">
        <f ca="1">IFERROR(__xludf.DUMMYFUNCTION("""COMPUTED_VALUE"""),14)</f>
        <v>14</v>
      </c>
      <c r="E257" s="3">
        <f ca="1">IFERROR(__xludf.DUMMYFUNCTION("""COMPUTED_VALUE"""),0.588)</f>
        <v>0.58799999999999997</v>
      </c>
      <c r="F257" s="3">
        <f ca="1">IFERROR(__xludf.DUMMYFUNCTION("""COMPUTED_VALUE"""),15.3)</f>
        <v>15.3</v>
      </c>
      <c r="G257" s="3">
        <f ca="1">IFERROR(__xludf.DUMMYFUNCTION("""COMPUTED_VALUE"""),12.21)</f>
        <v>12.21</v>
      </c>
      <c r="H257" s="3">
        <f ca="1">IFERROR(__xludf.DUMMYFUNCTION("""COMPUTED_VALUE"""),7)</f>
        <v>7</v>
      </c>
      <c r="I257" s="3">
        <f ca="1">IFERROR(__xludf.DUMMYFUNCTION("""COMPUTED_VALUE"""),11)</f>
        <v>11</v>
      </c>
      <c r="J257" s="3">
        <f ca="1">IFERROR(__xludf.DUMMYFUNCTION("""COMPUTED_VALUE"""),11)</f>
        <v>11</v>
      </c>
      <c r="K257" s="3">
        <f ca="1">IFERROR(__xludf.DUMMYFUNCTION("""COMPUTED_VALUE"""),4)</f>
        <v>4</v>
      </c>
      <c r="L257" s="3">
        <f ca="1">IFERROR(__xludf.DUMMYFUNCTION("""COMPUTED_VALUE"""),5)</f>
        <v>5</v>
      </c>
      <c r="M257" s="3">
        <f ca="1">IFERROR(__xludf.DUMMYFUNCTION("""COMPUTED_VALUE"""),7)</f>
        <v>7</v>
      </c>
      <c r="N257" s="3">
        <f ca="1">IFERROR(__xludf.DUMMYFUNCTION("""COMPUTED_VALUE"""),2423)</f>
        <v>2423</v>
      </c>
      <c r="O257" s="3">
        <f ca="1">IFERROR(__xludf.DUMMYFUNCTION("""COMPUTED_VALUE"""),2318)</f>
        <v>2318</v>
      </c>
      <c r="P257" s="3">
        <f ca="1">IFERROR(__xludf.DUMMYFUNCTION("""COMPUTED_VALUE"""),1365)</f>
        <v>1365</v>
      </c>
      <c r="Q257" s="3">
        <f ca="1">IFERROR(__xludf.DUMMYFUNCTION("""COMPUTED_VALUE"""),883)</f>
        <v>883</v>
      </c>
      <c r="R257" s="3">
        <f ca="1">IFERROR(__xludf.DUMMYFUNCTION("""COMPUTED_VALUE"""),1975)</f>
        <v>1975</v>
      </c>
      <c r="S257" s="3">
        <f ca="1">IFERROR(__xludf.DUMMYFUNCTION("""COMPUTED_VALUE"""),0.447)</f>
        <v>0.44700000000000001</v>
      </c>
      <c r="T257" s="3">
        <f ca="1">IFERROR(__xludf.DUMMYFUNCTION("""COMPUTED_VALUE"""),226)</f>
        <v>226</v>
      </c>
      <c r="U257" s="3">
        <f ca="1">IFERROR(__xludf.DUMMYFUNCTION("""COMPUTED_VALUE"""),654)</f>
        <v>654</v>
      </c>
      <c r="V257" s="3">
        <f ca="1">IFERROR(__xludf.DUMMYFUNCTION("""COMPUTED_VALUE"""),0.346)</f>
        <v>0.34599999999999997</v>
      </c>
      <c r="W257" s="3">
        <f ca="1">IFERROR(__xludf.DUMMYFUNCTION("""COMPUTED_VALUE"""),431)</f>
        <v>431</v>
      </c>
      <c r="X257" s="3">
        <f ca="1">IFERROR(__xludf.DUMMYFUNCTION("""COMPUTED_VALUE"""),618)</f>
        <v>618</v>
      </c>
      <c r="Y257" s="3">
        <f ca="1">IFERROR(__xludf.DUMMYFUNCTION("""COMPUTED_VALUE"""),0.697)</f>
        <v>0.69699999999999995</v>
      </c>
      <c r="Z257" s="3">
        <f ca="1">IFERROR(__xludf.DUMMYFUNCTION("""COMPUTED_VALUE"""),305)</f>
        <v>305</v>
      </c>
      <c r="AA257" s="3">
        <f ca="1">IFERROR(__xludf.DUMMYFUNCTION("""COMPUTED_VALUE"""),1263)</f>
        <v>1263</v>
      </c>
      <c r="AB257" s="3">
        <f ca="1">IFERROR(__xludf.DUMMYFUNCTION("""COMPUTED_VALUE"""),430)</f>
        <v>430</v>
      </c>
      <c r="AC257" s="3">
        <f ca="1">IFERROR(__xludf.DUMMYFUNCTION("""COMPUTED_VALUE"""),203)</f>
        <v>203</v>
      </c>
      <c r="AD257" s="3">
        <f ca="1">IFERROR(__xludf.DUMMYFUNCTION("""COMPUTED_VALUE"""),102)</f>
        <v>102</v>
      </c>
      <c r="AE257" s="3">
        <f ca="1">IFERROR(__xludf.DUMMYFUNCTION("""COMPUTED_VALUE"""),401)</f>
        <v>401</v>
      </c>
      <c r="AF257" s="3">
        <f ca="1">IFERROR(__xludf.DUMMYFUNCTION("""COMPUTED_VALUE"""),527)</f>
        <v>527</v>
      </c>
    </row>
    <row r="258" spans="1:32" x14ac:dyDescent="0.25">
      <c r="A258" s="3" t="str">
        <f ca="1">IFERROR(__xludf.DUMMYFUNCTION("""COMPUTED_VALUE"""),"Old DominionNCAA")</f>
        <v>Old DominionNCAA</v>
      </c>
      <c r="B258" s="3">
        <f ca="1">IFERROR(__xludf.DUMMYFUNCTION("""COMPUTED_VALUE"""),35)</f>
        <v>35</v>
      </c>
      <c r="C258" s="3">
        <f ca="1">IFERROR(__xludf.DUMMYFUNCTION("""COMPUTED_VALUE"""),26)</f>
        <v>26</v>
      </c>
      <c r="D258" s="3">
        <f ca="1">IFERROR(__xludf.DUMMYFUNCTION("""COMPUTED_VALUE"""),9)</f>
        <v>9</v>
      </c>
      <c r="E258" s="3">
        <f ca="1">IFERROR(__xludf.DUMMYFUNCTION("""COMPUTED_VALUE"""),0.743)</f>
        <v>0.74299999999999999</v>
      </c>
      <c r="F258" s="3">
        <f ca="1">IFERROR(__xludf.DUMMYFUNCTION("""COMPUTED_VALUE"""),3.74)</f>
        <v>3.74</v>
      </c>
      <c r="G258" s="3">
        <f ca="1">IFERROR(__xludf.DUMMYFUNCTION("""COMPUTED_VALUE"""),-1.18)</f>
        <v>-1.18</v>
      </c>
      <c r="H258" s="3">
        <f ca="1">IFERROR(__xludf.DUMMYFUNCTION("""COMPUTED_VALUE"""),13)</f>
        <v>13</v>
      </c>
      <c r="I258" s="3">
        <f ca="1">IFERROR(__xludf.DUMMYFUNCTION("""COMPUTED_VALUE"""),5)</f>
        <v>5</v>
      </c>
      <c r="J258" s="3">
        <f ca="1">IFERROR(__xludf.DUMMYFUNCTION("""COMPUTED_VALUE"""),14)</f>
        <v>14</v>
      </c>
      <c r="K258" s="3">
        <f ca="1">IFERROR(__xludf.DUMMYFUNCTION("""COMPUTED_VALUE"""),2)</f>
        <v>2</v>
      </c>
      <c r="L258" s="3">
        <f ca="1">IFERROR(__xludf.DUMMYFUNCTION("""COMPUTED_VALUE"""),8)</f>
        <v>8</v>
      </c>
      <c r="M258" s="3">
        <f ca="1">IFERROR(__xludf.DUMMYFUNCTION("""COMPUTED_VALUE"""),4)</f>
        <v>4</v>
      </c>
      <c r="N258" s="3">
        <f ca="1">IFERROR(__xludf.DUMMYFUNCTION("""COMPUTED_VALUE"""),2300)</f>
        <v>2300</v>
      </c>
      <c r="O258" s="3">
        <f ca="1">IFERROR(__xludf.DUMMYFUNCTION("""COMPUTED_VALUE"""),2128)</f>
        <v>2128</v>
      </c>
      <c r="P258" s="3">
        <f ca="1">IFERROR(__xludf.DUMMYFUNCTION("""COMPUTED_VALUE"""),1400)</f>
        <v>1400</v>
      </c>
      <c r="Q258" s="3">
        <f ca="1">IFERROR(__xludf.DUMMYFUNCTION("""COMPUTED_VALUE"""),823)</f>
        <v>823</v>
      </c>
      <c r="R258" s="3">
        <f ca="1">IFERROR(__xludf.DUMMYFUNCTION("""COMPUTED_VALUE"""),2026)</f>
        <v>2026</v>
      </c>
      <c r="S258" s="3">
        <f ca="1">IFERROR(__xludf.DUMMYFUNCTION("""COMPUTED_VALUE"""),0.406)</f>
        <v>0.40600000000000003</v>
      </c>
      <c r="T258" s="3">
        <f ca="1">IFERROR(__xludf.DUMMYFUNCTION("""COMPUTED_VALUE"""),264)</f>
        <v>264</v>
      </c>
      <c r="U258" s="3">
        <f ca="1">IFERROR(__xludf.DUMMYFUNCTION("""COMPUTED_VALUE"""),756)</f>
        <v>756</v>
      </c>
      <c r="V258" s="3">
        <f ca="1">IFERROR(__xludf.DUMMYFUNCTION("""COMPUTED_VALUE"""),0.349)</f>
        <v>0.34899999999999998</v>
      </c>
      <c r="W258" s="3">
        <f ca="1">IFERROR(__xludf.DUMMYFUNCTION("""COMPUTED_VALUE"""),388)</f>
        <v>388</v>
      </c>
      <c r="X258" s="3">
        <f ca="1">IFERROR(__xludf.DUMMYFUNCTION("""COMPUTED_VALUE"""),585)</f>
        <v>585</v>
      </c>
      <c r="Y258" s="3">
        <f ca="1">IFERROR(__xludf.DUMMYFUNCTION("""COMPUTED_VALUE"""),0.663)</f>
        <v>0.66300000000000003</v>
      </c>
      <c r="Z258" s="3">
        <f ca="1">IFERROR(__xludf.DUMMYFUNCTION("""COMPUTED_VALUE"""),418)</f>
        <v>418</v>
      </c>
      <c r="AA258" s="3">
        <f ca="1">IFERROR(__xludf.DUMMYFUNCTION("""COMPUTED_VALUE"""),1365)</f>
        <v>1365</v>
      </c>
      <c r="AB258" s="3">
        <f ca="1">IFERROR(__xludf.DUMMYFUNCTION("""COMPUTED_VALUE"""),439)</f>
        <v>439</v>
      </c>
      <c r="AC258" s="3">
        <f ca="1">IFERROR(__xludf.DUMMYFUNCTION("""COMPUTED_VALUE"""),197)</f>
        <v>197</v>
      </c>
      <c r="AD258" s="3">
        <f ca="1">IFERROR(__xludf.DUMMYFUNCTION("""COMPUTED_VALUE"""),160)</f>
        <v>160</v>
      </c>
      <c r="AE258" s="3">
        <f ca="1">IFERROR(__xludf.DUMMYFUNCTION("""COMPUTED_VALUE"""),408)</f>
        <v>408</v>
      </c>
      <c r="AF258" s="3">
        <f ca="1">IFERROR(__xludf.DUMMYFUNCTION("""COMPUTED_VALUE"""),580)</f>
        <v>580</v>
      </c>
    </row>
    <row r="259" spans="1:32" x14ac:dyDescent="0.25">
      <c r="A259" s="3" t="str">
        <f ca="1">IFERROR(__xludf.DUMMYFUNCTION("""COMPUTED_VALUE"""),"Oral Roberts")</f>
        <v>Oral Roberts</v>
      </c>
      <c r="B259" s="3">
        <f ca="1">IFERROR(__xludf.DUMMYFUNCTION("""COMPUTED_VALUE"""),32)</f>
        <v>32</v>
      </c>
      <c r="C259" s="3">
        <f ca="1">IFERROR(__xludf.DUMMYFUNCTION("""COMPUTED_VALUE"""),11)</f>
        <v>11</v>
      </c>
      <c r="D259" s="3">
        <f ca="1">IFERROR(__xludf.DUMMYFUNCTION("""COMPUTED_VALUE"""),21)</f>
        <v>21</v>
      </c>
      <c r="E259" s="3">
        <f ca="1">IFERROR(__xludf.DUMMYFUNCTION("""COMPUTED_VALUE"""),0.344)</f>
        <v>0.34399999999999997</v>
      </c>
      <c r="F259" s="3">
        <f ca="1">IFERROR(__xludf.DUMMYFUNCTION("""COMPUTED_VALUE"""),-9.34)</f>
        <v>-9.34</v>
      </c>
      <c r="G259" s="3">
        <f ca="1">IFERROR(__xludf.DUMMYFUNCTION("""COMPUTED_VALUE"""),-1.91)</f>
        <v>-1.91</v>
      </c>
      <c r="H259" s="3">
        <f ca="1">IFERROR(__xludf.DUMMYFUNCTION("""COMPUTED_VALUE"""),7)</f>
        <v>7</v>
      </c>
      <c r="I259" s="3">
        <f ca="1">IFERROR(__xludf.DUMMYFUNCTION("""COMPUTED_VALUE"""),9)</f>
        <v>9</v>
      </c>
      <c r="J259" s="3">
        <f ca="1">IFERROR(__xludf.DUMMYFUNCTION("""COMPUTED_VALUE"""),7)</f>
        <v>7</v>
      </c>
      <c r="K259" s="3">
        <f ca="1">IFERROR(__xludf.DUMMYFUNCTION("""COMPUTED_VALUE"""),6)</f>
        <v>6</v>
      </c>
      <c r="L259" s="3">
        <f ca="1">IFERROR(__xludf.DUMMYFUNCTION("""COMPUTED_VALUE"""),3)</f>
        <v>3</v>
      </c>
      <c r="M259" s="3">
        <f ca="1">IFERROR(__xludf.DUMMYFUNCTION("""COMPUTED_VALUE"""),13)</f>
        <v>13</v>
      </c>
      <c r="N259" s="3">
        <f ca="1">IFERROR(__xludf.DUMMYFUNCTION("""COMPUTED_VALUE"""),2314)</f>
        <v>2314</v>
      </c>
      <c r="O259" s="3">
        <f ca="1">IFERROR(__xludf.DUMMYFUNCTION("""COMPUTED_VALUE"""),2483)</f>
        <v>2483</v>
      </c>
      <c r="P259" s="3">
        <f ca="1">IFERROR(__xludf.DUMMYFUNCTION("""COMPUTED_VALUE"""),1285)</f>
        <v>1285</v>
      </c>
      <c r="Q259" s="3">
        <f ca="1">IFERROR(__xludf.DUMMYFUNCTION("""COMPUTED_VALUE"""),854)</f>
        <v>854</v>
      </c>
      <c r="R259" s="3">
        <f ca="1">IFERROR(__xludf.DUMMYFUNCTION("""COMPUTED_VALUE"""),1874)</f>
        <v>1874</v>
      </c>
      <c r="S259" s="3">
        <f ca="1">IFERROR(__xludf.DUMMYFUNCTION("""COMPUTED_VALUE"""),0.456)</f>
        <v>0.45600000000000002</v>
      </c>
      <c r="T259" s="3">
        <f ca="1">IFERROR(__xludf.DUMMYFUNCTION("""COMPUTED_VALUE"""),266)</f>
        <v>266</v>
      </c>
      <c r="U259" s="3">
        <f ca="1">IFERROR(__xludf.DUMMYFUNCTION("""COMPUTED_VALUE"""),734)</f>
        <v>734</v>
      </c>
      <c r="V259" s="3">
        <f ca="1">IFERROR(__xludf.DUMMYFUNCTION("""COMPUTED_VALUE"""),0.362)</f>
        <v>0.36199999999999999</v>
      </c>
      <c r="W259" s="3">
        <f ca="1">IFERROR(__xludf.DUMMYFUNCTION("""COMPUTED_VALUE"""),340)</f>
        <v>340</v>
      </c>
      <c r="X259" s="3">
        <f ca="1">IFERROR(__xludf.DUMMYFUNCTION("""COMPUTED_VALUE"""),492)</f>
        <v>492</v>
      </c>
      <c r="Y259" s="3">
        <f ca="1">IFERROR(__xludf.DUMMYFUNCTION("""COMPUTED_VALUE"""),0.691)</f>
        <v>0.69099999999999995</v>
      </c>
      <c r="Z259" s="3">
        <f ca="1">IFERROR(__xludf.DUMMYFUNCTION("""COMPUTED_VALUE"""),335)</f>
        <v>335</v>
      </c>
      <c r="AA259" s="3">
        <f ca="1">IFERROR(__xludf.DUMMYFUNCTION("""COMPUTED_VALUE"""),1147)</f>
        <v>1147</v>
      </c>
      <c r="AB259" s="3">
        <f ca="1">IFERROR(__xludf.DUMMYFUNCTION("""COMPUTED_VALUE"""),434)</f>
        <v>434</v>
      </c>
      <c r="AC259" s="3">
        <f ca="1">IFERROR(__xludf.DUMMYFUNCTION("""COMPUTED_VALUE"""),152)</f>
        <v>152</v>
      </c>
      <c r="AD259" s="3">
        <f ca="1">IFERROR(__xludf.DUMMYFUNCTION("""COMPUTED_VALUE"""),107)</f>
        <v>107</v>
      </c>
      <c r="AE259" s="3">
        <f ca="1">IFERROR(__xludf.DUMMYFUNCTION("""COMPUTED_VALUE"""),447)</f>
        <v>447</v>
      </c>
      <c r="AF259" s="3">
        <f ca="1">IFERROR(__xludf.DUMMYFUNCTION("""COMPUTED_VALUE"""),575)</f>
        <v>575</v>
      </c>
    </row>
    <row r="260" spans="1:32" x14ac:dyDescent="0.25">
      <c r="A260" s="3" t="str">
        <f ca="1">IFERROR(__xludf.DUMMYFUNCTION("""COMPUTED_VALUE"""),"Oregon State")</f>
        <v>Oregon State</v>
      </c>
      <c r="B260" s="3">
        <f ca="1">IFERROR(__xludf.DUMMYFUNCTION("""COMPUTED_VALUE"""),31)</f>
        <v>31</v>
      </c>
      <c r="C260" s="3">
        <f ca="1">IFERROR(__xludf.DUMMYFUNCTION("""COMPUTED_VALUE"""),18)</f>
        <v>18</v>
      </c>
      <c r="D260" s="3">
        <f ca="1">IFERROR(__xludf.DUMMYFUNCTION("""COMPUTED_VALUE"""),13)</f>
        <v>13</v>
      </c>
      <c r="E260" s="3">
        <f ca="1">IFERROR(__xludf.DUMMYFUNCTION("""COMPUTED_VALUE"""),0.581)</f>
        <v>0.58099999999999996</v>
      </c>
      <c r="F260" s="3">
        <f ca="1">IFERROR(__xludf.DUMMYFUNCTION("""COMPUTED_VALUE"""),7.84)</f>
        <v>7.84</v>
      </c>
      <c r="G260" s="3">
        <f ca="1">IFERROR(__xludf.DUMMYFUNCTION("""COMPUTED_VALUE"""),4.29)</f>
        <v>4.29</v>
      </c>
      <c r="H260" s="3">
        <f ca="1">IFERROR(__xludf.DUMMYFUNCTION("""COMPUTED_VALUE"""),10)</f>
        <v>10</v>
      </c>
      <c r="I260" s="3">
        <f ca="1">IFERROR(__xludf.DUMMYFUNCTION("""COMPUTED_VALUE"""),8)</f>
        <v>8</v>
      </c>
      <c r="J260" s="3">
        <f ca="1">IFERROR(__xludf.DUMMYFUNCTION("""COMPUTED_VALUE"""),10)</f>
        <v>10</v>
      </c>
      <c r="K260" s="3">
        <f ca="1">IFERROR(__xludf.DUMMYFUNCTION("""COMPUTED_VALUE"""),5)</f>
        <v>5</v>
      </c>
      <c r="L260" s="3">
        <f ca="1">IFERROR(__xludf.DUMMYFUNCTION("""COMPUTED_VALUE"""),6)</f>
        <v>6</v>
      </c>
      <c r="M260" s="3">
        <f ca="1">IFERROR(__xludf.DUMMYFUNCTION("""COMPUTED_VALUE"""),5)</f>
        <v>5</v>
      </c>
      <c r="N260" s="3">
        <f ca="1">IFERROR(__xludf.DUMMYFUNCTION("""COMPUTED_VALUE"""),2275)</f>
        <v>2275</v>
      </c>
      <c r="O260" s="3">
        <f ca="1">IFERROR(__xludf.DUMMYFUNCTION("""COMPUTED_VALUE"""),2165)</f>
        <v>2165</v>
      </c>
      <c r="P260" s="3">
        <f ca="1">IFERROR(__xludf.DUMMYFUNCTION("""COMPUTED_VALUE"""),1250)</f>
        <v>1250</v>
      </c>
      <c r="Q260" s="3">
        <f ca="1">IFERROR(__xludf.DUMMYFUNCTION("""COMPUTED_VALUE"""),800)</f>
        <v>800</v>
      </c>
      <c r="R260" s="3">
        <f ca="1">IFERROR(__xludf.DUMMYFUNCTION("""COMPUTED_VALUE"""),1728)</f>
        <v>1728</v>
      </c>
      <c r="S260" s="3">
        <f ca="1">IFERROR(__xludf.DUMMYFUNCTION("""COMPUTED_VALUE"""),0.463)</f>
        <v>0.46300000000000002</v>
      </c>
      <c r="T260" s="3">
        <f ca="1">IFERROR(__xludf.DUMMYFUNCTION("""COMPUTED_VALUE"""),203)</f>
        <v>203</v>
      </c>
      <c r="U260" s="3">
        <f ca="1">IFERROR(__xludf.DUMMYFUNCTION("""COMPUTED_VALUE"""),633)</f>
        <v>633</v>
      </c>
      <c r="V260" s="3">
        <f ca="1">IFERROR(__xludf.DUMMYFUNCTION("""COMPUTED_VALUE"""),0.321)</f>
        <v>0.32100000000000001</v>
      </c>
      <c r="W260" s="3">
        <f ca="1">IFERROR(__xludf.DUMMYFUNCTION("""COMPUTED_VALUE"""),472)</f>
        <v>472</v>
      </c>
      <c r="X260" s="3">
        <f ca="1">IFERROR(__xludf.DUMMYFUNCTION("""COMPUTED_VALUE"""),636)</f>
        <v>636</v>
      </c>
      <c r="Y260" s="3">
        <f ca="1">IFERROR(__xludf.DUMMYFUNCTION("""COMPUTED_VALUE"""),0.742)</f>
        <v>0.74199999999999999</v>
      </c>
      <c r="Z260" s="3">
        <f ca="1">IFERROR(__xludf.DUMMYFUNCTION("""COMPUTED_VALUE"""),310)</f>
        <v>310</v>
      </c>
      <c r="AA260" s="3">
        <f ca="1">IFERROR(__xludf.DUMMYFUNCTION("""COMPUTED_VALUE"""),1091)</f>
        <v>1091</v>
      </c>
      <c r="AB260" s="3">
        <f ca="1">IFERROR(__xludf.DUMMYFUNCTION("""COMPUTED_VALUE"""),465)</f>
        <v>465</v>
      </c>
      <c r="AC260" s="3">
        <f ca="1">IFERROR(__xludf.DUMMYFUNCTION("""COMPUTED_VALUE"""),185)</f>
        <v>185</v>
      </c>
      <c r="AD260" s="3">
        <f ca="1">IFERROR(__xludf.DUMMYFUNCTION("""COMPUTED_VALUE"""),164)</f>
        <v>164</v>
      </c>
      <c r="AE260" s="3">
        <f ca="1">IFERROR(__xludf.DUMMYFUNCTION("""COMPUTED_VALUE"""),384)</f>
        <v>384</v>
      </c>
      <c r="AF260" s="3">
        <f ca="1">IFERROR(__xludf.DUMMYFUNCTION("""COMPUTED_VALUE"""),536)</f>
        <v>536</v>
      </c>
    </row>
    <row r="261" spans="1:32" x14ac:dyDescent="0.25">
      <c r="A261" s="3" t="str">
        <f ca="1">IFERROR(__xludf.DUMMYFUNCTION("""COMPUTED_VALUE"""),"OregonNCAA")</f>
        <v>OregonNCAA</v>
      </c>
      <c r="B261" s="3">
        <f ca="1">IFERROR(__xludf.DUMMYFUNCTION("""COMPUTED_VALUE"""),38)</f>
        <v>38</v>
      </c>
      <c r="C261" s="3">
        <f ca="1">IFERROR(__xludf.DUMMYFUNCTION("""COMPUTED_VALUE"""),25)</f>
        <v>25</v>
      </c>
      <c r="D261" s="3">
        <f ca="1">IFERROR(__xludf.DUMMYFUNCTION("""COMPUTED_VALUE"""),13)</f>
        <v>13</v>
      </c>
      <c r="E261" s="3">
        <f ca="1">IFERROR(__xludf.DUMMYFUNCTION("""COMPUTED_VALUE"""),0.658)</f>
        <v>0.65800000000000003</v>
      </c>
      <c r="F261" s="3">
        <f ca="1">IFERROR(__xludf.DUMMYFUNCTION("""COMPUTED_VALUE"""),13.95)</f>
        <v>13.95</v>
      </c>
      <c r="G261" s="3">
        <f ca="1">IFERROR(__xludf.DUMMYFUNCTION("""COMPUTED_VALUE"""),6.13)</f>
        <v>6.13</v>
      </c>
      <c r="H261" s="3">
        <f ca="1">IFERROR(__xludf.DUMMYFUNCTION("""COMPUTED_VALUE"""),10)</f>
        <v>10</v>
      </c>
      <c r="I261" s="3">
        <f ca="1">IFERROR(__xludf.DUMMYFUNCTION("""COMPUTED_VALUE"""),8)</f>
        <v>8</v>
      </c>
      <c r="J261" s="3">
        <f ca="1">IFERROR(__xludf.DUMMYFUNCTION("""COMPUTED_VALUE"""),13)</f>
        <v>13</v>
      </c>
      <c r="K261" s="3">
        <f ca="1">IFERROR(__xludf.DUMMYFUNCTION("""COMPUTED_VALUE"""),4)</f>
        <v>4</v>
      </c>
      <c r="L261" s="3">
        <f ca="1">IFERROR(__xludf.DUMMYFUNCTION("""COMPUTED_VALUE"""),5)</f>
        <v>5</v>
      </c>
      <c r="M261" s="3">
        <f ca="1">IFERROR(__xludf.DUMMYFUNCTION("""COMPUTED_VALUE"""),7)</f>
        <v>7</v>
      </c>
      <c r="N261" s="3">
        <f ca="1">IFERROR(__xludf.DUMMYFUNCTION("""COMPUTED_VALUE"""),2661)</f>
        <v>2661</v>
      </c>
      <c r="O261" s="3">
        <f ca="1">IFERROR(__xludf.DUMMYFUNCTION("""COMPUTED_VALUE"""),2364)</f>
        <v>2364</v>
      </c>
      <c r="P261" s="3">
        <f ca="1">IFERROR(__xludf.DUMMYFUNCTION("""COMPUTED_VALUE"""),1530)</f>
        <v>1530</v>
      </c>
      <c r="Q261" s="3">
        <f ca="1">IFERROR(__xludf.DUMMYFUNCTION("""COMPUTED_VALUE"""),958)</f>
        <v>958</v>
      </c>
      <c r="R261" s="3">
        <f ca="1">IFERROR(__xludf.DUMMYFUNCTION("""COMPUTED_VALUE"""),2126)</f>
        <v>2126</v>
      </c>
      <c r="S261" s="3">
        <f ca="1">IFERROR(__xludf.DUMMYFUNCTION("""COMPUTED_VALUE"""),0.451)</f>
        <v>0.45100000000000001</v>
      </c>
      <c r="T261" s="3">
        <f ca="1">IFERROR(__xludf.DUMMYFUNCTION("""COMPUTED_VALUE"""),295)</f>
        <v>295</v>
      </c>
      <c r="U261" s="3">
        <f ca="1">IFERROR(__xludf.DUMMYFUNCTION("""COMPUTED_VALUE"""),840)</f>
        <v>840</v>
      </c>
      <c r="V261" s="3">
        <f ca="1">IFERROR(__xludf.DUMMYFUNCTION("""COMPUTED_VALUE"""),0.351)</f>
        <v>0.35099999999999998</v>
      </c>
      <c r="W261" s="3">
        <f ca="1">IFERROR(__xludf.DUMMYFUNCTION("""COMPUTED_VALUE"""),450)</f>
        <v>450</v>
      </c>
      <c r="X261" s="3">
        <f ca="1">IFERROR(__xludf.DUMMYFUNCTION("""COMPUTED_VALUE"""),624)</f>
        <v>624</v>
      </c>
      <c r="Y261" s="3">
        <f ca="1">IFERROR(__xludf.DUMMYFUNCTION("""COMPUTED_VALUE"""),0.721)</f>
        <v>0.72099999999999997</v>
      </c>
      <c r="Z261" s="3">
        <f ca="1">IFERROR(__xludf.DUMMYFUNCTION("""COMPUTED_VALUE"""),361)</f>
        <v>361</v>
      </c>
      <c r="AA261" s="3">
        <f ca="1">IFERROR(__xludf.DUMMYFUNCTION("""COMPUTED_VALUE"""),1307)</f>
        <v>1307</v>
      </c>
      <c r="AB261" s="3">
        <f ca="1">IFERROR(__xludf.DUMMYFUNCTION("""COMPUTED_VALUE"""),501)</f>
        <v>501</v>
      </c>
      <c r="AC261" s="3">
        <f ca="1">IFERROR(__xludf.DUMMYFUNCTION("""COMPUTED_VALUE"""),290)</f>
        <v>290</v>
      </c>
      <c r="AD261" s="3">
        <f ca="1">IFERROR(__xludf.DUMMYFUNCTION("""COMPUTED_VALUE"""),162)</f>
        <v>162</v>
      </c>
      <c r="AE261" s="3">
        <f ca="1">IFERROR(__xludf.DUMMYFUNCTION("""COMPUTED_VALUE"""),442)</f>
        <v>442</v>
      </c>
      <c r="AF261" s="3">
        <f ca="1">IFERROR(__xludf.DUMMYFUNCTION("""COMPUTED_VALUE"""),665)</f>
        <v>665</v>
      </c>
    </row>
    <row r="262" spans="1:32" x14ac:dyDescent="0.25">
      <c r="A262" s="3" t="str">
        <f ca="1">IFERROR(__xludf.DUMMYFUNCTION("""COMPUTED_VALUE"""),"Pacific")</f>
        <v>Pacific</v>
      </c>
      <c r="B262" s="3">
        <f ca="1">IFERROR(__xludf.DUMMYFUNCTION("""COMPUTED_VALUE"""),32)</f>
        <v>32</v>
      </c>
      <c r="C262" s="3">
        <f ca="1">IFERROR(__xludf.DUMMYFUNCTION("""COMPUTED_VALUE"""),14)</f>
        <v>14</v>
      </c>
      <c r="D262" s="3">
        <f ca="1">IFERROR(__xludf.DUMMYFUNCTION("""COMPUTED_VALUE"""),18)</f>
        <v>18</v>
      </c>
      <c r="E262" s="3">
        <f ca="1">IFERROR(__xludf.DUMMYFUNCTION("""COMPUTED_VALUE"""),0.438)</f>
        <v>0.438</v>
      </c>
      <c r="F262" s="3">
        <f ca="1">IFERROR(__xludf.DUMMYFUNCTION("""COMPUTED_VALUE"""),-2.46)</f>
        <v>-2.46</v>
      </c>
      <c r="G262" s="3">
        <f ca="1">IFERROR(__xludf.DUMMYFUNCTION("""COMPUTED_VALUE"""),1.97)</f>
        <v>1.97</v>
      </c>
      <c r="H262" s="3">
        <f ca="1">IFERROR(__xludf.DUMMYFUNCTION("""COMPUTED_VALUE"""),4)</f>
        <v>4</v>
      </c>
      <c r="I262" s="3">
        <f ca="1">IFERROR(__xludf.DUMMYFUNCTION("""COMPUTED_VALUE"""),12)</f>
        <v>12</v>
      </c>
      <c r="J262" s="3">
        <f ca="1">IFERROR(__xludf.DUMMYFUNCTION("""COMPUTED_VALUE"""),9)</f>
        <v>9</v>
      </c>
      <c r="K262" s="3">
        <f ca="1">IFERROR(__xludf.DUMMYFUNCTION("""COMPUTED_VALUE"""),7)</f>
        <v>7</v>
      </c>
      <c r="L262" s="3">
        <f ca="1">IFERROR(__xludf.DUMMYFUNCTION("""COMPUTED_VALUE"""),5)</f>
        <v>5</v>
      </c>
      <c r="M262" s="3">
        <f ca="1">IFERROR(__xludf.DUMMYFUNCTION("""COMPUTED_VALUE"""),10)</f>
        <v>10</v>
      </c>
      <c r="N262" s="3">
        <f ca="1">IFERROR(__xludf.DUMMYFUNCTION("""COMPUTED_VALUE"""),2138)</f>
        <v>2138</v>
      </c>
      <c r="O262" s="3">
        <f ca="1">IFERROR(__xludf.DUMMYFUNCTION("""COMPUTED_VALUE"""),2241)</f>
        <v>2241</v>
      </c>
      <c r="P262" s="3">
        <f ca="1">IFERROR(__xludf.DUMMYFUNCTION("""COMPUTED_VALUE"""),1290)</f>
        <v>1290</v>
      </c>
      <c r="Q262" s="3">
        <f ca="1">IFERROR(__xludf.DUMMYFUNCTION("""COMPUTED_VALUE"""),710)</f>
        <v>710</v>
      </c>
      <c r="R262" s="3">
        <f ca="1">IFERROR(__xludf.DUMMYFUNCTION("""COMPUTED_VALUE"""),1681)</f>
        <v>1681</v>
      </c>
      <c r="S262" s="3">
        <f ca="1">IFERROR(__xludf.DUMMYFUNCTION("""COMPUTED_VALUE"""),0.422)</f>
        <v>0.42199999999999999</v>
      </c>
      <c r="T262" s="3">
        <f ca="1">IFERROR(__xludf.DUMMYFUNCTION("""COMPUTED_VALUE"""),198)</f>
        <v>198</v>
      </c>
      <c r="U262" s="3">
        <f ca="1">IFERROR(__xludf.DUMMYFUNCTION("""COMPUTED_VALUE"""),566)</f>
        <v>566</v>
      </c>
      <c r="V262" s="3">
        <f ca="1">IFERROR(__xludf.DUMMYFUNCTION("""COMPUTED_VALUE"""),0.35)</f>
        <v>0.35</v>
      </c>
      <c r="W262" s="3">
        <f ca="1">IFERROR(__xludf.DUMMYFUNCTION("""COMPUTED_VALUE"""),520)</f>
        <v>520</v>
      </c>
      <c r="X262" s="3">
        <f ca="1">IFERROR(__xludf.DUMMYFUNCTION("""COMPUTED_VALUE"""),698)</f>
        <v>698</v>
      </c>
      <c r="Y262" s="3">
        <f ca="1">IFERROR(__xludf.DUMMYFUNCTION("""COMPUTED_VALUE"""),0.745)</f>
        <v>0.745</v>
      </c>
      <c r="Z262" s="3">
        <f ca="1">IFERROR(__xludf.DUMMYFUNCTION("""COMPUTED_VALUE"""),285)</f>
        <v>285</v>
      </c>
      <c r="AA262" s="3">
        <f ca="1">IFERROR(__xludf.DUMMYFUNCTION("""COMPUTED_VALUE"""),1039)</f>
        <v>1039</v>
      </c>
      <c r="AB262" s="3">
        <f ca="1">IFERROR(__xludf.DUMMYFUNCTION("""COMPUTED_VALUE"""),325)</f>
        <v>325</v>
      </c>
      <c r="AC262" s="3">
        <f ca="1">IFERROR(__xludf.DUMMYFUNCTION("""COMPUTED_VALUE"""),199)</f>
        <v>199</v>
      </c>
      <c r="AD262" s="3">
        <f ca="1">IFERROR(__xludf.DUMMYFUNCTION("""COMPUTED_VALUE"""),46)</f>
        <v>46</v>
      </c>
      <c r="AE262" s="3">
        <f ca="1">IFERROR(__xludf.DUMMYFUNCTION("""COMPUTED_VALUE"""),423)</f>
        <v>423</v>
      </c>
      <c r="AF262" s="3">
        <f ca="1">IFERROR(__xludf.DUMMYFUNCTION("""COMPUTED_VALUE"""),630)</f>
        <v>630</v>
      </c>
    </row>
    <row r="263" spans="1:32" x14ac:dyDescent="0.25">
      <c r="A263" s="3" t="str">
        <f ca="1">IFERROR(__xludf.DUMMYFUNCTION("""COMPUTED_VALUE"""),"Penn State")</f>
        <v>Penn State</v>
      </c>
      <c r="B263" s="3">
        <f ca="1">IFERROR(__xludf.DUMMYFUNCTION("""COMPUTED_VALUE"""),32)</f>
        <v>32</v>
      </c>
      <c r="C263" s="3">
        <f ca="1">IFERROR(__xludf.DUMMYFUNCTION("""COMPUTED_VALUE"""),14)</f>
        <v>14</v>
      </c>
      <c r="D263" s="3">
        <f ca="1">IFERROR(__xludf.DUMMYFUNCTION("""COMPUTED_VALUE"""),18)</f>
        <v>18</v>
      </c>
      <c r="E263" s="3">
        <f ca="1">IFERROR(__xludf.DUMMYFUNCTION("""COMPUTED_VALUE"""),0.438)</f>
        <v>0.438</v>
      </c>
      <c r="F263" s="3">
        <f ca="1">IFERROR(__xludf.DUMMYFUNCTION("""COMPUTED_VALUE"""),12.55)</f>
        <v>12.55</v>
      </c>
      <c r="G263" s="3">
        <f ca="1">IFERROR(__xludf.DUMMYFUNCTION("""COMPUTED_VALUE"""),11.51)</f>
        <v>11.51</v>
      </c>
      <c r="H263" s="3">
        <f ca="1">IFERROR(__xludf.DUMMYFUNCTION("""COMPUTED_VALUE"""),7)</f>
        <v>7</v>
      </c>
      <c r="I263" s="3">
        <f ca="1">IFERROR(__xludf.DUMMYFUNCTION("""COMPUTED_VALUE"""),13)</f>
        <v>13</v>
      </c>
      <c r="J263" s="3">
        <f ca="1">IFERROR(__xludf.DUMMYFUNCTION("""COMPUTED_VALUE"""),9)</f>
        <v>9</v>
      </c>
      <c r="K263" s="3">
        <f ca="1">IFERROR(__xludf.DUMMYFUNCTION("""COMPUTED_VALUE"""),6)</f>
        <v>6</v>
      </c>
      <c r="L263" s="3">
        <f ca="1">IFERROR(__xludf.DUMMYFUNCTION("""COMPUTED_VALUE"""),3)</f>
        <v>3</v>
      </c>
      <c r="M263" s="3">
        <f ca="1">IFERROR(__xludf.DUMMYFUNCTION("""COMPUTED_VALUE"""),9)</f>
        <v>9</v>
      </c>
      <c r="N263" s="3">
        <f ca="1">IFERROR(__xludf.DUMMYFUNCTION("""COMPUTED_VALUE"""),2229)</f>
        <v>2229</v>
      </c>
      <c r="O263" s="3">
        <f ca="1">IFERROR(__xludf.DUMMYFUNCTION("""COMPUTED_VALUE"""),2196)</f>
        <v>2196</v>
      </c>
      <c r="P263" s="3">
        <f ca="1">IFERROR(__xludf.DUMMYFUNCTION("""COMPUTED_VALUE"""),1295)</f>
        <v>1295</v>
      </c>
      <c r="Q263" s="3">
        <f ca="1">IFERROR(__xludf.DUMMYFUNCTION("""COMPUTED_VALUE"""),791)</f>
        <v>791</v>
      </c>
      <c r="R263" s="3">
        <f ca="1">IFERROR(__xludf.DUMMYFUNCTION("""COMPUTED_VALUE"""),1898)</f>
        <v>1898</v>
      </c>
      <c r="S263" s="3">
        <f ca="1">IFERROR(__xludf.DUMMYFUNCTION("""COMPUTED_VALUE"""),0.417)</f>
        <v>0.41699999999999998</v>
      </c>
      <c r="T263" s="3">
        <f ca="1">IFERROR(__xludf.DUMMYFUNCTION("""COMPUTED_VALUE"""),222)</f>
        <v>222</v>
      </c>
      <c r="U263" s="3">
        <f ca="1">IFERROR(__xludf.DUMMYFUNCTION("""COMPUTED_VALUE"""),693)</f>
        <v>693</v>
      </c>
      <c r="V263" s="3">
        <f ca="1">IFERROR(__xludf.DUMMYFUNCTION("""COMPUTED_VALUE"""),0.32)</f>
        <v>0.32</v>
      </c>
      <c r="W263" s="3">
        <f ca="1">IFERROR(__xludf.DUMMYFUNCTION("""COMPUTED_VALUE"""),425)</f>
        <v>425</v>
      </c>
      <c r="X263" s="3">
        <f ca="1">IFERROR(__xludf.DUMMYFUNCTION("""COMPUTED_VALUE"""),613)</f>
        <v>613</v>
      </c>
      <c r="Y263" s="3">
        <f ca="1">IFERROR(__xludf.DUMMYFUNCTION("""COMPUTED_VALUE"""),0.693)</f>
        <v>0.69299999999999995</v>
      </c>
      <c r="Z263" s="3">
        <f ca="1">IFERROR(__xludf.DUMMYFUNCTION("""COMPUTED_VALUE"""),382)</f>
        <v>382</v>
      </c>
      <c r="AA263" s="3">
        <f ca="1">IFERROR(__xludf.DUMMYFUNCTION("""COMPUTED_VALUE"""),1174)</f>
        <v>1174</v>
      </c>
      <c r="AB263" s="3">
        <f ca="1">IFERROR(__xludf.DUMMYFUNCTION("""COMPUTED_VALUE"""),389)</f>
        <v>389</v>
      </c>
      <c r="AC263" s="3">
        <f ca="1">IFERROR(__xludf.DUMMYFUNCTION("""COMPUTED_VALUE"""),245)</f>
        <v>245</v>
      </c>
      <c r="AD263" s="3">
        <f ca="1">IFERROR(__xludf.DUMMYFUNCTION("""COMPUTED_VALUE"""),122)</f>
        <v>122</v>
      </c>
      <c r="AE263" s="3">
        <f ca="1">IFERROR(__xludf.DUMMYFUNCTION("""COMPUTED_VALUE"""),399)</f>
        <v>399</v>
      </c>
      <c r="AF263" s="3">
        <f ca="1">IFERROR(__xludf.DUMMYFUNCTION("""COMPUTED_VALUE"""),597)</f>
        <v>597</v>
      </c>
    </row>
    <row r="264" spans="1:32" x14ac:dyDescent="0.25">
      <c r="A264" s="3" t="str">
        <f ca="1">IFERROR(__xludf.DUMMYFUNCTION("""COMPUTED_VALUE"""),"Overall")</f>
        <v>Overall</v>
      </c>
      <c r="B264" s="3" t="str">
        <f ca="1">IFERROR(__xludf.DUMMYFUNCTION("""COMPUTED_VALUE"""),"Conf.")</f>
        <v>Conf.</v>
      </c>
      <c r="C264" s="3" t="str">
        <f ca="1">IFERROR(__xludf.DUMMYFUNCTION("""COMPUTED_VALUE"""),"Home")</f>
        <v>Home</v>
      </c>
      <c r="D264" s="3" t="str">
        <f ca="1">IFERROR(__xludf.DUMMYFUNCTION("""COMPUTED_VALUE"""),"Away")</f>
        <v>Away</v>
      </c>
      <c r="E264" s="3" t="str">
        <f ca="1">IFERROR(__xludf.DUMMYFUNCTION("""COMPUTED_VALUE"""),"Points")</f>
        <v>Points</v>
      </c>
      <c r="F264" s="3" t="str">
        <f ca="1">IFERROR(__xludf.DUMMYFUNCTION("""COMPUTED_VALUE"""),"")</f>
        <v/>
      </c>
      <c r="G264" s="3" t="str">
        <f ca="1">IFERROR(__xludf.DUMMYFUNCTION("""COMPUTED_VALUE"""),"School Totals")</f>
        <v>School Totals</v>
      </c>
      <c r="H264" s="3" t="str">
        <f ca="1">IFERROR(__xludf.DUMMYFUNCTION("""COMPUTED_VALUE"""),"")</f>
        <v/>
      </c>
      <c r="I264" s="3" t="str">
        <f ca="1">IFERROR(__xludf.DUMMYFUNCTION("""COMPUTED_VALUE"""),"")</f>
        <v/>
      </c>
      <c r="J264" s="3" t="str">
        <f ca="1">IFERROR(__xludf.DUMMYFUNCTION("""COMPUTED_VALUE"""),"")</f>
        <v/>
      </c>
      <c r="K264" s="3" t="str">
        <f ca="1">IFERROR(__xludf.DUMMYFUNCTION("""COMPUTED_VALUE"""),"")</f>
        <v/>
      </c>
      <c r="L264" s="3" t="str">
        <f ca="1">IFERROR(__xludf.DUMMYFUNCTION("""COMPUTED_VALUE"""),"")</f>
        <v/>
      </c>
      <c r="M264" s="3" t="str">
        <f ca="1">IFERROR(__xludf.DUMMYFUNCTION("""COMPUTED_VALUE"""),"")</f>
        <v/>
      </c>
      <c r="N264" s="3" t="str">
        <f ca="1">IFERROR(__xludf.DUMMYFUNCTION("""COMPUTED_VALUE"""),"")</f>
        <v/>
      </c>
      <c r="O264" s="3" t="str">
        <f ca="1">IFERROR(__xludf.DUMMYFUNCTION("""COMPUTED_VALUE"""),"")</f>
        <v/>
      </c>
      <c r="P264" s="3" t="str">
        <f ca="1">IFERROR(__xludf.DUMMYFUNCTION("""COMPUTED_VALUE"""),"")</f>
        <v/>
      </c>
      <c r="Q264" s="3" t="str">
        <f ca="1">IFERROR(__xludf.DUMMYFUNCTION("""COMPUTED_VALUE"""),"")</f>
        <v/>
      </c>
      <c r="R264" s="3" t="str">
        <f ca="1">IFERROR(__xludf.DUMMYFUNCTION("""COMPUTED_VALUE"""),"")</f>
        <v/>
      </c>
      <c r="S264" s="3" t="str">
        <f ca="1">IFERROR(__xludf.DUMMYFUNCTION("""COMPUTED_VALUE"""),"")</f>
        <v/>
      </c>
      <c r="T264" s="3" t="str">
        <f ca="1">IFERROR(__xludf.DUMMYFUNCTION("""COMPUTED_VALUE"""),"")</f>
        <v/>
      </c>
      <c r="U264" s="3" t="str">
        <f ca="1">IFERROR(__xludf.DUMMYFUNCTION("""COMPUTED_VALUE"""),"")</f>
        <v/>
      </c>
      <c r="V264" s="3" t="str">
        <f ca="1">IFERROR(__xludf.DUMMYFUNCTION("""COMPUTED_VALUE"""),"")</f>
        <v/>
      </c>
      <c r="W264" s="3" t="str">
        <f ca="1">IFERROR(__xludf.DUMMYFUNCTION("""COMPUTED_VALUE"""),"")</f>
        <v/>
      </c>
      <c r="X264" s="3" t="str">
        <f ca="1">IFERROR(__xludf.DUMMYFUNCTION("""COMPUTED_VALUE"""),"")</f>
        <v/>
      </c>
      <c r="Y264" s="3" t="str">
        <f ca="1">IFERROR(__xludf.DUMMYFUNCTION("""COMPUTED_VALUE"""),"")</f>
        <v/>
      </c>
      <c r="Z264" s="3" t="str">
        <f ca="1">IFERROR(__xludf.DUMMYFUNCTION("""COMPUTED_VALUE"""),"")</f>
        <v/>
      </c>
      <c r="AA264" s="3" t="str">
        <f ca="1">IFERROR(__xludf.DUMMYFUNCTION("""COMPUTED_VALUE"""),"")</f>
        <v/>
      </c>
      <c r="AB264" s="3" t="str">
        <f ca="1">IFERROR(__xludf.DUMMYFUNCTION("""COMPUTED_VALUE"""),"")</f>
        <v/>
      </c>
      <c r="AC264" s="3" t="str">
        <f ca="1">IFERROR(__xludf.DUMMYFUNCTION("""COMPUTED_VALUE"""),"")</f>
        <v/>
      </c>
      <c r="AD264" s="3" t="str">
        <f ca="1">IFERROR(__xludf.DUMMYFUNCTION("""COMPUTED_VALUE"""),"")</f>
        <v/>
      </c>
      <c r="AE264" s="3" t="str">
        <f ca="1">IFERROR(__xludf.DUMMYFUNCTION("""COMPUTED_VALUE"""),"")</f>
        <v/>
      </c>
      <c r="AF264" s="3" t="str">
        <f ca="1">IFERROR(__xludf.DUMMYFUNCTION("""COMPUTED_VALUE"""),"")</f>
        <v/>
      </c>
    </row>
    <row r="265" spans="1:32" x14ac:dyDescent="0.25">
      <c r="A265" s="3" t="str">
        <f ca="1">IFERROR(__xludf.DUMMYFUNCTION("""COMPUTED_VALUE"""),"School")</f>
        <v>School</v>
      </c>
      <c r="B265" s="3" t="str">
        <f ca="1">IFERROR(__xludf.DUMMYFUNCTION("""COMPUTED_VALUE"""),"G")</f>
        <v>G</v>
      </c>
      <c r="C265" s="3" t="str">
        <f ca="1">IFERROR(__xludf.DUMMYFUNCTION("""COMPUTED_VALUE"""),"W")</f>
        <v>W</v>
      </c>
      <c r="D265" s="3" t="str">
        <f ca="1">IFERROR(__xludf.DUMMYFUNCTION("""COMPUTED_VALUE"""),"L")</f>
        <v>L</v>
      </c>
      <c r="E265" s="3" t="str">
        <f ca="1">IFERROR(__xludf.DUMMYFUNCTION("""COMPUTED_VALUE"""),"W-L%")</f>
        <v>W-L%</v>
      </c>
      <c r="F265" s="3" t="str">
        <f ca="1">IFERROR(__xludf.DUMMYFUNCTION("""COMPUTED_VALUE"""),"SRS")</f>
        <v>SRS</v>
      </c>
      <c r="G265" s="3" t="str">
        <f ca="1">IFERROR(__xludf.DUMMYFUNCTION("""COMPUTED_VALUE"""),"SOS")</f>
        <v>SOS</v>
      </c>
      <c r="H265" s="3" t="str">
        <f ca="1">IFERROR(__xludf.DUMMYFUNCTION("""COMPUTED_VALUE"""),"W")</f>
        <v>W</v>
      </c>
      <c r="I265" s="3" t="str">
        <f ca="1">IFERROR(__xludf.DUMMYFUNCTION("""COMPUTED_VALUE"""),"L")</f>
        <v>L</v>
      </c>
      <c r="J265" s="3" t="str">
        <f ca="1">IFERROR(__xludf.DUMMYFUNCTION("""COMPUTED_VALUE"""),"W")</f>
        <v>W</v>
      </c>
      <c r="K265" s="3" t="str">
        <f ca="1">IFERROR(__xludf.DUMMYFUNCTION("""COMPUTED_VALUE"""),"L")</f>
        <v>L</v>
      </c>
      <c r="L265" s="3" t="str">
        <f ca="1">IFERROR(__xludf.DUMMYFUNCTION("""COMPUTED_VALUE"""),"W")</f>
        <v>W</v>
      </c>
      <c r="M265" s="3" t="str">
        <f ca="1">IFERROR(__xludf.DUMMYFUNCTION("""COMPUTED_VALUE"""),"L")</f>
        <v>L</v>
      </c>
      <c r="N265" s="3" t="str">
        <f ca="1">IFERROR(__xludf.DUMMYFUNCTION("""COMPUTED_VALUE"""),"Tm.")</f>
        <v>Tm.</v>
      </c>
      <c r="O265" s="3" t="str">
        <f ca="1">IFERROR(__xludf.DUMMYFUNCTION("""COMPUTED_VALUE"""),"Opp.")</f>
        <v>Opp.</v>
      </c>
      <c r="P265" s="3" t="str">
        <f ca="1">IFERROR(__xludf.DUMMYFUNCTION("""COMPUTED_VALUE"""),"MP")</f>
        <v>MP</v>
      </c>
      <c r="Q265" s="3" t="str">
        <f ca="1">IFERROR(__xludf.DUMMYFUNCTION("""COMPUTED_VALUE"""),"FG")</f>
        <v>FG</v>
      </c>
      <c r="R265" s="3" t="str">
        <f ca="1">IFERROR(__xludf.DUMMYFUNCTION("""COMPUTED_VALUE"""),"FGA")</f>
        <v>FGA</v>
      </c>
      <c r="S265" s="3" t="str">
        <f ca="1">IFERROR(__xludf.DUMMYFUNCTION("""COMPUTED_VALUE"""),"FG%")</f>
        <v>FG%</v>
      </c>
      <c r="T265" s="3" t="str">
        <f ca="1">IFERROR(__xludf.DUMMYFUNCTION("""COMPUTED_VALUE"""),"3P")</f>
        <v>3P</v>
      </c>
      <c r="U265" s="3" t="str">
        <f ca="1">IFERROR(__xludf.DUMMYFUNCTION("""COMPUTED_VALUE"""),"3PA")</f>
        <v>3PA</v>
      </c>
      <c r="V265" s="3" t="str">
        <f ca="1">IFERROR(__xludf.DUMMYFUNCTION("""COMPUTED_VALUE"""),"3P%")</f>
        <v>3P%</v>
      </c>
      <c r="W265" s="3" t="str">
        <f ca="1">IFERROR(__xludf.DUMMYFUNCTION("""COMPUTED_VALUE"""),"FT")</f>
        <v>FT</v>
      </c>
      <c r="X265" s="3" t="str">
        <f ca="1">IFERROR(__xludf.DUMMYFUNCTION("""COMPUTED_VALUE"""),"FTA")</f>
        <v>FTA</v>
      </c>
      <c r="Y265" s="3" t="str">
        <f ca="1">IFERROR(__xludf.DUMMYFUNCTION("""COMPUTED_VALUE"""),"FT%")</f>
        <v>FT%</v>
      </c>
      <c r="Z265" s="3" t="str">
        <f ca="1">IFERROR(__xludf.DUMMYFUNCTION("""COMPUTED_VALUE"""),"ORB")</f>
        <v>ORB</v>
      </c>
      <c r="AA265" s="3" t="str">
        <f ca="1">IFERROR(__xludf.DUMMYFUNCTION("""COMPUTED_VALUE"""),"TRB")</f>
        <v>TRB</v>
      </c>
      <c r="AB265" s="3" t="str">
        <f ca="1">IFERROR(__xludf.DUMMYFUNCTION("""COMPUTED_VALUE"""),"AST")</f>
        <v>AST</v>
      </c>
      <c r="AC265" s="3" t="str">
        <f ca="1">IFERROR(__xludf.DUMMYFUNCTION("""COMPUTED_VALUE"""),"STL")</f>
        <v>STL</v>
      </c>
      <c r="AD265" s="3" t="str">
        <f ca="1">IFERROR(__xludf.DUMMYFUNCTION("""COMPUTED_VALUE"""),"BLK")</f>
        <v>BLK</v>
      </c>
      <c r="AE265" s="3" t="str">
        <f ca="1">IFERROR(__xludf.DUMMYFUNCTION("""COMPUTED_VALUE"""),"TOV")</f>
        <v>TOV</v>
      </c>
      <c r="AF265" s="3" t="str">
        <f ca="1">IFERROR(__xludf.DUMMYFUNCTION("""COMPUTED_VALUE"""),"PF")</f>
        <v>PF</v>
      </c>
    </row>
    <row r="266" spans="1:32" x14ac:dyDescent="0.25">
      <c r="A266" s="3" t="str">
        <f ca="1">IFERROR(__xludf.DUMMYFUNCTION("""COMPUTED_VALUE"""),"Pennsylvania")</f>
        <v>Pennsylvania</v>
      </c>
      <c r="B266" s="3">
        <f ca="1">IFERROR(__xludf.DUMMYFUNCTION("""COMPUTED_VALUE"""),31)</f>
        <v>31</v>
      </c>
      <c r="C266" s="3">
        <f ca="1">IFERROR(__xludf.DUMMYFUNCTION("""COMPUTED_VALUE"""),19)</f>
        <v>19</v>
      </c>
      <c r="D266" s="3">
        <f ca="1">IFERROR(__xludf.DUMMYFUNCTION("""COMPUTED_VALUE"""),12)</f>
        <v>12</v>
      </c>
      <c r="E266" s="3">
        <f ca="1">IFERROR(__xludf.DUMMYFUNCTION("""COMPUTED_VALUE"""),0.613)</f>
        <v>0.61299999999999999</v>
      </c>
      <c r="F266" s="3">
        <f ca="1">IFERROR(__xludf.DUMMYFUNCTION("""COMPUTED_VALUE"""),2.04)</f>
        <v>2.04</v>
      </c>
      <c r="G266" s="3">
        <f ca="1">IFERROR(__xludf.DUMMYFUNCTION("""COMPUTED_VALUE"""),-0.76)</f>
        <v>-0.76</v>
      </c>
      <c r="H266" s="3">
        <f ca="1">IFERROR(__xludf.DUMMYFUNCTION("""COMPUTED_VALUE"""),7)</f>
        <v>7</v>
      </c>
      <c r="I266" s="3">
        <f ca="1">IFERROR(__xludf.DUMMYFUNCTION("""COMPUTED_VALUE"""),7)</f>
        <v>7</v>
      </c>
      <c r="J266" s="3">
        <f ca="1">IFERROR(__xludf.DUMMYFUNCTION("""COMPUTED_VALUE"""),10)</f>
        <v>10</v>
      </c>
      <c r="K266" s="3">
        <f ca="1">IFERROR(__xludf.DUMMYFUNCTION("""COMPUTED_VALUE"""),4)</f>
        <v>4</v>
      </c>
      <c r="L266" s="3">
        <f ca="1">IFERROR(__xludf.DUMMYFUNCTION("""COMPUTED_VALUE"""),8)</f>
        <v>8</v>
      </c>
      <c r="M266" s="3">
        <f ca="1">IFERROR(__xludf.DUMMYFUNCTION("""COMPUTED_VALUE"""),5)</f>
        <v>5</v>
      </c>
      <c r="N266" s="3">
        <f ca="1">IFERROR(__xludf.DUMMYFUNCTION("""COMPUTED_VALUE"""),2250)</f>
        <v>2250</v>
      </c>
      <c r="O266" s="3">
        <f ca="1">IFERROR(__xludf.DUMMYFUNCTION("""COMPUTED_VALUE"""),2117)</f>
        <v>2117</v>
      </c>
      <c r="P266" s="3">
        <f ca="1">IFERROR(__xludf.DUMMYFUNCTION("""COMPUTED_VALUE"""),1265)</f>
        <v>1265</v>
      </c>
      <c r="Q266" s="3">
        <f ca="1">IFERROR(__xludf.DUMMYFUNCTION("""COMPUTED_VALUE"""),821)</f>
        <v>821</v>
      </c>
      <c r="R266" s="3">
        <f ca="1">IFERROR(__xludf.DUMMYFUNCTION("""COMPUTED_VALUE"""),1810)</f>
        <v>1810</v>
      </c>
      <c r="S266" s="3">
        <f ca="1">IFERROR(__xludf.DUMMYFUNCTION("""COMPUTED_VALUE"""),0.454)</f>
        <v>0.45400000000000001</v>
      </c>
      <c r="T266" s="3">
        <f ca="1">IFERROR(__xludf.DUMMYFUNCTION("""COMPUTED_VALUE"""),282)</f>
        <v>282</v>
      </c>
      <c r="U266" s="3">
        <f ca="1">IFERROR(__xludf.DUMMYFUNCTION("""COMPUTED_VALUE"""),803)</f>
        <v>803</v>
      </c>
      <c r="V266" s="3">
        <f ca="1">IFERROR(__xludf.DUMMYFUNCTION("""COMPUTED_VALUE"""),0.351)</f>
        <v>0.35099999999999998</v>
      </c>
      <c r="W266" s="3">
        <f ca="1">IFERROR(__xludf.DUMMYFUNCTION("""COMPUTED_VALUE"""),326)</f>
        <v>326</v>
      </c>
      <c r="X266" s="3">
        <f ca="1">IFERROR(__xludf.DUMMYFUNCTION("""COMPUTED_VALUE"""),511)</f>
        <v>511</v>
      </c>
      <c r="Y266" s="3">
        <f ca="1">IFERROR(__xludf.DUMMYFUNCTION("""COMPUTED_VALUE"""),0.638)</f>
        <v>0.63800000000000001</v>
      </c>
      <c r="Z266" s="3">
        <f ca="1">IFERROR(__xludf.DUMMYFUNCTION("""COMPUTED_VALUE"""),270)</f>
        <v>270</v>
      </c>
      <c r="AA266" s="3">
        <f ca="1">IFERROR(__xludf.DUMMYFUNCTION("""COMPUTED_VALUE"""),1101)</f>
        <v>1101</v>
      </c>
      <c r="AB266" s="3">
        <f ca="1">IFERROR(__xludf.DUMMYFUNCTION("""COMPUTED_VALUE"""),465)</f>
        <v>465</v>
      </c>
      <c r="AC266" s="3">
        <f ca="1">IFERROR(__xludf.DUMMYFUNCTION("""COMPUTED_VALUE"""),210)</f>
        <v>210</v>
      </c>
      <c r="AD266" s="3">
        <f ca="1">IFERROR(__xludf.DUMMYFUNCTION("""COMPUTED_VALUE"""),76)</f>
        <v>76</v>
      </c>
      <c r="AE266" s="3">
        <f ca="1">IFERROR(__xludf.DUMMYFUNCTION("""COMPUTED_VALUE"""),395)</f>
        <v>395</v>
      </c>
      <c r="AF266" s="3">
        <f ca="1">IFERROR(__xludf.DUMMYFUNCTION("""COMPUTED_VALUE"""),500)</f>
        <v>500</v>
      </c>
    </row>
    <row r="267" spans="1:32" x14ac:dyDescent="0.25">
      <c r="A267" s="3" t="str">
        <f ca="1">IFERROR(__xludf.DUMMYFUNCTION("""COMPUTED_VALUE"""),"Pepperdine")</f>
        <v>Pepperdine</v>
      </c>
      <c r="B267" s="3">
        <f ca="1">IFERROR(__xludf.DUMMYFUNCTION("""COMPUTED_VALUE"""),34)</f>
        <v>34</v>
      </c>
      <c r="C267" s="3">
        <f ca="1">IFERROR(__xludf.DUMMYFUNCTION("""COMPUTED_VALUE"""),16)</f>
        <v>16</v>
      </c>
      <c r="D267" s="3">
        <f ca="1">IFERROR(__xludf.DUMMYFUNCTION("""COMPUTED_VALUE"""),18)</f>
        <v>18</v>
      </c>
      <c r="E267" s="3">
        <f ca="1">IFERROR(__xludf.DUMMYFUNCTION("""COMPUTED_VALUE"""),0.471)</f>
        <v>0.47099999999999997</v>
      </c>
      <c r="F267" s="3">
        <f ca="1">IFERROR(__xludf.DUMMYFUNCTION("""COMPUTED_VALUE"""),0.9)</f>
        <v>0.9</v>
      </c>
      <c r="G267" s="3">
        <f ca="1">IFERROR(__xludf.DUMMYFUNCTION("""COMPUTED_VALUE"""),0.63)</f>
        <v>0.63</v>
      </c>
      <c r="H267" s="3">
        <f ca="1">IFERROR(__xludf.DUMMYFUNCTION("""COMPUTED_VALUE"""),6)</f>
        <v>6</v>
      </c>
      <c r="I267" s="3">
        <f ca="1">IFERROR(__xludf.DUMMYFUNCTION("""COMPUTED_VALUE"""),10)</f>
        <v>10</v>
      </c>
      <c r="J267" s="3">
        <f ca="1">IFERROR(__xludf.DUMMYFUNCTION("""COMPUTED_VALUE"""),9)</f>
        <v>9</v>
      </c>
      <c r="K267" s="3">
        <f ca="1">IFERROR(__xludf.DUMMYFUNCTION("""COMPUTED_VALUE"""),5)</f>
        <v>5</v>
      </c>
      <c r="L267" s="3">
        <f ca="1">IFERROR(__xludf.DUMMYFUNCTION("""COMPUTED_VALUE"""),2)</f>
        <v>2</v>
      </c>
      <c r="M267" s="3">
        <f ca="1">IFERROR(__xludf.DUMMYFUNCTION("""COMPUTED_VALUE"""),11)</f>
        <v>11</v>
      </c>
      <c r="N267" s="3">
        <f ca="1">IFERROR(__xludf.DUMMYFUNCTION("""COMPUTED_VALUE"""),2572)</f>
        <v>2572</v>
      </c>
      <c r="O267" s="3">
        <f ca="1">IFERROR(__xludf.DUMMYFUNCTION("""COMPUTED_VALUE"""),2529)</f>
        <v>2529</v>
      </c>
      <c r="P267" s="3">
        <f ca="1">IFERROR(__xludf.DUMMYFUNCTION("""COMPUTED_VALUE"""),1370)</f>
        <v>1370</v>
      </c>
      <c r="Q267" s="3">
        <f ca="1">IFERROR(__xludf.DUMMYFUNCTION("""COMPUTED_VALUE"""),865)</f>
        <v>865</v>
      </c>
      <c r="R267" s="3">
        <f ca="1">IFERROR(__xludf.DUMMYFUNCTION("""COMPUTED_VALUE"""),1949)</f>
        <v>1949</v>
      </c>
      <c r="S267" s="3">
        <f ca="1">IFERROR(__xludf.DUMMYFUNCTION("""COMPUTED_VALUE"""),0.444)</f>
        <v>0.44400000000000001</v>
      </c>
      <c r="T267" s="3">
        <f ca="1">IFERROR(__xludf.DUMMYFUNCTION("""COMPUTED_VALUE"""),313)</f>
        <v>313</v>
      </c>
      <c r="U267" s="3">
        <f ca="1">IFERROR(__xludf.DUMMYFUNCTION("""COMPUTED_VALUE"""),819)</f>
        <v>819</v>
      </c>
      <c r="V267" s="3">
        <f ca="1">IFERROR(__xludf.DUMMYFUNCTION("""COMPUTED_VALUE"""),0.382)</f>
        <v>0.38200000000000001</v>
      </c>
      <c r="W267" s="3">
        <f ca="1">IFERROR(__xludf.DUMMYFUNCTION("""COMPUTED_VALUE"""),529)</f>
        <v>529</v>
      </c>
      <c r="X267" s="3">
        <f ca="1">IFERROR(__xludf.DUMMYFUNCTION("""COMPUTED_VALUE"""),696)</f>
        <v>696</v>
      </c>
      <c r="Y267" s="3">
        <f ca="1">IFERROR(__xludf.DUMMYFUNCTION("""COMPUTED_VALUE"""),0.76)</f>
        <v>0.76</v>
      </c>
      <c r="Z267" s="3">
        <f ca="1">IFERROR(__xludf.DUMMYFUNCTION("""COMPUTED_VALUE"""),290)</f>
        <v>290</v>
      </c>
      <c r="AA267" s="3">
        <f ca="1">IFERROR(__xludf.DUMMYFUNCTION("""COMPUTED_VALUE"""),1085)</f>
        <v>1085</v>
      </c>
      <c r="AB267" s="3">
        <f ca="1">IFERROR(__xludf.DUMMYFUNCTION("""COMPUTED_VALUE"""),479)</f>
        <v>479</v>
      </c>
      <c r="AC267" s="3">
        <f ca="1">IFERROR(__xludf.DUMMYFUNCTION("""COMPUTED_VALUE"""),229)</f>
        <v>229</v>
      </c>
      <c r="AD267" s="3">
        <f ca="1">IFERROR(__xludf.DUMMYFUNCTION("""COMPUTED_VALUE"""),95)</f>
        <v>95</v>
      </c>
      <c r="AE267" s="3">
        <f ca="1">IFERROR(__xludf.DUMMYFUNCTION("""COMPUTED_VALUE"""),432)</f>
        <v>432</v>
      </c>
      <c r="AF267" s="3">
        <f ca="1">IFERROR(__xludf.DUMMYFUNCTION("""COMPUTED_VALUE"""),639)</f>
        <v>639</v>
      </c>
    </row>
    <row r="268" spans="1:32" x14ac:dyDescent="0.25">
      <c r="A268" s="3" t="str">
        <f ca="1">IFERROR(__xludf.DUMMYFUNCTION("""COMPUTED_VALUE"""),"Pittsburgh")</f>
        <v>Pittsburgh</v>
      </c>
      <c r="B268" s="3">
        <f ca="1">IFERROR(__xludf.DUMMYFUNCTION("""COMPUTED_VALUE"""),33)</f>
        <v>33</v>
      </c>
      <c r="C268" s="3">
        <f ca="1">IFERROR(__xludf.DUMMYFUNCTION("""COMPUTED_VALUE"""),14)</f>
        <v>14</v>
      </c>
      <c r="D268" s="3">
        <f ca="1">IFERROR(__xludf.DUMMYFUNCTION("""COMPUTED_VALUE"""),19)</f>
        <v>19</v>
      </c>
      <c r="E268" s="3">
        <f ca="1">IFERROR(__xludf.DUMMYFUNCTION("""COMPUTED_VALUE"""),0.424)</f>
        <v>0.42399999999999999</v>
      </c>
      <c r="F268" s="3">
        <f ca="1">IFERROR(__xludf.DUMMYFUNCTION("""COMPUTED_VALUE"""),7.88)</f>
        <v>7.88</v>
      </c>
      <c r="G268" s="3">
        <f ca="1">IFERROR(__xludf.DUMMYFUNCTION("""COMPUTED_VALUE"""),6.69)</f>
        <v>6.69</v>
      </c>
      <c r="H268" s="3">
        <f ca="1">IFERROR(__xludf.DUMMYFUNCTION("""COMPUTED_VALUE"""),3)</f>
        <v>3</v>
      </c>
      <c r="I268" s="3">
        <f ca="1">IFERROR(__xludf.DUMMYFUNCTION("""COMPUTED_VALUE"""),15)</f>
        <v>15</v>
      </c>
      <c r="J268" s="3">
        <f ca="1">IFERROR(__xludf.DUMMYFUNCTION("""COMPUTED_VALUE"""),11)</f>
        <v>11</v>
      </c>
      <c r="K268" s="3">
        <f ca="1">IFERROR(__xludf.DUMMYFUNCTION("""COMPUTED_VALUE"""),7)</f>
        <v>7</v>
      </c>
      <c r="L268" s="3">
        <f ca="1">IFERROR(__xludf.DUMMYFUNCTION("""COMPUTED_VALUE"""),0)</f>
        <v>0</v>
      </c>
      <c r="M268" s="3">
        <f ca="1">IFERROR(__xludf.DUMMYFUNCTION("""COMPUTED_VALUE"""),11)</f>
        <v>11</v>
      </c>
      <c r="N268" s="3">
        <f ca="1">IFERROR(__xludf.DUMMYFUNCTION("""COMPUTED_VALUE"""),2306)</f>
        <v>2306</v>
      </c>
      <c r="O268" s="3">
        <f ca="1">IFERROR(__xludf.DUMMYFUNCTION("""COMPUTED_VALUE"""),2267)</f>
        <v>2267</v>
      </c>
      <c r="P268" s="3">
        <f ca="1">IFERROR(__xludf.DUMMYFUNCTION("""COMPUTED_VALUE"""),1330)</f>
        <v>1330</v>
      </c>
      <c r="Q268" s="3">
        <f ca="1">IFERROR(__xludf.DUMMYFUNCTION("""COMPUTED_VALUE"""),769)</f>
        <v>769</v>
      </c>
      <c r="R268" s="3">
        <f ca="1">IFERROR(__xludf.DUMMYFUNCTION("""COMPUTED_VALUE"""),1841)</f>
        <v>1841</v>
      </c>
      <c r="S268" s="3">
        <f ca="1">IFERROR(__xludf.DUMMYFUNCTION("""COMPUTED_VALUE"""),0.418)</f>
        <v>0.41799999999999998</v>
      </c>
      <c r="T268" s="3">
        <f ca="1">IFERROR(__xludf.DUMMYFUNCTION("""COMPUTED_VALUE"""),225)</f>
        <v>225</v>
      </c>
      <c r="U268" s="3">
        <f ca="1">IFERROR(__xludf.DUMMYFUNCTION("""COMPUTED_VALUE"""),680)</f>
        <v>680</v>
      </c>
      <c r="V268" s="3">
        <f ca="1">IFERROR(__xludf.DUMMYFUNCTION("""COMPUTED_VALUE"""),0.331)</f>
        <v>0.33100000000000002</v>
      </c>
      <c r="W268" s="3">
        <f ca="1">IFERROR(__xludf.DUMMYFUNCTION("""COMPUTED_VALUE"""),543)</f>
        <v>543</v>
      </c>
      <c r="X268" s="3">
        <f ca="1">IFERROR(__xludf.DUMMYFUNCTION("""COMPUTED_VALUE"""),779)</f>
        <v>779</v>
      </c>
      <c r="Y268" s="3">
        <f ca="1">IFERROR(__xludf.DUMMYFUNCTION("""COMPUTED_VALUE"""),0.697)</f>
        <v>0.69699999999999995</v>
      </c>
      <c r="Z268" s="3">
        <f ca="1">IFERROR(__xludf.DUMMYFUNCTION("""COMPUTED_VALUE"""),383)</f>
        <v>383</v>
      </c>
      <c r="AA268" s="3">
        <f ca="1">IFERROR(__xludf.DUMMYFUNCTION("""COMPUTED_VALUE"""),1211)</f>
        <v>1211</v>
      </c>
      <c r="AB268" s="3">
        <f ca="1">IFERROR(__xludf.DUMMYFUNCTION("""COMPUTED_VALUE"""),387)</f>
        <v>387</v>
      </c>
      <c r="AC268" s="3">
        <f ca="1">IFERROR(__xludf.DUMMYFUNCTION("""COMPUTED_VALUE"""),227)</f>
        <v>227</v>
      </c>
      <c r="AD268" s="3">
        <f ca="1">IFERROR(__xludf.DUMMYFUNCTION("""COMPUTED_VALUE"""),126)</f>
        <v>126</v>
      </c>
      <c r="AE268" s="3">
        <f ca="1">IFERROR(__xludf.DUMMYFUNCTION("""COMPUTED_VALUE"""),448)</f>
        <v>448</v>
      </c>
      <c r="AF268" s="3">
        <f ca="1">IFERROR(__xludf.DUMMYFUNCTION("""COMPUTED_VALUE"""),611)</f>
        <v>611</v>
      </c>
    </row>
    <row r="269" spans="1:32" x14ac:dyDescent="0.25">
      <c r="A269" s="3" t="str">
        <f ca="1">IFERROR(__xludf.DUMMYFUNCTION("""COMPUTED_VALUE"""),"Portland State")</f>
        <v>Portland State</v>
      </c>
      <c r="B269" s="3">
        <f ca="1">IFERROR(__xludf.DUMMYFUNCTION("""COMPUTED_VALUE"""),32)</f>
        <v>32</v>
      </c>
      <c r="C269" s="3">
        <f ca="1">IFERROR(__xludf.DUMMYFUNCTION("""COMPUTED_VALUE"""),16)</f>
        <v>16</v>
      </c>
      <c r="D269" s="3">
        <f ca="1">IFERROR(__xludf.DUMMYFUNCTION("""COMPUTED_VALUE"""),16)</f>
        <v>16</v>
      </c>
      <c r="E269" s="3">
        <f ca="1">IFERROR(__xludf.DUMMYFUNCTION("""COMPUTED_VALUE"""),0.5)</f>
        <v>0.5</v>
      </c>
      <c r="F269" s="3">
        <f ca="1">IFERROR(__xludf.DUMMYFUNCTION("""COMPUTED_VALUE"""),-8.95)</f>
        <v>-8.9499999999999993</v>
      </c>
      <c r="G269" s="3">
        <f ca="1">IFERROR(__xludf.DUMMYFUNCTION("""COMPUTED_VALUE"""),-5.78)</f>
        <v>-5.78</v>
      </c>
      <c r="H269" s="3">
        <f ca="1">IFERROR(__xludf.DUMMYFUNCTION("""COMPUTED_VALUE"""),11)</f>
        <v>11</v>
      </c>
      <c r="I269" s="3">
        <f ca="1">IFERROR(__xludf.DUMMYFUNCTION("""COMPUTED_VALUE"""),9)</f>
        <v>9</v>
      </c>
      <c r="J269" s="3">
        <f ca="1">IFERROR(__xludf.DUMMYFUNCTION("""COMPUTED_VALUE"""),12)</f>
        <v>12</v>
      </c>
      <c r="K269" s="3">
        <f ca="1">IFERROR(__xludf.DUMMYFUNCTION("""COMPUTED_VALUE"""),4)</f>
        <v>4</v>
      </c>
      <c r="L269" s="3">
        <f ca="1">IFERROR(__xludf.DUMMYFUNCTION("""COMPUTED_VALUE"""),3)</f>
        <v>3</v>
      </c>
      <c r="M269" s="3">
        <f ca="1">IFERROR(__xludf.DUMMYFUNCTION("""COMPUTED_VALUE"""),10)</f>
        <v>10</v>
      </c>
      <c r="N269" s="3">
        <f ca="1">IFERROR(__xludf.DUMMYFUNCTION("""COMPUTED_VALUE"""),2475)</f>
        <v>2475</v>
      </c>
      <c r="O269" s="3">
        <f ca="1">IFERROR(__xludf.DUMMYFUNCTION("""COMPUTED_VALUE"""),2404)</f>
        <v>2404</v>
      </c>
      <c r="P269" s="3">
        <f ca="1">IFERROR(__xludf.DUMMYFUNCTION("""COMPUTED_VALUE"""),1290)</f>
        <v>1290</v>
      </c>
      <c r="Q269" s="3">
        <f ca="1">IFERROR(__xludf.DUMMYFUNCTION("""COMPUTED_VALUE"""),856)</f>
        <v>856</v>
      </c>
      <c r="R269" s="3">
        <f ca="1">IFERROR(__xludf.DUMMYFUNCTION("""COMPUTED_VALUE"""),2017)</f>
        <v>2017</v>
      </c>
      <c r="S269" s="3">
        <f ca="1">IFERROR(__xludf.DUMMYFUNCTION("""COMPUTED_VALUE"""),0.424)</f>
        <v>0.42399999999999999</v>
      </c>
      <c r="T269" s="3">
        <f ca="1">IFERROR(__xludf.DUMMYFUNCTION("""COMPUTED_VALUE"""),238)</f>
        <v>238</v>
      </c>
      <c r="U269" s="3">
        <f ca="1">IFERROR(__xludf.DUMMYFUNCTION("""COMPUTED_VALUE"""),769)</f>
        <v>769</v>
      </c>
      <c r="V269" s="3">
        <f ca="1">IFERROR(__xludf.DUMMYFUNCTION("""COMPUTED_VALUE"""),0.309)</f>
        <v>0.309</v>
      </c>
      <c r="W269" s="3">
        <f ca="1">IFERROR(__xludf.DUMMYFUNCTION("""COMPUTED_VALUE"""),525)</f>
        <v>525</v>
      </c>
      <c r="X269" s="3">
        <f ca="1">IFERROR(__xludf.DUMMYFUNCTION("""COMPUTED_VALUE"""),748)</f>
        <v>748</v>
      </c>
      <c r="Y269" s="3">
        <f ca="1">IFERROR(__xludf.DUMMYFUNCTION("""COMPUTED_VALUE"""),0.702)</f>
        <v>0.70199999999999996</v>
      </c>
      <c r="Z269" s="3">
        <f ca="1">IFERROR(__xludf.DUMMYFUNCTION("""COMPUTED_VALUE"""),491)</f>
        <v>491</v>
      </c>
      <c r="AA269" s="3">
        <f ca="1">IFERROR(__xludf.DUMMYFUNCTION("""COMPUTED_VALUE"""),1282)</f>
        <v>1282</v>
      </c>
      <c r="AB269" s="3">
        <f ca="1">IFERROR(__xludf.DUMMYFUNCTION("""COMPUTED_VALUE"""),434)</f>
        <v>434</v>
      </c>
      <c r="AC269" s="3">
        <f ca="1">IFERROR(__xludf.DUMMYFUNCTION("""COMPUTED_VALUE"""),264)</f>
        <v>264</v>
      </c>
      <c r="AD269" s="3">
        <f ca="1">IFERROR(__xludf.DUMMYFUNCTION("""COMPUTED_VALUE"""),130)</f>
        <v>130</v>
      </c>
      <c r="AE269" s="3">
        <f ca="1">IFERROR(__xludf.DUMMYFUNCTION("""COMPUTED_VALUE"""),449)</f>
        <v>449</v>
      </c>
      <c r="AF269" s="3">
        <f ca="1">IFERROR(__xludf.DUMMYFUNCTION("""COMPUTED_VALUE"""),681)</f>
        <v>681</v>
      </c>
    </row>
    <row r="270" spans="1:32" x14ac:dyDescent="0.25">
      <c r="A270" s="3" t="str">
        <f ca="1">IFERROR(__xludf.DUMMYFUNCTION("""COMPUTED_VALUE"""),"Portland")</f>
        <v>Portland</v>
      </c>
      <c r="B270" s="3">
        <f ca="1">IFERROR(__xludf.DUMMYFUNCTION("""COMPUTED_VALUE"""),32)</f>
        <v>32</v>
      </c>
      <c r="C270" s="3">
        <f ca="1">IFERROR(__xludf.DUMMYFUNCTION("""COMPUTED_VALUE"""),7)</f>
        <v>7</v>
      </c>
      <c r="D270" s="3">
        <f ca="1">IFERROR(__xludf.DUMMYFUNCTION("""COMPUTED_VALUE"""),25)</f>
        <v>25</v>
      </c>
      <c r="E270" s="3">
        <f ca="1">IFERROR(__xludf.DUMMYFUNCTION("""COMPUTED_VALUE"""),0.219)</f>
        <v>0.219</v>
      </c>
      <c r="F270" s="3">
        <f ca="1">IFERROR(__xludf.DUMMYFUNCTION("""COMPUTED_VALUE"""),-10.8)</f>
        <v>-10.8</v>
      </c>
      <c r="G270" s="3">
        <f ca="1">IFERROR(__xludf.DUMMYFUNCTION("""COMPUTED_VALUE"""),0.51)</f>
        <v>0.51</v>
      </c>
      <c r="H270" s="3">
        <f ca="1">IFERROR(__xludf.DUMMYFUNCTION("""COMPUTED_VALUE"""),0)</f>
        <v>0</v>
      </c>
      <c r="I270" s="3">
        <f ca="1">IFERROR(__xludf.DUMMYFUNCTION("""COMPUTED_VALUE"""),16)</f>
        <v>16</v>
      </c>
      <c r="J270" s="3">
        <f ca="1">IFERROR(__xludf.DUMMYFUNCTION("""COMPUTED_VALUE"""),6)</f>
        <v>6</v>
      </c>
      <c r="K270" s="3">
        <f ca="1">IFERROR(__xludf.DUMMYFUNCTION("""COMPUTED_VALUE"""),11)</f>
        <v>11</v>
      </c>
      <c r="L270" s="3">
        <f ca="1">IFERROR(__xludf.DUMMYFUNCTION("""COMPUTED_VALUE"""),1)</f>
        <v>1</v>
      </c>
      <c r="M270" s="3">
        <f ca="1">IFERROR(__xludf.DUMMYFUNCTION("""COMPUTED_VALUE"""),12)</f>
        <v>12</v>
      </c>
      <c r="N270" s="3">
        <f ca="1">IFERROR(__xludf.DUMMYFUNCTION("""COMPUTED_VALUE"""),2078)</f>
        <v>2078</v>
      </c>
      <c r="O270" s="3">
        <f ca="1">IFERROR(__xludf.DUMMYFUNCTION("""COMPUTED_VALUE"""),2389)</f>
        <v>2389</v>
      </c>
      <c r="P270" s="3">
        <f ca="1">IFERROR(__xludf.DUMMYFUNCTION("""COMPUTED_VALUE"""),1290)</f>
        <v>1290</v>
      </c>
      <c r="Q270" s="3">
        <f ca="1">IFERROR(__xludf.DUMMYFUNCTION("""COMPUTED_VALUE"""),707)</f>
        <v>707</v>
      </c>
      <c r="R270" s="3">
        <f ca="1">IFERROR(__xludf.DUMMYFUNCTION("""COMPUTED_VALUE"""),1708)</f>
        <v>1708</v>
      </c>
      <c r="S270" s="3">
        <f ca="1">IFERROR(__xludf.DUMMYFUNCTION("""COMPUTED_VALUE"""),0.414)</f>
        <v>0.41399999999999998</v>
      </c>
      <c r="T270" s="3">
        <f ca="1">IFERROR(__xludf.DUMMYFUNCTION("""COMPUTED_VALUE"""),216)</f>
        <v>216</v>
      </c>
      <c r="U270" s="3">
        <f ca="1">IFERROR(__xludf.DUMMYFUNCTION("""COMPUTED_VALUE"""),664)</f>
        <v>664</v>
      </c>
      <c r="V270" s="3">
        <f ca="1">IFERROR(__xludf.DUMMYFUNCTION("""COMPUTED_VALUE"""),0.325)</f>
        <v>0.32500000000000001</v>
      </c>
      <c r="W270" s="3">
        <f ca="1">IFERROR(__xludf.DUMMYFUNCTION("""COMPUTED_VALUE"""),448)</f>
        <v>448</v>
      </c>
      <c r="X270" s="3">
        <f ca="1">IFERROR(__xludf.DUMMYFUNCTION("""COMPUTED_VALUE"""),668)</f>
        <v>668</v>
      </c>
      <c r="Y270" s="3">
        <f ca="1">IFERROR(__xludf.DUMMYFUNCTION("""COMPUTED_VALUE"""),0.671)</f>
        <v>0.67100000000000004</v>
      </c>
      <c r="Z270" s="3">
        <f ca="1">IFERROR(__xludf.DUMMYFUNCTION("""COMPUTED_VALUE"""),233)</f>
        <v>233</v>
      </c>
      <c r="AA270" s="3">
        <f ca="1">IFERROR(__xludf.DUMMYFUNCTION("""COMPUTED_VALUE"""),1032)</f>
        <v>1032</v>
      </c>
      <c r="AB270" s="3">
        <f ca="1">IFERROR(__xludf.DUMMYFUNCTION("""COMPUTED_VALUE"""),369)</f>
        <v>369</v>
      </c>
      <c r="AC270" s="3">
        <f ca="1">IFERROR(__xludf.DUMMYFUNCTION("""COMPUTED_VALUE"""),175)</f>
        <v>175</v>
      </c>
      <c r="AD270" s="3">
        <f ca="1">IFERROR(__xludf.DUMMYFUNCTION("""COMPUTED_VALUE"""),123)</f>
        <v>123</v>
      </c>
      <c r="AE270" s="3">
        <f ca="1">IFERROR(__xludf.DUMMYFUNCTION("""COMPUTED_VALUE"""),425)</f>
        <v>425</v>
      </c>
      <c r="AF270" s="3">
        <f ca="1">IFERROR(__xludf.DUMMYFUNCTION("""COMPUTED_VALUE"""),588)</f>
        <v>588</v>
      </c>
    </row>
    <row r="271" spans="1:32" x14ac:dyDescent="0.25">
      <c r="A271" s="3" t="str">
        <f ca="1">IFERROR(__xludf.DUMMYFUNCTION("""COMPUTED_VALUE"""),"Prairie ViewNCAA")</f>
        <v>Prairie ViewNCAA</v>
      </c>
      <c r="B271" s="3">
        <f ca="1">IFERROR(__xludf.DUMMYFUNCTION("""COMPUTED_VALUE"""),35)</f>
        <v>35</v>
      </c>
      <c r="C271" s="3">
        <f ca="1">IFERROR(__xludf.DUMMYFUNCTION("""COMPUTED_VALUE"""),22)</f>
        <v>22</v>
      </c>
      <c r="D271" s="3">
        <f ca="1">IFERROR(__xludf.DUMMYFUNCTION("""COMPUTED_VALUE"""),13)</f>
        <v>13</v>
      </c>
      <c r="E271" s="3">
        <f ca="1">IFERROR(__xludf.DUMMYFUNCTION("""COMPUTED_VALUE"""),0.629)</f>
        <v>0.629</v>
      </c>
      <c r="F271" s="3">
        <f ca="1">IFERROR(__xludf.DUMMYFUNCTION("""COMPUTED_VALUE"""),-7.29)</f>
        <v>-7.29</v>
      </c>
      <c r="G271" s="3">
        <f ca="1">IFERROR(__xludf.DUMMYFUNCTION("""COMPUTED_VALUE"""),-9.17)</f>
        <v>-9.17</v>
      </c>
      <c r="H271" s="3">
        <f ca="1">IFERROR(__xludf.DUMMYFUNCTION("""COMPUTED_VALUE"""),17)</f>
        <v>17</v>
      </c>
      <c r="I271" s="3">
        <f ca="1">IFERROR(__xludf.DUMMYFUNCTION("""COMPUTED_VALUE"""),1)</f>
        <v>1</v>
      </c>
      <c r="J271" s="3">
        <f ca="1">IFERROR(__xludf.DUMMYFUNCTION("""COMPUTED_VALUE"""),11)</f>
        <v>11</v>
      </c>
      <c r="K271" s="3">
        <f ca="1">IFERROR(__xludf.DUMMYFUNCTION("""COMPUTED_VALUE"""),0)</f>
        <v>0</v>
      </c>
      <c r="L271" s="3">
        <f ca="1">IFERROR(__xludf.DUMMYFUNCTION("""COMPUTED_VALUE"""),9)</f>
        <v>9</v>
      </c>
      <c r="M271" s="3">
        <f ca="1">IFERROR(__xludf.DUMMYFUNCTION("""COMPUTED_VALUE"""),12)</f>
        <v>12</v>
      </c>
      <c r="N271" s="3">
        <f ca="1">IFERROR(__xludf.DUMMYFUNCTION("""COMPUTED_VALUE"""),2627)</f>
        <v>2627</v>
      </c>
      <c r="O271" s="3">
        <f ca="1">IFERROR(__xludf.DUMMYFUNCTION("""COMPUTED_VALUE"""),2547)</f>
        <v>2547</v>
      </c>
      <c r="P271" s="3">
        <f ca="1">IFERROR(__xludf.DUMMYFUNCTION("""COMPUTED_VALUE"""),1400)</f>
        <v>1400</v>
      </c>
      <c r="Q271" s="3">
        <f ca="1">IFERROR(__xludf.DUMMYFUNCTION("""COMPUTED_VALUE"""),903)</f>
        <v>903</v>
      </c>
      <c r="R271" s="3">
        <f ca="1">IFERROR(__xludf.DUMMYFUNCTION("""COMPUTED_VALUE"""),2061)</f>
        <v>2061</v>
      </c>
      <c r="S271" s="3">
        <f ca="1">IFERROR(__xludf.DUMMYFUNCTION("""COMPUTED_VALUE"""),0.438)</f>
        <v>0.438</v>
      </c>
      <c r="T271" s="3">
        <f ca="1">IFERROR(__xludf.DUMMYFUNCTION("""COMPUTED_VALUE"""),225)</f>
        <v>225</v>
      </c>
      <c r="U271" s="3">
        <f ca="1">IFERROR(__xludf.DUMMYFUNCTION("""COMPUTED_VALUE"""),703)</f>
        <v>703</v>
      </c>
      <c r="V271" s="3">
        <f ca="1">IFERROR(__xludf.DUMMYFUNCTION("""COMPUTED_VALUE"""),0.32)</f>
        <v>0.32</v>
      </c>
      <c r="W271" s="3">
        <f ca="1">IFERROR(__xludf.DUMMYFUNCTION("""COMPUTED_VALUE"""),596)</f>
        <v>596</v>
      </c>
      <c r="X271" s="3">
        <f ca="1">IFERROR(__xludf.DUMMYFUNCTION("""COMPUTED_VALUE"""),875)</f>
        <v>875</v>
      </c>
      <c r="Y271" s="3">
        <f ca="1">IFERROR(__xludf.DUMMYFUNCTION("""COMPUTED_VALUE"""),0.681)</f>
        <v>0.68100000000000005</v>
      </c>
      <c r="Z271" s="3">
        <f ca="1">IFERROR(__xludf.DUMMYFUNCTION("""COMPUTED_VALUE"""),392)</f>
        <v>392</v>
      </c>
      <c r="AA271" s="3">
        <f ca="1">IFERROR(__xludf.DUMMYFUNCTION("""COMPUTED_VALUE"""),1151)</f>
        <v>1151</v>
      </c>
      <c r="AB271" s="3">
        <f ca="1">IFERROR(__xludf.DUMMYFUNCTION("""COMPUTED_VALUE"""),445)</f>
        <v>445</v>
      </c>
      <c r="AC271" s="3">
        <f ca="1">IFERROR(__xludf.DUMMYFUNCTION("""COMPUTED_VALUE"""),309)</f>
        <v>309</v>
      </c>
      <c r="AD271" s="3">
        <f ca="1">IFERROR(__xludf.DUMMYFUNCTION("""COMPUTED_VALUE"""),55)</f>
        <v>55</v>
      </c>
      <c r="AE271" s="3">
        <f ca="1">IFERROR(__xludf.DUMMYFUNCTION("""COMPUTED_VALUE"""),445)</f>
        <v>445</v>
      </c>
      <c r="AF271" s="3">
        <f ca="1">IFERROR(__xludf.DUMMYFUNCTION("""COMPUTED_VALUE"""),758)</f>
        <v>758</v>
      </c>
    </row>
    <row r="272" spans="1:32" x14ac:dyDescent="0.25">
      <c r="A272" s="3" t="str">
        <f ca="1">IFERROR(__xludf.DUMMYFUNCTION("""COMPUTED_VALUE"""),"Presbyterian")</f>
        <v>Presbyterian</v>
      </c>
      <c r="B272" s="3">
        <f ca="1">IFERROR(__xludf.DUMMYFUNCTION("""COMPUTED_VALUE"""),36)</f>
        <v>36</v>
      </c>
      <c r="C272" s="3">
        <f ca="1">IFERROR(__xludf.DUMMYFUNCTION("""COMPUTED_VALUE"""),20)</f>
        <v>20</v>
      </c>
      <c r="D272" s="3">
        <f ca="1">IFERROR(__xludf.DUMMYFUNCTION("""COMPUTED_VALUE"""),16)</f>
        <v>16</v>
      </c>
      <c r="E272" s="3">
        <f ca="1">IFERROR(__xludf.DUMMYFUNCTION("""COMPUTED_VALUE"""),0.556)</f>
        <v>0.55600000000000005</v>
      </c>
      <c r="F272" s="3">
        <f ca="1">IFERROR(__xludf.DUMMYFUNCTION("""COMPUTED_VALUE"""),-3.56)</f>
        <v>-3.56</v>
      </c>
      <c r="G272" s="3">
        <f ca="1">IFERROR(__xludf.DUMMYFUNCTION("""COMPUTED_VALUE"""),-5.35)</f>
        <v>-5.35</v>
      </c>
      <c r="H272" s="3">
        <f ca="1">IFERROR(__xludf.DUMMYFUNCTION("""COMPUTED_VALUE"""),9)</f>
        <v>9</v>
      </c>
      <c r="I272" s="3">
        <f ca="1">IFERROR(__xludf.DUMMYFUNCTION("""COMPUTED_VALUE"""),7)</f>
        <v>7</v>
      </c>
      <c r="J272" s="3">
        <f ca="1">IFERROR(__xludf.DUMMYFUNCTION("""COMPUTED_VALUE"""),12)</f>
        <v>12</v>
      </c>
      <c r="K272" s="3">
        <f ca="1">IFERROR(__xludf.DUMMYFUNCTION("""COMPUTED_VALUE"""),3)</f>
        <v>3</v>
      </c>
      <c r="L272" s="3">
        <f ca="1">IFERROR(__xludf.DUMMYFUNCTION("""COMPUTED_VALUE"""),8)</f>
        <v>8</v>
      </c>
      <c r="M272" s="3">
        <f ca="1">IFERROR(__xludf.DUMMYFUNCTION("""COMPUTED_VALUE"""),12)</f>
        <v>12</v>
      </c>
      <c r="N272" s="3">
        <f ca="1">IFERROR(__xludf.DUMMYFUNCTION("""COMPUTED_VALUE"""),2817)</f>
        <v>2817</v>
      </c>
      <c r="O272" s="3">
        <f ca="1">IFERROR(__xludf.DUMMYFUNCTION("""COMPUTED_VALUE"""),2610)</f>
        <v>2610</v>
      </c>
      <c r="P272" s="3">
        <f ca="1">IFERROR(__xludf.DUMMYFUNCTION("""COMPUTED_VALUE"""),1445)</f>
        <v>1445</v>
      </c>
      <c r="Q272" s="3">
        <f ca="1">IFERROR(__xludf.DUMMYFUNCTION("""COMPUTED_VALUE"""),966)</f>
        <v>966</v>
      </c>
      <c r="R272" s="3">
        <f ca="1">IFERROR(__xludf.DUMMYFUNCTION("""COMPUTED_VALUE"""),2150)</f>
        <v>2150</v>
      </c>
      <c r="S272" s="3">
        <f ca="1">IFERROR(__xludf.DUMMYFUNCTION("""COMPUTED_VALUE"""),0.449)</f>
        <v>0.44900000000000001</v>
      </c>
      <c r="T272" s="3">
        <f ca="1">IFERROR(__xludf.DUMMYFUNCTION("""COMPUTED_VALUE"""),394)</f>
        <v>394</v>
      </c>
      <c r="U272" s="3">
        <f ca="1">IFERROR(__xludf.DUMMYFUNCTION("""COMPUTED_VALUE"""),1034)</f>
        <v>1034</v>
      </c>
      <c r="V272" s="3">
        <f ca="1">IFERROR(__xludf.DUMMYFUNCTION("""COMPUTED_VALUE"""),0.381)</f>
        <v>0.38100000000000001</v>
      </c>
      <c r="W272" s="3">
        <f ca="1">IFERROR(__xludf.DUMMYFUNCTION("""COMPUTED_VALUE"""),491)</f>
        <v>491</v>
      </c>
      <c r="X272" s="3">
        <f ca="1">IFERROR(__xludf.DUMMYFUNCTION("""COMPUTED_VALUE"""),674)</f>
        <v>674</v>
      </c>
      <c r="Y272" s="3">
        <f ca="1">IFERROR(__xludf.DUMMYFUNCTION("""COMPUTED_VALUE"""),0.728)</f>
        <v>0.72799999999999998</v>
      </c>
      <c r="Z272" s="3">
        <f ca="1">IFERROR(__xludf.DUMMYFUNCTION("""COMPUTED_VALUE"""),324)</f>
        <v>324</v>
      </c>
      <c r="AA272" s="3">
        <f ca="1">IFERROR(__xludf.DUMMYFUNCTION("""COMPUTED_VALUE"""),1248)</f>
        <v>1248</v>
      </c>
      <c r="AB272" s="3">
        <f ca="1">IFERROR(__xludf.DUMMYFUNCTION("""COMPUTED_VALUE"""),565)</f>
        <v>565</v>
      </c>
      <c r="AC272" s="3">
        <f ca="1">IFERROR(__xludf.DUMMYFUNCTION("""COMPUTED_VALUE"""),214)</f>
        <v>214</v>
      </c>
      <c r="AD272" s="3">
        <f ca="1">IFERROR(__xludf.DUMMYFUNCTION("""COMPUTED_VALUE"""),69)</f>
        <v>69</v>
      </c>
      <c r="AE272" s="3">
        <f ca="1">IFERROR(__xludf.DUMMYFUNCTION("""COMPUTED_VALUE"""),358)</f>
        <v>358</v>
      </c>
      <c r="AF272" s="3">
        <f ca="1">IFERROR(__xludf.DUMMYFUNCTION("""COMPUTED_VALUE"""),617)</f>
        <v>617</v>
      </c>
    </row>
    <row r="273" spans="1:32" x14ac:dyDescent="0.25">
      <c r="A273" s="3" t="str">
        <f ca="1">IFERROR(__xludf.DUMMYFUNCTION("""COMPUTED_VALUE"""),"Princeton")</f>
        <v>Princeton</v>
      </c>
      <c r="B273" s="3">
        <f ca="1">IFERROR(__xludf.DUMMYFUNCTION("""COMPUTED_VALUE"""),28)</f>
        <v>28</v>
      </c>
      <c r="C273" s="3">
        <f ca="1">IFERROR(__xludf.DUMMYFUNCTION("""COMPUTED_VALUE"""),16)</f>
        <v>16</v>
      </c>
      <c r="D273" s="3">
        <f ca="1">IFERROR(__xludf.DUMMYFUNCTION("""COMPUTED_VALUE"""),12)</f>
        <v>12</v>
      </c>
      <c r="E273" s="3">
        <f ca="1">IFERROR(__xludf.DUMMYFUNCTION("""COMPUTED_VALUE"""),0.571)</f>
        <v>0.57099999999999995</v>
      </c>
      <c r="F273" s="3">
        <f ca="1">IFERROR(__xludf.DUMMYFUNCTION("""COMPUTED_VALUE"""),-3.43)</f>
        <v>-3.43</v>
      </c>
      <c r="G273" s="3">
        <f ca="1">IFERROR(__xludf.DUMMYFUNCTION("""COMPUTED_VALUE"""),-0.89)</f>
        <v>-0.89</v>
      </c>
      <c r="H273" s="3">
        <f ca="1">IFERROR(__xludf.DUMMYFUNCTION("""COMPUTED_VALUE"""),8)</f>
        <v>8</v>
      </c>
      <c r="I273" s="3">
        <f ca="1">IFERROR(__xludf.DUMMYFUNCTION("""COMPUTED_VALUE"""),6)</f>
        <v>6</v>
      </c>
      <c r="J273" s="3">
        <f ca="1">IFERROR(__xludf.DUMMYFUNCTION("""COMPUTED_VALUE"""),7)</f>
        <v>7</v>
      </c>
      <c r="K273" s="3">
        <f ca="1">IFERROR(__xludf.DUMMYFUNCTION("""COMPUTED_VALUE"""),5)</f>
        <v>5</v>
      </c>
      <c r="L273" s="3">
        <f ca="1">IFERROR(__xludf.DUMMYFUNCTION("""COMPUTED_VALUE"""),8)</f>
        <v>8</v>
      </c>
      <c r="M273" s="3">
        <f ca="1">IFERROR(__xludf.DUMMYFUNCTION("""COMPUTED_VALUE"""),6)</f>
        <v>6</v>
      </c>
      <c r="N273" s="3">
        <f ca="1">IFERROR(__xludf.DUMMYFUNCTION("""COMPUTED_VALUE"""),1948)</f>
        <v>1948</v>
      </c>
      <c r="O273" s="3">
        <f ca="1">IFERROR(__xludf.DUMMYFUNCTION("""COMPUTED_VALUE"""),1951)</f>
        <v>1951</v>
      </c>
      <c r="P273" s="3">
        <f ca="1">IFERROR(__xludf.DUMMYFUNCTION("""COMPUTED_VALUE"""),1135)</f>
        <v>1135</v>
      </c>
      <c r="Q273" s="3">
        <f ca="1">IFERROR(__xludf.DUMMYFUNCTION("""COMPUTED_VALUE"""),685)</f>
        <v>685</v>
      </c>
      <c r="R273" s="3">
        <f ca="1">IFERROR(__xludf.DUMMYFUNCTION("""COMPUTED_VALUE"""),1666)</f>
        <v>1666</v>
      </c>
      <c r="S273" s="3">
        <f ca="1">IFERROR(__xludf.DUMMYFUNCTION("""COMPUTED_VALUE"""),0.411)</f>
        <v>0.41099999999999998</v>
      </c>
      <c r="T273" s="3">
        <f ca="1">IFERROR(__xludf.DUMMYFUNCTION("""COMPUTED_VALUE"""),207)</f>
        <v>207</v>
      </c>
      <c r="U273" s="3">
        <f ca="1">IFERROR(__xludf.DUMMYFUNCTION("""COMPUTED_VALUE"""),679)</f>
        <v>679</v>
      </c>
      <c r="V273" s="3">
        <f ca="1">IFERROR(__xludf.DUMMYFUNCTION("""COMPUTED_VALUE"""),0.305)</f>
        <v>0.30499999999999999</v>
      </c>
      <c r="W273" s="3">
        <f ca="1">IFERROR(__xludf.DUMMYFUNCTION("""COMPUTED_VALUE"""),371)</f>
        <v>371</v>
      </c>
      <c r="X273" s="3">
        <f ca="1">IFERROR(__xludf.DUMMYFUNCTION("""COMPUTED_VALUE"""),502)</f>
        <v>502</v>
      </c>
      <c r="Y273" s="3">
        <f ca="1">IFERROR(__xludf.DUMMYFUNCTION("""COMPUTED_VALUE"""),0.739)</f>
        <v>0.73899999999999999</v>
      </c>
      <c r="Z273" s="3">
        <f ca="1">IFERROR(__xludf.DUMMYFUNCTION("""COMPUTED_VALUE"""),272)</f>
        <v>272</v>
      </c>
      <c r="AA273" s="3">
        <f ca="1">IFERROR(__xludf.DUMMYFUNCTION("""COMPUTED_VALUE"""),1016)</f>
        <v>1016</v>
      </c>
      <c r="AB273" s="3">
        <f ca="1">IFERROR(__xludf.DUMMYFUNCTION("""COMPUTED_VALUE"""),295)</f>
        <v>295</v>
      </c>
      <c r="AC273" s="3">
        <f ca="1">IFERROR(__xludf.DUMMYFUNCTION("""COMPUTED_VALUE"""),168)</f>
        <v>168</v>
      </c>
      <c r="AD273" s="3">
        <f ca="1">IFERROR(__xludf.DUMMYFUNCTION("""COMPUTED_VALUE"""),72)</f>
        <v>72</v>
      </c>
      <c r="AE273" s="3">
        <f ca="1">IFERROR(__xludf.DUMMYFUNCTION("""COMPUTED_VALUE"""),354)</f>
        <v>354</v>
      </c>
      <c r="AF273" s="3">
        <f ca="1">IFERROR(__xludf.DUMMYFUNCTION("""COMPUTED_VALUE"""),459)</f>
        <v>459</v>
      </c>
    </row>
    <row r="274" spans="1:32" x14ac:dyDescent="0.25">
      <c r="A274" s="3" t="str">
        <f ca="1">IFERROR(__xludf.DUMMYFUNCTION("""COMPUTED_VALUE"""),"Providence")</f>
        <v>Providence</v>
      </c>
      <c r="B274" s="3">
        <f ca="1">IFERROR(__xludf.DUMMYFUNCTION("""COMPUTED_VALUE"""),34)</f>
        <v>34</v>
      </c>
      <c r="C274" s="3">
        <f ca="1">IFERROR(__xludf.DUMMYFUNCTION("""COMPUTED_VALUE"""),18)</f>
        <v>18</v>
      </c>
      <c r="D274" s="3">
        <f ca="1">IFERROR(__xludf.DUMMYFUNCTION("""COMPUTED_VALUE"""),16)</f>
        <v>16</v>
      </c>
      <c r="E274" s="3">
        <f ca="1">IFERROR(__xludf.DUMMYFUNCTION("""COMPUTED_VALUE"""),0.529)</f>
        <v>0.52900000000000003</v>
      </c>
      <c r="F274" s="3">
        <f ca="1">IFERROR(__xludf.DUMMYFUNCTION("""COMPUTED_VALUE"""),8.29)</f>
        <v>8.2899999999999991</v>
      </c>
      <c r="G274" s="3">
        <f ca="1">IFERROR(__xludf.DUMMYFUNCTION("""COMPUTED_VALUE"""),6.71)</f>
        <v>6.71</v>
      </c>
      <c r="H274" s="3">
        <f ca="1">IFERROR(__xludf.DUMMYFUNCTION("""COMPUTED_VALUE"""),7)</f>
        <v>7</v>
      </c>
      <c r="I274" s="3">
        <f ca="1">IFERROR(__xludf.DUMMYFUNCTION("""COMPUTED_VALUE"""),11)</f>
        <v>11</v>
      </c>
      <c r="J274" s="3">
        <f ca="1">IFERROR(__xludf.DUMMYFUNCTION("""COMPUTED_VALUE"""),11)</f>
        <v>11</v>
      </c>
      <c r="K274" s="3">
        <f ca="1">IFERROR(__xludf.DUMMYFUNCTION("""COMPUTED_VALUE"""),7)</f>
        <v>7</v>
      </c>
      <c r="L274" s="3">
        <f ca="1">IFERROR(__xludf.DUMMYFUNCTION("""COMPUTED_VALUE"""),5)</f>
        <v>5</v>
      </c>
      <c r="M274" s="3">
        <f ca="1">IFERROR(__xludf.DUMMYFUNCTION("""COMPUTED_VALUE"""),6)</f>
        <v>6</v>
      </c>
      <c r="N274" s="3">
        <f ca="1">IFERROR(__xludf.DUMMYFUNCTION("""COMPUTED_VALUE"""),2428)</f>
        <v>2428</v>
      </c>
      <c r="O274" s="3">
        <f ca="1">IFERROR(__xludf.DUMMYFUNCTION("""COMPUTED_VALUE"""),2374)</f>
        <v>2374</v>
      </c>
      <c r="P274" s="3">
        <f ca="1">IFERROR(__xludf.DUMMYFUNCTION("""COMPUTED_VALUE"""),1385)</f>
        <v>1385</v>
      </c>
      <c r="Q274" s="3">
        <f ca="1">IFERROR(__xludf.DUMMYFUNCTION("""COMPUTED_VALUE"""),835)</f>
        <v>835</v>
      </c>
      <c r="R274" s="3">
        <f ca="1">IFERROR(__xludf.DUMMYFUNCTION("""COMPUTED_VALUE"""),1973)</f>
        <v>1973</v>
      </c>
      <c r="S274" s="3">
        <f ca="1">IFERROR(__xludf.DUMMYFUNCTION("""COMPUTED_VALUE"""),0.423)</f>
        <v>0.42299999999999999</v>
      </c>
      <c r="T274" s="3">
        <f ca="1">IFERROR(__xludf.DUMMYFUNCTION("""COMPUTED_VALUE"""),225)</f>
        <v>225</v>
      </c>
      <c r="U274" s="3">
        <f ca="1">IFERROR(__xludf.DUMMYFUNCTION("""COMPUTED_VALUE"""),690)</f>
        <v>690</v>
      </c>
      <c r="V274" s="3">
        <f ca="1">IFERROR(__xludf.DUMMYFUNCTION("""COMPUTED_VALUE"""),0.326)</f>
        <v>0.32600000000000001</v>
      </c>
      <c r="W274" s="3">
        <f ca="1">IFERROR(__xludf.DUMMYFUNCTION("""COMPUTED_VALUE"""),533)</f>
        <v>533</v>
      </c>
      <c r="X274" s="3">
        <f ca="1">IFERROR(__xludf.DUMMYFUNCTION("""COMPUTED_VALUE"""),771)</f>
        <v>771</v>
      </c>
      <c r="Y274" s="3">
        <f ca="1">IFERROR(__xludf.DUMMYFUNCTION("""COMPUTED_VALUE"""),0.691)</f>
        <v>0.69099999999999995</v>
      </c>
      <c r="Z274" s="3">
        <f ca="1">IFERROR(__xludf.DUMMYFUNCTION("""COMPUTED_VALUE"""),399)</f>
        <v>399</v>
      </c>
      <c r="AA274" s="3">
        <f ca="1">IFERROR(__xludf.DUMMYFUNCTION("""COMPUTED_VALUE"""),1241)</f>
        <v>1241</v>
      </c>
      <c r="AB274" s="3">
        <f ca="1">IFERROR(__xludf.DUMMYFUNCTION("""COMPUTED_VALUE"""),491)</f>
        <v>491</v>
      </c>
      <c r="AC274" s="3">
        <f ca="1">IFERROR(__xludf.DUMMYFUNCTION("""COMPUTED_VALUE"""),253)</f>
        <v>253</v>
      </c>
      <c r="AD274" s="3">
        <f ca="1">IFERROR(__xludf.DUMMYFUNCTION("""COMPUTED_VALUE"""),136)</f>
        <v>136</v>
      </c>
      <c r="AE274" s="3">
        <f ca="1">IFERROR(__xludf.DUMMYFUNCTION("""COMPUTED_VALUE"""),445)</f>
        <v>445</v>
      </c>
      <c r="AF274" s="3">
        <f ca="1">IFERROR(__xludf.DUMMYFUNCTION("""COMPUTED_VALUE"""),600)</f>
        <v>600</v>
      </c>
    </row>
    <row r="275" spans="1:32" x14ac:dyDescent="0.25">
      <c r="A275" s="3" t="str">
        <f ca="1">IFERROR(__xludf.DUMMYFUNCTION("""COMPUTED_VALUE"""),"PurdueNCAA")</f>
        <v>PurdueNCAA</v>
      </c>
      <c r="B275" s="3">
        <f ca="1">IFERROR(__xludf.DUMMYFUNCTION("""COMPUTED_VALUE"""),36)</f>
        <v>36</v>
      </c>
      <c r="C275" s="3">
        <f ca="1">IFERROR(__xludf.DUMMYFUNCTION("""COMPUTED_VALUE"""),26)</f>
        <v>26</v>
      </c>
      <c r="D275" s="3">
        <f ca="1">IFERROR(__xludf.DUMMYFUNCTION("""COMPUTED_VALUE"""),10)</f>
        <v>10</v>
      </c>
      <c r="E275" s="3">
        <f ca="1">IFERROR(__xludf.DUMMYFUNCTION("""COMPUTED_VALUE"""),0.722)</f>
        <v>0.72199999999999998</v>
      </c>
      <c r="F275" s="3">
        <f ca="1">IFERROR(__xludf.DUMMYFUNCTION("""COMPUTED_VALUE"""),21.4)</f>
        <v>21.4</v>
      </c>
      <c r="G275" s="3">
        <f ca="1">IFERROR(__xludf.DUMMYFUNCTION("""COMPUTED_VALUE"""),11.99)</f>
        <v>11.99</v>
      </c>
      <c r="H275" s="3">
        <f ca="1">IFERROR(__xludf.DUMMYFUNCTION("""COMPUTED_VALUE"""),16)</f>
        <v>16</v>
      </c>
      <c r="I275" s="3">
        <f ca="1">IFERROR(__xludf.DUMMYFUNCTION("""COMPUTED_VALUE"""),4)</f>
        <v>4</v>
      </c>
      <c r="J275" s="3">
        <f ca="1">IFERROR(__xludf.DUMMYFUNCTION("""COMPUTED_VALUE"""),15)</f>
        <v>15</v>
      </c>
      <c r="K275" s="3">
        <f ca="1">IFERROR(__xludf.DUMMYFUNCTION("""COMPUTED_VALUE"""),0)</f>
        <v>0</v>
      </c>
      <c r="L275" s="3">
        <f ca="1">IFERROR(__xludf.DUMMYFUNCTION("""COMPUTED_VALUE"""),6)</f>
        <v>6</v>
      </c>
      <c r="M275" s="3">
        <f ca="1">IFERROR(__xludf.DUMMYFUNCTION("""COMPUTED_VALUE"""),6)</f>
        <v>6</v>
      </c>
      <c r="N275" s="3">
        <f ca="1">IFERROR(__xludf.DUMMYFUNCTION("""COMPUTED_VALUE"""),2760)</f>
        <v>2760</v>
      </c>
      <c r="O275" s="3">
        <f ca="1">IFERROR(__xludf.DUMMYFUNCTION("""COMPUTED_VALUE"""),2421)</f>
        <v>2421</v>
      </c>
      <c r="P275" s="3">
        <f ca="1">IFERROR(__xludf.DUMMYFUNCTION("""COMPUTED_VALUE"""),1460)</f>
        <v>1460</v>
      </c>
      <c r="Q275" s="3">
        <f ca="1">IFERROR(__xludf.DUMMYFUNCTION("""COMPUTED_VALUE"""),967)</f>
        <v>967</v>
      </c>
      <c r="R275" s="3">
        <f ca="1">IFERROR(__xludf.DUMMYFUNCTION("""COMPUTED_VALUE"""),2145)</f>
        <v>2145</v>
      </c>
      <c r="S275" s="3">
        <f ca="1">IFERROR(__xludf.DUMMYFUNCTION("""COMPUTED_VALUE"""),0.451)</f>
        <v>0.45100000000000001</v>
      </c>
      <c r="T275" s="3">
        <f ca="1">IFERROR(__xludf.DUMMYFUNCTION("""COMPUTED_VALUE"""),365)</f>
        <v>365</v>
      </c>
      <c r="U275" s="3">
        <f ca="1">IFERROR(__xludf.DUMMYFUNCTION("""COMPUTED_VALUE"""),977)</f>
        <v>977</v>
      </c>
      <c r="V275" s="3">
        <f ca="1">IFERROR(__xludf.DUMMYFUNCTION("""COMPUTED_VALUE"""),0.374)</f>
        <v>0.374</v>
      </c>
      <c r="W275" s="3">
        <f ca="1">IFERROR(__xludf.DUMMYFUNCTION("""COMPUTED_VALUE"""),461)</f>
        <v>461</v>
      </c>
      <c r="X275" s="3">
        <f ca="1">IFERROR(__xludf.DUMMYFUNCTION("""COMPUTED_VALUE"""),641)</f>
        <v>641</v>
      </c>
      <c r="Y275" s="3">
        <f ca="1">IFERROR(__xludf.DUMMYFUNCTION("""COMPUTED_VALUE"""),0.719)</f>
        <v>0.71899999999999997</v>
      </c>
      <c r="Z275" s="3">
        <f ca="1">IFERROR(__xludf.DUMMYFUNCTION("""COMPUTED_VALUE"""),421)</f>
        <v>421</v>
      </c>
      <c r="AA275" s="3">
        <f ca="1">IFERROR(__xludf.DUMMYFUNCTION("""COMPUTED_VALUE"""),1341)</f>
        <v>1341</v>
      </c>
      <c r="AB275" s="3">
        <f ca="1">IFERROR(__xludf.DUMMYFUNCTION("""COMPUTED_VALUE"""),518)</f>
        <v>518</v>
      </c>
      <c r="AC275" s="3">
        <f ca="1">IFERROR(__xludf.DUMMYFUNCTION("""COMPUTED_VALUE"""),220)</f>
        <v>220</v>
      </c>
      <c r="AD275" s="3">
        <f ca="1">IFERROR(__xludf.DUMMYFUNCTION("""COMPUTED_VALUE"""),143)</f>
        <v>143</v>
      </c>
      <c r="AE275" s="3">
        <f ca="1">IFERROR(__xludf.DUMMYFUNCTION("""COMPUTED_VALUE"""),381)</f>
        <v>381</v>
      </c>
      <c r="AF275" s="3">
        <f ca="1">IFERROR(__xludf.DUMMYFUNCTION("""COMPUTED_VALUE"""),625)</f>
        <v>625</v>
      </c>
    </row>
    <row r="276" spans="1:32" x14ac:dyDescent="0.25">
      <c r="A276" s="3" t="str">
        <f ca="1">IFERROR(__xludf.DUMMYFUNCTION("""COMPUTED_VALUE"""),"Quinnipiac")</f>
        <v>Quinnipiac</v>
      </c>
      <c r="B276" s="3">
        <f ca="1">IFERROR(__xludf.DUMMYFUNCTION("""COMPUTED_VALUE"""),31)</f>
        <v>31</v>
      </c>
      <c r="C276" s="3">
        <f ca="1">IFERROR(__xludf.DUMMYFUNCTION("""COMPUTED_VALUE"""),16)</f>
        <v>16</v>
      </c>
      <c r="D276" s="3">
        <f ca="1">IFERROR(__xludf.DUMMYFUNCTION("""COMPUTED_VALUE"""),15)</f>
        <v>15</v>
      </c>
      <c r="E276" s="3">
        <f ca="1">IFERROR(__xludf.DUMMYFUNCTION("""COMPUTED_VALUE"""),0.516)</f>
        <v>0.51600000000000001</v>
      </c>
      <c r="F276" s="3">
        <f ca="1">IFERROR(__xludf.DUMMYFUNCTION("""COMPUTED_VALUE"""),-6.78)</f>
        <v>-6.78</v>
      </c>
      <c r="G276" s="3">
        <f ca="1">IFERROR(__xludf.DUMMYFUNCTION("""COMPUTED_VALUE"""),-8.03)</f>
        <v>-8.0299999999999994</v>
      </c>
      <c r="H276" s="3">
        <f ca="1">IFERROR(__xludf.DUMMYFUNCTION("""COMPUTED_VALUE"""),11)</f>
        <v>11</v>
      </c>
      <c r="I276" s="3">
        <f ca="1">IFERROR(__xludf.DUMMYFUNCTION("""COMPUTED_VALUE"""),7)</f>
        <v>7</v>
      </c>
      <c r="J276" s="3">
        <f ca="1">IFERROR(__xludf.DUMMYFUNCTION("""COMPUTED_VALUE"""),7)</f>
        <v>7</v>
      </c>
      <c r="K276" s="3">
        <f ca="1">IFERROR(__xludf.DUMMYFUNCTION("""COMPUTED_VALUE"""),7)</f>
        <v>7</v>
      </c>
      <c r="L276" s="3">
        <f ca="1">IFERROR(__xludf.DUMMYFUNCTION("""COMPUTED_VALUE"""),9)</f>
        <v>9</v>
      </c>
      <c r="M276" s="3">
        <f ca="1">IFERROR(__xludf.DUMMYFUNCTION("""COMPUTED_VALUE"""),6)</f>
        <v>6</v>
      </c>
      <c r="N276" s="3">
        <f ca="1">IFERROR(__xludf.DUMMYFUNCTION("""COMPUTED_VALUE"""),2294)</f>
        <v>2294</v>
      </c>
      <c r="O276" s="3">
        <f ca="1">IFERROR(__xludf.DUMMYFUNCTION("""COMPUTED_VALUE"""),2255)</f>
        <v>2255</v>
      </c>
      <c r="P276" s="3">
        <f ca="1">IFERROR(__xludf.DUMMYFUNCTION("""COMPUTED_VALUE"""),1270)</f>
        <v>1270</v>
      </c>
      <c r="Q276" s="3">
        <f ca="1">IFERROR(__xludf.DUMMYFUNCTION("""COMPUTED_VALUE"""),739)</f>
        <v>739</v>
      </c>
      <c r="R276" s="3">
        <f ca="1">IFERROR(__xludf.DUMMYFUNCTION("""COMPUTED_VALUE"""),1730)</f>
        <v>1730</v>
      </c>
      <c r="S276" s="3">
        <f ca="1">IFERROR(__xludf.DUMMYFUNCTION("""COMPUTED_VALUE"""),0.427)</f>
        <v>0.42699999999999999</v>
      </c>
      <c r="T276" s="3">
        <f ca="1">IFERROR(__xludf.DUMMYFUNCTION("""COMPUTED_VALUE"""),348)</f>
        <v>348</v>
      </c>
      <c r="U276" s="3">
        <f ca="1">IFERROR(__xludf.DUMMYFUNCTION("""COMPUTED_VALUE"""),923)</f>
        <v>923</v>
      </c>
      <c r="V276" s="3">
        <f ca="1">IFERROR(__xludf.DUMMYFUNCTION("""COMPUTED_VALUE"""),0.377)</f>
        <v>0.377</v>
      </c>
      <c r="W276" s="3">
        <f ca="1">IFERROR(__xludf.DUMMYFUNCTION("""COMPUTED_VALUE"""),468)</f>
        <v>468</v>
      </c>
      <c r="X276" s="3">
        <f ca="1">IFERROR(__xludf.DUMMYFUNCTION("""COMPUTED_VALUE"""),646)</f>
        <v>646</v>
      </c>
      <c r="Y276" s="3">
        <f ca="1">IFERROR(__xludf.DUMMYFUNCTION("""COMPUTED_VALUE"""),0.724)</f>
        <v>0.72399999999999998</v>
      </c>
      <c r="Z276" s="3">
        <f ca="1">IFERROR(__xludf.DUMMYFUNCTION("""COMPUTED_VALUE"""),311)</f>
        <v>311</v>
      </c>
      <c r="AA276" s="3">
        <f ca="1">IFERROR(__xludf.DUMMYFUNCTION("""COMPUTED_VALUE"""),1111)</f>
        <v>1111</v>
      </c>
      <c r="AB276" s="3">
        <f ca="1">IFERROR(__xludf.DUMMYFUNCTION("""COMPUTED_VALUE"""),393)</f>
        <v>393</v>
      </c>
      <c r="AC276" s="3">
        <f ca="1">IFERROR(__xludf.DUMMYFUNCTION("""COMPUTED_VALUE"""),159)</f>
        <v>159</v>
      </c>
      <c r="AD276" s="3">
        <f ca="1">IFERROR(__xludf.DUMMYFUNCTION("""COMPUTED_VALUE"""),62)</f>
        <v>62</v>
      </c>
      <c r="AE276" s="3">
        <f ca="1">IFERROR(__xludf.DUMMYFUNCTION("""COMPUTED_VALUE"""),415)</f>
        <v>415</v>
      </c>
      <c r="AF276" s="3">
        <f ca="1">IFERROR(__xludf.DUMMYFUNCTION("""COMPUTED_VALUE"""),524)</f>
        <v>524</v>
      </c>
    </row>
    <row r="277" spans="1:32" x14ac:dyDescent="0.25">
      <c r="A277" s="3" t="str">
        <f ca="1">IFERROR(__xludf.DUMMYFUNCTION("""COMPUTED_VALUE"""),"Radford")</f>
        <v>Radford</v>
      </c>
      <c r="B277" s="3">
        <f ca="1">IFERROR(__xludf.DUMMYFUNCTION("""COMPUTED_VALUE"""),33)</f>
        <v>33</v>
      </c>
      <c r="C277" s="3">
        <f ca="1">IFERROR(__xludf.DUMMYFUNCTION("""COMPUTED_VALUE"""),22)</f>
        <v>22</v>
      </c>
      <c r="D277" s="3">
        <f ca="1">IFERROR(__xludf.DUMMYFUNCTION("""COMPUTED_VALUE"""),11)</f>
        <v>11</v>
      </c>
      <c r="E277" s="3">
        <f ca="1">IFERROR(__xludf.DUMMYFUNCTION("""COMPUTED_VALUE"""),0.667)</f>
        <v>0.66700000000000004</v>
      </c>
      <c r="F277" s="3">
        <f ca="1">IFERROR(__xludf.DUMMYFUNCTION("""COMPUTED_VALUE"""),1.28)</f>
        <v>1.28</v>
      </c>
      <c r="G277" s="3">
        <f ca="1">IFERROR(__xludf.DUMMYFUNCTION("""COMPUTED_VALUE"""),-1.95)</f>
        <v>-1.95</v>
      </c>
      <c r="H277" s="3">
        <f ca="1">IFERROR(__xludf.DUMMYFUNCTION("""COMPUTED_VALUE"""),12)</f>
        <v>12</v>
      </c>
      <c r="I277" s="3">
        <f ca="1">IFERROR(__xludf.DUMMYFUNCTION("""COMPUTED_VALUE"""),4)</f>
        <v>4</v>
      </c>
      <c r="J277" s="3">
        <f ca="1">IFERROR(__xludf.DUMMYFUNCTION("""COMPUTED_VALUE"""),11)</f>
        <v>11</v>
      </c>
      <c r="K277" s="3">
        <f ca="1">IFERROR(__xludf.DUMMYFUNCTION("""COMPUTED_VALUE"""),3)</f>
        <v>3</v>
      </c>
      <c r="L277" s="3">
        <f ca="1">IFERROR(__xludf.DUMMYFUNCTION("""COMPUTED_VALUE"""),9)</f>
        <v>9</v>
      </c>
      <c r="M277" s="3">
        <f ca="1">IFERROR(__xludf.DUMMYFUNCTION("""COMPUTED_VALUE"""),7)</f>
        <v>7</v>
      </c>
      <c r="N277" s="3">
        <f ca="1">IFERROR(__xludf.DUMMYFUNCTION("""COMPUTED_VALUE"""),2440)</f>
        <v>2440</v>
      </c>
      <c r="O277" s="3">
        <f ca="1">IFERROR(__xludf.DUMMYFUNCTION("""COMPUTED_VALUE"""),2247)</f>
        <v>2247</v>
      </c>
      <c r="P277" s="3">
        <f ca="1">IFERROR(__xludf.DUMMYFUNCTION("""COMPUTED_VALUE"""),1330)</f>
        <v>1330</v>
      </c>
      <c r="Q277" s="3">
        <f ca="1">IFERROR(__xludf.DUMMYFUNCTION("""COMPUTED_VALUE"""),893)</f>
        <v>893</v>
      </c>
      <c r="R277" s="3">
        <f ca="1">IFERROR(__xludf.DUMMYFUNCTION("""COMPUTED_VALUE"""),1938)</f>
        <v>1938</v>
      </c>
      <c r="S277" s="3">
        <f ca="1">IFERROR(__xludf.DUMMYFUNCTION("""COMPUTED_VALUE"""),0.461)</f>
        <v>0.46100000000000002</v>
      </c>
      <c r="T277" s="3">
        <f ca="1">IFERROR(__xludf.DUMMYFUNCTION("""COMPUTED_VALUE"""),285)</f>
        <v>285</v>
      </c>
      <c r="U277" s="3">
        <f ca="1">IFERROR(__xludf.DUMMYFUNCTION("""COMPUTED_VALUE"""),751)</f>
        <v>751</v>
      </c>
      <c r="V277" s="3">
        <f ca="1">IFERROR(__xludf.DUMMYFUNCTION("""COMPUTED_VALUE"""),0.379)</f>
        <v>0.379</v>
      </c>
      <c r="W277" s="3">
        <f ca="1">IFERROR(__xludf.DUMMYFUNCTION("""COMPUTED_VALUE"""),369)</f>
        <v>369</v>
      </c>
      <c r="X277" s="3">
        <f ca="1">IFERROR(__xludf.DUMMYFUNCTION("""COMPUTED_VALUE"""),515)</f>
        <v>515</v>
      </c>
      <c r="Y277" s="3">
        <f ca="1">IFERROR(__xludf.DUMMYFUNCTION("""COMPUTED_VALUE"""),0.717)</f>
        <v>0.71699999999999997</v>
      </c>
      <c r="Z277" s="3">
        <f ca="1">IFERROR(__xludf.DUMMYFUNCTION("""COMPUTED_VALUE"""),335)</f>
        <v>335</v>
      </c>
      <c r="AA277" s="3">
        <f ca="1">IFERROR(__xludf.DUMMYFUNCTION("""COMPUTED_VALUE"""),1170)</f>
        <v>1170</v>
      </c>
      <c r="AB277" s="3">
        <f ca="1">IFERROR(__xludf.DUMMYFUNCTION("""COMPUTED_VALUE"""),467)</f>
        <v>467</v>
      </c>
      <c r="AC277" s="3">
        <f ca="1">IFERROR(__xludf.DUMMYFUNCTION("""COMPUTED_VALUE"""),196)</f>
        <v>196</v>
      </c>
      <c r="AD277" s="3">
        <f ca="1">IFERROR(__xludf.DUMMYFUNCTION("""COMPUTED_VALUE"""),101)</f>
        <v>101</v>
      </c>
      <c r="AE277" s="3">
        <f ca="1">IFERROR(__xludf.DUMMYFUNCTION("""COMPUTED_VALUE"""),358)</f>
        <v>358</v>
      </c>
      <c r="AF277" s="3">
        <f ca="1">IFERROR(__xludf.DUMMYFUNCTION("""COMPUTED_VALUE"""),528)</f>
        <v>528</v>
      </c>
    </row>
    <row r="278" spans="1:32" x14ac:dyDescent="0.25">
      <c r="A278" s="3" t="str">
        <f ca="1">IFERROR(__xludf.DUMMYFUNCTION("""COMPUTED_VALUE"""),"Rhode Island")</f>
        <v>Rhode Island</v>
      </c>
      <c r="B278" s="3">
        <f ca="1">IFERROR(__xludf.DUMMYFUNCTION("""COMPUTED_VALUE"""),33)</f>
        <v>33</v>
      </c>
      <c r="C278" s="3">
        <f ca="1">IFERROR(__xludf.DUMMYFUNCTION("""COMPUTED_VALUE"""),18)</f>
        <v>18</v>
      </c>
      <c r="D278" s="3">
        <f ca="1">IFERROR(__xludf.DUMMYFUNCTION("""COMPUTED_VALUE"""),15)</f>
        <v>15</v>
      </c>
      <c r="E278" s="3">
        <f ca="1">IFERROR(__xludf.DUMMYFUNCTION("""COMPUTED_VALUE"""),0.545)</f>
        <v>0.54500000000000004</v>
      </c>
      <c r="F278" s="3">
        <f ca="1">IFERROR(__xludf.DUMMYFUNCTION("""COMPUTED_VALUE"""),2.83)</f>
        <v>2.83</v>
      </c>
      <c r="G278" s="3">
        <f ca="1">IFERROR(__xludf.DUMMYFUNCTION("""COMPUTED_VALUE"""),1.19)</f>
        <v>1.19</v>
      </c>
      <c r="H278" s="3">
        <f ca="1">IFERROR(__xludf.DUMMYFUNCTION("""COMPUTED_VALUE"""),9)</f>
        <v>9</v>
      </c>
      <c r="I278" s="3">
        <f ca="1">IFERROR(__xludf.DUMMYFUNCTION("""COMPUTED_VALUE"""),9)</f>
        <v>9</v>
      </c>
      <c r="J278" s="3">
        <f ca="1">IFERROR(__xludf.DUMMYFUNCTION("""COMPUTED_VALUE"""),9)</f>
        <v>9</v>
      </c>
      <c r="K278" s="3">
        <f ca="1">IFERROR(__xludf.DUMMYFUNCTION("""COMPUTED_VALUE"""),5)</f>
        <v>5</v>
      </c>
      <c r="L278" s="3">
        <f ca="1">IFERROR(__xludf.DUMMYFUNCTION("""COMPUTED_VALUE"""),5)</f>
        <v>5</v>
      </c>
      <c r="M278" s="3">
        <f ca="1">IFERROR(__xludf.DUMMYFUNCTION("""COMPUTED_VALUE"""),7)</f>
        <v>7</v>
      </c>
      <c r="N278" s="3">
        <f ca="1">IFERROR(__xludf.DUMMYFUNCTION("""COMPUTED_VALUE"""),2293)</f>
        <v>2293</v>
      </c>
      <c r="O278" s="3">
        <f ca="1">IFERROR(__xludf.DUMMYFUNCTION("""COMPUTED_VALUE"""),2239)</f>
        <v>2239</v>
      </c>
      <c r="P278" s="3">
        <f ca="1">IFERROR(__xludf.DUMMYFUNCTION("""COMPUTED_VALUE"""),1335)</f>
        <v>1335</v>
      </c>
      <c r="Q278" s="3">
        <f ca="1">IFERROR(__xludf.DUMMYFUNCTION("""COMPUTED_VALUE"""),821)</f>
        <v>821</v>
      </c>
      <c r="R278" s="3">
        <f ca="1">IFERROR(__xludf.DUMMYFUNCTION("""COMPUTED_VALUE"""),1914)</f>
        <v>1914</v>
      </c>
      <c r="S278" s="3">
        <f ca="1">IFERROR(__xludf.DUMMYFUNCTION("""COMPUTED_VALUE"""),0.429)</f>
        <v>0.42899999999999999</v>
      </c>
      <c r="T278" s="3">
        <f ca="1">IFERROR(__xludf.DUMMYFUNCTION("""COMPUTED_VALUE"""),172)</f>
        <v>172</v>
      </c>
      <c r="U278" s="3">
        <f ca="1">IFERROR(__xludf.DUMMYFUNCTION("""COMPUTED_VALUE"""),615)</f>
        <v>615</v>
      </c>
      <c r="V278" s="3">
        <f ca="1">IFERROR(__xludf.DUMMYFUNCTION("""COMPUTED_VALUE"""),0.28)</f>
        <v>0.28000000000000003</v>
      </c>
      <c r="W278" s="3">
        <f ca="1">IFERROR(__xludf.DUMMYFUNCTION("""COMPUTED_VALUE"""),479)</f>
        <v>479</v>
      </c>
      <c r="X278" s="3">
        <f ca="1">IFERROR(__xludf.DUMMYFUNCTION("""COMPUTED_VALUE"""),704)</f>
        <v>704</v>
      </c>
      <c r="Y278" s="3">
        <f ca="1">IFERROR(__xludf.DUMMYFUNCTION("""COMPUTED_VALUE"""),0.68)</f>
        <v>0.68</v>
      </c>
      <c r="Z278" s="3">
        <f ca="1">IFERROR(__xludf.DUMMYFUNCTION("""COMPUTED_VALUE"""),375)</f>
        <v>375</v>
      </c>
      <c r="AA278" s="3">
        <f ca="1">IFERROR(__xludf.DUMMYFUNCTION("""COMPUTED_VALUE"""),1194)</f>
        <v>1194</v>
      </c>
      <c r="AB278" s="3">
        <f ca="1">IFERROR(__xludf.DUMMYFUNCTION("""COMPUTED_VALUE"""),401)</f>
        <v>401</v>
      </c>
      <c r="AC278" s="3">
        <f ca="1">IFERROR(__xludf.DUMMYFUNCTION("""COMPUTED_VALUE"""),235)</f>
        <v>235</v>
      </c>
      <c r="AD278" s="3">
        <f ca="1">IFERROR(__xludf.DUMMYFUNCTION("""COMPUTED_VALUE"""),129)</f>
        <v>129</v>
      </c>
      <c r="AE278" s="3">
        <f ca="1">IFERROR(__xludf.DUMMYFUNCTION("""COMPUTED_VALUE"""),405)</f>
        <v>405</v>
      </c>
      <c r="AF278" s="3">
        <f ca="1">IFERROR(__xludf.DUMMYFUNCTION("""COMPUTED_VALUE"""),582)</f>
        <v>582</v>
      </c>
    </row>
    <row r="279" spans="1:32" x14ac:dyDescent="0.25">
      <c r="A279" s="3" t="str">
        <f ca="1">IFERROR(__xludf.DUMMYFUNCTION("""COMPUTED_VALUE"""),"Rice")</f>
        <v>Rice</v>
      </c>
      <c r="B279" s="3">
        <f ca="1">IFERROR(__xludf.DUMMYFUNCTION("""COMPUTED_VALUE"""),32)</f>
        <v>32</v>
      </c>
      <c r="C279" s="3">
        <f ca="1">IFERROR(__xludf.DUMMYFUNCTION("""COMPUTED_VALUE"""),13)</f>
        <v>13</v>
      </c>
      <c r="D279" s="3">
        <f ca="1">IFERROR(__xludf.DUMMYFUNCTION("""COMPUTED_VALUE"""),19)</f>
        <v>19</v>
      </c>
      <c r="E279" s="3">
        <f ca="1">IFERROR(__xludf.DUMMYFUNCTION("""COMPUTED_VALUE"""),0.406)</f>
        <v>0.40600000000000003</v>
      </c>
      <c r="F279" s="3">
        <f ca="1">IFERROR(__xludf.DUMMYFUNCTION("""COMPUTED_VALUE"""),-6.56)</f>
        <v>-6.56</v>
      </c>
      <c r="G279" s="3">
        <f ca="1">IFERROR(__xludf.DUMMYFUNCTION("""COMPUTED_VALUE"""),-2.06)</f>
        <v>-2.06</v>
      </c>
      <c r="H279" s="3">
        <f ca="1">IFERROR(__xludf.DUMMYFUNCTION("""COMPUTED_VALUE"""),8)</f>
        <v>8</v>
      </c>
      <c r="I279" s="3">
        <f ca="1">IFERROR(__xludf.DUMMYFUNCTION("""COMPUTED_VALUE"""),10)</f>
        <v>10</v>
      </c>
      <c r="J279" s="3">
        <f ca="1">IFERROR(__xludf.DUMMYFUNCTION("""COMPUTED_VALUE"""),9)</f>
        <v>9</v>
      </c>
      <c r="K279" s="3">
        <f ca="1">IFERROR(__xludf.DUMMYFUNCTION("""COMPUTED_VALUE"""),7)</f>
        <v>7</v>
      </c>
      <c r="L279" s="3">
        <f ca="1">IFERROR(__xludf.DUMMYFUNCTION("""COMPUTED_VALUE"""),4)</f>
        <v>4</v>
      </c>
      <c r="M279" s="3">
        <f ca="1">IFERROR(__xludf.DUMMYFUNCTION("""COMPUTED_VALUE"""),11)</f>
        <v>11</v>
      </c>
      <c r="N279" s="3">
        <f ca="1">IFERROR(__xludf.DUMMYFUNCTION("""COMPUTED_VALUE"""),2367)</f>
        <v>2367</v>
      </c>
      <c r="O279" s="3">
        <f ca="1">IFERROR(__xludf.DUMMYFUNCTION("""COMPUTED_VALUE"""),2481)</f>
        <v>2481</v>
      </c>
      <c r="P279" s="3">
        <f ca="1">IFERROR(__xludf.DUMMYFUNCTION("""COMPUTED_VALUE"""),1305)</f>
        <v>1305</v>
      </c>
      <c r="Q279" s="3">
        <f ca="1">IFERROR(__xludf.DUMMYFUNCTION("""COMPUTED_VALUE"""),795)</f>
        <v>795</v>
      </c>
      <c r="R279" s="3">
        <f ca="1">IFERROR(__xludf.DUMMYFUNCTION("""COMPUTED_VALUE"""),1867)</f>
        <v>1867</v>
      </c>
      <c r="S279" s="3">
        <f ca="1">IFERROR(__xludf.DUMMYFUNCTION("""COMPUTED_VALUE"""),0.426)</f>
        <v>0.42599999999999999</v>
      </c>
      <c r="T279" s="3">
        <f ca="1">IFERROR(__xludf.DUMMYFUNCTION("""COMPUTED_VALUE"""),277)</f>
        <v>277</v>
      </c>
      <c r="U279" s="3">
        <f ca="1">IFERROR(__xludf.DUMMYFUNCTION("""COMPUTED_VALUE"""),797)</f>
        <v>797</v>
      </c>
      <c r="V279" s="3">
        <f ca="1">IFERROR(__xludf.DUMMYFUNCTION("""COMPUTED_VALUE"""),0.348)</f>
        <v>0.34799999999999998</v>
      </c>
      <c r="W279" s="3">
        <f ca="1">IFERROR(__xludf.DUMMYFUNCTION("""COMPUTED_VALUE"""),500)</f>
        <v>500</v>
      </c>
      <c r="X279" s="3">
        <f ca="1">IFERROR(__xludf.DUMMYFUNCTION("""COMPUTED_VALUE"""),729)</f>
        <v>729</v>
      </c>
      <c r="Y279" s="3">
        <f ca="1">IFERROR(__xludf.DUMMYFUNCTION("""COMPUTED_VALUE"""),0.686)</f>
        <v>0.68600000000000005</v>
      </c>
      <c r="Z279" s="3">
        <f ca="1">IFERROR(__xludf.DUMMYFUNCTION("""COMPUTED_VALUE"""),316)</f>
        <v>316</v>
      </c>
      <c r="AA279" s="3">
        <f ca="1">IFERROR(__xludf.DUMMYFUNCTION("""COMPUTED_VALUE"""),1221)</f>
        <v>1221</v>
      </c>
      <c r="AB279" s="3">
        <f ca="1">IFERROR(__xludf.DUMMYFUNCTION("""COMPUTED_VALUE"""),425)</f>
        <v>425</v>
      </c>
      <c r="AC279" s="3">
        <f ca="1">IFERROR(__xludf.DUMMYFUNCTION("""COMPUTED_VALUE"""),171)</f>
        <v>171</v>
      </c>
      <c r="AD279" s="3">
        <f ca="1">IFERROR(__xludf.DUMMYFUNCTION("""COMPUTED_VALUE"""),104)</f>
        <v>104</v>
      </c>
      <c r="AE279" s="3">
        <f ca="1">IFERROR(__xludf.DUMMYFUNCTION("""COMPUTED_VALUE"""),438)</f>
        <v>438</v>
      </c>
      <c r="AF279" s="3">
        <f ca="1">IFERROR(__xludf.DUMMYFUNCTION("""COMPUTED_VALUE"""),568)</f>
        <v>568</v>
      </c>
    </row>
    <row r="280" spans="1:32" x14ac:dyDescent="0.25">
      <c r="A280" s="3" t="str">
        <f ca="1">IFERROR(__xludf.DUMMYFUNCTION("""COMPUTED_VALUE"""),"Richmond")</f>
        <v>Richmond</v>
      </c>
      <c r="B280" s="3">
        <f ca="1">IFERROR(__xludf.DUMMYFUNCTION("""COMPUTED_VALUE"""),33)</f>
        <v>33</v>
      </c>
      <c r="C280" s="3">
        <f ca="1">IFERROR(__xludf.DUMMYFUNCTION("""COMPUTED_VALUE"""),13)</f>
        <v>13</v>
      </c>
      <c r="D280" s="3">
        <f ca="1">IFERROR(__xludf.DUMMYFUNCTION("""COMPUTED_VALUE"""),20)</f>
        <v>20</v>
      </c>
      <c r="E280" s="3">
        <f ca="1">IFERROR(__xludf.DUMMYFUNCTION("""COMPUTED_VALUE"""),0.394)</f>
        <v>0.39400000000000002</v>
      </c>
      <c r="F280" s="3">
        <f ca="1">IFERROR(__xludf.DUMMYFUNCTION("""COMPUTED_VALUE"""),-1.37)</f>
        <v>-1.37</v>
      </c>
      <c r="G280" s="3">
        <f ca="1">IFERROR(__xludf.DUMMYFUNCTION("""COMPUTED_VALUE"""),-0.79)</f>
        <v>-0.79</v>
      </c>
      <c r="H280" s="3">
        <f ca="1">IFERROR(__xludf.DUMMYFUNCTION("""COMPUTED_VALUE"""),6)</f>
        <v>6</v>
      </c>
      <c r="I280" s="3">
        <f ca="1">IFERROR(__xludf.DUMMYFUNCTION("""COMPUTED_VALUE"""),12)</f>
        <v>12</v>
      </c>
      <c r="J280" s="3">
        <f ca="1">IFERROR(__xludf.DUMMYFUNCTION("""COMPUTED_VALUE"""),7)</f>
        <v>7</v>
      </c>
      <c r="K280" s="3">
        <f ca="1">IFERROR(__xludf.DUMMYFUNCTION("""COMPUTED_VALUE"""),10)</f>
        <v>10</v>
      </c>
      <c r="L280" s="3">
        <f ca="1">IFERROR(__xludf.DUMMYFUNCTION("""COMPUTED_VALUE"""),4)</f>
        <v>4</v>
      </c>
      <c r="M280" s="3">
        <f ca="1">IFERROR(__xludf.DUMMYFUNCTION("""COMPUTED_VALUE"""),7)</f>
        <v>7</v>
      </c>
      <c r="N280" s="3">
        <f ca="1">IFERROR(__xludf.DUMMYFUNCTION("""COMPUTED_VALUE"""),2314)</f>
        <v>2314</v>
      </c>
      <c r="O280" s="3">
        <f ca="1">IFERROR(__xludf.DUMMYFUNCTION("""COMPUTED_VALUE"""),2333)</f>
        <v>2333</v>
      </c>
      <c r="P280" s="3">
        <f ca="1">IFERROR(__xludf.DUMMYFUNCTION("""COMPUTED_VALUE"""),1320)</f>
        <v>1320</v>
      </c>
      <c r="Q280" s="3">
        <f ca="1">IFERROR(__xludf.DUMMYFUNCTION("""COMPUTED_VALUE"""),849)</f>
        <v>849</v>
      </c>
      <c r="R280" s="3">
        <f ca="1">IFERROR(__xludf.DUMMYFUNCTION("""COMPUTED_VALUE"""),1800)</f>
        <v>1800</v>
      </c>
      <c r="S280" s="3">
        <f ca="1">IFERROR(__xludf.DUMMYFUNCTION("""COMPUTED_VALUE"""),0.472)</f>
        <v>0.47199999999999998</v>
      </c>
      <c r="T280" s="3">
        <f ca="1">IFERROR(__xludf.DUMMYFUNCTION("""COMPUTED_VALUE"""),251)</f>
        <v>251</v>
      </c>
      <c r="U280" s="3">
        <f ca="1">IFERROR(__xludf.DUMMYFUNCTION("""COMPUTED_VALUE"""),723)</f>
        <v>723</v>
      </c>
      <c r="V280" s="3">
        <f ca="1">IFERROR(__xludf.DUMMYFUNCTION("""COMPUTED_VALUE"""),0.347)</f>
        <v>0.34699999999999998</v>
      </c>
      <c r="W280" s="3">
        <f ca="1">IFERROR(__xludf.DUMMYFUNCTION("""COMPUTED_VALUE"""),365)</f>
        <v>365</v>
      </c>
      <c r="X280" s="3">
        <f ca="1">IFERROR(__xludf.DUMMYFUNCTION("""COMPUTED_VALUE"""),552)</f>
        <v>552</v>
      </c>
      <c r="Y280" s="3">
        <f ca="1">IFERROR(__xludf.DUMMYFUNCTION("""COMPUTED_VALUE"""),0.661)</f>
        <v>0.66100000000000003</v>
      </c>
      <c r="Z280" s="3">
        <f ca="1">IFERROR(__xludf.DUMMYFUNCTION("""COMPUTED_VALUE"""),196)</f>
        <v>196</v>
      </c>
      <c r="AA280" s="3">
        <f ca="1">IFERROR(__xludf.DUMMYFUNCTION("""COMPUTED_VALUE"""),957)</f>
        <v>957</v>
      </c>
      <c r="AB280" s="3">
        <f ca="1">IFERROR(__xludf.DUMMYFUNCTION("""COMPUTED_VALUE"""),519)</f>
        <v>519</v>
      </c>
      <c r="AC280" s="3">
        <f ca="1">IFERROR(__xludf.DUMMYFUNCTION("""COMPUTED_VALUE"""),249)</f>
        <v>249</v>
      </c>
      <c r="AD280" s="3">
        <f ca="1">IFERROR(__xludf.DUMMYFUNCTION("""COMPUTED_VALUE"""),101)</f>
        <v>101</v>
      </c>
      <c r="AE280" s="3">
        <f ca="1">IFERROR(__xludf.DUMMYFUNCTION("""COMPUTED_VALUE"""),336)</f>
        <v>336</v>
      </c>
      <c r="AF280" s="3">
        <f ca="1">IFERROR(__xludf.DUMMYFUNCTION("""COMPUTED_VALUE"""),488)</f>
        <v>488</v>
      </c>
    </row>
    <row r="281" spans="1:32" x14ac:dyDescent="0.25">
      <c r="A281" s="3" t="str">
        <f ca="1">IFERROR(__xludf.DUMMYFUNCTION("""COMPUTED_VALUE"""),"Rider")</f>
        <v>Rider</v>
      </c>
      <c r="B281" s="3">
        <f ca="1">IFERROR(__xludf.DUMMYFUNCTION("""COMPUTED_VALUE"""),31)</f>
        <v>31</v>
      </c>
      <c r="C281" s="3">
        <f ca="1">IFERROR(__xludf.DUMMYFUNCTION("""COMPUTED_VALUE"""),16)</f>
        <v>16</v>
      </c>
      <c r="D281" s="3">
        <f ca="1">IFERROR(__xludf.DUMMYFUNCTION("""COMPUTED_VALUE"""),15)</f>
        <v>15</v>
      </c>
      <c r="E281" s="3">
        <f ca="1">IFERROR(__xludf.DUMMYFUNCTION("""COMPUTED_VALUE"""),0.516)</f>
        <v>0.51600000000000001</v>
      </c>
      <c r="F281" s="3">
        <f ca="1">IFERROR(__xludf.DUMMYFUNCTION("""COMPUTED_VALUE"""),-4.96)</f>
        <v>-4.96</v>
      </c>
      <c r="G281" s="3">
        <f ca="1">IFERROR(__xludf.DUMMYFUNCTION("""COMPUTED_VALUE"""),-6.51)</f>
        <v>-6.51</v>
      </c>
      <c r="H281" s="3">
        <f ca="1">IFERROR(__xludf.DUMMYFUNCTION("""COMPUTED_VALUE"""),11)</f>
        <v>11</v>
      </c>
      <c r="I281" s="3">
        <f ca="1">IFERROR(__xludf.DUMMYFUNCTION("""COMPUTED_VALUE"""),7)</f>
        <v>7</v>
      </c>
      <c r="J281" s="3">
        <f ca="1">IFERROR(__xludf.DUMMYFUNCTION("""COMPUTED_VALUE"""),9)</f>
        <v>9</v>
      </c>
      <c r="K281" s="3">
        <f ca="1">IFERROR(__xludf.DUMMYFUNCTION("""COMPUTED_VALUE"""),3)</f>
        <v>3</v>
      </c>
      <c r="L281" s="3">
        <f ca="1">IFERROR(__xludf.DUMMYFUNCTION("""COMPUTED_VALUE"""),6)</f>
        <v>6</v>
      </c>
      <c r="M281" s="3">
        <f ca="1">IFERROR(__xludf.DUMMYFUNCTION("""COMPUTED_VALUE"""),10)</f>
        <v>10</v>
      </c>
      <c r="N281" s="3">
        <f ca="1">IFERROR(__xludf.DUMMYFUNCTION("""COMPUTED_VALUE"""),2381)</f>
        <v>2381</v>
      </c>
      <c r="O281" s="3">
        <f ca="1">IFERROR(__xludf.DUMMYFUNCTION("""COMPUTED_VALUE"""),2333)</f>
        <v>2333</v>
      </c>
      <c r="P281" s="3">
        <f ca="1">IFERROR(__xludf.DUMMYFUNCTION("""COMPUTED_VALUE"""),1245)</f>
        <v>1245</v>
      </c>
      <c r="Q281" s="3">
        <f ca="1">IFERROR(__xludf.DUMMYFUNCTION("""COMPUTED_VALUE"""),847)</f>
        <v>847</v>
      </c>
      <c r="R281" s="3">
        <f ca="1">IFERROR(__xludf.DUMMYFUNCTION("""COMPUTED_VALUE"""),1893)</f>
        <v>1893</v>
      </c>
      <c r="S281" s="3">
        <f ca="1">IFERROR(__xludf.DUMMYFUNCTION("""COMPUTED_VALUE"""),0.447)</f>
        <v>0.44700000000000001</v>
      </c>
      <c r="T281" s="3">
        <f ca="1">IFERROR(__xludf.DUMMYFUNCTION("""COMPUTED_VALUE"""),222)</f>
        <v>222</v>
      </c>
      <c r="U281" s="3">
        <f ca="1">IFERROR(__xludf.DUMMYFUNCTION("""COMPUTED_VALUE"""),651)</f>
        <v>651</v>
      </c>
      <c r="V281" s="3">
        <f ca="1">IFERROR(__xludf.DUMMYFUNCTION("""COMPUTED_VALUE"""),0.341)</f>
        <v>0.34100000000000003</v>
      </c>
      <c r="W281" s="3">
        <f ca="1">IFERROR(__xludf.DUMMYFUNCTION("""COMPUTED_VALUE"""),465)</f>
        <v>465</v>
      </c>
      <c r="X281" s="3">
        <f ca="1">IFERROR(__xludf.DUMMYFUNCTION("""COMPUTED_VALUE"""),755)</f>
        <v>755</v>
      </c>
      <c r="Y281" s="3">
        <f ca="1">IFERROR(__xludf.DUMMYFUNCTION("""COMPUTED_VALUE"""),0.616)</f>
        <v>0.61599999999999999</v>
      </c>
      <c r="Z281" s="3">
        <f ca="1">IFERROR(__xludf.DUMMYFUNCTION("""COMPUTED_VALUE"""),363)</f>
        <v>363</v>
      </c>
      <c r="AA281" s="3">
        <f ca="1">IFERROR(__xludf.DUMMYFUNCTION("""COMPUTED_VALUE"""),1144)</f>
        <v>1144</v>
      </c>
      <c r="AB281" s="3">
        <f ca="1">IFERROR(__xludf.DUMMYFUNCTION("""COMPUTED_VALUE"""),450)</f>
        <v>450</v>
      </c>
      <c r="AC281" s="3">
        <f ca="1">IFERROR(__xludf.DUMMYFUNCTION("""COMPUTED_VALUE"""),282)</f>
        <v>282</v>
      </c>
      <c r="AD281" s="3">
        <f ca="1">IFERROR(__xludf.DUMMYFUNCTION("""COMPUTED_VALUE"""),101)</f>
        <v>101</v>
      </c>
      <c r="AE281" s="3">
        <f ca="1">IFERROR(__xludf.DUMMYFUNCTION("""COMPUTED_VALUE"""),415)</f>
        <v>415</v>
      </c>
      <c r="AF281" s="3">
        <f ca="1">IFERROR(__xludf.DUMMYFUNCTION("""COMPUTED_VALUE"""),591)</f>
        <v>591</v>
      </c>
    </row>
    <row r="282" spans="1:32" x14ac:dyDescent="0.25">
      <c r="A282" s="3" t="str">
        <f ca="1">IFERROR(__xludf.DUMMYFUNCTION("""COMPUTED_VALUE"""),"Robert Morris")</f>
        <v>Robert Morris</v>
      </c>
      <c r="B282" s="3">
        <f ca="1">IFERROR(__xludf.DUMMYFUNCTION("""COMPUTED_VALUE"""),35)</f>
        <v>35</v>
      </c>
      <c r="C282" s="3">
        <f ca="1">IFERROR(__xludf.DUMMYFUNCTION("""COMPUTED_VALUE"""),18)</f>
        <v>18</v>
      </c>
      <c r="D282" s="3">
        <f ca="1">IFERROR(__xludf.DUMMYFUNCTION("""COMPUTED_VALUE"""),17)</f>
        <v>17</v>
      </c>
      <c r="E282" s="3">
        <f ca="1">IFERROR(__xludf.DUMMYFUNCTION("""COMPUTED_VALUE"""),0.514)</f>
        <v>0.51400000000000001</v>
      </c>
      <c r="F282" s="3">
        <f ca="1">IFERROR(__xludf.DUMMYFUNCTION("""COMPUTED_VALUE"""),-9.41)</f>
        <v>-9.41</v>
      </c>
      <c r="G282" s="3">
        <f ca="1">IFERROR(__xludf.DUMMYFUNCTION("""COMPUTED_VALUE"""),-7.62)</f>
        <v>-7.62</v>
      </c>
      <c r="H282" s="3">
        <f ca="1">IFERROR(__xludf.DUMMYFUNCTION("""COMPUTED_VALUE"""),11)</f>
        <v>11</v>
      </c>
      <c r="I282" s="3">
        <f ca="1">IFERROR(__xludf.DUMMYFUNCTION("""COMPUTED_VALUE"""),7)</f>
        <v>7</v>
      </c>
      <c r="J282" s="3">
        <f ca="1">IFERROR(__xludf.DUMMYFUNCTION("""COMPUTED_VALUE"""),13)</f>
        <v>13</v>
      </c>
      <c r="K282" s="3">
        <f ca="1">IFERROR(__xludf.DUMMYFUNCTION("""COMPUTED_VALUE"""),4)</f>
        <v>4</v>
      </c>
      <c r="L282" s="3">
        <f ca="1">IFERROR(__xludf.DUMMYFUNCTION("""COMPUTED_VALUE"""),5)</f>
        <v>5</v>
      </c>
      <c r="M282" s="3">
        <f ca="1">IFERROR(__xludf.DUMMYFUNCTION("""COMPUTED_VALUE"""),13)</f>
        <v>13</v>
      </c>
      <c r="N282" s="3">
        <f ca="1">IFERROR(__xludf.DUMMYFUNCTION("""COMPUTED_VALUE"""),2448)</f>
        <v>2448</v>
      </c>
      <c r="O282" s="3">
        <f ca="1">IFERROR(__xludf.DUMMYFUNCTION("""COMPUTED_VALUE"""),2403)</f>
        <v>2403</v>
      </c>
      <c r="P282" s="3">
        <f ca="1">IFERROR(__xludf.DUMMYFUNCTION("""COMPUTED_VALUE"""),1420)</f>
        <v>1420</v>
      </c>
      <c r="Q282" s="3">
        <f ca="1">IFERROR(__xludf.DUMMYFUNCTION("""COMPUTED_VALUE"""),861)</f>
        <v>861</v>
      </c>
      <c r="R282" s="3">
        <f ca="1">IFERROR(__xludf.DUMMYFUNCTION("""COMPUTED_VALUE"""),1991)</f>
        <v>1991</v>
      </c>
      <c r="S282" s="3">
        <f ca="1">IFERROR(__xludf.DUMMYFUNCTION("""COMPUTED_VALUE"""),0.432)</f>
        <v>0.432</v>
      </c>
      <c r="T282" s="3">
        <f ca="1">IFERROR(__xludf.DUMMYFUNCTION("""COMPUTED_VALUE"""),280)</f>
        <v>280</v>
      </c>
      <c r="U282" s="3">
        <f ca="1">IFERROR(__xludf.DUMMYFUNCTION("""COMPUTED_VALUE"""),789)</f>
        <v>789</v>
      </c>
      <c r="V282" s="3">
        <f ca="1">IFERROR(__xludf.DUMMYFUNCTION("""COMPUTED_VALUE"""),0.355)</f>
        <v>0.35499999999999998</v>
      </c>
      <c r="W282" s="3">
        <f ca="1">IFERROR(__xludf.DUMMYFUNCTION("""COMPUTED_VALUE"""),446)</f>
        <v>446</v>
      </c>
      <c r="X282" s="3">
        <f ca="1">IFERROR(__xludf.DUMMYFUNCTION("""COMPUTED_VALUE"""),638)</f>
        <v>638</v>
      </c>
      <c r="Y282" s="3">
        <f ca="1">IFERROR(__xludf.DUMMYFUNCTION("""COMPUTED_VALUE"""),0.699)</f>
        <v>0.69899999999999995</v>
      </c>
      <c r="Z282" s="3">
        <f ca="1">IFERROR(__xludf.DUMMYFUNCTION("""COMPUTED_VALUE"""),373)</f>
        <v>373</v>
      </c>
      <c r="AA282" s="3">
        <f ca="1">IFERROR(__xludf.DUMMYFUNCTION("""COMPUTED_VALUE"""),1178)</f>
        <v>1178</v>
      </c>
      <c r="AB282" s="3">
        <f ca="1">IFERROR(__xludf.DUMMYFUNCTION("""COMPUTED_VALUE"""),487)</f>
        <v>487</v>
      </c>
      <c r="AC282" s="3">
        <f ca="1">IFERROR(__xludf.DUMMYFUNCTION("""COMPUTED_VALUE"""),257)</f>
        <v>257</v>
      </c>
      <c r="AD282" s="3">
        <f ca="1">IFERROR(__xludf.DUMMYFUNCTION("""COMPUTED_VALUE"""),92)</f>
        <v>92</v>
      </c>
      <c r="AE282" s="3">
        <f ca="1">IFERROR(__xludf.DUMMYFUNCTION("""COMPUTED_VALUE"""),507)</f>
        <v>507</v>
      </c>
      <c r="AF282" s="3">
        <f ca="1">IFERROR(__xludf.DUMMYFUNCTION("""COMPUTED_VALUE"""),683)</f>
        <v>683</v>
      </c>
    </row>
    <row r="283" spans="1:32" x14ac:dyDescent="0.25">
      <c r="A283" s="3" t="str">
        <f ca="1">IFERROR(__xludf.DUMMYFUNCTION("""COMPUTED_VALUE"""),"Rutgers")</f>
        <v>Rutgers</v>
      </c>
      <c r="B283" s="3">
        <f ca="1">IFERROR(__xludf.DUMMYFUNCTION("""COMPUTED_VALUE"""),31)</f>
        <v>31</v>
      </c>
      <c r="C283" s="3">
        <f ca="1">IFERROR(__xludf.DUMMYFUNCTION("""COMPUTED_VALUE"""),14)</f>
        <v>14</v>
      </c>
      <c r="D283" s="3">
        <f ca="1">IFERROR(__xludf.DUMMYFUNCTION("""COMPUTED_VALUE"""),17)</f>
        <v>17</v>
      </c>
      <c r="E283" s="3">
        <f ca="1">IFERROR(__xludf.DUMMYFUNCTION("""COMPUTED_VALUE"""),0.452)</f>
        <v>0.45200000000000001</v>
      </c>
      <c r="F283" s="3">
        <f ca="1">IFERROR(__xludf.DUMMYFUNCTION("""COMPUTED_VALUE"""),8.89)</f>
        <v>8.89</v>
      </c>
      <c r="G283" s="3">
        <f ca="1">IFERROR(__xludf.DUMMYFUNCTION("""COMPUTED_VALUE"""),9.76)</f>
        <v>9.76</v>
      </c>
      <c r="H283" s="3">
        <f ca="1">IFERROR(__xludf.DUMMYFUNCTION("""COMPUTED_VALUE"""),7)</f>
        <v>7</v>
      </c>
      <c r="I283" s="3">
        <f ca="1">IFERROR(__xludf.DUMMYFUNCTION("""COMPUTED_VALUE"""),13)</f>
        <v>13</v>
      </c>
      <c r="J283" s="3">
        <f ca="1">IFERROR(__xludf.DUMMYFUNCTION("""COMPUTED_VALUE"""),10)</f>
        <v>10</v>
      </c>
      <c r="K283" s="3">
        <f ca="1">IFERROR(__xludf.DUMMYFUNCTION("""COMPUTED_VALUE"""),7)</f>
        <v>7</v>
      </c>
      <c r="L283" s="3">
        <f ca="1">IFERROR(__xludf.DUMMYFUNCTION("""COMPUTED_VALUE"""),4)</f>
        <v>4</v>
      </c>
      <c r="M283" s="3">
        <f ca="1">IFERROR(__xludf.DUMMYFUNCTION("""COMPUTED_VALUE"""),9)</f>
        <v>9</v>
      </c>
      <c r="N283" s="3">
        <f ca="1">IFERROR(__xludf.DUMMYFUNCTION("""COMPUTED_VALUE"""),2105)</f>
        <v>2105</v>
      </c>
      <c r="O283" s="3">
        <f ca="1">IFERROR(__xludf.DUMMYFUNCTION("""COMPUTED_VALUE"""),2132)</f>
        <v>2132</v>
      </c>
      <c r="P283" s="3">
        <f ca="1">IFERROR(__xludf.DUMMYFUNCTION("""COMPUTED_VALUE"""),1250)</f>
        <v>1250</v>
      </c>
      <c r="Q283" s="3">
        <f ca="1">IFERROR(__xludf.DUMMYFUNCTION("""COMPUTED_VALUE"""),771)</f>
        <v>771</v>
      </c>
      <c r="R283" s="3">
        <f ca="1">IFERROR(__xludf.DUMMYFUNCTION("""COMPUTED_VALUE"""),1842)</f>
        <v>1842</v>
      </c>
      <c r="S283" s="3">
        <f ca="1">IFERROR(__xludf.DUMMYFUNCTION("""COMPUTED_VALUE"""),0.419)</f>
        <v>0.41899999999999998</v>
      </c>
      <c r="T283" s="3">
        <f ca="1">IFERROR(__xludf.DUMMYFUNCTION("""COMPUTED_VALUE"""),191)</f>
        <v>191</v>
      </c>
      <c r="U283" s="3">
        <f ca="1">IFERROR(__xludf.DUMMYFUNCTION("""COMPUTED_VALUE"""),612)</f>
        <v>612</v>
      </c>
      <c r="V283" s="3">
        <f ca="1">IFERROR(__xludf.DUMMYFUNCTION("""COMPUTED_VALUE"""),0.312)</f>
        <v>0.312</v>
      </c>
      <c r="W283" s="3">
        <f ca="1">IFERROR(__xludf.DUMMYFUNCTION("""COMPUTED_VALUE"""),372)</f>
        <v>372</v>
      </c>
      <c r="X283" s="3">
        <f ca="1">IFERROR(__xludf.DUMMYFUNCTION("""COMPUTED_VALUE"""),584)</f>
        <v>584</v>
      </c>
      <c r="Y283" s="3">
        <f ca="1">IFERROR(__xludf.DUMMYFUNCTION("""COMPUTED_VALUE"""),0.637)</f>
        <v>0.63700000000000001</v>
      </c>
      <c r="Z283" s="3">
        <f ca="1">IFERROR(__xludf.DUMMYFUNCTION("""COMPUTED_VALUE"""),391)</f>
        <v>391</v>
      </c>
      <c r="AA283" s="3">
        <f ca="1">IFERROR(__xludf.DUMMYFUNCTION("""COMPUTED_VALUE"""),1210)</f>
        <v>1210</v>
      </c>
      <c r="AB283" s="3">
        <f ca="1">IFERROR(__xludf.DUMMYFUNCTION("""COMPUTED_VALUE"""),390)</f>
        <v>390</v>
      </c>
      <c r="AC283" s="3">
        <f ca="1">IFERROR(__xludf.DUMMYFUNCTION("""COMPUTED_VALUE"""),201)</f>
        <v>201</v>
      </c>
      <c r="AD283" s="3">
        <f ca="1">IFERROR(__xludf.DUMMYFUNCTION("""COMPUTED_VALUE"""),124)</f>
        <v>124</v>
      </c>
      <c r="AE283" s="3">
        <f ca="1">IFERROR(__xludf.DUMMYFUNCTION("""COMPUTED_VALUE"""),408)</f>
        <v>408</v>
      </c>
      <c r="AF283" s="3">
        <f ca="1">IFERROR(__xludf.DUMMYFUNCTION("""COMPUTED_VALUE"""),566)</f>
        <v>566</v>
      </c>
    </row>
    <row r="284" spans="1:32" x14ac:dyDescent="0.25">
      <c r="A284" s="3" t="str">
        <f ca="1">IFERROR(__xludf.DUMMYFUNCTION("""COMPUTED_VALUE"""),"Sacramento State")</f>
        <v>Sacramento State</v>
      </c>
      <c r="B284" s="3">
        <f ca="1">IFERROR(__xludf.DUMMYFUNCTION("""COMPUTED_VALUE"""),31)</f>
        <v>31</v>
      </c>
      <c r="C284" s="3">
        <f ca="1">IFERROR(__xludf.DUMMYFUNCTION("""COMPUTED_VALUE"""),15)</f>
        <v>15</v>
      </c>
      <c r="D284" s="3">
        <f ca="1">IFERROR(__xludf.DUMMYFUNCTION("""COMPUTED_VALUE"""),16)</f>
        <v>16</v>
      </c>
      <c r="E284" s="3">
        <f ca="1">IFERROR(__xludf.DUMMYFUNCTION("""COMPUTED_VALUE"""),0.484)</f>
        <v>0.48399999999999999</v>
      </c>
      <c r="F284" s="3">
        <f ca="1">IFERROR(__xludf.DUMMYFUNCTION("""COMPUTED_VALUE"""),-8.78)</f>
        <v>-8.7799999999999994</v>
      </c>
      <c r="G284" s="3">
        <f ca="1">IFERROR(__xludf.DUMMYFUNCTION("""COMPUTED_VALUE"""),-6.78)</f>
        <v>-6.78</v>
      </c>
      <c r="H284" s="3">
        <f ca="1">IFERROR(__xludf.DUMMYFUNCTION("""COMPUTED_VALUE"""),8)</f>
        <v>8</v>
      </c>
      <c r="I284" s="3">
        <f ca="1">IFERROR(__xludf.DUMMYFUNCTION("""COMPUTED_VALUE"""),12)</f>
        <v>12</v>
      </c>
      <c r="J284" s="3">
        <f ca="1">IFERROR(__xludf.DUMMYFUNCTION("""COMPUTED_VALUE"""),9)</f>
        <v>9</v>
      </c>
      <c r="K284" s="3">
        <f ca="1">IFERROR(__xludf.DUMMYFUNCTION("""COMPUTED_VALUE"""),5)</f>
        <v>5</v>
      </c>
      <c r="L284" s="3">
        <f ca="1">IFERROR(__xludf.DUMMYFUNCTION("""COMPUTED_VALUE"""),4)</f>
        <v>4</v>
      </c>
      <c r="M284" s="3">
        <f ca="1">IFERROR(__xludf.DUMMYFUNCTION("""COMPUTED_VALUE"""),10)</f>
        <v>10</v>
      </c>
      <c r="N284" s="3">
        <f ca="1">IFERROR(__xludf.DUMMYFUNCTION("""COMPUTED_VALUE"""),2197)</f>
        <v>2197</v>
      </c>
      <c r="O284" s="3">
        <f ca="1">IFERROR(__xludf.DUMMYFUNCTION("""COMPUTED_VALUE"""),2155)</f>
        <v>2155</v>
      </c>
      <c r="P284" s="3">
        <f ca="1">IFERROR(__xludf.DUMMYFUNCTION("""COMPUTED_VALUE"""),1250)</f>
        <v>1250</v>
      </c>
      <c r="Q284" s="3">
        <f ca="1">IFERROR(__xludf.DUMMYFUNCTION("""COMPUTED_VALUE"""),806)</f>
        <v>806</v>
      </c>
      <c r="R284" s="3">
        <f ca="1">IFERROR(__xludf.DUMMYFUNCTION("""COMPUTED_VALUE"""),1800)</f>
        <v>1800</v>
      </c>
      <c r="S284" s="3">
        <f ca="1">IFERROR(__xludf.DUMMYFUNCTION("""COMPUTED_VALUE"""),0.448)</f>
        <v>0.44800000000000001</v>
      </c>
      <c r="T284" s="3">
        <f ca="1">IFERROR(__xludf.DUMMYFUNCTION("""COMPUTED_VALUE"""),175)</f>
        <v>175</v>
      </c>
      <c r="U284" s="3">
        <f ca="1">IFERROR(__xludf.DUMMYFUNCTION("""COMPUTED_VALUE"""),527)</f>
        <v>527</v>
      </c>
      <c r="V284" s="3">
        <f ca="1">IFERROR(__xludf.DUMMYFUNCTION("""COMPUTED_VALUE"""),0.332)</f>
        <v>0.33200000000000002</v>
      </c>
      <c r="W284" s="3">
        <f ca="1">IFERROR(__xludf.DUMMYFUNCTION("""COMPUTED_VALUE"""),410)</f>
        <v>410</v>
      </c>
      <c r="X284" s="3">
        <f ca="1">IFERROR(__xludf.DUMMYFUNCTION("""COMPUTED_VALUE"""),592)</f>
        <v>592</v>
      </c>
      <c r="Y284" s="3">
        <f ca="1">IFERROR(__xludf.DUMMYFUNCTION("""COMPUTED_VALUE"""),0.693)</f>
        <v>0.69299999999999995</v>
      </c>
      <c r="Z284" s="3">
        <f ca="1">IFERROR(__xludf.DUMMYFUNCTION("""COMPUTED_VALUE"""),308)</f>
        <v>308</v>
      </c>
      <c r="AA284" s="3">
        <f ca="1">IFERROR(__xludf.DUMMYFUNCTION("""COMPUTED_VALUE"""),1050)</f>
        <v>1050</v>
      </c>
      <c r="AB284" s="3">
        <f ca="1">IFERROR(__xludf.DUMMYFUNCTION("""COMPUTED_VALUE"""),431)</f>
        <v>431</v>
      </c>
      <c r="AC284" s="3">
        <f ca="1">IFERROR(__xludf.DUMMYFUNCTION("""COMPUTED_VALUE"""),239)</f>
        <v>239</v>
      </c>
      <c r="AD284" s="3">
        <f ca="1">IFERROR(__xludf.DUMMYFUNCTION("""COMPUTED_VALUE"""),104)</f>
        <v>104</v>
      </c>
      <c r="AE284" s="3">
        <f ca="1">IFERROR(__xludf.DUMMYFUNCTION("""COMPUTED_VALUE"""),404)</f>
        <v>404</v>
      </c>
      <c r="AF284" s="3">
        <f ca="1">IFERROR(__xludf.DUMMYFUNCTION("""COMPUTED_VALUE"""),566)</f>
        <v>566</v>
      </c>
    </row>
    <row r="285" spans="1:32" x14ac:dyDescent="0.25">
      <c r="A285" s="3" t="str">
        <f ca="1">IFERROR(__xludf.DUMMYFUNCTION("""COMPUTED_VALUE"""),"Sacred Heart")</f>
        <v>Sacred Heart</v>
      </c>
      <c r="B285" s="3">
        <f ca="1">IFERROR(__xludf.DUMMYFUNCTION("""COMPUTED_VALUE"""),32)</f>
        <v>32</v>
      </c>
      <c r="C285" s="3">
        <f ca="1">IFERROR(__xludf.DUMMYFUNCTION("""COMPUTED_VALUE"""),15)</f>
        <v>15</v>
      </c>
      <c r="D285" s="3">
        <f ca="1">IFERROR(__xludf.DUMMYFUNCTION("""COMPUTED_VALUE"""),17)</f>
        <v>17</v>
      </c>
      <c r="E285" s="3">
        <f ca="1">IFERROR(__xludf.DUMMYFUNCTION("""COMPUTED_VALUE"""),0.469)</f>
        <v>0.46899999999999997</v>
      </c>
      <c r="F285" s="3">
        <f ca="1">IFERROR(__xludf.DUMMYFUNCTION("""COMPUTED_VALUE"""),-7.88)</f>
        <v>-7.88</v>
      </c>
      <c r="G285" s="3">
        <f ca="1">IFERROR(__xludf.DUMMYFUNCTION("""COMPUTED_VALUE"""),-8.11)</f>
        <v>-8.11</v>
      </c>
      <c r="H285" s="3">
        <f ca="1">IFERROR(__xludf.DUMMYFUNCTION("""COMPUTED_VALUE"""),11)</f>
        <v>11</v>
      </c>
      <c r="I285" s="3">
        <f ca="1">IFERROR(__xludf.DUMMYFUNCTION("""COMPUTED_VALUE"""),7)</f>
        <v>7</v>
      </c>
      <c r="J285" s="3">
        <f ca="1">IFERROR(__xludf.DUMMYFUNCTION("""COMPUTED_VALUE"""),10)</f>
        <v>10</v>
      </c>
      <c r="K285" s="3">
        <f ca="1">IFERROR(__xludf.DUMMYFUNCTION("""COMPUTED_VALUE"""),3)</f>
        <v>3</v>
      </c>
      <c r="L285" s="3">
        <f ca="1">IFERROR(__xludf.DUMMYFUNCTION("""COMPUTED_VALUE"""),4)</f>
        <v>4</v>
      </c>
      <c r="M285" s="3">
        <f ca="1">IFERROR(__xludf.DUMMYFUNCTION("""COMPUTED_VALUE"""),13)</f>
        <v>13</v>
      </c>
      <c r="N285" s="3">
        <f ca="1">IFERROR(__xludf.DUMMYFUNCTION("""COMPUTED_VALUE"""),2558)</f>
        <v>2558</v>
      </c>
      <c r="O285" s="3">
        <f ca="1">IFERROR(__xludf.DUMMYFUNCTION("""COMPUTED_VALUE"""),2509)</f>
        <v>2509</v>
      </c>
      <c r="P285" s="3">
        <f ca="1">IFERROR(__xludf.DUMMYFUNCTION("""COMPUTED_VALUE"""),1285)</f>
        <v>1285</v>
      </c>
      <c r="Q285" s="3">
        <f ca="1">IFERROR(__xludf.DUMMYFUNCTION("""COMPUTED_VALUE"""),885)</f>
        <v>885</v>
      </c>
      <c r="R285" s="3">
        <f ca="1">IFERROR(__xludf.DUMMYFUNCTION("""COMPUTED_VALUE"""),1926)</f>
        <v>1926</v>
      </c>
      <c r="S285" s="3">
        <f ca="1">IFERROR(__xludf.DUMMYFUNCTION("""COMPUTED_VALUE"""),0.46)</f>
        <v>0.46</v>
      </c>
      <c r="T285" s="3">
        <f ca="1">IFERROR(__xludf.DUMMYFUNCTION("""COMPUTED_VALUE"""),243)</f>
        <v>243</v>
      </c>
      <c r="U285" s="3">
        <f ca="1">IFERROR(__xludf.DUMMYFUNCTION("""COMPUTED_VALUE"""),681)</f>
        <v>681</v>
      </c>
      <c r="V285" s="3">
        <f ca="1">IFERROR(__xludf.DUMMYFUNCTION("""COMPUTED_VALUE"""),0.357)</f>
        <v>0.35699999999999998</v>
      </c>
      <c r="W285" s="3">
        <f ca="1">IFERROR(__xludf.DUMMYFUNCTION("""COMPUTED_VALUE"""),545)</f>
        <v>545</v>
      </c>
      <c r="X285" s="3">
        <f ca="1">IFERROR(__xludf.DUMMYFUNCTION("""COMPUTED_VALUE"""),722)</f>
        <v>722</v>
      </c>
      <c r="Y285" s="3">
        <f ca="1">IFERROR(__xludf.DUMMYFUNCTION("""COMPUTED_VALUE"""),0.755)</f>
        <v>0.755</v>
      </c>
      <c r="Z285" s="3">
        <f ca="1">IFERROR(__xludf.DUMMYFUNCTION("""COMPUTED_VALUE"""),354)</f>
        <v>354</v>
      </c>
      <c r="AA285" s="3">
        <f ca="1">IFERROR(__xludf.DUMMYFUNCTION("""COMPUTED_VALUE"""),1231)</f>
        <v>1231</v>
      </c>
      <c r="AB285" s="3">
        <f ca="1">IFERROR(__xludf.DUMMYFUNCTION("""COMPUTED_VALUE"""),471)</f>
        <v>471</v>
      </c>
      <c r="AC285" s="3">
        <f ca="1">IFERROR(__xludf.DUMMYFUNCTION("""COMPUTED_VALUE"""),170)</f>
        <v>170</v>
      </c>
      <c r="AD285" s="3">
        <f ca="1">IFERROR(__xludf.DUMMYFUNCTION("""COMPUTED_VALUE"""),133)</f>
        <v>133</v>
      </c>
      <c r="AE285" s="3">
        <f ca="1">IFERROR(__xludf.DUMMYFUNCTION("""COMPUTED_VALUE"""),465)</f>
        <v>465</v>
      </c>
      <c r="AF285" s="3">
        <f ca="1">IFERROR(__xludf.DUMMYFUNCTION("""COMPUTED_VALUE"""),572)</f>
        <v>572</v>
      </c>
    </row>
    <row r="286" spans="1:32" x14ac:dyDescent="0.25">
      <c r="A286" s="3" t="str">
        <f ca="1">IFERROR(__xludf.DUMMYFUNCTION("""COMPUTED_VALUE"""),"Overall")</f>
        <v>Overall</v>
      </c>
      <c r="B286" s="3" t="str">
        <f ca="1">IFERROR(__xludf.DUMMYFUNCTION("""COMPUTED_VALUE"""),"Conf.")</f>
        <v>Conf.</v>
      </c>
      <c r="C286" s="3" t="str">
        <f ca="1">IFERROR(__xludf.DUMMYFUNCTION("""COMPUTED_VALUE"""),"Home")</f>
        <v>Home</v>
      </c>
      <c r="D286" s="3" t="str">
        <f ca="1">IFERROR(__xludf.DUMMYFUNCTION("""COMPUTED_VALUE"""),"Away")</f>
        <v>Away</v>
      </c>
      <c r="E286" s="3" t="str">
        <f ca="1">IFERROR(__xludf.DUMMYFUNCTION("""COMPUTED_VALUE"""),"Points")</f>
        <v>Points</v>
      </c>
      <c r="F286" s="3" t="str">
        <f ca="1">IFERROR(__xludf.DUMMYFUNCTION("""COMPUTED_VALUE"""),"")</f>
        <v/>
      </c>
      <c r="G286" s="3" t="str">
        <f ca="1">IFERROR(__xludf.DUMMYFUNCTION("""COMPUTED_VALUE"""),"School Totals")</f>
        <v>School Totals</v>
      </c>
      <c r="H286" s="3" t="str">
        <f ca="1">IFERROR(__xludf.DUMMYFUNCTION("""COMPUTED_VALUE"""),"")</f>
        <v/>
      </c>
      <c r="I286" s="3" t="str">
        <f ca="1">IFERROR(__xludf.DUMMYFUNCTION("""COMPUTED_VALUE"""),"")</f>
        <v/>
      </c>
      <c r="J286" s="3" t="str">
        <f ca="1">IFERROR(__xludf.DUMMYFUNCTION("""COMPUTED_VALUE"""),"")</f>
        <v/>
      </c>
      <c r="K286" s="3" t="str">
        <f ca="1">IFERROR(__xludf.DUMMYFUNCTION("""COMPUTED_VALUE"""),"")</f>
        <v/>
      </c>
      <c r="L286" s="3" t="str">
        <f ca="1">IFERROR(__xludf.DUMMYFUNCTION("""COMPUTED_VALUE"""),"")</f>
        <v/>
      </c>
      <c r="M286" s="3" t="str">
        <f ca="1">IFERROR(__xludf.DUMMYFUNCTION("""COMPUTED_VALUE"""),"")</f>
        <v/>
      </c>
      <c r="N286" s="3" t="str">
        <f ca="1">IFERROR(__xludf.DUMMYFUNCTION("""COMPUTED_VALUE"""),"")</f>
        <v/>
      </c>
      <c r="O286" s="3" t="str">
        <f ca="1">IFERROR(__xludf.DUMMYFUNCTION("""COMPUTED_VALUE"""),"")</f>
        <v/>
      </c>
      <c r="P286" s="3" t="str">
        <f ca="1">IFERROR(__xludf.DUMMYFUNCTION("""COMPUTED_VALUE"""),"")</f>
        <v/>
      </c>
      <c r="Q286" s="3" t="str">
        <f ca="1">IFERROR(__xludf.DUMMYFUNCTION("""COMPUTED_VALUE"""),"")</f>
        <v/>
      </c>
      <c r="R286" s="3" t="str">
        <f ca="1">IFERROR(__xludf.DUMMYFUNCTION("""COMPUTED_VALUE"""),"")</f>
        <v/>
      </c>
      <c r="S286" s="3" t="str">
        <f ca="1">IFERROR(__xludf.DUMMYFUNCTION("""COMPUTED_VALUE"""),"")</f>
        <v/>
      </c>
      <c r="T286" s="3" t="str">
        <f ca="1">IFERROR(__xludf.DUMMYFUNCTION("""COMPUTED_VALUE"""),"")</f>
        <v/>
      </c>
      <c r="U286" s="3" t="str">
        <f ca="1">IFERROR(__xludf.DUMMYFUNCTION("""COMPUTED_VALUE"""),"")</f>
        <v/>
      </c>
      <c r="V286" s="3" t="str">
        <f ca="1">IFERROR(__xludf.DUMMYFUNCTION("""COMPUTED_VALUE"""),"")</f>
        <v/>
      </c>
      <c r="W286" s="3" t="str">
        <f ca="1">IFERROR(__xludf.DUMMYFUNCTION("""COMPUTED_VALUE"""),"")</f>
        <v/>
      </c>
      <c r="X286" s="3" t="str">
        <f ca="1">IFERROR(__xludf.DUMMYFUNCTION("""COMPUTED_VALUE"""),"")</f>
        <v/>
      </c>
      <c r="Y286" s="3" t="str">
        <f ca="1">IFERROR(__xludf.DUMMYFUNCTION("""COMPUTED_VALUE"""),"")</f>
        <v/>
      </c>
      <c r="Z286" s="3" t="str">
        <f ca="1">IFERROR(__xludf.DUMMYFUNCTION("""COMPUTED_VALUE"""),"")</f>
        <v/>
      </c>
      <c r="AA286" s="3" t="str">
        <f ca="1">IFERROR(__xludf.DUMMYFUNCTION("""COMPUTED_VALUE"""),"")</f>
        <v/>
      </c>
      <c r="AB286" s="3" t="str">
        <f ca="1">IFERROR(__xludf.DUMMYFUNCTION("""COMPUTED_VALUE"""),"")</f>
        <v/>
      </c>
      <c r="AC286" s="3" t="str">
        <f ca="1">IFERROR(__xludf.DUMMYFUNCTION("""COMPUTED_VALUE"""),"")</f>
        <v/>
      </c>
      <c r="AD286" s="3" t="str">
        <f ca="1">IFERROR(__xludf.DUMMYFUNCTION("""COMPUTED_VALUE"""),"")</f>
        <v/>
      </c>
      <c r="AE286" s="3" t="str">
        <f ca="1">IFERROR(__xludf.DUMMYFUNCTION("""COMPUTED_VALUE"""),"")</f>
        <v/>
      </c>
      <c r="AF286" s="3" t="str">
        <f ca="1">IFERROR(__xludf.DUMMYFUNCTION("""COMPUTED_VALUE"""),"")</f>
        <v/>
      </c>
    </row>
    <row r="287" spans="1:32" x14ac:dyDescent="0.25">
      <c r="A287" s="3" t="str">
        <f ca="1">IFERROR(__xludf.DUMMYFUNCTION("""COMPUTED_VALUE"""),"School")</f>
        <v>School</v>
      </c>
      <c r="B287" s="3" t="str">
        <f ca="1">IFERROR(__xludf.DUMMYFUNCTION("""COMPUTED_VALUE"""),"G")</f>
        <v>G</v>
      </c>
      <c r="C287" s="3" t="str">
        <f ca="1">IFERROR(__xludf.DUMMYFUNCTION("""COMPUTED_VALUE"""),"W")</f>
        <v>W</v>
      </c>
      <c r="D287" s="3" t="str">
        <f ca="1">IFERROR(__xludf.DUMMYFUNCTION("""COMPUTED_VALUE"""),"L")</f>
        <v>L</v>
      </c>
      <c r="E287" s="3" t="str">
        <f ca="1">IFERROR(__xludf.DUMMYFUNCTION("""COMPUTED_VALUE"""),"W-L%")</f>
        <v>W-L%</v>
      </c>
      <c r="F287" s="3" t="str">
        <f ca="1">IFERROR(__xludf.DUMMYFUNCTION("""COMPUTED_VALUE"""),"SRS")</f>
        <v>SRS</v>
      </c>
      <c r="G287" s="3" t="str">
        <f ca="1">IFERROR(__xludf.DUMMYFUNCTION("""COMPUTED_VALUE"""),"SOS")</f>
        <v>SOS</v>
      </c>
      <c r="H287" s="3" t="str">
        <f ca="1">IFERROR(__xludf.DUMMYFUNCTION("""COMPUTED_VALUE"""),"W")</f>
        <v>W</v>
      </c>
      <c r="I287" s="3" t="str">
        <f ca="1">IFERROR(__xludf.DUMMYFUNCTION("""COMPUTED_VALUE"""),"L")</f>
        <v>L</v>
      </c>
      <c r="J287" s="3" t="str">
        <f ca="1">IFERROR(__xludf.DUMMYFUNCTION("""COMPUTED_VALUE"""),"W")</f>
        <v>W</v>
      </c>
      <c r="K287" s="3" t="str">
        <f ca="1">IFERROR(__xludf.DUMMYFUNCTION("""COMPUTED_VALUE"""),"L")</f>
        <v>L</v>
      </c>
      <c r="L287" s="3" t="str">
        <f ca="1">IFERROR(__xludf.DUMMYFUNCTION("""COMPUTED_VALUE"""),"W")</f>
        <v>W</v>
      </c>
      <c r="M287" s="3" t="str">
        <f ca="1">IFERROR(__xludf.DUMMYFUNCTION("""COMPUTED_VALUE"""),"L")</f>
        <v>L</v>
      </c>
      <c r="N287" s="3" t="str">
        <f ca="1">IFERROR(__xludf.DUMMYFUNCTION("""COMPUTED_VALUE"""),"Tm.")</f>
        <v>Tm.</v>
      </c>
      <c r="O287" s="3" t="str">
        <f ca="1">IFERROR(__xludf.DUMMYFUNCTION("""COMPUTED_VALUE"""),"Opp.")</f>
        <v>Opp.</v>
      </c>
      <c r="P287" s="3" t="str">
        <f ca="1">IFERROR(__xludf.DUMMYFUNCTION("""COMPUTED_VALUE"""),"MP")</f>
        <v>MP</v>
      </c>
      <c r="Q287" s="3" t="str">
        <f ca="1">IFERROR(__xludf.DUMMYFUNCTION("""COMPUTED_VALUE"""),"FG")</f>
        <v>FG</v>
      </c>
      <c r="R287" s="3" t="str">
        <f ca="1">IFERROR(__xludf.DUMMYFUNCTION("""COMPUTED_VALUE"""),"FGA")</f>
        <v>FGA</v>
      </c>
      <c r="S287" s="3" t="str">
        <f ca="1">IFERROR(__xludf.DUMMYFUNCTION("""COMPUTED_VALUE"""),"FG%")</f>
        <v>FG%</v>
      </c>
      <c r="T287" s="3" t="str">
        <f ca="1">IFERROR(__xludf.DUMMYFUNCTION("""COMPUTED_VALUE"""),"3P")</f>
        <v>3P</v>
      </c>
      <c r="U287" s="3" t="str">
        <f ca="1">IFERROR(__xludf.DUMMYFUNCTION("""COMPUTED_VALUE"""),"3PA")</f>
        <v>3PA</v>
      </c>
      <c r="V287" s="3" t="str">
        <f ca="1">IFERROR(__xludf.DUMMYFUNCTION("""COMPUTED_VALUE"""),"3P%")</f>
        <v>3P%</v>
      </c>
      <c r="W287" s="3" t="str">
        <f ca="1">IFERROR(__xludf.DUMMYFUNCTION("""COMPUTED_VALUE"""),"FT")</f>
        <v>FT</v>
      </c>
      <c r="X287" s="3" t="str">
        <f ca="1">IFERROR(__xludf.DUMMYFUNCTION("""COMPUTED_VALUE"""),"FTA")</f>
        <v>FTA</v>
      </c>
      <c r="Y287" s="3" t="str">
        <f ca="1">IFERROR(__xludf.DUMMYFUNCTION("""COMPUTED_VALUE"""),"FT%")</f>
        <v>FT%</v>
      </c>
      <c r="Z287" s="3" t="str">
        <f ca="1">IFERROR(__xludf.DUMMYFUNCTION("""COMPUTED_VALUE"""),"ORB")</f>
        <v>ORB</v>
      </c>
      <c r="AA287" s="3" t="str">
        <f ca="1">IFERROR(__xludf.DUMMYFUNCTION("""COMPUTED_VALUE"""),"TRB")</f>
        <v>TRB</v>
      </c>
      <c r="AB287" s="3" t="str">
        <f ca="1">IFERROR(__xludf.DUMMYFUNCTION("""COMPUTED_VALUE"""),"AST")</f>
        <v>AST</v>
      </c>
      <c r="AC287" s="3" t="str">
        <f ca="1">IFERROR(__xludf.DUMMYFUNCTION("""COMPUTED_VALUE"""),"STL")</f>
        <v>STL</v>
      </c>
      <c r="AD287" s="3" t="str">
        <f ca="1">IFERROR(__xludf.DUMMYFUNCTION("""COMPUTED_VALUE"""),"BLK")</f>
        <v>BLK</v>
      </c>
      <c r="AE287" s="3" t="str">
        <f ca="1">IFERROR(__xludf.DUMMYFUNCTION("""COMPUTED_VALUE"""),"TOV")</f>
        <v>TOV</v>
      </c>
      <c r="AF287" s="3" t="str">
        <f ca="1">IFERROR(__xludf.DUMMYFUNCTION("""COMPUTED_VALUE"""),"PF")</f>
        <v>PF</v>
      </c>
    </row>
    <row r="288" spans="1:32" x14ac:dyDescent="0.25">
      <c r="A288" s="3" t="str">
        <f ca="1">IFERROR(__xludf.DUMMYFUNCTION("""COMPUTED_VALUE"""),"Saint Francis (PA)")</f>
        <v>Saint Francis (PA)</v>
      </c>
      <c r="B288" s="3">
        <f ca="1">IFERROR(__xludf.DUMMYFUNCTION("""COMPUTED_VALUE"""),33)</f>
        <v>33</v>
      </c>
      <c r="C288" s="3">
        <f ca="1">IFERROR(__xludf.DUMMYFUNCTION("""COMPUTED_VALUE"""),18)</f>
        <v>18</v>
      </c>
      <c r="D288" s="3">
        <f ca="1">IFERROR(__xludf.DUMMYFUNCTION("""COMPUTED_VALUE"""),15)</f>
        <v>15</v>
      </c>
      <c r="E288" s="3">
        <f ca="1">IFERROR(__xludf.DUMMYFUNCTION("""COMPUTED_VALUE"""),0.545)</f>
        <v>0.54500000000000004</v>
      </c>
      <c r="F288" s="3">
        <f ca="1">IFERROR(__xludf.DUMMYFUNCTION("""COMPUTED_VALUE"""),-8.74)</f>
        <v>-8.74</v>
      </c>
      <c r="G288" s="3">
        <f ca="1">IFERROR(__xludf.DUMMYFUNCTION("""COMPUTED_VALUE"""),-6.16)</f>
        <v>-6.16</v>
      </c>
      <c r="H288" s="3">
        <f ca="1">IFERROR(__xludf.DUMMYFUNCTION("""COMPUTED_VALUE"""),12)</f>
        <v>12</v>
      </c>
      <c r="I288" s="3">
        <f ca="1">IFERROR(__xludf.DUMMYFUNCTION("""COMPUTED_VALUE"""),6)</f>
        <v>6</v>
      </c>
      <c r="J288" s="3">
        <f ca="1">IFERROR(__xludf.DUMMYFUNCTION("""COMPUTED_VALUE"""),12)</f>
        <v>12</v>
      </c>
      <c r="K288" s="3">
        <f ca="1">IFERROR(__xludf.DUMMYFUNCTION("""COMPUTED_VALUE"""),4)</f>
        <v>4</v>
      </c>
      <c r="L288" s="3">
        <f ca="1">IFERROR(__xludf.DUMMYFUNCTION("""COMPUTED_VALUE"""),6)</f>
        <v>6</v>
      </c>
      <c r="M288" s="3">
        <f ca="1">IFERROR(__xludf.DUMMYFUNCTION("""COMPUTED_VALUE"""),11)</f>
        <v>11</v>
      </c>
      <c r="N288" s="3">
        <f ca="1">IFERROR(__xludf.DUMMYFUNCTION("""COMPUTED_VALUE"""),2517)</f>
        <v>2517</v>
      </c>
      <c r="O288" s="3">
        <f ca="1">IFERROR(__xludf.DUMMYFUNCTION("""COMPUTED_VALUE"""),2510)</f>
        <v>2510</v>
      </c>
      <c r="P288" s="3">
        <f ca="1">IFERROR(__xludf.DUMMYFUNCTION("""COMPUTED_VALUE"""),1320)</f>
        <v>1320</v>
      </c>
      <c r="Q288" s="3">
        <f ca="1">IFERROR(__xludf.DUMMYFUNCTION("""COMPUTED_VALUE"""),885)</f>
        <v>885</v>
      </c>
      <c r="R288" s="3">
        <f ca="1">IFERROR(__xludf.DUMMYFUNCTION("""COMPUTED_VALUE"""),2035)</f>
        <v>2035</v>
      </c>
      <c r="S288" s="3">
        <f ca="1">IFERROR(__xludf.DUMMYFUNCTION("""COMPUTED_VALUE"""),0.435)</f>
        <v>0.435</v>
      </c>
      <c r="T288" s="3">
        <f ca="1">IFERROR(__xludf.DUMMYFUNCTION("""COMPUTED_VALUE"""),254)</f>
        <v>254</v>
      </c>
      <c r="U288" s="3">
        <f ca="1">IFERROR(__xludf.DUMMYFUNCTION("""COMPUTED_VALUE"""),724)</f>
        <v>724</v>
      </c>
      <c r="V288" s="3">
        <f ca="1">IFERROR(__xludf.DUMMYFUNCTION("""COMPUTED_VALUE"""),0.351)</f>
        <v>0.35099999999999998</v>
      </c>
      <c r="W288" s="3">
        <f ca="1">IFERROR(__xludf.DUMMYFUNCTION("""COMPUTED_VALUE"""),493)</f>
        <v>493</v>
      </c>
      <c r="X288" s="3">
        <f ca="1">IFERROR(__xludf.DUMMYFUNCTION("""COMPUTED_VALUE"""),698)</f>
        <v>698</v>
      </c>
      <c r="Y288" s="3">
        <f ca="1">IFERROR(__xludf.DUMMYFUNCTION("""COMPUTED_VALUE"""),0.706)</f>
        <v>0.70599999999999996</v>
      </c>
      <c r="Z288" s="3">
        <f ca="1">IFERROR(__xludf.DUMMYFUNCTION("""COMPUTED_VALUE"""),430)</f>
        <v>430</v>
      </c>
      <c r="AA288" s="3">
        <f ca="1">IFERROR(__xludf.DUMMYFUNCTION("""COMPUTED_VALUE"""),1246)</f>
        <v>1246</v>
      </c>
      <c r="AB288" s="3">
        <f ca="1">IFERROR(__xludf.DUMMYFUNCTION("""COMPUTED_VALUE"""),413)</f>
        <v>413</v>
      </c>
      <c r="AC288" s="3">
        <f ca="1">IFERROR(__xludf.DUMMYFUNCTION("""COMPUTED_VALUE"""),221)</f>
        <v>221</v>
      </c>
      <c r="AD288" s="3">
        <f ca="1">IFERROR(__xludf.DUMMYFUNCTION("""COMPUTED_VALUE"""),94)</f>
        <v>94</v>
      </c>
      <c r="AE288" s="3">
        <f ca="1">IFERROR(__xludf.DUMMYFUNCTION("""COMPUTED_VALUE"""),402)</f>
        <v>402</v>
      </c>
      <c r="AF288" s="3">
        <f ca="1">IFERROR(__xludf.DUMMYFUNCTION("""COMPUTED_VALUE"""),598)</f>
        <v>598</v>
      </c>
    </row>
    <row r="289" spans="1:32" x14ac:dyDescent="0.25">
      <c r="A289" s="3" t="str">
        <f ca="1">IFERROR(__xludf.DUMMYFUNCTION("""COMPUTED_VALUE"""),"Saint Joseph's")</f>
        <v>Saint Joseph's</v>
      </c>
      <c r="B289" s="3">
        <f ca="1">IFERROR(__xludf.DUMMYFUNCTION("""COMPUTED_VALUE"""),33)</f>
        <v>33</v>
      </c>
      <c r="C289" s="3">
        <f ca="1">IFERROR(__xludf.DUMMYFUNCTION("""COMPUTED_VALUE"""),14)</f>
        <v>14</v>
      </c>
      <c r="D289" s="3">
        <f ca="1">IFERROR(__xludf.DUMMYFUNCTION("""COMPUTED_VALUE"""),19)</f>
        <v>19</v>
      </c>
      <c r="E289" s="3">
        <f ca="1">IFERROR(__xludf.DUMMYFUNCTION("""COMPUTED_VALUE"""),0.424)</f>
        <v>0.42399999999999999</v>
      </c>
      <c r="F289" s="3">
        <f ca="1">IFERROR(__xludf.DUMMYFUNCTION("""COMPUTED_VALUE"""),-0.43)</f>
        <v>-0.43</v>
      </c>
      <c r="G289" s="3">
        <f ca="1">IFERROR(__xludf.DUMMYFUNCTION("""COMPUTED_VALUE"""),1.66)</f>
        <v>1.66</v>
      </c>
      <c r="H289" s="3">
        <f ca="1">IFERROR(__xludf.DUMMYFUNCTION("""COMPUTED_VALUE"""),6)</f>
        <v>6</v>
      </c>
      <c r="I289" s="3">
        <f ca="1">IFERROR(__xludf.DUMMYFUNCTION("""COMPUTED_VALUE"""),12)</f>
        <v>12</v>
      </c>
      <c r="J289" s="3">
        <f ca="1">IFERROR(__xludf.DUMMYFUNCTION("""COMPUTED_VALUE"""),10)</f>
        <v>10</v>
      </c>
      <c r="K289" s="3">
        <f ca="1">IFERROR(__xludf.DUMMYFUNCTION("""COMPUTED_VALUE"""),5)</f>
        <v>5</v>
      </c>
      <c r="L289" s="3">
        <f ca="1">IFERROR(__xludf.DUMMYFUNCTION("""COMPUTED_VALUE"""),2)</f>
        <v>2</v>
      </c>
      <c r="M289" s="3">
        <f ca="1">IFERROR(__xludf.DUMMYFUNCTION("""COMPUTED_VALUE"""),11)</f>
        <v>11</v>
      </c>
      <c r="N289" s="3">
        <f ca="1">IFERROR(__xludf.DUMMYFUNCTION("""COMPUTED_VALUE"""),2328)</f>
        <v>2328</v>
      </c>
      <c r="O289" s="3">
        <f ca="1">IFERROR(__xludf.DUMMYFUNCTION("""COMPUTED_VALUE"""),2397)</f>
        <v>2397</v>
      </c>
      <c r="P289" s="3">
        <f ca="1">IFERROR(__xludf.DUMMYFUNCTION("""COMPUTED_VALUE"""),1325)</f>
        <v>1325</v>
      </c>
      <c r="Q289" s="3">
        <f ca="1">IFERROR(__xludf.DUMMYFUNCTION("""COMPUTED_VALUE"""),793)</f>
        <v>793</v>
      </c>
      <c r="R289" s="3">
        <f ca="1">IFERROR(__xludf.DUMMYFUNCTION("""COMPUTED_VALUE"""),1943)</f>
        <v>1943</v>
      </c>
      <c r="S289" s="3">
        <f ca="1">IFERROR(__xludf.DUMMYFUNCTION("""COMPUTED_VALUE"""),0.408)</f>
        <v>0.40799999999999997</v>
      </c>
      <c r="T289" s="3">
        <f ca="1">IFERROR(__xludf.DUMMYFUNCTION("""COMPUTED_VALUE"""),280)</f>
        <v>280</v>
      </c>
      <c r="U289" s="3">
        <f ca="1">IFERROR(__xludf.DUMMYFUNCTION("""COMPUTED_VALUE"""),869)</f>
        <v>869</v>
      </c>
      <c r="V289" s="3">
        <f ca="1">IFERROR(__xludf.DUMMYFUNCTION("""COMPUTED_VALUE"""),0.322)</f>
        <v>0.32200000000000001</v>
      </c>
      <c r="W289" s="3">
        <f ca="1">IFERROR(__xludf.DUMMYFUNCTION("""COMPUTED_VALUE"""),462)</f>
        <v>462</v>
      </c>
      <c r="X289" s="3">
        <f ca="1">IFERROR(__xludf.DUMMYFUNCTION("""COMPUTED_VALUE"""),615)</f>
        <v>615</v>
      </c>
      <c r="Y289" s="3">
        <f ca="1">IFERROR(__xludf.DUMMYFUNCTION("""COMPUTED_VALUE"""),0.751)</f>
        <v>0.751</v>
      </c>
      <c r="Z289" s="3">
        <f ca="1">IFERROR(__xludf.DUMMYFUNCTION("""COMPUTED_VALUE"""),258)</f>
        <v>258</v>
      </c>
      <c r="AA289" s="3">
        <f ca="1">IFERROR(__xludf.DUMMYFUNCTION("""COMPUTED_VALUE"""),1145)</f>
        <v>1145</v>
      </c>
      <c r="AB289" s="3">
        <f ca="1">IFERROR(__xludf.DUMMYFUNCTION("""COMPUTED_VALUE"""),397)</f>
        <v>397</v>
      </c>
      <c r="AC289" s="3">
        <f ca="1">IFERROR(__xludf.DUMMYFUNCTION("""COMPUTED_VALUE"""),186)</f>
        <v>186</v>
      </c>
      <c r="AD289" s="3">
        <f ca="1">IFERROR(__xludf.DUMMYFUNCTION("""COMPUTED_VALUE"""),110)</f>
        <v>110</v>
      </c>
      <c r="AE289" s="3">
        <f ca="1">IFERROR(__xludf.DUMMYFUNCTION("""COMPUTED_VALUE"""),305)</f>
        <v>305</v>
      </c>
      <c r="AF289" s="3">
        <f ca="1">IFERROR(__xludf.DUMMYFUNCTION("""COMPUTED_VALUE"""),497)</f>
        <v>497</v>
      </c>
    </row>
    <row r="290" spans="1:32" x14ac:dyDescent="0.25">
      <c r="A290" s="3" t="str">
        <f ca="1">IFERROR(__xludf.DUMMYFUNCTION("""COMPUTED_VALUE"""),"Saint LouisNCAA")</f>
        <v>Saint LouisNCAA</v>
      </c>
      <c r="B290" s="3">
        <f ca="1">IFERROR(__xludf.DUMMYFUNCTION("""COMPUTED_VALUE"""),36)</f>
        <v>36</v>
      </c>
      <c r="C290" s="3">
        <f ca="1">IFERROR(__xludf.DUMMYFUNCTION("""COMPUTED_VALUE"""),23)</f>
        <v>23</v>
      </c>
      <c r="D290" s="3">
        <f ca="1">IFERROR(__xludf.DUMMYFUNCTION("""COMPUTED_VALUE"""),13)</f>
        <v>13</v>
      </c>
      <c r="E290" s="3">
        <f ca="1">IFERROR(__xludf.DUMMYFUNCTION("""COMPUTED_VALUE"""),0.639)</f>
        <v>0.63900000000000001</v>
      </c>
      <c r="F290" s="3">
        <f ca="1">IFERROR(__xludf.DUMMYFUNCTION("""COMPUTED_VALUE"""),5.06)</f>
        <v>5.0599999999999996</v>
      </c>
      <c r="G290" s="3">
        <f ca="1">IFERROR(__xludf.DUMMYFUNCTION("""COMPUTED_VALUE"""),2.23)</f>
        <v>2.23</v>
      </c>
      <c r="H290" s="3">
        <f ca="1">IFERROR(__xludf.DUMMYFUNCTION("""COMPUTED_VALUE"""),10)</f>
        <v>10</v>
      </c>
      <c r="I290" s="3">
        <f ca="1">IFERROR(__xludf.DUMMYFUNCTION("""COMPUTED_VALUE"""),8)</f>
        <v>8</v>
      </c>
      <c r="J290" s="3">
        <f ca="1">IFERROR(__xludf.DUMMYFUNCTION("""COMPUTED_VALUE"""),15)</f>
        <v>15</v>
      </c>
      <c r="K290" s="3">
        <f ca="1">IFERROR(__xludf.DUMMYFUNCTION("""COMPUTED_VALUE"""),2)</f>
        <v>2</v>
      </c>
      <c r="L290" s="3">
        <f ca="1">IFERROR(__xludf.DUMMYFUNCTION("""COMPUTED_VALUE"""),4)</f>
        <v>4</v>
      </c>
      <c r="M290" s="3">
        <f ca="1">IFERROR(__xludf.DUMMYFUNCTION("""COMPUTED_VALUE"""),8)</f>
        <v>8</v>
      </c>
      <c r="N290" s="3">
        <f ca="1">IFERROR(__xludf.DUMMYFUNCTION("""COMPUTED_VALUE"""),2399)</f>
        <v>2399</v>
      </c>
      <c r="O290" s="3">
        <f ca="1">IFERROR(__xludf.DUMMYFUNCTION("""COMPUTED_VALUE"""),2297)</f>
        <v>2297</v>
      </c>
      <c r="P290" s="3">
        <f ca="1">IFERROR(__xludf.DUMMYFUNCTION("""COMPUTED_VALUE"""),1440)</f>
        <v>1440</v>
      </c>
      <c r="Q290" s="3">
        <f ca="1">IFERROR(__xludf.DUMMYFUNCTION("""COMPUTED_VALUE"""),855)</f>
        <v>855</v>
      </c>
      <c r="R290" s="3">
        <f ca="1">IFERROR(__xludf.DUMMYFUNCTION("""COMPUTED_VALUE"""),2052)</f>
        <v>2052</v>
      </c>
      <c r="S290" s="3">
        <f ca="1">IFERROR(__xludf.DUMMYFUNCTION("""COMPUTED_VALUE"""),0.417)</f>
        <v>0.41699999999999998</v>
      </c>
      <c r="T290" s="3">
        <f ca="1">IFERROR(__xludf.DUMMYFUNCTION("""COMPUTED_VALUE"""),205)</f>
        <v>205</v>
      </c>
      <c r="U290" s="3">
        <f ca="1">IFERROR(__xludf.DUMMYFUNCTION("""COMPUTED_VALUE"""),675)</f>
        <v>675</v>
      </c>
      <c r="V290" s="3">
        <f ca="1">IFERROR(__xludf.DUMMYFUNCTION("""COMPUTED_VALUE"""),0.304)</f>
        <v>0.30399999999999999</v>
      </c>
      <c r="W290" s="3">
        <f ca="1">IFERROR(__xludf.DUMMYFUNCTION("""COMPUTED_VALUE"""),484)</f>
        <v>484</v>
      </c>
      <c r="X290" s="3">
        <f ca="1">IFERROR(__xludf.DUMMYFUNCTION("""COMPUTED_VALUE"""),809)</f>
        <v>809</v>
      </c>
      <c r="Y290" s="3">
        <f ca="1">IFERROR(__xludf.DUMMYFUNCTION("""COMPUTED_VALUE"""),0.598)</f>
        <v>0.59799999999999998</v>
      </c>
      <c r="Z290" s="3">
        <f ca="1">IFERROR(__xludf.DUMMYFUNCTION("""COMPUTED_VALUE"""),492)</f>
        <v>492</v>
      </c>
      <c r="AA290" s="3">
        <f ca="1">IFERROR(__xludf.DUMMYFUNCTION("""COMPUTED_VALUE"""),1428)</f>
        <v>1428</v>
      </c>
      <c r="AB290" s="3">
        <f ca="1">IFERROR(__xludf.DUMMYFUNCTION("""COMPUTED_VALUE"""),460)</f>
        <v>460</v>
      </c>
      <c r="AC290" s="3">
        <f ca="1">IFERROR(__xludf.DUMMYFUNCTION("""COMPUTED_VALUE"""),254)</f>
        <v>254</v>
      </c>
      <c r="AD290" s="3">
        <f ca="1">IFERROR(__xludf.DUMMYFUNCTION("""COMPUTED_VALUE"""),145)</f>
        <v>145</v>
      </c>
      <c r="AE290" s="3">
        <f ca="1">IFERROR(__xludf.DUMMYFUNCTION("""COMPUTED_VALUE"""),464)</f>
        <v>464</v>
      </c>
      <c r="AF290" s="3">
        <f ca="1">IFERROR(__xludf.DUMMYFUNCTION("""COMPUTED_VALUE"""),634)</f>
        <v>634</v>
      </c>
    </row>
    <row r="291" spans="1:32" x14ac:dyDescent="0.25">
      <c r="A291" s="3" t="str">
        <f ca="1">IFERROR(__xludf.DUMMYFUNCTION("""COMPUTED_VALUE"""),"Saint Mary's (CA)NCAA")</f>
        <v>Saint Mary's (CA)NCAA</v>
      </c>
      <c r="B291" s="3">
        <f ca="1">IFERROR(__xludf.DUMMYFUNCTION("""COMPUTED_VALUE"""),34)</f>
        <v>34</v>
      </c>
      <c r="C291" s="3">
        <f ca="1">IFERROR(__xludf.DUMMYFUNCTION("""COMPUTED_VALUE"""),22)</f>
        <v>22</v>
      </c>
      <c r="D291" s="3">
        <f ca="1">IFERROR(__xludf.DUMMYFUNCTION("""COMPUTED_VALUE"""),12)</f>
        <v>12</v>
      </c>
      <c r="E291" s="3">
        <f ca="1">IFERROR(__xludf.DUMMYFUNCTION("""COMPUTED_VALUE"""),0.647)</f>
        <v>0.64700000000000002</v>
      </c>
      <c r="F291" s="3">
        <f ca="1">IFERROR(__xludf.DUMMYFUNCTION("""COMPUTED_VALUE"""),12.58)</f>
        <v>12.58</v>
      </c>
      <c r="G291" s="3">
        <f ca="1">IFERROR(__xludf.DUMMYFUNCTION("""COMPUTED_VALUE"""),4.4)</f>
        <v>4.4000000000000004</v>
      </c>
      <c r="H291" s="3">
        <f ca="1">IFERROR(__xludf.DUMMYFUNCTION("""COMPUTED_VALUE"""),11)</f>
        <v>11</v>
      </c>
      <c r="I291" s="3">
        <f ca="1">IFERROR(__xludf.DUMMYFUNCTION("""COMPUTED_VALUE"""),5)</f>
        <v>5</v>
      </c>
      <c r="J291" s="3">
        <f ca="1">IFERROR(__xludf.DUMMYFUNCTION("""COMPUTED_VALUE"""),14)</f>
        <v>14</v>
      </c>
      <c r="K291" s="3">
        <f ca="1">IFERROR(__xludf.DUMMYFUNCTION("""COMPUTED_VALUE"""),3)</f>
        <v>3</v>
      </c>
      <c r="L291" s="3">
        <f ca="1">IFERROR(__xludf.DUMMYFUNCTION("""COMPUTED_VALUE"""),5)</f>
        <v>5</v>
      </c>
      <c r="M291" s="3">
        <f ca="1">IFERROR(__xludf.DUMMYFUNCTION("""COMPUTED_VALUE"""),5)</f>
        <v>5</v>
      </c>
      <c r="N291" s="3">
        <f ca="1">IFERROR(__xludf.DUMMYFUNCTION("""COMPUTED_VALUE"""),2463)</f>
        <v>2463</v>
      </c>
      <c r="O291" s="3">
        <f ca="1">IFERROR(__xludf.DUMMYFUNCTION("""COMPUTED_VALUE"""),2185)</f>
        <v>2185</v>
      </c>
      <c r="P291" s="3">
        <f ca="1">IFERROR(__xludf.DUMMYFUNCTION("""COMPUTED_VALUE"""),1365)</f>
        <v>1365</v>
      </c>
      <c r="Q291" s="3">
        <f ca="1">IFERROR(__xludf.DUMMYFUNCTION("""COMPUTED_VALUE"""),899)</f>
        <v>899</v>
      </c>
      <c r="R291" s="3">
        <f ca="1">IFERROR(__xludf.DUMMYFUNCTION("""COMPUTED_VALUE"""),1905)</f>
        <v>1905</v>
      </c>
      <c r="S291" s="3">
        <f ca="1">IFERROR(__xludf.DUMMYFUNCTION("""COMPUTED_VALUE"""),0.472)</f>
        <v>0.47199999999999998</v>
      </c>
      <c r="T291" s="3">
        <f ca="1">IFERROR(__xludf.DUMMYFUNCTION("""COMPUTED_VALUE"""),253)</f>
        <v>253</v>
      </c>
      <c r="U291" s="3">
        <f ca="1">IFERROR(__xludf.DUMMYFUNCTION("""COMPUTED_VALUE"""),670)</f>
        <v>670</v>
      </c>
      <c r="V291" s="3">
        <f ca="1">IFERROR(__xludf.DUMMYFUNCTION("""COMPUTED_VALUE"""),0.378)</f>
        <v>0.378</v>
      </c>
      <c r="W291" s="3">
        <f ca="1">IFERROR(__xludf.DUMMYFUNCTION("""COMPUTED_VALUE"""),412)</f>
        <v>412</v>
      </c>
      <c r="X291" s="3">
        <f ca="1">IFERROR(__xludf.DUMMYFUNCTION("""COMPUTED_VALUE"""),555)</f>
        <v>555</v>
      </c>
      <c r="Y291" s="3">
        <f ca="1">IFERROR(__xludf.DUMMYFUNCTION("""COMPUTED_VALUE"""),0.742)</f>
        <v>0.74199999999999999</v>
      </c>
      <c r="Z291" s="3">
        <f ca="1">IFERROR(__xludf.DUMMYFUNCTION("""COMPUTED_VALUE"""),329)</f>
        <v>329</v>
      </c>
      <c r="AA291" s="3">
        <f ca="1">IFERROR(__xludf.DUMMYFUNCTION("""COMPUTED_VALUE"""),1180)</f>
        <v>1180</v>
      </c>
      <c r="AB291" s="3">
        <f ca="1">IFERROR(__xludf.DUMMYFUNCTION("""COMPUTED_VALUE"""),341)</f>
        <v>341</v>
      </c>
      <c r="AC291" s="3">
        <f ca="1">IFERROR(__xludf.DUMMYFUNCTION("""COMPUTED_VALUE"""),201)</f>
        <v>201</v>
      </c>
      <c r="AD291" s="3">
        <f ca="1">IFERROR(__xludf.DUMMYFUNCTION("""COMPUTED_VALUE"""),87)</f>
        <v>87</v>
      </c>
      <c r="AE291" s="3">
        <f ca="1">IFERROR(__xludf.DUMMYFUNCTION("""COMPUTED_VALUE"""),355)</f>
        <v>355</v>
      </c>
      <c r="AF291" s="3">
        <f ca="1">IFERROR(__xludf.DUMMYFUNCTION("""COMPUTED_VALUE"""),572)</f>
        <v>572</v>
      </c>
    </row>
    <row r="292" spans="1:32" x14ac:dyDescent="0.25">
      <c r="A292" s="3" t="str">
        <f ca="1">IFERROR(__xludf.DUMMYFUNCTION("""COMPUTED_VALUE"""),"Saint Peter's")</f>
        <v>Saint Peter's</v>
      </c>
      <c r="B292" s="3">
        <f ca="1">IFERROR(__xludf.DUMMYFUNCTION("""COMPUTED_VALUE"""),32)</f>
        <v>32</v>
      </c>
      <c r="C292" s="3">
        <f ca="1">IFERROR(__xludf.DUMMYFUNCTION("""COMPUTED_VALUE"""),10)</f>
        <v>10</v>
      </c>
      <c r="D292" s="3">
        <f ca="1">IFERROR(__xludf.DUMMYFUNCTION("""COMPUTED_VALUE"""),22)</f>
        <v>22</v>
      </c>
      <c r="E292" s="3">
        <f ca="1">IFERROR(__xludf.DUMMYFUNCTION("""COMPUTED_VALUE"""),0.313)</f>
        <v>0.313</v>
      </c>
      <c r="F292" s="3">
        <f ca="1">IFERROR(__xludf.DUMMYFUNCTION("""COMPUTED_VALUE"""),-12.15)</f>
        <v>-12.15</v>
      </c>
      <c r="G292" s="3">
        <f ca="1">IFERROR(__xludf.DUMMYFUNCTION("""COMPUTED_VALUE"""),-6.4)</f>
        <v>-6.4</v>
      </c>
      <c r="H292" s="3">
        <f ca="1">IFERROR(__xludf.DUMMYFUNCTION("""COMPUTED_VALUE"""),6)</f>
        <v>6</v>
      </c>
      <c r="I292" s="3">
        <f ca="1">IFERROR(__xludf.DUMMYFUNCTION("""COMPUTED_VALUE"""),12)</f>
        <v>12</v>
      </c>
      <c r="J292" s="3">
        <f ca="1">IFERROR(__xludf.DUMMYFUNCTION("""COMPUTED_VALUE"""),7)</f>
        <v>7</v>
      </c>
      <c r="K292" s="3">
        <f ca="1">IFERROR(__xludf.DUMMYFUNCTION("""COMPUTED_VALUE"""),7)</f>
        <v>7</v>
      </c>
      <c r="L292" s="3">
        <f ca="1">IFERROR(__xludf.DUMMYFUNCTION("""COMPUTED_VALUE"""),2)</f>
        <v>2</v>
      </c>
      <c r="M292" s="3">
        <f ca="1">IFERROR(__xludf.DUMMYFUNCTION("""COMPUTED_VALUE"""),14)</f>
        <v>14</v>
      </c>
      <c r="N292" s="3">
        <f ca="1">IFERROR(__xludf.DUMMYFUNCTION("""COMPUTED_VALUE"""),2012)</f>
        <v>2012</v>
      </c>
      <c r="O292" s="3">
        <f ca="1">IFERROR(__xludf.DUMMYFUNCTION("""COMPUTED_VALUE"""),2196)</f>
        <v>2196</v>
      </c>
      <c r="P292" s="3">
        <f ca="1">IFERROR(__xludf.DUMMYFUNCTION("""COMPUTED_VALUE"""),1305)</f>
        <v>1305</v>
      </c>
      <c r="Q292" s="3">
        <f ca="1">IFERROR(__xludf.DUMMYFUNCTION("""COMPUTED_VALUE"""),707)</f>
        <v>707</v>
      </c>
      <c r="R292" s="3">
        <f ca="1">IFERROR(__xludf.DUMMYFUNCTION("""COMPUTED_VALUE"""),1639)</f>
        <v>1639</v>
      </c>
      <c r="S292" s="3">
        <f ca="1">IFERROR(__xludf.DUMMYFUNCTION("""COMPUTED_VALUE"""),0.431)</f>
        <v>0.43099999999999999</v>
      </c>
      <c r="T292" s="3">
        <f ca="1">IFERROR(__xludf.DUMMYFUNCTION("""COMPUTED_VALUE"""),184)</f>
        <v>184</v>
      </c>
      <c r="U292" s="3">
        <f ca="1">IFERROR(__xludf.DUMMYFUNCTION("""COMPUTED_VALUE"""),567)</f>
        <v>567</v>
      </c>
      <c r="V292" s="3">
        <f ca="1">IFERROR(__xludf.DUMMYFUNCTION("""COMPUTED_VALUE"""),0.325)</f>
        <v>0.32500000000000001</v>
      </c>
      <c r="W292" s="3">
        <f ca="1">IFERROR(__xludf.DUMMYFUNCTION("""COMPUTED_VALUE"""),414)</f>
        <v>414</v>
      </c>
      <c r="X292" s="3">
        <f ca="1">IFERROR(__xludf.DUMMYFUNCTION("""COMPUTED_VALUE"""),570)</f>
        <v>570</v>
      </c>
      <c r="Y292" s="3">
        <f ca="1">IFERROR(__xludf.DUMMYFUNCTION("""COMPUTED_VALUE"""),0.726)</f>
        <v>0.72599999999999998</v>
      </c>
      <c r="Z292" s="3">
        <f ca="1">IFERROR(__xludf.DUMMYFUNCTION("""COMPUTED_VALUE"""),293)</f>
        <v>293</v>
      </c>
      <c r="AA292" s="3">
        <f ca="1">IFERROR(__xludf.DUMMYFUNCTION("""COMPUTED_VALUE"""),1032)</f>
        <v>1032</v>
      </c>
      <c r="AB292" s="3">
        <f ca="1">IFERROR(__xludf.DUMMYFUNCTION("""COMPUTED_VALUE"""),301)</f>
        <v>301</v>
      </c>
      <c r="AC292" s="3">
        <f ca="1">IFERROR(__xludf.DUMMYFUNCTION("""COMPUTED_VALUE"""),172)</f>
        <v>172</v>
      </c>
      <c r="AD292" s="3">
        <f ca="1">IFERROR(__xludf.DUMMYFUNCTION("""COMPUTED_VALUE"""),177)</f>
        <v>177</v>
      </c>
      <c r="AE292" s="3">
        <f ca="1">IFERROR(__xludf.DUMMYFUNCTION("""COMPUTED_VALUE"""),488)</f>
        <v>488</v>
      </c>
      <c r="AF292" s="3">
        <f ca="1">IFERROR(__xludf.DUMMYFUNCTION("""COMPUTED_VALUE"""),614)</f>
        <v>614</v>
      </c>
    </row>
    <row r="293" spans="1:32" x14ac:dyDescent="0.25">
      <c r="A293" s="3" t="str">
        <f ca="1">IFERROR(__xludf.DUMMYFUNCTION("""COMPUTED_VALUE"""),"Sam Houston State")</f>
        <v>Sam Houston State</v>
      </c>
      <c r="B293" s="3">
        <f ca="1">IFERROR(__xludf.DUMMYFUNCTION("""COMPUTED_VALUE"""),33)</f>
        <v>33</v>
      </c>
      <c r="C293" s="3">
        <f ca="1">IFERROR(__xludf.DUMMYFUNCTION("""COMPUTED_VALUE"""),21)</f>
        <v>21</v>
      </c>
      <c r="D293" s="3">
        <f ca="1">IFERROR(__xludf.DUMMYFUNCTION("""COMPUTED_VALUE"""),12)</f>
        <v>12</v>
      </c>
      <c r="E293" s="3">
        <f ca="1">IFERROR(__xludf.DUMMYFUNCTION("""COMPUTED_VALUE"""),0.636)</f>
        <v>0.63600000000000001</v>
      </c>
      <c r="F293" s="3">
        <f ca="1">IFERROR(__xludf.DUMMYFUNCTION("""COMPUTED_VALUE"""),-3.17)</f>
        <v>-3.17</v>
      </c>
      <c r="G293" s="3">
        <f ca="1">IFERROR(__xludf.DUMMYFUNCTION("""COMPUTED_VALUE"""),-5.84)</f>
        <v>-5.84</v>
      </c>
      <c r="H293" s="3">
        <f ca="1">IFERROR(__xludf.DUMMYFUNCTION("""COMPUTED_VALUE"""),16)</f>
        <v>16</v>
      </c>
      <c r="I293" s="3">
        <f ca="1">IFERROR(__xludf.DUMMYFUNCTION("""COMPUTED_VALUE"""),2)</f>
        <v>2</v>
      </c>
      <c r="J293" s="3">
        <f ca="1">IFERROR(__xludf.DUMMYFUNCTION("""COMPUTED_VALUE"""),12)</f>
        <v>12</v>
      </c>
      <c r="K293" s="3">
        <f ca="1">IFERROR(__xludf.DUMMYFUNCTION("""COMPUTED_VALUE"""),2)</f>
        <v>2</v>
      </c>
      <c r="L293" s="3">
        <f ca="1">IFERROR(__xludf.DUMMYFUNCTION("""COMPUTED_VALUE"""),8)</f>
        <v>8</v>
      </c>
      <c r="M293" s="3">
        <f ca="1">IFERROR(__xludf.DUMMYFUNCTION("""COMPUTED_VALUE"""),9)</f>
        <v>9</v>
      </c>
      <c r="N293" s="3">
        <f ca="1">IFERROR(__xludf.DUMMYFUNCTION("""COMPUTED_VALUE"""),2476)</f>
        <v>2476</v>
      </c>
      <c r="O293" s="3">
        <f ca="1">IFERROR(__xludf.DUMMYFUNCTION("""COMPUTED_VALUE"""),2307)</f>
        <v>2307</v>
      </c>
      <c r="P293" s="3">
        <f ca="1">IFERROR(__xludf.DUMMYFUNCTION("""COMPUTED_VALUE"""),1345)</f>
        <v>1345</v>
      </c>
      <c r="Q293" s="3">
        <f ca="1">IFERROR(__xludf.DUMMYFUNCTION("""COMPUTED_VALUE"""),889)</f>
        <v>889</v>
      </c>
      <c r="R293" s="3">
        <f ca="1">IFERROR(__xludf.DUMMYFUNCTION("""COMPUTED_VALUE"""),2011)</f>
        <v>2011</v>
      </c>
      <c r="S293" s="3">
        <f ca="1">IFERROR(__xludf.DUMMYFUNCTION("""COMPUTED_VALUE"""),0.442)</f>
        <v>0.442</v>
      </c>
      <c r="T293" s="3">
        <f ca="1">IFERROR(__xludf.DUMMYFUNCTION("""COMPUTED_VALUE"""),308)</f>
        <v>308</v>
      </c>
      <c r="U293" s="3">
        <f ca="1">IFERROR(__xludf.DUMMYFUNCTION("""COMPUTED_VALUE"""),840)</f>
        <v>840</v>
      </c>
      <c r="V293" s="3">
        <f ca="1">IFERROR(__xludf.DUMMYFUNCTION("""COMPUTED_VALUE"""),0.367)</f>
        <v>0.36699999999999999</v>
      </c>
      <c r="W293" s="3">
        <f ca="1">IFERROR(__xludf.DUMMYFUNCTION("""COMPUTED_VALUE"""),390)</f>
        <v>390</v>
      </c>
      <c r="X293" s="3">
        <f ca="1">IFERROR(__xludf.DUMMYFUNCTION("""COMPUTED_VALUE"""),518)</f>
        <v>518</v>
      </c>
      <c r="Y293" s="3">
        <f ca="1">IFERROR(__xludf.DUMMYFUNCTION("""COMPUTED_VALUE"""),0.753)</f>
        <v>0.753</v>
      </c>
      <c r="Z293" s="3">
        <f ca="1">IFERROR(__xludf.DUMMYFUNCTION("""COMPUTED_VALUE"""),369)</f>
        <v>369</v>
      </c>
      <c r="AA293" s="3">
        <f ca="1">IFERROR(__xludf.DUMMYFUNCTION("""COMPUTED_VALUE"""),1191)</f>
        <v>1191</v>
      </c>
      <c r="AB293" s="3">
        <f ca="1">IFERROR(__xludf.DUMMYFUNCTION("""COMPUTED_VALUE"""),555)</f>
        <v>555</v>
      </c>
      <c r="AC293" s="3">
        <f ca="1">IFERROR(__xludf.DUMMYFUNCTION("""COMPUTED_VALUE"""),242)</f>
        <v>242</v>
      </c>
      <c r="AD293" s="3">
        <f ca="1">IFERROR(__xludf.DUMMYFUNCTION("""COMPUTED_VALUE"""),94)</f>
        <v>94</v>
      </c>
      <c r="AE293" s="3">
        <f ca="1">IFERROR(__xludf.DUMMYFUNCTION("""COMPUTED_VALUE"""),413)</f>
        <v>413</v>
      </c>
      <c r="AF293" s="3">
        <f ca="1">IFERROR(__xludf.DUMMYFUNCTION("""COMPUTED_VALUE"""),659)</f>
        <v>659</v>
      </c>
    </row>
    <row r="294" spans="1:32" x14ac:dyDescent="0.25">
      <c r="A294" s="3" t="str">
        <f ca="1">IFERROR(__xludf.DUMMYFUNCTION("""COMPUTED_VALUE"""),"Samford")</f>
        <v>Samford</v>
      </c>
      <c r="B294" s="3">
        <f ca="1">IFERROR(__xludf.DUMMYFUNCTION("""COMPUTED_VALUE"""),33)</f>
        <v>33</v>
      </c>
      <c r="C294" s="3">
        <f ca="1">IFERROR(__xludf.DUMMYFUNCTION("""COMPUTED_VALUE"""),17)</f>
        <v>17</v>
      </c>
      <c r="D294" s="3">
        <f ca="1">IFERROR(__xludf.DUMMYFUNCTION("""COMPUTED_VALUE"""),16)</f>
        <v>16</v>
      </c>
      <c r="E294" s="3">
        <f ca="1">IFERROR(__xludf.DUMMYFUNCTION("""COMPUTED_VALUE"""),0.515)</f>
        <v>0.51500000000000001</v>
      </c>
      <c r="F294" s="3">
        <f ca="1">IFERROR(__xludf.DUMMYFUNCTION("""COMPUTED_VALUE"""),0.69)</f>
        <v>0.69</v>
      </c>
      <c r="G294" s="3">
        <f ca="1">IFERROR(__xludf.DUMMYFUNCTION("""COMPUTED_VALUE"""),-2.03)</f>
        <v>-2.0299999999999998</v>
      </c>
      <c r="H294" s="3">
        <f ca="1">IFERROR(__xludf.DUMMYFUNCTION("""COMPUTED_VALUE"""),6)</f>
        <v>6</v>
      </c>
      <c r="I294" s="3">
        <f ca="1">IFERROR(__xludf.DUMMYFUNCTION("""COMPUTED_VALUE"""),12)</f>
        <v>12</v>
      </c>
      <c r="J294" s="3">
        <f ca="1">IFERROR(__xludf.DUMMYFUNCTION("""COMPUTED_VALUE"""),11)</f>
        <v>11</v>
      </c>
      <c r="K294" s="3">
        <f ca="1">IFERROR(__xludf.DUMMYFUNCTION("""COMPUTED_VALUE"""),6)</f>
        <v>6</v>
      </c>
      <c r="L294" s="3">
        <f ca="1">IFERROR(__xludf.DUMMYFUNCTION("""COMPUTED_VALUE"""),5)</f>
        <v>5</v>
      </c>
      <c r="M294" s="3">
        <f ca="1">IFERROR(__xludf.DUMMYFUNCTION("""COMPUTED_VALUE"""),9)</f>
        <v>9</v>
      </c>
      <c r="N294" s="3">
        <f ca="1">IFERROR(__xludf.DUMMYFUNCTION("""COMPUTED_VALUE"""),2583)</f>
        <v>2583</v>
      </c>
      <c r="O294" s="3">
        <f ca="1">IFERROR(__xludf.DUMMYFUNCTION("""COMPUTED_VALUE"""),2487)</f>
        <v>2487</v>
      </c>
      <c r="P294" s="3">
        <f ca="1">IFERROR(__xludf.DUMMYFUNCTION("""COMPUTED_VALUE"""),1355)</f>
        <v>1355</v>
      </c>
      <c r="Q294" s="3">
        <f ca="1">IFERROR(__xludf.DUMMYFUNCTION("""COMPUTED_VALUE"""),921)</f>
        <v>921</v>
      </c>
      <c r="R294" s="3">
        <f ca="1">IFERROR(__xludf.DUMMYFUNCTION("""COMPUTED_VALUE"""),1951)</f>
        <v>1951</v>
      </c>
      <c r="S294" s="3">
        <f ca="1">IFERROR(__xludf.DUMMYFUNCTION("""COMPUTED_VALUE"""),0.472)</f>
        <v>0.47199999999999998</v>
      </c>
      <c r="T294" s="3">
        <f ca="1">IFERROR(__xludf.DUMMYFUNCTION("""COMPUTED_VALUE"""),254)</f>
        <v>254</v>
      </c>
      <c r="U294" s="3">
        <f ca="1">IFERROR(__xludf.DUMMYFUNCTION("""COMPUTED_VALUE"""),687)</f>
        <v>687</v>
      </c>
      <c r="V294" s="3">
        <f ca="1">IFERROR(__xludf.DUMMYFUNCTION("""COMPUTED_VALUE"""),0.37)</f>
        <v>0.37</v>
      </c>
      <c r="W294" s="3">
        <f ca="1">IFERROR(__xludf.DUMMYFUNCTION("""COMPUTED_VALUE"""),487)</f>
        <v>487</v>
      </c>
      <c r="X294" s="3">
        <f ca="1">IFERROR(__xludf.DUMMYFUNCTION("""COMPUTED_VALUE"""),666)</f>
        <v>666</v>
      </c>
      <c r="Y294" s="3">
        <f ca="1">IFERROR(__xludf.DUMMYFUNCTION("""COMPUTED_VALUE"""),0.731)</f>
        <v>0.73099999999999998</v>
      </c>
      <c r="Z294" s="3">
        <f ca="1">IFERROR(__xludf.DUMMYFUNCTION("""COMPUTED_VALUE"""),316)</f>
        <v>316</v>
      </c>
      <c r="AA294" s="3">
        <f ca="1">IFERROR(__xludf.DUMMYFUNCTION("""COMPUTED_VALUE"""),1225)</f>
        <v>1225</v>
      </c>
      <c r="AB294" s="3">
        <f ca="1">IFERROR(__xludf.DUMMYFUNCTION("""COMPUTED_VALUE"""),461)</f>
        <v>461</v>
      </c>
      <c r="AC294" s="3">
        <f ca="1">IFERROR(__xludf.DUMMYFUNCTION("""COMPUTED_VALUE"""),238)</f>
        <v>238</v>
      </c>
      <c r="AD294" s="3">
        <f ca="1">IFERROR(__xludf.DUMMYFUNCTION("""COMPUTED_VALUE"""),127)</f>
        <v>127</v>
      </c>
      <c r="AE294" s="3">
        <f ca="1">IFERROR(__xludf.DUMMYFUNCTION("""COMPUTED_VALUE"""),463)</f>
        <v>463</v>
      </c>
      <c r="AF294" s="3">
        <f ca="1">IFERROR(__xludf.DUMMYFUNCTION("""COMPUTED_VALUE"""),560)</f>
        <v>560</v>
      </c>
    </row>
    <row r="295" spans="1:32" x14ac:dyDescent="0.25">
      <c r="A295" s="3" t="str">
        <f ca="1">IFERROR(__xludf.DUMMYFUNCTION("""COMPUTED_VALUE"""),"San Diego State")</f>
        <v>San Diego State</v>
      </c>
      <c r="B295" s="3">
        <f ca="1">IFERROR(__xludf.DUMMYFUNCTION("""COMPUTED_VALUE"""),34)</f>
        <v>34</v>
      </c>
      <c r="C295" s="3">
        <f ca="1">IFERROR(__xludf.DUMMYFUNCTION("""COMPUTED_VALUE"""),21)</f>
        <v>21</v>
      </c>
      <c r="D295" s="3">
        <f ca="1">IFERROR(__xludf.DUMMYFUNCTION("""COMPUTED_VALUE"""),13)</f>
        <v>13</v>
      </c>
      <c r="E295" s="3">
        <f ca="1">IFERROR(__xludf.DUMMYFUNCTION("""COMPUTED_VALUE"""),0.618)</f>
        <v>0.61799999999999999</v>
      </c>
      <c r="F295" s="3">
        <f ca="1">IFERROR(__xludf.DUMMYFUNCTION("""COMPUTED_VALUE"""),5.29)</f>
        <v>5.29</v>
      </c>
      <c r="G295" s="3">
        <f ca="1">IFERROR(__xludf.DUMMYFUNCTION("""COMPUTED_VALUE"""),2.47)</f>
        <v>2.4700000000000002</v>
      </c>
      <c r="H295" s="3">
        <f ca="1">IFERROR(__xludf.DUMMYFUNCTION("""COMPUTED_VALUE"""),11)</f>
        <v>11</v>
      </c>
      <c r="I295" s="3">
        <f ca="1">IFERROR(__xludf.DUMMYFUNCTION("""COMPUTED_VALUE"""),7)</f>
        <v>7</v>
      </c>
      <c r="J295" s="3">
        <f ca="1">IFERROR(__xludf.DUMMYFUNCTION("""COMPUTED_VALUE"""),14)</f>
        <v>14</v>
      </c>
      <c r="K295" s="3">
        <f ca="1">IFERROR(__xludf.DUMMYFUNCTION("""COMPUTED_VALUE"""),3)</f>
        <v>3</v>
      </c>
      <c r="L295" s="3">
        <f ca="1">IFERROR(__xludf.DUMMYFUNCTION("""COMPUTED_VALUE"""),4)</f>
        <v>4</v>
      </c>
      <c r="M295" s="3">
        <f ca="1">IFERROR(__xludf.DUMMYFUNCTION("""COMPUTED_VALUE"""),7)</f>
        <v>7</v>
      </c>
      <c r="N295" s="3">
        <f ca="1">IFERROR(__xludf.DUMMYFUNCTION("""COMPUTED_VALUE"""),2437)</f>
        <v>2437</v>
      </c>
      <c r="O295" s="3">
        <f ca="1">IFERROR(__xludf.DUMMYFUNCTION("""COMPUTED_VALUE"""),2291)</f>
        <v>2291</v>
      </c>
      <c r="P295" s="3">
        <f ca="1">IFERROR(__xludf.DUMMYFUNCTION("""COMPUTED_VALUE"""),1360)</f>
        <v>1360</v>
      </c>
      <c r="Q295" s="3">
        <f ca="1">IFERROR(__xludf.DUMMYFUNCTION("""COMPUTED_VALUE"""),845)</f>
        <v>845</v>
      </c>
      <c r="R295" s="3">
        <f ca="1">IFERROR(__xludf.DUMMYFUNCTION("""COMPUTED_VALUE"""),1940)</f>
        <v>1940</v>
      </c>
      <c r="S295" s="3">
        <f ca="1">IFERROR(__xludf.DUMMYFUNCTION("""COMPUTED_VALUE"""),0.436)</f>
        <v>0.436</v>
      </c>
      <c r="T295" s="3">
        <f ca="1">IFERROR(__xludf.DUMMYFUNCTION("""COMPUTED_VALUE"""),261)</f>
        <v>261</v>
      </c>
      <c r="U295" s="3">
        <f ca="1">IFERROR(__xludf.DUMMYFUNCTION("""COMPUTED_VALUE"""),721)</f>
        <v>721</v>
      </c>
      <c r="V295" s="3">
        <f ca="1">IFERROR(__xludf.DUMMYFUNCTION("""COMPUTED_VALUE"""),0.362)</f>
        <v>0.36199999999999999</v>
      </c>
      <c r="W295" s="3">
        <f ca="1">IFERROR(__xludf.DUMMYFUNCTION("""COMPUTED_VALUE"""),486)</f>
        <v>486</v>
      </c>
      <c r="X295" s="3">
        <f ca="1">IFERROR(__xludf.DUMMYFUNCTION("""COMPUTED_VALUE"""),679)</f>
        <v>679</v>
      </c>
      <c r="Y295" s="3">
        <f ca="1">IFERROR(__xludf.DUMMYFUNCTION("""COMPUTED_VALUE"""),0.716)</f>
        <v>0.71599999999999997</v>
      </c>
      <c r="Z295" s="3">
        <f ca="1">IFERROR(__xludf.DUMMYFUNCTION("""COMPUTED_VALUE"""),346)</f>
        <v>346</v>
      </c>
      <c r="AA295" s="3">
        <f ca="1">IFERROR(__xludf.DUMMYFUNCTION("""COMPUTED_VALUE"""),1228)</f>
        <v>1228</v>
      </c>
      <c r="AB295" s="3">
        <f ca="1">IFERROR(__xludf.DUMMYFUNCTION("""COMPUTED_VALUE"""),487)</f>
        <v>487</v>
      </c>
      <c r="AC295" s="3">
        <f ca="1">IFERROR(__xludf.DUMMYFUNCTION("""COMPUTED_VALUE"""),197)</f>
        <v>197</v>
      </c>
      <c r="AD295" s="3">
        <f ca="1">IFERROR(__xludf.DUMMYFUNCTION("""COMPUTED_VALUE"""),113)</f>
        <v>113</v>
      </c>
      <c r="AE295" s="3">
        <f ca="1">IFERROR(__xludf.DUMMYFUNCTION("""COMPUTED_VALUE"""),424)</f>
        <v>424</v>
      </c>
      <c r="AF295" s="3">
        <f ca="1">IFERROR(__xludf.DUMMYFUNCTION("""COMPUTED_VALUE"""),638)</f>
        <v>638</v>
      </c>
    </row>
    <row r="296" spans="1:32" x14ac:dyDescent="0.25">
      <c r="A296" s="3" t="str">
        <f ca="1">IFERROR(__xludf.DUMMYFUNCTION("""COMPUTED_VALUE"""),"San Diego")</f>
        <v>San Diego</v>
      </c>
      <c r="B296" s="3">
        <f ca="1">IFERROR(__xludf.DUMMYFUNCTION("""COMPUTED_VALUE"""),36)</f>
        <v>36</v>
      </c>
      <c r="C296" s="3">
        <f ca="1">IFERROR(__xludf.DUMMYFUNCTION("""COMPUTED_VALUE"""),21)</f>
        <v>21</v>
      </c>
      <c r="D296" s="3">
        <f ca="1">IFERROR(__xludf.DUMMYFUNCTION("""COMPUTED_VALUE"""),15)</f>
        <v>15</v>
      </c>
      <c r="E296" s="3">
        <f ca="1">IFERROR(__xludf.DUMMYFUNCTION("""COMPUTED_VALUE"""),0.583)</f>
        <v>0.58299999999999996</v>
      </c>
      <c r="F296" s="3">
        <f ca="1">IFERROR(__xludf.DUMMYFUNCTION("""COMPUTED_VALUE"""),6.12)</f>
        <v>6.12</v>
      </c>
      <c r="G296" s="3">
        <f ca="1">IFERROR(__xludf.DUMMYFUNCTION("""COMPUTED_VALUE"""),3.61)</f>
        <v>3.61</v>
      </c>
      <c r="H296" s="3">
        <f ca="1">IFERROR(__xludf.DUMMYFUNCTION("""COMPUTED_VALUE"""),7)</f>
        <v>7</v>
      </c>
      <c r="I296" s="3">
        <f ca="1">IFERROR(__xludf.DUMMYFUNCTION("""COMPUTED_VALUE"""),9)</f>
        <v>9</v>
      </c>
      <c r="J296" s="3">
        <f ca="1">IFERROR(__xludf.DUMMYFUNCTION("""COMPUTED_VALUE"""),12)</f>
        <v>12</v>
      </c>
      <c r="K296" s="3">
        <f ca="1">IFERROR(__xludf.DUMMYFUNCTION("""COMPUTED_VALUE"""),4)</f>
        <v>4</v>
      </c>
      <c r="L296" s="3">
        <f ca="1">IFERROR(__xludf.DUMMYFUNCTION("""COMPUTED_VALUE"""),5)</f>
        <v>5</v>
      </c>
      <c r="M296" s="3">
        <f ca="1">IFERROR(__xludf.DUMMYFUNCTION("""COMPUTED_VALUE"""),9)</f>
        <v>9</v>
      </c>
      <c r="N296" s="3">
        <f ca="1">IFERROR(__xludf.DUMMYFUNCTION("""COMPUTED_VALUE"""),2591)</f>
        <v>2591</v>
      </c>
      <c r="O296" s="3">
        <f ca="1">IFERROR(__xludf.DUMMYFUNCTION("""COMPUTED_VALUE"""),2455)</f>
        <v>2455</v>
      </c>
      <c r="P296" s="3">
        <f ca="1">IFERROR(__xludf.DUMMYFUNCTION("""COMPUTED_VALUE"""),1460)</f>
        <v>1460</v>
      </c>
      <c r="Q296" s="3">
        <f ca="1">IFERROR(__xludf.DUMMYFUNCTION("""COMPUTED_VALUE"""),914)</f>
        <v>914</v>
      </c>
      <c r="R296" s="3">
        <f ca="1">IFERROR(__xludf.DUMMYFUNCTION("""COMPUTED_VALUE"""),2002)</f>
        <v>2002</v>
      </c>
      <c r="S296" s="3">
        <f ca="1">IFERROR(__xludf.DUMMYFUNCTION("""COMPUTED_VALUE"""),0.457)</f>
        <v>0.45700000000000002</v>
      </c>
      <c r="T296" s="3">
        <f ca="1">IFERROR(__xludf.DUMMYFUNCTION("""COMPUTED_VALUE"""),284)</f>
        <v>284</v>
      </c>
      <c r="U296" s="3">
        <f ca="1">IFERROR(__xludf.DUMMYFUNCTION("""COMPUTED_VALUE"""),808)</f>
        <v>808</v>
      </c>
      <c r="V296" s="3">
        <f ca="1">IFERROR(__xludf.DUMMYFUNCTION("""COMPUTED_VALUE"""),0.351)</f>
        <v>0.35099999999999998</v>
      </c>
      <c r="W296" s="3">
        <f ca="1">IFERROR(__xludf.DUMMYFUNCTION("""COMPUTED_VALUE"""),479)</f>
        <v>479</v>
      </c>
      <c r="X296" s="3">
        <f ca="1">IFERROR(__xludf.DUMMYFUNCTION("""COMPUTED_VALUE"""),641)</f>
        <v>641</v>
      </c>
      <c r="Y296" s="3">
        <f ca="1">IFERROR(__xludf.DUMMYFUNCTION("""COMPUTED_VALUE"""),0.747)</f>
        <v>0.747</v>
      </c>
      <c r="Z296" s="3">
        <f ca="1">IFERROR(__xludf.DUMMYFUNCTION("""COMPUTED_VALUE"""),290)</f>
        <v>290</v>
      </c>
      <c r="AA296" s="3">
        <f ca="1">IFERROR(__xludf.DUMMYFUNCTION("""COMPUTED_VALUE"""),1238)</f>
        <v>1238</v>
      </c>
      <c r="AB296" s="3">
        <f ca="1">IFERROR(__xludf.DUMMYFUNCTION("""COMPUTED_VALUE"""),516)</f>
        <v>516</v>
      </c>
      <c r="AC296" s="3">
        <f ca="1">IFERROR(__xludf.DUMMYFUNCTION("""COMPUTED_VALUE"""),204)</f>
        <v>204</v>
      </c>
      <c r="AD296" s="3">
        <f ca="1">IFERROR(__xludf.DUMMYFUNCTION("""COMPUTED_VALUE"""),112)</f>
        <v>112</v>
      </c>
      <c r="AE296" s="3">
        <f ca="1">IFERROR(__xludf.DUMMYFUNCTION("""COMPUTED_VALUE"""),466)</f>
        <v>466</v>
      </c>
      <c r="AF296" s="3">
        <f ca="1">IFERROR(__xludf.DUMMYFUNCTION("""COMPUTED_VALUE"""),667)</f>
        <v>667</v>
      </c>
    </row>
    <row r="297" spans="1:32" x14ac:dyDescent="0.25">
      <c r="A297" s="3" t="str">
        <f ca="1">IFERROR(__xludf.DUMMYFUNCTION("""COMPUTED_VALUE"""),"San Francisco")</f>
        <v>San Francisco</v>
      </c>
      <c r="B297" s="3">
        <f ca="1">IFERROR(__xludf.DUMMYFUNCTION("""COMPUTED_VALUE"""),31)</f>
        <v>31</v>
      </c>
      <c r="C297" s="3">
        <f ca="1">IFERROR(__xludf.DUMMYFUNCTION("""COMPUTED_VALUE"""),21)</f>
        <v>21</v>
      </c>
      <c r="D297" s="3">
        <f ca="1">IFERROR(__xludf.DUMMYFUNCTION("""COMPUTED_VALUE"""),10)</f>
        <v>10</v>
      </c>
      <c r="E297" s="3">
        <f ca="1">IFERROR(__xludf.DUMMYFUNCTION("""COMPUTED_VALUE"""),0.677)</f>
        <v>0.67700000000000005</v>
      </c>
      <c r="F297" s="3">
        <f ca="1">IFERROR(__xludf.DUMMYFUNCTION("""COMPUTED_VALUE"""),8.56)</f>
        <v>8.56</v>
      </c>
      <c r="G297" s="3">
        <f ca="1">IFERROR(__xludf.DUMMYFUNCTION("""COMPUTED_VALUE"""),1.13)</f>
        <v>1.1299999999999999</v>
      </c>
      <c r="H297" s="3">
        <f ca="1">IFERROR(__xludf.DUMMYFUNCTION("""COMPUTED_VALUE"""),9)</f>
        <v>9</v>
      </c>
      <c r="I297" s="3">
        <f ca="1">IFERROR(__xludf.DUMMYFUNCTION("""COMPUTED_VALUE"""),7)</f>
        <v>7</v>
      </c>
      <c r="J297" s="3">
        <f ca="1">IFERROR(__xludf.DUMMYFUNCTION("""COMPUTED_VALUE"""),13)</f>
        <v>13</v>
      </c>
      <c r="K297" s="3">
        <f ca="1">IFERROR(__xludf.DUMMYFUNCTION("""COMPUTED_VALUE"""),3)</f>
        <v>3</v>
      </c>
      <c r="L297" s="3">
        <f ca="1">IFERROR(__xludf.DUMMYFUNCTION("""COMPUTED_VALUE"""),6)</f>
        <v>6</v>
      </c>
      <c r="M297" s="3">
        <f ca="1">IFERROR(__xludf.DUMMYFUNCTION("""COMPUTED_VALUE"""),5)</f>
        <v>5</v>
      </c>
      <c r="N297" s="3">
        <f ca="1">IFERROR(__xludf.DUMMYFUNCTION("""COMPUTED_VALUE"""),2358)</f>
        <v>2358</v>
      </c>
      <c r="O297" s="3">
        <f ca="1">IFERROR(__xludf.DUMMYFUNCTION("""COMPUTED_VALUE"""),2101)</f>
        <v>2101</v>
      </c>
      <c r="P297" s="3">
        <f ca="1">IFERROR(__xludf.DUMMYFUNCTION("""COMPUTED_VALUE"""),1250)</f>
        <v>1250</v>
      </c>
      <c r="Q297" s="3">
        <f ca="1">IFERROR(__xludf.DUMMYFUNCTION("""COMPUTED_VALUE"""),864)</f>
        <v>864</v>
      </c>
      <c r="R297" s="3">
        <f ca="1">IFERROR(__xludf.DUMMYFUNCTION("""COMPUTED_VALUE"""),1851)</f>
        <v>1851</v>
      </c>
      <c r="S297" s="3">
        <f ca="1">IFERROR(__xludf.DUMMYFUNCTION("""COMPUTED_VALUE"""),0.467)</f>
        <v>0.46700000000000003</v>
      </c>
      <c r="T297" s="3">
        <f ca="1">IFERROR(__xludf.DUMMYFUNCTION("""COMPUTED_VALUE"""),258)</f>
        <v>258</v>
      </c>
      <c r="U297" s="3">
        <f ca="1">IFERROR(__xludf.DUMMYFUNCTION("""COMPUTED_VALUE"""),727)</f>
        <v>727</v>
      </c>
      <c r="V297" s="3">
        <f ca="1">IFERROR(__xludf.DUMMYFUNCTION("""COMPUTED_VALUE"""),0.355)</f>
        <v>0.35499999999999998</v>
      </c>
      <c r="W297" s="3">
        <f ca="1">IFERROR(__xludf.DUMMYFUNCTION("""COMPUTED_VALUE"""),372)</f>
        <v>372</v>
      </c>
      <c r="X297" s="3">
        <f ca="1">IFERROR(__xludf.DUMMYFUNCTION("""COMPUTED_VALUE"""),568)</f>
        <v>568</v>
      </c>
      <c r="Y297" s="3">
        <f ca="1">IFERROR(__xludf.DUMMYFUNCTION("""COMPUTED_VALUE"""),0.655)</f>
        <v>0.65500000000000003</v>
      </c>
      <c r="Z297" s="3">
        <f ca="1">IFERROR(__xludf.DUMMYFUNCTION("""COMPUTED_VALUE"""),340)</f>
        <v>340</v>
      </c>
      <c r="AA297" s="3">
        <f ca="1">IFERROR(__xludf.DUMMYFUNCTION("""COMPUTED_VALUE"""),1138)</f>
        <v>1138</v>
      </c>
      <c r="AB297" s="3">
        <f ca="1">IFERROR(__xludf.DUMMYFUNCTION("""COMPUTED_VALUE"""),439)</f>
        <v>439</v>
      </c>
      <c r="AC297" s="3">
        <f ca="1">IFERROR(__xludf.DUMMYFUNCTION("""COMPUTED_VALUE"""),188)</f>
        <v>188</v>
      </c>
      <c r="AD297" s="3">
        <f ca="1">IFERROR(__xludf.DUMMYFUNCTION("""COMPUTED_VALUE"""),105)</f>
        <v>105</v>
      </c>
      <c r="AE297" s="3">
        <f ca="1">IFERROR(__xludf.DUMMYFUNCTION("""COMPUTED_VALUE"""),321)</f>
        <v>321</v>
      </c>
      <c r="AF297" s="3">
        <f ca="1">IFERROR(__xludf.DUMMYFUNCTION("""COMPUTED_VALUE"""),543)</f>
        <v>543</v>
      </c>
    </row>
    <row r="298" spans="1:32" x14ac:dyDescent="0.25">
      <c r="A298" s="3" t="str">
        <f ca="1">IFERROR(__xludf.DUMMYFUNCTION("""COMPUTED_VALUE"""),"San Jose State")</f>
        <v>San Jose State</v>
      </c>
      <c r="B298" s="3">
        <f ca="1">IFERROR(__xludf.DUMMYFUNCTION("""COMPUTED_VALUE"""),31)</f>
        <v>31</v>
      </c>
      <c r="C298" s="3">
        <f ca="1">IFERROR(__xludf.DUMMYFUNCTION("""COMPUTED_VALUE"""),4)</f>
        <v>4</v>
      </c>
      <c r="D298" s="3">
        <f ca="1">IFERROR(__xludf.DUMMYFUNCTION("""COMPUTED_VALUE"""),27)</f>
        <v>27</v>
      </c>
      <c r="E298" s="3">
        <f ca="1">IFERROR(__xludf.DUMMYFUNCTION("""COMPUTED_VALUE"""),0.129)</f>
        <v>0.129</v>
      </c>
      <c r="F298" s="3">
        <f ca="1">IFERROR(__xludf.DUMMYFUNCTION("""COMPUTED_VALUE"""),-16.37)</f>
        <v>-16.37</v>
      </c>
      <c r="G298" s="3">
        <f ca="1">IFERROR(__xludf.DUMMYFUNCTION("""COMPUTED_VALUE"""),0.59)</f>
        <v>0.59</v>
      </c>
      <c r="H298" s="3">
        <f ca="1">IFERROR(__xludf.DUMMYFUNCTION("""COMPUTED_VALUE"""),1)</f>
        <v>1</v>
      </c>
      <c r="I298" s="3">
        <f ca="1">IFERROR(__xludf.DUMMYFUNCTION("""COMPUTED_VALUE"""),17)</f>
        <v>17</v>
      </c>
      <c r="J298" s="3">
        <f ca="1">IFERROR(__xludf.DUMMYFUNCTION("""COMPUTED_VALUE"""),4)</f>
        <v>4</v>
      </c>
      <c r="K298" s="3">
        <f ca="1">IFERROR(__xludf.DUMMYFUNCTION("""COMPUTED_VALUE"""),11)</f>
        <v>11</v>
      </c>
      <c r="L298" s="3">
        <f ca="1">IFERROR(__xludf.DUMMYFUNCTION("""COMPUTED_VALUE"""),0)</f>
        <v>0</v>
      </c>
      <c r="M298" s="3">
        <f ca="1">IFERROR(__xludf.DUMMYFUNCTION("""COMPUTED_VALUE"""),12)</f>
        <v>12</v>
      </c>
      <c r="N298" s="3">
        <f ca="1">IFERROR(__xludf.DUMMYFUNCTION("""COMPUTED_VALUE"""),2042)</f>
        <v>2042</v>
      </c>
      <c r="O298" s="3">
        <f ca="1">IFERROR(__xludf.DUMMYFUNCTION("""COMPUTED_VALUE"""),2534)</f>
        <v>2534</v>
      </c>
      <c r="P298" s="3">
        <f ca="1">IFERROR(__xludf.DUMMYFUNCTION("""COMPUTED_VALUE"""),1250)</f>
        <v>1250</v>
      </c>
      <c r="Q298" s="3">
        <f ca="1">IFERROR(__xludf.DUMMYFUNCTION("""COMPUTED_VALUE"""),713)</f>
        <v>713</v>
      </c>
      <c r="R298" s="3">
        <f ca="1">IFERROR(__xludf.DUMMYFUNCTION("""COMPUTED_VALUE"""),1765)</f>
        <v>1765</v>
      </c>
      <c r="S298" s="3">
        <f ca="1">IFERROR(__xludf.DUMMYFUNCTION("""COMPUTED_VALUE"""),0.404)</f>
        <v>0.40400000000000003</v>
      </c>
      <c r="T298" s="3">
        <f ca="1">IFERROR(__xludf.DUMMYFUNCTION("""COMPUTED_VALUE"""),210)</f>
        <v>210</v>
      </c>
      <c r="U298" s="3">
        <f ca="1">IFERROR(__xludf.DUMMYFUNCTION("""COMPUTED_VALUE"""),641)</f>
        <v>641</v>
      </c>
      <c r="V298" s="3">
        <f ca="1">IFERROR(__xludf.DUMMYFUNCTION("""COMPUTED_VALUE"""),0.328)</f>
        <v>0.32800000000000001</v>
      </c>
      <c r="W298" s="3">
        <f ca="1">IFERROR(__xludf.DUMMYFUNCTION("""COMPUTED_VALUE"""),406)</f>
        <v>406</v>
      </c>
      <c r="X298" s="3">
        <f ca="1">IFERROR(__xludf.DUMMYFUNCTION("""COMPUTED_VALUE"""),620)</f>
        <v>620</v>
      </c>
      <c r="Y298" s="3">
        <f ca="1">IFERROR(__xludf.DUMMYFUNCTION("""COMPUTED_VALUE"""),0.655)</f>
        <v>0.65500000000000003</v>
      </c>
      <c r="Z298" s="3">
        <f ca="1">IFERROR(__xludf.DUMMYFUNCTION("""COMPUTED_VALUE"""),323)</f>
        <v>323</v>
      </c>
      <c r="AA298" s="3">
        <f ca="1">IFERROR(__xludf.DUMMYFUNCTION("""COMPUTED_VALUE"""),1130)</f>
        <v>1130</v>
      </c>
      <c r="AB298" s="3">
        <f ca="1">IFERROR(__xludf.DUMMYFUNCTION("""COMPUTED_VALUE"""),423)</f>
        <v>423</v>
      </c>
      <c r="AC298" s="3">
        <f ca="1">IFERROR(__xludf.DUMMYFUNCTION("""COMPUTED_VALUE"""),131)</f>
        <v>131</v>
      </c>
      <c r="AD298" s="3">
        <f ca="1">IFERROR(__xludf.DUMMYFUNCTION("""COMPUTED_VALUE"""),52)</f>
        <v>52</v>
      </c>
      <c r="AE298" s="3">
        <f ca="1">IFERROR(__xludf.DUMMYFUNCTION("""COMPUTED_VALUE"""),484)</f>
        <v>484</v>
      </c>
      <c r="AF298" s="3">
        <f ca="1">IFERROR(__xludf.DUMMYFUNCTION("""COMPUTED_VALUE"""),539)</f>
        <v>539</v>
      </c>
    </row>
    <row r="299" spans="1:32" x14ac:dyDescent="0.25">
      <c r="A299" s="3" t="str">
        <f ca="1">IFERROR(__xludf.DUMMYFUNCTION("""COMPUTED_VALUE"""),"Santa Clara")</f>
        <v>Santa Clara</v>
      </c>
      <c r="B299" s="3">
        <f ca="1">IFERROR(__xludf.DUMMYFUNCTION("""COMPUTED_VALUE"""),31)</f>
        <v>31</v>
      </c>
      <c r="C299" s="3">
        <f ca="1">IFERROR(__xludf.DUMMYFUNCTION("""COMPUTED_VALUE"""),16)</f>
        <v>16</v>
      </c>
      <c r="D299" s="3">
        <f ca="1">IFERROR(__xludf.DUMMYFUNCTION("""COMPUTED_VALUE"""),15)</f>
        <v>15</v>
      </c>
      <c r="E299" s="3">
        <f ca="1">IFERROR(__xludf.DUMMYFUNCTION("""COMPUTED_VALUE"""),0.516)</f>
        <v>0.51600000000000001</v>
      </c>
      <c r="F299" s="3">
        <f ca="1">IFERROR(__xludf.DUMMYFUNCTION("""COMPUTED_VALUE"""),-1.91)</f>
        <v>-1.91</v>
      </c>
      <c r="G299" s="3">
        <f ca="1">IFERROR(__xludf.DUMMYFUNCTION("""COMPUTED_VALUE"""),0.92)</f>
        <v>0.92</v>
      </c>
      <c r="H299" s="3">
        <f ca="1">IFERROR(__xludf.DUMMYFUNCTION("""COMPUTED_VALUE"""),8)</f>
        <v>8</v>
      </c>
      <c r="I299" s="3">
        <f ca="1">IFERROR(__xludf.DUMMYFUNCTION("""COMPUTED_VALUE"""),8)</f>
        <v>8</v>
      </c>
      <c r="J299" s="3">
        <f ca="1">IFERROR(__xludf.DUMMYFUNCTION("""COMPUTED_VALUE"""),11)</f>
        <v>11</v>
      </c>
      <c r="K299" s="3">
        <f ca="1">IFERROR(__xludf.DUMMYFUNCTION("""COMPUTED_VALUE"""),6)</f>
        <v>6</v>
      </c>
      <c r="L299" s="3">
        <f ca="1">IFERROR(__xludf.DUMMYFUNCTION("""COMPUTED_VALUE"""),4)</f>
        <v>4</v>
      </c>
      <c r="M299" s="3">
        <f ca="1">IFERROR(__xludf.DUMMYFUNCTION("""COMPUTED_VALUE"""),6)</f>
        <v>6</v>
      </c>
      <c r="N299" s="3">
        <f ca="1">IFERROR(__xludf.DUMMYFUNCTION("""COMPUTED_VALUE"""),2115)</f>
        <v>2115</v>
      </c>
      <c r="O299" s="3">
        <f ca="1">IFERROR(__xludf.DUMMYFUNCTION("""COMPUTED_VALUE"""),2172)</f>
        <v>2172</v>
      </c>
      <c r="P299" s="3">
        <f ca="1">IFERROR(__xludf.DUMMYFUNCTION("""COMPUTED_VALUE"""),1255)</f>
        <v>1255</v>
      </c>
      <c r="Q299" s="3">
        <f ca="1">IFERROR(__xludf.DUMMYFUNCTION("""COMPUTED_VALUE"""),735)</f>
        <v>735</v>
      </c>
      <c r="R299" s="3">
        <f ca="1">IFERROR(__xludf.DUMMYFUNCTION("""COMPUTED_VALUE"""),1653)</f>
        <v>1653</v>
      </c>
      <c r="S299" s="3">
        <f ca="1">IFERROR(__xludf.DUMMYFUNCTION("""COMPUTED_VALUE"""),0.445)</f>
        <v>0.44500000000000001</v>
      </c>
      <c r="T299" s="3">
        <f ca="1">IFERROR(__xludf.DUMMYFUNCTION("""COMPUTED_VALUE"""),239)</f>
        <v>239</v>
      </c>
      <c r="U299" s="3">
        <f ca="1">IFERROR(__xludf.DUMMYFUNCTION("""COMPUTED_VALUE"""),663)</f>
        <v>663</v>
      </c>
      <c r="V299" s="3">
        <f ca="1">IFERROR(__xludf.DUMMYFUNCTION("""COMPUTED_VALUE"""),0.36)</f>
        <v>0.36</v>
      </c>
      <c r="W299" s="3">
        <f ca="1">IFERROR(__xludf.DUMMYFUNCTION("""COMPUTED_VALUE"""),406)</f>
        <v>406</v>
      </c>
      <c r="X299" s="3">
        <f ca="1">IFERROR(__xludf.DUMMYFUNCTION("""COMPUTED_VALUE"""),567)</f>
        <v>567</v>
      </c>
      <c r="Y299" s="3">
        <f ca="1">IFERROR(__xludf.DUMMYFUNCTION("""COMPUTED_VALUE"""),0.716)</f>
        <v>0.71599999999999997</v>
      </c>
      <c r="Z299" s="3">
        <f ca="1">IFERROR(__xludf.DUMMYFUNCTION("""COMPUTED_VALUE"""),242)</f>
        <v>242</v>
      </c>
      <c r="AA299" s="3">
        <f ca="1">IFERROR(__xludf.DUMMYFUNCTION("""COMPUTED_VALUE"""),1026)</f>
        <v>1026</v>
      </c>
      <c r="AB299" s="3">
        <f ca="1">IFERROR(__xludf.DUMMYFUNCTION("""COMPUTED_VALUE"""),416)</f>
        <v>416</v>
      </c>
      <c r="AC299" s="3">
        <f ca="1">IFERROR(__xludf.DUMMYFUNCTION("""COMPUTED_VALUE"""),146)</f>
        <v>146</v>
      </c>
      <c r="AD299" s="3">
        <f ca="1">IFERROR(__xludf.DUMMYFUNCTION("""COMPUTED_VALUE"""),111)</f>
        <v>111</v>
      </c>
      <c r="AE299" s="3">
        <f ca="1">IFERROR(__xludf.DUMMYFUNCTION("""COMPUTED_VALUE"""),433)</f>
        <v>433</v>
      </c>
      <c r="AF299" s="3">
        <f ca="1">IFERROR(__xludf.DUMMYFUNCTION("""COMPUTED_VALUE"""),597)</f>
        <v>597</v>
      </c>
    </row>
    <row r="300" spans="1:32" x14ac:dyDescent="0.25">
      <c r="A300" s="3" t="str">
        <f ca="1">IFERROR(__xludf.DUMMYFUNCTION("""COMPUTED_VALUE"""),"Savannah State")</f>
        <v>Savannah State</v>
      </c>
      <c r="B300" s="3">
        <f ca="1">IFERROR(__xludf.DUMMYFUNCTION("""COMPUTED_VALUE"""),31)</f>
        <v>31</v>
      </c>
      <c r="C300" s="3">
        <f ca="1">IFERROR(__xludf.DUMMYFUNCTION("""COMPUTED_VALUE"""),11)</f>
        <v>11</v>
      </c>
      <c r="D300" s="3">
        <f ca="1">IFERROR(__xludf.DUMMYFUNCTION("""COMPUTED_VALUE"""),20)</f>
        <v>20</v>
      </c>
      <c r="E300" s="3">
        <f ca="1">IFERROR(__xludf.DUMMYFUNCTION("""COMPUTED_VALUE"""),0.355)</f>
        <v>0.35499999999999998</v>
      </c>
      <c r="F300" s="3">
        <f ca="1">IFERROR(__xludf.DUMMYFUNCTION("""COMPUTED_VALUE"""),-20.51)</f>
        <v>-20.51</v>
      </c>
      <c r="G300" s="3">
        <f ca="1">IFERROR(__xludf.DUMMYFUNCTION("""COMPUTED_VALUE"""),-9.04)</f>
        <v>-9.0399999999999991</v>
      </c>
      <c r="H300" s="3">
        <f ca="1">IFERROR(__xludf.DUMMYFUNCTION("""COMPUTED_VALUE"""),8)</f>
        <v>8</v>
      </c>
      <c r="I300" s="3">
        <f ca="1">IFERROR(__xludf.DUMMYFUNCTION("""COMPUTED_VALUE"""),8)</f>
        <v>8</v>
      </c>
      <c r="J300" s="3">
        <f ca="1">IFERROR(__xludf.DUMMYFUNCTION("""COMPUTED_VALUE"""),6)</f>
        <v>6</v>
      </c>
      <c r="K300" s="3">
        <f ca="1">IFERROR(__xludf.DUMMYFUNCTION("""COMPUTED_VALUE"""),5)</f>
        <v>5</v>
      </c>
      <c r="L300" s="3">
        <f ca="1">IFERROR(__xludf.DUMMYFUNCTION("""COMPUTED_VALUE"""),4)</f>
        <v>4</v>
      </c>
      <c r="M300" s="3">
        <f ca="1">IFERROR(__xludf.DUMMYFUNCTION("""COMPUTED_VALUE"""),14)</f>
        <v>14</v>
      </c>
      <c r="N300" s="3">
        <f ca="1">IFERROR(__xludf.DUMMYFUNCTION("""COMPUTED_VALUE"""),2360)</f>
        <v>2360</v>
      </c>
      <c r="O300" s="3">
        <f ca="1">IFERROR(__xludf.DUMMYFUNCTION("""COMPUTED_VALUE"""),2694)</f>
        <v>2694</v>
      </c>
      <c r="P300" s="3">
        <f ca="1">IFERROR(__xludf.DUMMYFUNCTION("""COMPUTED_VALUE"""),1245)</f>
        <v>1245</v>
      </c>
      <c r="Q300" s="3">
        <f ca="1">IFERROR(__xludf.DUMMYFUNCTION("""COMPUTED_VALUE"""),825)</f>
        <v>825</v>
      </c>
      <c r="R300" s="3">
        <f ca="1">IFERROR(__xludf.DUMMYFUNCTION("""COMPUTED_VALUE"""),2080)</f>
        <v>2080</v>
      </c>
      <c r="S300" s="3">
        <f ca="1">IFERROR(__xludf.DUMMYFUNCTION("""COMPUTED_VALUE"""),0.397)</f>
        <v>0.39700000000000002</v>
      </c>
      <c r="T300" s="3">
        <f ca="1">IFERROR(__xludf.DUMMYFUNCTION("""COMPUTED_VALUE"""),351)</f>
        <v>351</v>
      </c>
      <c r="U300" s="3">
        <f ca="1">IFERROR(__xludf.DUMMYFUNCTION("""COMPUTED_VALUE"""),1199)</f>
        <v>1199</v>
      </c>
      <c r="V300" s="3">
        <f ca="1">IFERROR(__xludf.DUMMYFUNCTION("""COMPUTED_VALUE"""),0.293)</f>
        <v>0.29299999999999998</v>
      </c>
      <c r="W300" s="3">
        <f ca="1">IFERROR(__xludf.DUMMYFUNCTION("""COMPUTED_VALUE"""),359)</f>
        <v>359</v>
      </c>
      <c r="X300" s="3">
        <f ca="1">IFERROR(__xludf.DUMMYFUNCTION("""COMPUTED_VALUE"""),531)</f>
        <v>531</v>
      </c>
      <c r="Y300" s="3">
        <f ca="1">IFERROR(__xludf.DUMMYFUNCTION("""COMPUTED_VALUE"""),0.676)</f>
        <v>0.67600000000000005</v>
      </c>
      <c r="Z300" s="3">
        <f ca="1">IFERROR(__xludf.DUMMYFUNCTION("""COMPUTED_VALUE"""),383)</f>
        <v>383</v>
      </c>
      <c r="AA300" s="3">
        <f ca="1">IFERROR(__xludf.DUMMYFUNCTION("""COMPUTED_VALUE"""),1188)</f>
        <v>1188</v>
      </c>
      <c r="AB300" s="3">
        <f ca="1">IFERROR(__xludf.DUMMYFUNCTION("""COMPUTED_VALUE"""),462)</f>
        <v>462</v>
      </c>
      <c r="AC300" s="3">
        <f ca="1">IFERROR(__xludf.DUMMYFUNCTION("""COMPUTED_VALUE"""),234)</f>
        <v>234</v>
      </c>
      <c r="AD300" s="3">
        <f ca="1">IFERROR(__xludf.DUMMYFUNCTION("""COMPUTED_VALUE"""),96)</f>
        <v>96</v>
      </c>
      <c r="AE300" s="3">
        <f ca="1">IFERROR(__xludf.DUMMYFUNCTION("""COMPUTED_VALUE"""),478)</f>
        <v>478</v>
      </c>
      <c r="AF300" s="3">
        <f ca="1">IFERROR(__xludf.DUMMYFUNCTION("""COMPUTED_VALUE"""),564)</f>
        <v>564</v>
      </c>
    </row>
    <row r="301" spans="1:32" x14ac:dyDescent="0.25">
      <c r="A301" s="3" t="str">
        <f ca="1">IFERROR(__xludf.DUMMYFUNCTION("""COMPUTED_VALUE"""),"Seattle")</f>
        <v>Seattle</v>
      </c>
      <c r="B301" s="3">
        <f ca="1">IFERROR(__xludf.DUMMYFUNCTION("""COMPUTED_VALUE"""),33)</f>
        <v>33</v>
      </c>
      <c r="C301" s="3">
        <f ca="1">IFERROR(__xludf.DUMMYFUNCTION("""COMPUTED_VALUE"""),18)</f>
        <v>18</v>
      </c>
      <c r="D301" s="3">
        <f ca="1">IFERROR(__xludf.DUMMYFUNCTION("""COMPUTED_VALUE"""),15)</f>
        <v>15</v>
      </c>
      <c r="E301" s="3">
        <f ca="1">IFERROR(__xludf.DUMMYFUNCTION("""COMPUTED_VALUE"""),0.545)</f>
        <v>0.54500000000000004</v>
      </c>
      <c r="F301" s="3">
        <f ca="1">IFERROR(__xludf.DUMMYFUNCTION("""COMPUTED_VALUE"""),-1.47)</f>
        <v>-1.47</v>
      </c>
      <c r="G301" s="3">
        <f ca="1">IFERROR(__xludf.DUMMYFUNCTION("""COMPUTED_VALUE"""),-3.85)</f>
        <v>-3.85</v>
      </c>
      <c r="H301" s="3">
        <f ca="1">IFERROR(__xludf.DUMMYFUNCTION("""COMPUTED_VALUE"""),6)</f>
        <v>6</v>
      </c>
      <c r="I301" s="3">
        <f ca="1">IFERROR(__xludf.DUMMYFUNCTION("""COMPUTED_VALUE"""),10)</f>
        <v>10</v>
      </c>
      <c r="J301" s="3">
        <f ca="1">IFERROR(__xludf.DUMMYFUNCTION("""COMPUTED_VALUE"""),12)</f>
        <v>12</v>
      </c>
      <c r="K301" s="3">
        <f ca="1">IFERROR(__xludf.DUMMYFUNCTION("""COMPUTED_VALUE"""),6)</f>
        <v>6</v>
      </c>
      <c r="L301" s="3">
        <f ca="1">IFERROR(__xludf.DUMMYFUNCTION("""COMPUTED_VALUE"""),4)</f>
        <v>4</v>
      </c>
      <c r="M301" s="3">
        <f ca="1">IFERROR(__xludf.DUMMYFUNCTION("""COMPUTED_VALUE"""),8)</f>
        <v>8</v>
      </c>
      <c r="N301" s="3">
        <f ca="1">IFERROR(__xludf.DUMMYFUNCTION("""COMPUTED_VALUE"""),2420)</f>
        <v>2420</v>
      </c>
      <c r="O301" s="3">
        <f ca="1">IFERROR(__xludf.DUMMYFUNCTION("""COMPUTED_VALUE"""),2283)</f>
        <v>2283</v>
      </c>
      <c r="P301" s="3">
        <f ca="1">IFERROR(__xludf.DUMMYFUNCTION("""COMPUTED_VALUE"""),1330)</f>
        <v>1330</v>
      </c>
      <c r="Q301" s="3">
        <f ca="1">IFERROR(__xludf.DUMMYFUNCTION("""COMPUTED_VALUE"""),852)</f>
        <v>852</v>
      </c>
      <c r="R301" s="3">
        <f ca="1">IFERROR(__xludf.DUMMYFUNCTION("""COMPUTED_VALUE"""),1945)</f>
        <v>1945</v>
      </c>
      <c r="S301" s="3">
        <f ca="1">IFERROR(__xludf.DUMMYFUNCTION("""COMPUTED_VALUE"""),0.438)</f>
        <v>0.438</v>
      </c>
      <c r="T301" s="3">
        <f ca="1">IFERROR(__xludf.DUMMYFUNCTION("""COMPUTED_VALUE"""),238)</f>
        <v>238</v>
      </c>
      <c r="U301" s="3">
        <f ca="1">IFERROR(__xludf.DUMMYFUNCTION("""COMPUTED_VALUE"""),642)</f>
        <v>642</v>
      </c>
      <c r="V301" s="3">
        <f ca="1">IFERROR(__xludf.DUMMYFUNCTION("""COMPUTED_VALUE"""),0.371)</f>
        <v>0.371</v>
      </c>
      <c r="W301" s="3">
        <f ca="1">IFERROR(__xludf.DUMMYFUNCTION("""COMPUTED_VALUE"""),478)</f>
        <v>478</v>
      </c>
      <c r="X301" s="3">
        <f ca="1">IFERROR(__xludf.DUMMYFUNCTION("""COMPUTED_VALUE"""),668)</f>
        <v>668</v>
      </c>
      <c r="Y301" s="3">
        <f ca="1">IFERROR(__xludf.DUMMYFUNCTION("""COMPUTED_VALUE"""),0.716)</f>
        <v>0.71599999999999997</v>
      </c>
      <c r="Z301" s="3">
        <f ca="1">IFERROR(__xludf.DUMMYFUNCTION("""COMPUTED_VALUE"""),336)</f>
        <v>336</v>
      </c>
      <c r="AA301" s="3">
        <f ca="1">IFERROR(__xludf.DUMMYFUNCTION("""COMPUTED_VALUE"""),1221)</f>
        <v>1221</v>
      </c>
      <c r="AB301" s="3">
        <f ca="1">IFERROR(__xludf.DUMMYFUNCTION("""COMPUTED_VALUE"""),386)</f>
        <v>386</v>
      </c>
      <c r="AC301" s="3">
        <f ca="1">IFERROR(__xludf.DUMMYFUNCTION("""COMPUTED_VALUE"""),141)</f>
        <v>141</v>
      </c>
      <c r="AD301" s="3">
        <f ca="1">IFERROR(__xludf.DUMMYFUNCTION("""COMPUTED_VALUE"""),118)</f>
        <v>118</v>
      </c>
      <c r="AE301" s="3">
        <f ca="1">IFERROR(__xludf.DUMMYFUNCTION("""COMPUTED_VALUE"""),403)</f>
        <v>403</v>
      </c>
      <c r="AF301" s="3">
        <f ca="1">IFERROR(__xludf.DUMMYFUNCTION("""COMPUTED_VALUE"""),657)</f>
        <v>657</v>
      </c>
    </row>
    <row r="302" spans="1:32" x14ac:dyDescent="0.25">
      <c r="A302" s="3" t="str">
        <f ca="1">IFERROR(__xludf.DUMMYFUNCTION("""COMPUTED_VALUE"""),"Seton HallNCAA")</f>
        <v>Seton HallNCAA</v>
      </c>
      <c r="B302" s="3">
        <f ca="1">IFERROR(__xludf.DUMMYFUNCTION("""COMPUTED_VALUE"""),34)</f>
        <v>34</v>
      </c>
      <c r="C302" s="3">
        <f ca="1">IFERROR(__xludf.DUMMYFUNCTION("""COMPUTED_VALUE"""),20)</f>
        <v>20</v>
      </c>
      <c r="D302" s="3">
        <f ca="1">IFERROR(__xludf.DUMMYFUNCTION("""COMPUTED_VALUE"""),14)</f>
        <v>14</v>
      </c>
      <c r="E302" s="3">
        <f ca="1">IFERROR(__xludf.DUMMYFUNCTION("""COMPUTED_VALUE"""),0.588)</f>
        <v>0.58799999999999997</v>
      </c>
      <c r="F302" s="3">
        <f ca="1">IFERROR(__xludf.DUMMYFUNCTION("""COMPUTED_VALUE"""),10.25)</f>
        <v>10.25</v>
      </c>
      <c r="G302" s="3">
        <f ca="1">IFERROR(__xludf.DUMMYFUNCTION("""COMPUTED_VALUE"""),8.34)</f>
        <v>8.34</v>
      </c>
      <c r="H302" s="3">
        <f ca="1">IFERROR(__xludf.DUMMYFUNCTION("""COMPUTED_VALUE"""),9)</f>
        <v>9</v>
      </c>
      <c r="I302" s="3">
        <f ca="1">IFERROR(__xludf.DUMMYFUNCTION("""COMPUTED_VALUE"""),9)</f>
        <v>9</v>
      </c>
      <c r="J302" s="3">
        <f ca="1">IFERROR(__xludf.DUMMYFUNCTION("""COMPUTED_VALUE"""),11)</f>
        <v>11</v>
      </c>
      <c r="K302" s="3">
        <f ca="1">IFERROR(__xludf.DUMMYFUNCTION("""COMPUTED_VALUE"""),4)</f>
        <v>4</v>
      </c>
      <c r="L302" s="3">
        <f ca="1">IFERROR(__xludf.DUMMYFUNCTION("""COMPUTED_VALUE"""),3)</f>
        <v>3</v>
      </c>
      <c r="M302" s="3">
        <f ca="1">IFERROR(__xludf.DUMMYFUNCTION("""COMPUTED_VALUE"""),8)</f>
        <v>8</v>
      </c>
      <c r="N302" s="3">
        <f ca="1">IFERROR(__xludf.DUMMYFUNCTION("""COMPUTED_VALUE"""),2508)</f>
        <v>2508</v>
      </c>
      <c r="O302" s="3">
        <f ca="1">IFERROR(__xludf.DUMMYFUNCTION("""COMPUTED_VALUE"""),2443)</f>
        <v>2443</v>
      </c>
      <c r="P302" s="3">
        <f ca="1">IFERROR(__xludf.DUMMYFUNCTION("""COMPUTED_VALUE"""),1375)</f>
        <v>1375</v>
      </c>
      <c r="Q302" s="3">
        <f ca="1">IFERROR(__xludf.DUMMYFUNCTION("""COMPUTED_VALUE"""),888)</f>
        <v>888</v>
      </c>
      <c r="R302" s="3">
        <f ca="1">IFERROR(__xludf.DUMMYFUNCTION("""COMPUTED_VALUE"""),2021)</f>
        <v>2021</v>
      </c>
      <c r="S302" s="3">
        <f ca="1">IFERROR(__xludf.DUMMYFUNCTION("""COMPUTED_VALUE"""),0.439)</f>
        <v>0.439</v>
      </c>
      <c r="T302" s="3">
        <f ca="1">IFERROR(__xludf.DUMMYFUNCTION("""COMPUTED_VALUE"""),240)</f>
        <v>240</v>
      </c>
      <c r="U302" s="3">
        <f ca="1">IFERROR(__xludf.DUMMYFUNCTION("""COMPUTED_VALUE"""),741)</f>
        <v>741</v>
      </c>
      <c r="V302" s="3">
        <f ca="1">IFERROR(__xludf.DUMMYFUNCTION("""COMPUTED_VALUE"""),0.324)</f>
        <v>0.32400000000000001</v>
      </c>
      <c r="W302" s="3">
        <f ca="1">IFERROR(__xludf.DUMMYFUNCTION("""COMPUTED_VALUE"""),492)</f>
        <v>492</v>
      </c>
      <c r="X302" s="3">
        <f ca="1">IFERROR(__xludf.DUMMYFUNCTION("""COMPUTED_VALUE"""),697)</f>
        <v>697</v>
      </c>
      <c r="Y302" s="3">
        <f ca="1">IFERROR(__xludf.DUMMYFUNCTION("""COMPUTED_VALUE"""),0.706)</f>
        <v>0.70599999999999996</v>
      </c>
      <c r="Z302" s="3">
        <f ca="1">IFERROR(__xludf.DUMMYFUNCTION("""COMPUTED_VALUE"""),361)</f>
        <v>361</v>
      </c>
      <c r="AA302" s="3">
        <f ca="1">IFERROR(__xludf.DUMMYFUNCTION("""COMPUTED_VALUE"""),1213)</f>
        <v>1213</v>
      </c>
      <c r="AB302" s="3">
        <f ca="1">IFERROR(__xludf.DUMMYFUNCTION("""COMPUTED_VALUE"""),459)</f>
        <v>459</v>
      </c>
      <c r="AC302" s="3">
        <f ca="1">IFERROR(__xludf.DUMMYFUNCTION("""COMPUTED_VALUE"""),235)</f>
        <v>235</v>
      </c>
      <c r="AD302" s="3">
        <f ca="1">IFERROR(__xludf.DUMMYFUNCTION("""COMPUTED_VALUE"""),132)</f>
        <v>132</v>
      </c>
      <c r="AE302" s="3">
        <f ca="1">IFERROR(__xludf.DUMMYFUNCTION("""COMPUTED_VALUE"""),423)</f>
        <v>423</v>
      </c>
      <c r="AF302" s="3">
        <f ca="1">IFERROR(__xludf.DUMMYFUNCTION("""COMPUTED_VALUE"""),638)</f>
        <v>638</v>
      </c>
    </row>
    <row r="303" spans="1:32" x14ac:dyDescent="0.25">
      <c r="A303" s="3" t="str">
        <f ca="1">IFERROR(__xludf.DUMMYFUNCTION("""COMPUTED_VALUE"""),"Siena")</f>
        <v>Siena</v>
      </c>
      <c r="B303" s="3">
        <f ca="1">IFERROR(__xludf.DUMMYFUNCTION("""COMPUTED_VALUE"""),33)</f>
        <v>33</v>
      </c>
      <c r="C303" s="3">
        <f ca="1">IFERROR(__xludf.DUMMYFUNCTION("""COMPUTED_VALUE"""),17)</f>
        <v>17</v>
      </c>
      <c r="D303" s="3">
        <f ca="1">IFERROR(__xludf.DUMMYFUNCTION("""COMPUTED_VALUE"""),16)</f>
        <v>16</v>
      </c>
      <c r="E303" s="3">
        <f ca="1">IFERROR(__xludf.DUMMYFUNCTION("""COMPUTED_VALUE"""),0.515)</f>
        <v>0.51500000000000001</v>
      </c>
      <c r="F303" s="3">
        <f ca="1">IFERROR(__xludf.DUMMYFUNCTION("""COMPUTED_VALUE"""),-7.9)</f>
        <v>-7.9</v>
      </c>
      <c r="G303" s="3">
        <f ca="1">IFERROR(__xludf.DUMMYFUNCTION("""COMPUTED_VALUE"""),-6.47)</f>
        <v>-6.47</v>
      </c>
      <c r="H303" s="3">
        <f ca="1">IFERROR(__xludf.DUMMYFUNCTION("""COMPUTED_VALUE"""),11)</f>
        <v>11</v>
      </c>
      <c r="I303" s="3">
        <f ca="1">IFERROR(__xludf.DUMMYFUNCTION("""COMPUTED_VALUE"""),7)</f>
        <v>7</v>
      </c>
      <c r="J303" s="3">
        <f ca="1">IFERROR(__xludf.DUMMYFUNCTION("""COMPUTED_VALUE"""),7)</f>
        <v>7</v>
      </c>
      <c r="K303" s="3">
        <f ca="1">IFERROR(__xludf.DUMMYFUNCTION("""COMPUTED_VALUE"""),7)</f>
        <v>7</v>
      </c>
      <c r="L303" s="3">
        <f ca="1">IFERROR(__xludf.DUMMYFUNCTION("""COMPUTED_VALUE"""),8)</f>
        <v>8</v>
      </c>
      <c r="M303" s="3">
        <f ca="1">IFERROR(__xludf.DUMMYFUNCTION("""COMPUTED_VALUE"""),7)</f>
        <v>7</v>
      </c>
      <c r="N303" s="3">
        <f ca="1">IFERROR(__xludf.DUMMYFUNCTION("""COMPUTED_VALUE"""),2131)</f>
        <v>2131</v>
      </c>
      <c r="O303" s="3">
        <f ca="1">IFERROR(__xludf.DUMMYFUNCTION("""COMPUTED_VALUE"""),2178)</f>
        <v>2178</v>
      </c>
      <c r="P303" s="3">
        <f ca="1">IFERROR(__xludf.DUMMYFUNCTION("""COMPUTED_VALUE"""),1345)</f>
        <v>1345</v>
      </c>
      <c r="Q303" s="3">
        <f ca="1">IFERROR(__xludf.DUMMYFUNCTION("""COMPUTED_VALUE"""),772)</f>
        <v>772</v>
      </c>
      <c r="R303" s="3">
        <f ca="1">IFERROR(__xludf.DUMMYFUNCTION("""COMPUTED_VALUE"""),1779)</f>
        <v>1779</v>
      </c>
      <c r="S303" s="3">
        <f ca="1">IFERROR(__xludf.DUMMYFUNCTION("""COMPUTED_VALUE"""),0.434)</f>
        <v>0.434</v>
      </c>
      <c r="T303" s="3">
        <f ca="1">IFERROR(__xludf.DUMMYFUNCTION("""COMPUTED_VALUE"""),288)</f>
        <v>288</v>
      </c>
      <c r="U303" s="3">
        <f ca="1">IFERROR(__xludf.DUMMYFUNCTION("""COMPUTED_VALUE"""),849)</f>
        <v>849</v>
      </c>
      <c r="V303" s="3">
        <f ca="1">IFERROR(__xludf.DUMMYFUNCTION("""COMPUTED_VALUE"""),0.339)</f>
        <v>0.33900000000000002</v>
      </c>
      <c r="W303" s="3">
        <f ca="1">IFERROR(__xludf.DUMMYFUNCTION("""COMPUTED_VALUE"""),299)</f>
        <v>299</v>
      </c>
      <c r="X303" s="3">
        <f ca="1">IFERROR(__xludf.DUMMYFUNCTION("""COMPUTED_VALUE"""),440)</f>
        <v>440</v>
      </c>
      <c r="Y303" s="3">
        <f ca="1">IFERROR(__xludf.DUMMYFUNCTION("""COMPUTED_VALUE"""),0.68)</f>
        <v>0.68</v>
      </c>
      <c r="Z303" s="3">
        <f ca="1">IFERROR(__xludf.DUMMYFUNCTION("""COMPUTED_VALUE"""),248)</f>
        <v>248</v>
      </c>
      <c r="AA303" s="3">
        <f ca="1">IFERROR(__xludf.DUMMYFUNCTION("""COMPUTED_VALUE"""),973)</f>
        <v>973</v>
      </c>
      <c r="AB303" s="3">
        <f ca="1">IFERROR(__xludf.DUMMYFUNCTION("""COMPUTED_VALUE"""),415)</f>
        <v>415</v>
      </c>
      <c r="AC303" s="3">
        <f ca="1">IFERROR(__xludf.DUMMYFUNCTION("""COMPUTED_VALUE"""),190)</f>
        <v>190</v>
      </c>
      <c r="AD303" s="3">
        <f ca="1">IFERROR(__xludf.DUMMYFUNCTION("""COMPUTED_VALUE"""),93)</f>
        <v>93</v>
      </c>
      <c r="AE303" s="3">
        <f ca="1">IFERROR(__xludf.DUMMYFUNCTION("""COMPUTED_VALUE"""),321)</f>
        <v>321</v>
      </c>
      <c r="AF303" s="3">
        <f ca="1">IFERROR(__xludf.DUMMYFUNCTION("""COMPUTED_VALUE"""),462)</f>
        <v>462</v>
      </c>
    </row>
    <row r="304" spans="1:32" x14ac:dyDescent="0.25">
      <c r="A304" s="3" t="str">
        <f ca="1">IFERROR(__xludf.DUMMYFUNCTION("""COMPUTED_VALUE"""),"South Alabama")</f>
        <v>South Alabama</v>
      </c>
      <c r="B304" s="3">
        <f ca="1">IFERROR(__xludf.DUMMYFUNCTION("""COMPUTED_VALUE"""),34)</f>
        <v>34</v>
      </c>
      <c r="C304" s="3">
        <f ca="1">IFERROR(__xludf.DUMMYFUNCTION("""COMPUTED_VALUE"""),17)</f>
        <v>17</v>
      </c>
      <c r="D304" s="3">
        <f ca="1">IFERROR(__xludf.DUMMYFUNCTION("""COMPUTED_VALUE"""),17)</f>
        <v>17</v>
      </c>
      <c r="E304" s="3">
        <f ca="1">IFERROR(__xludf.DUMMYFUNCTION("""COMPUTED_VALUE"""),0.5)</f>
        <v>0.5</v>
      </c>
      <c r="F304" s="3">
        <f ca="1">IFERROR(__xludf.DUMMYFUNCTION("""COMPUTED_VALUE"""),-4.46)</f>
        <v>-4.46</v>
      </c>
      <c r="G304" s="3">
        <f ca="1">IFERROR(__xludf.DUMMYFUNCTION("""COMPUTED_VALUE"""),-2.71)</f>
        <v>-2.71</v>
      </c>
      <c r="H304" s="3">
        <f ca="1">IFERROR(__xludf.DUMMYFUNCTION("""COMPUTED_VALUE"""),8)</f>
        <v>8</v>
      </c>
      <c r="I304" s="3">
        <f ca="1">IFERROR(__xludf.DUMMYFUNCTION("""COMPUTED_VALUE"""),10)</f>
        <v>10</v>
      </c>
      <c r="J304" s="3">
        <f ca="1">IFERROR(__xludf.DUMMYFUNCTION("""COMPUTED_VALUE"""),13)</f>
        <v>13</v>
      </c>
      <c r="K304" s="3">
        <f ca="1">IFERROR(__xludf.DUMMYFUNCTION("""COMPUTED_VALUE"""),6)</f>
        <v>6</v>
      </c>
      <c r="L304" s="3">
        <f ca="1">IFERROR(__xludf.DUMMYFUNCTION("""COMPUTED_VALUE"""),3)</f>
        <v>3</v>
      </c>
      <c r="M304" s="3">
        <f ca="1">IFERROR(__xludf.DUMMYFUNCTION("""COMPUTED_VALUE"""),10)</f>
        <v>10</v>
      </c>
      <c r="N304" s="3">
        <f ca="1">IFERROR(__xludf.DUMMYFUNCTION("""COMPUTED_VALUE"""),2478)</f>
        <v>2478</v>
      </c>
      <c r="O304" s="3">
        <f ca="1">IFERROR(__xludf.DUMMYFUNCTION("""COMPUTED_VALUE"""),2465)</f>
        <v>2465</v>
      </c>
      <c r="P304" s="3">
        <f ca="1">IFERROR(__xludf.DUMMYFUNCTION("""COMPUTED_VALUE"""),1375)</f>
        <v>1375</v>
      </c>
      <c r="Q304" s="3">
        <f ca="1">IFERROR(__xludf.DUMMYFUNCTION("""COMPUTED_VALUE"""),867)</f>
        <v>867</v>
      </c>
      <c r="R304" s="3">
        <f ca="1">IFERROR(__xludf.DUMMYFUNCTION("""COMPUTED_VALUE"""),1883)</f>
        <v>1883</v>
      </c>
      <c r="S304" s="3">
        <f ca="1">IFERROR(__xludf.DUMMYFUNCTION("""COMPUTED_VALUE"""),0.46)</f>
        <v>0.46</v>
      </c>
      <c r="T304" s="3">
        <f ca="1">IFERROR(__xludf.DUMMYFUNCTION("""COMPUTED_VALUE"""),285)</f>
        <v>285</v>
      </c>
      <c r="U304" s="3">
        <f ca="1">IFERROR(__xludf.DUMMYFUNCTION("""COMPUTED_VALUE"""),761)</f>
        <v>761</v>
      </c>
      <c r="V304" s="3">
        <f ca="1">IFERROR(__xludf.DUMMYFUNCTION("""COMPUTED_VALUE"""),0.375)</f>
        <v>0.375</v>
      </c>
      <c r="W304" s="3">
        <f ca="1">IFERROR(__xludf.DUMMYFUNCTION("""COMPUTED_VALUE"""),459)</f>
        <v>459</v>
      </c>
      <c r="X304" s="3">
        <f ca="1">IFERROR(__xludf.DUMMYFUNCTION("""COMPUTED_VALUE"""),669)</f>
        <v>669</v>
      </c>
      <c r="Y304" s="3">
        <f ca="1">IFERROR(__xludf.DUMMYFUNCTION("""COMPUTED_VALUE"""),0.686)</f>
        <v>0.68600000000000005</v>
      </c>
      <c r="Z304" s="3">
        <f ca="1">IFERROR(__xludf.DUMMYFUNCTION("""COMPUTED_VALUE"""),288)</f>
        <v>288</v>
      </c>
      <c r="AA304" s="3">
        <f ca="1">IFERROR(__xludf.DUMMYFUNCTION("""COMPUTED_VALUE"""),1094)</f>
        <v>1094</v>
      </c>
      <c r="AB304" s="3">
        <f ca="1">IFERROR(__xludf.DUMMYFUNCTION("""COMPUTED_VALUE"""),471)</f>
        <v>471</v>
      </c>
      <c r="AC304" s="3">
        <f ca="1">IFERROR(__xludf.DUMMYFUNCTION("""COMPUTED_VALUE"""),201)</f>
        <v>201</v>
      </c>
      <c r="AD304" s="3">
        <f ca="1">IFERROR(__xludf.DUMMYFUNCTION("""COMPUTED_VALUE"""),141)</f>
        <v>141</v>
      </c>
      <c r="AE304" s="3">
        <f ca="1">IFERROR(__xludf.DUMMYFUNCTION("""COMPUTED_VALUE"""),456)</f>
        <v>456</v>
      </c>
      <c r="AF304" s="3">
        <f ca="1">IFERROR(__xludf.DUMMYFUNCTION("""COMPUTED_VALUE"""),649)</f>
        <v>649</v>
      </c>
    </row>
    <row r="305" spans="1:32" x14ac:dyDescent="0.25">
      <c r="A305" s="3" t="str">
        <f ca="1">IFERROR(__xludf.DUMMYFUNCTION("""COMPUTED_VALUE"""),"South Carolina State")</f>
        <v>South Carolina State</v>
      </c>
      <c r="B305" s="3">
        <f ca="1">IFERROR(__xludf.DUMMYFUNCTION("""COMPUTED_VALUE"""),34)</f>
        <v>34</v>
      </c>
      <c r="C305" s="3">
        <f ca="1">IFERROR(__xludf.DUMMYFUNCTION("""COMPUTED_VALUE"""),8)</f>
        <v>8</v>
      </c>
      <c r="D305" s="3">
        <f ca="1">IFERROR(__xludf.DUMMYFUNCTION("""COMPUTED_VALUE"""),26)</f>
        <v>26</v>
      </c>
      <c r="E305" s="3">
        <f ca="1">IFERROR(__xludf.DUMMYFUNCTION("""COMPUTED_VALUE"""),0.235)</f>
        <v>0.23499999999999999</v>
      </c>
      <c r="F305" s="3">
        <f ca="1">IFERROR(__xludf.DUMMYFUNCTION("""COMPUTED_VALUE"""),-16.86)</f>
        <v>-16.86</v>
      </c>
      <c r="G305" s="3">
        <f ca="1">IFERROR(__xludf.DUMMYFUNCTION("""COMPUTED_VALUE"""),-8.3)</f>
        <v>-8.3000000000000007</v>
      </c>
      <c r="H305" s="3">
        <f ca="1">IFERROR(__xludf.DUMMYFUNCTION("""COMPUTED_VALUE"""),5)</f>
        <v>5</v>
      </c>
      <c r="I305" s="3">
        <f ca="1">IFERROR(__xludf.DUMMYFUNCTION("""COMPUTED_VALUE"""),11)</f>
        <v>11</v>
      </c>
      <c r="J305" s="3">
        <f ca="1">IFERROR(__xludf.DUMMYFUNCTION("""COMPUTED_VALUE"""),5)</f>
        <v>5</v>
      </c>
      <c r="K305" s="3">
        <f ca="1">IFERROR(__xludf.DUMMYFUNCTION("""COMPUTED_VALUE"""),6)</f>
        <v>6</v>
      </c>
      <c r="L305" s="3">
        <f ca="1">IFERROR(__xludf.DUMMYFUNCTION("""COMPUTED_VALUE"""),2)</f>
        <v>2</v>
      </c>
      <c r="M305" s="3">
        <f ca="1">IFERROR(__xludf.DUMMYFUNCTION("""COMPUTED_VALUE"""),19)</f>
        <v>19</v>
      </c>
      <c r="N305" s="3">
        <f ca="1">IFERROR(__xludf.DUMMYFUNCTION("""COMPUTED_VALUE"""),2388)</f>
        <v>2388</v>
      </c>
      <c r="O305" s="3">
        <f ca="1">IFERROR(__xludf.DUMMYFUNCTION("""COMPUTED_VALUE"""),2593)</f>
        <v>2593</v>
      </c>
      <c r="P305" s="3">
        <f ca="1">IFERROR(__xludf.DUMMYFUNCTION("""COMPUTED_VALUE"""),1375)</f>
        <v>1375</v>
      </c>
      <c r="Q305" s="3">
        <f ca="1">IFERROR(__xludf.DUMMYFUNCTION("""COMPUTED_VALUE"""),811)</f>
        <v>811</v>
      </c>
      <c r="R305" s="3">
        <f ca="1">IFERROR(__xludf.DUMMYFUNCTION("""COMPUTED_VALUE"""),1891)</f>
        <v>1891</v>
      </c>
      <c r="S305" s="3">
        <f ca="1">IFERROR(__xludf.DUMMYFUNCTION("""COMPUTED_VALUE"""),0.429)</f>
        <v>0.42899999999999999</v>
      </c>
      <c r="T305" s="3">
        <f ca="1">IFERROR(__xludf.DUMMYFUNCTION("""COMPUTED_VALUE"""),193)</f>
        <v>193</v>
      </c>
      <c r="U305" s="3">
        <f ca="1">IFERROR(__xludf.DUMMYFUNCTION("""COMPUTED_VALUE"""),582)</f>
        <v>582</v>
      </c>
      <c r="V305" s="3">
        <f ca="1">IFERROR(__xludf.DUMMYFUNCTION("""COMPUTED_VALUE"""),0.332)</f>
        <v>0.33200000000000002</v>
      </c>
      <c r="W305" s="3">
        <f ca="1">IFERROR(__xludf.DUMMYFUNCTION("""COMPUTED_VALUE"""),573)</f>
        <v>573</v>
      </c>
      <c r="X305" s="3">
        <f ca="1">IFERROR(__xludf.DUMMYFUNCTION("""COMPUTED_VALUE"""),772)</f>
        <v>772</v>
      </c>
      <c r="Y305" s="3">
        <f ca="1">IFERROR(__xludf.DUMMYFUNCTION("""COMPUTED_VALUE"""),0.742)</f>
        <v>0.74199999999999999</v>
      </c>
      <c r="Z305" s="3">
        <f ca="1">IFERROR(__xludf.DUMMYFUNCTION("""COMPUTED_VALUE"""),376)</f>
        <v>376</v>
      </c>
      <c r="AA305" s="3">
        <f ca="1">IFERROR(__xludf.DUMMYFUNCTION("""COMPUTED_VALUE"""),1137)</f>
        <v>1137</v>
      </c>
      <c r="AB305" s="3">
        <f ca="1">IFERROR(__xludf.DUMMYFUNCTION("""COMPUTED_VALUE"""),386)</f>
        <v>386</v>
      </c>
      <c r="AC305" s="3">
        <f ca="1">IFERROR(__xludf.DUMMYFUNCTION("""COMPUTED_VALUE"""),167)</f>
        <v>167</v>
      </c>
      <c r="AD305" s="3">
        <f ca="1">IFERROR(__xludf.DUMMYFUNCTION("""COMPUTED_VALUE"""),60)</f>
        <v>60</v>
      </c>
      <c r="AE305" s="3">
        <f ca="1">IFERROR(__xludf.DUMMYFUNCTION("""COMPUTED_VALUE"""),493)</f>
        <v>493</v>
      </c>
      <c r="AF305" s="3">
        <f ca="1">IFERROR(__xludf.DUMMYFUNCTION("""COMPUTED_VALUE"""),670)</f>
        <v>670</v>
      </c>
    </row>
    <row r="306" spans="1:32" x14ac:dyDescent="0.25">
      <c r="A306" s="3" t="str">
        <f ca="1">IFERROR(__xludf.DUMMYFUNCTION("""COMPUTED_VALUE"""),"South Carolina Upstate")</f>
        <v>South Carolina Upstate</v>
      </c>
      <c r="B306" s="3">
        <f ca="1">IFERROR(__xludf.DUMMYFUNCTION("""COMPUTED_VALUE"""),32)</f>
        <v>32</v>
      </c>
      <c r="C306" s="3">
        <f ca="1">IFERROR(__xludf.DUMMYFUNCTION("""COMPUTED_VALUE"""),6)</f>
        <v>6</v>
      </c>
      <c r="D306" s="3">
        <f ca="1">IFERROR(__xludf.DUMMYFUNCTION("""COMPUTED_VALUE"""),26)</f>
        <v>26</v>
      </c>
      <c r="E306" s="3">
        <f ca="1">IFERROR(__xludf.DUMMYFUNCTION("""COMPUTED_VALUE"""),0.188)</f>
        <v>0.188</v>
      </c>
      <c r="F306" s="3">
        <f ca="1">IFERROR(__xludf.DUMMYFUNCTION("""COMPUTED_VALUE"""),-15.3)</f>
        <v>-15.3</v>
      </c>
      <c r="G306" s="3">
        <f ca="1">IFERROR(__xludf.DUMMYFUNCTION("""COMPUTED_VALUE"""),-4.27)</f>
        <v>-4.2699999999999996</v>
      </c>
      <c r="H306" s="3">
        <f ca="1">IFERROR(__xludf.DUMMYFUNCTION("""COMPUTED_VALUE"""),1)</f>
        <v>1</v>
      </c>
      <c r="I306" s="3">
        <f ca="1">IFERROR(__xludf.DUMMYFUNCTION("""COMPUTED_VALUE"""),16)</f>
        <v>16</v>
      </c>
      <c r="J306" s="3">
        <f ca="1">IFERROR(__xludf.DUMMYFUNCTION("""COMPUTED_VALUE"""),5)</f>
        <v>5</v>
      </c>
      <c r="K306" s="3">
        <f ca="1">IFERROR(__xludf.DUMMYFUNCTION("""COMPUTED_VALUE"""),9)</f>
        <v>9</v>
      </c>
      <c r="L306" s="3">
        <f ca="1">IFERROR(__xludf.DUMMYFUNCTION("""COMPUTED_VALUE"""),1)</f>
        <v>1</v>
      </c>
      <c r="M306" s="3">
        <f ca="1">IFERROR(__xludf.DUMMYFUNCTION("""COMPUTED_VALUE"""),15)</f>
        <v>15</v>
      </c>
      <c r="N306" s="3">
        <f ca="1">IFERROR(__xludf.DUMMYFUNCTION("""COMPUTED_VALUE"""),2169)</f>
        <v>2169</v>
      </c>
      <c r="O306" s="3">
        <f ca="1">IFERROR(__xludf.DUMMYFUNCTION("""COMPUTED_VALUE"""),2395)</f>
        <v>2395</v>
      </c>
      <c r="P306" s="3">
        <f ca="1">IFERROR(__xludf.DUMMYFUNCTION("""COMPUTED_VALUE"""),1290)</f>
        <v>1290</v>
      </c>
      <c r="Q306" s="3">
        <f ca="1">IFERROR(__xludf.DUMMYFUNCTION("""COMPUTED_VALUE"""),775)</f>
        <v>775</v>
      </c>
      <c r="R306" s="3">
        <f ca="1">IFERROR(__xludf.DUMMYFUNCTION("""COMPUTED_VALUE"""),1872)</f>
        <v>1872</v>
      </c>
      <c r="S306" s="3">
        <f ca="1">IFERROR(__xludf.DUMMYFUNCTION("""COMPUTED_VALUE"""),0.414)</f>
        <v>0.41399999999999998</v>
      </c>
      <c r="T306" s="3">
        <f ca="1">IFERROR(__xludf.DUMMYFUNCTION("""COMPUTED_VALUE"""),269)</f>
        <v>269</v>
      </c>
      <c r="U306" s="3">
        <f ca="1">IFERROR(__xludf.DUMMYFUNCTION("""COMPUTED_VALUE"""),817)</f>
        <v>817</v>
      </c>
      <c r="V306" s="3">
        <f ca="1">IFERROR(__xludf.DUMMYFUNCTION("""COMPUTED_VALUE"""),0.329)</f>
        <v>0.32900000000000001</v>
      </c>
      <c r="W306" s="3">
        <f ca="1">IFERROR(__xludf.DUMMYFUNCTION("""COMPUTED_VALUE"""),350)</f>
        <v>350</v>
      </c>
      <c r="X306" s="3">
        <f ca="1">IFERROR(__xludf.DUMMYFUNCTION("""COMPUTED_VALUE"""),492)</f>
        <v>492</v>
      </c>
      <c r="Y306" s="3">
        <f ca="1">IFERROR(__xludf.DUMMYFUNCTION("""COMPUTED_VALUE"""),0.711)</f>
        <v>0.71099999999999997</v>
      </c>
      <c r="Z306" s="3">
        <f ca="1">IFERROR(__xludf.DUMMYFUNCTION("""COMPUTED_VALUE"""),305)</f>
        <v>305</v>
      </c>
      <c r="AA306" s="3">
        <f ca="1">IFERROR(__xludf.DUMMYFUNCTION("""COMPUTED_VALUE"""),1051)</f>
        <v>1051</v>
      </c>
      <c r="AB306" s="3">
        <f ca="1">IFERROR(__xludf.DUMMYFUNCTION("""COMPUTED_VALUE"""),434)</f>
        <v>434</v>
      </c>
      <c r="AC306" s="3">
        <f ca="1">IFERROR(__xludf.DUMMYFUNCTION("""COMPUTED_VALUE"""),207)</f>
        <v>207</v>
      </c>
      <c r="AD306" s="3">
        <f ca="1">IFERROR(__xludf.DUMMYFUNCTION("""COMPUTED_VALUE"""),94)</f>
        <v>94</v>
      </c>
      <c r="AE306" s="3">
        <f ca="1">IFERROR(__xludf.DUMMYFUNCTION("""COMPUTED_VALUE"""),440)</f>
        <v>440</v>
      </c>
      <c r="AF306" s="3">
        <f ca="1">IFERROR(__xludf.DUMMYFUNCTION("""COMPUTED_VALUE"""),621)</f>
        <v>621</v>
      </c>
    </row>
    <row r="307" spans="1:32" x14ac:dyDescent="0.25">
      <c r="A307" s="3" t="str">
        <f ca="1">IFERROR(__xludf.DUMMYFUNCTION("""COMPUTED_VALUE"""),"South Carolina")</f>
        <v>South Carolina</v>
      </c>
      <c r="B307" s="3">
        <f ca="1">IFERROR(__xludf.DUMMYFUNCTION("""COMPUTED_VALUE"""),32)</f>
        <v>32</v>
      </c>
      <c r="C307" s="3">
        <f ca="1">IFERROR(__xludf.DUMMYFUNCTION("""COMPUTED_VALUE"""),16)</f>
        <v>16</v>
      </c>
      <c r="D307" s="3">
        <f ca="1">IFERROR(__xludf.DUMMYFUNCTION("""COMPUTED_VALUE"""),16)</f>
        <v>16</v>
      </c>
      <c r="E307" s="3">
        <f ca="1">IFERROR(__xludf.DUMMYFUNCTION("""COMPUTED_VALUE"""),0.5)</f>
        <v>0.5</v>
      </c>
      <c r="F307" s="3">
        <f ca="1">IFERROR(__xludf.DUMMYFUNCTION("""COMPUTED_VALUE"""),8.34)</f>
        <v>8.34</v>
      </c>
      <c r="G307" s="3">
        <f ca="1">IFERROR(__xludf.DUMMYFUNCTION("""COMPUTED_VALUE"""),9.63)</f>
        <v>9.6300000000000008</v>
      </c>
      <c r="H307" s="3">
        <f ca="1">IFERROR(__xludf.DUMMYFUNCTION("""COMPUTED_VALUE"""),11)</f>
        <v>11</v>
      </c>
      <c r="I307" s="3">
        <f ca="1">IFERROR(__xludf.DUMMYFUNCTION("""COMPUTED_VALUE"""),7)</f>
        <v>7</v>
      </c>
      <c r="J307" s="3">
        <f ca="1">IFERROR(__xludf.DUMMYFUNCTION("""COMPUTED_VALUE"""),11)</f>
        <v>11</v>
      </c>
      <c r="K307" s="3">
        <f ca="1">IFERROR(__xludf.DUMMYFUNCTION("""COMPUTED_VALUE"""),6)</f>
        <v>6</v>
      </c>
      <c r="L307" s="3">
        <f ca="1">IFERROR(__xludf.DUMMYFUNCTION("""COMPUTED_VALUE"""),4)</f>
        <v>4</v>
      </c>
      <c r="M307" s="3">
        <f ca="1">IFERROR(__xludf.DUMMYFUNCTION("""COMPUTED_VALUE"""),8)</f>
        <v>8</v>
      </c>
      <c r="N307" s="3">
        <f ca="1">IFERROR(__xludf.DUMMYFUNCTION("""COMPUTED_VALUE"""),2327)</f>
        <v>2327</v>
      </c>
      <c r="O307" s="3">
        <f ca="1">IFERROR(__xludf.DUMMYFUNCTION("""COMPUTED_VALUE"""),2316)</f>
        <v>2316</v>
      </c>
      <c r="P307" s="3">
        <f ca="1">IFERROR(__xludf.DUMMYFUNCTION("""COMPUTED_VALUE"""),1285)</f>
        <v>1285</v>
      </c>
      <c r="Q307" s="3">
        <f ca="1">IFERROR(__xludf.DUMMYFUNCTION("""COMPUTED_VALUE"""),806)</f>
        <v>806</v>
      </c>
      <c r="R307" s="3">
        <f ca="1">IFERROR(__xludf.DUMMYFUNCTION("""COMPUTED_VALUE"""),1907)</f>
        <v>1907</v>
      </c>
      <c r="S307" s="3">
        <f ca="1">IFERROR(__xludf.DUMMYFUNCTION("""COMPUTED_VALUE"""),0.423)</f>
        <v>0.42299999999999999</v>
      </c>
      <c r="T307" s="3">
        <f ca="1">IFERROR(__xludf.DUMMYFUNCTION("""COMPUTED_VALUE"""),242)</f>
        <v>242</v>
      </c>
      <c r="U307" s="3">
        <f ca="1">IFERROR(__xludf.DUMMYFUNCTION("""COMPUTED_VALUE"""),662)</f>
        <v>662</v>
      </c>
      <c r="V307" s="3">
        <f ca="1">IFERROR(__xludf.DUMMYFUNCTION("""COMPUTED_VALUE"""),0.366)</f>
        <v>0.36599999999999999</v>
      </c>
      <c r="W307" s="3">
        <f ca="1">IFERROR(__xludf.DUMMYFUNCTION("""COMPUTED_VALUE"""),473)</f>
        <v>473</v>
      </c>
      <c r="X307" s="3">
        <f ca="1">IFERROR(__xludf.DUMMYFUNCTION("""COMPUTED_VALUE"""),694)</f>
        <v>694</v>
      </c>
      <c r="Y307" s="3">
        <f ca="1">IFERROR(__xludf.DUMMYFUNCTION("""COMPUTED_VALUE"""),0.682)</f>
        <v>0.68200000000000005</v>
      </c>
      <c r="Z307" s="3">
        <f ca="1">IFERROR(__xludf.DUMMYFUNCTION("""COMPUTED_VALUE"""),383)</f>
        <v>383</v>
      </c>
      <c r="AA307" s="3">
        <f ca="1">IFERROR(__xludf.DUMMYFUNCTION("""COMPUTED_VALUE"""),1160)</f>
        <v>1160</v>
      </c>
      <c r="AB307" s="3">
        <f ca="1">IFERROR(__xludf.DUMMYFUNCTION("""COMPUTED_VALUE"""),413)</f>
        <v>413</v>
      </c>
      <c r="AC307" s="3">
        <f ca="1">IFERROR(__xludf.DUMMYFUNCTION("""COMPUTED_VALUE"""),202)</f>
        <v>202</v>
      </c>
      <c r="AD307" s="3">
        <f ca="1">IFERROR(__xludf.DUMMYFUNCTION("""COMPUTED_VALUE"""),140)</f>
        <v>140</v>
      </c>
      <c r="AE307" s="3">
        <f ca="1">IFERROR(__xludf.DUMMYFUNCTION("""COMPUTED_VALUE"""),433)</f>
        <v>433</v>
      </c>
      <c r="AF307" s="3">
        <f ca="1">IFERROR(__xludf.DUMMYFUNCTION("""COMPUTED_VALUE"""),623)</f>
        <v>623</v>
      </c>
    </row>
    <row r="308" spans="1:32" x14ac:dyDescent="0.25">
      <c r="A308" s="3" t="str">
        <f ca="1">IFERROR(__xludf.DUMMYFUNCTION("""COMPUTED_VALUE"""),"Overall")</f>
        <v>Overall</v>
      </c>
      <c r="B308" s="3" t="str">
        <f ca="1">IFERROR(__xludf.DUMMYFUNCTION("""COMPUTED_VALUE"""),"Conf.")</f>
        <v>Conf.</v>
      </c>
      <c r="C308" s="3" t="str">
        <f ca="1">IFERROR(__xludf.DUMMYFUNCTION("""COMPUTED_VALUE"""),"Home")</f>
        <v>Home</v>
      </c>
      <c r="D308" s="3" t="str">
        <f ca="1">IFERROR(__xludf.DUMMYFUNCTION("""COMPUTED_VALUE"""),"Away")</f>
        <v>Away</v>
      </c>
      <c r="E308" s="3" t="str">
        <f ca="1">IFERROR(__xludf.DUMMYFUNCTION("""COMPUTED_VALUE"""),"Points")</f>
        <v>Points</v>
      </c>
      <c r="F308" s="3" t="str">
        <f ca="1">IFERROR(__xludf.DUMMYFUNCTION("""COMPUTED_VALUE"""),"")</f>
        <v/>
      </c>
      <c r="G308" s="3" t="str">
        <f ca="1">IFERROR(__xludf.DUMMYFUNCTION("""COMPUTED_VALUE"""),"School Totals")</f>
        <v>School Totals</v>
      </c>
      <c r="H308" s="3" t="str">
        <f ca="1">IFERROR(__xludf.DUMMYFUNCTION("""COMPUTED_VALUE"""),"")</f>
        <v/>
      </c>
      <c r="I308" s="3" t="str">
        <f ca="1">IFERROR(__xludf.DUMMYFUNCTION("""COMPUTED_VALUE"""),"")</f>
        <v/>
      </c>
      <c r="J308" s="3" t="str">
        <f ca="1">IFERROR(__xludf.DUMMYFUNCTION("""COMPUTED_VALUE"""),"")</f>
        <v/>
      </c>
      <c r="K308" s="3" t="str">
        <f ca="1">IFERROR(__xludf.DUMMYFUNCTION("""COMPUTED_VALUE"""),"")</f>
        <v/>
      </c>
      <c r="L308" s="3" t="str">
        <f ca="1">IFERROR(__xludf.DUMMYFUNCTION("""COMPUTED_VALUE"""),"")</f>
        <v/>
      </c>
      <c r="M308" s="3" t="str">
        <f ca="1">IFERROR(__xludf.DUMMYFUNCTION("""COMPUTED_VALUE"""),"")</f>
        <v/>
      </c>
      <c r="N308" s="3" t="str">
        <f ca="1">IFERROR(__xludf.DUMMYFUNCTION("""COMPUTED_VALUE"""),"")</f>
        <v/>
      </c>
      <c r="O308" s="3" t="str">
        <f ca="1">IFERROR(__xludf.DUMMYFUNCTION("""COMPUTED_VALUE"""),"")</f>
        <v/>
      </c>
      <c r="P308" s="3" t="str">
        <f ca="1">IFERROR(__xludf.DUMMYFUNCTION("""COMPUTED_VALUE"""),"")</f>
        <v/>
      </c>
      <c r="Q308" s="3" t="str">
        <f ca="1">IFERROR(__xludf.DUMMYFUNCTION("""COMPUTED_VALUE"""),"")</f>
        <v/>
      </c>
      <c r="R308" s="3" t="str">
        <f ca="1">IFERROR(__xludf.DUMMYFUNCTION("""COMPUTED_VALUE"""),"")</f>
        <v/>
      </c>
      <c r="S308" s="3" t="str">
        <f ca="1">IFERROR(__xludf.DUMMYFUNCTION("""COMPUTED_VALUE"""),"")</f>
        <v/>
      </c>
      <c r="T308" s="3" t="str">
        <f ca="1">IFERROR(__xludf.DUMMYFUNCTION("""COMPUTED_VALUE"""),"")</f>
        <v/>
      </c>
      <c r="U308" s="3" t="str">
        <f ca="1">IFERROR(__xludf.DUMMYFUNCTION("""COMPUTED_VALUE"""),"")</f>
        <v/>
      </c>
      <c r="V308" s="3" t="str">
        <f ca="1">IFERROR(__xludf.DUMMYFUNCTION("""COMPUTED_VALUE"""),"")</f>
        <v/>
      </c>
      <c r="W308" s="3" t="str">
        <f ca="1">IFERROR(__xludf.DUMMYFUNCTION("""COMPUTED_VALUE"""),"")</f>
        <v/>
      </c>
      <c r="X308" s="3" t="str">
        <f ca="1">IFERROR(__xludf.DUMMYFUNCTION("""COMPUTED_VALUE"""),"")</f>
        <v/>
      </c>
      <c r="Y308" s="3" t="str">
        <f ca="1">IFERROR(__xludf.DUMMYFUNCTION("""COMPUTED_VALUE"""),"")</f>
        <v/>
      </c>
      <c r="Z308" s="3" t="str">
        <f ca="1">IFERROR(__xludf.DUMMYFUNCTION("""COMPUTED_VALUE"""),"")</f>
        <v/>
      </c>
      <c r="AA308" s="3" t="str">
        <f ca="1">IFERROR(__xludf.DUMMYFUNCTION("""COMPUTED_VALUE"""),"")</f>
        <v/>
      </c>
      <c r="AB308" s="3" t="str">
        <f ca="1">IFERROR(__xludf.DUMMYFUNCTION("""COMPUTED_VALUE"""),"")</f>
        <v/>
      </c>
      <c r="AC308" s="3" t="str">
        <f ca="1">IFERROR(__xludf.DUMMYFUNCTION("""COMPUTED_VALUE"""),"")</f>
        <v/>
      </c>
      <c r="AD308" s="3" t="str">
        <f ca="1">IFERROR(__xludf.DUMMYFUNCTION("""COMPUTED_VALUE"""),"")</f>
        <v/>
      </c>
      <c r="AE308" s="3" t="str">
        <f ca="1">IFERROR(__xludf.DUMMYFUNCTION("""COMPUTED_VALUE"""),"")</f>
        <v/>
      </c>
      <c r="AF308" s="3" t="str">
        <f ca="1">IFERROR(__xludf.DUMMYFUNCTION("""COMPUTED_VALUE"""),"")</f>
        <v/>
      </c>
    </row>
    <row r="309" spans="1:32" x14ac:dyDescent="0.25">
      <c r="A309" s="3" t="str">
        <f ca="1">IFERROR(__xludf.DUMMYFUNCTION("""COMPUTED_VALUE"""),"School")</f>
        <v>School</v>
      </c>
      <c r="B309" s="3" t="str">
        <f ca="1">IFERROR(__xludf.DUMMYFUNCTION("""COMPUTED_VALUE"""),"G")</f>
        <v>G</v>
      </c>
      <c r="C309" s="3" t="str">
        <f ca="1">IFERROR(__xludf.DUMMYFUNCTION("""COMPUTED_VALUE"""),"W")</f>
        <v>W</v>
      </c>
      <c r="D309" s="3" t="str">
        <f ca="1">IFERROR(__xludf.DUMMYFUNCTION("""COMPUTED_VALUE"""),"L")</f>
        <v>L</v>
      </c>
      <c r="E309" s="3" t="str">
        <f ca="1">IFERROR(__xludf.DUMMYFUNCTION("""COMPUTED_VALUE"""),"W-L%")</f>
        <v>W-L%</v>
      </c>
      <c r="F309" s="3" t="str">
        <f ca="1">IFERROR(__xludf.DUMMYFUNCTION("""COMPUTED_VALUE"""),"SRS")</f>
        <v>SRS</v>
      </c>
      <c r="G309" s="3" t="str">
        <f ca="1">IFERROR(__xludf.DUMMYFUNCTION("""COMPUTED_VALUE"""),"SOS")</f>
        <v>SOS</v>
      </c>
      <c r="H309" s="3" t="str">
        <f ca="1">IFERROR(__xludf.DUMMYFUNCTION("""COMPUTED_VALUE"""),"W")</f>
        <v>W</v>
      </c>
      <c r="I309" s="3" t="str">
        <f ca="1">IFERROR(__xludf.DUMMYFUNCTION("""COMPUTED_VALUE"""),"L")</f>
        <v>L</v>
      </c>
      <c r="J309" s="3" t="str">
        <f ca="1">IFERROR(__xludf.DUMMYFUNCTION("""COMPUTED_VALUE"""),"W")</f>
        <v>W</v>
      </c>
      <c r="K309" s="3" t="str">
        <f ca="1">IFERROR(__xludf.DUMMYFUNCTION("""COMPUTED_VALUE"""),"L")</f>
        <v>L</v>
      </c>
      <c r="L309" s="3" t="str">
        <f ca="1">IFERROR(__xludf.DUMMYFUNCTION("""COMPUTED_VALUE"""),"W")</f>
        <v>W</v>
      </c>
      <c r="M309" s="3" t="str">
        <f ca="1">IFERROR(__xludf.DUMMYFUNCTION("""COMPUTED_VALUE"""),"L")</f>
        <v>L</v>
      </c>
      <c r="N309" s="3" t="str">
        <f ca="1">IFERROR(__xludf.DUMMYFUNCTION("""COMPUTED_VALUE"""),"Tm.")</f>
        <v>Tm.</v>
      </c>
      <c r="O309" s="3" t="str">
        <f ca="1">IFERROR(__xludf.DUMMYFUNCTION("""COMPUTED_VALUE"""),"Opp.")</f>
        <v>Opp.</v>
      </c>
      <c r="P309" s="3" t="str">
        <f ca="1">IFERROR(__xludf.DUMMYFUNCTION("""COMPUTED_VALUE"""),"MP")</f>
        <v>MP</v>
      </c>
      <c r="Q309" s="3" t="str">
        <f ca="1">IFERROR(__xludf.DUMMYFUNCTION("""COMPUTED_VALUE"""),"FG")</f>
        <v>FG</v>
      </c>
      <c r="R309" s="3" t="str">
        <f ca="1">IFERROR(__xludf.DUMMYFUNCTION("""COMPUTED_VALUE"""),"FGA")</f>
        <v>FGA</v>
      </c>
      <c r="S309" s="3" t="str">
        <f ca="1">IFERROR(__xludf.DUMMYFUNCTION("""COMPUTED_VALUE"""),"FG%")</f>
        <v>FG%</v>
      </c>
      <c r="T309" s="3" t="str">
        <f ca="1">IFERROR(__xludf.DUMMYFUNCTION("""COMPUTED_VALUE"""),"3P")</f>
        <v>3P</v>
      </c>
      <c r="U309" s="3" t="str">
        <f ca="1">IFERROR(__xludf.DUMMYFUNCTION("""COMPUTED_VALUE"""),"3PA")</f>
        <v>3PA</v>
      </c>
      <c r="V309" s="3" t="str">
        <f ca="1">IFERROR(__xludf.DUMMYFUNCTION("""COMPUTED_VALUE"""),"3P%")</f>
        <v>3P%</v>
      </c>
      <c r="W309" s="3" t="str">
        <f ca="1">IFERROR(__xludf.DUMMYFUNCTION("""COMPUTED_VALUE"""),"FT")</f>
        <v>FT</v>
      </c>
      <c r="X309" s="3" t="str">
        <f ca="1">IFERROR(__xludf.DUMMYFUNCTION("""COMPUTED_VALUE"""),"FTA")</f>
        <v>FTA</v>
      </c>
      <c r="Y309" s="3" t="str">
        <f ca="1">IFERROR(__xludf.DUMMYFUNCTION("""COMPUTED_VALUE"""),"FT%")</f>
        <v>FT%</v>
      </c>
      <c r="Z309" s="3" t="str">
        <f ca="1">IFERROR(__xludf.DUMMYFUNCTION("""COMPUTED_VALUE"""),"ORB")</f>
        <v>ORB</v>
      </c>
      <c r="AA309" s="3" t="str">
        <f ca="1">IFERROR(__xludf.DUMMYFUNCTION("""COMPUTED_VALUE"""),"TRB")</f>
        <v>TRB</v>
      </c>
      <c r="AB309" s="3" t="str">
        <f ca="1">IFERROR(__xludf.DUMMYFUNCTION("""COMPUTED_VALUE"""),"AST")</f>
        <v>AST</v>
      </c>
      <c r="AC309" s="3" t="str">
        <f ca="1">IFERROR(__xludf.DUMMYFUNCTION("""COMPUTED_VALUE"""),"STL")</f>
        <v>STL</v>
      </c>
      <c r="AD309" s="3" t="str">
        <f ca="1">IFERROR(__xludf.DUMMYFUNCTION("""COMPUTED_VALUE"""),"BLK")</f>
        <v>BLK</v>
      </c>
      <c r="AE309" s="3" t="str">
        <f ca="1">IFERROR(__xludf.DUMMYFUNCTION("""COMPUTED_VALUE"""),"TOV")</f>
        <v>TOV</v>
      </c>
      <c r="AF309" s="3" t="str">
        <f ca="1">IFERROR(__xludf.DUMMYFUNCTION("""COMPUTED_VALUE"""),"PF")</f>
        <v>PF</v>
      </c>
    </row>
    <row r="310" spans="1:32" x14ac:dyDescent="0.25">
      <c r="A310" s="3" t="str">
        <f ca="1">IFERROR(__xludf.DUMMYFUNCTION("""COMPUTED_VALUE"""),"South Dakota State")</f>
        <v>South Dakota State</v>
      </c>
      <c r="B310" s="3">
        <f ca="1">IFERROR(__xludf.DUMMYFUNCTION("""COMPUTED_VALUE"""),33)</f>
        <v>33</v>
      </c>
      <c r="C310" s="3">
        <f ca="1">IFERROR(__xludf.DUMMYFUNCTION("""COMPUTED_VALUE"""),24)</f>
        <v>24</v>
      </c>
      <c r="D310" s="3">
        <f ca="1">IFERROR(__xludf.DUMMYFUNCTION("""COMPUTED_VALUE"""),9)</f>
        <v>9</v>
      </c>
      <c r="E310" s="3">
        <f ca="1">IFERROR(__xludf.DUMMYFUNCTION("""COMPUTED_VALUE"""),0.727)</f>
        <v>0.72699999999999998</v>
      </c>
      <c r="F310" s="3">
        <f ca="1">IFERROR(__xludf.DUMMYFUNCTION("""COMPUTED_VALUE"""),5.92)</f>
        <v>5.92</v>
      </c>
      <c r="G310" s="3">
        <f ca="1">IFERROR(__xludf.DUMMYFUNCTION("""COMPUTED_VALUE"""),-4.74)</f>
        <v>-4.74</v>
      </c>
      <c r="H310" s="3">
        <f ca="1">IFERROR(__xludf.DUMMYFUNCTION("""COMPUTED_VALUE"""),14)</f>
        <v>14</v>
      </c>
      <c r="I310" s="3">
        <f ca="1">IFERROR(__xludf.DUMMYFUNCTION("""COMPUTED_VALUE"""),2)</f>
        <v>2</v>
      </c>
      <c r="J310" s="3">
        <f ca="1">IFERROR(__xludf.DUMMYFUNCTION("""COMPUTED_VALUE"""),14)</f>
        <v>14</v>
      </c>
      <c r="K310" s="3">
        <f ca="1">IFERROR(__xludf.DUMMYFUNCTION("""COMPUTED_VALUE"""),1)</f>
        <v>1</v>
      </c>
      <c r="L310" s="3">
        <f ca="1">IFERROR(__xludf.DUMMYFUNCTION("""COMPUTED_VALUE"""),7)</f>
        <v>7</v>
      </c>
      <c r="M310" s="3">
        <f ca="1">IFERROR(__xludf.DUMMYFUNCTION("""COMPUTED_VALUE"""),6)</f>
        <v>6</v>
      </c>
      <c r="N310" s="3">
        <f ca="1">IFERROR(__xludf.DUMMYFUNCTION("""COMPUTED_VALUE"""),2789)</f>
        <v>2789</v>
      </c>
      <c r="O310" s="3">
        <f ca="1">IFERROR(__xludf.DUMMYFUNCTION("""COMPUTED_VALUE"""),2425)</f>
        <v>2425</v>
      </c>
      <c r="P310" s="3">
        <f ca="1">IFERROR(__xludf.DUMMYFUNCTION("""COMPUTED_VALUE"""),1320)</f>
        <v>1320</v>
      </c>
      <c r="Q310" s="3">
        <f ca="1">IFERROR(__xludf.DUMMYFUNCTION("""COMPUTED_VALUE"""),984)</f>
        <v>984</v>
      </c>
      <c r="R310" s="3">
        <f ca="1">IFERROR(__xludf.DUMMYFUNCTION("""COMPUTED_VALUE"""),1965)</f>
        <v>1965</v>
      </c>
      <c r="S310" s="3">
        <f ca="1">IFERROR(__xludf.DUMMYFUNCTION("""COMPUTED_VALUE"""),0.501)</f>
        <v>0.501</v>
      </c>
      <c r="T310" s="3">
        <f ca="1">IFERROR(__xludf.DUMMYFUNCTION("""COMPUTED_VALUE"""),327)</f>
        <v>327</v>
      </c>
      <c r="U310" s="3">
        <f ca="1">IFERROR(__xludf.DUMMYFUNCTION("""COMPUTED_VALUE"""),802)</f>
        <v>802</v>
      </c>
      <c r="V310" s="3">
        <f ca="1">IFERROR(__xludf.DUMMYFUNCTION("""COMPUTED_VALUE"""),0.408)</f>
        <v>0.40799999999999997</v>
      </c>
      <c r="W310" s="3">
        <f ca="1">IFERROR(__xludf.DUMMYFUNCTION("""COMPUTED_VALUE"""),494)</f>
        <v>494</v>
      </c>
      <c r="X310" s="3">
        <f ca="1">IFERROR(__xludf.DUMMYFUNCTION("""COMPUTED_VALUE"""),635)</f>
        <v>635</v>
      </c>
      <c r="Y310" s="3">
        <f ca="1">IFERROR(__xludf.DUMMYFUNCTION("""COMPUTED_VALUE"""),0.778)</f>
        <v>0.77800000000000002</v>
      </c>
      <c r="Z310" s="3">
        <f ca="1">IFERROR(__xludf.DUMMYFUNCTION("""COMPUTED_VALUE"""),251)</f>
        <v>251</v>
      </c>
      <c r="AA310" s="3">
        <f ca="1">IFERROR(__xludf.DUMMYFUNCTION("""COMPUTED_VALUE"""),1259)</f>
        <v>1259</v>
      </c>
      <c r="AB310" s="3">
        <f ca="1">IFERROR(__xludf.DUMMYFUNCTION("""COMPUTED_VALUE"""),489)</f>
        <v>489</v>
      </c>
      <c r="AC310" s="3">
        <f ca="1">IFERROR(__xludf.DUMMYFUNCTION("""COMPUTED_VALUE"""),202)</f>
        <v>202</v>
      </c>
      <c r="AD310" s="3">
        <f ca="1">IFERROR(__xludf.DUMMYFUNCTION("""COMPUTED_VALUE"""),65)</f>
        <v>65</v>
      </c>
      <c r="AE310" s="3">
        <f ca="1">IFERROR(__xludf.DUMMYFUNCTION("""COMPUTED_VALUE"""),388)</f>
        <v>388</v>
      </c>
      <c r="AF310" s="3">
        <f ca="1">IFERROR(__xludf.DUMMYFUNCTION("""COMPUTED_VALUE"""),557)</f>
        <v>557</v>
      </c>
    </row>
    <row r="311" spans="1:32" x14ac:dyDescent="0.25">
      <c r="A311" s="3" t="str">
        <f ca="1">IFERROR(__xludf.DUMMYFUNCTION("""COMPUTED_VALUE"""),"South Dakota")</f>
        <v>South Dakota</v>
      </c>
      <c r="B311" s="3">
        <f ca="1">IFERROR(__xludf.DUMMYFUNCTION("""COMPUTED_VALUE"""),30)</f>
        <v>30</v>
      </c>
      <c r="C311" s="3">
        <f ca="1">IFERROR(__xludf.DUMMYFUNCTION("""COMPUTED_VALUE"""),13)</f>
        <v>13</v>
      </c>
      <c r="D311" s="3">
        <f ca="1">IFERROR(__xludf.DUMMYFUNCTION("""COMPUTED_VALUE"""),17)</f>
        <v>17</v>
      </c>
      <c r="E311" s="3">
        <f ca="1">IFERROR(__xludf.DUMMYFUNCTION("""COMPUTED_VALUE"""),0.433)</f>
        <v>0.433</v>
      </c>
      <c r="F311" s="3">
        <f ca="1">IFERROR(__xludf.DUMMYFUNCTION("""COMPUTED_VALUE"""),-5.52)</f>
        <v>-5.52</v>
      </c>
      <c r="G311" s="3">
        <f ca="1">IFERROR(__xludf.DUMMYFUNCTION("""COMPUTED_VALUE"""),-3.06)</f>
        <v>-3.06</v>
      </c>
      <c r="H311" s="3">
        <f ca="1">IFERROR(__xludf.DUMMYFUNCTION("""COMPUTED_VALUE"""),7)</f>
        <v>7</v>
      </c>
      <c r="I311" s="3">
        <f ca="1">IFERROR(__xludf.DUMMYFUNCTION("""COMPUTED_VALUE"""),9)</f>
        <v>9</v>
      </c>
      <c r="J311" s="3">
        <f ca="1">IFERROR(__xludf.DUMMYFUNCTION("""COMPUTED_VALUE"""),8)</f>
        <v>8</v>
      </c>
      <c r="K311" s="3">
        <f ca="1">IFERROR(__xludf.DUMMYFUNCTION("""COMPUTED_VALUE"""),6)</f>
        <v>6</v>
      </c>
      <c r="L311" s="3">
        <f ca="1">IFERROR(__xludf.DUMMYFUNCTION("""COMPUTED_VALUE"""),4)</f>
        <v>4</v>
      </c>
      <c r="M311" s="3">
        <f ca="1">IFERROR(__xludf.DUMMYFUNCTION("""COMPUTED_VALUE"""),8)</f>
        <v>8</v>
      </c>
      <c r="N311" s="3">
        <f ca="1">IFERROR(__xludf.DUMMYFUNCTION("""COMPUTED_VALUE"""),2118)</f>
        <v>2118</v>
      </c>
      <c r="O311" s="3">
        <f ca="1">IFERROR(__xludf.DUMMYFUNCTION("""COMPUTED_VALUE"""),2136)</f>
        <v>2136</v>
      </c>
      <c r="P311" s="3">
        <f ca="1">IFERROR(__xludf.DUMMYFUNCTION("""COMPUTED_VALUE"""),1205)</f>
        <v>1205</v>
      </c>
      <c r="Q311" s="3">
        <f ca="1">IFERROR(__xludf.DUMMYFUNCTION("""COMPUTED_VALUE"""),729)</f>
        <v>729</v>
      </c>
      <c r="R311" s="3">
        <f ca="1">IFERROR(__xludf.DUMMYFUNCTION("""COMPUTED_VALUE"""),1664)</f>
        <v>1664</v>
      </c>
      <c r="S311" s="3">
        <f ca="1">IFERROR(__xludf.DUMMYFUNCTION("""COMPUTED_VALUE"""),0.438)</f>
        <v>0.438</v>
      </c>
      <c r="T311" s="3">
        <f ca="1">IFERROR(__xludf.DUMMYFUNCTION("""COMPUTED_VALUE"""),227)</f>
        <v>227</v>
      </c>
      <c r="U311" s="3">
        <f ca="1">IFERROR(__xludf.DUMMYFUNCTION("""COMPUTED_VALUE"""),666)</f>
        <v>666</v>
      </c>
      <c r="V311" s="3">
        <f ca="1">IFERROR(__xludf.DUMMYFUNCTION("""COMPUTED_VALUE"""),0.341)</f>
        <v>0.34100000000000003</v>
      </c>
      <c r="W311" s="3">
        <f ca="1">IFERROR(__xludf.DUMMYFUNCTION("""COMPUTED_VALUE"""),433)</f>
        <v>433</v>
      </c>
      <c r="X311" s="3">
        <f ca="1">IFERROR(__xludf.DUMMYFUNCTION("""COMPUTED_VALUE"""),585)</f>
        <v>585</v>
      </c>
      <c r="Y311" s="3">
        <f ca="1">IFERROR(__xludf.DUMMYFUNCTION("""COMPUTED_VALUE"""),0.74)</f>
        <v>0.74</v>
      </c>
      <c r="Z311" s="3">
        <f ca="1">IFERROR(__xludf.DUMMYFUNCTION("""COMPUTED_VALUE"""),219)</f>
        <v>219</v>
      </c>
      <c r="AA311" s="3">
        <f ca="1">IFERROR(__xludf.DUMMYFUNCTION("""COMPUTED_VALUE"""),942)</f>
        <v>942</v>
      </c>
      <c r="AB311" s="3">
        <f ca="1">IFERROR(__xludf.DUMMYFUNCTION("""COMPUTED_VALUE"""),382)</f>
        <v>382</v>
      </c>
      <c r="AC311" s="3">
        <f ca="1">IFERROR(__xludf.DUMMYFUNCTION("""COMPUTED_VALUE"""),165)</f>
        <v>165</v>
      </c>
      <c r="AD311" s="3">
        <f ca="1">IFERROR(__xludf.DUMMYFUNCTION("""COMPUTED_VALUE"""),68)</f>
        <v>68</v>
      </c>
      <c r="AE311" s="3">
        <f ca="1">IFERROR(__xludf.DUMMYFUNCTION("""COMPUTED_VALUE"""),324)</f>
        <v>324</v>
      </c>
      <c r="AF311" s="3">
        <f ca="1">IFERROR(__xludf.DUMMYFUNCTION("""COMPUTED_VALUE"""),527)</f>
        <v>527</v>
      </c>
    </row>
    <row r="312" spans="1:32" x14ac:dyDescent="0.25">
      <c r="A312" s="3" t="str">
        <f ca="1">IFERROR(__xludf.DUMMYFUNCTION("""COMPUTED_VALUE"""),"South Florida")</f>
        <v>South Florida</v>
      </c>
      <c r="B312" s="3">
        <f ca="1">IFERROR(__xludf.DUMMYFUNCTION("""COMPUTED_VALUE"""),38)</f>
        <v>38</v>
      </c>
      <c r="C312" s="3">
        <f ca="1">IFERROR(__xludf.DUMMYFUNCTION("""COMPUTED_VALUE"""),24)</f>
        <v>24</v>
      </c>
      <c r="D312" s="3">
        <f ca="1">IFERROR(__xludf.DUMMYFUNCTION("""COMPUTED_VALUE"""),14)</f>
        <v>14</v>
      </c>
      <c r="E312" s="3">
        <f ca="1">IFERROR(__xludf.DUMMYFUNCTION("""COMPUTED_VALUE"""),0.632)</f>
        <v>0.63200000000000001</v>
      </c>
      <c r="F312" s="3">
        <f ca="1">IFERROR(__xludf.DUMMYFUNCTION("""COMPUTED_VALUE"""),5.96)</f>
        <v>5.96</v>
      </c>
      <c r="G312" s="3">
        <f ca="1">IFERROR(__xludf.DUMMYFUNCTION("""COMPUTED_VALUE"""),1.69)</f>
        <v>1.69</v>
      </c>
      <c r="H312" s="3">
        <f ca="1">IFERROR(__xludf.DUMMYFUNCTION("""COMPUTED_VALUE"""),8)</f>
        <v>8</v>
      </c>
      <c r="I312" s="3">
        <f ca="1">IFERROR(__xludf.DUMMYFUNCTION("""COMPUTED_VALUE"""),10)</f>
        <v>10</v>
      </c>
      <c r="J312" s="3">
        <f ca="1">IFERROR(__xludf.DUMMYFUNCTION("""COMPUTED_VALUE"""),18)</f>
        <v>18</v>
      </c>
      <c r="K312" s="3">
        <f ca="1">IFERROR(__xludf.DUMMYFUNCTION("""COMPUTED_VALUE"""),5)</f>
        <v>5</v>
      </c>
      <c r="L312" s="3">
        <f ca="1">IFERROR(__xludf.DUMMYFUNCTION("""COMPUTED_VALUE"""),5)</f>
        <v>5</v>
      </c>
      <c r="M312" s="3">
        <f ca="1">IFERROR(__xludf.DUMMYFUNCTION("""COMPUTED_VALUE"""),7)</f>
        <v>7</v>
      </c>
      <c r="N312" s="3">
        <f ca="1">IFERROR(__xludf.DUMMYFUNCTION("""COMPUTED_VALUE"""),2752)</f>
        <v>2752</v>
      </c>
      <c r="O312" s="3">
        <f ca="1">IFERROR(__xludf.DUMMYFUNCTION("""COMPUTED_VALUE"""),2553)</f>
        <v>2553</v>
      </c>
      <c r="P312" s="3">
        <f ca="1">IFERROR(__xludf.DUMMYFUNCTION("""COMPUTED_VALUE"""),1555)</f>
        <v>1555</v>
      </c>
      <c r="Q312" s="3">
        <f ca="1">IFERROR(__xludf.DUMMYFUNCTION("""COMPUTED_VALUE"""),911)</f>
        <v>911</v>
      </c>
      <c r="R312" s="3">
        <f ca="1">IFERROR(__xludf.DUMMYFUNCTION("""COMPUTED_VALUE"""),2120)</f>
        <v>2120</v>
      </c>
      <c r="S312" s="3">
        <f ca="1">IFERROR(__xludf.DUMMYFUNCTION("""COMPUTED_VALUE"""),0.43)</f>
        <v>0.43</v>
      </c>
      <c r="T312" s="3">
        <f ca="1">IFERROR(__xludf.DUMMYFUNCTION("""COMPUTED_VALUE"""),272)</f>
        <v>272</v>
      </c>
      <c r="U312" s="3">
        <f ca="1">IFERROR(__xludf.DUMMYFUNCTION("""COMPUTED_VALUE"""),819)</f>
        <v>819</v>
      </c>
      <c r="V312" s="3">
        <f ca="1">IFERROR(__xludf.DUMMYFUNCTION("""COMPUTED_VALUE"""),0.332)</f>
        <v>0.33200000000000002</v>
      </c>
      <c r="W312" s="3">
        <f ca="1">IFERROR(__xludf.DUMMYFUNCTION("""COMPUTED_VALUE"""),658)</f>
        <v>658</v>
      </c>
      <c r="X312" s="3">
        <f ca="1">IFERROR(__xludf.DUMMYFUNCTION("""COMPUTED_VALUE"""),1018)</f>
        <v>1018</v>
      </c>
      <c r="Y312" s="3">
        <f ca="1">IFERROR(__xludf.DUMMYFUNCTION("""COMPUTED_VALUE"""),0.646)</f>
        <v>0.64600000000000002</v>
      </c>
      <c r="Z312" s="3">
        <f ca="1">IFERROR(__xludf.DUMMYFUNCTION("""COMPUTED_VALUE"""),496)</f>
        <v>496</v>
      </c>
      <c r="AA312" s="3">
        <f ca="1">IFERROR(__xludf.DUMMYFUNCTION("""COMPUTED_VALUE"""),1483)</f>
        <v>1483</v>
      </c>
      <c r="AB312" s="3">
        <f ca="1">IFERROR(__xludf.DUMMYFUNCTION("""COMPUTED_VALUE"""),521)</f>
        <v>521</v>
      </c>
      <c r="AC312" s="3">
        <f ca="1">IFERROR(__xludf.DUMMYFUNCTION("""COMPUTED_VALUE"""),306)</f>
        <v>306</v>
      </c>
      <c r="AD312" s="3">
        <f ca="1">IFERROR(__xludf.DUMMYFUNCTION("""COMPUTED_VALUE"""),124)</f>
        <v>124</v>
      </c>
      <c r="AE312" s="3">
        <f ca="1">IFERROR(__xludf.DUMMYFUNCTION("""COMPUTED_VALUE"""),604)</f>
        <v>604</v>
      </c>
      <c r="AF312" s="3">
        <f ca="1">IFERROR(__xludf.DUMMYFUNCTION("""COMPUTED_VALUE"""),790)</f>
        <v>790</v>
      </c>
    </row>
    <row r="313" spans="1:32" x14ac:dyDescent="0.25">
      <c r="A313" s="3" t="str">
        <f ca="1">IFERROR(__xludf.DUMMYFUNCTION("""COMPUTED_VALUE"""),"Southeast Missouri State")</f>
        <v>Southeast Missouri State</v>
      </c>
      <c r="B313" s="3">
        <f ca="1">IFERROR(__xludf.DUMMYFUNCTION("""COMPUTED_VALUE"""),31)</f>
        <v>31</v>
      </c>
      <c r="C313" s="3">
        <f ca="1">IFERROR(__xludf.DUMMYFUNCTION("""COMPUTED_VALUE"""),10)</f>
        <v>10</v>
      </c>
      <c r="D313" s="3">
        <f ca="1">IFERROR(__xludf.DUMMYFUNCTION("""COMPUTED_VALUE"""),21)</f>
        <v>21</v>
      </c>
      <c r="E313" s="3">
        <f ca="1">IFERROR(__xludf.DUMMYFUNCTION("""COMPUTED_VALUE"""),0.323)</f>
        <v>0.32300000000000001</v>
      </c>
      <c r="F313" s="3">
        <f ca="1">IFERROR(__xludf.DUMMYFUNCTION("""COMPUTED_VALUE"""),-11.32)</f>
        <v>-11.32</v>
      </c>
      <c r="G313" s="3">
        <f ca="1">IFERROR(__xludf.DUMMYFUNCTION("""COMPUTED_VALUE"""),-4.39)</f>
        <v>-4.3899999999999997</v>
      </c>
      <c r="H313" s="3">
        <f ca="1">IFERROR(__xludf.DUMMYFUNCTION("""COMPUTED_VALUE"""),5)</f>
        <v>5</v>
      </c>
      <c r="I313" s="3">
        <f ca="1">IFERROR(__xludf.DUMMYFUNCTION("""COMPUTED_VALUE"""),13)</f>
        <v>13</v>
      </c>
      <c r="J313" s="3">
        <f ca="1">IFERROR(__xludf.DUMMYFUNCTION("""COMPUTED_VALUE"""),6)</f>
        <v>6</v>
      </c>
      <c r="K313" s="3">
        <f ca="1">IFERROR(__xludf.DUMMYFUNCTION("""COMPUTED_VALUE"""),8)</f>
        <v>8</v>
      </c>
      <c r="L313" s="3">
        <f ca="1">IFERROR(__xludf.DUMMYFUNCTION("""COMPUTED_VALUE"""),2)</f>
        <v>2</v>
      </c>
      <c r="M313" s="3">
        <f ca="1">IFERROR(__xludf.DUMMYFUNCTION("""COMPUTED_VALUE"""),13)</f>
        <v>13</v>
      </c>
      <c r="N313" s="3">
        <f ca="1">IFERROR(__xludf.DUMMYFUNCTION("""COMPUTED_VALUE"""),2216)</f>
        <v>2216</v>
      </c>
      <c r="O313" s="3">
        <f ca="1">IFERROR(__xludf.DUMMYFUNCTION("""COMPUTED_VALUE"""),2378)</f>
        <v>2378</v>
      </c>
      <c r="P313" s="3">
        <f ca="1">IFERROR(__xludf.DUMMYFUNCTION("""COMPUTED_VALUE"""),1265)</f>
        <v>1265</v>
      </c>
      <c r="Q313" s="3">
        <f ca="1">IFERROR(__xludf.DUMMYFUNCTION("""COMPUTED_VALUE"""),796)</f>
        <v>796</v>
      </c>
      <c r="R313" s="3">
        <f ca="1">IFERROR(__xludf.DUMMYFUNCTION("""COMPUTED_VALUE"""),1809)</f>
        <v>1809</v>
      </c>
      <c r="S313" s="3">
        <f ca="1">IFERROR(__xludf.DUMMYFUNCTION("""COMPUTED_VALUE"""),0.44)</f>
        <v>0.44</v>
      </c>
      <c r="T313" s="3">
        <f ca="1">IFERROR(__xludf.DUMMYFUNCTION("""COMPUTED_VALUE"""),266)</f>
        <v>266</v>
      </c>
      <c r="U313" s="3">
        <f ca="1">IFERROR(__xludf.DUMMYFUNCTION("""COMPUTED_VALUE"""),719)</f>
        <v>719</v>
      </c>
      <c r="V313" s="3">
        <f ca="1">IFERROR(__xludf.DUMMYFUNCTION("""COMPUTED_VALUE"""),0.37)</f>
        <v>0.37</v>
      </c>
      <c r="W313" s="3">
        <f ca="1">IFERROR(__xludf.DUMMYFUNCTION("""COMPUTED_VALUE"""),358)</f>
        <v>358</v>
      </c>
      <c r="X313" s="3">
        <f ca="1">IFERROR(__xludf.DUMMYFUNCTION("""COMPUTED_VALUE"""),519)</f>
        <v>519</v>
      </c>
      <c r="Y313" s="3">
        <f ca="1">IFERROR(__xludf.DUMMYFUNCTION("""COMPUTED_VALUE"""),0.69)</f>
        <v>0.69</v>
      </c>
      <c r="Z313" s="3">
        <f ca="1">IFERROR(__xludf.DUMMYFUNCTION("""COMPUTED_VALUE"""),284)</f>
        <v>284</v>
      </c>
      <c r="AA313" s="3">
        <f ca="1">IFERROR(__xludf.DUMMYFUNCTION("""COMPUTED_VALUE"""),1081)</f>
        <v>1081</v>
      </c>
      <c r="AB313" s="3">
        <f ca="1">IFERROR(__xludf.DUMMYFUNCTION("""COMPUTED_VALUE"""),402)</f>
        <v>402</v>
      </c>
      <c r="AC313" s="3">
        <f ca="1">IFERROR(__xludf.DUMMYFUNCTION("""COMPUTED_VALUE"""),182)</f>
        <v>182</v>
      </c>
      <c r="AD313" s="3">
        <f ca="1">IFERROR(__xludf.DUMMYFUNCTION("""COMPUTED_VALUE"""),75)</f>
        <v>75</v>
      </c>
      <c r="AE313" s="3">
        <f ca="1">IFERROR(__xludf.DUMMYFUNCTION("""COMPUTED_VALUE"""),447)</f>
        <v>447</v>
      </c>
      <c r="AF313" s="3">
        <f ca="1">IFERROR(__xludf.DUMMYFUNCTION("""COMPUTED_VALUE"""),615)</f>
        <v>615</v>
      </c>
    </row>
    <row r="314" spans="1:32" x14ac:dyDescent="0.25">
      <c r="A314" s="3" t="str">
        <f ca="1">IFERROR(__xludf.DUMMYFUNCTION("""COMPUTED_VALUE"""),"Southeastern Louisiana")</f>
        <v>Southeastern Louisiana</v>
      </c>
      <c r="B314" s="3">
        <f ca="1">IFERROR(__xludf.DUMMYFUNCTION("""COMPUTED_VALUE"""),33)</f>
        <v>33</v>
      </c>
      <c r="C314" s="3">
        <f ca="1">IFERROR(__xludf.DUMMYFUNCTION("""COMPUTED_VALUE"""),17)</f>
        <v>17</v>
      </c>
      <c r="D314" s="3">
        <f ca="1">IFERROR(__xludf.DUMMYFUNCTION("""COMPUTED_VALUE"""),16)</f>
        <v>16</v>
      </c>
      <c r="E314" s="3">
        <f ca="1">IFERROR(__xludf.DUMMYFUNCTION("""COMPUTED_VALUE"""),0.515)</f>
        <v>0.51500000000000001</v>
      </c>
      <c r="F314" s="3">
        <f ca="1">IFERROR(__xludf.DUMMYFUNCTION("""COMPUTED_VALUE"""),-7.59)</f>
        <v>-7.59</v>
      </c>
      <c r="G314" s="3">
        <f ca="1">IFERROR(__xludf.DUMMYFUNCTION("""COMPUTED_VALUE"""),-6.3)</f>
        <v>-6.3</v>
      </c>
      <c r="H314" s="3">
        <f ca="1">IFERROR(__xludf.DUMMYFUNCTION("""COMPUTED_VALUE"""),12)</f>
        <v>12</v>
      </c>
      <c r="I314" s="3">
        <f ca="1">IFERROR(__xludf.DUMMYFUNCTION("""COMPUTED_VALUE"""),6)</f>
        <v>6</v>
      </c>
      <c r="J314" s="3">
        <f ca="1">IFERROR(__xludf.DUMMYFUNCTION("""COMPUTED_VALUE"""),9)</f>
        <v>9</v>
      </c>
      <c r="K314" s="3">
        <f ca="1">IFERROR(__xludf.DUMMYFUNCTION("""COMPUTED_VALUE"""),5)</f>
        <v>5</v>
      </c>
      <c r="L314" s="3">
        <f ca="1">IFERROR(__xludf.DUMMYFUNCTION("""COMPUTED_VALUE"""),7)</f>
        <v>7</v>
      </c>
      <c r="M314" s="3">
        <f ca="1">IFERROR(__xludf.DUMMYFUNCTION("""COMPUTED_VALUE"""),9)</f>
        <v>9</v>
      </c>
      <c r="N314" s="3">
        <f ca="1">IFERROR(__xludf.DUMMYFUNCTION("""COMPUTED_VALUE"""),2224)</f>
        <v>2224</v>
      </c>
      <c r="O314" s="3">
        <f ca="1">IFERROR(__xludf.DUMMYFUNCTION("""COMPUTED_VALUE"""),2228)</f>
        <v>2228</v>
      </c>
      <c r="P314" s="3">
        <f ca="1">IFERROR(__xludf.DUMMYFUNCTION("""COMPUTED_VALUE"""),1320)</f>
        <v>1320</v>
      </c>
      <c r="Q314" s="3">
        <f ca="1">IFERROR(__xludf.DUMMYFUNCTION("""COMPUTED_VALUE"""),765)</f>
        <v>765</v>
      </c>
      <c r="R314" s="3">
        <f ca="1">IFERROR(__xludf.DUMMYFUNCTION("""COMPUTED_VALUE"""),1735)</f>
        <v>1735</v>
      </c>
      <c r="S314" s="3">
        <f ca="1">IFERROR(__xludf.DUMMYFUNCTION("""COMPUTED_VALUE"""),0.441)</f>
        <v>0.441</v>
      </c>
      <c r="T314" s="3">
        <f ca="1">IFERROR(__xludf.DUMMYFUNCTION("""COMPUTED_VALUE"""),235)</f>
        <v>235</v>
      </c>
      <c r="U314" s="3">
        <f ca="1">IFERROR(__xludf.DUMMYFUNCTION("""COMPUTED_VALUE"""),696)</f>
        <v>696</v>
      </c>
      <c r="V314" s="3">
        <f ca="1">IFERROR(__xludf.DUMMYFUNCTION("""COMPUTED_VALUE"""),0.338)</f>
        <v>0.33800000000000002</v>
      </c>
      <c r="W314" s="3">
        <f ca="1">IFERROR(__xludf.DUMMYFUNCTION("""COMPUTED_VALUE"""),459)</f>
        <v>459</v>
      </c>
      <c r="X314" s="3">
        <f ca="1">IFERROR(__xludf.DUMMYFUNCTION("""COMPUTED_VALUE"""),640)</f>
        <v>640</v>
      </c>
      <c r="Y314" s="3">
        <f ca="1">IFERROR(__xludf.DUMMYFUNCTION("""COMPUTED_VALUE"""),0.717)</f>
        <v>0.71699999999999997</v>
      </c>
      <c r="Z314" s="3">
        <f ca="1">IFERROR(__xludf.DUMMYFUNCTION("""COMPUTED_VALUE"""),346)</f>
        <v>346</v>
      </c>
      <c r="AA314" s="3">
        <f ca="1">IFERROR(__xludf.DUMMYFUNCTION("""COMPUTED_VALUE"""),1117)</f>
        <v>1117</v>
      </c>
      <c r="AB314" s="3">
        <f ca="1">IFERROR(__xludf.DUMMYFUNCTION("""COMPUTED_VALUE"""),452)</f>
        <v>452</v>
      </c>
      <c r="AC314" s="3">
        <f ca="1">IFERROR(__xludf.DUMMYFUNCTION("""COMPUTED_VALUE"""),215)</f>
        <v>215</v>
      </c>
      <c r="AD314" s="3">
        <f ca="1">IFERROR(__xludf.DUMMYFUNCTION("""COMPUTED_VALUE"""),80)</f>
        <v>80</v>
      </c>
      <c r="AE314" s="3">
        <f ca="1">IFERROR(__xludf.DUMMYFUNCTION("""COMPUTED_VALUE"""),536)</f>
        <v>536</v>
      </c>
      <c r="AF314" s="3">
        <f ca="1">IFERROR(__xludf.DUMMYFUNCTION("""COMPUTED_VALUE"""),602)</f>
        <v>602</v>
      </c>
    </row>
    <row r="315" spans="1:32" x14ac:dyDescent="0.25">
      <c r="A315" s="3" t="str">
        <f ca="1">IFERROR(__xludf.DUMMYFUNCTION("""COMPUTED_VALUE"""),"Southern California")</f>
        <v>Southern California</v>
      </c>
      <c r="B315" s="3">
        <f ca="1">IFERROR(__xludf.DUMMYFUNCTION("""COMPUTED_VALUE"""),33)</f>
        <v>33</v>
      </c>
      <c r="C315" s="3">
        <f ca="1">IFERROR(__xludf.DUMMYFUNCTION("""COMPUTED_VALUE"""),16)</f>
        <v>16</v>
      </c>
      <c r="D315" s="3">
        <f ca="1">IFERROR(__xludf.DUMMYFUNCTION("""COMPUTED_VALUE"""),17)</f>
        <v>17</v>
      </c>
      <c r="E315" s="3">
        <f ca="1">IFERROR(__xludf.DUMMYFUNCTION("""COMPUTED_VALUE"""),0.485)</f>
        <v>0.48499999999999999</v>
      </c>
      <c r="F315" s="3">
        <f ca="1">IFERROR(__xludf.DUMMYFUNCTION("""COMPUTED_VALUE"""),8.23)</f>
        <v>8.23</v>
      </c>
      <c r="G315" s="3">
        <f ca="1">IFERROR(__xludf.DUMMYFUNCTION("""COMPUTED_VALUE"""),4.96)</f>
        <v>4.96</v>
      </c>
      <c r="H315" s="3">
        <f ca="1">IFERROR(__xludf.DUMMYFUNCTION("""COMPUTED_VALUE"""),8)</f>
        <v>8</v>
      </c>
      <c r="I315" s="3">
        <f ca="1">IFERROR(__xludf.DUMMYFUNCTION("""COMPUTED_VALUE"""),10)</f>
        <v>10</v>
      </c>
      <c r="J315" s="3">
        <f ca="1">IFERROR(__xludf.DUMMYFUNCTION("""COMPUTED_VALUE"""),12)</f>
        <v>12</v>
      </c>
      <c r="K315" s="3">
        <f ca="1">IFERROR(__xludf.DUMMYFUNCTION("""COMPUTED_VALUE"""),5)</f>
        <v>5</v>
      </c>
      <c r="L315" s="3">
        <f ca="1">IFERROR(__xludf.DUMMYFUNCTION("""COMPUTED_VALUE"""),2)</f>
        <v>2</v>
      </c>
      <c r="M315" s="3">
        <f ca="1">IFERROR(__xludf.DUMMYFUNCTION("""COMPUTED_VALUE"""),9)</f>
        <v>9</v>
      </c>
      <c r="N315" s="3">
        <f ca="1">IFERROR(__xludf.DUMMYFUNCTION("""COMPUTED_VALUE"""),2518)</f>
        <v>2518</v>
      </c>
      <c r="O315" s="3">
        <f ca="1">IFERROR(__xludf.DUMMYFUNCTION("""COMPUTED_VALUE"""),2410)</f>
        <v>2410</v>
      </c>
      <c r="P315" s="3">
        <f ca="1">IFERROR(__xludf.DUMMYFUNCTION("""COMPUTED_VALUE"""),1340)</f>
        <v>1340</v>
      </c>
      <c r="Q315" s="3">
        <f ca="1">IFERROR(__xludf.DUMMYFUNCTION("""COMPUTED_VALUE"""),937)</f>
        <v>937</v>
      </c>
      <c r="R315" s="3">
        <f ca="1">IFERROR(__xludf.DUMMYFUNCTION("""COMPUTED_VALUE"""),2039)</f>
        <v>2039</v>
      </c>
      <c r="S315" s="3">
        <f ca="1">IFERROR(__xludf.DUMMYFUNCTION("""COMPUTED_VALUE"""),0.46)</f>
        <v>0.46</v>
      </c>
      <c r="T315" s="3">
        <f ca="1">IFERROR(__xludf.DUMMYFUNCTION("""COMPUTED_VALUE"""),281)</f>
        <v>281</v>
      </c>
      <c r="U315" s="3">
        <f ca="1">IFERROR(__xludf.DUMMYFUNCTION("""COMPUTED_VALUE"""),735)</f>
        <v>735</v>
      </c>
      <c r="V315" s="3">
        <f ca="1">IFERROR(__xludf.DUMMYFUNCTION("""COMPUTED_VALUE"""),0.382)</f>
        <v>0.38200000000000001</v>
      </c>
      <c r="W315" s="3">
        <f ca="1">IFERROR(__xludf.DUMMYFUNCTION("""COMPUTED_VALUE"""),363)</f>
        <v>363</v>
      </c>
      <c r="X315" s="3">
        <f ca="1">IFERROR(__xludf.DUMMYFUNCTION("""COMPUTED_VALUE"""),563)</f>
        <v>563</v>
      </c>
      <c r="Y315" s="3">
        <f ca="1">IFERROR(__xludf.DUMMYFUNCTION("""COMPUTED_VALUE"""),0.645)</f>
        <v>0.64500000000000002</v>
      </c>
      <c r="Z315" s="3">
        <f ca="1">IFERROR(__xludf.DUMMYFUNCTION("""COMPUTED_VALUE"""),324)</f>
        <v>324</v>
      </c>
      <c r="AA315" s="3">
        <f ca="1">IFERROR(__xludf.DUMMYFUNCTION("""COMPUTED_VALUE"""),1188)</f>
        <v>1188</v>
      </c>
      <c r="AB315" s="3">
        <f ca="1">IFERROR(__xludf.DUMMYFUNCTION("""COMPUTED_VALUE"""),536)</f>
        <v>536</v>
      </c>
      <c r="AC315" s="3">
        <f ca="1">IFERROR(__xludf.DUMMYFUNCTION("""COMPUTED_VALUE"""),202)</f>
        <v>202</v>
      </c>
      <c r="AD315" s="3">
        <f ca="1">IFERROR(__xludf.DUMMYFUNCTION("""COMPUTED_VALUE"""),117)</f>
        <v>117</v>
      </c>
      <c r="AE315" s="3">
        <f ca="1">IFERROR(__xludf.DUMMYFUNCTION("""COMPUTED_VALUE"""),392)</f>
        <v>392</v>
      </c>
      <c r="AF315" s="3">
        <f ca="1">IFERROR(__xludf.DUMMYFUNCTION("""COMPUTED_VALUE"""),590)</f>
        <v>590</v>
      </c>
    </row>
    <row r="316" spans="1:32" x14ac:dyDescent="0.25">
      <c r="A316" s="3" t="str">
        <f ca="1">IFERROR(__xludf.DUMMYFUNCTION("""COMPUTED_VALUE"""),"SIU Edwardsville")</f>
        <v>SIU Edwardsville</v>
      </c>
      <c r="B316" s="3">
        <f ca="1">IFERROR(__xludf.DUMMYFUNCTION("""COMPUTED_VALUE"""),31)</f>
        <v>31</v>
      </c>
      <c r="C316" s="3">
        <f ca="1">IFERROR(__xludf.DUMMYFUNCTION("""COMPUTED_VALUE"""),10)</f>
        <v>10</v>
      </c>
      <c r="D316" s="3">
        <f ca="1">IFERROR(__xludf.DUMMYFUNCTION("""COMPUTED_VALUE"""),21)</f>
        <v>21</v>
      </c>
      <c r="E316" s="3">
        <f ca="1">IFERROR(__xludf.DUMMYFUNCTION("""COMPUTED_VALUE"""),0.323)</f>
        <v>0.32300000000000001</v>
      </c>
      <c r="F316" s="3">
        <f ca="1">IFERROR(__xludf.DUMMYFUNCTION("""COMPUTED_VALUE"""),-14.47)</f>
        <v>-14.47</v>
      </c>
      <c r="G316" s="3">
        <f ca="1">IFERROR(__xludf.DUMMYFUNCTION("""COMPUTED_VALUE"""),-5.06)</f>
        <v>-5.0599999999999996</v>
      </c>
      <c r="H316" s="3">
        <f ca="1">IFERROR(__xludf.DUMMYFUNCTION("""COMPUTED_VALUE"""),6)</f>
        <v>6</v>
      </c>
      <c r="I316" s="3">
        <f ca="1">IFERROR(__xludf.DUMMYFUNCTION("""COMPUTED_VALUE"""),12)</f>
        <v>12</v>
      </c>
      <c r="J316" s="3">
        <f ca="1">IFERROR(__xludf.DUMMYFUNCTION("""COMPUTED_VALUE"""),7)</f>
        <v>7</v>
      </c>
      <c r="K316" s="3">
        <f ca="1">IFERROR(__xludf.DUMMYFUNCTION("""COMPUTED_VALUE"""),8)</f>
        <v>8</v>
      </c>
      <c r="L316" s="3">
        <f ca="1">IFERROR(__xludf.DUMMYFUNCTION("""COMPUTED_VALUE"""),2)</f>
        <v>2</v>
      </c>
      <c r="M316" s="3">
        <f ca="1">IFERROR(__xludf.DUMMYFUNCTION("""COMPUTED_VALUE"""),11)</f>
        <v>11</v>
      </c>
      <c r="N316" s="3">
        <f ca="1">IFERROR(__xludf.DUMMYFUNCTION("""COMPUTED_VALUE"""),2265)</f>
        <v>2265</v>
      </c>
      <c r="O316" s="3">
        <f ca="1">IFERROR(__xludf.DUMMYFUNCTION("""COMPUTED_VALUE"""),2520)</f>
        <v>2520</v>
      </c>
      <c r="P316" s="3">
        <f ca="1">IFERROR(__xludf.DUMMYFUNCTION("""COMPUTED_VALUE"""),1280)</f>
        <v>1280</v>
      </c>
      <c r="Q316" s="3">
        <f ca="1">IFERROR(__xludf.DUMMYFUNCTION("""COMPUTED_VALUE"""),794)</f>
        <v>794</v>
      </c>
      <c r="R316" s="3">
        <f ca="1">IFERROR(__xludf.DUMMYFUNCTION("""COMPUTED_VALUE"""),1898)</f>
        <v>1898</v>
      </c>
      <c r="S316" s="3">
        <f ca="1">IFERROR(__xludf.DUMMYFUNCTION("""COMPUTED_VALUE"""),0.418)</f>
        <v>0.41799999999999998</v>
      </c>
      <c r="T316" s="3">
        <f ca="1">IFERROR(__xludf.DUMMYFUNCTION("""COMPUTED_VALUE"""),201)</f>
        <v>201</v>
      </c>
      <c r="U316" s="3">
        <f ca="1">IFERROR(__xludf.DUMMYFUNCTION("""COMPUTED_VALUE"""),665)</f>
        <v>665</v>
      </c>
      <c r="V316" s="3">
        <f ca="1">IFERROR(__xludf.DUMMYFUNCTION("""COMPUTED_VALUE"""),0.302)</f>
        <v>0.30199999999999999</v>
      </c>
      <c r="W316" s="3">
        <f ca="1">IFERROR(__xludf.DUMMYFUNCTION("""COMPUTED_VALUE"""),476)</f>
        <v>476</v>
      </c>
      <c r="X316" s="3">
        <f ca="1">IFERROR(__xludf.DUMMYFUNCTION("""COMPUTED_VALUE"""),677)</f>
        <v>677</v>
      </c>
      <c r="Y316" s="3">
        <f ca="1">IFERROR(__xludf.DUMMYFUNCTION("""COMPUTED_VALUE"""),0.703)</f>
        <v>0.70299999999999996</v>
      </c>
      <c r="Z316" s="3">
        <f ca="1">IFERROR(__xludf.DUMMYFUNCTION("""COMPUTED_VALUE"""),351)</f>
        <v>351</v>
      </c>
      <c r="AA316" s="3">
        <f ca="1">IFERROR(__xludf.DUMMYFUNCTION("""COMPUTED_VALUE"""),1079)</f>
        <v>1079</v>
      </c>
      <c r="AB316" s="3">
        <f ca="1">IFERROR(__xludf.DUMMYFUNCTION("""COMPUTED_VALUE"""),382)</f>
        <v>382</v>
      </c>
      <c r="AC316" s="3">
        <f ca="1">IFERROR(__xludf.DUMMYFUNCTION("""COMPUTED_VALUE"""),198)</f>
        <v>198</v>
      </c>
      <c r="AD316" s="3">
        <f ca="1">IFERROR(__xludf.DUMMYFUNCTION("""COMPUTED_VALUE"""),70)</f>
        <v>70</v>
      </c>
      <c r="AE316" s="3">
        <f ca="1">IFERROR(__xludf.DUMMYFUNCTION("""COMPUTED_VALUE"""),438)</f>
        <v>438</v>
      </c>
      <c r="AF316" s="3">
        <f ca="1">IFERROR(__xludf.DUMMYFUNCTION("""COMPUTED_VALUE"""),612)</f>
        <v>612</v>
      </c>
    </row>
    <row r="317" spans="1:32" x14ac:dyDescent="0.25">
      <c r="A317" s="3" t="str">
        <f ca="1">IFERROR(__xludf.DUMMYFUNCTION("""COMPUTED_VALUE"""),"Southern Illinois")</f>
        <v>Southern Illinois</v>
      </c>
      <c r="B317" s="3">
        <f ca="1">IFERROR(__xludf.DUMMYFUNCTION("""COMPUTED_VALUE"""),32)</f>
        <v>32</v>
      </c>
      <c r="C317" s="3">
        <f ca="1">IFERROR(__xludf.DUMMYFUNCTION("""COMPUTED_VALUE"""),17)</f>
        <v>17</v>
      </c>
      <c r="D317" s="3">
        <f ca="1">IFERROR(__xludf.DUMMYFUNCTION("""COMPUTED_VALUE"""),15)</f>
        <v>15</v>
      </c>
      <c r="E317" s="3">
        <f ca="1">IFERROR(__xludf.DUMMYFUNCTION("""COMPUTED_VALUE"""),0.531)</f>
        <v>0.53100000000000003</v>
      </c>
      <c r="F317" s="3">
        <f ca="1">IFERROR(__xludf.DUMMYFUNCTION("""COMPUTED_VALUE"""),1.39)</f>
        <v>1.39</v>
      </c>
      <c r="G317" s="3">
        <f ca="1">IFERROR(__xludf.DUMMYFUNCTION("""COMPUTED_VALUE"""),-0.17)</f>
        <v>-0.17</v>
      </c>
      <c r="H317" s="3">
        <f ca="1">IFERROR(__xludf.DUMMYFUNCTION("""COMPUTED_VALUE"""),10)</f>
        <v>10</v>
      </c>
      <c r="I317" s="3">
        <f ca="1">IFERROR(__xludf.DUMMYFUNCTION("""COMPUTED_VALUE"""),8)</f>
        <v>8</v>
      </c>
      <c r="J317" s="3">
        <f ca="1">IFERROR(__xludf.DUMMYFUNCTION("""COMPUTED_VALUE"""),9)</f>
        <v>9</v>
      </c>
      <c r="K317" s="3">
        <f ca="1">IFERROR(__xludf.DUMMYFUNCTION("""COMPUTED_VALUE"""),6)</f>
        <v>6</v>
      </c>
      <c r="L317" s="3">
        <f ca="1">IFERROR(__xludf.DUMMYFUNCTION("""COMPUTED_VALUE"""),7)</f>
        <v>7</v>
      </c>
      <c r="M317" s="3">
        <f ca="1">IFERROR(__xludf.DUMMYFUNCTION("""COMPUTED_VALUE"""),7)</f>
        <v>7</v>
      </c>
      <c r="N317" s="3">
        <f ca="1">IFERROR(__xludf.DUMMYFUNCTION("""COMPUTED_VALUE"""),2194)</f>
        <v>2194</v>
      </c>
      <c r="O317" s="3">
        <f ca="1">IFERROR(__xludf.DUMMYFUNCTION("""COMPUTED_VALUE"""),2144)</f>
        <v>2144</v>
      </c>
      <c r="P317" s="3">
        <f ca="1">IFERROR(__xludf.DUMMYFUNCTION("""COMPUTED_VALUE"""),1280)</f>
        <v>1280</v>
      </c>
      <c r="Q317" s="3">
        <f ca="1">IFERROR(__xludf.DUMMYFUNCTION("""COMPUTED_VALUE"""),802)</f>
        <v>802</v>
      </c>
      <c r="R317" s="3">
        <f ca="1">IFERROR(__xludf.DUMMYFUNCTION("""COMPUTED_VALUE"""),1720)</f>
        <v>1720</v>
      </c>
      <c r="S317" s="3">
        <f ca="1">IFERROR(__xludf.DUMMYFUNCTION("""COMPUTED_VALUE"""),0.466)</f>
        <v>0.46600000000000003</v>
      </c>
      <c r="T317" s="3">
        <f ca="1">IFERROR(__xludf.DUMMYFUNCTION("""COMPUTED_VALUE"""),213)</f>
        <v>213</v>
      </c>
      <c r="U317" s="3">
        <f ca="1">IFERROR(__xludf.DUMMYFUNCTION("""COMPUTED_VALUE"""),570)</f>
        <v>570</v>
      </c>
      <c r="V317" s="3">
        <f ca="1">IFERROR(__xludf.DUMMYFUNCTION("""COMPUTED_VALUE"""),0.374)</f>
        <v>0.374</v>
      </c>
      <c r="W317" s="3">
        <f ca="1">IFERROR(__xludf.DUMMYFUNCTION("""COMPUTED_VALUE"""),377)</f>
        <v>377</v>
      </c>
      <c r="X317" s="3">
        <f ca="1">IFERROR(__xludf.DUMMYFUNCTION("""COMPUTED_VALUE"""),550)</f>
        <v>550</v>
      </c>
      <c r="Y317" s="3">
        <f ca="1">IFERROR(__xludf.DUMMYFUNCTION("""COMPUTED_VALUE"""),0.685)</f>
        <v>0.68500000000000005</v>
      </c>
      <c r="Z317" s="3">
        <f ca="1">IFERROR(__xludf.DUMMYFUNCTION("""COMPUTED_VALUE"""),289)</f>
        <v>289</v>
      </c>
      <c r="AA317" s="3">
        <f ca="1">IFERROR(__xludf.DUMMYFUNCTION("""COMPUTED_VALUE"""),1081)</f>
        <v>1081</v>
      </c>
      <c r="AB317" s="3">
        <f ca="1">IFERROR(__xludf.DUMMYFUNCTION("""COMPUTED_VALUE"""),438)</f>
        <v>438</v>
      </c>
      <c r="AC317" s="3">
        <f ca="1">IFERROR(__xludf.DUMMYFUNCTION("""COMPUTED_VALUE"""),212)</f>
        <v>212</v>
      </c>
      <c r="AD317" s="3">
        <f ca="1">IFERROR(__xludf.DUMMYFUNCTION("""COMPUTED_VALUE"""),129)</f>
        <v>129</v>
      </c>
      <c r="AE317" s="3">
        <f ca="1">IFERROR(__xludf.DUMMYFUNCTION("""COMPUTED_VALUE"""),447)</f>
        <v>447</v>
      </c>
      <c r="AF317" s="3">
        <f ca="1">IFERROR(__xludf.DUMMYFUNCTION("""COMPUTED_VALUE"""),474)</f>
        <v>474</v>
      </c>
    </row>
    <row r="318" spans="1:32" x14ac:dyDescent="0.25">
      <c r="A318" s="3" t="str">
        <f ca="1">IFERROR(__xludf.DUMMYFUNCTION("""COMPUTED_VALUE"""),"Southern Methodist")</f>
        <v>Southern Methodist</v>
      </c>
      <c r="B318" s="3">
        <f ca="1">IFERROR(__xludf.DUMMYFUNCTION("""COMPUTED_VALUE"""),32)</f>
        <v>32</v>
      </c>
      <c r="C318" s="3">
        <f ca="1">IFERROR(__xludf.DUMMYFUNCTION("""COMPUTED_VALUE"""),15)</f>
        <v>15</v>
      </c>
      <c r="D318" s="3">
        <f ca="1">IFERROR(__xludf.DUMMYFUNCTION("""COMPUTED_VALUE"""),17)</f>
        <v>17</v>
      </c>
      <c r="E318" s="3">
        <f ca="1">IFERROR(__xludf.DUMMYFUNCTION("""COMPUTED_VALUE"""),0.469)</f>
        <v>0.46899999999999997</v>
      </c>
      <c r="F318" s="3">
        <f ca="1">IFERROR(__xludf.DUMMYFUNCTION("""COMPUTED_VALUE"""),5.81)</f>
        <v>5.81</v>
      </c>
      <c r="G318" s="3">
        <f ca="1">IFERROR(__xludf.DUMMYFUNCTION("""COMPUTED_VALUE"""),4.12)</f>
        <v>4.12</v>
      </c>
      <c r="H318" s="3">
        <f ca="1">IFERROR(__xludf.DUMMYFUNCTION("""COMPUTED_VALUE"""),6)</f>
        <v>6</v>
      </c>
      <c r="I318" s="3">
        <f ca="1">IFERROR(__xludf.DUMMYFUNCTION("""COMPUTED_VALUE"""),12)</f>
        <v>12</v>
      </c>
      <c r="J318" s="3">
        <f ca="1">IFERROR(__xludf.DUMMYFUNCTION("""COMPUTED_VALUE"""),10)</f>
        <v>10</v>
      </c>
      <c r="K318" s="3">
        <f ca="1">IFERROR(__xludf.DUMMYFUNCTION("""COMPUTED_VALUE"""),8)</f>
        <v>8</v>
      </c>
      <c r="L318" s="3">
        <f ca="1">IFERROR(__xludf.DUMMYFUNCTION("""COMPUTED_VALUE"""),3)</f>
        <v>3</v>
      </c>
      <c r="M318" s="3">
        <f ca="1">IFERROR(__xludf.DUMMYFUNCTION("""COMPUTED_VALUE"""),7)</f>
        <v>7</v>
      </c>
      <c r="N318" s="3">
        <f ca="1">IFERROR(__xludf.DUMMYFUNCTION("""COMPUTED_VALUE"""),2303)</f>
        <v>2303</v>
      </c>
      <c r="O318" s="3">
        <f ca="1">IFERROR(__xludf.DUMMYFUNCTION("""COMPUTED_VALUE"""),2249)</f>
        <v>2249</v>
      </c>
      <c r="P318" s="3">
        <f ca="1">IFERROR(__xludf.DUMMYFUNCTION("""COMPUTED_VALUE"""),1280)</f>
        <v>1280</v>
      </c>
      <c r="Q318" s="3">
        <f ca="1">IFERROR(__xludf.DUMMYFUNCTION("""COMPUTED_VALUE"""),833)</f>
        <v>833</v>
      </c>
      <c r="R318" s="3">
        <f ca="1">IFERROR(__xludf.DUMMYFUNCTION("""COMPUTED_VALUE"""),1884)</f>
        <v>1884</v>
      </c>
      <c r="S318" s="3">
        <f ca="1">IFERROR(__xludf.DUMMYFUNCTION("""COMPUTED_VALUE"""),0.442)</f>
        <v>0.442</v>
      </c>
      <c r="T318" s="3">
        <f ca="1">IFERROR(__xludf.DUMMYFUNCTION("""COMPUTED_VALUE"""),263)</f>
        <v>263</v>
      </c>
      <c r="U318" s="3">
        <f ca="1">IFERROR(__xludf.DUMMYFUNCTION("""COMPUTED_VALUE"""),772)</f>
        <v>772</v>
      </c>
      <c r="V318" s="3">
        <f ca="1">IFERROR(__xludf.DUMMYFUNCTION("""COMPUTED_VALUE"""),0.341)</f>
        <v>0.34100000000000003</v>
      </c>
      <c r="W318" s="3">
        <f ca="1">IFERROR(__xludf.DUMMYFUNCTION("""COMPUTED_VALUE"""),374)</f>
        <v>374</v>
      </c>
      <c r="X318" s="3">
        <f ca="1">IFERROR(__xludf.DUMMYFUNCTION("""COMPUTED_VALUE"""),523)</f>
        <v>523</v>
      </c>
      <c r="Y318" s="3">
        <f ca="1">IFERROR(__xludf.DUMMYFUNCTION("""COMPUTED_VALUE"""),0.715)</f>
        <v>0.71499999999999997</v>
      </c>
      <c r="Z318" s="3">
        <f ca="1">IFERROR(__xludf.DUMMYFUNCTION("""COMPUTED_VALUE"""),365)</f>
        <v>365</v>
      </c>
      <c r="AA318" s="3">
        <f ca="1">IFERROR(__xludf.DUMMYFUNCTION("""COMPUTED_VALUE"""),1135)</f>
        <v>1135</v>
      </c>
      <c r="AB318" s="3">
        <f ca="1">IFERROR(__xludf.DUMMYFUNCTION("""COMPUTED_VALUE"""),441)</f>
        <v>441</v>
      </c>
      <c r="AC318" s="3">
        <f ca="1">IFERROR(__xludf.DUMMYFUNCTION("""COMPUTED_VALUE"""),189)</f>
        <v>189</v>
      </c>
      <c r="AD318" s="3">
        <f ca="1">IFERROR(__xludf.DUMMYFUNCTION("""COMPUTED_VALUE"""),123)</f>
        <v>123</v>
      </c>
      <c r="AE318" s="3">
        <f ca="1">IFERROR(__xludf.DUMMYFUNCTION("""COMPUTED_VALUE"""),350)</f>
        <v>350</v>
      </c>
      <c r="AF318" s="3">
        <f ca="1">IFERROR(__xludf.DUMMYFUNCTION("""COMPUTED_VALUE"""),515)</f>
        <v>515</v>
      </c>
    </row>
    <row r="319" spans="1:32" x14ac:dyDescent="0.25">
      <c r="A319" s="3" t="str">
        <f ca="1">IFERROR(__xludf.DUMMYFUNCTION("""COMPUTED_VALUE"""),"Southern Mississippi")</f>
        <v>Southern Mississippi</v>
      </c>
      <c r="B319" s="3">
        <f ca="1">IFERROR(__xludf.DUMMYFUNCTION("""COMPUTED_VALUE"""),33)</f>
        <v>33</v>
      </c>
      <c r="C319" s="3">
        <f ca="1">IFERROR(__xludf.DUMMYFUNCTION("""COMPUTED_VALUE"""),20)</f>
        <v>20</v>
      </c>
      <c r="D319" s="3">
        <f ca="1">IFERROR(__xludf.DUMMYFUNCTION("""COMPUTED_VALUE"""),13)</f>
        <v>13</v>
      </c>
      <c r="E319" s="3">
        <f ca="1">IFERROR(__xludf.DUMMYFUNCTION("""COMPUTED_VALUE"""),0.606)</f>
        <v>0.60599999999999998</v>
      </c>
      <c r="F319" s="3">
        <f ca="1">IFERROR(__xludf.DUMMYFUNCTION("""COMPUTED_VALUE"""),2.58)</f>
        <v>2.58</v>
      </c>
      <c r="G319" s="3">
        <f ca="1">IFERROR(__xludf.DUMMYFUNCTION("""COMPUTED_VALUE"""),-0.83)</f>
        <v>-0.83</v>
      </c>
      <c r="H319" s="3">
        <f ca="1">IFERROR(__xludf.DUMMYFUNCTION("""COMPUTED_VALUE"""),11)</f>
        <v>11</v>
      </c>
      <c r="I319" s="3">
        <f ca="1">IFERROR(__xludf.DUMMYFUNCTION("""COMPUTED_VALUE"""),7)</f>
        <v>7</v>
      </c>
      <c r="J319" s="3">
        <f ca="1">IFERROR(__xludf.DUMMYFUNCTION("""COMPUTED_VALUE"""),11)</f>
        <v>11</v>
      </c>
      <c r="K319" s="3">
        <f ca="1">IFERROR(__xludf.DUMMYFUNCTION("""COMPUTED_VALUE"""),3)</f>
        <v>3</v>
      </c>
      <c r="L319" s="3">
        <f ca="1">IFERROR(__xludf.DUMMYFUNCTION("""COMPUTED_VALUE"""),7)</f>
        <v>7</v>
      </c>
      <c r="M319" s="3">
        <f ca="1">IFERROR(__xludf.DUMMYFUNCTION("""COMPUTED_VALUE"""),7)</f>
        <v>7</v>
      </c>
      <c r="N319" s="3">
        <f ca="1">IFERROR(__xludf.DUMMYFUNCTION("""COMPUTED_VALUE"""),2392)</f>
        <v>2392</v>
      </c>
      <c r="O319" s="3">
        <f ca="1">IFERROR(__xludf.DUMMYFUNCTION("""COMPUTED_VALUE"""),2160)</f>
        <v>2160</v>
      </c>
      <c r="P319" s="3">
        <f ca="1">IFERROR(__xludf.DUMMYFUNCTION("""COMPUTED_VALUE"""),1330)</f>
        <v>1330</v>
      </c>
      <c r="Q319" s="3">
        <f ca="1">IFERROR(__xludf.DUMMYFUNCTION("""COMPUTED_VALUE"""),899)</f>
        <v>899</v>
      </c>
      <c r="R319" s="3">
        <f ca="1">IFERROR(__xludf.DUMMYFUNCTION("""COMPUTED_VALUE"""),1929)</f>
        <v>1929</v>
      </c>
      <c r="S319" s="3">
        <f ca="1">IFERROR(__xludf.DUMMYFUNCTION("""COMPUTED_VALUE"""),0.466)</f>
        <v>0.46600000000000003</v>
      </c>
      <c r="T319" s="3">
        <f ca="1">IFERROR(__xludf.DUMMYFUNCTION("""COMPUTED_VALUE"""),275)</f>
        <v>275</v>
      </c>
      <c r="U319" s="3">
        <f ca="1">IFERROR(__xludf.DUMMYFUNCTION("""COMPUTED_VALUE"""),712)</f>
        <v>712</v>
      </c>
      <c r="V319" s="3">
        <f ca="1">IFERROR(__xludf.DUMMYFUNCTION("""COMPUTED_VALUE"""),0.386)</f>
        <v>0.38600000000000001</v>
      </c>
      <c r="W319" s="3">
        <f ca="1">IFERROR(__xludf.DUMMYFUNCTION("""COMPUTED_VALUE"""),321)</f>
        <v>321</v>
      </c>
      <c r="X319" s="3">
        <f ca="1">IFERROR(__xludf.DUMMYFUNCTION("""COMPUTED_VALUE"""),489)</f>
        <v>489</v>
      </c>
      <c r="Y319" s="3">
        <f ca="1">IFERROR(__xludf.DUMMYFUNCTION("""COMPUTED_VALUE"""),0.656)</f>
        <v>0.65600000000000003</v>
      </c>
      <c r="Z319" s="3">
        <f ca="1">IFERROR(__xludf.DUMMYFUNCTION("""COMPUTED_VALUE"""),274)</f>
        <v>274</v>
      </c>
      <c r="AA319" s="3">
        <f ca="1">IFERROR(__xludf.DUMMYFUNCTION("""COMPUTED_VALUE"""),1178)</f>
        <v>1178</v>
      </c>
      <c r="AB319" s="3">
        <f ca="1">IFERROR(__xludf.DUMMYFUNCTION("""COMPUTED_VALUE"""),553)</f>
        <v>553</v>
      </c>
      <c r="AC319" s="3">
        <f ca="1">IFERROR(__xludf.DUMMYFUNCTION("""COMPUTED_VALUE"""),253)</f>
        <v>253</v>
      </c>
      <c r="AD319" s="3">
        <f ca="1">IFERROR(__xludf.DUMMYFUNCTION("""COMPUTED_VALUE"""),110)</f>
        <v>110</v>
      </c>
      <c r="AE319" s="3">
        <f ca="1">IFERROR(__xludf.DUMMYFUNCTION("""COMPUTED_VALUE"""),345)</f>
        <v>345</v>
      </c>
      <c r="AF319" s="3">
        <f ca="1">IFERROR(__xludf.DUMMYFUNCTION("""COMPUTED_VALUE"""),507)</f>
        <v>507</v>
      </c>
    </row>
    <row r="320" spans="1:32" x14ac:dyDescent="0.25">
      <c r="A320" s="3" t="str">
        <f ca="1">IFERROR(__xludf.DUMMYFUNCTION("""COMPUTED_VALUE"""),"Southern Utah")</f>
        <v>Southern Utah</v>
      </c>
      <c r="B320" s="3">
        <f ca="1">IFERROR(__xludf.DUMMYFUNCTION("""COMPUTED_VALUE"""),34)</f>
        <v>34</v>
      </c>
      <c r="C320" s="3">
        <f ca="1">IFERROR(__xludf.DUMMYFUNCTION("""COMPUTED_VALUE"""),17)</f>
        <v>17</v>
      </c>
      <c r="D320" s="3">
        <f ca="1">IFERROR(__xludf.DUMMYFUNCTION("""COMPUTED_VALUE"""),17)</f>
        <v>17</v>
      </c>
      <c r="E320" s="3">
        <f ca="1">IFERROR(__xludf.DUMMYFUNCTION("""COMPUTED_VALUE"""),0.5)</f>
        <v>0.5</v>
      </c>
      <c r="F320" s="3">
        <f ca="1">IFERROR(__xludf.DUMMYFUNCTION("""COMPUTED_VALUE"""),-8.91)</f>
        <v>-8.91</v>
      </c>
      <c r="G320" s="3">
        <f ca="1">IFERROR(__xludf.DUMMYFUNCTION("""COMPUTED_VALUE"""),-6.22)</f>
        <v>-6.22</v>
      </c>
      <c r="H320" s="3">
        <f ca="1">IFERROR(__xludf.DUMMYFUNCTION("""COMPUTED_VALUE"""),9)</f>
        <v>9</v>
      </c>
      <c r="I320" s="3">
        <f ca="1">IFERROR(__xludf.DUMMYFUNCTION("""COMPUTED_VALUE"""),11)</f>
        <v>11</v>
      </c>
      <c r="J320" s="3">
        <f ca="1">IFERROR(__xludf.DUMMYFUNCTION("""COMPUTED_VALUE"""),11)</f>
        <v>11</v>
      </c>
      <c r="K320" s="3">
        <f ca="1">IFERROR(__xludf.DUMMYFUNCTION("""COMPUTED_VALUE"""),4)</f>
        <v>4</v>
      </c>
      <c r="L320" s="3">
        <f ca="1">IFERROR(__xludf.DUMMYFUNCTION("""COMPUTED_VALUE"""),4)</f>
        <v>4</v>
      </c>
      <c r="M320" s="3">
        <f ca="1">IFERROR(__xludf.DUMMYFUNCTION("""COMPUTED_VALUE"""),12)</f>
        <v>12</v>
      </c>
      <c r="N320" s="3">
        <f ca="1">IFERROR(__xludf.DUMMYFUNCTION("""COMPUTED_VALUE"""),2573)</f>
        <v>2573</v>
      </c>
      <c r="O320" s="3">
        <f ca="1">IFERROR(__xludf.DUMMYFUNCTION("""COMPUTED_VALUE"""),2566)</f>
        <v>2566</v>
      </c>
      <c r="P320" s="3">
        <f ca="1">IFERROR(__xludf.DUMMYFUNCTION("""COMPUTED_VALUE"""),1380)</f>
        <v>1380</v>
      </c>
      <c r="Q320" s="3">
        <f ca="1">IFERROR(__xludf.DUMMYFUNCTION("""COMPUTED_VALUE"""),881)</f>
        <v>881</v>
      </c>
      <c r="R320" s="3">
        <f ca="1">IFERROR(__xludf.DUMMYFUNCTION("""COMPUTED_VALUE"""),1997)</f>
        <v>1997</v>
      </c>
      <c r="S320" s="3">
        <f ca="1">IFERROR(__xludf.DUMMYFUNCTION("""COMPUTED_VALUE"""),0.441)</f>
        <v>0.441</v>
      </c>
      <c r="T320" s="3">
        <f ca="1">IFERROR(__xludf.DUMMYFUNCTION("""COMPUTED_VALUE"""),272)</f>
        <v>272</v>
      </c>
      <c r="U320" s="3">
        <f ca="1">IFERROR(__xludf.DUMMYFUNCTION("""COMPUTED_VALUE"""),799)</f>
        <v>799</v>
      </c>
      <c r="V320" s="3">
        <f ca="1">IFERROR(__xludf.DUMMYFUNCTION("""COMPUTED_VALUE"""),0.34)</f>
        <v>0.34</v>
      </c>
      <c r="W320" s="3">
        <f ca="1">IFERROR(__xludf.DUMMYFUNCTION("""COMPUTED_VALUE"""),539)</f>
        <v>539</v>
      </c>
      <c r="X320" s="3">
        <f ca="1">IFERROR(__xludf.DUMMYFUNCTION("""COMPUTED_VALUE"""),757)</f>
        <v>757</v>
      </c>
      <c r="Y320" s="3">
        <f ca="1">IFERROR(__xludf.DUMMYFUNCTION("""COMPUTED_VALUE"""),0.712)</f>
        <v>0.71199999999999997</v>
      </c>
      <c r="Z320" s="3">
        <f ca="1">IFERROR(__xludf.DUMMYFUNCTION("""COMPUTED_VALUE"""),282)</f>
        <v>282</v>
      </c>
      <c r="AA320" s="3">
        <f ca="1">IFERROR(__xludf.DUMMYFUNCTION("""COMPUTED_VALUE"""),1250)</f>
        <v>1250</v>
      </c>
      <c r="AB320" s="3">
        <f ca="1">IFERROR(__xludf.DUMMYFUNCTION("""COMPUTED_VALUE"""),426)</f>
        <v>426</v>
      </c>
      <c r="AC320" s="3">
        <f ca="1">IFERROR(__xludf.DUMMYFUNCTION("""COMPUTED_VALUE"""),199)</f>
        <v>199</v>
      </c>
      <c r="AD320" s="3">
        <f ca="1">IFERROR(__xludf.DUMMYFUNCTION("""COMPUTED_VALUE"""),114)</f>
        <v>114</v>
      </c>
      <c r="AE320" s="3">
        <f ca="1">IFERROR(__xludf.DUMMYFUNCTION("""COMPUTED_VALUE"""),466)</f>
        <v>466</v>
      </c>
      <c r="AF320" s="3">
        <f ca="1">IFERROR(__xludf.DUMMYFUNCTION("""COMPUTED_VALUE"""),696)</f>
        <v>696</v>
      </c>
    </row>
    <row r="321" spans="1:32" x14ac:dyDescent="0.25">
      <c r="A321" s="3" t="str">
        <f ca="1">IFERROR(__xludf.DUMMYFUNCTION("""COMPUTED_VALUE"""),"Southern")</f>
        <v>Southern</v>
      </c>
      <c r="B321" s="3">
        <f ca="1">IFERROR(__xludf.DUMMYFUNCTION("""COMPUTED_VALUE"""),32)</f>
        <v>32</v>
      </c>
      <c r="C321" s="3">
        <f ca="1">IFERROR(__xludf.DUMMYFUNCTION("""COMPUTED_VALUE"""),7)</f>
        <v>7</v>
      </c>
      <c r="D321" s="3">
        <f ca="1">IFERROR(__xludf.DUMMYFUNCTION("""COMPUTED_VALUE"""),25)</f>
        <v>25</v>
      </c>
      <c r="E321" s="3">
        <f ca="1">IFERROR(__xludf.DUMMYFUNCTION("""COMPUTED_VALUE"""),0.219)</f>
        <v>0.219</v>
      </c>
      <c r="F321" s="3">
        <f ca="1">IFERROR(__xludf.DUMMYFUNCTION("""COMPUTED_VALUE"""),-16.79)</f>
        <v>-16.79</v>
      </c>
      <c r="G321" s="3">
        <f ca="1">IFERROR(__xludf.DUMMYFUNCTION("""COMPUTED_VALUE"""),-7.37)</f>
        <v>-7.37</v>
      </c>
      <c r="H321" s="3">
        <f ca="1">IFERROR(__xludf.DUMMYFUNCTION("""COMPUTED_VALUE"""),6)</f>
        <v>6</v>
      </c>
      <c r="I321" s="3">
        <f ca="1">IFERROR(__xludf.DUMMYFUNCTION("""COMPUTED_VALUE"""),12)</f>
        <v>12</v>
      </c>
      <c r="J321" s="3">
        <f ca="1">IFERROR(__xludf.DUMMYFUNCTION("""COMPUTED_VALUE"""),6)</f>
        <v>6</v>
      </c>
      <c r="K321" s="3">
        <f ca="1">IFERROR(__xludf.DUMMYFUNCTION("""COMPUTED_VALUE"""),5)</f>
        <v>5</v>
      </c>
      <c r="L321" s="3">
        <f ca="1">IFERROR(__xludf.DUMMYFUNCTION("""COMPUTED_VALUE"""),1)</f>
        <v>1</v>
      </c>
      <c r="M321" s="3">
        <f ca="1">IFERROR(__xludf.DUMMYFUNCTION("""COMPUTED_VALUE"""),18)</f>
        <v>18</v>
      </c>
      <c r="N321" s="3">
        <f ca="1">IFERROR(__xludf.DUMMYFUNCTION("""COMPUTED_VALUE"""),2077)</f>
        <v>2077</v>
      </c>
      <c r="O321" s="3">
        <f ca="1">IFERROR(__xludf.DUMMYFUNCTION("""COMPUTED_VALUE"""),2360)</f>
        <v>2360</v>
      </c>
      <c r="P321" s="3">
        <f ca="1">IFERROR(__xludf.DUMMYFUNCTION("""COMPUTED_VALUE"""),1285)</f>
        <v>1285</v>
      </c>
      <c r="Q321" s="3">
        <f ca="1">IFERROR(__xludf.DUMMYFUNCTION("""COMPUTED_VALUE"""),752)</f>
        <v>752</v>
      </c>
      <c r="R321" s="3">
        <f ca="1">IFERROR(__xludf.DUMMYFUNCTION("""COMPUTED_VALUE"""),1710)</f>
        <v>1710</v>
      </c>
      <c r="S321" s="3">
        <f ca="1">IFERROR(__xludf.DUMMYFUNCTION("""COMPUTED_VALUE"""),0.44)</f>
        <v>0.44</v>
      </c>
      <c r="T321" s="3">
        <f ca="1">IFERROR(__xludf.DUMMYFUNCTION("""COMPUTED_VALUE"""),180)</f>
        <v>180</v>
      </c>
      <c r="U321" s="3">
        <f ca="1">IFERROR(__xludf.DUMMYFUNCTION("""COMPUTED_VALUE"""),544)</f>
        <v>544</v>
      </c>
      <c r="V321" s="3">
        <f ca="1">IFERROR(__xludf.DUMMYFUNCTION("""COMPUTED_VALUE"""),0.331)</f>
        <v>0.33100000000000002</v>
      </c>
      <c r="W321" s="3">
        <f ca="1">IFERROR(__xludf.DUMMYFUNCTION("""COMPUTED_VALUE"""),393)</f>
        <v>393</v>
      </c>
      <c r="X321" s="3">
        <f ca="1">IFERROR(__xludf.DUMMYFUNCTION("""COMPUTED_VALUE"""),588)</f>
        <v>588</v>
      </c>
      <c r="Y321" s="3">
        <f ca="1">IFERROR(__xludf.DUMMYFUNCTION("""COMPUTED_VALUE"""),0.668)</f>
        <v>0.66800000000000004</v>
      </c>
      <c r="Z321" s="3">
        <f ca="1">IFERROR(__xludf.DUMMYFUNCTION("""COMPUTED_VALUE"""),313)</f>
        <v>313</v>
      </c>
      <c r="AA321" s="3">
        <f ca="1">IFERROR(__xludf.DUMMYFUNCTION("""COMPUTED_VALUE"""),980)</f>
        <v>980</v>
      </c>
      <c r="AB321" s="3">
        <f ca="1">IFERROR(__xludf.DUMMYFUNCTION("""COMPUTED_VALUE"""),372)</f>
        <v>372</v>
      </c>
      <c r="AC321" s="3">
        <f ca="1">IFERROR(__xludf.DUMMYFUNCTION("""COMPUTED_VALUE"""),216)</f>
        <v>216</v>
      </c>
      <c r="AD321" s="3">
        <f ca="1">IFERROR(__xludf.DUMMYFUNCTION("""COMPUTED_VALUE"""),86)</f>
        <v>86</v>
      </c>
      <c r="AE321" s="3">
        <f ca="1">IFERROR(__xludf.DUMMYFUNCTION("""COMPUTED_VALUE"""),511)</f>
        <v>511</v>
      </c>
      <c r="AF321" s="3">
        <f ca="1">IFERROR(__xludf.DUMMYFUNCTION("""COMPUTED_VALUE"""),716)</f>
        <v>716</v>
      </c>
    </row>
    <row r="322" spans="1:32" x14ac:dyDescent="0.25">
      <c r="A322" s="3" t="str">
        <f ca="1">IFERROR(__xludf.DUMMYFUNCTION("""COMPUTED_VALUE"""),"St. Bonaventure")</f>
        <v>St. Bonaventure</v>
      </c>
      <c r="B322" s="3">
        <f ca="1">IFERROR(__xludf.DUMMYFUNCTION("""COMPUTED_VALUE"""),34)</f>
        <v>34</v>
      </c>
      <c r="C322" s="3">
        <f ca="1">IFERROR(__xludf.DUMMYFUNCTION("""COMPUTED_VALUE"""),18)</f>
        <v>18</v>
      </c>
      <c r="D322" s="3">
        <f ca="1">IFERROR(__xludf.DUMMYFUNCTION("""COMPUTED_VALUE"""),16)</f>
        <v>16</v>
      </c>
      <c r="E322" s="3">
        <f ca="1">IFERROR(__xludf.DUMMYFUNCTION("""COMPUTED_VALUE"""),0.529)</f>
        <v>0.52900000000000003</v>
      </c>
      <c r="F322" s="3">
        <f ca="1">IFERROR(__xludf.DUMMYFUNCTION("""COMPUTED_VALUE"""),3.34)</f>
        <v>3.34</v>
      </c>
      <c r="G322" s="3">
        <f ca="1">IFERROR(__xludf.DUMMYFUNCTION("""COMPUTED_VALUE"""),0.25)</f>
        <v>0.25</v>
      </c>
      <c r="H322" s="3">
        <f ca="1">IFERROR(__xludf.DUMMYFUNCTION("""COMPUTED_VALUE"""),12)</f>
        <v>12</v>
      </c>
      <c r="I322" s="3">
        <f ca="1">IFERROR(__xludf.DUMMYFUNCTION("""COMPUTED_VALUE"""),6)</f>
        <v>6</v>
      </c>
      <c r="J322" s="3">
        <f ca="1">IFERROR(__xludf.DUMMYFUNCTION("""COMPUTED_VALUE"""),9)</f>
        <v>9</v>
      </c>
      <c r="K322" s="3">
        <f ca="1">IFERROR(__xludf.DUMMYFUNCTION("""COMPUTED_VALUE"""),5)</f>
        <v>5</v>
      </c>
      <c r="L322" s="3">
        <f ca="1">IFERROR(__xludf.DUMMYFUNCTION("""COMPUTED_VALUE"""),6)</f>
        <v>6</v>
      </c>
      <c r="M322" s="3">
        <f ca="1">IFERROR(__xludf.DUMMYFUNCTION("""COMPUTED_VALUE"""),7)</f>
        <v>7</v>
      </c>
      <c r="N322" s="3">
        <f ca="1">IFERROR(__xludf.DUMMYFUNCTION("""COMPUTED_VALUE"""),2250)</f>
        <v>2250</v>
      </c>
      <c r="O322" s="3">
        <f ca="1">IFERROR(__xludf.DUMMYFUNCTION("""COMPUTED_VALUE"""),2145)</f>
        <v>2145</v>
      </c>
      <c r="P322" s="3">
        <f ca="1">IFERROR(__xludf.DUMMYFUNCTION("""COMPUTED_VALUE"""),1385)</f>
        <v>1385</v>
      </c>
      <c r="Q322" s="3">
        <f ca="1">IFERROR(__xludf.DUMMYFUNCTION("""COMPUTED_VALUE"""),821)</f>
        <v>821</v>
      </c>
      <c r="R322" s="3">
        <f ca="1">IFERROR(__xludf.DUMMYFUNCTION("""COMPUTED_VALUE"""),1914)</f>
        <v>1914</v>
      </c>
      <c r="S322" s="3">
        <f ca="1">IFERROR(__xludf.DUMMYFUNCTION("""COMPUTED_VALUE"""),0.429)</f>
        <v>0.42899999999999999</v>
      </c>
      <c r="T322" s="3">
        <f ca="1">IFERROR(__xludf.DUMMYFUNCTION("""COMPUTED_VALUE"""),208)</f>
        <v>208</v>
      </c>
      <c r="U322" s="3">
        <f ca="1">IFERROR(__xludf.DUMMYFUNCTION("""COMPUTED_VALUE"""),635)</f>
        <v>635</v>
      </c>
      <c r="V322" s="3">
        <f ca="1">IFERROR(__xludf.DUMMYFUNCTION("""COMPUTED_VALUE"""),0.328)</f>
        <v>0.32800000000000001</v>
      </c>
      <c r="W322" s="3">
        <f ca="1">IFERROR(__xludf.DUMMYFUNCTION("""COMPUTED_VALUE"""),400)</f>
        <v>400</v>
      </c>
      <c r="X322" s="3">
        <f ca="1">IFERROR(__xludf.DUMMYFUNCTION("""COMPUTED_VALUE"""),539)</f>
        <v>539</v>
      </c>
      <c r="Y322" s="3">
        <f ca="1">IFERROR(__xludf.DUMMYFUNCTION("""COMPUTED_VALUE"""),0.742)</f>
        <v>0.74199999999999999</v>
      </c>
      <c r="Z322" s="3">
        <f ca="1">IFERROR(__xludf.DUMMYFUNCTION("""COMPUTED_VALUE"""),333)</f>
        <v>333</v>
      </c>
      <c r="AA322" s="3">
        <f ca="1">IFERROR(__xludf.DUMMYFUNCTION("""COMPUTED_VALUE"""),1183)</f>
        <v>1183</v>
      </c>
      <c r="AB322" s="3">
        <f ca="1">IFERROR(__xludf.DUMMYFUNCTION("""COMPUTED_VALUE"""),417)</f>
        <v>417</v>
      </c>
      <c r="AC322" s="3">
        <f ca="1">IFERROR(__xludf.DUMMYFUNCTION("""COMPUTED_VALUE"""),199)</f>
        <v>199</v>
      </c>
      <c r="AD322" s="3">
        <f ca="1">IFERROR(__xludf.DUMMYFUNCTION("""COMPUTED_VALUE"""),164)</f>
        <v>164</v>
      </c>
      <c r="AE322" s="3">
        <f ca="1">IFERROR(__xludf.DUMMYFUNCTION("""COMPUTED_VALUE"""),421)</f>
        <v>421</v>
      </c>
      <c r="AF322" s="3">
        <f ca="1">IFERROR(__xludf.DUMMYFUNCTION("""COMPUTED_VALUE"""),553)</f>
        <v>553</v>
      </c>
    </row>
    <row r="323" spans="1:32" x14ac:dyDescent="0.25">
      <c r="A323" s="3" t="str">
        <f ca="1">IFERROR(__xludf.DUMMYFUNCTION("""COMPUTED_VALUE"""),"St. Francis (NY)")</f>
        <v>St. Francis (NY)</v>
      </c>
      <c r="B323" s="3">
        <f ca="1">IFERROR(__xludf.DUMMYFUNCTION("""COMPUTED_VALUE"""),33)</f>
        <v>33</v>
      </c>
      <c r="C323" s="3">
        <f ca="1">IFERROR(__xludf.DUMMYFUNCTION("""COMPUTED_VALUE"""),17)</f>
        <v>17</v>
      </c>
      <c r="D323" s="3">
        <f ca="1">IFERROR(__xludf.DUMMYFUNCTION("""COMPUTED_VALUE"""),16)</f>
        <v>16</v>
      </c>
      <c r="E323" s="3">
        <f ca="1">IFERROR(__xludf.DUMMYFUNCTION("""COMPUTED_VALUE"""),0.515)</f>
        <v>0.51500000000000001</v>
      </c>
      <c r="F323" s="3">
        <f ca="1">IFERROR(__xludf.DUMMYFUNCTION("""COMPUTED_VALUE"""),-10.19)</f>
        <v>-10.19</v>
      </c>
      <c r="G323" s="3">
        <f ca="1">IFERROR(__xludf.DUMMYFUNCTION("""COMPUTED_VALUE"""),-8.45)</f>
        <v>-8.4499999999999993</v>
      </c>
      <c r="H323" s="3">
        <f ca="1">IFERROR(__xludf.DUMMYFUNCTION("""COMPUTED_VALUE"""),9)</f>
        <v>9</v>
      </c>
      <c r="I323" s="3">
        <f ca="1">IFERROR(__xludf.DUMMYFUNCTION("""COMPUTED_VALUE"""),9)</f>
        <v>9</v>
      </c>
      <c r="J323" s="3">
        <f ca="1">IFERROR(__xludf.DUMMYFUNCTION("""COMPUTED_VALUE"""),11)</f>
        <v>11</v>
      </c>
      <c r="K323" s="3">
        <f ca="1">IFERROR(__xludf.DUMMYFUNCTION("""COMPUTED_VALUE"""),3)</f>
        <v>3</v>
      </c>
      <c r="L323" s="3">
        <f ca="1">IFERROR(__xludf.DUMMYFUNCTION("""COMPUTED_VALUE"""),6)</f>
        <v>6</v>
      </c>
      <c r="M323" s="3">
        <f ca="1">IFERROR(__xludf.DUMMYFUNCTION("""COMPUTED_VALUE"""),12)</f>
        <v>12</v>
      </c>
      <c r="N323" s="3">
        <f ca="1">IFERROR(__xludf.DUMMYFUNCTION("""COMPUTED_VALUE"""),2345)</f>
        <v>2345</v>
      </c>
      <c r="O323" s="3">
        <f ca="1">IFERROR(__xludf.DUMMYFUNCTION("""COMPUTED_VALUE"""),2320)</f>
        <v>2320</v>
      </c>
      <c r="P323" s="3">
        <f ca="1">IFERROR(__xludf.DUMMYFUNCTION("""COMPUTED_VALUE"""),1325)</f>
        <v>1325</v>
      </c>
      <c r="Q323" s="3">
        <f ca="1">IFERROR(__xludf.DUMMYFUNCTION("""COMPUTED_VALUE"""),841)</f>
        <v>841</v>
      </c>
      <c r="R323" s="3">
        <f ca="1">IFERROR(__xludf.DUMMYFUNCTION("""COMPUTED_VALUE"""),1989)</f>
        <v>1989</v>
      </c>
      <c r="S323" s="3">
        <f ca="1">IFERROR(__xludf.DUMMYFUNCTION("""COMPUTED_VALUE"""),0.423)</f>
        <v>0.42299999999999999</v>
      </c>
      <c r="T323" s="3">
        <f ca="1">IFERROR(__xludf.DUMMYFUNCTION("""COMPUTED_VALUE"""),270)</f>
        <v>270</v>
      </c>
      <c r="U323" s="3">
        <f ca="1">IFERROR(__xludf.DUMMYFUNCTION("""COMPUTED_VALUE"""),806)</f>
        <v>806</v>
      </c>
      <c r="V323" s="3">
        <f ca="1">IFERROR(__xludf.DUMMYFUNCTION("""COMPUTED_VALUE"""),0.335)</f>
        <v>0.33500000000000002</v>
      </c>
      <c r="W323" s="3">
        <f ca="1">IFERROR(__xludf.DUMMYFUNCTION("""COMPUTED_VALUE"""),393)</f>
        <v>393</v>
      </c>
      <c r="X323" s="3">
        <f ca="1">IFERROR(__xludf.DUMMYFUNCTION("""COMPUTED_VALUE"""),580)</f>
        <v>580</v>
      </c>
      <c r="Y323" s="3">
        <f ca="1">IFERROR(__xludf.DUMMYFUNCTION("""COMPUTED_VALUE"""),0.678)</f>
        <v>0.67800000000000005</v>
      </c>
      <c r="Z323" s="3">
        <f ca="1">IFERROR(__xludf.DUMMYFUNCTION("""COMPUTED_VALUE"""),346)</f>
        <v>346</v>
      </c>
      <c r="AA323" s="3">
        <f ca="1">IFERROR(__xludf.DUMMYFUNCTION("""COMPUTED_VALUE"""),1191)</f>
        <v>1191</v>
      </c>
      <c r="AB323" s="3">
        <f ca="1">IFERROR(__xludf.DUMMYFUNCTION("""COMPUTED_VALUE"""),387)</f>
        <v>387</v>
      </c>
      <c r="AC323" s="3">
        <f ca="1">IFERROR(__xludf.DUMMYFUNCTION("""COMPUTED_VALUE"""),194)</f>
        <v>194</v>
      </c>
      <c r="AD323" s="3">
        <f ca="1">IFERROR(__xludf.DUMMYFUNCTION("""COMPUTED_VALUE"""),136)</f>
        <v>136</v>
      </c>
      <c r="AE323" s="3">
        <f ca="1">IFERROR(__xludf.DUMMYFUNCTION("""COMPUTED_VALUE"""),413)</f>
        <v>413</v>
      </c>
      <c r="AF323" s="3">
        <f ca="1">IFERROR(__xludf.DUMMYFUNCTION("""COMPUTED_VALUE"""),635)</f>
        <v>635</v>
      </c>
    </row>
    <row r="324" spans="1:32" x14ac:dyDescent="0.25">
      <c r="A324" s="3" t="str">
        <f ca="1">IFERROR(__xludf.DUMMYFUNCTION("""COMPUTED_VALUE"""),"St. John's (NY)NCAA")</f>
        <v>St. John's (NY)NCAA</v>
      </c>
      <c r="B324" s="3">
        <f ca="1">IFERROR(__xludf.DUMMYFUNCTION("""COMPUTED_VALUE"""),34)</f>
        <v>34</v>
      </c>
      <c r="C324" s="3">
        <f ca="1">IFERROR(__xludf.DUMMYFUNCTION("""COMPUTED_VALUE"""),21)</f>
        <v>21</v>
      </c>
      <c r="D324" s="3">
        <f ca="1">IFERROR(__xludf.DUMMYFUNCTION("""COMPUTED_VALUE"""),13)</f>
        <v>13</v>
      </c>
      <c r="E324" s="3">
        <f ca="1">IFERROR(__xludf.DUMMYFUNCTION("""COMPUTED_VALUE"""),0.618)</f>
        <v>0.61799999999999999</v>
      </c>
      <c r="F324" s="3">
        <f ca="1">IFERROR(__xludf.DUMMYFUNCTION("""COMPUTED_VALUE"""),7.88)</f>
        <v>7.88</v>
      </c>
      <c r="G324" s="3">
        <f ca="1">IFERROR(__xludf.DUMMYFUNCTION("""COMPUTED_VALUE"""),5.5)</f>
        <v>5.5</v>
      </c>
      <c r="H324" s="3">
        <f ca="1">IFERROR(__xludf.DUMMYFUNCTION("""COMPUTED_VALUE"""),8)</f>
        <v>8</v>
      </c>
      <c r="I324" s="3">
        <f ca="1">IFERROR(__xludf.DUMMYFUNCTION("""COMPUTED_VALUE"""),10)</f>
        <v>10</v>
      </c>
      <c r="J324" s="3">
        <f ca="1">IFERROR(__xludf.DUMMYFUNCTION("""COMPUTED_VALUE"""),11)</f>
        <v>11</v>
      </c>
      <c r="K324" s="3">
        <f ca="1">IFERROR(__xludf.DUMMYFUNCTION("""COMPUTED_VALUE"""),4)</f>
        <v>4</v>
      </c>
      <c r="L324" s="3">
        <f ca="1">IFERROR(__xludf.DUMMYFUNCTION("""COMPUTED_VALUE"""),4)</f>
        <v>4</v>
      </c>
      <c r="M324" s="3">
        <f ca="1">IFERROR(__xludf.DUMMYFUNCTION("""COMPUTED_VALUE"""),7)</f>
        <v>7</v>
      </c>
      <c r="N324" s="3">
        <f ca="1">IFERROR(__xludf.DUMMYFUNCTION("""COMPUTED_VALUE"""),2623)</f>
        <v>2623</v>
      </c>
      <c r="O324" s="3">
        <f ca="1">IFERROR(__xludf.DUMMYFUNCTION("""COMPUTED_VALUE"""),2542)</f>
        <v>2542</v>
      </c>
      <c r="P324" s="3">
        <f ca="1">IFERROR(__xludf.DUMMYFUNCTION("""COMPUTED_VALUE"""),1375)</f>
        <v>1375</v>
      </c>
      <c r="Q324" s="3">
        <f ca="1">IFERROR(__xludf.DUMMYFUNCTION("""COMPUTED_VALUE"""),944)</f>
        <v>944</v>
      </c>
      <c r="R324" s="3">
        <f ca="1">IFERROR(__xludf.DUMMYFUNCTION("""COMPUTED_VALUE"""),2100)</f>
        <v>2100</v>
      </c>
      <c r="S324" s="3">
        <f ca="1">IFERROR(__xludf.DUMMYFUNCTION("""COMPUTED_VALUE"""),0.45)</f>
        <v>0.45</v>
      </c>
      <c r="T324" s="3">
        <f ca="1">IFERROR(__xludf.DUMMYFUNCTION("""COMPUTED_VALUE"""),289)</f>
        <v>289</v>
      </c>
      <c r="U324" s="3">
        <f ca="1">IFERROR(__xludf.DUMMYFUNCTION("""COMPUTED_VALUE"""),809)</f>
        <v>809</v>
      </c>
      <c r="V324" s="3">
        <f ca="1">IFERROR(__xludf.DUMMYFUNCTION("""COMPUTED_VALUE"""),0.357)</f>
        <v>0.35699999999999998</v>
      </c>
      <c r="W324" s="3">
        <f ca="1">IFERROR(__xludf.DUMMYFUNCTION("""COMPUTED_VALUE"""),446)</f>
        <v>446</v>
      </c>
      <c r="X324" s="3">
        <f ca="1">IFERROR(__xludf.DUMMYFUNCTION("""COMPUTED_VALUE"""),620)</f>
        <v>620</v>
      </c>
      <c r="Y324" s="3">
        <f ca="1">IFERROR(__xludf.DUMMYFUNCTION("""COMPUTED_VALUE"""),0.719)</f>
        <v>0.71899999999999997</v>
      </c>
      <c r="Z324" s="3">
        <f ca="1">IFERROR(__xludf.DUMMYFUNCTION("""COMPUTED_VALUE"""),264)</f>
        <v>264</v>
      </c>
      <c r="AA324" s="3">
        <f ca="1">IFERROR(__xludf.DUMMYFUNCTION("""COMPUTED_VALUE"""),1120)</f>
        <v>1120</v>
      </c>
      <c r="AB324" s="3">
        <f ca="1">IFERROR(__xludf.DUMMYFUNCTION("""COMPUTED_VALUE"""),472)</f>
        <v>472</v>
      </c>
      <c r="AC324" s="3">
        <f ca="1">IFERROR(__xludf.DUMMYFUNCTION("""COMPUTED_VALUE"""),302)</f>
        <v>302</v>
      </c>
      <c r="AD324" s="3">
        <f ca="1">IFERROR(__xludf.DUMMYFUNCTION("""COMPUTED_VALUE"""),111)</f>
        <v>111</v>
      </c>
      <c r="AE324" s="3">
        <f ca="1">IFERROR(__xludf.DUMMYFUNCTION("""COMPUTED_VALUE"""),357)</f>
        <v>357</v>
      </c>
      <c r="AF324" s="3">
        <f ca="1">IFERROR(__xludf.DUMMYFUNCTION("""COMPUTED_VALUE"""),650)</f>
        <v>650</v>
      </c>
    </row>
    <row r="325" spans="1:32" x14ac:dyDescent="0.25">
      <c r="A325" s="3" t="str">
        <f ca="1">IFERROR(__xludf.DUMMYFUNCTION("""COMPUTED_VALUE"""),"Stanford")</f>
        <v>Stanford</v>
      </c>
      <c r="B325" s="3">
        <f ca="1">IFERROR(__xludf.DUMMYFUNCTION("""COMPUTED_VALUE"""),31)</f>
        <v>31</v>
      </c>
      <c r="C325" s="3">
        <f ca="1">IFERROR(__xludf.DUMMYFUNCTION("""COMPUTED_VALUE"""),15)</f>
        <v>15</v>
      </c>
      <c r="D325" s="3">
        <f ca="1">IFERROR(__xludf.DUMMYFUNCTION("""COMPUTED_VALUE"""),16)</f>
        <v>16</v>
      </c>
      <c r="E325" s="3">
        <f ca="1">IFERROR(__xludf.DUMMYFUNCTION("""COMPUTED_VALUE"""),0.484)</f>
        <v>0.48399999999999999</v>
      </c>
      <c r="F325" s="3">
        <f ca="1">IFERROR(__xludf.DUMMYFUNCTION("""COMPUTED_VALUE"""),6.03)</f>
        <v>6.03</v>
      </c>
      <c r="G325" s="3">
        <f ca="1">IFERROR(__xludf.DUMMYFUNCTION("""COMPUTED_VALUE"""),5.13)</f>
        <v>5.13</v>
      </c>
      <c r="H325" s="3">
        <f ca="1">IFERROR(__xludf.DUMMYFUNCTION("""COMPUTED_VALUE"""),8)</f>
        <v>8</v>
      </c>
      <c r="I325" s="3">
        <f ca="1">IFERROR(__xludf.DUMMYFUNCTION("""COMPUTED_VALUE"""),10)</f>
        <v>10</v>
      </c>
      <c r="J325" s="3">
        <f ca="1">IFERROR(__xludf.DUMMYFUNCTION("""COMPUTED_VALUE"""),10)</f>
        <v>10</v>
      </c>
      <c r="K325" s="3">
        <f ca="1">IFERROR(__xludf.DUMMYFUNCTION("""COMPUTED_VALUE"""),4)</f>
        <v>4</v>
      </c>
      <c r="L325" s="3">
        <f ca="1">IFERROR(__xludf.DUMMYFUNCTION("""COMPUTED_VALUE"""),4)</f>
        <v>4</v>
      </c>
      <c r="M325" s="3">
        <f ca="1">IFERROR(__xludf.DUMMYFUNCTION("""COMPUTED_VALUE"""),9)</f>
        <v>9</v>
      </c>
      <c r="N325" s="3">
        <f ca="1">IFERROR(__xludf.DUMMYFUNCTION("""COMPUTED_VALUE"""),2255)</f>
        <v>2255</v>
      </c>
      <c r="O325" s="3">
        <f ca="1">IFERROR(__xludf.DUMMYFUNCTION("""COMPUTED_VALUE"""),2227)</f>
        <v>2227</v>
      </c>
      <c r="P325" s="3">
        <f ca="1">IFERROR(__xludf.DUMMYFUNCTION("""COMPUTED_VALUE"""),1245)</f>
        <v>1245</v>
      </c>
      <c r="Q325" s="3">
        <f ca="1">IFERROR(__xludf.DUMMYFUNCTION("""COMPUTED_VALUE"""),808)</f>
        <v>808</v>
      </c>
      <c r="R325" s="3">
        <f ca="1">IFERROR(__xludf.DUMMYFUNCTION("""COMPUTED_VALUE"""),1783)</f>
        <v>1783</v>
      </c>
      <c r="S325" s="3">
        <f ca="1">IFERROR(__xludf.DUMMYFUNCTION("""COMPUTED_VALUE"""),0.453)</f>
        <v>0.45300000000000001</v>
      </c>
      <c r="T325" s="3">
        <f ca="1">IFERROR(__xludf.DUMMYFUNCTION("""COMPUTED_VALUE"""),207)</f>
        <v>207</v>
      </c>
      <c r="U325" s="3">
        <f ca="1">IFERROR(__xludf.DUMMYFUNCTION("""COMPUTED_VALUE"""),653)</f>
        <v>653</v>
      </c>
      <c r="V325" s="3">
        <f ca="1">IFERROR(__xludf.DUMMYFUNCTION("""COMPUTED_VALUE"""),0.317)</f>
        <v>0.317</v>
      </c>
      <c r="W325" s="3">
        <f ca="1">IFERROR(__xludf.DUMMYFUNCTION("""COMPUTED_VALUE"""),432)</f>
        <v>432</v>
      </c>
      <c r="X325" s="3">
        <f ca="1">IFERROR(__xludf.DUMMYFUNCTION("""COMPUTED_VALUE"""),643)</f>
        <v>643</v>
      </c>
      <c r="Y325" s="3">
        <f ca="1">IFERROR(__xludf.DUMMYFUNCTION("""COMPUTED_VALUE"""),0.672)</f>
        <v>0.67200000000000004</v>
      </c>
      <c r="Z325" s="3">
        <f ca="1">IFERROR(__xludf.DUMMYFUNCTION("""COMPUTED_VALUE"""),322)</f>
        <v>322</v>
      </c>
      <c r="AA325" s="3">
        <f ca="1">IFERROR(__xludf.DUMMYFUNCTION("""COMPUTED_VALUE"""),1147)</f>
        <v>1147</v>
      </c>
      <c r="AB325" s="3">
        <f ca="1">IFERROR(__xludf.DUMMYFUNCTION("""COMPUTED_VALUE"""),392)</f>
        <v>392</v>
      </c>
      <c r="AC325" s="3">
        <f ca="1">IFERROR(__xludf.DUMMYFUNCTION("""COMPUTED_VALUE"""),186)</f>
        <v>186</v>
      </c>
      <c r="AD325" s="3">
        <f ca="1">IFERROR(__xludf.DUMMYFUNCTION("""COMPUTED_VALUE"""),147)</f>
        <v>147</v>
      </c>
      <c r="AE325" s="3">
        <f ca="1">IFERROR(__xludf.DUMMYFUNCTION("""COMPUTED_VALUE"""),467)</f>
        <v>467</v>
      </c>
      <c r="AF325" s="3">
        <f ca="1">IFERROR(__xludf.DUMMYFUNCTION("""COMPUTED_VALUE"""),586)</f>
        <v>586</v>
      </c>
    </row>
    <row r="326" spans="1:32" x14ac:dyDescent="0.25">
      <c r="A326" s="3" t="str">
        <f ca="1">IFERROR(__xludf.DUMMYFUNCTION("""COMPUTED_VALUE"""),"Stephen F. Austin")</f>
        <v>Stephen F. Austin</v>
      </c>
      <c r="B326" s="3">
        <f ca="1">IFERROR(__xludf.DUMMYFUNCTION("""COMPUTED_VALUE"""),30)</f>
        <v>30</v>
      </c>
      <c r="C326" s="3">
        <f ca="1">IFERROR(__xludf.DUMMYFUNCTION("""COMPUTED_VALUE"""),14)</f>
        <v>14</v>
      </c>
      <c r="D326" s="3">
        <f ca="1">IFERROR(__xludf.DUMMYFUNCTION("""COMPUTED_VALUE"""),16)</f>
        <v>16</v>
      </c>
      <c r="E326" s="3">
        <f ca="1">IFERROR(__xludf.DUMMYFUNCTION("""COMPUTED_VALUE"""),0.467)</f>
        <v>0.46700000000000003</v>
      </c>
      <c r="F326" s="3">
        <f ca="1">IFERROR(__xludf.DUMMYFUNCTION("""COMPUTED_VALUE"""),-10.99)</f>
        <v>-10.99</v>
      </c>
      <c r="G326" s="3">
        <f ca="1">IFERROR(__xludf.DUMMYFUNCTION("""COMPUTED_VALUE"""),-5.92)</f>
        <v>-5.92</v>
      </c>
      <c r="H326" s="3">
        <f ca="1">IFERROR(__xludf.DUMMYFUNCTION("""COMPUTED_VALUE"""),7)</f>
        <v>7</v>
      </c>
      <c r="I326" s="3">
        <f ca="1">IFERROR(__xludf.DUMMYFUNCTION("""COMPUTED_VALUE"""),11)</f>
        <v>11</v>
      </c>
      <c r="J326" s="3">
        <f ca="1">IFERROR(__xludf.DUMMYFUNCTION("""COMPUTED_VALUE"""),10)</f>
        <v>10</v>
      </c>
      <c r="K326" s="3">
        <f ca="1">IFERROR(__xludf.DUMMYFUNCTION("""COMPUTED_VALUE"""),6)</f>
        <v>6</v>
      </c>
      <c r="L326" s="3">
        <f ca="1">IFERROR(__xludf.DUMMYFUNCTION("""COMPUTED_VALUE"""),3)</f>
        <v>3</v>
      </c>
      <c r="M326" s="3">
        <f ca="1">IFERROR(__xludf.DUMMYFUNCTION("""COMPUTED_VALUE"""),9)</f>
        <v>9</v>
      </c>
      <c r="N326" s="3">
        <f ca="1">IFERROR(__xludf.DUMMYFUNCTION("""COMPUTED_VALUE"""),2105)</f>
        <v>2105</v>
      </c>
      <c r="O326" s="3">
        <f ca="1">IFERROR(__xludf.DUMMYFUNCTION("""COMPUTED_VALUE"""),2161)</f>
        <v>2161</v>
      </c>
      <c r="P326" s="3">
        <f ca="1">IFERROR(__xludf.DUMMYFUNCTION("""COMPUTED_VALUE"""),1210)</f>
        <v>1210</v>
      </c>
      <c r="Q326" s="3">
        <f ca="1">IFERROR(__xludf.DUMMYFUNCTION("""COMPUTED_VALUE"""),745)</f>
        <v>745</v>
      </c>
      <c r="R326" s="3">
        <f ca="1">IFERROR(__xludf.DUMMYFUNCTION("""COMPUTED_VALUE"""),1696)</f>
        <v>1696</v>
      </c>
      <c r="S326" s="3">
        <f ca="1">IFERROR(__xludf.DUMMYFUNCTION("""COMPUTED_VALUE"""),0.439)</f>
        <v>0.439</v>
      </c>
      <c r="T326" s="3">
        <f ca="1">IFERROR(__xludf.DUMMYFUNCTION("""COMPUTED_VALUE"""),201)</f>
        <v>201</v>
      </c>
      <c r="U326" s="3">
        <f ca="1">IFERROR(__xludf.DUMMYFUNCTION("""COMPUTED_VALUE"""),588)</f>
        <v>588</v>
      </c>
      <c r="V326" s="3">
        <f ca="1">IFERROR(__xludf.DUMMYFUNCTION("""COMPUTED_VALUE"""),0.342)</f>
        <v>0.34200000000000003</v>
      </c>
      <c r="W326" s="3">
        <f ca="1">IFERROR(__xludf.DUMMYFUNCTION("""COMPUTED_VALUE"""),414)</f>
        <v>414</v>
      </c>
      <c r="X326" s="3">
        <f ca="1">IFERROR(__xludf.DUMMYFUNCTION("""COMPUTED_VALUE"""),607)</f>
        <v>607</v>
      </c>
      <c r="Y326" s="3">
        <f ca="1">IFERROR(__xludf.DUMMYFUNCTION("""COMPUTED_VALUE"""),0.682)</f>
        <v>0.68200000000000005</v>
      </c>
      <c r="Z326" s="3">
        <f ca="1">IFERROR(__xludf.DUMMYFUNCTION("""COMPUTED_VALUE"""),313)</f>
        <v>313</v>
      </c>
      <c r="AA326" s="3">
        <f ca="1">IFERROR(__xludf.DUMMYFUNCTION("""COMPUTED_VALUE"""),1008)</f>
        <v>1008</v>
      </c>
      <c r="AB326" s="3">
        <f ca="1">IFERROR(__xludf.DUMMYFUNCTION("""COMPUTED_VALUE"""),348)</f>
        <v>348</v>
      </c>
      <c r="AC326" s="3">
        <f ca="1">IFERROR(__xludf.DUMMYFUNCTION("""COMPUTED_VALUE"""),192)</f>
        <v>192</v>
      </c>
      <c r="AD326" s="3">
        <f ca="1">IFERROR(__xludf.DUMMYFUNCTION("""COMPUTED_VALUE"""),113)</f>
        <v>113</v>
      </c>
      <c r="AE326" s="3">
        <f ca="1">IFERROR(__xludf.DUMMYFUNCTION("""COMPUTED_VALUE"""),442)</f>
        <v>442</v>
      </c>
      <c r="AF326" s="3">
        <f ca="1">IFERROR(__xludf.DUMMYFUNCTION("""COMPUTED_VALUE"""),579)</f>
        <v>579</v>
      </c>
    </row>
    <row r="327" spans="1:32" x14ac:dyDescent="0.25">
      <c r="A327" s="3" t="str">
        <f ca="1">IFERROR(__xludf.DUMMYFUNCTION("""COMPUTED_VALUE"""),"Stetson")</f>
        <v>Stetson</v>
      </c>
      <c r="B327" s="3">
        <f ca="1">IFERROR(__xludf.DUMMYFUNCTION("""COMPUTED_VALUE"""),31)</f>
        <v>31</v>
      </c>
      <c r="C327" s="3">
        <f ca="1">IFERROR(__xludf.DUMMYFUNCTION("""COMPUTED_VALUE"""),7)</f>
        <v>7</v>
      </c>
      <c r="D327" s="3">
        <f ca="1">IFERROR(__xludf.DUMMYFUNCTION("""COMPUTED_VALUE"""),24)</f>
        <v>24</v>
      </c>
      <c r="E327" s="3">
        <f ca="1">IFERROR(__xludf.DUMMYFUNCTION("""COMPUTED_VALUE"""),0.226)</f>
        <v>0.22600000000000001</v>
      </c>
      <c r="F327" s="3">
        <f ca="1">IFERROR(__xludf.DUMMYFUNCTION("""COMPUTED_VALUE"""),-15.01)</f>
        <v>-15.01</v>
      </c>
      <c r="G327" s="3">
        <f ca="1">IFERROR(__xludf.DUMMYFUNCTION("""COMPUTED_VALUE"""),-3.46)</f>
        <v>-3.46</v>
      </c>
      <c r="H327" s="3">
        <f ca="1">IFERROR(__xludf.DUMMYFUNCTION("""COMPUTED_VALUE"""),3)</f>
        <v>3</v>
      </c>
      <c r="I327" s="3">
        <f ca="1">IFERROR(__xludf.DUMMYFUNCTION("""COMPUTED_VALUE"""),13)</f>
        <v>13</v>
      </c>
      <c r="J327" s="3">
        <f ca="1">IFERROR(__xludf.DUMMYFUNCTION("""COMPUTED_VALUE"""),7)</f>
        <v>7</v>
      </c>
      <c r="K327" s="3">
        <f ca="1">IFERROR(__xludf.DUMMYFUNCTION("""COMPUTED_VALUE"""),8)</f>
        <v>8</v>
      </c>
      <c r="L327" s="3">
        <f ca="1">IFERROR(__xludf.DUMMYFUNCTION("""COMPUTED_VALUE"""),0)</f>
        <v>0</v>
      </c>
      <c r="M327" s="3">
        <f ca="1">IFERROR(__xludf.DUMMYFUNCTION("""COMPUTED_VALUE"""),16)</f>
        <v>16</v>
      </c>
      <c r="N327" s="3">
        <f ca="1">IFERROR(__xludf.DUMMYFUNCTION("""COMPUTED_VALUE"""),2151)</f>
        <v>2151</v>
      </c>
      <c r="O327" s="3">
        <f ca="1">IFERROR(__xludf.DUMMYFUNCTION("""COMPUTED_VALUE"""),2429)</f>
        <v>2429</v>
      </c>
      <c r="P327" s="3">
        <f ca="1">IFERROR(__xludf.DUMMYFUNCTION("""COMPUTED_VALUE"""),1245)</f>
        <v>1245</v>
      </c>
      <c r="Q327" s="3">
        <f ca="1">IFERROR(__xludf.DUMMYFUNCTION("""COMPUTED_VALUE"""),794)</f>
        <v>794</v>
      </c>
      <c r="R327" s="3">
        <f ca="1">IFERROR(__xludf.DUMMYFUNCTION("""COMPUTED_VALUE"""),1962)</f>
        <v>1962</v>
      </c>
      <c r="S327" s="3">
        <f ca="1">IFERROR(__xludf.DUMMYFUNCTION("""COMPUTED_VALUE"""),0.405)</f>
        <v>0.40500000000000003</v>
      </c>
      <c r="T327" s="3">
        <f ca="1">IFERROR(__xludf.DUMMYFUNCTION("""COMPUTED_VALUE"""),215)</f>
        <v>215</v>
      </c>
      <c r="U327" s="3">
        <f ca="1">IFERROR(__xludf.DUMMYFUNCTION("""COMPUTED_VALUE"""),684)</f>
        <v>684</v>
      </c>
      <c r="V327" s="3">
        <f ca="1">IFERROR(__xludf.DUMMYFUNCTION("""COMPUTED_VALUE"""),0.314)</f>
        <v>0.314</v>
      </c>
      <c r="W327" s="3">
        <f ca="1">IFERROR(__xludf.DUMMYFUNCTION("""COMPUTED_VALUE"""),348)</f>
        <v>348</v>
      </c>
      <c r="X327" s="3">
        <f ca="1">IFERROR(__xludf.DUMMYFUNCTION("""COMPUTED_VALUE"""),503)</f>
        <v>503</v>
      </c>
      <c r="Y327" s="3">
        <f ca="1">IFERROR(__xludf.DUMMYFUNCTION("""COMPUTED_VALUE"""),0.692)</f>
        <v>0.69199999999999995</v>
      </c>
      <c r="Z327" s="3">
        <f ca="1">IFERROR(__xludf.DUMMYFUNCTION("""COMPUTED_VALUE"""),359)</f>
        <v>359</v>
      </c>
      <c r="AA327" s="3">
        <f ca="1">IFERROR(__xludf.DUMMYFUNCTION("""COMPUTED_VALUE"""),1110)</f>
        <v>1110</v>
      </c>
      <c r="AB327" s="3">
        <f ca="1">IFERROR(__xludf.DUMMYFUNCTION("""COMPUTED_VALUE"""),418)</f>
        <v>418</v>
      </c>
      <c r="AC327" s="3">
        <f ca="1">IFERROR(__xludf.DUMMYFUNCTION("""COMPUTED_VALUE"""),210)</f>
        <v>210</v>
      </c>
      <c r="AD327" s="3">
        <f ca="1">IFERROR(__xludf.DUMMYFUNCTION("""COMPUTED_VALUE"""),94)</f>
        <v>94</v>
      </c>
      <c r="AE327" s="3">
        <f ca="1">IFERROR(__xludf.DUMMYFUNCTION("""COMPUTED_VALUE"""),394)</f>
        <v>394</v>
      </c>
      <c r="AF327" s="3">
        <f ca="1">IFERROR(__xludf.DUMMYFUNCTION("""COMPUTED_VALUE"""),536)</f>
        <v>536</v>
      </c>
    </row>
    <row r="328" spans="1:32" x14ac:dyDescent="0.25">
      <c r="A328" s="3" t="str">
        <f ca="1">IFERROR(__xludf.DUMMYFUNCTION("""COMPUTED_VALUE"""),"Stony Brook")</f>
        <v>Stony Brook</v>
      </c>
      <c r="B328" s="3">
        <f ca="1">IFERROR(__xludf.DUMMYFUNCTION("""COMPUTED_VALUE"""),33)</f>
        <v>33</v>
      </c>
      <c r="C328" s="3">
        <f ca="1">IFERROR(__xludf.DUMMYFUNCTION("""COMPUTED_VALUE"""),24)</f>
        <v>24</v>
      </c>
      <c r="D328" s="3">
        <f ca="1">IFERROR(__xludf.DUMMYFUNCTION("""COMPUTED_VALUE"""),9)</f>
        <v>9</v>
      </c>
      <c r="E328" s="3">
        <f ca="1">IFERROR(__xludf.DUMMYFUNCTION("""COMPUTED_VALUE"""),0.727)</f>
        <v>0.72699999999999998</v>
      </c>
      <c r="F328" s="3">
        <f ca="1">IFERROR(__xludf.DUMMYFUNCTION("""COMPUTED_VALUE"""),-2.1)</f>
        <v>-2.1</v>
      </c>
      <c r="G328" s="3">
        <f ca="1">IFERROR(__xludf.DUMMYFUNCTION("""COMPUTED_VALUE"""),-6.48)</f>
        <v>-6.48</v>
      </c>
      <c r="H328" s="3">
        <f ca="1">IFERROR(__xludf.DUMMYFUNCTION("""COMPUTED_VALUE"""),12)</f>
        <v>12</v>
      </c>
      <c r="I328" s="3">
        <f ca="1">IFERROR(__xludf.DUMMYFUNCTION("""COMPUTED_VALUE"""),4)</f>
        <v>4</v>
      </c>
      <c r="J328" s="3">
        <f ca="1">IFERROR(__xludf.DUMMYFUNCTION("""COMPUTED_VALUE"""),10)</f>
        <v>10</v>
      </c>
      <c r="K328" s="3">
        <f ca="1">IFERROR(__xludf.DUMMYFUNCTION("""COMPUTED_VALUE"""),4)</f>
        <v>4</v>
      </c>
      <c r="L328" s="3">
        <f ca="1">IFERROR(__xludf.DUMMYFUNCTION("""COMPUTED_VALUE"""),13)</f>
        <v>13</v>
      </c>
      <c r="M328" s="3">
        <f ca="1">IFERROR(__xludf.DUMMYFUNCTION("""COMPUTED_VALUE"""),4)</f>
        <v>4</v>
      </c>
      <c r="N328" s="3">
        <f ca="1">IFERROR(__xludf.DUMMYFUNCTION("""COMPUTED_VALUE"""),2364)</f>
        <v>2364</v>
      </c>
      <c r="O328" s="3">
        <f ca="1">IFERROR(__xludf.DUMMYFUNCTION("""COMPUTED_VALUE"""),2188)</f>
        <v>2188</v>
      </c>
      <c r="P328" s="3">
        <f ca="1">IFERROR(__xludf.DUMMYFUNCTION("""COMPUTED_VALUE"""),1335)</f>
        <v>1335</v>
      </c>
      <c r="Q328" s="3">
        <f ca="1">IFERROR(__xludf.DUMMYFUNCTION("""COMPUTED_VALUE"""),815)</f>
        <v>815</v>
      </c>
      <c r="R328" s="3">
        <f ca="1">IFERROR(__xludf.DUMMYFUNCTION("""COMPUTED_VALUE"""),1937)</f>
        <v>1937</v>
      </c>
      <c r="S328" s="3">
        <f ca="1">IFERROR(__xludf.DUMMYFUNCTION("""COMPUTED_VALUE"""),0.421)</f>
        <v>0.42099999999999999</v>
      </c>
      <c r="T328" s="3">
        <f ca="1">IFERROR(__xludf.DUMMYFUNCTION("""COMPUTED_VALUE"""),233)</f>
        <v>233</v>
      </c>
      <c r="U328" s="3">
        <f ca="1">IFERROR(__xludf.DUMMYFUNCTION("""COMPUTED_VALUE"""),715)</f>
        <v>715</v>
      </c>
      <c r="V328" s="3">
        <f ca="1">IFERROR(__xludf.DUMMYFUNCTION("""COMPUTED_VALUE"""),0.326)</f>
        <v>0.32600000000000001</v>
      </c>
      <c r="W328" s="3">
        <f ca="1">IFERROR(__xludf.DUMMYFUNCTION("""COMPUTED_VALUE"""),501)</f>
        <v>501</v>
      </c>
      <c r="X328" s="3">
        <f ca="1">IFERROR(__xludf.DUMMYFUNCTION("""COMPUTED_VALUE"""),695)</f>
        <v>695</v>
      </c>
      <c r="Y328" s="3">
        <f ca="1">IFERROR(__xludf.DUMMYFUNCTION("""COMPUTED_VALUE"""),0.721)</f>
        <v>0.72099999999999997</v>
      </c>
      <c r="Z328" s="3">
        <f ca="1">IFERROR(__xludf.DUMMYFUNCTION("""COMPUTED_VALUE"""),410)</f>
        <v>410</v>
      </c>
      <c r="AA328" s="3">
        <f ca="1">IFERROR(__xludf.DUMMYFUNCTION("""COMPUTED_VALUE"""),1348)</f>
        <v>1348</v>
      </c>
      <c r="AB328" s="3">
        <f ca="1">IFERROR(__xludf.DUMMYFUNCTION("""COMPUTED_VALUE"""),372)</f>
        <v>372</v>
      </c>
      <c r="AC328" s="3">
        <f ca="1">IFERROR(__xludf.DUMMYFUNCTION("""COMPUTED_VALUE"""),209)</f>
        <v>209</v>
      </c>
      <c r="AD328" s="3">
        <f ca="1">IFERROR(__xludf.DUMMYFUNCTION("""COMPUTED_VALUE"""),142)</f>
        <v>142</v>
      </c>
      <c r="AE328" s="3">
        <f ca="1">IFERROR(__xludf.DUMMYFUNCTION("""COMPUTED_VALUE"""),478)</f>
        <v>478</v>
      </c>
      <c r="AF328" s="3">
        <f ca="1">IFERROR(__xludf.DUMMYFUNCTION("""COMPUTED_VALUE"""),631)</f>
        <v>631</v>
      </c>
    </row>
    <row r="329" spans="1:32" x14ac:dyDescent="0.25">
      <c r="A329" s="3" t="str">
        <f ca="1">IFERROR(__xludf.DUMMYFUNCTION("""COMPUTED_VALUE"""),"SyracuseNCAA")</f>
        <v>SyracuseNCAA</v>
      </c>
      <c r="B329" s="3">
        <f ca="1">IFERROR(__xludf.DUMMYFUNCTION("""COMPUTED_VALUE"""),34)</f>
        <v>34</v>
      </c>
      <c r="C329" s="3">
        <f ca="1">IFERROR(__xludf.DUMMYFUNCTION("""COMPUTED_VALUE"""),20)</f>
        <v>20</v>
      </c>
      <c r="D329" s="3">
        <f ca="1">IFERROR(__xludf.DUMMYFUNCTION("""COMPUTED_VALUE"""),14)</f>
        <v>14</v>
      </c>
      <c r="E329" s="3">
        <f ca="1">IFERROR(__xludf.DUMMYFUNCTION("""COMPUTED_VALUE"""),0.588)</f>
        <v>0.58799999999999997</v>
      </c>
      <c r="F329" s="3">
        <f ca="1">IFERROR(__xludf.DUMMYFUNCTION("""COMPUTED_VALUE"""),13.73)</f>
        <v>13.73</v>
      </c>
      <c r="G329" s="3">
        <f ca="1">IFERROR(__xludf.DUMMYFUNCTION("""COMPUTED_VALUE"""),10.09)</f>
        <v>10.09</v>
      </c>
      <c r="H329" s="3">
        <f ca="1">IFERROR(__xludf.DUMMYFUNCTION("""COMPUTED_VALUE"""),10)</f>
        <v>10</v>
      </c>
      <c r="I329" s="3">
        <f ca="1">IFERROR(__xludf.DUMMYFUNCTION("""COMPUTED_VALUE"""),8)</f>
        <v>8</v>
      </c>
      <c r="J329" s="3">
        <f ca="1">IFERROR(__xludf.DUMMYFUNCTION("""COMPUTED_VALUE"""),13)</f>
        <v>13</v>
      </c>
      <c r="K329" s="3">
        <f ca="1">IFERROR(__xludf.DUMMYFUNCTION("""COMPUTED_VALUE"""),6)</f>
        <v>6</v>
      </c>
      <c r="L329" s="3">
        <f ca="1">IFERROR(__xludf.DUMMYFUNCTION("""COMPUTED_VALUE"""),6)</f>
        <v>6</v>
      </c>
      <c r="M329" s="3">
        <f ca="1">IFERROR(__xludf.DUMMYFUNCTION("""COMPUTED_VALUE"""),4)</f>
        <v>4</v>
      </c>
      <c r="N329" s="3">
        <f ca="1">IFERROR(__xludf.DUMMYFUNCTION("""COMPUTED_VALUE"""),2370)</f>
        <v>2370</v>
      </c>
      <c r="O329" s="3">
        <f ca="1">IFERROR(__xludf.DUMMYFUNCTION("""COMPUTED_VALUE"""),2246)</f>
        <v>2246</v>
      </c>
      <c r="P329" s="3">
        <f ca="1">IFERROR(__xludf.DUMMYFUNCTION("""COMPUTED_VALUE"""),1365)</f>
        <v>1365</v>
      </c>
      <c r="Q329" s="3">
        <f ca="1">IFERROR(__xludf.DUMMYFUNCTION("""COMPUTED_VALUE"""),808)</f>
        <v>808</v>
      </c>
      <c r="R329" s="3">
        <f ca="1">IFERROR(__xludf.DUMMYFUNCTION("""COMPUTED_VALUE"""),1907)</f>
        <v>1907</v>
      </c>
      <c r="S329" s="3">
        <f ca="1">IFERROR(__xludf.DUMMYFUNCTION("""COMPUTED_VALUE"""),0.424)</f>
        <v>0.42399999999999999</v>
      </c>
      <c r="T329" s="3">
        <f ca="1">IFERROR(__xludf.DUMMYFUNCTION("""COMPUTED_VALUE"""),274)</f>
        <v>274</v>
      </c>
      <c r="U329" s="3">
        <f ca="1">IFERROR(__xludf.DUMMYFUNCTION("""COMPUTED_VALUE"""),824)</f>
        <v>824</v>
      </c>
      <c r="V329" s="3">
        <f ca="1">IFERROR(__xludf.DUMMYFUNCTION("""COMPUTED_VALUE"""),0.333)</f>
        <v>0.33300000000000002</v>
      </c>
      <c r="W329" s="3">
        <f ca="1">IFERROR(__xludf.DUMMYFUNCTION("""COMPUTED_VALUE"""),480)</f>
        <v>480</v>
      </c>
      <c r="X329" s="3">
        <f ca="1">IFERROR(__xludf.DUMMYFUNCTION("""COMPUTED_VALUE"""),701)</f>
        <v>701</v>
      </c>
      <c r="Y329" s="3">
        <f ca="1">IFERROR(__xludf.DUMMYFUNCTION("""COMPUTED_VALUE"""),0.685)</f>
        <v>0.68500000000000005</v>
      </c>
      <c r="Z329" s="3">
        <f ca="1">IFERROR(__xludf.DUMMYFUNCTION("""COMPUTED_VALUE"""),363)</f>
        <v>363</v>
      </c>
      <c r="AA329" s="3">
        <f ca="1">IFERROR(__xludf.DUMMYFUNCTION("""COMPUTED_VALUE"""),1174)</f>
        <v>1174</v>
      </c>
      <c r="AB329" s="3">
        <f ca="1">IFERROR(__xludf.DUMMYFUNCTION("""COMPUTED_VALUE"""),408)</f>
        <v>408</v>
      </c>
      <c r="AC329" s="3">
        <f ca="1">IFERROR(__xludf.DUMMYFUNCTION("""COMPUTED_VALUE"""),278)</f>
        <v>278</v>
      </c>
      <c r="AD329" s="3">
        <f ca="1">IFERROR(__xludf.DUMMYFUNCTION("""COMPUTED_VALUE"""),162)</f>
        <v>162</v>
      </c>
      <c r="AE329" s="3">
        <f ca="1">IFERROR(__xludf.DUMMYFUNCTION("""COMPUTED_VALUE"""),423)</f>
        <v>423</v>
      </c>
      <c r="AF329" s="3">
        <f ca="1">IFERROR(__xludf.DUMMYFUNCTION("""COMPUTED_VALUE"""),588)</f>
        <v>588</v>
      </c>
    </row>
    <row r="330" spans="1:32" x14ac:dyDescent="0.25">
      <c r="A330" s="3" t="str">
        <f ca="1">IFERROR(__xludf.DUMMYFUNCTION("""COMPUTED_VALUE"""),"Overall")</f>
        <v>Overall</v>
      </c>
      <c r="B330" s="3" t="str">
        <f ca="1">IFERROR(__xludf.DUMMYFUNCTION("""COMPUTED_VALUE"""),"Conf.")</f>
        <v>Conf.</v>
      </c>
      <c r="C330" s="3" t="str">
        <f ca="1">IFERROR(__xludf.DUMMYFUNCTION("""COMPUTED_VALUE"""),"Home")</f>
        <v>Home</v>
      </c>
      <c r="D330" s="3" t="str">
        <f ca="1">IFERROR(__xludf.DUMMYFUNCTION("""COMPUTED_VALUE"""),"Away")</f>
        <v>Away</v>
      </c>
      <c r="E330" s="3" t="str">
        <f ca="1">IFERROR(__xludf.DUMMYFUNCTION("""COMPUTED_VALUE"""),"Points")</f>
        <v>Points</v>
      </c>
      <c r="F330" s="3" t="str">
        <f ca="1">IFERROR(__xludf.DUMMYFUNCTION("""COMPUTED_VALUE"""),"")</f>
        <v/>
      </c>
      <c r="G330" s="3" t="str">
        <f ca="1">IFERROR(__xludf.DUMMYFUNCTION("""COMPUTED_VALUE"""),"School Totals")</f>
        <v>School Totals</v>
      </c>
      <c r="H330" s="3" t="str">
        <f ca="1">IFERROR(__xludf.DUMMYFUNCTION("""COMPUTED_VALUE"""),"")</f>
        <v/>
      </c>
      <c r="I330" s="3" t="str">
        <f ca="1">IFERROR(__xludf.DUMMYFUNCTION("""COMPUTED_VALUE"""),"")</f>
        <v/>
      </c>
      <c r="J330" s="3" t="str">
        <f ca="1">IFERROR(__xludf.DUMMYFUNCTION("""COMPUTED_VALUE"""),"")</f>
        <v/>
      </c>
      <c r="K330" s="3" t="str">
        <f ca="1">IFERROR(__xludf.DUMMYFUNCTION("""COMPUTED_VALUE"""),"")</f>
        <v/>
      </c>
      <c r="L330" s="3" t="str">
        <f ca="1">IFERROR(__xludf.DUMMYFUNCTION("""COMPUTED_VALUE"""),"")</f>
        <v/>
      </c>
      <c r="M330" s="3" t="str">
        <f ca="1">IFERROR(__xludf.DUMMYFUNCTION("""COMPUTED_VALUE"""),"")</f>
        <v/>
      </c>
      <c r="N330" s="3" t="str">
        <f ca="1">IFERROR(__xludf.DUMMYFUNCTION("""COMPUTED_VALUE"""),"")</f>
        <v/>
      </c>
      <c r="O330" s="3" t="str">
        <f ca="1">IFERROR(__xludf.DUMMYFUNCTION("""COMPUTED_VALUE"""),"")</f>
        <v/>
      </c>
      <c r="P330" s="3" t="str">
        <f ca="1">IFERROR(__xludf.DUMMYFUNCTION("""COMPUTED_VALUE"""),"")</f>
        <v/>
      </c>
      <c r="Q330" s="3" t="str">
        <f ca="1">IFERROR(__xludf.DUMMYFUNCTION("""COMPUTED_VALUE"""),"")</f>
        <v/>
      </c>
      <c r="R330" s="3" t="str">
        <f ca="1">IFERROR(__xludf.DUMMYFUNCTION("""COMPUTED_VALUE"""),"")</f>
        <v/>
      </c>
      <c r="S330" s="3" t="str">
        <f ca="1">IFERROR(__xludf.DUMMYFUNCTION("""COMPUTED_VALUE"""),"")</f>
        <v/>
      </c>
      <c r="T330" s="3" t="str">
        <f ca="1">IFERROR(__xludf.DUMMYFUNCTION("""COMPUTED_VALUE"""),"")</f>
        <v/>
      </c>
      <c r="U330" s="3" t="str">
        <f ca="1">IFERROR(__xludf.DUMMYFUNCTION("""COMPUTED_VALUE"""),"")</f>
        <v/>
      </c>
      <c r="V330" s="3" t="str">
        <f ca="1">IFERROR(__xludf.DUMMYFUNCTION("""COMPUTED_VALUE"""),"")</f>
        <v/>
      </c>
      <c r="W330" s="3" t="str">
        <f ca="1">IFERROR(__xludf.DUMMYFUNCTION("""COMPUTED_VALUE"""),"")</f>
        <v/>
      </c>
      <c r="X330" s="3" t="str">
        <f ca="1">IFERROR(__xludf.DUMMYFUNCTION("""COMPUTED_VALUE"""),"")</f>
        <v/>
      </c>
      <c r="Y330" s="3" t="str">
        <f ca="1">IFERROR(__xludf.DUMMYFUNCTION("""COMPUTED_VALUE"""),"")</f>
        <v/>
      </c>
      <c r="Z330" s="3" t="str">
        <f ca="1">IFERROR(__xludf.DUMMYFUNCTION("""COMPUTED_VALUE"""),"")</f>
        <v/>
      </c>
      <c r="AA330" s="3" t="str">
        <f ca="1">IFERROR(__xludf.DUMMYFUNCTION("""COMPUTED_VALUE"""),"")</f>
        <v/>
      </c>
      <c r="AB330" s="3" t="str">
        <f ca="1">IFERROR(__xludf.DUMMYFUNCTION("""COMPUTED_VALUE"""),"")</f>
        <v/>
      </c>
      <c r="AC330" s="3" t="str">
        <f ca="1">IFERROR(__xludf.DUMMYFUNCTION("""COMPUTED_VALUE"""),"")</f>
        <v/>
      </c>
      <c r="AD330" s="3" t="str">
        <f ca="1">IFERROR(__xludf.DUMMYFUNCTION("""COMPUTED_VALUE"""),"")</f>
        <v/>
      </c>
      <c r="AE330" s="3" t="str">
        <f ca="1">IFERROR(__xludf.DUMMYFUNCTION("""COMPUTED_VALUE"""),"")</f>
        <v/>
      </c>
      <c r="AF330" s="3" t="str">
        <f ca="1">IFERROR(__xludf.DUMMYFUNCTION("""COMPUTED_VALUE"""),"")</f>
        <v/>
      </c>
    </row>
    <row r="331" spans="1:32" x14ac:dyDescent="0.25">
      <c r="A331" s="3" t="str">
        <f ca="1">IFERROR(__xludf.DUMMYFUNCTION("""COMPUTED_VALUE"""),"School")</f>
        <v>School</v>
      </c>
      <c r="B331" s="3" t="str">
        <f ca="1">IFERROR(__xludf.DUMMYFUNCTION("""COMPUTED_VALUE"""),"G")</f>
        <v>G</v>
      </c>
      <c r="C331" s="3" t="str">
        <f ca="1">IFERROR(__xludf.DUMMYFUNCTION("""COMPUTED_VALUE"""),"W")</f>
        <v>W</v>
      </c>
      <c r="D331" s="3" t="str">
        <f ca="1">IFERROR(__xludf.DUMMYFUNCTION("""COMPUTED_VALUE"""),"L")</f>
        <v>L</v>
      </c>
      <c r="E331" s="3" t="str">
        <f ca="1">IFERROR(__xludf.DUMMYFUNCTION("""COMPUTED_VALUE"""),"W-L%")</f>
        <v>W-L%</v>
      </c>
      <c r="F331" s="3" t="str">
        <f ca="1">IFERROR(__xludf.DUMMYFUNCTION("""COMPUTED_VALUE"""),"SRS")</f>
        <v>SRS</v>
      </c>
      <c r="G331" s="3" t="str">
        <f ca="1">IFERROR(__xludf.DUMMYFUNCTION("""COMPUTED_VALUE"""),"SOS")</f>
        <v>SOS</v>
      </c>
      <c r="H331" s="3" t="str">
        <f ca="1">IFERROR(__xludf.DUMMYFUNCTION("""COMPUTED_VALUE"""),"W")</f>
        <v>W</v>
      </c>
      <c r="I331" s="3" t="str">
        <f ca="1">IFERROR(__xludf.DUMMYFUNCTION("""COMPUTED_VALUE"""),"L")</f>
        <v>L</v>
      </c>
      <c r="J331" s="3" t="str">
        <f ca="1">IFERROR(__xludf.DUMMYFUNCTION("""COMPUTED_VALUE"""),"W")</f>
        <v>W</v>
      </c>
      <c r="K331" s="3" t="str">
        <f ca="1">IFERROR(__xludf.DUMMYFUNCTION("""COMPUTED_VALUE"""),"L")</f>
        <v>L</v>
      </c>
      <c r="L331" s="3" t="str">
        <f ca="1">IFERROR(__xludf.DUMMYFUNCTION("""COMPUTED_VALUE"""),"W")</f>
        <v>W</v>
      </c>
      <c r="M331" s="3" t="str">
        <f ca="1">IFERROR(__xludf.DUMMYFUNCTION("""COMPUTED_VALUE"""),"L")</f>
        <v>L</v>
      </c>
      <c r="N331" s="3" t="str">
        <f ca="1">IFERROR(__xludf.DUMMYFUNCTION("""COMPUTED_VALUE"""),"Tm.")</f>
        <v>Tm.</v>
      </c>
      <c r="O331" s="3" t="str">
        <f ca="1">IFERROR(__xludf.DUMMYFUNCTION("""COMPUTED_VALUE"""),"Opp.")</f>
        <v>Opp.</v>
      </c>
      <c r="P331" s="3" t="str">
        <f ca="1">IFERROR(__xludf.DUMMYFUNCTION("""COMPUTED_VALUE"""),"MP")</f>
        <v>MP</v>
      </c>
      <c r="Q331" s="3" t="str">
        <f ca="1">IFERROR(__xludf.DUMMYFUNCTION("""COMPUTED_VALUE"""),"FG")</f>
        <v>FG</v>
      </c>
      <c r="R331" s="3" t="str">
        <f ca="1">IFERROR(__xludf.DUMMYFUNCTION("""COMPUTED_VALUE"""),"FGA")</f>
        <v>FGA</v>
      </c>
      <c r="S331" s="3" t="str">
        <f ca="1">IFERROR(__xludf.DUMMYFUNCTION("""COMPUTED_VALUE"""),"FG%")</f>
        <v>FG%</v>
      </c>
      <c r="T331" s="3" t="str">
        <f ca="1">IFERROR(__xludf.DUMMYFUNCTION("""COMPUTED_VALUE"""),"3P")</f>
        <v>3P</v>
      </c>
      <c r="U331" s="3" t="str">
        <f ca="1">IFERROR(__xludf.DUMMYFUNCTION("""COMPUTED_VALUE"""),"3PA")</f>
        <v>3PA</v>
      </c>
      <c r="V331" s="3" t="str">
        <f ca="1">IFERROR(__xludf.DUMMYFUNCTION("""COMPUTED_VALUE"""),"3P%")</f>
        <v>3P%</v>
      </c>
      <c r="W331" s="3" t="str">
        <f ca="1">IFERROR(__xludf.DUMMYFUNCTION("""COMPUTED_VALUE"""),"FT")</f>
        <v>FT</v>
      </c>
      <c r="X331" s="3" t="str">
        <f ca="1">IFERROR(__xludf.DUMMYFUNCTION("""COMPUTED_VALUE"""),"FTA")</f>
        <v>FTA</v>
      </c>
      <c r="Y331" s="3" t="str">
        <f ca="1">IFERROR(__xludf.DUMMYFUNCTION("""COMPUTED_VALUE"""),"FT%")</f>
        <v>FT%</v>
      </c>
      <c r="Z331" s="3" t="str">
        <f ca="1">IFERROR(__xludf.DUMMYFUNCTION("""COMPUTED_VALUE"""),"ORB")</f>
        <v>ORB</v>
      </c>
      <c r="AA331" s="3" t="str">
        <f ca="1">IFERROR(__xludf.DUMMYFUNCTION("""COMPUTED_VALUE"""),"TRB")</f>
        <v>TRB</v>
      </c>
      <c r="AB331" s="3" t="str">
        <f ca="1">IFERROR(__xludf.DUMMYFUNCTION("""COMPUTED_VALUE"""),"AST")</f>
        <v>AST</v>
      </c>
      <c r="AC331" s="3" t="str">
        <f ca="1">IFERROR(__xludf.DUMMYFUNCTION("""COMPUTED_VALUE"""),"STL")</f>
        <v>STL</v>
      </c>
      <c r="AD331" s="3" t="str">
        <f ca="1">IFERROR(__xludf.DUMMYFUNCTION("""COMPUTED_VALUE"""),"BLK")</f>
        <v>BLK</v>
      </c>
      <c r="AE331" s="3" t="str">
        <f ca="1">IFERROR(__xludf.DUMMYFUNCTION("""COMPUTED_VALUE"""),"TOV")</f>
        <v>TOV</v>
      </c>
      <c r="AF331" s="3" t="str">
        <f ca="1">IFERROR(__xludf.DUMMYFUNCTION("""COMPUTED_VALUE"""),"PF")</f>
        <v>PF</v>
      </c>
    </row>
    <row r="332" spans="1:32" x14ac:dyDescent="0.25">
      <c r="A332" s="3" t="str">
        <f ca="1">IFERROR(__xludf.DUMMYFUNCTION("""COMPUTED_VALUE"""),"TempleNCAA")</f>
        <v>TempleNCAA</v>
      </c>
      <c r="B332" s="3">
        <f ca="1">IFERROR(__xludf.DUMMYFUNCTION("""COMPUTED_VALUE"""),33)</f>
        <v>33</v>
      </c>
      <c r="C332" s="3">
        <f ca="1">IFERROR(__xludf.DUMMYFUNCTION("""COMPUTED_VALUE"""),23)</f>
        <v>23</v>
      </c>
      <c r="D332" s="3">
        <f ca="1">IFERROR(__xludf.DUMMYFUNCTION("""COMPUTED_VALUE"""),10)</f>
        <v>10</v>
      </c>
      <c r="E332" s="3">
        <f ca="1">IFERROR(__xludf.DUMMYFUNCTION("""COMPUTED_VALUE"""),0.697)</f>
        <v>0.69699999999999995</v>
      </c>
      <c r="F332" s="3">
        <f ca="1">IFERROR(__xludf.DUMMYFUNCTION("""COMPUTED_VALUE"""),8.17)</f>
        <v>8.17</v>
      </c>
      <c r="G332" s="3">
        <f ca="1">IFERROR(__xludf.DUMMYFUNCTION("""COMPUTED_VALUE"""),4.93)</f>
        <v>4.93</v>
      </c>
      <c r="H332" s="3">
        <f ca="1">IFERROR(__xludf.DUMMYFUNCTION("""COMPUTED_VALUE"""),13)</f>
        <v>13</v>
      </c>
      <c r="I332" s="3">
        <f ca="1">IFERROR(__xludf.DUMMYFUNCTION("""COMPUTED_VALUE"""),5)</f>
        <v>5</v>
      </c>
      <c r="J332" s="3">
        <f ca="1">IFERROR(__xludf.DUMMYFUNCTION("""COMPUTED_VALUE"""),13)</f>
        <v>13</v>
      </c>
      <c r="K332" s="3">
        <f ca="1">IFERROR(__xludf.DUMMYFUNCTION("""COMPUTED_VALUE"""),2)</f>
        <v>2</v>
      </c>
      <c r="L332" s="3">
        <f ca="1">IFERROR(__xludf.DUMMYFUNCTION("""COMPUTED_VALUE"""),8)</f>
        <v>8</v>
      </c>
      <c r="M332" s="3">
        <f ca="1">IFERROR(__xludf.DUMMYFUNCTION("""COMPUTED_VALUE"""),5)</f>
        <v>5</v>
      </c>
      <c r="N332" s="3">
        <f ca="1">IFERROR(__xludf.DUMMYFUNCTION("""COMPUTED_VALUE"""),2465)</f>
        <v>2465</v>
      </c>
      <c r="O332" s="3">
        <f ca="1">IFERROR(__xludf.DUMMYFUNCTION("""COMPUTED_VALUE"""),2358)</f>
        <v>2358</v>
      </c>
      <c r="P332" s="3">
        <f ca="1">IFERROR(__xludf.DUMMYFUNCTION("""COMPUTED_VALUE"""),1340)</f>
        <v>1340</v>
      </c>
      <c r="Q332" s="3">
        <f ca="1">IFERROR(__xludf.DUMMYFUNCTION("""COMPUTED_VALUE"""),873)</f>
        <v>873</v>
      </c>
      <c r="R332" s="3">
        <f ca="1">IFERROR(__xludf.DUMMYFUNCTION("""COMPUTED_VALUE"""),1998)</f>
        <v>1998</v>
      </c>
      <c r="S332" s="3">
        <f ca="1">IFERROR(__xludf.DUMMYFUNCTION("""COMPUTED_VALUE"""),0.437)</f>
        <v>0.437</v>
      </c>
      <c r="T332" s="3">
        <f ca="1">IFERROR(__xludf.DUMMYFUNCTION("""COMPUTED_VALUE"""),247)</f>
        <v>247</v>
      </c>
      <c r="U332" s="3">
        <f ca="1">IFERROR(__xludf.DUMMYFUNCTION("""COMPUTED_VALUE"""),748)</f>
        <v>748</v>
      </c>
      <c r="V332" s="3">
        <f ca="1">IFERROR(__xludf.DUMMYFUNCTION("""COMPUTED_VALUE"""),0.33)</f>
        <v>0.33</v>
      </c>
      <c r="W332" s="3">
        <f ca="1">IFERROR(__xludf.DUMMYFUNCTION("""COMPUTED_VALUE"""),472)</f>
        <v>472</v>
      </c>
      <c r="X332" s="3">
        <f ca="1">IFERROR(__xludf.DUMMYFUNCTION("""COMPUTED_VALUE"""),649)</f>
        <v>649</v>
      </c>
      <c r="Y332" s="3">
        <f ca="1">IFERROR(__xludf.DUMMYFUNCTION("""COMPUTED_VALUE"""),0.727)</f>
        <v>0.72699999999999998</v>
      </c>
      <c r="Z332" s="3">
        <f ca="1">IFERROR(__xludf.DUMMYFUNCTION("""COMPUTED_VALUE"""),316)</f>
        <v>316</v>
      </c>
      <c r="AA332" s="3">
        <f ca="1">IFERROR(__xludf.DUMMYFUNCTION("""COMPUTED_VALUE"""),1136)</f>
        <v>1136</v>
      </c>
      <c r="AB332" s="3">
        <f ca="1">IFERROR(__xludf.DUMMYFUNCTION("""COMPUTED_VALUE"""),476)</f>
        <v>476</v>
      </c>
      <c r="AC332" s="3">
        <f ca="1">IFERROR(__xludf.DUMMYFUNCTION("""COMPUTED_VALUE"""),284)</f>
        <v>284</v>
      </c>
      <c r="AD332" s="3">
        <f ca="1">IFERROR(__xludf.DUMMYFUNCTION("""COMPUTED_VALUE"""),73)</f>
        <v>73</v>
      </c>
      <c r="AE332" s="3">
        <f ca="1">IFERROR(__xludf.DUMMYFUNCTION("""COMPUTED_VALUE"""),368)</f>
        <v>368</v>
      </c>
      <c r="AF332" s="3">
        <f ca="1">IFERROR(__xludf.DUMMYFUNCTION("""COMPUTED_VALUE"""),581)</f>
        <v>581</v>
      </c>
    </row>
    <row r="333" spans="1:32" x14ac:dyDescent="0.25">
      <c r="A333" s="3" t="str">
        <f ca="1">IFERROR(__xludf.DUMMYFUNCTION("""COMPUTED_VALUE"""),"Tennessee-Martin")</f>
        <v>Tennessee-Martin</v>
      </c>
      <c r="B333" s="3">
        <f ca="1">IFERROR(__xludf.DUMMYFUNCTION("""COMPUTED_VALUE"""),31)</f>
        <v>31</v>
      </c>
      <c r="C333" s="3">
        <f ca="1">IFERROR(__xludf.DUMMYFUNCTION("""COMPUTED_VALUE"""),12)</f>
        <v>12</v>
      </c>
      <c r="D333" s="3">
        <f ca="1">IFERROR(__xludf.DUMMYFUNCTION("""COMPUTED_VALUE"""),19)</f>
        <v>19</v>
      </c>
      <c r="E333" s="3">
        <f ca="1">IFERROR(__xludf.DUMMYFUNCTION("""COMPUTED_VALUE"""),0.387)</f>
        <v>0.38700000000000001</v>
      </c>
      <c r="F333" s="3">
        <f ca="1">IFERROR(__xludf.DUMMYFUNCTION("""COMPUTED_VALUE"""),-10.94)</f>
        <v>-10.94</v>
      </c>
      <c r="G333" s="3">
        <f ca="1">IFERROR(__xludf.DUMMYFUNCTION("""COMPUTED_VALUE"""),-4.32)</f>
        <v>-4.32</v>
      </c>
      <c r="H333" s="3">
        <f ca="1">IFERROR(__xludf.DUMMYFUNCTION("""COMPUTED_VALUE"""),6)</f>
        <v>6</v>
      </c>
      <c r="I333" s="3">
        <f ca="1">IFERROR(__xludf.DUMMYFUNCTION("""COMPUTED_VALUE"""),12)</f>
        <v>12</v>
      </c>
      <c r="J333" s="3">
        <f ca="1">IFERROR(__xludf.DUMMYFUNCTION("""COMPUTED_VALUE"""),10)</f>
        <v>10</v>
      </c>
      <c r="K333" s="3">
        <f ca="1">IFERROR(__xludf.DUMMYFUNCTION("""COMPUTED_VALUE"""),4)</f>
        <v>4</v>
      </c>
      <c r="L333" s="3">
        <f ca="1">IFERROR(__xludf.DUMMYFUNCTION("""COMPUTED_VALUE"""),1)</f>
        <v>1</v>
      </c>
      <c r="M333" s="3">
        <f ca="1">IFERROR(__xludf.DUMMYFUNCTION("""COMPUTED_VALUE"""),14)</f>
        <v>14</v>
      </c>
      <c r="N333" s="3">
        <f ca="1">IFERROR(__xludf.DUMMYFUNCTION("""COMPUTED_VALUE"""),2356)</f>
        <v>2356</v>
      </c>
      <c r="O333" s="3">
        <f ca="1">IFERROR(__xludf.DUMMYFUNCTION("""COMPUTED_VALUE"""),2486)</f>
        <v>2486</v>
      </c>
      <c r="P333" s="3">
        <f ca="1">IFERROR(__xludf.DUMMYFUNCTION("""COMPUTED_VALUE"""),1250)</f>
        <v>1250</v>
      </c>
      <c r="Q333" s="3">
        <f ca="1">IFERROR(__xludf.DUMMYFUNCTION("""COMPUTED_VALUE"""),854)</f>
        <v>854</v>
      </c>
      <c r="R333" s="3">
        <f ca="1">IFERROR(__xludf.DUMMYFUNCTION("""COMPUTED_VALUE"""),1915)</f>
        <v>1915</v>
      </c>
      <c r="S333" s="3">
        <f ca="1">IFERROR(__xludf.DUMMYFUNCTION("""COMPUTED_VALUE"""),0.446)</f>
        <v>0.44600000000000001</v>
      </c>
      <c r="T333" s="3">
        <f ca="1">IFERROR(__xludf.DUMMYFUNCTION("""COMPUTED_VALUE"""),250)</f>
        <v>250</v>
      </c>
      <c r="U333" s="3">
        <f ca="1">IFERROR(__xludf.DUMMYFUNCTION("""COMPUTED_VALUE"""),726)</f>
        <v>726</v>
      </c>
      <c r="V333" s="3">
        <f ca="1">IFERROR(__xludf.DUMMYFUNCTION("""COMPUTED_VALUE"""),0.344)</f>
        <v>0.34399999999999997</v>
      </c>
      <c r="W333" s="3">
        <f ca="1">IFERROR(__xludf.DUMMYFUNCTION("""COMPUTED_VALUE"""),398)</f>
        <v>398</v>
      </c>
      <c r="X333" s="3">
        <f ca="1">IFERROR(__xludf.DUMMYFUNCTION("""COMPUTED_VALUE"""),528)</f>
        <v>528</v>
      </c>
      <c r="Y333" s="3">
        <f ca="1">IFERROR(__xludf.DUMMYFUNCTION("""COMPUTED_VALUE"""),0.754)</f>
        <v>0.754</v>
      </c>
      <c r="Z333" s="3">
        <f ca="1">IFERROR(__xludf.DUMMYFUNCTION("""COMPUTED_VALUE"""),351)</f>
        <v>351</v>
      </c>
      <c r="AA333" s="3">
        <f ca="1">IFERROR(__xludf.DUMMYFUNCTION("""COMPUTED_VALUE"""),1062)</f>
        <v>1062</v>
      </c>
      <c r="AB333" s="3">
        <f ca="1">IFERROR(__xludf.DUMMYFUNCTION("""COMPUTED_VALUE"""),441)</f>
        <v>441</v>
      </c>
      <c r="AC333" s="3">
        <f ca="1">IFERROR(__xludf.DUMMYFUNCTION("""COMPUTED_VALUE"""),223)</f>
        <v>223</v>
      </c>
      <c r="AD333" s="3">
        <f ca="1">IFERROR(__xludf.DUMMYFUNCTION("""COMPUTED_VALUE"""),88)</f>
        <v>88</v>
      </c>
      <c r="AE333" s="3">
        <f ca="1">IFERROR(__xludf.DUMMYFUNCTION("""COMPUTED_VALUE"""),418)</f>
        <v>418</v>
      </c>
      <c r="AF333" s="3">
        <f ca="1">IFERROR(__xludf.DUMMYFUNCTION("""COMPUTED_VALUE"""),490)</f>
        <v>490</v>
      </c>
    </row>
    <row r="334" spans="1:32" x14ac:dyDescent="0.25">
      <c r="A334" s="3" t="str">
        <f ca="1">IFERROR(__xludf.DUMMYFUNCTION("""COMPUTED_VALUE"""),"Tennessee State")</f>
        <v>Tennessee State</v>
      </c>
      <c r="B334" s="3">
        <f ca="1">IFERROR(__xludf.DUMMYFUNCTION("""COMPUTED_VALUE"""),30)</f>
        <v>30</v>
      </c>
      <c r="C334" s="3">
        <f ca="1">IFERROR(__xludf.DUMMYFUNCTION("""COMPUTED_VALUE"""),9)</f>
        <v>9</v>
      </c>
      <c r="D334" s="3">
        <f ca="1">IFERROR(__xludf.DUMMYFUNCTION("""COMPUTED_VALUE"""),21)</f>
        <v>21</v>
      </c>
      <c r="E334" s="3">
        <f ca="1">IFERROR(__xludf.DUMMYFUNCTION("""COMPUTED_VALUE"""),0.3)</f>
        <v>0.3</v>
      </c>
      <c r="F334" s="3">
        <f ca="1">IFERROR(__xludf.DUMMYFUNCTION("""COMPUTED_VALUE"""),-11.62)</f>
        <v>-11.62</v>
      </c>
      <c r="G334" s="3">
        <f ca="1">IFERROR(__xludf.DUMMYFUNCTION("""COMPUTED_VALUE"""),-3.15)</f>
        <v>-3.15</v>
      </c>
      <c r="H334" s="3">
        <f ca="1">IFERROR(__xludf.DUMMYFUNCTION("""COMPUTED_VALUE"""),6)</f>
        <v>6</v>
      </c>
      <c r="I334" s="3">
        <f ca="1">IFERROR(__xludf.DUMMYFUNCTION("""COMPUTED_VALUE"""),12)</f>
        <v>12</v>
      </c>
      <c r="J334" s="3">
        <f ca="1">IFERROR(__xludf.DUMMYFUNCTION("""COMPUTED_VALUE"""),6)</f>
        <v>6</v>
      </c>
      <c r="K334" s="3">
        <f ca="1">IFERROR(__xludf.DUMMYFUNCTION("""COMPUTED_VALUE"""),7)</f>
        <v>7</v>
      </c>
      <c r="L334" s="3">
        <f ca="1">IFERROR(__xludf.DUMMYFUNCTION("""COMPUTED_VALUE"""),3)</f>
        <v>3</v>
      </c>
      <c r="M334" s="3">
        <f ca="1">IFERROR(__xludf.DUMMYFUNCTION("""COMPUTED_VALUE"""),14)</f>
        <v>14</v>
      </c>
      <c r="N334" s="3">
        <f ca="1">IFERROR(__xludf.DUMMYFUNCTION("""COMPUTED_VALUE"""),2182)</f>
        <v>2182</v>
      </c>
      <c r="O334" s="3">
        <f ca="1">IFERROR(__xludf.DUMMYFUNCTION("""COMPUTED_VALUE"""),2332)</f>
        <v>2332</v>
      </c>
      <c r="P334" s="3">
        <f ca="1">IFERROR(__xludf.DUMMYFUNCTION("""COMPUTED_VALUE"""),1210)</f>
        <v>1210</v>
      </c>
      <c r="Q334" s="3">
        <f ca="1">IFERROR(__xludf.DUMMYFUNCTION("""COMPUTED_VALUE"""),751)</f>
        <v>751</v>
      </c>
      <c r="R334" s="3">
        <f ca="1">IFERROR(__xludf.DUMMYFUNCTION("""COMPUTED_VALUE"""),1739)</f>
        <v>1739</v>
      </c>
      <c r="S334" s="3">
        <f ca="1">IFERROR(__xludf.DUMMYFUNCTION("""COMPUTED_VALUE"""),0.432)</f>
        <v>0.432</v>
      </c>
      <c r="T334" s="3">
        <f ca="1">IFERROR(__xludf.DUMMYFUNCTION("""COMPUTED_VALUE"""),240)</f>
        <v>240</v>
      </c>
      <c r="U334" s="3">
        <f ca="1">IFERROR(__xludf.DUMMYFUNCTION("""COMPUTED_VALUE"""),716)</f>
        <v>716</v>
      </c>
      <c r="V334" s="3">
        <f ca="1">IFERROR(__xludf.DUMMYFUNCTION("""COMPUTED_VALUE"""),0.335)</f>
        <v>0.33500000000000002</v>
      </c>
      <c r="W334" s="3">
        <f ca="1">IFERROR(__xludf.DUMMYFUNCTION("""COMPUTED_VALUE"""),440)</f>
        <v>440</v>
      </c>
      <c r="X334" s="3">
        <f ca="1">IFERROR(__xludf.DUMMYFUNCTION("""COMPUTED_VALUE"""),628)</f>
        <v>628</v>
      </c>
      <c r="Y334" s="3">
        <f ca="1">IFERROR(__xludf.DUMMYFUNCTION("""COMPUTED_VALUE"""),0.701)</f>
        <v>0.70099999999999996</v>
      </c>
      <c r="Z334" s="3">
        <f ca="1">IFERROR(__xludf.DUMMYFUNCTION("""COMPUTED_VALUE"""),317)</f>
        <v>317</v>
      </c>
      <c r="AA334" s="3">
        <f ca="1">IFERROR(__xludf.DUMMYFUNCTION("""COMPUTED_VALUE"""),1032)</f>
        <v>1032</v>
      </c>
      <c r="AB334" s="3">
        <f ca="1">IFERROR(__xludf.DUMMYFUNCTION("""COMPUTED_VALUE"""),342)</f>
        <v>342</v>
      </c>
      <c r="AC334" s="3">
        <f ca="1">IFERROR(__xludf.DUMMYFUNCTION("""COMPUTED_VALUE"""),219)</f>
        <v>219</v>
      </c>
      <c r="AD334" s="3">
        <f ca="1">IFERROR(__xludf.DUMMYFUNCTION("""COMPUTED_VALUE"""),78)</f>
        <v>78</v>
      </c>
      <c r="AE334" s="3">
        <f ca="1">IFERROR(__xludf.DUMMYFUNCTION("""COMPUTED_VALUE"""),497)</f>
        <v>497</v>
      </c>
      <c r="AF334" s="3">
        <f ca="1">IFERROR(__xludf.DUMMYFUNCTION("""COMPUTED_VALUE"""),735)</f>
        <v>735</v>
      </c>
    </row>
    <row r="335" spans="1:32" x14ac:dyDescent="0.25">
      <c r="A335" s="3" t="str">
        <f ca="1">IFERROR(__xludf.DUMMYFUNCTION("""COMPUTED_VALUE"""),"Tennessee Tech")</f>
        <v>Tennessee Tech</v>
      </c>
      <c r="B335" s="3">
        <f ca="1">IFERROR(__xludf.DUMMYFUNCTION("""COMPUTED_VALUE"""),31)</f>
        <v>31</v>
      </c>
      <c r="C335" s="3">
        <f ca="1">IFERROR(__xludf.DUMMYFUNCTION("""COMPUTED_VALUE"""),8)</f>
        <v>8</v>
      </c>
      <c r="D335" s="3">
        <f ca="1">IFERROR(__xludf.DUMMYFUNCTION("""COMPUTED_VALUE"""),23)</f>
        <v>23</v>
      </c>
      <c r="E335" s="3">
        <f ca="1">IFERROR(__xludf.DUMMYFUNCTION("""COMPUTED_VALUE"""),0.258)</f>
        <v>0.25800000000000001</v>
      </c>
      <c r="F335" s="3">
        <f ca="1">IFERROR(__xludf.DUMMYFUNCTION("""COMPUTED_VALUE"""),-14.76)</f>
        <v>-14.76</v>
      </c>
      <c r="G335" s="3">
        <f ca="1">IFERROR(__xludf.DUMMYFUNCTION("""COMPUTED_VALUE"""),-3)</f>
        <v>-3</v>
      </c>
      <c r="H335" s="3">
        <f ca="1">IFERROR(__xludf.DUMMYFUNCTION("""COMPUTED_VALUE"""),4)</f>
        <v>4</v>
      </c>
      <c r="I335" s="3">
        <f ca="1">IFERROR(__xludf.DUMMYFUNCTION("""COMPUTED_VALUE"""),14)</f>
        <v>14</v>
      </c>
      <c r="J335" s="3">
        <f ca="1">IFERROR(__xludf.DUMMYFUNCTION("""COMPUTED_VALUE"""),5)</f>
        <v>5</v>
      </c>
      <c r="K335" s="3">
        <f ca="1">IFERROR(__xludf.DUMMYFUNCTION("""COMPUTED_VALUE"""),10)</f>
        <v>10</v>
      </c>
      <c r="L335" s="3">
        <f ca="1">IFERROR(__xludf.DUMMYFUNCTION("""COMPUTED_VALUE"""),3)</f>
        <v>3</v>
      </c>
      <c r="M335" s="3">
        <f ca="1">IFERROR(__xludf.DUMMYFUNCTION("""COMPUTED_VALUE"""),13)</f>
        <v>13</v>
      </c>
      <c r="N335" s="3">
        <f ca="1">IFERROR(__xludf.DUMMYFUNCTION("""COMPUTED_VALUE"""),2104)</f>
        <v>2104</v>
      </c>
      <c r="O335" s="3">
        <f ca="1">IFERROR(__xludf.DUMMYFUNCTION("""COMPUTED_VALUE"""),2350)</f>
        <v>2350</v>
      </c>
      <c r="P335" s="3">
        <f ca="1">IFERROR(__xludf.DUMMYFUNCTION("""COMPUTED_VALUE"""),1250)</f>
        <v>1250</v>
      </c>
      <c r="Q335" s="3">
        <f ca="1">IFERROR(__xludf.DUMMYFUNCTION("""COMPUTED_VALUE"""),742)</f>
        <v>742</v>
      </c>
      <c r="R335" s="3">
        <f ca="1">IFERROR(__xludf.DUMMYFUNCTION("""COMPUTED_VALUE"""),1784)</f>
        <v>1784</v>
      </c>
      <c r="S335" s="3">
        <f ca="1">IFERROR(__xludf.DUMMYFUNCTION("""COMPUTED_VALUE"""),0.416)</f>
        <v>0.41599999999999998</v>
      </c>
      <c r="T335" s="3">
        <f ca="1">IFERROR(__xludf.DUMMYFUNCTION("""COMPUTED_VALUE"""),213)</f>
        <v>213</v>
      </c>
      <c r="U335" s="3">
        <f ca="1">IFERROR(__xludf.DUMMYFUNCTION("""COMPUTED_VALUE"""),620)</f>
        <v>620</v>
      </c>
      <c r="V335" s="3">
        <f ca="1">IFERROR(__xludf.DUMMYFUNCTION("""COMPUTED_VALUE"""),0.344)</f>
        <v>0.34399999999999997</v>
      </c>
      <c r="W335" s="3">
        <f ca="1">IFERROR(__xludf.DUMMYFUNCTION("""COMPUTED_VALUE"""),407)</f>
        <v>407</v>
      </c>
      <c r="X335" s="3">
        <f ca="1">IFERROR(__xludf.DUMMYFUNCTION("""COMPUTED_VALUE"""),645)</f>
        <v>645</v>
      </c>
      <c r="Y335" s="3">
        <f ca="1">IFERROR(__xludf.DUMMYFUNCTION("""COMPUTED_VALUE"""),0.631)</f>
        <v>0.63100000000000001</v>
      </c>
      <c r="Z335" s="3">
        <f ca="1">IFERROR(__xludf.DUMMYFUNCTION("""COMPUTED_VALUE"""),330)</f>
        <v>330</v>
      </c>
      <c r="AA335" s="3">
        <f ca="1">IFERROR(__xludf.DUMMYFUNCTION("""COMPUTED_VALUE"""),1122)</f>
        <v>1122</v>
      </c>
      <c r="AB335" s="3">
        <f ca="1">IFERROR(__xludf.DUMMYFUNCTION("""COMPUTED_VALUE"""),389)</f>
        <v>389</v>
      </c>
      <c r="AC335" s="3">
        <f ca="1">IFERROR(__xludf.DUMMYFUNCTION("""COMPUTED_VALUE"""),226)</f>
        <v>226</v>
      </c>
      <c r="AD335" s="3">
        <f ca="1">IFERROR(__xludf.DUMMYFUNCTION("""COMPUTED_VALUE"""),134)</f>
        <v>134</v>
      </c>
      <c r="AE335" s="3">
        <f ca="1">IFERROR(__xludf.DUMMYFUNCTION("""COMPUTED_VALUE"""),517)</f>
        <v>517</v>
      </c>
      <c r="AF335" s="3">
        <f ca="1">IFERROR(__xludf.DUMMYFUNCTION("""COMPUTED_VALUE"""),554)</f>
        <v>554</v>
      </c>
    </row>
    <row r="336" spans="1:32" x14ac:dyDescent="0.25">
      <c r="A336" s="3" t="str">
        <f ca="1">IFERROR(__xludf.DUMMYFUNCTION("""COMPUTED_VALUE"""),"TennesseeNCAA")</f>
        <v>TennesseeNCAA</v>
      </c>
      <c r="B336" s="3">
        <f ca="1">IFERROR(__xludf.DUMMYFUNCTION("""COMPUTED_VALUE"""),37)</f>
        <v>37</v>
      </c>
      <c r="C336" s="3">
        <f ca="1">IFERROR(__xludf.DUMMYFUNCTION("""COMPUTED_VALUE"""),31)</f>
        <v>31</v>
      </c>
      <c r="D336" s="3">
        <f ca="1">IFERROR(__xludf.DUMMYFUNCTION("""COMPUTED_VALUE"""),6)</f>
        <v>6</v>
      </c>
      <c r="E336" s="3">
        <f ca="1">IFERROR(__xludf.DUMMYFUNCTION("""COMPUTED_VALUE"""),0.838)</f>
        <v>0.83799999999999997</v>
      </c>
      <c r="F336" s="3">
        <f ca="1">IFERROR(__xludf.DUMMYFUNCTION("""COMPUTED_VALUE"""),21.55)</f>
        <v>21.55</v>
      </c>
      <c r="G336" s="3">
        <f ca="1">IFERROR(__xludf.DUMMYFUNCTION("""COMPUTED_VALUE"""),10.16)</f>
        <v>10.16</v>
      </c>
      <c r="H336" s="3">
        <f ca="1">IFERROR(__xludf.DUMMYFUNCTION("""COMPUTED_VALUE"""),15)</f>
        <v>15</v>
      </c>
      <c r="I336" s="3">
        <f ca="1">IFERROR(__xludf.DUMMYFUNCTION("""COMPUTED_VALUE"""),3)</f>
        <v>3</v>
      </c>
      <c r="J336" s="3">
        <f ca="1">IFERROR(__xludf.DUMMYFUNCTION("""COMPUTED_VALUE"""),18)</f>
        <v>18</v>
      </c>
      <c r="K336" s="3">
        <f ca="1">IFERROR(__xludf.DUMMYFUNCTION("""COMPUTED_VALUE"""),0)</f>
        <v>0</v>
      </c>
      <c r="L336" s="3">
        <f ca="1">IFERROR(__xludf.DUMMYFUNCTION("""COMPUTED_VALUE"""),7)</f>
        <v>7</v>
      </c>
      <c r="M336" s="3">
        <f ca="1">IFERROR(__xludf.DUMMYFUNCTION("""COMPUTED_VALUE"""),3)</f>
        <v>3</v>
      </c>
      <c r="N336" s="3">
        <f ca="1">IFERROR(__xludf.DUMMYFUNCTION("""COMPUTED_VALUE"""),3035)</f>
        <v>3035</v>
      </c>
      <c r="O336" s="3">
        <f ca="1">IFERROR(__xludf.DUMMYFUNCTION("""COMPUTED_VALUE"""),2580)</f>
        <v>2580</v>
      </c>
      <c r="P336" s="3">
        <f ca="1">IFERROR(__xludf.DUMMYFUNCTION("""COMPUTED_VALUE"""),1505)</f>
        <v>1505</v>
      </c>
      <c r="Q336" s="3">
        <f ca="1">IFERROR(__xludf.DUMMYFUNCTION("""COMPUTED_VALUE"""),1106)</f>
        <v>1106</v>
      </c>
      <c r="R336" s="3">
        <f ca="1">IFERROR(__xludf.DUMMYFUNCTION("""COMPUTED_VALUE"""),2231)</f>
        <v>2231</v>
      </c>
      <c r="S336" s="3">
        <f ca="1">IFERROR(__xludf.DUMMYFUNCTION("""COMPUTED_VALUE"""),0.496)</f>
        <v>0.496</v>
      </c>
      <c r="T336" s="3">
        <f ca="1">IFERROR(__xludf.DUMMYFUNCTION("""COMPUTED_VALUE"""),262)</f>
        <v>262</v>
      </c>
      <c r="U336" s="3">
        <f ca="1">IFERROR(__xludf.DUMMYFUNCTION("""COMPUTED_VALUE"""),714)</f>
        <v>714</v>
      </c>
      <c r="V336" s="3">
        <f ca="1">IFERROR(__xludf.DUMMYFUNCTION("""COMPUTED_VALUE"""),0.367)</f>
        <v>0.36699999999999999</v>
      </c>
      <c r="W336" s="3">
        <f ca="1">IFERROR(__xludf.DUMMYFUNCTION("""COMPUTED_VALUE"""),561)</f>
        <v>561</v>
      </c>
      <c r="X336" s="3">
        <f ca="1">IFERROR(__xludf.DUMMYFUNCTION("""COMPUTED_VALUE"""),744)</f>
        <v>744</v>
      </c>
      <c r="Y336" s="3">
        <f ca="1">IFERROR(__xludf.DUMMYFUNCTION("""COMPUTED_VALUE"""),0.754)</f>
        <v>0.754</v>
      </c>
      <c r="Z336" s="3">
        <f ca="1">IFERROR(__xludf.DUMMYFUNCTION("""COMPUTED_VALUE"""),379)</f>
        <v>379</v>
      </c>
      <c r="AA336" s="3">
        <f ca="1">IFERROR(__xludf.DUMMYFUNCTION("""COMPUTED_VALUE"""),1391)</f>
        <v>1391</v>
      </c>
      <c r="AB336" s="3">
        <f ca="1">IFERROR(__xludf.DUMMYFUNCTION("""COMPUTED_VALUE"""),660)</f>
        <v>660</v>
      </c>
      <c r="AC336" s="3">
        <f ca="1">IFERROR(__xludf.DUMMYFUNCTION("""COMPUTED_VALUE"""),221)</f>
        <v>221</v>
      </c>
      <c r="AD336" s="3">
        <f ca="1">IFERROR(__xludf.DUMMYFUNCTION("""COMPUTED_VALUE"""),199)</f>
        <v>199</v>
      </c>
      <c r="AE336" s="3">
        <f ca="1">IFERROR(__xludf.DUMMYFUNCTION("""COMPUTED_VALUE"""),412)</f>
        <v>412</v>
      </c>
      <c r="AF336" s="3">
        <f ca="1">IFERROR(__xludf.DUMMYFUNCTION("""COMPUTED_VALUE"""),654)</f>
        <v>654</v>
      </c>
    </row>
    <row r="337" spans="1:32" x14ac:dyDescent="0.25">
      <c r="A337" s="3" t="str">
        <f ca="1">IFERROR(__xludf.DUMMYFUNCTION("""COMPUTED_VALUE"""),"Texas A&amp;M-Corpus Christi")</f>
        <v>Texas A&amp;M-Corpus Christi</v>
      </c>
      <c r="B337" s="3">
        <f ca="1">IFERROR(__xludf.DUMMYFUNCTION("""COMPUTED_VALUE"""),32)</f>
        <v>32</v>
      </c>
      <c r="C337" s="3">
        <f ca="1">IFERROR(__xludf.DUMMYFUNCTION("""COMPUTED_VALUE"""),14)</f>
        <v>14</v>
      </c>
      <c r="D337" s="3">
        <f ca="1">IFERROR(__xludf.DUMMYFUNCTION("""COMPUTED_VALUE"""),18)</f>
        <v>18</v>
      </c>
      <c r="E337" s="3">
        <f ca="1">IFERROR(__xludf.DUMMYFUNCTION("""COMPUTED_VALUE"""),0.438)</f>
        <v>0.438</v>
      </c>
      <c r="F337" s="3">
        <f ca="1">IFERROR(__xludf.DUMMYFUNCTION("""COMPUTED_VALUE"""),-9.11)</f>
        <v>-9.11</v>
      </c>
      <c r="G337" s="3">
        <f ca="1">IFERROR(__xludf.DUMMYFUNCTION("""COMPUTED_VALUE"""),-5.68)</f>
        <v>-5.68</v>
      </c>
      <c r="H337" s="3">
        <f ca="1">IFERROR(__xludf.DUMMYFUNCTION("""COMPUTED_VALUE"""),9)</f>
        <v>9</v>
      </c>
      <c r="I337" s="3">
        <f ca="1">IFERROR(__xludf.DUMMYFUNCTION("""COMPUTED_VALUE"""),9)</f>
        <v>9</v>
      </c>
      <c r="J337" s="3">
        <f ca="1">IFERROR(__xludf.DUMMYFUNCTION("""COMPUTED_VALUE"""),9)</f>
        <v>9</v>
      </c>
      <c r="K337" s="3">
        <f ca="1">IFERROR(__xludf.DUMMYFUNCTION("""COMPUTED_VALUE"""),7)</f>
        <v>7</v>
      </c>
      <c r="L337" s="3">
        <f ca="1">IFERROR(__xludf.DUMMYFUNCTION("""COMPUTED_VALUE"""),5)</f>
        <v>5</v>
      </c>
      <c r="M337" s="3">
        <f ca="1">IFERROR(__xludf.DUMMYFUNCTION("""COMPUTED_VALUE"""),9)</f>
        <v>9</v>
      </c>
      <c r="N337" s="3">
        <f ca="1">IFERROR(__xludf.DUMMYFUNCTION("""COMPUTED_VALUE"""),2126)</f>
        <v>2126</v>
      </c>
      <c r="O337" s="3">
        <f ca="1">IFERROR(__xludf.DUMMYFUNCTION("""COMPUTED_VALUE"""),2124)</f>
        <v>2124</v>
      </c>
      <c r="P337" s="3">
        <f ca="1">IFERROR(__xludf.DUMMYFUNCTION("""COMPUTED_VALUE"""),1290)</f>
        <v>1290</v>
      </c>
      <c r="Q337" s="3">
        <f ca="1">IFERROR(__xludf.DUMMYFUNCTION("""COMPUTED_VALUE"""),774)</f>
        <v>774</v>
      </c>
      <c r="R337" s="3">
        <f ca="1">IFERROR(__xludf.DUMMYFUNCTION("""COMPUTED_VALUE"""),1803)</f>
        <v>1803</v>
      </c>
      <c r="S337" s="3">
        <f ca="1">IFERROR(__xludf.DUMMYFUNCTION("""COMPUTED_VALUE"""),0.429)</f>
        <v>0.42899999999999999</v>
      </c>
      <c r="T337" s="3">
        <f ca="1">IFERROR(__xludf.DUMMYFUNCTION("""COMPUTED_VALUE"""),202)</f>
        <v>202</v>
      </c>
      <c r="U337" s="3">
        <f ca="1">IFERROR(__xludf.DUMMYFUNCTION("""COMPUTED_VALUE"""),621)</f>
        <v>621</v>
      </c>
      <c r="V337" s="3">
        <f ca="1">IFERROR(__xludf.DUMMYFUNCTION("""COMPUTED_VALUE"""),0.325)</f>
        <v>0.32500000000000001</v>
      </c>
      <c r="W337" s="3">
        <f ca="1">IFERROR(__xludf.DUMMYFUNCTION("""COMPUTED_VALUE"""),376)</f>
        <v>376</v>
      </c>
      <c r="X337" s="3">
        <f ca="1">IFERROR(__xludf.DUMMYFUNCTION("""COMPUTED_VALUE"""),541)</f>
        <v>541</v>
      </c>
      <c r="Y337" s="3">
        <f ca="1">IFERROR(__xludf.DUMMYFUNCTION("""COMPUTED_VALUE"""),0.695)</f>
        <v>0.69499999999999995</v>
      </c>
      <c r="Z337" s="3">
        <f ca="1">IFERROR(__xludf.DUMMYFUNCTION("""COMPUTED_VALUE"""),349)</f>
        <v>349</v>
      </c>
      <c r="AA337" s="3">
        <f ca="1">IFERROR(__xludf.DUMMYFUNCTION("""COMPUTED_VALUE"""),1158)</f>
        <v>1158</v>
      </c>
      <c r="AB337" s="3">
        <f ca="1">IFERROR(__xludf.DUMMYFUNCTION("""COMPUTED_VALUE"""),423)</f>
        <v>423</v>
      </c>
      <c r="AC337" s="3">
        <f ca="1">IFERROR(__xludf.DUMMYFUNCTION("""COMPUTED_VALUE"""),197)</f>
        <v>197</v>
      </c>
      <c r="AD337" s="3">
        <f ca="1">IFERROR(__xludf.DUMMYFUNCTION("""COMPUTED_VALUE"""),90)</f>
        <v>90</v>
      </c>
      <c r="AE337" s="3">
        <f ca="1">IFERROR(__xludf.DUMMYFUNCTION("""COMPUTED_VALUE"""),456)</f>
        <v>456</v>
      </c>
      <c r="AF337" s="3">
        <f ca="1">IFERROR(__xludf.DUMMYFUNCTION("""COMPUTED_VALUE"""),610)</f>
        <v>610</v>
      </c>
    </row>
    <row r="338" spans="1:32" x14ac:dyDescent="0.25">
      <c r="A338" s="3" t="str">
        <f ca="1">IFERROR(__xludf.DUMMYFUNCTION("""COMPUTED_VALUE"""),"Texas A&amp;M")</f>
        <v>Texas A&amp;M</v>
      </c>
      <c r="B338" s="3">
        <f ca="1">IFERROR(__xludf.DUMMYFUNCTION("""COMPUTED_VALUE"""),32)</f>
        <v>32</v>
      </c>
      <c r="C338" s="3">
        <f ca="1">IFERROR(__xludf.DUMMYFUNCTION("""COMPUTED_VALUE"""),14)</f>
        <v>14</v>
      </c>
      <c r="D338" s="3">
        <f ca="1">IFERROR(__xludf.DUMMYFUNCTION("""COMPUTED_VALUE"""),18)</f>
        <v>18</v>
      </c>
      <c r="E338" s="3">
        <f ca="1">IFERROR(__xludf.DUMMYFUNCTION("""COMPUTED_VALUE"""),0.438)</f>
        <v>0.438</v>
      </c>
      <c r="F338" s="3">
        <f ca="1">IFERROR(__xludf.DUMMYFUNCTION("""COMPUTED_VALUE"""),7.21)</f>
        <v>7.21</v>
      </c>
      <c r="G338" s="3">
        <f ca="1">IFERROR(__xludf.DUMMYFUNCTION("""COMPUTED_VALUE"""),8.59)</f>
        <v>8.59</v>
      </c>
      <c r="H338" s="3">
        <f ca="1">IFERROR(__xludf.DUMMYFUNCTION("""COMPUTED_VALUE"""),6)</f>
        <v>6</v>
      </c>
      <c r="I338" s="3">
        <f ca="1">IFERROR(__xludf.DUMMYFUNCTION("""COMPUTED_VALUE"""),12)</f>
        <v>12</v>
      </c>
      <c r="J338" s="3">
        <f ca="1">IFERROR(__xludf.DUMMYFUNCTION("""COMPUTED_VALUE"""),9)</f>
        <v>9</v>
      </c>
      <c r="K338" s="3">
        <f ca="1">IFERROR(__xludf.DUMMYFUNCTION("""COMPUTED_VALUE"""),8)</f>
        <v>8</v>
      </c>
      <c r="L338" s="3">
        <f ca="1">IFERROR(__xludf.DUMMYFUNCTION("""COMPUTED_VALUE"""),3)</f>
        <v>3</v>
      </c>
      <c r="M338" s="3">
        <f ca="1">IFERROR(__xludf.DUMMYFUNCTION("""COMPUTED_VALUE"""),7)</f>
        <v>7</v>
      </c>
      <c r="N338" s="3">
        <f ca="1">IFERROR(__xludf.DUMMYFUNCTION("""COMPUTED_VALUE"""),2253)</f>
        <v>2253</v>
      </c>
      <c r="O338" s="3">
        <f ca="1">IFERROR(__xludf.DUMMYFUNCTION("""COMPUTED_VALUE"""),2297)</f>
        <v>2297</v>
      </c>
      <c r="P338" s="3">
        <f ca="1">IFERROR(__xludf.DUMMYFUNCTION("""COMPUTED_VALUE"""),1280)</f>
        <v>1280</v>
      </c>
      <c r="Q338" s="3">
        <f ca="1">IFERROR(__xludf.DUMMYFUNCTION("""COMPUTED_VALUE"""),806)</f>
        <v>806</v>
      </c>
      <c r="R338" s="3">
        <f ca="1">IFERROR(__xludf.DUMMYFUNCTION("""COMPUTED_VALUE"""),1842)</f>
        <v>1842</v>
      </c>
      <c r="S338" s="3">
        <f ca="1">IFERROR(__xludf.DUMMYFUNCTION("""COMPUTED_VALUE"""),0.438)</f>
        <v>0.438</v>
      </c>
      <c r="T338" s="3">
        <f ca="1">IFERROR(__xludf.DUMMYFUNCTION("""COMPUTED_VALUE"""),204)</f>
        <v>204</v>
      </c>
      <c r="U338" s="3">
        <f ca="1">IFERROR(__xludf.DUMMYFUNCTION("""COMPUTED_VALUE"""),663)</f>
        <v>663</v>
      </c>
      <c r="V338" s="3">
        <f ca="1">IFERROR(__xludf.DUMMYFUNCTION("""COMPUTED_VALUE"""),0.308)</f>
        <v>0.308</v>
      </c>
      <c r="W338" s="3">
        <f ca="1">IFERROR(__xludf.DUMMYFUNCTION("""COMPUTED_VALUE"""),437)</f>
        <v>437</v>
      </c>
      <c r="X338" s="3">
        <f ca="1">IFERROR(__xludf.DUMMYFUNCTION("""COMPUTED_VALUE"""),631)</f>
        <v>631</v>
      </c>
      <c r="Y338" s="3">
        <f ca="1">IFERROR(__xludf.DUMMYFUNCTION("""COMPUTED_VALUE"""),0.693)</f>
        <v>0.69299999999999995</v>
      </c>
      <c r="Z338" s="3">
        <f ca="1">IFERROR(__xludf.DUMMYFUNCTION("""COMPUTED_VALUE"""),372)</f>
        <v>372</v>
      </c>
      <c r="AA338" s="3">
        <f ca="1">IFERROR(__xludf.DUMMYFUNCTION("""COMPUTED_VALUE"""),1195)</f>
        <v>1195</v>
      </c>
      <c r="AB338" s="3">
        <f ca="1">IFERROR(__xludf.DUMMYFUNCTION("""COMPUTED_VALUE"""),376)</f>
        <v>376</v>
      </c>
      <c r="AC338" s="3">
        <f ca="1">IFERROR(__xludf.DUMMYFUNCTION("""COMPUTED_VALUE"""),215)</f>
        <v>215</v>
      </c>
      <c r="AD338" s="3">
        <f ca="1">IFERROR(__xludf.DUMMYFUNCTION("""COMPUTED_VALUE"""),142)</f>
        <v>142</v>
      </c>
      <c r="AE338" s="3">
        <f ca="1">IFERROR(__xludf.DUMMYFUNCTION("""COMPUTED_VALUE"""),444)</f>
        <v>444</v>
      </c>
      <c r="AF338" s="3">
        <f ca="1">IFERROR(__xludf.DUMMYFUNCTION("""COMPUTED_VALUE"""),521)</f>
        <v>521</v>
      </c>
    </row>
    <row r="339" spans="1:32" x14ac:dyDescent="0.25">
      <c r="A339" s="3" t="str">
        <f ca="1">IFERROR(__xludf.DUMMYFUNCTION("""COMPUTED_VALUE"""),"Texas-Arlington")</f>
        <v>Texas-Arlington</v>
      </c>
      <c r="B339" s="3">
        <f ca="1">IFERROR(__xludf.DUMMYFUNCTION("""COMPUTED_VALUE"""),33)</f>
        <v>33</v>
      </c>
      <c r="C339" s="3">
        <f ca="1">IFERROR(__xludf.DUMMYFUNCTION("""COMPUTED_VALUE"""),17)</f>
        <v>17</v>
      </c>
      <c r="D339" s="3">
        <f ca="1">IFERROR(__xludf.DUMMYFUNCTION("""COMPUTED_VALUE"""),16)</f>
        <v>16</v>
      </c>
      <c r="E339" s="3">
        <f ca="1">IFERROR(__xludf.DUMMYFUNCTION("""COMPUTED_VALUE"""),0.515)</f>
        <v>0.51500000000000001</v>
      </c>
      <c r="F339" s="3">
        <f ca="1">IFERROR(__xludf.DUMMYFUNCTION("""COMPUTED_VALUE"""),-0.5)</f>
        <v>-0.5</v>
      </c>
      <c r="G339" s="3">
        <f ca="1">IFERROR(__xludf.DUMMYFUNCTION("""COMPUTED_VALUE"""),0.84)</f>
        <v>0.84</v>
      </c>
      <c r="H339" s="3">
        <f ca="1">IFERROR(__xludf.DUMMYFUNCTION("""COMPUTED_VALUE"""),12)</f>
        <v>12</v>
      </c>
      <c r="I339" s="3">
        <f ca="1">IFERROR(__xludf.DUMMYFUNCTION("""COMPUTED_VALUE"""),6)</f>
        <v>6</v>
      </c>
      <c r="J339" s="3">
        <f ca="1">IFERROR(__xludf.DUMMYFUNCTION("""COMPUTED_VALUE"""),9)</f>
        <v>9</v>
      </c>
      <c r="K339" s="3">
        <f ca="1">IFERROR(__xludf.DUMMYFUNCTION("""COMPUTED_VALUE"""),5)</f>
        <v>5</v>
      </c>
      <c r="L339" s="3">
        <f ca="1">IFERROR(__xludf.DUMMYFUNCTION("""COMPUTED_VALUE"""),7)</f>
        <v>7</v>
      </c>
      <c r="M339" s="3">
        <f ca="1">IFERROR(__xludf.DUMMYFUNCTION("""COMPUTED_VALUE"""),10)</f>
        <v>10</v>
      </c>
      <c r="N339" s="3">
        <f ca="1">IFERROR(__xludf.DUMMYFUNCTION("""COMPUTED_VALUE"""),2284)</f>
        <v>2284</v>
      </c>
      <c r="O339" s="3">
        <f ca="1">IFERROR(__xludf.DUMMYFUNCTION("""COMPUTED_VALUE"""),2303)</f>
        <v>2303</v>
      </c>
      <c r="P339" s="3">
        <f ca="1">IFERROR(__xludf.DUMMYFUNCTION("""COMPUTED_VALUE"""),1345)</f>
        <v>1345</v>
      </c>
      <c r="Q339" s="3">
        <f ca="1">IFERROR(__xludf.DUMMYFUNCTION("""COMPUTED_VALUE"""),781)</f>
        <v>781</v>
      </c>
      <c r="R339" s="3">
        <f ca="1">IFERROR(__xludf.DUMMYFUNCTION("""COMPUTED_VALUE"""),1908)</f>
        <v>1908</v>
      </c>
      <c r="S339" s="3">
        <f ca="1">IFERROR(__xludf.DUMMYFUNCTION("""COMPUTED_VALUE"""),0.409)</f>
        <v>0.40899999999999997</v>
      </c>
      <c r="T339" s="3">
        <f ca="1">IFERROR(__xludf.DUMMYFUNCTION("""COMPUTED_VALUE"""),234)</f>
        <v>234</v>
      </c>
      <c r="U339" s="3">
        <f ca="1">IFERROR(__xludf.DUMMYFUNCTION("""COMPUTED_VALUE"""),773)</f>
        <v>773</v>
      </c>
      <c r="V339" s="3">
        <f ca="1">IFERROR(__xludf.DUMMYFUNCTION("""COMPUTED_VALUE"""),0.303)</f>
        <v>0.30299999999999999</v>
      </c>
      <c r="W339" s="3">
        <f ca="1">IFERROR(__xludf.DUMMYFUNCTION("""COMPUTED_VALUE"""),488)</f>
        <v>488</v>
      </c>
      <c r="X339" s="3">
        <f ca="1">IFERROR(__xludf.DUMMYFUNCTION("""COMPUTED_VALUE"""),659)</f>
        <v>659</v>
      </c>
      <c r="Y339" s="3">
        <f ca="1">IFERROR(__xludf.DUMMYFUNCTION("""COMPUTED_VALUE"""),0.741)</f>
        <v>0.74099999999999999</v>
      </c>
      <c r="Z339" s="3">
        <f ca="1">IFERROR(__xludf.DUMMYFUNCTION("""COMPUTED_VALUE"""),372)</f>
        <v>372</v>
      </c>
      <c r="AA339" s="3">
        <f ca="1">IFERROR(__xludf.DUMMYFUNCTION("""COMPUTED_VALUE"""),1235)</f>
        <v>1235</v>
      </c>
      <c r="AB339" s="3">
        <f ca="1">IFERROR(__xludf.DUMMYFUNCTION("""COMPUTED_VALUE"""),421)</f>
        <v>421</v>
      </c>
      <c r="AC339" s="3">
        <f ca="1">IFERROR(__xludf.DUMMYFUNCTION("""COMPUTED_VALUE"""),211)</f>
        <v>211</v>
      </c>
      <c r="AD339" s="3">
        <f ca="1">IFERROR(__xludf.DUMMYFUNCTION("""COMPUTED_VALUE"""),97)</f>
        <v>97</v>
      </c>
      <c r="AE339" s="3">
        <f ca="1">IFERROR(__xludf.DUMMYFUNCTION("""COMPUTED_VALUE"""),467)</f>
        <v>467</v>
      </c>
      <c r="AF339" s="3">
        <f ca="1">IFERROR(__xludf.DUMMYFUNCTION("""COMPUTED_VALUE"""),630)</f>
        <v>630</v>
      </c>
    </row>
    <row r="340" spans="1:32" x14ac:dyDescent="0.25">
      <c r="A340" s="3" t="str">
        <f ca="1">IFERROR(__xludf.DUMMYFUNCTION("""COMPUTED_VALUE"""),"Texas Christian")</f>
        <v>Texas Christian</v>
      </c>
      <c r="B340" s="3">
        <f ca="1">IFERROR(__xludf.DUMMYFUNCTION("""COMPUTED_VALUE"""),37)</f>
        <v>37</v>
      </c>
      <c r="C340" s="3">
        <f ca="1">IFERROR(__xludf.DUMMYFUNCTION("""COMPUTED_VALUE"""),23)</f>
        <v>23</v>
      </c>
      <c r="D340" s="3">
        <f ca="1">IFERROR(__xludf.DUMMYFUNCTION("""COMPUTED_VALUE"""),14)</f>
        <v>14</v>
      </c>
      <c r="E340" s="3">
        <f ca="1">IFERROR(__xludf.DUMMYFUNCTION("""COMPUTED_VALUE"""),0.622)</f>
        <v>0.622</v>
      </c>
      <c r="F340" s="3">
        <f ca="1">IFERROR(__xludf.DUMMYFUNCTION("""COMPUTED_VALUE"""),13.81)</f>
        <v>13.81</v>
      </c>
      <c r="G340" s="3">
        <f ca="1">IFERROR(__xludf.DUMMYFUNCTION("""COMPUTED_VALUE"""),9.6)</f>
        <v>9.6</v>
      </c>
      <c r="H340" s="3">
        <f ca="1">IFERROR(__xludf.DUMMYFUNCTION("""COMPUTED_VALUE"""),7)</f>
        <v>7</v>
      </c>
      <c r="I340" s="3">
        <f ca="1">IFERROR(__xludf.DUMMYFUNCTION("""COMPUTED_VALUE"""),11)</f>
        <v>11</v>
      </c>
      <c r="J340" s="3">
        <f ca="1">IFERROR(__xludf.DUMMYFUNCTION("""COMPUTED_VALUE"""),15)</f>
        <v>15</v>
      </c>
      <c r="K340" s="3">
        <f ca="1">IFERROR(__xludf.DUMMYFUNCTION("""COMPUTED_VALUE"""),5)</f>
        <v>5</v>
      </c>
      <c r="L340" s="3">
        <f ca="1">IFERROR(__xludf.DUMMYFUNCTION("""COMPUTED_VALUE"""),3)</f>
        <v>3</v>
      </c>
      <c r="M340" s="3">
        <f ca="1">IFERROR(__xludf.DUMMYFUNCTION("""COMPUTED_VALUE"""),7)</f>
        <v>7</v>
      </c>
      <c r="N340" s="3">
        <f ca="1">IFERROR(__xludf.DUMMYFUNCTION("""COMPUTED_VALUE"""),2730)</f>
        <v>2730</v>
      </c>
      <c r="O340" s="3">
        <f ca="1">IFERROR(__xludf.DUMMYFUNCTION("""COMPUTED_VALUE"""),2574)</f>
        <v>2574</v>
      </c>
      <c r="P340" s="3">
        <f ca="1">IFERROR(__xludf.DUMMYFUNCTION("""COMPUTED_VALUE"""),1500)</f>
        <v>1500</v>
      </c>
      <c r="Q340" s="3">
        <f ca="1">IFERROR(__xludf.DUMMYFUNCTION("""COMPUTED_VALUE"""),990)</f>
        <v>990</v>
      </c>
      <c r="R340" s="3">
        <f ca="1">IFERROR(__xludf.DUMMYFUNCTION("""COMPUTED_VALUE"""),2168)</f>
        <v>2168</v>
      </c>
      <c r="S340" s="3">
        <f ca="1">IFERROR(__xludf.DUMMYFUNCTION("""COMPUTED_VALUE"""),0.457)</f>
        <v>0.45700000000000002</v>
      </c>
      <c r="T340" s="3">
        <f ca="1">IFERROR(__xludf.DUMMYFUNCTION("""COMPUTED_VALUE"""),281)</f>
        <v>281</v>
      </c>
      <c r="U340" s="3">
        <f ca="1">IFERROR(__xludf.DUMMYFUNCTION("""COMPUTED_VALUE"""),813)</f>
        <v>813</v>
      </c>
      <c r="V340" s="3">
        <f ca="1">IFERROR(__xludf.DUMMYFUNCTION("""COMPUTED_VALUE"""),0.346)</f>
        <v>0.34599999999999997</v>
      </c>
      <c r="W340" s="3">
        <f ca="1">IFERROR(__xludf.DUMMYFUNCTION("""COMPUTED_VALUE"""),469)</f>
        <v>469</v>
      </c>
      <c r="X340" s="3">
        <f ca="1">IFERROR(__xludf.DUMMYFUNCTION("""COMPUTED_VALUE"""),688)</f>
        <v>688</v>
      </c>
      <c r="Y340" s="3">
        <f ca="1">IFERROR(__xludf.DUMMYFUNCTION("""COMPUTED_VALUE"""),0.682)</f>
        <v>0.68200000000000005</v>
      </c>
      <c r="Z340" s="3">
        <f ca="1">IFERROR(__xludf.DUMMYFUNCTION("""COMPUTED_VALUE"""),395)</f>
        <v>395</v>
      </c>
      <c r="AA340" s="3">
        <f ca="1">IFERROR(__xludf.DUMMYFUNCTION("""COMPUTED_VALUE"""),1347)</f>
        <v>1347</v>
      </c>
      <c r="AB340" s="3">
        <f ca="1">IFERROR(__xludf.DUMMYFUNCTION("""COMPUTED_VALUE"""),598)</f>
        <v>598</v>
      </c>
      <c r="AC340" s="3">
        <f ca="1">IFERROR(__xludf.DUMMYFUNCTION("""COMPUTED_VALUE"""),255)</f>
        <v>255</v>
      </c>
      <c r="AD340" s="3">
        <f ca="1">IFERROR(__xludf.DUMMYFUNCTION("""COMPUTED_VALUE"""),162)</f>
        <v>162</v>
      </c>
      <c r="AE340" s="3">
        <f ca="1">IFERROR(__xludf.DUMMYFUNCTION("""COMPUTED_VALUE"""),499)</f>
        <v>499</v>
      </c>
      <c r="AF340" s="3">
        <f ca="1">IFERROR(__xludf.DUMMYFUNCTION("""COMPUTED_VALUE"""),586)</f>
        <v>586</v>
      </c>
    </row>
    <row r="341" spans="1:32" x14ac:dyDescent="0.25">
      <c r="A341" s="3" t="str">
        <f ca="1">IFERROR(__xludf.DUMMYFUNCTION("""COMPUTED_VALUE"""),"Texas-El Paso")</f>
        <v>Texas-El Paso</v>
      </c>
      <c r="B341" s="3">
        <f ca="1">IFERROR(__xludf.DUMMYFUNCTION("""COMPUTED_VALUE"""),29)</f>
        <v>29</v>
      </c>
      <c r="C341" s="3">
        <f ca="1">IFERROR(__xludf.DUMMYFUNCTION("""COMPUTED_VALUE"""),8)</f>
        <v>8</v>
      </c>
      <c r="D341" s="3">
        <f ca="1">IFERROR(__xludf.DUMMYFUNCTION("""COMPUTED_VALUE"""),21)</f>
        <v>21</v>
      </c>
      <c r="E341" s="3">
        <f ca="1">IFERROR(__xludf.DUMMYFUNCTION("""COMPUTED_VALUE"""),0.276)</f>
        <v>0.27600000000000002</v>
      </c>
      <c r="F341" s="3">
        <f ca="1">IFERROR(__xludf.DUMMYFUNCTION("""COMPUTED_VALUE"""),-8.23)</f>
        <v>-8.23</v>
      </c>
      <c r="G341" s="3">
        <f ca="1">IFERROR(__xludf.DUMMYFUNCTION("""COMPUTED_VALUE"""),-1.71)</f>
        <v>-1.71</v>
      </c>
      <c r="H341" s="3">
        <f ca="1">IFERROR(__xludf.DUMMYFUNCTION("""COMPUTED_VALUE"""),3)</f>
        <v>3</v>
      </c>
      <c r="I341" s="3">
        <f ca="1">IFERROR(__xludf.DUMMYFUNCTION("""COMPUTED_VALUE"""),15)</f>
        <v>15</v>
      </c>
      <c r="J341" s="3">
        <f ca="1">IFERROR(__xludf.DUMMYFUNCTION("""COMPUTED_VALUE"""),8)</f>
        <v>8</v>
      </c>
      <c r="K341" s="3">
        <f ca="1">IFERROR(__xludf.DUMMYFUNCTION("""COMPUTED_VALUE"""),8)</f>
        <v>8</v>
      </c>
      <c r="L341" s="3">
        <f ca="1">IFERROR(__xludf.DUMMYFUNCTION("""COMPUTED_VALUE"""),0)</f>
        <v>0</v>
      </c>
      <c r="M341" s="3">
        <f ca="1">IFERROR(__xludf.DUMMYFUNCTION("""COMPUTED_VALUE"""),13)</f>
        <v>13</v>
      </c>
      <c r="N341" s="3">
        <f ca="1">IFERROR(__xludf.DUMMYFUNCTION("""COMPUTED_VALUE"""),1859)</f>
        <v>1859</v>
      </c>
      <c r="O341" s="3">
        <f ca="1">IFERROR(__xludf.DUMMYFUNCTION("""COMPUTED_VALUE"""),2001)</f>
        <v>2001</v>
      </c>
      <c r="P341" s="3">
        <f ca="1">IFERROR(__xludf.DUMMYFUNCTION("""COMPUTED_VALUE"""),1170)</f>
        <v>1170</v>
      </c>
      <c r="Q341" s="3">
        <f ca="1">IFERROR(__xludf.DUMMYFUNCTION("""COMPUTED_VALUE"""),639)</f>
        <v>639</v>
      </c>
      <c r="R341" s="3">
        <f ca="1">IFERROR(__xludf.DUMMYFUNCTION("""COMPUTED_VALUE"""),1592)</f>
        <v>1592</v>
      </c>
      <c r="S341" s="3">
        <f ca="1">IFERROR(__xludf.DUMMYFUNCTION("""COMPUTED_VALUE"""),0.401)</f>
        <v>0.40100000000000002</v>
      </c>
      <c r="T341" s="3">
        <f ca="1">IFERROR(__xludf.DUMMYFUNCTION("""COMPUTED_VALUE"""),199)</f>
        <v>199</v>
      </c>
      <c r="U341" s="3">
        <f ca="1">IFERROR(__xludf.DUMMYFUNCTION("""COMPUTED_VALUE"""),620)</f>
        <v>620</v>
      </c>
      <c r="V341" s="3">
        <f ca="1">IFERROR(__xludf.DUMMYFUNCTION("""COMPUTED_VALUE"""),0.321)</f>
        <v>0.32100000000000001</v>
      </c>
      <c r="W341" s="3">
        <f ca="1">IFERROR(__xludf.DUMMYFUNCTION("""COMPUTED_VALUE"""),382)</f>
        <v>382</v>
      </c>
      <c r="X341" s="3">
        <f ca="1">IFERROR(__xludf.DUMMYFUNCTION("""COMPUTED_VALUE"""),578)</f>
        <v>578</v>
      </c>
      <c r="Y341" s="3">
        <f ca="1">IFERROR(__xludf.DUMMYFUNCTION("""COMPUTED_VALUE"""),0.661)</f>
        <v>0.66100000000000003</v>
      </c>
      <c r="Z341" s="3">
        <f ca="1">IFERROR(__xludf.DUMMYFUNCTION("""COMPUTED_VALUE"""),285)</f>
        <v>285</v>
      </c>
      <c r="AA341" s="3">
        <f ca="1">IFERROR(__xludf.DUMMYFUNCTION("""COMPUTED_VALUE"""),1070)</f>
        <v>1070</v>
      </c>
      <c r="AB341" s="3">
        <f ca="1">IFERROR(__xludf.DUMMYFUNCTION("""COMPUTED_VALUE"""),307)</f>
        <v>307</v>
      </c>
      <c r="AC341" s="3">
        <f ca="1">IFERROR(__xludf.DUMMYFUNCTION("""COMPUTED_VALUE"""),135)</f>
        <v>135</v>
      </c>
      <c r="AD341" s="3">
        <f ca="1">IFERROR(__xludf.DUMMYFUNCTION("""COMPUTED_VALUE"""),84)</f>
        <v>84</v>
      </c>
      <c r="AE341" s="3">
        <f ca="1">IFERROR(__xludf.DUMMYFUNCTION("""COMPUTED_VALUE"""),466)</f>
        <v>466</v>
      </c>
      <c r="AF341" s="3">
        <f ca="1">IFERROR(__xludf.DUMMYFUNCTION("""COMPUTED_VALUE"""),551)</f>
        <v>551</v>
      </c>
    </row>
    <row r="342" spans="1:32" x14ac:dyDescent="0.25">
      <c r="A342" s="3" t="str">
        <f ca="1">IFERROR(__xludf.DUMMYFUNCTION("""COMPUTED_VALUE"""),"Texas-Rio Grande Valley")</f>
        <v>Texas-Rio Grande Valley</v>
      </c>
      <c r="B342" s="3">
        <f ca="1">IFERROR(__xludf.DUMMYFUNCTION("""COMPUTED_VALUE"""),37)</f>
        <v>37</v>
      </c>
      <c r="C342" s="3">
        <f ca="1">IFERROR(__xludf.DUMMYFUNCTION("""COMPUTED_VALUE"""),20)</f>
        <v>20</v>
      </c>
      <c r="D342" s="3">
        <f ca="1">IFERROR(__xludf.DUMMYFUNCTION("""COMPUTED_VALUE"""),17)</f>
        <v>17</v>
      </c>
      <c r="E342" s="3">
        <f ca="1">IFERROR(__xludf.DUMMYFUNCTION("""COMPUTED_VALUE"""),0.541)</f>
        <v>0.54100000000000004</v>
      </c>
      <c r="F342" s="3">
        <f ca="1">IFERROR(__xludf.DUMMYFUNCTION("""COMPUTED_VALUE"""),-2.04)</f>
        <v>-2.04</v>
      </c>
      <c r="G342" s="3">
        <f ca="1">IFERROR(__xludf.DUMMYFUNCTION("""COMPUTED_VALUE"""),-1.61)</f>
        <v>-1.61</v>
      </c>
      <c r="H342" s="3">
        <f ca="1">IFERROR(__xludf.DUMMYFUNCTION("""COMPUTED_VALUE"""),9)</f>
        <v>9</v>
      </c>
      <c r="I342" s="3">
        <f ca="1">IFERROR(__xludf.DUMMYFUNCTION("""COMPUTED_VALUE"""),7)</f>
        <v>7</v>
      </c>
      <c r="J342" s="3">
        <f ca="1">IFERROR(__xludf.DUMMYFUNCTION("""COMPUTED_VALUE"""),11)</f>
        <v>11</v>
      </c>
      <c r="K342" s="3">
        <f ca="1">IFERROR(__xludf.DUMMYFUNCTION("""COMPUTED_VALUE"""),9)</f>
        <v>9</v>
      </c>
      <c r="L342" s="3">
        <f ca="1">IFERROR(__xludf.DUMMYFUNCTION("""COMPUTED_VALUE"""),8)</f>
        <v>8</v>
      </c>
      <c r="M342" s="3">
        <f ca="1">IFERROR(__xludf.DUMMYFUNCTION("""COMPUTED_VALUE"""),7)</f>
        <v>7</v>
      </c>
      <c r="N342" s="3">
        <f ca="1">IFERROR(__xludf.DUMMYFUNCTION("""COMPUTED_VALUE"""),2634)</f>
        <v>2634</v>
      </c>
      <c r="O342" s="3">
        <f ca="1">IFERROR(__xludf.DUMMYFUNCTION("""COMPUTED_VALUE"""),2623)</f>
        <v>2623</v>
      </c>
      <c r="P342" s="3">
        <f ca="1">IFERROR(__xludf.DUMMYFUNCTION("""COMPUTED_VALUE"""),1490)</f>
        <v>1490</v>
      </c>
      <c r="Q342" s="3">
        <f ca="1">IFERROR(__xludf.DUMMYFUNCTION("""COMPUTED_VALUE"""),895)</f>
        <v>895</v>
      </c>
      <c r="R342" s="3">
        <f ca="1">IFERROR(__xludf.DUMMYFUNCTION("""COMPUTED_VALUE"""),2139)</f>
        <v>2139</v>
      </c>
      <c r="S342" s="3">
        <f ca="1">IFERROR(__xludf.DUMMYFUNCTION("""COMPUTED_VALUE"""),0.418)</f>
        <v>0.41799999999999998</v>
      </c>
      <c r="T342" s="3">
        <f ca="1">IFERROR(__xludf.DUMMYFUNCTION("""COMPUTED_VALUE"""),203)</f>
        <v>203</v>
      </c>
      <c r="U342" s="3">
        <f ca="1">IFERROR(__xludf.DUMMYFUNCTION("""COMPUTED_VALUE"""),636)</f>
        <v>636</v>
      </c>
      <c r="V342" s="3">
        <f ca="1">IFERROR(__xludf.DUMMYFUNCTION("""COMPUTED_VALUE"""),0.319)</f>
        <v>0.31900000000000001</v>
      </c>
      <c r="W342" s="3">
        <f ca="1">IFERROR(__xludf.DUMMYFUNCTION("""COMPUTED_VALUE"""),641)</f>
        <v>641</v>
      </c>
      <c r="X342" s="3">
        <f ca="1">IFERROR(__xludf.DUMMYFUNCTION("""COMPUTED_VALUE"""),923)</f>
        <v>923</v>
      </c>
      <c r="Y342" s="3">
        <f ca="1">IFERROR(__xludf.DUMMYFUNCTION("""COMPUTED_VALUE"""),0.694)</f>
        <v>0.69399999999999995</v>
      </c>
      <c r="Z342" s="3">
        <f ca="1">IFERROR(__xludf.DUMMYFUNCTION("""COMPUTED_VALUE"""),358)</f>
        <v>358</v>
      </c>
      <c r="AA342" s="3">
        <f ca="1">IFERROR(__xludf.DUMMYFUNCTION("""COMPUTED_VALUE"""),1215)</f>
        <v>1215</v>
      </c>
      <c r="AB342" s="3">
        <f ca="1">IFERROR(__xludf.DUMMYFUNCTION("""COMPUTED_VALUE"""),503)</f>
        <v>503</v>
      </c>
      <c r="AC342" s="3">
        <f ca="1">IFERROR(__xludf.DUMMYFUNCTION("""COMPUTED_VALUE"""),345)</f>
        <v>345</v>
      </c>
      <c r="AD342" s="3">
        <f ca="1">IFERROR(__xludf.DUMMYFUNCTION("""COMPUTED_VALUE"""),105)</f>
        <v>105</v>
      </c>
      <c r="AE342" s="3">
        <f ca="1">IFERROR(__xludf.DUMMYFUNCTION("""COMPUTED_VALUE"""),471)</f>
        <v>471</v>
      </c>
      <c r="AF342" s="3">
        <f ca="1">IFERROR(__xludf.DUMMYFUNCTION("""COMPUTED_VALUE"""),763)</f>
        <v>763</v>
      </c>
    </row>
    <row r="343" spans="1:32" x14ac:dyDescent="0.25">
      <c r="A343" s="3" t="str">
        <f ca="1">IFERROR(__xludf.DUMMYFUNCTION("""COMPUTED_VALUE"""),"Texas-San Antonio")</f>
        <v>Texas-San Antonio</v>
      </c>
      <c r="B343" s="3">
        <f ca="1">IFERROR(__xludf.DUMMYFUNCTION("""COMPUTED_VALUE"""),32)</f>
        <v>32</v>
      </c>
      <c r="C343" s="3">
        <f ca="1">IFERROR(__xludf.DUMMYFUNCTION("""COMPUTED_VALUE"""),17)</f>
        <v>17</v>
      </c>
      <c r="D343" s="3">
        <f ca="1">IFERROR(__xludf.DUMMYFUNCTION("""COMPUTED_VALUE"""),15)</f>
        <v>15</v>
      </c>
      <c r="E343" s="3">
        <f ca="1">IFERROR(__xludf.DUMMYFUNCTION("""COMPUTED_VALUE"""),0.531)</f>
        <v>0.53100000000000003</v>
      </c>
      <c r="F343" s="3">
        <f ca="1">IFERROR(__xludf.DUMMYFUNCTION("""COMPUTED_VALUE"""),0.69)</f>
        <v>0.69</v>
      </c>
      <c r="G343" s="3">
        <f ca="1">IFERROR(__xludf.DUMMYFUNCTION("""COMPUTED_VALUE"""),0.05)</f>
        <v>0.05</v>
      </c>
      <c r="H343" s="3">
        <f ca="1">IFERROR(__xludf.DUMMYFUNCTION("""COMPUTED_VALUE"""),11)</f>
        <v>11</v>
      </c>
      <c r="I343" s="3">
        <f ca="1">IFERROR(__xludf.DUMMYFUNCTION("""COMPUTED_VALUE"""),7)</f>
        <v>7</v>
      </c>
      <c r="J343" s="3">
        <f ca="1">IFERROR(__xludf.DUMMYFUNCTION("""COMPUTED_VALUE"""),11)</f>
        <v>11</v>
      </c>
      <c r="K343" s="3">
        <f ca="1">IFERROR(__xludf.DUMMYFUNCTION("""COMPUTED_VALUE"""),4)</f>
        <v>4</v>
      </c>
      <c r="L343" s="3">
        <f ca="1">IFERROR(__xludf.DUMMYFUNCTION("""COMPUTED_VALUE"""),5)</f>
        <v>5</v>
      </c>
      <c r="M343" s="3">
        <f ca="1">IFERROR(__xludf.DUMMYFUNCTION("""COMPUTED_VALUE"""),7)</f>
        <v>7</v>
      </c>
      <c r="N343" s="3">
        <f ca="1">IFERROR(__xludf.DUMMYFUNCTION("""COMPUTED_VALUE"""),2481)</f>
        <v>2481</v>
      </c>
      <c r="O343" s="3">
        <f ca="1">IFERROR(__xludf.DUMMYFUNCTION("""COMPUTED_VALUE"""),2407)</f>
        <v>2407</v>
      </c>
      <c r="P343" s="3">
        <f ca="1">IFERROR(__xludf.DUMMYFUNCTION("""COMPUTED_VALUE"""),1295)</f>
        <v>1295</v>
      </c>
      <c r="Q343" s="3">
        <f ca="1">IFERROR(__xludf.DUMMYFUNCTION("""COMPUTED_VALUE"""),896)</f>
        <v>896</v>
      </c>
      <c r="R343" s="3">
        <f ca="1">IFERROR(__xludf.DUMMYFUNCTION("""COMPUTED_VALUE"""),2068)</f>
        <v>2068</v>
      </c>
      <c r="S343" s="3">
        <f ca="1">IFERROR(__xludf.DUMMYFUNCTION("""COMPUTED_VALUE"""),0.433)</f>
        <v>0.433</v>
      </c>
      <c r="T343" s="3">
        <f ca="1">IFERROR(__xludf.DUMMYFUNCTION("""COMPUTED_VALUE"""),294)</f>
        <v>294</v>
      </c>
      <c r="U343" s="3">
        <f ca="1">IFERROR(__xludf.DUMMYFUNCTION("""COMPUTED_VALUE"""),855)</f>
        <v>855</v>
      </c>
      <c r="V343" s="3">
        <f ca="1">IFERROR(__xludf.DUMMYFUNCTION("""COMPUTED_VALUE"""),0.344)</f>
        <v>0.34399999999999997</v>
      </c>
      <c r="W343" s="3">
        <f ca="1">IFERROR(__xludf.DUMMYFUNCTION("""COMPUTED_VALUE"""),395)</f>
        <v>395</v>
      </c>
      <c r="X343" s="3">
        <f ca="1">IFERROR(__xludf.DUMMYFUNCTION("""COMPUTED_VALUE"""),536)</f>
        <v>536</v>
      </c>
      <c r="Y343" s="3">
        <f ca="1">IFERROR(__xludf.DUMMYFUNCTION("""COMPUTED_VALUE"""),0.737)</f>
        <v>0.73699999999999999</v>
      </c>
      <c r="Z343" s="3">
        <f ca="1">IFERROR(__xludf.DUMMYFUNCTION("""COMPUTED_VALUE"""),323)</f>
        <v>323</v>
      </c>
      <c r="AA343" s="3">
        <f ca="1">IFERROR(__xludf.DUMMYFUNCTION("""COMPUTED_VALUE"""),1216)</f>
        <v>1216</v>
      </c>
      <c r="AB343" s="3">
        <f ca="1">IFERROR(__xludf.DUMMYFUNCTION("""COMPUTED_VALUE"""),420)</f>
        <v>420</v>
      </c>
      <c r="AC343" s="3">
        <f ca="1">IFERROR(__xludf.DUMMYFUNCTION("""COMPUTED_VALUE"""),213)</f>
        <v>213</v>
      </c>
      <c r="AD343" s="3">
        <f ca="1">IFERROR(__xludf.DUMMYFUNCTION("""COMPUTED_VALUE"""),82)</f>
        <v>82</v>
      </c>
      <c r="AE343" s="3">
        <f ca="1">IFERROR(__xludf.DUMMYFUNCTION("""COMPUTED_VALUE"""),402)</f>
        <v>402</v>
      </c>
      <c r="AF343" s="3">
        <f ca="1">IFERROR(__xludf.DUMMYFUNCTION("""COMPUTED_VALUE"""),581)</f>
        <v>581</v>
      </c>
    </row>
    <row r="344" spans="1:32" x14ac:dyDescent="0.25">
      <c r="A344" s="3" t="str">
        <f ca="1">IFERROR(__xludf.DUMMYFUNCTION("""COMPUTED_VALUE"""),"Texas Southern")</f>
        <v>Texas Southern</v>
      </c>
      <c r="B344" s="3">
        <f ca="1">IFERROR(__xludf.DUMMYFUNCTION("""COMPUTED_VALUE"""),38)</f>
        <v>38</v>
      </c>
      <c r="C344" s="3">
        <f ca="1">IFERROR(__xludf.DUMMYFUNCTION("""COMPUTED_VALUE"""),24)</f>
        <v>24</v>
      </c>
      <c r="D344" s="3">
        <f ca="1">IFERROR(__xludf.DUMMYFUNCTION("""COMPUTED_VALUE"""),14)</f>
        <v>14</v>
      </c>
      <c r="E344" s="3">
        <f ca="1">IFERROR(__xludf.DUMMYFUNCTION("""COMPUTED_VALUE"""),0.632)</f>
        <v>0.63200000000000001</v>
      </c>
      <c r="F344" s="3">
        <f ca="1">IFERROR(__xludf.DUMMYFUNCTION("""COMPUTED_VALUE"""),-5.55)</f>
        <v>-5.55</v>
      </c>
      <c r="G344" s="3">
        <f ca="1">IFERROR(__xludf.DUMMYFUNCTION("""COMPUTED_VALUE"""),-6.99)</f>
        <v>-6.99</v>
      </c>
      <c r="H344" s="3">
        <f ca="1">IFERROR(__xludf.DUMMYFUNCTION("""COMPUTED_VALUE"""),14)</f>
        <v>14</v>
      </c>
      <c r="I344" s="3">
        <f ca="1">IFERROR(__xludf.DUMMYFUNCTION("""COMPUTED_VALUE"""),4)</f>
        <v>4</v>
      </c>
      <c r="J344" s="3">
        <f ca="1">IFERROR(__xludf.DUMMYFUNCTION("""COMPUTED_VALUE"""),10)</f>
        <v>10</v>
      </c>
      <c r="K344" s="3">
        <f ca="1">IFERROR(__xludf.DUMMYFUNCTION("""COMPUTED_VALUE"""),2)</f>
        <v>2</v>
      </c>
      <c r="L344" s="3">
        <f ca="1">IFERROR(__xludf.DUMMYFUNCTION("""COMPUTED_VALUE"""),13)</f>
        <v>13</v>
      </c>
      <c r="M344" s="3">
        <f ca="1">IFERROR(__xludf.DUMMYFUNCTION("""COMPUTED_VALUE"""),11)</f>
        <v>11</v>
      </c>
      <c r="N344" s="3">
        <f ca="1">IFERROR(__xludf.DUMMYFUNCTION("""COMPUTED_VALUE"""),3102)</f>
        <v>3102</v>
      </c>
      <c r="O344" s="3">
        <f ca="1">IFERROR(__xludf.DUMMYFUNCTION("""COMPUTED_VALUE"""),3008)</f>
        <v>3008</v>
      </c>
      <c r="P344" s="3">
        <f ca="1">IFERROR(__xludf.DUMMYFUNCTION("""COMPUTED_VALUE"""),1550)</f>
        <v>1550</v>
      </c>
      <c r="Q344" s="3">
        <f ca="1">IFERROR(__xludf.DUMMYFUNCTION("""COMPUTED_VALUE"""),1083)</f>
        <v>1083</v>
      </c>
      <c r="R344" s="3">
        <f ca="1">IFERROR(__xludf.DUMMYFUNCTION("""COMPUTED_VALUE"""),2379)</f>
        <v>2379</v>
      </c>
      <c r="S344" s="3">
        <f ca="1">IFERROR(__xludf.DUMMYFUNCTION("""COMPUTED_VALUE"""),0.455)</f>
        <v>0.45500000000000002</v>
      </c>
      <c r="T344" s="3">
        <f ca="1">IFERROR(__xludf.DUMMYFUNCTION("""COMPUTED_VALUE"""),276)</f>
        <v>276</v>
      </c>
      <c r="U344" s="3">
        <f ca="1">IFERROR(__xludf.DUMMYFUNCTION("""COMPUTED_VALUE"""),852)</f>
        <v>852</v>
      </c>
      <c r="V344" s="3">
        <f ca="1">IFERROR(__xludf.DUMMYFUNCTION("""COMPUTED_VALUE"""),0.324)</f>
        <v>0.32400000000000001</v>
      </c>
      <c r="W344" s="3">
        <f ca="1">IFERROR(__xludf.DUMMYFUNCTION("""COMPUTED_VALUE"""),660)</f>
        <v>660</v>
      </c>
      <c r="X344" s="3">
        <f ca="1">IFERROR(__xludf.DUMMYFUNCTION("""COMPUTED_VALUE"""),988)</f>
        <v>988</v>
      </c>
      <c r="Y344" s="3">
        <f ca="1">IFERROR(__xludf.DUMMYFUNCTION("""COMPUTED_VALUE"""),0.668)</f>
        <v>0.66800000000000004</v>
      </c>
      <c r="Z344" s="3">
        <f ca="1">IFERROR(__xludf.DUMMYFUNCTION("""COMPUTED_VALUE"""),467)</f>
        <v>467</v>
      </c>
      <c r="AA344" s="3">
        <f ca="1">IFERROR(__xludf.DUMMYFUNCTION("""COMPUTED_VALUE"""),1503)</f>
        <v>1503</v>
      </c>
      <c r="AB344" s="3">
        <f ca="1">IFERROR(__xludf.DUMMYFUNCTION("""COMPUTED_VALUE"""),591)</f>
        <v>591</v>
      </c>
      <c r="AC344" s="3">
        <f ca="1">IFERROR(__xludf.DUMMYFUNCTION("""COMPUTED_VALUE"""),309)</f>
        <v>309</v>
      </c>
      <c r="AD344" s="3">
        <f ca="1">IFERROR(__xludf.DUMMYFUNCTION("""COMPUTED_VALUE"""),114)</f>
        <v>114</v>
      </c>
      <c r="AE344" s="3">
        <f ca="1">IFERROR(__xludf.DUMMYFUNCTION("""COMPUTED_VALUE"""),589)</f>
        <v>589</v>
      </c>
      <c r="AF344" s="3">
        <f ca="1">IFERROR(__xludf.DUMMYFUNCTION("""COMPUTED_VALUE"""),679)</f>
        <v>679</v>
      </c>
    </row>
    <row r="345" spans="1:32" x14ac:dyDescent="0.25">
      <c r="A345" s="3" t="str">
        <f ca="1">IFERROR(__xludf.DUMMYFUNCTION("""COMPUTED_VALUE"""),"Texas State")</f>
        <v>Texas State</v>
      </c>
      <c r="B345" s="3">
        <f ca="1">IFERROR(__xludf.DUMMYFUNCTION("""COMPUTED_VALUE"""),34)</f>
        <v>34</v>
      </c>
      <c r="C345" s="3">
        <f ca="1">IFERROR(__xludf.DUMMYFUNCTION("""COMPUTED_VALUE"""),24)</f>
        <v>24</v>
      </c>
      <c r="D345" s="3">
        <f ca="1">IFERROR(__xludf.DUMMYFUNCTION("""COMPUTED_VALUE"""),10)</f>
        <v>10</v>
      </c>
      <c r="E345" s="3">
        <f ca="1">IFERROR(__xludf.DUMMYFUNCTION("""COMPUTED_VALUE"""),0.706)</f>
        <v>0.70599999999999996</v>
      </c>
      <c r="F345" s="3">
        <f ca="1">IFERROR(__xludf.DUMMYFUNCTION("""COMPUTED_VALUE"""),1.54)</f>
        <v>1.54</v>
      </c>
      <c r="G345" s="3">
        <f ca="1">IFERROR(__xludf.DUMMYFUNCTION("""COMPUTED_VALUE"""),-3)</f>
        <v>-3</v>
      </c>
      <c r="H345" s="3">
        <f ca="1">IFERROR(__xludf.DUMMYFUNCTION("""COMPUTED_VALUE"""),12)</f>
        <v>12</v>
      </c>
      <c r="I345" s="3">
        <f ca="1">IFERROR(__xludf.DUMMYFUNCTION("""COMPUTED_VALUE"""),6)</f>
        <v>6</v>
      </c>
      <c r="J345" s="3">
        <f ca="1">IFERROR(__xludf.DUMMYFUNCTION("""COMPUTED_VALUE"""),11)</f>
        <v>11</v>
      </c>
      <c r="K345" s="3">
        <f ca="1">IFERROR(__xludf.DUMMYFUNCTION("""COMPUTED_VALUE"""),4)</f>
        <v>4</v>
      </c>
      <c r="L345" s="3">
        <f ca="1">IFERROR(__xludf.DUMMYFUNCTION("""COMPUTED_VALUE"""),10)</f>
        <v>10</v>
      </c>
      <c r="M345" s="3">
        <f ca="1">IFERROR(__xludf.DUMMYFUNCTION("""COMPUTED_VALUE"""),5)</f>
        <v>5</v>
      </c>
      <c r="N345" s="3">
        <f ca="1">IFERROR(__xludf.DUMMYFUNCTION("""COMPUTED_VALUE"""),2470)</f>
        <v>2470</v>
      </c>
      <c r="O345" s="3">
        <f ca="1">IFERROR(__xludf.DUMMYFUNCTION("""COMPUTED_VALUE"""),2204)</f>
        <v>2204</v>
      </c>
      <c r="P345" s="3">
        <f ca="1">IFERROR(__xludf.DUMMYFUNCTION("""COMPUTED_VALUE"""),1370)</f>
        <v>1370</v>
      </c>
      <c r="Q345" s="3">
        <f ca="1">IFERROR(__xludf.DUMMYFUNCTION("""COMPUTED_VALUE"""),876)</f>
        <v>876</v>
      </c>
      <c r="R345" s="3">
        <f ca="1">IFERROR(__xludf.DUMMYFUNCTION("""COMPUTED_VALUE"""),1971)</f>
        <v>1971</v>
      </c>
      <c r="S345" s="3">
        <f ca="1">IFERROR(__xludf.DUMMYFUNCTION("""COMPUTED_VALUE"""),0.444)</f>
        <v>0.44400000000000001</v>
      </c>
      <c r="T345" s="3">
        <f ca="1">IFERROR(__xludf.DUMMYFUNCTION("""COMPUTED_VALUE"""),244)</f>
        <v>244</v>
      </c>
      <c r="U345" s="3">
        <f ca="1">IFERROR(__xludf.DUMMYFUNCTION("""COMPUTED_VALUE"""),744)</f>
        <v>744</v>
      </c>
      <c r="V345" s="3">
        <f ca="1">IFERROR(__xludf.DUMMYFUNCTION("""COMPUTED_VALUE"""),0.328)</f>
        <v>0.32800000000000001</v>
      </c>
      <c r="W345" s="3">
        <f ca="1">IFERROR(__xludf.DUMMYFUNCTION("""COMPUTED_VALUE"""),474)</f>
        <v>474</v>
      </c>
      <c r="X345" s="3">
        <f ca="1">IFERROR(__xludf.DUMMYFUNCTION("""COMPUTED_VALUE"""),694)</f>
        <v>694</v>
      </c>
      <c r="Y345" s="3">
        <f ca="1">IFERROR(__xludf.DUMMYFUNCTION("""COMPUTED_VALUE"""),0.683)</f>
        <v>0.68300000000000005</v>
      </c>
      <c r="Z345" s="3">
        <f ca="1">IFERROR(__xludf.DUMMYFUNCTION("""COMPUTED_VALUE"""),409)</f>
        <v>409</v>
      </c>
      <c r="AA345" s="3">
        <f ca="1">IFERROR(__xludf.DUMMYFUNCTION("""COMPUTED_VALUE"""),1291)</f>
        <v>1291</v>
      </c>
      <c r="AB345" s="3">
        <f ca="1">IFERROR(__xludf.DUMMYFUNCTION("""COMPUTED_VALUE"""),493)</f>
        <v>493</v>
      </c>
      <c r="AC345" s="3">
        <f ca="1">IFERROR(__xludf.DUMMYFUNCTION("""COMPUTED_VALUE"""),234)</f>
        <v>234</v>
      </c>
      <c r="AD345" s="3">
        <f ca="1">IFERROR(__xludf.DUMMYFUNCTION("""COMPUTED_VALUE"""),84)</f>
        <v>84</v>
      </c>
      <c r="AE345" s="3">
        <f ca="1">IFERROR(__xludf.DUMMYFUNCTION("""COMPUTED_VALUE"""),455)</f>
        <v>455</v>
      </c>
      <c r="AF345" s="3">
        <f ca="1">IFERROR(__xludf.DUMMYFUNCTION("""COMPUTED_VALUE"""),667)</f>
        <v>667</v>
      </c>
    </row>
    <row r="346" spans="1:32" x14ac:dyDescent="0.25">
      <c r="A346" s="3" t="str">
        <f ca="1">IFERROR(__xludf.DUMMYFUNCTION("""COMPUTED_VALUE"""),"Texas TechNCAA")</f>
        <v>Texas TechNCAA</v>
      </c>
      <c r="B346" s="3">
        <f ca="1">IFERROR(__xludf.DUMMYFUNCTION("""COMPUTED_VALUE"""),38)</f>
        <v>38</v>
      </c>
      <c r="C346" s="3">
        <f ca="1">IFERROR(__xludf.DUMMYFUNCTION("""COMPUTED_VALUE"""),31)</f>
        <v>31</v>
      </c>
      <c r="D346" s="3">
        <f ca="1">IFERROR(__xludf.DUMMYFUNCTION("""COMPUTED_VALUE"""),7)</f>
        <v>7</v>
      </c>
      <c r="E346" s="3">
        <f ca="1">IFERROR(__xludf.DUMMYFUNCTION("""COMPUTED_VALUE"""),0.816)</f>
        <v>0.81599999999999995</v>
      </c>
      <c r="F346" s="3">
        <f ca="1">IFERROR(__xludf.DUMMYFUNCTION("""COMPUTED_VALUE"""),22.79)</f>
        <v>22.79</v>
      </c>
      <c r="G346" s="3">
        <f ca="1">IFERROR(__xludf.DUMMYFUNCTION("""COMPUTED_VALUE"""),9.53)</f>
        <v>9.5299999999999994</v>
      </c>
      <c r="H346" s="3">
        <f ca="1">IFERROR(__xludf.DUMMYFUNCTION("""COMPUTED_VALUE"""),14)</f>
        <v>14</v>
      </c>
      <c r="I346" s="3">
        <f ca="1">IFERROR(__xludf.DUMMYFUNCTION("""COMPUTED_VALUE"""),4)</f>
        <v>4</v>
      </c>
      <c r="J346" s="3">
        <f ca="1">IFERROR(__xludf.DUMMYFUNCTION("""COMPUTED_VALUE"""),17)</f>
        <v>17</v>
      </c>
      <c r="K346" s="3">
        <f ca="1">IFERROR(__xludf.DUMMYFUNCTION("""COMPUTED_VALUE"""),1)</f>
        <v>1</v>
      </c>
      <c r="L346" s="3">
        <f ca="1">IFERROR(__xludf.DUMMYFUNCTION("""COMPUTED_VALUE"""),6)</f>
        <v>6</v>
      </c>
      <c r="M346" s="3">
        <f ca="1">IFERROR(__xludf.DUMMYFUNCTION("""COMPUTED_VALUE"""),3)</f>
        <v>3</v>
      </c>
      <c r="N346" s="3">
        <f ca="1">IFERROR(__xludf.DUMMYFUNCTION("""COMPUTED_VALUE"""),2765)</f>
        <v>2765</v>
      </c>
      <c r="O346" s="3">
        <f ca="1">IFERROR(__xludf.DUMMYFUNCTION("""COMPUTED_VALUE"""),2261)</f>
        <v>2261</v>
      </c>
      <c r="P346" s="3">
        <f ca="1">IFERROR(__xludf.DUMMYFUNCTION("""COMPUTED_VALUE"""),1530)</f>
        <v>1530</v>
      </c>
      <c r="Q346" s="3">
        <f ca="1">IFERROR(__xludf.DUMMYFUNCTION("""COMPUTED_VALUE"""),990)</f>
        <v>990</v>
      </c>
      <c r="R346" s="3">
        <f ca="1">IFERROR(__xludf.DUMMYFUNCTION("""COMPUTED_VALUE"""),2110)</f>
        <v>2110</v>
      </c>
      <c r="S346" s="3">
        <f ca="1">IFERROR(__xludf.DUMMYFUNCTION("""COMPUTED_VALUE"""),0.469)</f>
        <v>0.46899999999999997</v>
      </c>
      <c r="T346" s="3">
        <f ca="1">IFERROR(__xludf.DUMMYFUNCTION("""COMPUTED_VALUE"""),277)</f>
        <v>277</v>
      </c>
      <c r="U346" s="3">
        <f ca="1">IFERROR(__xludf.DUMMYFUNCTION("""COMPUTED_VALUE"""),759)</f>
        <v>759</v>
      </c>
      <c r="V346" s="3">
        <f ca="1">IFERROR(__xludf.DUMMYFUNCTION("""COMPUTED_VALUE"""),0.365)</f>
        <v>0.36499999999999999</v>
      </c>
      <c r="W346" s="3">
        <f ca="1">IFERROR(__xludf.DUMMYFUNCTION("""COMPUTED_VALUE"""),508)</f>
        <v>508</v>
      </c>
      <c r="X346" s="3">
        <f ca="1">IFERROR(__xludf.DUMMYFUNCTION("""COMPUTED_VALUE"""),694)</f>
        <v>694</v>
      </c>
      <c r="Y346" s="3">
        <f ca="1">IFERROR(__xludf.DUMMYFUNCTION("""COMPUTED_VALUE"""),0.732)</f>
        <v>0.73199999999999998</v>
      </c>
      <c r="Z346" s="3">
        <f ca="1">IFERROR(__xludf.DUMMYFUNCTION("""COMPUTED_VALUE"""),315)</f>
        <v>315</v>
      </c>
      <c r="AA346" s="3">
        <f ca="1">IFERROR(__xludf.DUMMYFUNCTION("""COMPUTED_VALUE"""),1297)</f>
        <v>1297</v>
      </c>
      <c r="AB346" s="3">
        <f ca="1">IFERROR(__xludf.DUMMYFUNCTION("""COMPUTED_VALUE"""),518)</f>
        <v>518</v>
      </c>
      <c r="AC346" s="3">
        <f ca="1">IFERROR(__xludf.DUMMYFUNCTION("""COMPUTED_VALUE"""),278)</f>
        <v>278</v>
      </c>
      <c r="AD346" s="3">
        <f ca="1">IFERROR(__xludf.DUMMYFUNCTION("""COMPUTED_VALUE"""),186)</f>
        <v>186</v>
      </c>
      <c r="AE346" s="3">
        <f ca="1">IFERROR(__xludf.DUMMYFUNCTION("""COMPUTED_VALUE"""),457)</f>
        <v>457</v>
      </c>
      <c r="AF346" s="3">
        <f ca="1">IFERROR(__xludf.DUMMYFUNCTION("""COMPUTED_VALUE"""),663)</f>
        <v>663</v>
      </c>
    </row>
    <row r="347" spans="1:32" x14ac:dyDescent="0.25">
      <c r="A347" s="3" t="str">
        <f ca="1">IFERROR(__xludf.DUMMYFUNCTION("""COMPUTED_VALUE"""),"Texas")</f>
        <v>Texas</v>
      </c>
      <c r="B347" s="3">
        <f ca="1">IFERROR(__xludf.DUMMYFUNCTION("""COMPUTED_VALUE"""),37)</f>
        <v>37</v>
      </c>
      <c r="C347" s="3">
        <f ca="1">IFERROR(__xludf.DUMMYFUNCTION("""COMPUTED_VALUE"""),21)</f>
        <v>21</v>
      </c>
      <c r="D347" s="3">
        <f ca="1">IFERROR(__xludf.DUMMYFUNCTION("""COMPUTED_VALUE"""),16)</f>
        <v>16</v>
      </c>
      <c r="E347" s="3">
        <f ca="1">IFERROR(__xludf.DUMMYFUNCTION("""COMPUTED_VALUE"""),0.568)</f>
        <v>0.56799999999999995</v>
      </c>
      <c r="F347" s="3">
        <f ca="1">IFERROR(__xludf.DUMMYFUNCTION("""COMPUTED_VALUE"""),16.06)</f>
        <v>16.059999999999999</v>
      </c>
      <c r="G347" s="3">
        <f ca="1">IFERROR(__xludf.DUMMYFUNCTION("""COMPUTED_VALUE"""),11.46)</f>
        <v>11.46</v>
      </c>
      <c r="H347" s="3">
        <f ca="1">IFERROR(__xludf.DUMMYFUNCTION("""COMPUTED_VALUE"""),8)</f>
        <v>8</v>
      </c>
      <c r="I347" s="3">
        <f ca="1">IFERROR(__xludf.DUMMYFUNCTION("""COMPUTED_VALUE"""),10)</f>
        <v>10</v>
      </c>
      <c r="J347" s="3">
        <f ca="1">IFERROR(__xludf.DUMMYFUNCTION("""COMPUTED_VALUE"""),15)</f>
        <v>15</v>
      </c>
      <c r="K347" s="3">
        <f ca="1">IFERROR(__xludf.DUMMYFUNCTION("""COMPUTED_VALUE"""),6)</f>
        <v>6</v>
      </c>
      <c r="L347" s="3">
        <f ca="1">IFERROR(__xludf.DUMMYFUNCTION("""COMPUTED_VALUE"""),2)</f>
        <v>2</v>
      </c>
      <c r="M347" s="3">
        <f ca="1">IFERROR(__xludf.DUMMYFUNCTION("""COMPUTED_VALUE"""),8)</f>
        <v>8</v>
      </c>
      <c r="N347" s="3">
        <f ca="1">IFERROR(__xludf.DUMMYFUNCTION("""COMPUTED_VALUE"""),2628)</f>
        <v>2628</v>
      </c>
      <c r="O347" s="3">
        <f ca="1">IFERROR(__xludf.DUMMYFUNCTION("""COMPUTED_VALUE"""),2458)</f>
        <v>2458</v>
      </c>
      <c r="P347" s="3">
        <f ca="1">IFERROR(__xludf.DUMMYFUNCTION("""COMPUTED_VALUE"""),1495)</f>
        <v>1495</v>
      </c>
      <c r="Q347" s="3">
        <f ca="1">IFERROR(__xludf.DUMMYFUNCTION("""COMPUTED_VALUE"""),929)</f>
        <v>929</v>
      </c>
      <c r="R347" s="3">
        <f ca="1">IFERROR(__xludf.DUMMYFUNCTION("""COMPUTED_VALUE"""),2146)</f>
        <v>2146</v>
      </c>
      <c r="S347" s="3">
        <f ca="1">IFERROR(__xludf.DUMMYFUNCTION("""COMPUTED_VALUE"""),0.433)</f>
        <v>0.433</v>
      </c>
      <c r="T347" s="3">
        <f ca="1">IFERROR(__xludf.DUMMYFUNCTION("""COMPUTED_VALUE"""),325)</f>
        <v>325</v>
      </c>
      <c r="U347" s="3">
        <f ca="1">IFERROR(__xludf.DUMMYFUNCTION("""COMPUTED_VALUE"""),934)</f>
        <v>934</v>
      </c>
      <c r="V347" s="3">
        <f ca="1">IFERROR(__xludf.DUMMYFUNCTION("""COMPUTED_VALUE"""),0.348)</f>
        <v>0.34799999999999998</v>
      </c>
      <c r="W347" s="3">
        <f ca="1">IFERROR(__xludf.DUMMYFUNCTION("""COMPUTED_VALUE"""),445)</f>
        <v>445</v>
      </c>
      <c r="X347" s="3">
        <f ca="1">IFERROR(__xludf.DUMMYFUNCTION("""COMPUTED_VALUE"""),637)</f>
        <v>637</v>
      </c>
      <c r="Y347" s="3">
        <f ca="1">IFERROR(__xludf.DUMMYFUNCTION("""COMPUTED_VALUE"""),0.699)</f>
        <v>0.69899999999999995</v>
      </c>
      <c r="Z347" s="3">
        <f ca="1">IFERROR(__xludf.DUMMYFUNCTION("""COMPUTED_VALUE"""),358)</f>
        <v>358</v>
      </c>
      <c r="AA347" s="3">
        <f ca="1">IFERROR(__xludf.DUMMYFUNCTION("""COMPUTED_VALUE"""),1264)</f>
        <v>1264</v>
      </c>
      <c r="AB347" s="3">
        <f ca="1">IFERROR(__xludf.DUMMYFUNCTION("""COMPUTED_VALUE"""),486)</f>
        <v>486</v>
      </c>
      <c r="AC347" s="3">
        <f ca="1">IFERROR(__xludf.DUMMYFUNCTION("""COMPUTED_VALUE"""),227)</f>
        <v>227</v>
      </c>
      <c r="AD347" s="3">
        <f ca="1">IFERROR(__xludf.DUMMYFUNCTION("""COMPUTED_VALUE"""),152)</f>
        <v>152</v>
      </c>
      <c r="AE347" s="3">
        <f ca="1">IFERROR(__xludf.DUMMYFUNCTION("""COMPUTED_VALUE"""),401)</f>
        <v>401</v>
      </c>
      <c r="AF347" s="3">
        <f ca="1">IFERROR(__xludf.DUMMYFUNCTION("""COMPUTED_VALUE"""),627)</f>
        <v>627</v>
      </c>
    </row>
    <row r="348" spans="1:32" x14ac:dyDescent="0.25">
      <c r="A348" s="3" t="str">
        <f ca="1">IFERROR(__xludf.DUMMYFUNCTION("""COMPUTED_VALUE"""),"Toledo")</f>
        <v>Toledo</v>
      </c>
      <c r="B348" s="3">
        <f ca="1">IFERROR(__xludf.DUMMYFUNCTION("""COMPUTED_VALUE"""),33)</f>
        <v>33</v>
      </c>
      <c r="C348" s="3">
        <f ca="1">IFERROR(__xludf.DUMMYFUNCTION("""COMPUTED_VALUE"""),25)</f>
        <v>25</v>
      </c>
      <c r="D348" s="3">
        <f ca="1">IFERROR(__xludf.DUMMYFUNCTION("""COMPUTED_VALUE"""),8)</f>
        <v>8</v>
      </c>
      <c r="E348" s="3">
        <f ca="1">IFERROR(__xludf.DUMMYFUNCTION("""COMPUTED_VALUE"""),0.758)</f>
        <v>0.75800000000000001</v>
      </c>
      <c r="F348" s="3">
        <f ca="1">IFERROR(__xludf.DUMMYFUNCTION("""COMPUTED_VALUE"""),8.21)</f>
        <v>8.2100000000000009</v>
      </c>
      <c r="G348" s="3">
        <f ca="1">IFERROR(__xludf.DUMMYFUNCTION("""COMPUTED_VALUE"""),0.71)</f>
        <v>0.71</v>
      </c>
      <c r="H348" s="3">
        <f ca="1">IFERROR(__xludf.DUMMYFUNCTION("""COMPUTED_VALUE"""),13)</f>
        <v>13</v>
      </c>
      <c r="I348" s="3">
        <f ca="1">IFERROR(__xludf.DUMMYFUNCTION("""COMPUTED_VALUE"""),5)</f>
        <v>5</v>
      </c>
      <c r="J348" s="3">
        <f ca="1">IFERROR(__xludf.DUMMYFUNCTION("""COMPUTED_VALUE"""),14)</f>
        <v>14</v>
      </c>
      <c r="K348" s="3">
        <f ca="1">IFERROR(__xludf.DUMMYFUNCTION("""COMPUTED_VALUE"""),2)</f>
        <v>2</v>
      </c>
      <c r="L348" s="3">
        <f ca="1">IFERROR(__xludf.DUMMYFUNCTION("""COMPUTED_VALUE"""),8)</f>
        <v>8</v>
      </c>
      <c r="M348" s="3">
        <f ca="1">IFERROR(__xludf.DUMMYFUNCTION("""COMPUTED_VALUE"""),5)</f>
        <v>5</v>
      </c>
      <c r="N348" s="3">
        <f ca="1">IFERROR(__xludf.DUMMYFUNCTION("""COMPUTED_VALUE"""),2537)</f>
        <v>2537</v>
      </c>
      <c r="O348" s="3">
        <f ca="1">IFERROR(__xludf.DUMMYFUNCTION("""COMPUTED_VALUE"""),2256)</f>
        <v>2256</v>
      </c>
      <c r="P348" s="3">
        <f ca="1">IFERROR(__xludf.DUMMYFUNCTION("""COMPUTED_VALUE"""),1330)</f>
        <v>1330</v>
      </c>
      <c r="Q348" s="3">
        <f ca="1">IFERROR(__xludf.DUMMYFUNCTION("""COMPUTED_VALUE"""),901)</f>
        <v>901</v>
      </c>
      <c r="R348" s="3">
        <f ca="1">IFERROR(__xludf.DUMMYFUNCTION("""COMPUTED_VALUE"""),1990)</f>
        <v>1990</v>
      </c>
      <c r="S348" s="3">
        <f ca="1">IFERROR(__xludf.DUMMYFUNCTION("""COMPUTED_VALUE"""),0.453)</f>
        <v>0.45300000000000001</v>
      </c>
      <c r="T348" s="3">
        <f ca="1">IFERROR(__xludf.DUMMYFUNCTION("""COMPUTED_VALUE"""),325)</f>
        <v>325</v>
      </c>
      <c r="U348" s="3">
        <f ca="1">IFERROR(__xludf.DUMMYFUNCTION("""COMPUTED_VALUE"""),859)</f>
        <v>859</v>
      </c>
      <c r="V348" s="3">
        <f ca="1">IFERROR(__xludf.DUMMYFUNCTION("""COMPUTED_VALUE"""),0.378)</f>
        <v>0.378</v>
      </c>
      <c r="W348" s="3">
        <f ca="1">IFERROR(__xludf.DUMMYFUNCTION("""COMPUTED_VALUE"""),410)</f>
        <v>410</v>
      </c>
      <c r="X348" s="3">
        <f ca="1">IFERROR(__xludf.DUMMYFUNCTION("""COMPUTED_VALUE"""),531)</f>
        <v>531</v>
      </c>
      <c r="Y348" s="3">
        <f ca="1">IFERROR(__xludf.DUMMYFUNCTION("""COMPUTED_VALUE"""),0.772)</f>
        <v>0.77200000000000002</v>
      </c>
      <c r="Z348" s="3">
        <f ca="1">IFERROR(__xludf.DUMMYFUNCTION("""COMPUTED_VALUE"""),327)</f>
        <v>327</v>
      </c>
      <c r="AA348" s="3">
        <f ca="1">IFERROR(__xludf.DUMMYFUNCTION("""COMPUTED_VALUE"""),1281)</f>
        <v>1281</v>
      </c>
      <c r="AB348" s="3">
        <f ca="1">IFERROR(__xludf.DUMMYFUNCTION("""COMPUTED_VALUE"""),538)</f>
        <v>538</v>
      </c>
      <c r="AC348" s="3">
        <f ca="1">IFERROR(__xludf.DUMMYFUNCTION("""COMPUTED_VALUE"""),170)</f>
        <v>170</v>
      </c>
      <c r="AD348" s="3">
        <f ca="1">IFERROR(__xludf.DUMMYFUNCTION("""COMPUTED_VALUE"""),152)</f>
        <v>152</v>
      </c>
      <c r="AE348" s="3">
        <f ca="1">IFERROR(__xludf.DUMMYFUNCTION("""COMPUTED_VALUE"""),402)</f>
        <v>402</v>
      </c>
      <c r="AF348" s="3">
        <f ca="1">IFERROR(__xludf.DUMMYFUNCTION("""COMPUTED_VALUE"""),517)</f>
        <v>517</v>
      </c>
    </row>
    <row r="349" spans="1:32" x14ac:dyDescent="0.25">
      <c r="A349" s="3" t="str">
        <f ca="1">IFERROR(__xludf.DUMMYFUNCTION("""COMPUTED_VALUE"""),"Towson")</f>
        <v>Towson</v>
      </c>
      <c r="B349" s="3">
        <f ca="1">IFERROR(__xludf.DUMMYFUNCTION("""COMPUTED_VALUE"""),32)</f>
        <v>32</v>
      </c>
      <c r="C349" s="3">
        <f ca="1">IFERROR(__xludf.DUMMYFUNCTION("""COMPUTED_VALUE"""),10)</f>
        <v>10</v>
      </c>
      <c r="D349" s="3">
        <f ca="1">IFERROR(__xludf.DUMMYFUNCTION("""COMPUTED_VALUE"""),22)</f>
        <v>22</v>
      </c>
      <c r="E349" s="3">
        <f ca="1">IFERROR(__xludf.DUMMYFUNCTION("""COMPUTED_VALUE"""),0.313)</f>
        <v>0.313</v>
      </c>
      <c r="F349" s="3">
        <f ca="1">IFERROR(__xludf.DUMMYFUNCTION("""COMPUTED_VALUE"""),-8.44)</f>
        <v>-8.44</v>
      </c>
      <c r="G349" s="3">
        <f ca="1">IFERROR(__xludf.DUMMYFUNCTION("""COMPUTED_VALUE"""),-3.57)</f>
        <v>-3.57</v>
      </c>
      <c r="H349" s="3">
        <f ca="1">IFERROR(__xludf.DUMMYFUNCTION("""COMPUTED_VALUE"""),6)</f>
        <v>6</v>
      </c>
      <c r="I349" s="3">
        <f ca="1">IFERROR(__xludf.DUMMYFUNCTION("""COMPUTED_VALUE"""),12)</f>
        <v>12</v>
      </c>
      <c r="J349" s="3">
        <f ca="1">IFERROR(__xludf.DUMMYFUNCTION("""COMPUTED_VALUE"""),5)</f>
        <v>5</v>
      </c>
      <c r="K349" s="3">
        <f ca="1">IFERROR(__xludf.DUMMYFUNCTION("""COMPUTED_VALUE"""),8)</f>
        <v>8</v>
      </c>
      <c r="L349" s="3">
        <f ca="1">IFERROR(__xludf.DUMMYFUNCTION("""COMPUTED_VALUE"""),4)</f>
        <v>4</v>
      </c>
      <c r="M349" s="3">
        <f ca="1">IFERROR(__xludf.DUMMYFUNCTION("""COMPUTED_VALUE"""),8)</f>
        <v>8</v>
      </c>
      <c r="N349" s="3">
        <f ca="1">IFERROR(__xludf.DUMMYFUNCTION("""COMPUTED_VALUE"""),2170)</f>
        <v>2170</v>
      </c>
      <c r="O349" s="3">
        <f ca="1">IFERROR(__xludf.DUMMYFUNCTION("""COMPUTED_VALUE"""),2294)</f>
        <v>2294</v>
      </c>
      <c r="P349" s="3">
        <f ca="1">IFERROR(__xludf.DUMMYFUNCTION("""COMPUTED_VALUE"""),1310)</f>
        <v>1310</v>
      </c>
      <c r="Q349" s="3">
        <f ca="1">IFERROR(__xludf.DUMMYFUNCTION("""COMPUTED_VALUE"""),810)</f>
        <v>810</v>
      </c>
      <c r="R349" s="3">
        <f ca="1">IFERROR(__xludf.DUMMYFUNCTION("""COMPUTED_VALUE"""),1860)</f>
        <v>1860</v>
      </c>
      <c r="S349" s="3">
        <f ca="1">IFERROR(__xludf.DUMMYFUNCTION("""COMPUTED_VALUE"""),0.435)</f>
        <v>0.435</v>
      </c>
      <c r="T349" s="3">
        <f ca="1">IFERROR(__xludf.DUMMYFUNCTION("""COMPUTED_VALUE"""),180)</f>
        <v>180</v>
      </c>
      <c r="U349" s="3">
        <f ca="1">IFERROR(__xludf.DUMMYFUNCTION("""COMPUTED_VALUE"""),550)</f>
        <v>550</v>
      </c>
      <c r="V349" s="3">
        <f ca="1">IFERROR(__xludf.DUMMYFUNCTION("""COMPUTED_VALUE"""),0.327)</f>
        <v>0.32700000000000001</v>
      </c>
      <c r="W349" s="3">
        <f ca="1">IFERROR(__xludf.DUMMYFUNCTION("""COMPUTED_VALUE"""),370)</f>
        <v>370</v>
      </c>
      <c r="X349" s="3">
        <f ca="1">IFERROR(__xludf.DUMMYFUNCTION("""COMPUTED_VALUE"""),532)</f>
        <v>532</v>
      </c>
      <c r="Y349" s="3">
        <f ca="1">IFERROR(__xludf.DUMMYFUNCTION("""COMPUTED_VALUE"""),0.695)</f>
        <v>0.69499999999999995</v>
      </c>
      <c r="Z349" s="3">
        <f ca="1">IFERROR(__xludf.DUMMYFUNCTION("""COMPUTED_VALUE"""),389)</f>
        <v>389</v>
      </c>
      <c r="AA349" s="3">
        <f ca="1">IFERROR(__xludf.DUMMYFUNCTION("""COMPUTED_VALUE"""),1184)</f>
        <v>1184</v>
      </c>
      <c r="AB349" s="3">
        <f ca="1">IFERROR(__xludf.DUMMYFUNCTION("""COMPUTED_VALUE"""),319)</f>
        <v>319</v>
      </c>
      <c r="AC349" s="3">
        <f ca="1">IFERROR(__xludf.DUMMYFUNCTION("""COMPUTED_VALUE"""),154)</f>
        <v>154</v>
      </c>
      <c r="AD349" s="3">
        <f ca="1">IFERROR(__xludf.DUMMYFUNCTION("""COMPUTED_VALUE"""),94)</f>
        <v>94</v>
      </c>
      <c r="AE349" s="3">
        <f ca="1">IFERROR(__xludf.DUMMYFUNCTION("""COMPUTED_VALUE"""),390)</f>
        <v>390</v>
      </c>
      <c r="AF349" s="3">
        <f ca="1">IFERROR(__xludf.DUMMYFUNCTION("""COMPUTED_VALUE"""),561)</f>
        <v>561</v>
      </c>
    </row>
    <row r="350" spans="1:32" x14ac:dyDescent="0.25">
      <c r="A350" s="3" t="str">
        <f ca="1">IFERROR(__xludf.DUMMYFUNCTION("""COMPUTED_VALUE"""),"Troy")</f>
        <v>Troy</v>
      </c>
      <c r="B350" s="3">
        <f ca="1">IFERROR(__xludf.DUMMYFUNCTION("""COMPUTED_VALUE"""),30)</f>
        <v>30</v>
      </c>
      <c r="C350" s="3">
        <f ca="1">IFERROR(__xludf.DUMMYFUNCTION("""COMPUTED_VALUE"""),12)</f>
        <v>12</v>
      </c>
      <c r="D350" s="3">
        <f ca="1">IFERROR(__xludf.DUMMYFUNCTION("""COMPUTED_VALUE"""),18)</f>
        <v>18</v>
      </c>
      <c r="E350" s="3">
        <f ca="1">IFERROR(__xludf.DUMMYFUNCTION("""COMPUTED_VALUE"""),0.4)</f>
        <v>0.4</v>
      </c>
      <c r="F350" s="3">
        <f ca="1">IFERROR(__xludf.DUMMYFUNCTION("""COMPUTED_VALUE"""),-6.12)</f>
        <v>-6.12</v>
      </c>
      <c r="G350" s="3">
        <f ca="1">IFERROR(__xludf.DUMMYFUNCTION("""COMPUTED_VALUE"""),-1.01)</f>
        <v>-1.01</v>
      </c>
      <c r="H350" s="3">
        <f ca="1">IFERROR(__xludf.DUMMYFUNCTION("""COMPUTED_VALUE"""),5)</f>
        <v>5</v>
      </c>
      <c r="I350" s="3">
        <f ca="1">IFERROR(__xludf.DUMMYFUNCTION("""COMPUTED_VALUE"""),13)</f>
        <v>13</v>
      </c>
      <c r="J350" s="3">
        <f ca="1">IFERROR(__xludf.DUMMYFUNCTION("""COMPUTED_VALUE"""),8)</f>
        <v>8</v>
      </c>
      <c r="K350" s="3">
        <f ca="1">IFERROR(__xludf.DUMMYFUNCTION("""COMPUTED_VALUE"""),8)</f>
        <v>8</v>
      </c>
      <c r="L350" s="3">
        <f ca="1">IFERROR(__xludf.DUMMYFUNCTION("""COMPUTED_VALUE"""),4)</f>
        <v>4</v>
      </c>
      <c r="M350" s="3">
        <f ca="1">IFERROR(__xludf.DUMMYFUNCTION("""COMPUTED_VALUE"""),10)</f>
        <v>10</v>
      </c>
      <c r="N350" s="3">
        <f ca="1">IFERROR(__xludf.DUMMYFUNCTION("""COMPUTED_VALUE"""),2179)</f>
        <v>2179</v>
      </c>
      <c r="O350" s="3">
        <f ca="1">IFERROR(__xludf.DUMMYFUNCTION("""COMPUTED_VALUE"""),2242)</f>
        <v>2242</v>
      </c>
      <c r="P350" s="3">
        <f ca="1">IFERROR(__xludf.DUMMYFUNCTION("""COMPUTED_VALUE"""),1210)</f>
        <v>1210</v>
      </c>
      <c r="Q350" s="3">
        <f ca="1">IFERROR(__xludf.DUMMYFUNCTION("""COMPUTED_VALUE"""),773)</f>
        <v>773</v>
      </c>
      <c r="R350" s="3">
        <f ca="1">IFERROR(__xludf.DUMMYFUNCTION("""COMPUTED_VALUE"""),1719)</f>
        <v>1719</v>
      </c>
      <c r="S350" s="3">
        <f ca="1">IFERROR(__xludf.DUMMYFUNCTION("""COMPUTED_VALUE"""),0.45)</f>
        <v>0.45</v>
      </c>
      <c r="T350" s="3">
        <f ca="1">IFERROR(__xludf.DUMMYFUNCTION("""COMPUTED_VALUE"""),236)</f>
        <v>236</v>
      </c>
      <c r="U350" s="3">
        <f ca="1">IFERROR(__xludf.DUMMYFUNCTION("""COMPUTED_VALUE"""),704)</f>
        <v>704</v>
      </c>
      <c r="V350" s="3">
        <f ca="1">IFERROR(__xludf.DUMMYFUNCTION("""COMPUTED_VALUE"""),0.335)</f>
        <v>0.33500000000000002</v>
      </c>
      <c r="W350" s="3">
        <f ca="1">IFERROR(__xludf.DUMMYFUNCTION("""COMPUTED_VALUE"""),397)</f>
        <v>397</v>
      </c>
      <c r="X350" s="3">
        <f ca="1">IFERROR(__xludf.DUMMYFUNCTION("""COMPUTED_VALUE"""),550)</f>
        <v>550</v>
      </c>
      <c r="Y350" s="3">
        <f ca="1">IFERROR(__xludf.DUMMYFUNCTION("""COMPUTED_VALUE"""),0.722)</f>
        <v>0.72199999999999998</v>
      </c>
      <c r="Z350" s="3">
        <f ca="1">IFERROR(__xludf.DUMMYFUNCTION("""COMPUTED_VALUE"""),277)</f>
        <v>277</v>
      </c>
      <c r="AA350" s="3">
        <f ca="1">IFERROR(__xludf.DUMMYFUNCTION("""COMPUTED_VALUE"""),1021)</f>
        <v>1021</v>
      </c>
      <c r="AB350" s="3">
        <f ca="1">IFERROR(__xludf.DUMMYFUNCTION("""COMPUTED_VALUE"""),392)</f>
        <v>392</v>
      </c>
      <c r="AC350" s="3">
        <f ca="1">IFERROR(__xludf.DUMMYFUNCTION("""COMPUTED_VALUE"""),171)</f>
        <v>171</v>
      </c>
      <c r="AD350" s="3">
        <f ca="1">IFERROR(__xludf.DUMMYFUNCTION("""COMPUTED_VALUE"""),135)</f>
        <v>135</v>
      </c>
      <c r="AE350" s="3">
        <f ca="1">IFERROR(__xludf.DUMMYFUNCTION("""COMPUTED_VALUE"""),408)</f>
        <v>408</v>
      </c>
      <c r="AF350" s="3">
        <f ca="1">IFERROR(__xludf.DUMMYFUNCTION("""COMPUTED_VALUE"""),523)</f>
        <v>523</v>
      </c>
    </row>
    <row r="351" spans="1:32" x14ac:dyDescent="0.25">
      <c r="A351" s="3" t="str">
        <f ca="1">IFERROR(__xludf.DUMMYFUNCTION("""COMPUTED_VALUE"""),"Tulane")</f>
        <v>Tulane</v>
      </c>
      <c r="B351" s="3">
        <f ca="1">IFERROR(__xludf.DUMMYFUNCTION("""COMPUTED_VALUE"""),31)</f>
        <v>31</v>
      </c>
      <c r="C351" s="3">
        <f ca="1">IFERROR(__xludf.DUMMYFUNCTION("""COMPUTED_VALUE"""),4)</f>
        <v>4</v>
      </c>
      <c r="D351" s="3">
        <f ca="1">IFERROR(__xludf.DUMMYFUNCTION("""COMPUTED_VALUE"""),27)</f>
        <v>27</v>
      </c>
      <c r="E351" s="3">
        <f ca="1">IFERROR(__xludf.DUMMYFUNCTION("""COMPUTED_VALUE"""),0.129)</f>
        <v>0.129</v>
      </c>
      <c r="F351" s="3">
        <f ca="1">IFERROR(__xludf.DUMMYFUNCTION("""COMPUTED_VALUE"""),-6.72)</f>
        <v>-6.72</v>
      </c>
      <c r="G351" s="3">
        <f ca="1">IFERROR(__xludf.DUMMYFUNCTION("""COMPUTED_VALUE"""),3.63)</f>
        <v>3.63</v>
      </c>
      <c r="H351" s="3">
        <f ca="1">IFERROR(__xludf.DUMMYFUNCTION("""COMPUTED_VALUE"""),0)</f>
        <v>0</v>
      </c>
      <c r="I351" s="3">
        <f ca="1">IFERROR(__xludf.DUMMYFUNCTION("""COMPUTED_VALUE"""),18)</f>
        <v>18</v>
      </c>
      <c r="J351" s="3">
        <f ca="1">IFERROR(__xludf.DUMMYFUNCTION("""COMPUTED_VALUE"""),3)</f>
        <v>3</v>
      </c>
      <c r="K351" s="3">
        <f ca="1">IFERROR(__xludf.DUMMYFUNCTION("""COMPUTED_VALUE"""),12)</f>
        <v>12</v>
      </c>
      <c r="L351" s="3">
        <f ca="1">IFERROR(__xludf.DUMMYFUNCTION("""COMPUTED_VALUE"""),0)</f>
        <v>0</v>
      </c>
      <c r="M351" s="3">
        <f ca="1">IFERROR(__xludf.DUMMYFUNCTION("""COMPUTED_VALUE"""),11)</f>
        <v>11</v>
      </c>
      <c r="N351" s="3">
        <f ca="1">IFERROR(__xludf.DUMMYFUNCTION("""COMPUTED_VALUE"""),2082)</f>
        <v>2082</v>
      </c>
      <c r="O351" s="3">
        <f ca="1">IFERROR(__xludf.DUMMYFUNCTION("""COMPUTED_VALUE"""),2403)</f>
        <v>2403</v>
      </c>
      <c r="P351" s="3">
        <f ca="1">IFERROR(__xludf.DUMMYFUNCTION("""COMPUTED_VALUE"""),1240)</f>
        <v>1240</v>
      </c>
      <c r="Q351" s="3">
        <f ca="1">IFERROR(__xludf.DUMMYFUNCTION("""COMPUTED_VALUE"""),733)</f>
        <v>733</v>
      </c>
      <c r="R351" s="3">
        <f ca="1">IFERROR(__xludf.DUMMYFUNCTION("""COMPUTED_VALUE"""),1783)</f>
        <v>1783</v>
      </c>
      <c r="S351" s="3">
        <f ca="1">IFERROR(__xludf.DUMMYFUNCTION("""COMPUTED_VALUE"""),0.411)</f>
        <v>0.41099999999999998</v>
      </c>
      <c r="T351" s="3">
        <f ca="1">IFERROR(__xludf.DUMMYFUNCTION("""COMPUTED_VALUE"""),213)</f>
        <v>213</v>
      </c>
      <c r="U351" s="3">
        <f ca="1">IFERROR(__xludf.DUMMYFUNCTION("""COMPUTED_VALUE"""),670)</f>
        <v>670</v>
      </c>
      <c r="V351" s="3">
        <f ca="1">IFERROR(__xludf.DUMMYFUNCTION("""COMPUTED_VALUE"""),0.318)</f>
        <v>0.318</v>
      </c>
      <c r="W351" s="3">
        <f ca="1">IFERROR(__xludf.DUMMYFUNCTION("""COMPUTED_VALUE"""),403)</f>
        <v>403</v>
      </c>
      <c r="X351" s="3">
        <f ca="1">IFERROR(__xludf.DUMMYFUNCTION("""COMPUTED_VALUE"""),585)</f>
        <v>585</v>
      </c>
      <c r="Y351" s="3">
        <f ca="1">IFERROR(__xludf.DUMMYFUNCTION("""COMPUTED_VALUE"""),0.689)</f>
        <v>0.68899999999999995</v>
      </c>
      <c r="Z351" s="3">
        <f ca="1">IFERROR(__xludf.DUMMYFUNCTION("""COMPUTED_VALUE"""),298)</f>
        <v>298</v>
      </c>
      <c r="AA351" s="3">
        <f ca="1">IFERROR(__xludf.DUMMYFUNCTION("""COMPUTED_VALUE"""),1131)</f>
        <v>1131</v>
      </c>
      <c r="AB351" s="3">
        <f ca="1">IFERROR(__xludf.DUMMYFUNCTION("""COMPUTED_VALUE"""),444)</f>
        <v>444</v>
      </c>
      <c r="AC351" s="3">
        <f ca="1">IFERROR(__xludf.DUMMYFUNCTION("""COMPUTED_VALUE"""),147)</f>
        <v>147</v>
      </c>
      <c r="AD351" s="3">
        <f ca="1">IFERROR(__xludf.DUMMYFUNCTION("""COMPUTED_VALUE"""),109)</f>
        <v>109</v>
      </c>
      <c r="AE351" s="3">
        <f ca="1">IFERROR(__xludf.DUMMYFUNCTION("""COMPUTED_VALUE"""),467)</f>
        <v>467</v>
      </c>
      <c r="AF351" s="3">
        <f ca="1">IFERROR(__xludf.DUMMYFUNCTION("""COMPUTED_VALUE"""),535)</f>
        <v>535</v>
      </c>
    </row>
    <row r="352" spans="1:32" x14ac:dyDescent="0.25">
      <c r="A352" s="3" t="str">
        <f ca="1">IFERROR(__xludf.DUMMYFUNCTION("""COMPUTED_VALUE"""),"Overall")</f>
        <v>Overall</v>
      </c>
      <c r="B352" s="3" t="str">
        <f ca="1">IFERROR(__xludf.DUMMYFUNCTION("""COMPUTED_VALUE"""),"Conf.")</f>
        <v>Conf.</v>
      </c>
      <c r="C352" s="3" t="str">
        <f ca="1">IFERROR(__xludf.DUMMYFUNCTION("""COMPUTED_VALUE"""),"Home")</f>
        <v>Home</v>
      </c>
      <c r="D352" s="3" t="str">
        <f ca="1">IFERROR(__xludf.DUMMYFUNCTION("""COMPUTED_VALUE"""),"Away")</f>
        <v>Away</v>
      </c>
      <c r="E352" s="3" t="str">
        <f ca="1">IFERROR(__xludf.DUMMYFUNCTION("""COMPUTED_VALUE"""),"Points")</f>
        <v>Points</v>
      </c>
      <c r="F352" s="3" t="str">
        <f ca="1">IFERROR(__xludf.DUMMYFUNCTION("""COMPUTED_VALUE"""),"")</f>
        <v/>
      </c>
      <c r="G352" s="3" t="str">
        <f ca="1">IFERROR(__xludf.DUMMYFUNCTION("""COMPUTED_VALUE"""),"School Totals")</f>
        <v>School Totals</v>
      </c>
      <c r="H352" s="3" t="str">
        <f ca="1">IFERROR(__xludf.DUMMYFUNCTION("""COMPUTED_VALUE"""),"")</f>
        <v/>
      </c>
      <c r="I352" s="3" t="str">
        <f ca="1">IFERROR(__xludf.DUMMYFUNCTION("""COMPUTED_VALUE"""),"")</f>
        <v/>
      </c>
      <c r="J352" s="3" t="str">
        <f ca="1">IFERROR(__xludf.DUMMYFUNCTION("""COMPUTED_VALUE"""),"")</f>
        <v/>
      </c>
      <c r="K352" s="3" t="str">
        <f ca="1">IFERROR(__xludf.DUMMYFUNCTION("""COMPUTED_VALUE"""),"")</f>
        <v/>
      </c>
      <c r="L352" s="3" t="str">
        <f ca="1">IFERROR(__xludf.DUMMYFUNCTION("""COMPUTED_VALUE"""),"")</f>
        <v/>
      </c>
      <c r="M352" s="3" t="str">
        <f ca="1">IFERROR(__xludf.DUMMYFUNCTION("""COMPUTED_VALUE"""),"")</f>
        <v/>
      </c>
      <c r="N352" s="3" t="str">
        <f ca="1">IFERROR(__xludf.DUMMYFUNCTION("""COMPUTED_VALUE"""),"")</f>
        <v/>
      </c>
      <c r="O352" s="3" t="str">
        <f ca="1">IFERROR(__xludf.DUMMYFUNCTION("""COMPUTED_VALUE"""),"")</f>
        <v/>
      </c>
      <c r="P352" s="3" t="str">
        <f ca="1">IFERROR(__xludf.DUMMYFUNCTION("""COMPUTED_VALUE"""),"")</f>
        <v/>
      </c>
      <c r="Q352" s="3" t="str">
        <f ca="1">IFERROR(__xludf.DUMMYFUNCTION("""COMPUTED_VALUE"""),"")</f>
        <v/>
      </c>
      <c r="R352" s="3" t="str">
        <f ca="1">IFERROR(__xludf.DUMMYFUNCTION("""COMPUTED_VALUE"""),"")</f>
        <v/>
      </c>
      <c r="S352" s="3" t="str">
        <f ca="1">IFERROR(__xludf.DUMMYFUNCTION("""COMPUTED_VALUE"""),"")</f>
        <v/>
      </c>
      <c r="T352" s="3" t="str">
        <f ca="1">IFERROR(__xludf.DUMMYFUNCTION("""COMPUTED_VALUE"""),"")</f>
        <v/>
      </c>
      <c r="U352" s="3" t="str">
        <f ca="1">IFERROR(__xludf.DUMMYFUNCTION("""COMPUTED_VALUE"""),"")</f>
        <v/>
      </c>
      <c r="V352" s="3" t="str">
        <f ca="1">IFERROR(__xludf.DUMMYFUNCTION("""COMPUTED_VALUE"""),"")</f>
        <v/>
      </c>
      <c r="W352" s="3" t="str">
        <f ca="1">IFERROR(__xludf.DUMMYFUNCTION("""COMPUTED_VALUE"""),"")</f>
        <v/>
      </c>
      <c r="X352" s="3" t="str">
        <f ca="1">IFERROR(__xludf.DUMMYFUNCTION("""COMPUTED_VALUE"""),"")</f>
        <v/>
      </c>
      <c r="Y352" s="3" t="str">
        <f ca="1">IFERROR(__xludf.DUMMYFUNCTION("""COMPUTED_VALUE"""),"")</f>
        <v/>
      </c>
      <c r="Z352" s="3" t="str">
        <f ca="1">IFERROR(__xludf.DUMMYFUNCTION("""COMPUTED_VALUE"""),"")</f>
        <v/>
      </c>
      <c r="AA352" s="3" t="str">
        <f ca="1">IFERROR(__xludf.DUMMYFUNCTION("""COMPUTED_VALUE"""),"")</f>
        <v/>
      </c>
      <c r="AB352" s="3" t="str">
        <f ca="1">IFERROR(__xludf.DUMMYFUNCTION("""COMPUTED_VALUE"""),"")</f>
        <v/>
      </c>
      <c r="AC352" s="3" t="str">
        <f ca="1">IFERROR(__xludf.DUMMYFUNCTION("""COMPUTED_VALUE"""),"")</f>
        <v/>
      </c>
      <c r="AD352" s="3" t="str">
        <f ca="1">IFERROR(__xludf.DUMMYFUNCTION("""COMPUTED_VALUE"""),"")</f>
        <v/>
      </c>
      <c r="AE352" s="3" t="str">
        <f ca="1">IFERROR(__xludf.DUMMYFUNCTION("""COMPUTED_VALUE"""),"")</f>
        <v/>
      </c>
      <c r="AF352" s="3" t="str">
        <f ca="1">IFERROR(__xludf.DUMMYFUNCTION("""COMPUTED_VALUE"""),"")</f>
        <v/>
      </c>
    </row>
    <row r="353" spans="1:32" x14ac:dyDescent="0.25">
      <c r="A353" s="3" t="str">
        <f ca="1">IFERROR(__xludf.DUMMYFUNCTION("""COMPUTED_VALUE"""),"School")</f>
        <v>School</v>
      </c>
      <c r="B353" s="3" t="str">
        <f ca="1">IFERROR(__xludf.DUMMYFUNCTION("""COMPUTED_VALUE"""),"G")</f>
        <v>G</v>
      </c>
      <c r="C353" s="3" t="str">
        <f ca="1">IFERROR(__xludf.DUMMYFUNCTION("""COMPUTED_VALUE"""),"W")</f>
        <v>W</v>
      </c>
      <c r="D353" s="3" t="str">
        <f ca="1">IFERROR(__xludf.DUMMYFUNCTION("""COMPUTED_VALUE"""),"L")</f>
        <v>L</v>
      </c>
      <c r="E353" s="3" t="str">
        <f ca="1">IFERROR(__xludf.DUMMYFUNCTION("""COMPUTED_VALUE"""),"W-L%")</f>
        <v>W-L%</v>
      </c>
      <c r="F353" s="3" t="str">
        <f ca="1">IFERROR(__xludf.DUMMYFUNCTION("""COMPUTED_VALUE"""),"SRS")</f>
        <v>SRS</v>
      </c>
      <c r="G353" s="3" t="str">
        <f ca="1">IFERROR(__xludf.DUMMYFUNCTION("""COMPUTED_VALUE"""),"SOS")</f>
        <v>SOS</v>
      </c>
      <c r="H353" s="3" t="str">
        <f ca="1">IFERROR(__xludf.DUMMYFUNCTION("""COMPUTED_VALUE"""),"W")</f>
        <v>W</v>
      </c>
      <c r="I353" s="3" t="str">
        <f ca="1">IFERROR(__xludf.DUMMYFUNCTION("""COMPUTED_VALUE"""),"L")</f>
        <v>L</v>
      </c>
      <c r="J353" s="3" t="str">
        <f ca="1">IFERROR(__xludf.DUMMYFUNCTION("""COMPUTED_VALUE"""),"W")</f>
        <v>W</v>
      </c>
      <c r="K353" s="3" t="str">
        <f ca="1">IFERROR(__xludf.DUMMYFUNCTION("""COMPUTED_VALUE"""),"L")</f>
        <v>L</v>
      </c>
      <c r="L353" s="3" t="str">
        <f ca="1">IFERROR(__xludf.DUMMYFUNCTION("""COMPUTED_VALUE"""),"W")</f>
        <v>W</v>
      </c>
      <c r="M353" s="3" t="str">
        <f ca="1">IFERROR(__xludf.DUMMYFUNCTION("""COMPUTED_VALUE"""),"L")</f>
        <v>L</v>
      </c>
      <c r="N353" s="3" t="str">
        <f ca="1">IFERROR(__xludf.DUMMYFUNCTION("""COMPUTED_VALUE"""),"Tm.")</f>
        <v>Tm.</v>
      </c>
      <c r="O353" s="3" t="str">
        <f ca="1">IFERROR(__xludf.DUMMYFUNCTION("""COMPUTED_VALUE"""),"Opp.")</f>
        <v>Opp.</v>
      </c>
      <c r="P353" s="3" t="str">
        <f ca="1">IFERROR(__xludf.DUMMYFUNCTION("""COMPUTED_VALUE"""),"MP")</f>
        <v>MP</v>
      </c>
      <c r="Q353" s="3" t="str">
        <f ca="1">IFERROR(__xludf.DUMMYFUNCTION("""COMPUTED_VALUE"""),"FG")</f>
        <v>FG</v>
      </c>
      <c r="R353" s="3" t="str">
        <f ca="1">IFERROR(__xludf.DUMMYFUNCTION("""COMPUTED_VALUE"""),"FGA")</f>
        <v>FGA</v>
      </c>
      <c r="S353" s="3" t="str">
        <f ca="1">IFERROR(__xludf.DUMMYFUNCTION("""COMPUTED_VALUE"""),"FG%")</f>
        <v>FG%</v>
      </c>
      <c r="T353" s="3" t="str">
        <f ca="1">IFERROR(__xludf.DUMMYFUNCTION("""COMPUTED_VALUE"""),"3P")</f>
        <v>3P</v>
      </c>
      <c r="U353" s="3" t="str">
        <f ca="1">IFERROR(__xludf.DUMMYFUNCTION("""COMPUTED_VALUE"""),"3PA")</f>
        <v>3PA</v>
      </c>
      <c r="V353" s="3" t="str">
        <f ca="1">IFERROR(__xludf.DUMMYFUNCTION("""COMPUTED_VALUE"""),"3P%")</f>
        <v>3P%</v>
      </c>
      <c r="W353" s="3" t="str">
        <f ca="1">IFERROR(__xludf.DUMMYFUNCTION("""COMPUTED_VALUE"""),"FT")</f>
        <v>FT</v>
      </c>
      <c r="X353" s="3" t="str">
        <f ca="1">IFERROR(__xludf.DUMMYFUNCTION("""COMPUTED_VALUE"""),"FTA")</f>
        <v>FTA</v>
      </c>
      <c r="Y353" s="3" t="str">
        <f ca="1">IFERROR(__xludf.DUMMYFUNCTION("""COMPUTED_VALUE"""),"FT%")</f>
        <v>FT%</v>
      </c>
      <c r="Z353" s="3" t="str">
        <f ca="1">IFERROR(__xludf.DUMMYFUNCTION("""COMPUTED_VALUE"""),"ORB")</f>
        <v>ORB</v>
      </c>
      <c r="AA353" s="3" t="str">
        <f ca="1">IFERROR(__xludf.DUMMYFUNCTION("""COMPUTED_VALUE"""),"TRB")</f>
        <v>TRB</v>
      </c>
      <c r="AB353" s="3" t="str">
        <f ca="1">IFERROR(__xludf.DUMMYFUNCTION("""COMPUTED_VALUE"""),"AST")</f>
        <v>AST</v>
      </c>
      <c r="AC353" s="3" t="str">
        <f ca="1">IFERROR(__xludf.DUMMYFUNCTION("""COMPUTED_VALUE"""),"STL")</f>
        <v>STL</v>
      </c>
      <c r="AD353" s="3" t="str">
        <f ca="1">IFERROR(__xludf.DUMMYFUNCTION("""COMPUTED_VALUE"""),"BLK")</f>
        <v>BLK</v>
      </c>
      <c r="AE353" s="3" t="str">
        <f ca="1">IFERROR(__xludf.DUMMYFUNCTION("""COMPUTED_VALUE"""),"TOV")</f>
        <v>TOV</v>
      </c>
      <c r="AF353" s="3" t="str">
        <f ca="1">IFERROR(__xludf.DUMMYFUNCTION("""COMPUTED_VALUE"""),"PF")</f>
        <v>PF</v>
      </c>
    </row>
    <row r="354" spans="1:32" x14ac:dyDescent="0.25">
      <c r="A354" s="3" t="str">
        <f ca="1">IFERROR(__xludf.DUMMYFUNCTION("""COMPUTED_VALUE"""),"Tulsa")</f>
        <v>Tulsa</v>
      </c>
      <c r="B354" s="3">
        <f ca="1">IFERROR(__xludf.DUMMYFUNCTION("""COMPUTED_VALUE"""),32)</f>
        <v>32</v>
      </c>
      <c r="C354" s="3">
        <f ca="1">IFERROR(__xludf.DUMMYFUNCTION("""COMPUTED_VALUE"""),18)</f>
        <v>18</v>
      </c>
      <c r="D354" s="3">
        <f ca="1">IFERROR(__xludf.DUMMYFUNCTION("""COMPUTED_VALUE"""),14)</f>
        <v>14</v>
      </c>
      <c r="E354" s="3">
        <f ca="1">IFERROR(__xludf.DUMMYFUNCTION("""COMPUTED_VALUE"""),0.563)</f>
        <v>0.56299999999999994</v>
      </c>
      <c r="F354" s="3">
        <f ca="1">IFERROR(__xludf.DUMMYFUNCTION("""COMPUTED_VALUE"""),4.65)</f>
        <v>4.6500000000000004</v>
      </c>
      <c r="G354" s="3">
        <f ca="1">IFERROR(__xludf.DUMMYFUNCTION("""COMPUTED_VALUE"""),3.86)</f>
        <v>3.86</v>
      </c>
      <c r="H354" s="3">
        <f ca="1">IFERROR(__xludf.DUMMYFUNCTION("""COMPUTED_VALUE"""),8)</f>
        <v>8</v>
      </c>
      <c r="I354" s="3">
        <f ca="1">IFERROR(__xludf.DUMMYFUNCTION("""COMPUTED_VALUE"""),10)</f>
        <v>10</v>
      </c>
      <c r="J354" s="3">
        <f ca="1">IFERROR(__xludf.DUMMYFUNCTION("""COMPUTED_VALUE"""),14)</f>
        <v>14</v>
      </c>
      <c r="K354" s="3">
        <f ca="1">IFERROR(__xludf.DUMMYFUNCTION("""COMPUTED_VALUE"""),3)</f>
        <v>3</v>
      </c>
      <c r="L354" s="3">
        <f ca="1">IFERROR(__xludf.DUMMYFUNCTION("""COMPUTED_VALUE"""),3)</f>
        <v>3</v>
      </c>
      <c r="M354" s="3">
        <f ca="1">IFERROR(__xludf.DUMMYFUNCTION("""COMPUTED_VALUE"""),8)</f>
        <v>8</v>
      </c>
      <c r="N354" s="3">
        <f ca="1">IFERROR(__xludf.DUMMYFUNCTION("""COMPUTED_VALUE"""),2296)</f>
        <v>2296</v>
      </c>
      <c r="O354" s="3">
        <f ca="1">IFERROR(__xludf.DUMMYFUNCTION("""COMPUTED_VALUE"""),2271)</f>
        <v>2271</v>
      </c>
      <c r="P354" s="3">
        <f ca="1">IFERROR(__xludf.DUMMYFUNCTION("""COMPUTED_VALUE"""),1290)</f>
        <v>1290</v>
      </c>
      <c r="Q354" s="3">
        <f ca="1">IFERROR(__xludf.DUMMYFUNCTION("""COMPUTED_VALUE"""),776)</f>
        <v>776</v>
      </c>
      <c r="R354" s="3">
        <f ca="1">IFERROR(__xludf.DUMMYFUNCTION("""COMPUTED_VALUE"""),1732)</f>
        <v>1732</v>
      </c>
      <c r="S354" s="3">
        <f ca="1">IFERROR(__xludf.DUMMYFUNCTION("""COMPUTED_VALUE"""),0.448)</f>
        <v>0.44800000000000001</v>
      </c>
      <c r="T354" s="3">
        <f ca="1">IFERROR(__xludf.DUMMYFUNCTION("""COMPUTED_VALUE"""),222)</f>
        <v>222</v>
      </c>
      <c r="U354" s="3">
        <f ca="1">IFERROR(__xludf.DUMMYFUNCTION("""COMPUTED_VALUE"""),652)</f>
        <v>652</v>
      </c>
      <c r="V354" s="3">
        <f ca="1">IFERROR(__xludf.DUMMYFUNCTION("""COMPUTED_VALUE"""),0.34)</f>
        <v>0.34</v>
      </c>
      <c r="W354" s="3">
        <f ca="1">IFERROR(__xludf.DUMMYFUNCTION("""COMPUTED_VALUE"""),522)</f>
        <v>522</v>
      </c>
      <c r="X354" s="3">
        <f ca="1">IFERROR(__xludf.DUMMYFUNCTION("""COMPUTED_VALUE"""),751)</f>
        <v>751</v>
      </c>
      <c r="Y354" s="3">
        <f ca="1">IFERROR(__xludf.DUMMYFUNCTION("""COMPUTED_VALUE"""),0.695)</f>
        <v>0.69499999999999995</v>
      </c>
      <c r="Z354" s="3">
        <f ca="1">IFERROR(__xludf.DUMMYFUNCTION("""COMPUTED_VALUE"""),239)</f>
        <v>239</v>
      </c>
      <c r="AA354" s="3">
        <f ca="1">IFERROR(__xludf.DUMMYFUNCTION("""COMPUTED_VALUE"""),1119)</f>
        <v>1119</v>
      </c>
      <c r="AB354" s="3">
        <f ca="1">IFERROR(__xludf.DUMMYFUNCTION("""COMPUTED_VALUE"""),430)</f>
        <v>430</v>
      </c>
      <c r="AC354" s="3">
        <f ca="1">IFERROR(__xludf.DUMMYFUNCTION("""COMPUTED_VALUE"""),176)</f>
        <v>176</v>
      </c>
      <c r="AD354" s="3">
        <f ca="1">IFERROR(__xludf.DUMMYFUNCTION("""COMPUTED_VALUE"""),76)</f>
        <v>76</v>
      </c>
      <c r="AE354" s="3">
        <f ca="1">IFERROR(__xludf.DUMMYFUNCTION("""COMPUTED_VALUE"""),404)</f>
        <v>404</v>
      </c>
      <c r="AF354" s="3">
        <f ca="1">IFERROR(__xludf.DUMMYFUNCTION("""COMPUTED_VALUE"""),529)</f>
        <v>529</v>
      </c>
    </row>
    <row r="355" spans="1:32" x14ac:dyDescent="0.25">
      <c r="A355" s="3" t="str">
        <f ca="1">IFERROR(__xludf.DUMMYFUNCTION("""COMPUTED_VALUE"""),"UCLA")</f>
        <v>UCLA</v>
      </c>
      <c r="B355" s="3">
        <f ca="1">IFERROR(__xludf.DUMMYFUNCTION("""COMPUTED_VALUE"""),33)</f>
        <v>33</v>
      </c>
      <c r="C355" s="3">
        <f ca="1">IFERROR(__xludf.DUMMYFUNCTION("""COMPUTED_VALUE"""),17)</f>
        <v>17</v>
      </c>
      <c r="D355" s="3">
        <f ca="1">IFERROR(__xludf.DUMMYFUNCTION("""COMPUTED_VALUE"""),16)</f>
        <v>16</v>
      </c>
      <c r="E355" s="3">
        <f ca="1">IFERROR(__xludf.DUMMYFUNCTION("""COMPUTED_VALUE"""),0.515)</f>
        <v>0.51500000000000001</v>
      </c>
      <c r="F355" s="3">
        <f ca="1">IFERROR(__xludf.DUMMYFUNCTION("""COMPUTED_VALUE"""),7.17)</f>
        <v>7.17</v>
      </c>
      <c r="G355" s="3">
        <f ca="1">IFERROR(__xludf.DUMMYFUNCTION("""COMPUTED_VALUE"""),6.78)</f>
        <v>6.78</v>
      </c>
      <c r="H355" s="3">
        <f ca="1">IFERROR(__xludf.DUMMYFUNCTION("""COMPUTED_VALUE"""),9)</f>
        <v>9</v>
      </c>
      <c r="I355" s="3">
        <f ca="1">IFERROR(__xludf.DUMMYFUNCTION("""COMPUTED_VALUE"""),9)</f>
        <v>9</v>
      </c>
      <c r="J355" s="3">
        <f ca="1">IFERROR(__xludf.DUMMYFUNCTION("""COMPUTED_VALUE"""),13)</f>
        <v>13</v>
      </c>
      <c r="K355" s="3">
        <f ca="1">IFERROR(__xludf.DUMMYFUNCTION("""COMPUTED_VALUE"""),5)</f>
        <v>5</v>
      </c>
      <c r="L355" s="3">
        <f ca="1">IFERROR(__xludf.DUMMYFUNCTION("""COMPUTED_VALUE"""),3)</f>
        <v>3</v>
      </c>
      <c r="M355" s="3">
        <f ca="1">IFERROR(__xludf.DUMMYFUNCTION("""COMPUTED_VALUE"""),7)</f>
        <v>7</v>
      </c>
      <c r="N355" s="3">
        <f ca="1">IFERROR(__xludf.DUMMYFUNCTION("""COMPUTED_VALUE"""),2580)</f>
        <v>2580</v>
      </c>
      <c r="O355" s="3">
        <f ca="1">IFERROR(__xludf.DUMMYFUNCTION("""COMPUTED_VALUE"""),2567)</f>
        <v>2567</v>
      </c>
      <c r="P355" s="3">
        <f ca="1">IFERROR(__xludf.DUMMYFUNCTION("""COMPUTED_VALUE"""),1335)</f>
        <v>1335</v>
      </c>
      <c r="Q355" s="3">
        <f ca="1">IFERROR(__xludf.DUMMYFUNCTION("""COMPUTED_VALUE"""),919)</f>
        <v>919</v>
      </c>
      <c r="R355" s="3">
        <f ca="1">IFERROR(__xludf.DUMMYFUNCTION("""COMPUTED_VALUE"""),2012)</f>
        <v>2012</v>
      </c>
      <c r="S355" s="3">
        <f ca="1">IFERROR(__xludf.DUMMYFUNCTION("""COMPUTED_VALUE"""),0.457)</f>
        <v>0.45700000000000002</v>
      </c>
      <c r="T355" s="3">
        <f ca="1">IFERROR(__xludf.DUMMYFUNCTION("""COMPUTED_VALUE"""),256)</f>
        <v>256</v>
      </c>
      <c r="U355" s="3">
        <f ca="1">IFERROR(__xludf.DUMMYFUNCTION("""COMPUTED_VALUE"""),721)</f>
        <v>721</v>
      </c>
      <c r="V355" s="3">
        <f ca="1">IFERROR(__xludf.DUMMYFUNCTION("""COMPUTED_VALUE"""),0.355)</f>
        <v>0.35499999999999998</v>
      </c>
      <c r="W355" s="3">
        <f ca="1">IFERROR(__xludf.DUMMYFUNCTION("""COMPUTED_VALUE"""),486)</f>
        <v>486</v>
      </c>
      <c r="X355" s="3">
        <f ca="1">IFERROR(__xludf.DUMMYFUNCTION("""COMPUTED_VALUE"""),768)</f>
        <v>768</v>
      </c>
      <c r="Y355" s="3">
        <f ca="1">IFERROR(__xludf.DUMMYFUNCTION("""COMPUTED_VALUE"""),0.633)</f>
        <v>0.63300000000000001</v>
      </c>
      <c r="Z355" s="3">
        <f ca="1">IFERROR(__xludf.DUMMYFUNCTION("""COMPUTED_VALUE"""),380)</f>
        <v>380</v>
      </c>
      <c r="AA355" s="3">
        <f ca="1">IFERROR(__xludf.DUMMYFUNCTION("""COMPUTED_VALUE"""),1361)</f>
        <v>1361</v>
      </c>
      <c r="AB355" s="3">
        <f ca="1">IFERROR(__xludf.DUMMYFUNCTION("""COMPUTED_VALUE"""),472)</f>
        <v>472</v>
      </c>
      <c r="AC355" s="3">
        <f ca="1">IFERROR(__xludf.DUMMYFUNCTION("""COMPUTED_VALUE"""),194)</f>
        <v>194</v>
      </c>
      <c r="AD355" s="3">
        <f ca="1">IFERROR(__xludf.DUMMYFUNCTION("""COMPUTED_VALUE"""),136)</f>
        <v>136</v>
      </c>
      <c r="AE355" s="3">
        <f ca="1">IFERROR(__xludf.DUMMYFUNCTION("""COMPUTED_VALUE"""),467)</f>
        <v>467</v>
      </c>
      <c r="AF355" s="3">
        <f ca="1">IFERROR(__xludf.DUMMYFUNCTION("""COMPUTED_VALUE"""),563)</f>
        <v>563</v>
      </c>
    </row>
    <row r="356" spans="1:32" x14ac:dyDescent="0.25">
      <c r="A356" s="3" t="str">
        <f ca="1">IFERROR(__xludf.DUMMYFUNCTION("""COMPUTED_VALUE"""),"Utah StateNCAA")</f>
        <v>Utah StateNCAA</v>
      </c>
      <c r="B356" s="3">
        <f ca="1">IFERROR(__xludf.DUMMYFUNCTION("""COMPUTED_VALUE"""),35)</f>
        <v>35</v>
      </c>
      <c r="C356" s="3">
        <f ca="1">IFERROR(__xludf.DUMMYFUNCTION("""COMPUTED_VALUE"""),28)</f>
        <v>28</v>
      </c>
      <c r="D356" s="3">
        <f ca="1">IFERROR(__xludf.DUMMYFUNCTION("""COMPUTED_VALUE"""),7)</f>
        <v>7</v>
      </c>
      <c r="E356" s="3">
        <f ca="1">IFERROR(__xludf.DUMMYFUNCTION("""COMPUTED_VALUE"""),0.8)</f>
        <v>0.8</v>
      </c>
      <c r="F356" s="3">
        <f ca="1">IFERROR(__xludf.DUMMYFUNCTION("""COMPUTED_VALUE"""),11.98)</f>
        <v>11.98</v>
      </c>
      <c r="G356" s="3">
        <f ca="1">IFERROR(__xludf.DUMMYFUNCTION("""COMPUTED_VALUE"""),0.89)</f>
        <v>0.89</v>
      </c>
      <c r="H356" s="3">
        <f ca="1">IFERROR(__xludf.DUMMYFUNCTION("""COMPUTED_VALUE"""),15)</f>
        <v>15</v>
      </c>
      <c r="I356" s="3">
        <f ca="1">IFERROR(__xludf.DUMMYFUNCTION("""COMPUTED_VALUE"""),3)</f>
        <v>3</v>
      </c>
      <c r="J356" s="3">
        <f ca="1">IFERROR(__xludf.DUMMYFUNCTION("""COMPUTED_VALUE"""),14)</f>
        <v>14</v>
      </c>
      <c r="K356" s="3">
        <f ca="1">IFERROR(__xludf.DUMMYFUNCTION("""COMPUTED_VALUE"""),1)</f>
        <v>1</v>
      </c>
      <c r="L356" s="3">
        <f ca="1">IFERROR(__xludf.DUMMYFUNCTION("""COMPUTED_VALUE"""),9)</f>
        <v>9</v>
      </c>
      <c r="M356" s="3">
        <f ca="1">IFERROR(__xludf.DUMMYFUNCTION("""COMPUTED_VALUE"""),4)</f>
        <v>4</v>
      </c>
      <c r="N356" s="3">
        <f ca="1">IFERROR(__xludf.DUMMYFUNCTION("""COMPUTED_VALUE"""),2753)</f>
        <v>2753</v>
      </c>
      <c r="O356" s="3">
        <f ca="1">IFERROR(__xludf.DUMMYFUNCTION("""COMPUTED_VALUE"""),2349)</f>
        <v>2349</v>
      </c>
      <c r="P356" s="3">
        <f ca="1">IFERROR(__xludf.DUMMYFUNCTION("""COMPUTED_VALUE"""),1410)</f>
        <v>1410</v>
      </c>
      <c r="Q356" s="3">
        <f ca="1">IFERROR(__xludf.DUMMYFUNCTION("""COMPUTED_VALUE"""),959)</f>
        <v>959</v>
      </c>
      <c r="R356" s="3">
        <f ca="1">IFERROR(__xludf.DUMMYFUNCTION("""COMPUTED_VALUE"""),2038)</f>
        <v>2038</v>
      </c>
      <c r="S356" s="3">
        <f ca="1">IFERROR(__xludf.DUMMYFUNCTION("""COMPUTED_VALUE"""),0.471)</f>
        <v>0.47099999999999997</v>
      </c>
      <c r="T356" s="3">
        <f ca="1">IFERROR(__xludf.DUMMYFUNCTION("""COMPUTED_VALUE"""),274)</f>
        <v>274</v>
      </c>
      <c r="U356" s="3">
        <f ca="1">IFERROR(__xludf.DUMMYFUNCTION("""COMPUTED_VALUE"""),772)</f>
        <v>772</v>
      </c>
      <c r="V356" s="3">
        <f ca="1">IFERROR(__xludf.DUMMYFUNCTION("""COMPUTED_VALUE"""),0.355)</f>
        <v>0.35499999999999998</v>
      </c>
      <c r="W356" s="3">
        <f ca="1">IFERROR(__xludf.DUMMYFUNCTION("""COMPUTED_VALUE"""),559)</f>
        <v>559</v>
      </c>
      <c r="X356" s="3">
        <f ca="1">IFERROR(__xludf.DUMMYFUNCTION("""COMPUTED_VALUE"""),747)</f>
        <v>747</v>
      </c>
      <c r="Y356" s="3">
        <f ca="1">IFERROR(__xludf.DUMMYFUNCTION("""COMPUTED_VALUE"""),0.748)</f>
        <v>0.748</v>
      </c>
      <c r="Z356" s="3">
        <f ca="1">IFERROR(__xludf.DUMMYFUNCTION("""COMPUTED_VALUE"""),377)</f>
        <v>377</v>
      </c>
      <c r="AA356" s="3">
        <f ca="1">IFERROR(__xludf.DUMMYFUNCTION("""COMPUTED_VALUE"""),1405)</f>
        <v>1405</v>
      </c>
      <c r="AB356" s="3">
        <f ca="1">IFERROR(__xludf.DUMMYFUNCTION("""COMPUTED_VALUE"""),598)</f>
        <v>598</v>
      </c>
      <c r="AC356" s="3">
        <f ca="1">IFERROR(__xludf.DUMMYFUNCTION("""COMPUTED_VALUE"""),215)</f>
        <v>215</v>
      </c>
      <c r="AD356" s="3">
        <f ca="1">IFERROR(__xludf.DUMMYFUNCTION("""COMPUTED_VALUE"""),147)</f>
        <v>147</v>
      </c>
      <c r="AE356" s="3">
        <f ca="1">IFERROR(__xludf.DUMMYFUNCTION("""COMPUTED_VALUE"""),449)</f>
        <v>449</v>
      </c>
      <c r="AF356" s="3">
        <f ca="1">IFERROR(__xludf.DUMMYFUNCTION("""COMPUTED_VALUE"""),649)</f>
        <v>649</v>
      </c>
    </row>
    <row r="357" spans="1:32" x14ac:dyDescent="0.25">
      <c r="A357" s="3" t="str">
        <f ca="1">IFERROR(__xludf.DUMMYFUNCTION("""COMPUTED_VALUE"""),"Utah Valley")</f>
        <v>Utah Valley</v>
      </c>
      <c r="B357" s="3">
        <f ca="1">IFERROR(__xludf.DUMMYFUNCTION("""COMPUTED_VALUE"""),35)</f>
        <v>35</v>
      </c>
      <c r="C357" s="3">
        <f ca="1">IFERROR(__xludf.DUMMYFUNCTION("""COMPUTED_VALUE"""),25)</f>
        <v>25</v>
      </c>
      <c r="D357" s="3">
        <f ca="1">IFERROR(__xludf.DUMMYFUNCTION("""COMPUTED_VALUE"""),10)</f>
        <v>10</v>
      </c>
      <c r="E357" s="3">
        <f ca="1">IFERROR(__xludf.DUMMYFUNCTION("""COMPUTED_VALUE"""),0.714)</f>
        <v>0.71399999999999997</v>
      </c>
      <c r="F357" s="3">
        <f ca="1">IFERROR(__xludf.DUMMYFUNCTION("""COMPUTED_VALUE"""),3)</f>
        <v>3</v>
      </c>
      <c r="G357" s="3">
        <f ca="1">IFERROR(__xludf.DUMMYFUNCTION("""COMPUTED_VALUE"""),-2.3)</f>
        <v>-2.2999999999999998</v>
      </c>
      <c r="H357" s="3">
        <f ca="1">IFERROR(__xludf.DUMMYFUNCTION("""COMPUTED_VALUE"""),12)</f>
        <v>12</v>
      </c>
      <c r="I357" s="3">
        <f ca="1">IFERROR(__xludf.DUMMYFUNCTION("""COMPUTED_VALUE"""),4)</f>
        <v>4</v>
      </c>
      <c r="J357" s="3">
        <f ca="1">IFERROR(__xludf.DUMMYFUNCTION("""COMPUTED_VALUE"""),14)</f>
        <v>14</v>
      </c>
      <c r="K357" s="3">
        <f ca="1">IFERROR(__xludf.DUMMYFUNCTION("""COMPUTED_VALUE"""),1)</f>
        <v>1</v>
      </c>
      <c r="L357" s="3">
        <f ca="1">IFERROR(__xludf.DUMMYFUNCTION("""COMPUTED_VALUE"""),8)</f>
        <v>8</v>
      </c>
      <c r="M357" s="3">
        <f ca="1">IFERROR(__xludf.DUMMYFUNCTION("""COMPUTED_VALUE"""),8)</f>
        <v>8</v>
      </c>
      <c r="N357" s="3">
        <f ca="1">IFERROR(__xludf.DUMMYFUNCTION("""COMPUTED_VALUE"""),2697)</f>
        <v>2697</v>
      </c>
      <c r="O357" s="3">
        <f ca="1">IFERROR(__xludf.DUMMYFUNCTION("""COMPUTED_VALUE"""),2474)</f>
        <v>2474</v>
      </c>
      <c r="P357" s="3">
        <f ca="1">IFERROR(__xludf.DUMMYFUNCTION("""COMPUTED_VALUE"""),1400)</f>
        <v>1400</v>
      </c>
      <c r="Q357" s="3">
        <f ca="1">IFERROR(__xludf.DUMMYFUNCTION("""COMPUTED_VALUE"""),930)</f>
        <v>930</v>
      </c>
      <c r="R357" s="3">
        <f ca="1">IFERROR(__xludf.DUMMYFUNCTION("""COMPUTED_VALUE"""),1929)</f>
        <v>1929</v>
      </c>
      <c r="S357" s="3">
        <f ca="1">IFERROR(__xludf.DUMMYFUNCTION("""COMPUTED_VALUE"""),0.482)</f>
        <v>0.48199999999999998</v>
      </c>
      <c r="T357" s="3">
        <f ca="1">IFERROR(__xludf.DUMMYFUNCTION("""COMPUTED_VALUE"""),283)</f>
        <v>283</v>
      </c>
      <c r="U357" s="3">
        <f ca="1">IFERROR(__xludf.DUMMYFUNCTION("""COMPUTED_VALUE"""),740)</f>
        <v>740</v>
      </c>
      <c r="V357" s="3">
        <f ca="1">IFERROR(__xludf.DUMMYFUNCTION("""COMPUTED_VALUE"""),0.382)</f>
        <v>0.38200000000000001</v>
      </c>
      <c r="W357" s="3">
        <f ca="1">IFERROR(__xludf.DUMMYFUNCTION("""COMPUTED_VALUE"""),554)</f>
        <v>554</v>
      </c>
      <c r="X357" s="3">
        <f ca="1">IFERROR(__xludf.DUMMYFUNCTION("""COMPUTED_VALUE"""),764)</f>
        <v>764</v>
      </c>
      <c r="Y357" s="3">
        <f ca="1">IFERROR(__xludf.DUMMYFUNCTION("""COMPUTED_VALUE"""),0.725)</f>
        <v>0.72499999999999998</v>
      </c>
      <c r="Z357" s="3">
        <f ca="1">IFERROR(__xludf.DUMMYFUNCTION("""COMPUTED_VALUE"""),318)</f>
        <v>318</v>
      </c>
      <c r="AA357" s="3">
        <f ca="1">IFERROR(__xludf.DUMMYFUNCTION("""COMPUTED_VALUE"""),1271)</f>
        <v>1271</v>
      </c>
      <c r="AB357" s="3">
        <f ca="1">IFERROR(__xludf.DUMMYFUNCTION("""COMPUTED_VALUE"""),484)</f>
        <v>484</v>
      </c>
      <c r="AC357" s="3">
        <f ca="1">IFERROR(__xludf.DUMMYFUNCTION("""COMPUTED_VALUE"""),201)</f>
        <v>201</v>
      </c>
      <c r="AD357" s="3">
        <f ca="1">IFERROR(__xludf.DUMMYFUNCTION("""COMPUTED_VALUE"""),89)</f>
        <v>89</v>
      </c>
      <c r="AE357" s="3">
        <f ca="1">IFERROR(__xludf.DUMMYFUNCTION("""COMPUTED_VALUE"""),487)</f>
        <v>487</v>
      </c>
      <c r="AF357" s="3">
        <f ca="1">IFERROR(__xludf.DUMMYFUNCTION("""COMPUTED_VALUE"""),612)</f>
        <v>612</v>
      </c>
    </row>
    <row r="358" spans="1:32" x14ac:dyDescent="0.25">
      <c r="A358" s="3" t="str">
        <f ca="1">IFERROR(__xludf.DUMMYFUNCTION("""COMPUTED_VALUE"""),"Utah")</f>
        <v>Utah</v>
      </c>
      <c r="B358" s="3">
        <f ca="1">IFERROR(__xludf.DUMMYFUNCTION("""COMPUTED_VALUE"""),31)</f>
        <v>31</v>
      </c>
      <c r="C358" s="3">
        <f ca="1">IFERROR(__xludf.DUMMYFUNCTION("""COMPUTED_VALUE"""),17)</f>
        <v>17</v>
      </c>
      <c r="D358" s="3">
        <f ca="1">IFERROR(__xludf.DUMMYFUNCTION("""COMPUTED_VALUE"""),14)</f>
        <v>14</v>
      </c>
      <c r="E358" s="3">
        <f ca="1">IFERROR(__xludf.DUMMYFUNCTION("""COMPUTED_VALUE"""),0.548)</f>
        <v>0.54800000000000004</v>
      </c>
      <c r="F358" s="3">
        <f ca="1">IFERROR(__xludf.DUMMYFUNCTION("""COMPUTED_VALUE"""),6.13)</f>
        <v>6.13</v>
      </c>
      <c r="G358" s="3">
        <f ca="1">IFERROR(__xludf.DUMMYFUNCTION("""COMPUTED_VALUE"""),5.1)</f>
        <v>5.0999999999999996</v>
      </c>
      <c r="H358" s="3">
        <f ca="1">IFERROR(__xludf.DUMMYFUNCTION("""COMPUTED_VALUE"""),11)</f>
        <v>11</v>
      </c>
      <c r="I358" s="3">
        <f ca="1">IFERROR(__xludf.DUMMYFUNCTION("""COMPUTED_VALUE"""),7)</f>
        <v>7</v>
      </c>
      <c r="J358" s="3">
        <f ca="1">IFERROR(__xludf.DUMMYFUNCTION("""COMPUTED_VALUE"""),10)</f>
        <v>10</v>
      </c>
      <c r="K358" s="3">
        <f ca="1">IFERROR(__xludf.DUMMYFUNCTION("""COMPUTED_VALUE"""),5)</f>
        <v>5</v>
      </c>
      <c r="L358" s="3">
        <f ca="1">IFERROR(__xludf.DUMMYFUNCTION("""COMPUTED_VALUE"""),6)</f>
        <v>6</v>
      </c>
      <c r="M358" s="3">
        <f ca="1">IFERROR(__xludf.DUMMYFUNCTION("""COMPUTED_VALUE"""),5)</f>
        <v>5</v>
      </c>
      <c r="N358" s="3">
        <f ca="1">IFERROR(__xludf.DUMMYFUNCTION("""COMPUTED_VALUE"""),2343)</f>
        <v>2343</v>
      </c>
      <c r="O358" s="3">
        <f ca="1">IFERROR(__xludf.DUMMYFUNCTION("""COMPUTED_VALUE"""),2311)</f>
        <v>2311</v>
      </c>
      <c r="P358" s="3">
        <f ca="1">IFERROR(__xludf.DUMMYFUNCTION("""COMPUTED_VALUE"""),1245)</f>
        <v>1245</v>
      </c>
      <c r="Q358" s="3">
        <f ca="1">IFERROR(__xludf.DUMMYFUNCTION("""COMPUTED_VALUE"""),805)</f>
        <v>805</v>
      </c>
      <c r="R358" s="3">
        <f ca="1">IFERROR(__xludf.DUMMYFUNCTION("""COMPUTED_VALUE"""),1735)</f>
        <v>1735</v>
      </c>
      <c r="S358" s="3">
        <f ca="1">IFERROR(__xludf.DUMMYFUNCTION("""COMPUTED_VALUE"""),0.464)</f>
        <v>0.46400000000000002</v>
      </c>
      <c r="T358" s="3">
        <f ca="1">IFERROR(__xludf.DUMMYFUNCTION("""COMPUTED_VALUE"""),298)</f>
        <v>298</v>
      </c>
      <c r="U358" s="3">
        <f ca="1">IFERROR(__xludf.DUMMYFUNCTION("""COMPUTED_VALUE"""),806)</f>
        <v>806</v>
      </c>
      <c r="V358" s="3">
        <f ca="1">IFERROR(__xludf.DUMMYFUNCTION("""COMPUTED_VALUE"""),0.37)</f>
        <v>0.37</v>
      </c>
      <c r="W358" s="3">
        <f ca="1">IFERROR(__xludf.DUMMYFUNCTION("""COMPUTED_VALUE"""),435)</f>
        <v>435</v>
      </c>
      <c r="X358" s="3">
        <f ca="1">IFERROR(__xludf.DUMMYFUNCTION("""COMPUTED_VALUE"""),616)</f>
        <v>616</v>
      </c>
      <c r="Y358" s="3">
        <f ca="1">IFERROR(__xludf.DUMMYFUNCTION("""COMPUTED_VALUE"""),0.706)</f>
        <v>0.70599999999999996</v>
      </c>
      <c r="Z358" s="3">
        <f ca="1">IFERROR(__xludf.DUMMYFUNCTION("""COMPUTED_VALUE"""),317)</f>
        <v>317</v>
      </c>
      <c r="AA358" s="3">
        <f ca="1">IFERROR(__xludf.DUMMYFUNCTION("""COMPUTED_VALUE"""),1096)</f>
        <v>1096</v>
      </c>
      <c r="AB358" s="3">
        <f ca="1">IFERROR(__xludf.DUMMYFUNCTION("""COMPUTED_VALUE"""),440)</f>
        <v>440</v>
      </c>
      <c r="AC358" s="3">
        <f ca="1">IFERROR(__xludf.DUMMYFUNCTION("""COMPUTED_VALUE"""),144)</f>
        <v>144</v>
      </c>
      <c r="AD358" s="3">
        <f ca="1">IFERROR(__xludf.DUMMYFUNCTION("""COMPUTED_VALUE"""),80)</f>
        <v>80</v>
      </c>
      <c r="AE358" s="3">
        <f ca="1">IFERROR(__xludf.DUMMYFUNCTION("""COMPUTED_VALUE"""),409)</f>
        <v>409</v>
      </c>
      <c r="AF358" s="3">
        <f ca="1">IFERROR(__xludf.DUMMYFUNCTION("""COMPUTED_VALUE"""),548)</f>
        <v>548</v>
      </c>
    </row>
    <row r="359" spans="1:32" x14ac:dyDescent="0.25">
      <c r="A359" s="3" t="str">
        <f ca="1">IFERROR(__xludf.DUMMYFUNCTION("""COMPUTED_VALUE"""),"Valparaiso")</f>
        <v>Valparaiso</v>
      </c>
      <c r="B359" s="3">
        <f ca="1">IFERROR(__xludf.DUMMYFUNCTION("""COMPUTED_VALUE"""),33)</f>
        <v>33</v>
      </c>
      <c r="C359" s="3">
        <f ca="1">IFERROR(__xludf.DUMMYFUNCTION("""COMPUTED_VALUE"""),15)</f>
        <v>15</v>
      </c>
      <c r="D359" s="3">
        <f ca="1">IFERROR(__xludf.DUMMYFUNCTION("""COMPUTED_VALUE"""),18)</f>
        <v>18</v>
      </c>
      <c r="E359" s="3">
        <f ca="1">IFERROR(__xludf.DUMMYFUNCTION("""COMPUTED_VALUE"""),0.455)</f>
        <v>0.45500000000000002</v>
      </c>
      <c r="F359" s="3">
        <f ca="1">IFERROR(__xludf.DUMMYFUNCTION("""COMPUTED_VALUE"""),-3.38)</f>
        <v>-3.38</v>
      </c>
      <c r="G359" s="3">
        <f ca="1">IFERROR(__xludf.DUMMYFUNCTION("""COMPUTED_VALUE"""),-1)</f>
        <v>-1</v>
      </c>
      <c r="H359" s="3">
        <f ca="1">IFERROR(__xludf.DUMMYFUNCTION("""COMPUTED_VALUE"""),7)</f>
        <v>7</v>
      </c>
      <c r="I359" s="3">
        <f ca="1">IFERROR(__xludf.DUMMYFUNCTION("""COMPUTED_VALUE"""),11)</f>
        <v>11</v>
      </c>
      <c r="J359" s="3">
        <f ca="1">IFERROR(__xludf.DUMMYFUNCTION("""COMPUTED_VALUE"""),8)</f>
        <v>8</v>
      </c>
      <c r="K359" s="3">
        <f ca="1">IFERROR(__xludf.DUMMYFUNCTION("""COMPUTED_VALUE"""),7)</f>
        <v>7</v>
      </c>
      <c r="L359" s="3">
        <f ca="1">IFERROR(__xludf.DUMMYFUNCTION("""COMPUTED_VALUE"""),5)</f>
        <v>5</v>
      </c>
      <c r="M359" s="3">
        <f ca="1">IFERROR(__xludf.DUMMYFUNCTION("""COMPUTED_VALUE"""),8)</f>
        <v>8</v>
      </c>
      <c r="N359" s="3">
        <f ca="1">IFERROR(__xludf.DUMMYFUNCTION("""COMPUTED_VALUE"""),2205)</f>
        <v>2205</v>
      </c>
      <c r="O359" s="3">
        <f ca="1">IFERROR(__xludf.DUMMYFUNCTION("""COMPUTED_VALUE"""),2187)</f>
        <v>2187</v>
      </c>
      <c r="P359" s="3">
        <f ca="1">IFERROR(__xludf.DUMMYFUNCTION("""COMPUTED_VALUE"""),1335)</f>
        <v>1335</v>
      </c>
      <c r="Q359" s="3">
        <f ca="1">IFERROR(__xludf.DUMMYFUNCTION("""COMPUTED_VALUE"""),802)</f>
        <v>802</v>
      </c>
      <c r="R359" s="3">
        <f ca="1">IFERROR(__xludf.DUMMYFUNCTION("""COMPUTED_VALUE"""),1783)</f>
        <v>1783</v>
      </c>
      <c r="S359" s="3">
        <f ca="1">IFERROR(__xludf.DUMMYFUNCTION("""COMPUTED_VALUE"""),0.45)</f>
        <v>0.45</v>
      </c>
      <c r="T359" s="3">
        <f ca="1">IFERROR(__xludf.DUMMYFUNCTION("""COMPUTED_VALUE"""),185)</f>
        <v>185</v>
      </c>
      <c r="U359" s="3">
        <f ca="1">IFERROR(__xludf.DUMMYFUNCTION("""COMPUTED_VALUE"""),585)</f>
        <v>585</v>
      </c>
      <c r="V359" s="3">
        <f ca="1">IFERROR(__xludf.DUMMYFUNCTION("""COMPUTED_VALUE"""),0.316)</f>
        <v>0.316</v>
      </c>
      <c r="W359" s="3">
        <f ca="1">IFERROR(__xludf.DUMMYFUNCTION("""COMPUTED_VALUE"""),416)</f>
        <v>416</v>
      </c>
      <c r="X359" s="3">
        <f ca="1">IFERROR(__xludf.DUMMYFUNCTION("""COMPUTED_VALUE"""),595)</f>
        <v>595</v>
      </c>
      <c r="Y359" s="3">
        <f ca="1">IFERROR(__xludf.DUMMYFUNCTION("""COMPUTED_VALUE"""),0.699)</f>
        <v>0.69899999999999995</v>
      </c>
      <c r="Z359" s="3">
        <f ca="1">IFERROR(__xludf.DUMMYFUNCTION("""COMPUTED_VALUE"""),294)</f>
        <v>294</v>
      </c>
      <c r="AA359" s="3">
        <f ca="1">IFERROR(__xludf.DUMMYFUNCTION("""COMPUTED_VALUE"""),1115)</f>
        <v>1115</v>
      </c>
      <c r="AB359" s="3">
        <f ca="1">IFERROR(__xludf.DUMMYFUNCTION("""COMPUTED_VALUE"""),431)</f>
        <v>431</v>
      </c>
      <c r="AC359" s="3">
        <f ca="1">IFERROR(__xludf.DUMMYFUNCTION("""COMPUTED_VALUE"""),202)</f>
        <v>202</v>
      </c>
      <c r="AD359" s="3">
        <f ca="1">IFERROR(__xludf.DUMMYFUNCTION("""COMPUTED_VALUE"""),101)</f>
        <v>101</v>
      </c>
      <c r="AE359" s="3">
        <f ca="1">IFERROR(__xludf.DUMMYFUNCTION("""COMPUTED_VALUE"""),439)</f>
        <v>439</v>
      </c>
      <c r="AF359" s="3">
        <f ca="1">IFERROR(__xludf.DUMMYFUNCTION("""COMPUTED_VALUE"""),546)</f>
        <v>546</v>
      </c>
    </row>
    <row r="360" spans="1:32" x14ac:dyDescent="0.25">
      <c r="A360" s="3" t="str">
        <f ca="1">IFERROR(__xludf.DUMMYFUNCTION("""COMPUTED_VALUE"""),"Vanderbilt")</f>
        <v>Vanderbilt</v>
      </c>
      <c r="B360" s="3">
        <f ca="1">IFERROR(__xludf.DUMMYFUNCTION("""COMPUTED_VALUE"""),32)</f>
        <v>32</v>
      </c>
      <c r="C360" s="3">
        <f ca="1">IFERROR(__xludf.DUMMYFUNCTION("""COMPUTED_VALUE"""),9)</f>
        <v>9</v>
      </c>
      <c r="D360" s="3">
        <f ca="1">IFERROR(__xludf.DUMMYFUNCTION("""COMPUTED_VALUE"""),23)</f>
        <v>23</v>
      </c>
      <c r="E360" s="3">
        <f ca="1">IFERROR(__xludf.DUMMYFUNCTION("""COMPUTED_VALUE"""),0.281)</f>
        <v>0.28100000000000003</v>
      </c>
      <c r="F360" s="3">
        <f ca="1">IFERROR(__xludf.DUMMYFUNCTION("""COMPUTED_VALUE"""),3.57)</f>
        <v>3.57</v>
      </c>
      <c r="G360" s="3">
        <f ca="1">IFERROR(__xludf.DUMMYFUNCTION("""COMPUTED_VALUE"""),7.79)</f>
        <v>7.79</v>
      </c>
      <c r="H360" s="3">
        <f ca="1">IFERROR(__xludf.DUMMYFUNCTION("""COMPUTED_VALUE"""),0)</f>
        <v>0</v>
      </c>
      <c r="I360" s="3">
        <f ca="1">IFERROR(__xludf.DUMMYFUNCTION("""COMPUTED_VALUE"""),18)</f>
        <v>18</v>
      </c>
      <c r="J360" s="3">
        <f ca="1">IFERROR(__xludf.DUMMYFUNCTION("""COMPUTED_VALUE"""),8)</f>
        <v>8</v>
      </c>
      <c r="K360" s="3">
        <f ca="1">IFERROR(__xludf.DUMMYFUNCTION("""COMPUTED_VALUE"""),10)</f>
        <v>10</v>
      </c>
      <c r="L360" s="3">
        <f ca="1">IFERROR(__xludf.DUMMYFUNCTION("""COMPUTED_VALUE"""),1)</f>
        <v>1</v>
      </c>
      <c r="M360" s="3">
        <f ca="1">IFERROR(__xludf.DUMMYFUNCTION("""COMPUTED_VALUE"""),10)</f>
        <v>10</v>
      </c>
      <c r="N360" s="3">
        <f ca="1">IFERROR(__xludf.DUMMYFUNCTION("""COMPUTED_VALUE"""),2180)</f>
        <v>2180</v>
      </c>
      <c r="O360" s="3">
        <f ca="1">IFERROR(__xludf.DUMMYFUNCTION("""COMPUTED_VALUE"""),2315)</f>
        <v>2315</v>
      </c>
      <c r="P360" s="3">
        <f ca="1">IFERROR(__xludf.DUMMYFUNCTION("""COMPUTED_VALUE"""),1285)</f>
        <v>1285</v>
      </c>
      <c r="Q360" s="3">
        <f ca="1">IFERROR(__xludf.DUMMYFUNCTION("""COMPUTED_VALUE"""),736)</f>
        <v>736</v>
      </c>
      <c r="R360" s="3">
        <f ca="1">IFERROR(__xludf.DUMMYFUNCTION("""COMPUTED_VALUE"""),1750)</f>
        <v>1750</v>
      </c>
      <c r="S360" s="3">
        <f ca="1">IFERROR(__xludf.DUMMYFUNCTION("""COMPUTED_VALUE"""),0.421)</f>
        <v>0.42099999999999999</v>
      </c>
      <c r="T360" s="3">
        <f ca="1">IFERROR(__xludf.DUMMYFUNCTION("""COMPUTED_VALUE"""),230)</f>
        <v>230</v>
      </c>
      <c r="U360" s="3">
        <f ca="1">IFERROR(__xludf.DUMMYFUNCTION("""COMPUTED_VALUE"""),739)</f>
        <v>739</v>
      </c>
      <c r="V360" s="3">
        <f ca="1">IFERROR(__xludf.DUMMYFUNCTION("""COMPUTED_VALUE"""),0.311)</f>
        <v>0.311</v>
      </c>
      <c r="W360" s="3">
        <f ca="1">IFERROR(__xludf.DUMMYFUNCTION("""COMPUTED_VALUE"""),478)</f>
        <v>478</v>
      </c>
      <c r="X360" s="3">
        <f ca="1">IFERROR(__xludf.DUMMYFUNCTION("""COMPUTED_VALUE"""),710)</f>
        <v>710</v>
      </c>
      <c r="Y360" s="3">
        <f ca="1">IFERROR(__xludf.DUMMYFUNCTION("""COMPUTED_VALUE"""),0.673)</f>
        <v>0.67300000000000004</v>
      </c>
      <c r="Z360" s="3">
        <f ca="1">IFERROR(__xludf.DUMMYFUNCTION("""COMPUTED_VALUE"""),325)</f>
        <v>325</v>
      </c>
      <c r="AA360" s="3">
        <f ca="1">IFERROR(__xludf.DUMMYFUNCTION("""COMPUTED_VALUE"""),1139)</f>
        <v>1139</v>
      </c>
      <c r="AB360" s="3">
        <f ca="1">IFERROR(__xludf.DUMMYFUNCTION("""COMPUTED_VALUE"""),371)</f>
        <v>371</v>
      </c>
      <c r="AC360" s="3">
        <f ca="1">IFERROR(__xludf.DUMMYFUNCTION("""COMPUTED_VALUE"""),154)</f>
        <v>154</v>
      </c>
      <c r="AD360" s="3">
        <f ca="1">IFERROR(__xludf.DUMMYFUNCTION("""COMPUTED_VALUE"""),126)</f>
        <v>126</v>
      </c>
      <c r="AE360" s="3">
        <f ca="1">IFERROR(__xludf.DUMMYFUNCTION("""COMPUTED_VALUE"""),454)</f>
        <v>454</v>
      </c>
      <c r="AF360" s="3">
        <f ca="1">IFERROR(__xludf.DUMMYFUNCTION("""COMPUTED_VALUE"""),568)</f>
        <v>568</v>
      </c>
    </row>
    <row r="361" spans="1:32" x14ac:dyDescent="0.25">
      <c r="A361" s="3" t="str">
        <f ca="1">IFERROR(__xludf.DUMMYFUNCTION("""COMPUTED_VALUE"""),"VermontNCAA")</f>
        <v>VermontNCAA</v>
      </c>
      <c r="B361" s="3">
        <f ca="1">IFERROR(__xludf.DUMMYFUNCTION("""COMPUTED_VALUE"""),34)</f>
        <v>34</v>
      </c>
      <c r="C361" s="3">
        <f ca="1">IFERROR(__xludf.DUMMYFUNCTION("""COMPUTED_VALUE"""),27)</f>
        <v>27</v>
      </c>
      <c r="D361" s="3">
        <f ca="1">IFERROR(__xludf.DUMMYFUNCTION("""COMPUTED_VALUE"""),7)</f>
        <v>7</v>
      </c>
      <c r="E361" s="3">
        <f ca="1">IFERROR(__xludf.DUMMYFUNCTION("""COMPUTED_VALUE"""),0.794)</f>
        <v>0.79400000000000004</v>
      </c>
      <c r="F361" s="3">
        <f ca="1">IFERROR(__xludf.DUMMYFUNCTION("""COMPUTED_VALUE"""),4.88)</f>
        <v>4.88</v>
      </c>
      <c r="G361" s="3">
        <f ca="1">IFERROR(__xludf.DUMMYFUNCTION("""COMPUTED_VALUE"""),-4.18)</f>
        <v>-4.18</v>
      </c>
      <c r="H361" s="3">
        <f ca="1">IFERROR(__xludf.DUMMYFUNCTION("""COMPUTED_VALUE"""),14)</f>
        <v>14</v>
      </c>
      <c r="I361" s="3">
        <f ca="1">IFERROR(__xludf.DUMMYFUNCTION("""COMPUTED_VALUE"""),2)</f>
        <v>2</v>
      </c>
      <c r="J361" s="3">
        <f ca="1">IFERROR(__xludf.DUMMYFUNCTION("""COMPUTED_VALUE"""),16)</f>
        <v>16</v>
      </c>
      <c r="K361" s="3">
        <f ca="1">IFERROR(__xludf.DUMMYFUNCTION("""COMPUTED_VALUE"""),2)</f>
        <v>2</v>
      </c>
      <c r="L361" s="3">
        <f ca="1">IFERROR(__xludf.DUMMYFUNCTION("""COMPUTED_VALUE"""),11)</f>
        <v>11</v>
      </c>
      <c r="M361" s="3">
        <f ca="1">IFERROR(__xludf.DUMMYFUNCTION("""COMPUTED_VALUE"""),4)</f>
        <v>4</v>
      </c>
      <c r="N361" s="3">
        <f ca="1">IFERROR(__xludf.DUMMYFUNCTION("""COMPUTED_VALUE"""),2508)</f>
        <v>2508</v>
      </c>
      <c r="O361" s="3">
        <f ca="1">IFERROR(__xludf.DUMMYFUNCTION("""COMPUTED_VALUE"""),2143)</f>
        <v>2143</v>
      </c>
      <c r="P361" s="3">
        <f ca="1">IFERROR(__xludf.DUMMYFUNCTION("""COMPUTED_VALUE"""),1370)</f>
        <v>1370</v>
      </c>
      <c r="Q361" s="3">
        <f ca="1">IFERROR(__xludf.DUMMYFUNCTION("""COMPUTED_VALUE"""),864)</f>
        <v>864</v>
      </c>
      <c r="R361" s="3">
        <f ca="1">IFERROR(__xludf.DUMMYFUNCTION("""COMPUTED_VALUE"""),1887)</f>
        <v>1887</v>
      </c>
      <c r="S361" s="3">
        <f ca="1">IFERROR(__xludf.DUMMYFUNCTION("""COMPUTED_VALUE"""),0.458)</f>
        <v>0.45800000000000002</v>
      </c>
      <c r="T361" s="3">
        <f ca="1">IFERROR(__xludf.DUMMYFUNCTION("""COMPUTED_VALUE"""),273)</f>
        <v>273</v>
      </c>
      <c r="U361" s="3">
        <f ca="1">IFERROR(__xludf.DUMMYFUNCTION("""COMPUTED_VALUE"""),761)</f>
        <v>761</v>
      </c>
      <c r="V361" s="3">
        <f ca="1">IFERROR(__xludf.DUMMYFUNCTION("""COMPUTED_VALUE"""),0.359)</f>
        <v>0.35899999999999999</v>
      </c>
      <c r="W361" s="3">
        <f ca="1">IFERROR(__xludf.DUMMYFUNCTION("""COMPUTED_VALUE"""),507)</f>
        <v>507</v>
      </c>
      <c r="X361" s="3">
        <f ca="1">IFERROR(__xludf.DUMMYFUNCTION("""COMPUTED_VALUE"""),678)</f>
        <v>678</v>
      </c>
      <c r="Y361" s="3">
        <f ca="1">IFERROR(__xludf.DUMMYFUNCTION("""COMPUTED_VALUE"""),0.748)</f>
        <v>0.748</v>
      </c>
      <c r="Z361" s="3">
        <f ca="1">IFERROR(__xludf.DUMMYFUNCTION("""COMPUTED_VALUE"""),304)</f>
        <v>304</v>
      </c>
      <c r="AA361" s="3">
        <f ca="1">IFERROR(__xludf.DUMMYFUNCTION("""COMPUTED_VALUE"""),1194)</f>
        <v>1194</v>
      </c>
      <c r="AB361" s="3">
        <f ca="1">IFERROR(__xludf.DUMMYFUNCTION("""COMPUTED_VALUE"""),399)</f>
        <v>399</v>
      </c>
      <c r="AC361" s="3">
        <f ca="1">IFERROR(__xludf.DUMMYFUNCTION("""COMPUTED_VALUE"""),188)</f>
        <v>188</v>
      </c>
      <c r="AD361" s="3">
        <f ca="1">IFERROR(__xludf.DUMMYFUNCTION("""COMPUTED_VALUE"""),136)</f>
        <v>136</v>
      </c>
      <c r="AE361" s="3">
        <f ca="1">IFERROR(__xludf.DUMMYFUNCTION("""COMPUTED_VALUE"""),377)</f>
        <v>377</v>
      </c>
      <c r="AF361" s="3">
        <f ca="1">IFERROR(__xludf.DUMMYFUNCTION("""COMPUTED_VALUE"""),568)</f>
        <v>568</v>
      </c>
    </row>
    <row r="362" spans="1:32" x14ac:dyDescent="0.25">
      <c r="A362" s="3" t="str">
        <f ca="1">IFERROR(__xludf.DUMMYFUNCTION("""COMPUTED_VALUE"""),"VillanovaNCAA")</f>
        <v>VillanovaNCAA</v>
      </c>
      <c r="B362" s="3">
        <f ca="1">IFERROR(__xludf.DUMMYFUNCTION("""COMPUTED_VALUE"""),36)</f>
        <v>36</v>
      </c>
      <c r="C362" s="3">
        <f ca="1">IFERROR(__xludf.DUMMYFUNCTION("""COMPUTED_VALUE"""),26)</f>
        <v>26</v>
      </c>
      <c r="D362" s="3">
        <f ca="1">IFERROR(__xludf.DUMMYFUNCTION("""COMPUTED_VALUE"""),10)</f>
        <v>10</v>
      </c>
      <c r="E362" s="3">
        <f ca="1">IFERROR(__xludf.DUMMYFUNCTION("""COMPUTED_VALUE"""),0.722)</f>
        <v>0.72199999999999998</v>
      </c>
      <c r="F362" s="3">
        <f ca="1">IFERROR(__xludf.DUMMYFUNCTION("""COMPUTED_VALUE"""),14.33)</f>
        <v>14.33</v>
      </c>
      <c r="G362" s="3">
        <f ca="1">IFERROR(__xludf.DUMMYFUNCTION("""COMPUTED_VALUE"""),7.97)</f>
        <v>7.97</v>
      </c>
      <c r="H362" s="3">
        <f ca="1">IFERROR(__xludf.DUMMYFUNCTION("""COMPUTED_VALUE"""),13)</f>
        <v>13</v>
      </c>
      <c r="I362" s="3">
        <f ca="1">IFERROR(__xludf.DUMMYFUNCTION("""COMPUTED_VALUE"""),5)</f>
        <v>5</v>
      </c>
      <c r="J362" s="3">
        <f ca="1">IFERROR(__xludf.DUMMYFUNCTION("""COMPUTED_VALUE"""),13)</f>
        <v>13</v>
      </c>
      <c r="K362" s="3">
        <f ca="1">IFERROR(__xludf.DUMMYFUNCTION("""COMPUTED_VALUE"""),2)</f>
        <v>2</v>
      </c>
      <c r="L362" s="3">
        <f ca="1">IFERROR(__xludf.DUMMYFUNCTION("""COMPUTED_VALUE"""),5)</f>
        <v>5</v>
      </c>
      <c r="M362" s="3">
        <f ca="1">IFERROR(__xludf.DUMMYFUNCTION("""COMPUTED_VALUE"""),6)</f>
        <v>6</v>
      </c>
      <c r="N362" s="3">
        <f ca="1">IFERROR(__xludf.DUMMYFUNCTION("""COMPUTED_VALUE"""),2654)</f>
        <v>2654</v>
      </c>
      <c r="O362" s="3">
        <f ca="1">IFERROR(__xludf.DUMMYFUNCTION("""COMPUTED_VALUE"""),2425)</f>
        <v>2425</v>
      </c>
      <c r="P362" s="3">
        <f ca="1">IFERROR(__xludf.DUMMYFUNCTION("""COMPUTED_VALUE"""),1455)</f>
        <v>1455</v>
      </c>
      <c r="Q362" s="3">
        <f ca="1">IFERROR(__xludf.DUMMYFUNCTION("""COMPUTED_VALUE"""),884)</f>
        <v>884</v>
      </c>
      <c r="R362" s="3">
        <f ca="1">IFERROR(__xludf.DUMMYFUNCTION("""COMPUTED_VALUE"""),2019)</f>
        <v>2019</v>
      </c>
      <c r="S362" s="3">
        <f ca="1">IFERROR(__xludf.DUMMYFUNCTION("""COMPUTED_VALUE"""),0.438)</f>
        <v>0.438</v>
      </c>
      <c r="T362" s="3">
        <f ca="1">IFERROR(__xludf.DUMMYFUNCTION("""COMPUTED_VALUE"""),380)</f>
        <v>380</v>
      </c>
      <c r="U362" s="3">
        <f ca="1">IFERROR(__xludf.DUMMYFUNCTION("""COMPUTED_VALUE"""),1081)</f>
        <v>1081</v>
      </c>
      <c r="V362" s="3">
        <f ca="1">IFERROR(__xludf.DUMMYFUNCTION("""COMPUTED_VALUE"""),0.352)</f>
        <v>0.35199999999999998</v>
      </c>
      <c r="W362" s="3">
        <f ca="1">IFERROR(__xludf.DUMMYFUNCTION("""COMPUTED_VALUE"""),506)</f>
        <v>506</v>
      </c>
      <c r="X362" s="3">
        <f ca="1">IFERROR(__xludf.DUMMYFUNCTION("""COMPUTED_VALUE"""),695)</f>
        <v>695</v>
      </c>
      <c r="Y362" s="3">
        <f ca="1">IFERROR(__xludf.DUMMYFUNCTION("""COMPUTED_VALUE"""),0.728)</f>
        <v>0.72799999999999998</v>
      </c>
      <c r="Z362" s="3">
        <f ca="1">IFERROR(__xludf.DUMMYFUNCTION("""COMPUTED_VALUE"""),368)</f>
        <v>368</v>
      </c>
      <c r="AA362" s="3">
        <f ca="1">IFERROR(__xludf.DUMMYFUNCTION("""COMPUTED_VALUE"""),1253)</f>
        <v>1253</v>
      </c>
      <c r="AB362" s="3">
        <f ca="1">IFERROR(__xludf.DUMMYFUNCTION("""COMPUTED_VALUE"""),503)</f>
        <v>503</v>
      </c>
      <c r="AC362" s="3">
        <f ca="1">IFERROR(__xludf.DUMMYFUNCTION("""COMPUTED_VALUE"""),194)</f>
        <v>194</v>
      </c>
      <c r="AD362" s="3">
        <f ca="1">IFERROR(__xludf.DUMMYFUNCTION("""COMPUTED_VALUE"""),106)</f>
        <v>106</v>
      </c>
      <c r="AE362" s="3">
        <f ca="1">IFERROR(__xludf.DUMMYFUNCTION("""COMPUTED_VALUE"""),388)</f>
        <v>388</v>
      </c>
      <c r="AF362" s="3">
        <f ca="1">IFERROR(__xludf.DUMMYFUNCTION("""COMPUTED_VALUE"""),580)</f>
        <v>580</v>
      </c>
    </row>
    <row r="363" spans="1:32" x14ac:dyDescent="0.25">
      <c r="A363" s="3" t="str">
        <f ca="1">IFERROR(__xludf.DUMMYFUNCTION("""COMPUTED_VALUE"""),"Virginia CommonwealthNCAA")</f>
        <v>Virginia CommonwealthNCAA</v>
      </c>
      <c r="B363" s="3">
        <f ca="1">IFERROR(__xludf.DUMMYFUNCTION("""COMPUTED_VALUE"""),33)</f>
        <v>33</v>
      </c>
      <c r="C363" s="3">
        <f ca="1">IFERROR(__xludf.DUMMYFUNCTION("""COMPUTED_VALUE"""),25)</f>
        <v>25</v>
      </c>
      <c r="D363" s="3">
        <f ca="1">IFERROR(__xludf.DUMMYFUNCTION("""COMPUTED_VALUE"""),8)</f>
        <v>8</v>
      </c>
      <c r="E363" s="3">
        <f ca="1">IFERROR(__xludf.DUMMYFUNCTION("""COMPUTED_VALUE"""),0.758)</f>
        <v>0.75800000000000001</v>
      </c>
      <c r="F363" s="3">
        <f ca="1">IFERROR(__xludf.DUMMYFUNCTION("""COMPUTED_VALUE"""),11.96)</f>
        <v>11.96</v>
      </c>
      <c r="G363" s="3">
        <f ca="1">IFERROR(__xludf.DUMMYFUNCTION("""COMPUTED_VALUE"""),2.87)</f>
        <v>2.87</v>
      </c>
      <c r="H363" s="3">
        <f ca="1">IFERROR(__xludf.DUMMYFUNCTION("""COMPUTED_VALUE"""),16)</f>
        <v>16</v>
      </c>
      <c r="I363" s="3">
        <f ca="1">IFERROR(__xludf.DUMMYFUNCTION("""COMPUTED_VALUE"""),2)</f>
        <v>2</v>
      </c>
      <c r="J363" s="3">
        <f ca="1">IFERROR(__xludf.DUMMYFUNCTION("""COMPUTED_VALUE"""),16)</f>
        <v>16</v>
      </c>
      <c r="K363" s="3">
        <f ca="1">IFERROR(__xludf.DUMMYFUNCTION("""COMPUTED_VALUE"""),1)</f>
        <v>1</v>
      </c>
      <c r="L363" s="3">
        <f ca="1">IFERROR(__xludf.DUMMYFUNCTION("""COMPUTED_VALUE"""),8)</f>
        <v>8</v>
      </c>
      <c r="M363" s="3">
        <f ca="1">IFERROR(__xludf.DUMMYFUNCTION("""COMPUTED_VALUE"""),4)</f>
        <v>4</v>
      </c>
      <c r="N363" s="3">
        <f ca="1">IFERROR(__xludf.DUMMYFUNCTION("""COMPUTED_VALUE"""),2344)</f>
        <v>2344</v>
      </c>
      <c r="O363" s="3">
        <f ca="1">IFERROR(__xludf.DUMMYFUNCTION("""COMPUTED_VALUE"""),2044)</f>
        <v>2044</v>
      </c>
      <c r="P363" s="3">
        <f ca="1">IFERROR(__xludf.DUMMYFUNCTION("""COMPUTED_VALUE"""),1330)</f>
        <v>1330</v>
      </c>
      <c r="Q363" s="3">
        <f ca="1">IFERROR(__xludf.DUMMYFUNCTION("""COMPUTED_VALUE"""),820)</f>
        <v>820</v>
      </c>
      <c r="R363" s="3">
        <f ca="1">IFERROR(__xludf.DUMMYFUNCTION("""COMPUTED_VALUE"""),1872)</f>
        <v>1872</v>
      </c>
      <c r="S363" s="3">
        <f ca="1">IFERROR(__xludf.DUMMYFUNCTION("""COMPUTED_VALUE"""),0.438)</f>
        <v>0.438</v>
      </c>
      <c r="T363" s="3">
        <f ca="1">IFERROR(__xludf.DUMMYFUNCTION("""COMPUTED_VALUE"""),235)</f>
        <v>235</v>
      </c>
      <c r="U363" s="3">
        <f ca="1">IFERROR(__xludf.DUMMYFUNCTION("""COMPUTED_VALUE"""),771)</f>
        <v>771</v>
      </c>
      <c r="V363" s="3">
        <f ca="1">IFERROR(__xludf.DUMMYFUNCTION("""COMPUTED_VALUE"""),0.305)</f>
        <v>0.30499999999999999</v>
      </c>
      <c r="W363" s="3">
        <f ca="1">IFERROR(__xludf.DUMMYFUNCTION("""COMPUTED_VALUE"""),469)</f>
        <v>469</v>
      </c>
      <c r="X363" s="3">
        <f ca="1">IFERROR(__xludf.DUMMYFUNCTION("""COMPUTED_VALUE"""),669)</f>
        <v>669</v>
      </c>
      <c r="Y363" s="3">
        <f ca="1">IFERROR(__xludf.DUMMYFUNCTION("""COMPUTED_VALUE"""),0.701)</f>
        <v>0.70099999999999996</v>
      </c>
      <c r="Z363" s="3">
        <f ca="1">IFERROR(__xludf.DUMMYFUNCTION("""COMPUTED_VALUE"""),358)</f>
        <v>358</v>
      </c>
      <c r="AA363" s="3">
        <f ca="1">IFERROR(__xludf.DUMMYFUNCTION("""COMPUTED_VALUE"""),1208)</f>
        <v>1208</v>
      </c>
      <c r="AB363" s="3">
        <f ca="1">IFERROR(__xludf.DUMMYFUNCTION("""COMPUTED_VALUE"""),450)</f>
        <v>450</v>
      </c>
      <c r="AC363" s="3">
        <f ca="1">IFERROR(__xludf.DUMMYFUNCTION("""COMPUTED_VALUE"""),263)</f>
        <v>263</v>
      </c>
      <c r="AD363" s="3">
        <f ca="1">IFERROR(__xludf.DUMMYFUNCTION("""COMPUTED_VALUE"""),148)</f>
        <v>148</v>
      </c>
      <c r="AE363" s="3">
        <f ca="1">IFERROR(__xludf.DUMMYFUNCTION("""COMPUTED_VALUE"""),458)</f>
        <v>458</v>
      </c>
      <c r="AF363" s="3">
        <f ca="1">IFERROR(__xludf.DUMMYFUNCTION("""COMPUTED_VALUE"""),650)</f>
        <v>650</v>
      </c>
    </row>
    <row r="364" spans="1:32" x14ac:dyDescent="0.25">
      <c r="A364" s="3" t="str">
        <f ca="1">IFERROR(__xludf.DUMMYFUNCTION("""COMPUTED_VALUE"""),"VMI")</f>
        <v>VMI</v>
      </c>
      <c r="B364" s="3">
        <f ca="1">IFERROR(__xludf.DUMMYFUNCTION("""COMPUTED_VALUE"""),32)</f>
        <v>32</v>
      </c>
      <c r="C364" s="3">
        <f ca="1">IFERROR(__xludf.DUMMYFUNCTION("""COMPUTED_VALUE"""),11)</f>
        <v>11</v>
      </c>
      <c r="D364" s="3">
        <f ca="1">IFERROR(__xludf.DUMMYFUNCTION("""COMPUTED_VALUE"""),21)</f>
        <v>21</v>
      </c>
      <c r="E364" s="3">
        <f ca="1">IFERROR(__xludf.DUMMYFUNCTION("""COMPUTED_VALUE"""),0.344)</f>
        <v>0.34399999999999997</v>
      </c>
      <c r="F364" s="3">
        <f ca="1">IFERROR(__xludf.DUMMYFUNCTION("""COMPUTED_VALUE"""),-10.5)</f>
        <v>-10.5</v>
      </c>
      <c r="G364" s="3">
        <f ca="1">IFERROR(__xludf.DUMMYFUNCTION("""COMPUTED_VALUE"""),0.09)</f>
        <v>0.09</v>
      </c>
      <c r="H364" s="3">
        <f ca="1">IFERROR(__xludf.DUMMYFUNCTION("""COMPUTED_VALUE"""),4)</f>
        <v>4</v>
      </c>
      <c r="I364" s="3">
        <f ca="1">IFERROR(__xludf.DUMMYFUNCTION("""COMPUTED_VALUE"""),14)</f>
        <v>14</v>
      </c>
      <c r="J364" s="3">
        <f ca="1">IFERROR(__xludf.DUMMYFUNCTION("""COMPUTED_VALUE"""),8)</f>
        <v>8</v>
      </c>
      <c r="K364" s="3">
        <f ca="1">IFERROR(__xludf.DUMMYFUNCTION("""COMPUTED_VALUE"""),7)</f>
        <v>7</v>
      </c>
      <c r="L364" s="3">
        <f ca="1">IFERROR(__xludf.DUMMYFUNCTION("""COMPUTED_VALUE"""),2)</f>
        <v>2</v>
      </c>
      <c r="M364" s="3">
        <f ca="1">IFERROR(__xludf.DUMMYFUNCTION("""COMPUTED_VALUE"""),13)</f>
        <v>13</v>
      </c>
      <c r="N364" s="3">
        <f ca="1">IFERROR(__xludf.DUMMYFUNCTION("""COMPUTED_VALUE"""),2433)</f>
        <v>2433</v>
      </c>
      <c r="O364" s="3">
        <f ca="1">IFERROR(__xludf.DUMMYFUNCTION("""COMPUTED_VALUE"""),2617)</f>
        <v>2617</v>
      </c>
      <c r="P364" s="3">
        <f ca="1">IFERROR(__xludf.DUMMYFUNCTION("""COMPUTED_VALUE"""),1290)</f>
        <v>1290</v>
      </c>
      <c r="Q364" s="3">
        <f ca="1">IFERROR(__xludf.DUMMYFUNCTION("""COMPUTED_VALUE"""),843)</f>
        <v>843</v>
      </c>
      <c r="R364" s="3">
        <f ca="1">IFERROR(__xludf.DUMMYFUNCTION("""COMPUTED_VALUE"""),1974)</f>
        <v>1974</v>
      </c>
      <c r="S364" s="3">
        <f ca="1">IFERROR(__xludf.DUMMYFUNCTION("""COMPUTED_VALUE"""),0.427)</f>
        <v>0.42699999999999999</v>
      </c>
      <c r="T364" s="3">
        <f ca="1">IFERROR(__xludf.DUMMYFUNCTION("""COMPUTED_VALUE"""),323)</f>
        <v>323</v>
      </c>
      <c r="U364" s="3">
        <f ca="1">IFERROR(__xludf.DUMMYFUNCTION("""COMPUTED_VALUE"""),899)</f>
        <v>899</v>
      </c>
      <c r="V364" s="3">
        <f ca="1">IFERROR(__xludf.DUMMYFUNCTION("""COMPUTED_VALUE"""),0.359)</f>
        <v>0.35899999999999999</v>
      </c>
      <c r="W364" s="3">
        <f ca="1">IFERROR(__xludf.DUMMYFUNCTION("""COMPUTED_VALUE"""),424)</f>
        <v>424</v>
      </c>
      <c r="X364" s="3">
        <f ca="1">IFERROR(__xludf.DUMMYFUNCTION("""COMPUTED_VALUE"""),581)</f>
        <v>581</v>
      </c>
      <c r="Y364" s="3">
        <f ca="1">IFERROR(__xludf.DUMMYFUNCTION("""COMPUTED_VALUE"""),0.73)</f>
        <v>0.73</v>
      </c>
      <c r="Z364" s="3">
        <f ca="1">IFERROR(__xludf.DUMMYFUNCTION("""COMPUTED_VALUE"""),280)</f>
        <v>280</v>
      </c>
      <c r="AA364" s="3">
        <f ca="1">IFERROR(__xludf.DUMMYFUNCTION("""COMPUTED_VALUE"""),1110)</f>
        <v>1110</v>
      </c>
      <c r="AB364" s="3">
        <f ca="1">IFERROR(__xludf.DUMMYFUNCTION("""COMPUTED_VALUE"""),442)</f>
        <v>442</v>
      </c>
      <c r="AC364" s="3">
        <f ca="1">IFERROR(__xludf.DUMMYFUNCTION("""COMPUTED_VALUE"""),217)</f>
        <v>217</v>
      </c>
      <c r="AD364" s="3">
        <f ca="1">IFERROR(__xludf.DUMMYFUNCTION("""COMPUTED_VALUE"""),61)</f>
        <v>61</v>
      </c>
      <c r="AE364" s="3">
        <f ca="1">IFERROR(__xludf.DUMMYFUNCTION("""COMPUTED_VALUE"""),390)</f>
        <v>390</v>
      </c>
      <c r="AF364" s="3">
        <f ca="1">IFERROR(__xludf.DUMMYFUNCTION("""COMPUTED_VALUE"""),541)</f>
        <v>541</v>
      </c>
    </row>
    <row r="365" spans="1:32" x14ac:dyDescent="0.25">
      <c r="A365" s="3" t="str">
        <f ca="1">IFERROR(__xludf.DUMMYFUNCTION("""COMPUTED_VALUE"""),"Virginia TechNCAA")</f>
        <v>Virginia TechNCAA</v>
      </c>
      <c r="B365" s="3">
        <f ca="1">IFERROR(__xludf.DUMMYFUNCTION("""COMPUTED_VALUE"""),35)</f>
        <v>35</v>
      </c>
      <c r="C365" s="3">
        <f ca="1">IFERROR(__xludf.DUMMYFUNCTION("""COMPUTED_VALUE"""),26)</f>
        <v>26</v>
      </c>
      <c r="D365" s="3">
        <f ca="1">IFERROR(__xludf.DUMMYFUNCTION("""COMPUTED_VALUE"""),9)</f>
        <v>9</v>
      </c>
      <c r="E365" s="3">
        <f ca="1">IFERROR(__xludf.DUMMYFUNCTION("""COMPUTED_VALUE"""),0.743)</f>
        <v>0.74299999999999999</v>
      </c>
      <c r="F365" s="3">
        <f ca="1">IFERROR(__xludf.DUMMYFUNCTION("""COMPUTED_VALUE"""),19.28)</f>
        <v>19.28</v>
      </c>
      <c r="G365" s="3">
        <f ca="1">IFERROR(__xludf.DUMMYFUNCTION("""COMPUTED_VALUE"""),7.79)</f>
        <v>7.79</v>
      </c>
      <c r="H365" s="3">
        <f ca="1">IFERROR(__xludf.DUMMYFUNCTION("""COMPUTED_VALUE"""),12)</f>
        <v>12</v>
      </c>
      <c r="I365" s="3">
        <f ca="1">IFERROR(__xludf.DUMMYFUNCTION("""COMPUTED_VALUE"""),6)</f>
        <v>6</v>
      </c>
      <c r="J365" s="3">
        <f ca="1">IFERROR(__xludf.DUMMYFUNCTION("""COMPUTED_VALUE"""),14)</f>
        <v>14</v>
      </c>
      <c r="K365" s="3">
        <f ca="1">IFERROR(__xludf.DUMMYFUNCTION("""COMPUTED_VALUE"""),2)</f>
        <v>2</v>
      </c>
      <c r="L365" s="3">
        <f ca="1">IFERROR(__xludf.DUMMYFUNCTION("""COMPUTED_VALUE"""),5)</f>
        <v>5</v>
      </c>
      <c r="M365" s="3">
        <f ca="1">IFERROR(__xludf.DUMMYFUNCTION("""COMPUTED_VALUE"""),5)</f>
        <v>5</v>
      </c>
      <c r="N365" s="3">
        <f ca="1">IFERROR(__xludf.DUMMYFUNCTION("""COMPUTED_VALUE"""),2574)</f>
        <v>2574</v>
      </c>
      <c r="O365" s="3">
        <f ca="1">IFERROR(__xludf.DUMMYFUNCTION("""COMPUTED_VALUE"""),2172)</f>
        <v>2172</v>
      </c>
      <c r="P365" s="3">
        <f ca="1">IFERROR(__xludf.DUMMYFUNCTION("""COMPUTED_VALUE"""),1410)</f>
        <v>1410</v>
      </c>
      <c r="Q365" s="3">
        <f ca="1">IFERROR(__xludf.DUMMYFUNCTION("""COMPUTED_VALUE"""),893)</f>
        <v>893</v>
      </c>
      <c r="R365" s="3">
        <f ca="1">IFERROR(__xludf.DUMMYFUNCTION("""COMPUTED_VALUE"""),1900)</f>
        <v>1900</v>
      </c>
      <c r="S365" s="3">
        <f ca="1">IFERROR(__xludf.DUMMYFUNCTION("""COMPUTED_VALUE"""),0.47)</f>
        <v>0.47</v>
      </c>
      <c r="T365" s="3">
        <f ca="1">IFERROR(__xludf.DUMMYFUNCTION("""COMPUTED_VALUE"""),327)</f>
        <v>327</v>
      </c>
      <c r="U365" s="3">
        <f ca="1">IFERROR(__xludf.DUMMYFUNCTION("""COMPUTED_VALUE"""),831)</f>
        <v>831</v>
      </c>
      <c r="V365" s="3">
        <f ca="1">IFERROR(__xludf.DUMMYFUNCTION("""COMPUTED_VALUE"""),0.394)</f>
        <v>0.39400000000000002</v>
      </c>
      <c r="W365" s="3">
        <f ca="1">IFERROR(__xludf.DUMMYFUNCTION("""COMPUTED_VALUE"""),461)</f>
        <v>461</v>
      </c>
      <c r="X365" s="3">
        <f ca="1">IFERROR(__xludf.DUMMYFUNCTION("""COMPUTED_VALUE"""),606)</f>
        <v>606</v>
      </c>
      <c r="Y365" s="3">
        <f ca="1">IFERROR(__xludf.DUMMYFUNCTION("""COMPUTED_VALUE"""),0.761)</f>
        <v>0.76100000000000001</v>
      </c>
      <c r="Z365" s="3">
        <f ca="1">IFERROR(__xludf.DUMMYFUNCTION("""COMPUTED_VALUE"""),310)</f>
        <v>310</v>
      </c>
      <c r="AA365" s="3">
        <f ca="1">IFERROR(__xludf.DUMMYFUNCTION("""COMPUTED_VALUE"""),1142)</f>
        <v>1142</v>
      </c>
      <c r="AB365" s="3">
        <f ca="1">IFERROR(__xludf.DUMMYFUNCTION("""COMPUTED_VALUE"""),531)</f>
        <v>531</v>
      </c>
      <c r="AC365" s="3">
        <f ca="1">IFERROR(__xludf.DUMMYFUNCTION("""COMPUTED_VALUE"""),236)</f>
        <v>236</v>
      </c>
      <c r="AD365" s="3">
        <f ca="1">IFERROR(__xludf.DUMMYFUNCTION("""COMPUTED_VALUE"""),78)</f>
        <v>78</v>
      </c>
      <c r="AE365" s="3">
        <f ca="1">IFERROR(__xludf.DUMMYFUNCTION("""COMPUTED_VALUE"""),392)</f>
        <v>392</v>
      </c>
      <c r="AF365" s="3">
        <f ca="1">IFERROR(__xludf.DUMMYFUNCTION("""COMPUTED_VALUE"""),532)</f>
        <v>532</v>
      </c>
    </row>
    <row r="366" spans="1:32" x14ac:dyDescent="0.25">
      <c r="A366" s="3" t="str">
        <f ca="1">IFERROR(__xludf.DUMMYFUNCTION("""COMPUTED_VALUE"""),"VirginiaNCAA")</f>
        <v>VirginiaNCAA</v>
      </c>
      <c r="B366" s="3">
        <f ca="1">IFERROR(__xludf.DUMMYFUNCTION("""COMPUTED_VALUE"""),38)</f>
        <v>38</v>
      </c>
      <c r="C366" s="3">
        <f ca="1">IFERROR(__xludf.DUMMYFUNCTION("""COMPUTED_VALUE"""),35)</f>
        <v>35</v>
      </c>
      <c r="D366" s="3">
        <f ca="1">IFERROR(__xludf.DUMMYFUNCTION("""COMPUTED_VALUE"""),3)</f>
        <v>3</v>
      </c>
      <c r="E366" s="3">
        <f ca="1">IFERROR(__xludf.DUMMYFUNCTION("""COMPUTED_VALUE"""),0.921)</f>
        <v>0.92100000000000004</v>
      </c>
      <c r="F366" s="3">
        <f ca="1">IFERROR(__xludf.DUMMYFUNCTION("""COMPUTED_VALUE"""),25.46)</f>
        <v>25.46</v>
      </c>
      <c r="G366" s="3">
        <f ca="1">IFERROR(__xludf.DUMMYFUNCTION("""COMPUTED_VALUE"""),10.15)</f>
        <v>10.15</v>
      </c>
      <c r="H366" s="3">
        <f ca="1">IFERROR(__xludf.DUMMYFUNCTION("""COMPUTED_VALUE"""),16)</f>
        <v>16</v>
      </c>
      <c r="I366" s="3">
        <f ca="1">IFERROR(__xludf.DUMMYFUNCTION("""COMPUTED_VALUE"""),2)</f>
        <v>2</v>
      </c>
      <c r="J366" s="3">
        <f ca="1">IFERROR(__xludf.DUMMYFUNCTION("""COMPUTED_VALUE"""),15)</f>
        <v>15</v>
      </c>
      <c r="K366" s="3">
        <f ca="1">IFERROR(__xludf.DUMMYFUNCTION("""COMPUTED_VALUE"""),1)</f>
        <v>1</v>
      </c>
      <c r="L366" s="3">
        <f ca="1">IFERROR(__xludf.DUMMYFUNCTION("""COMPUTED_VALUE"""),10)</f>
        <v>10</v>
      </c>
      <c r="M366" s="3">
        <f ca="1">IFERROR(__xludf.DUMMYFUNCTION("""COMPUTED_VALUE"""),1)</f>
        <v>1</v>
      </c>
      <c r="N366" s="3">
        <f ca="1">IFERROR(__xludf.DUMMYFUNCTION("""COMPUTED_VALUE"""),2714)</f>
        <v>2714</v>
      </c>
      <c r="O366" s="3">
        <f ca="1">IFERROR(__xludf.DUMMYFUNCTION("""COMPUTED_VALUE"""),2132)</f>
        <v>2132</v>
      </c>
      <c r="P366" s="3">
        <f ca="1">IFERROR(__xludf.DUMMYFUNCTION("""COMPUTED_VALUE"""),1535)</f>
        <v>1535</v>
      </c>
      <c r="Q366" s="3">
        <f ca="1">IFERROR(__xludf.DUMMYFUNCTION("""COMPUTED_VALUE"""),974)</f>
        <v>974</v>
      </c>
      <c r="R366" s="3">
        <f ca="1">IFERROR(__xludf.DUMMYFUNCTION("""COMPUTED_VALUE"""),2056)</f>
        <v>2056</v>
      </c>
      <c r="S366" s="3">
        <f ca="1">IFERROR(__xludf.DUMMYFUNCTION("""COMPUTED_VALUE"""),0.474)</f>
        <v>0.47399999999999998</v>
      </c>
      <c r="T366" s="3">
        <f ca="1">IFERROR(__xludf.DUMMYFUNCTION("""COMPUTED_VALUE"""),321)</f>
        <v>321</v>
      </c>
      <c r="U366" s="3">
        <f ca="1">IFERROR(__xludf.DUMMYFUNCTION("""COMPUTED_VALUE"""),813)</f>
        <v>813</v>
      </c>
      <c r="V366" s="3">
        <f ca="1">IFERROR(__xludf.DUMMYFUNCTION("""COMPUTED_VALUE"""),0.395)</f>
        <v>0.39500000000000002</v>
      </c>
      <c r="W366" s="3">
        <f ca="1">IFERROR(__xludf.DUMMYFUNCTION("""COMPUTED_VALUE"""),445)</f>
        <v>445</v>
      </c>
      <c r="X366" s="3">
        <f ca="1">IFERROR(__xludf.DUMMYFUNCTION("""COMPUTED_VALUE"""),598)</f>
        <v>598</v>
      </c>
      <c r="Y366" s="3">
        <f ca="1">IFERROR(__xludf.DUMMYFUNCTION("""COMPUTED_VALUE"""),0.744)</f>
        <v>0.74399999999999999</v>
      </c>
      <c r="Z366" s="3">
        <f ca="1">IFERROR(__xludf.DUMMYFUNCTION("""COMPUTED_VALUE"""),342)</f>
        <v>342</v>
      </c>
      <c r="AA366" s="3">
        <f ca="1">IFERROR(__xludf.DUMMYFUNCTION("""COMPUTED_VALUE"""),1326)</f>
        <v>1326</v>
      </c>
      <c r="AB366" s="3">
        <f ca="1">IFERROR(__xludf.DUMMYFUNCTION("""COMPUTED_VALUE"""),544)</f>
        <v>544</v>
      </c>
      <c r="AC366" s="3">
        <f ca="1">IFERROR(__xludf.DUMMYFUNCTION("""COMPUTED_VALUE"""),211)</f>
        <v>211</v>
      </c>
      <c r="AD366" s="3">
        <f ca="1">IFERROR(__xludf.DUMMYFUNCTION("""COMPUTED_VALUE"""),149)</f>
        <v>149</v>
      </c>
      <c r="AE366" s="3">
        <f ca="1">IFERROR(__xludf.DUMMYFUNCTION("""COMPUTED_VALUE"""),342)</f>
        <v>342</v>
      </c>
      <c r="AF366" s="3">
        <f ca="1">IFERROR(__xludf.DUMMYFUNCTION("""COMPUTED_VALUE"""),542)</f>
        <v>542</v>
      </c>
    </row>
    <row r="367" spans="1:32" x14ac:dyDescent="0.25">
      <c r="A367" s="3" t="str">
        <f ca="1">IFERROR(__xludf.DUMMYFUNCTION("""COMPUTED_VALUE"""),"Wagner")</f>
        <v>Wagner</v>
      </c>
      <c r="B367" s="3">
        <f ca="1">IFERROR(__xludf.DUMMYFUNCTION("""COMPUTED_VALUE"""),30)</f>
        <v>30</v>
      </c>
      <c r="C367" s="3">
        <f ca="1">IFERROR(__xludf.DUMMYFUNCTION("""COMPUTED_VALUE"""),13)</f>
        <v>13</v>
      </c>
      <c r="D367" s="3">
        <f ca="1">IFERROR(__xludf.DUMMYFUNCTION("""COMPUTED_VALUE"""),17)</f>
        <v>17</v>
      </c>
      <c r="E367" s="3">
        <f ca="1">IFERROR(__xludf.DUMMYFUNCTION("""COMPUTED_VALUE"""),0.433)</f>
        <v>0.433</v>
      </c>
      <c r="F367" s="3">
        <f ca="1">IFERROR(__xludf.DUMMYFUNCTION("""COMPUTED_VALUE"""),-12.99)</f>
        <v>-12.99</v>
      </c>
      <c r="G367" s="3">
        <f ca="1">IFERROR(__xludf.DUMMYFUNCTION("""COMPUTED_VALUE"""),-7.63)</f>
        <v>-7.63</v>
      </c>
      <c r="H367" s="3">
        <f ca="1">IFERROR(__xludf.DUMMYFUNCTION("""COMPUTED_VALUE"""),8)</f>
        <v>8</v>
      </c>
      <c r="I367" s="3">
        <f ca="1">IFERROR(__xludf.DUMMYFUNCTION("""COMPUTED_VALUE"""),10)</f>
        <v>10</v>
      </c>
      <c r="J367" s="3">
        <f ca="1">IFERROR(__xludf.DUMMYFUNCTION("""COMPUTED_VALUE"""),7)</f>
        <v>7</v>
      </c>
      <c r="K367" s="3">
        <f ca="1">IFERROR(__xludf.DUMMYFUNCTION("""COMPUTED_VALUE"""),7)</f>
        <v>7</v>
      </c>
      <c r="L367" s="3">
        <f ca="1">IFERROR(__xludf.DUMMYFUNCTION("""COMPUTED_VALUE"""),6)</f>
        <v>6</v>
      </c>
      <c r="M367" s="3">
        <f ca="1">IFERROR(__xludf.DUMMYFUNCTION("""COMPUTED_VALUE"""),10)</f>
        <v>10</v>
      </c>
      <c r="N367" s="3">
        <f ca="1">IFERROR(__xludf.DUMMYFUNCTION("""COMPUTED_VALUE"""),1974)</f>
        <v>1974</v>
      </c>
      <c r="O367" s="3">
        <f ca="1">IFERROR(__xludf.DUMMYFUNCTION("""COMPUTED_VALUE"""),2044)</f>
        <v>2044</v>
      </c>
      <c r="P367" s="3">
        <f ca="1">IFERROR(__xludf.DUMMYFUNCTION("""COMPUTED_VALUE"""),1205)</f>
        <v>1205</v>
      </c>
      <c r="Q367" s="3">
        <f ca="1">IFERROR(__xludf.DUMMYFUNCTION("""COMPUTED_VALUE"""),655)</f>
        <v>655</v>
      </c>
      <c r="R367" s="3">
        <f ca="1">IFERROR(__xludf.DUMMYFUNCTION("""COMPUTED_VALUE"""),1696)</f>
        <v>1696</v>
      </c>
      <c r="S367" s="3">
        <f ca="1">IFERROR(__xludf.DUMMYFUNCTION("""COMPUTED_VALUE"""),0.386)</f>
        <v>0.38600000000000001</v>
      </c>
      <c r="T367" s="3">
        <f ca="1">IFERROR(__xludf.DUMMYFUNCTION("""COMPUTED_VALUE"""),236)</f>
        <v>236</v>
      </c>
      <c r="U367" s="3">
        <f ca="1">IFERROR(__xludf.DUMMYFUNCTION("""COMPUTED_VALUE"""),773)</f>
        <v>773</v>
      </c>
      <c r="V367" s="3">
        <f ca="1">IFERROR(__xludf.DUMMYFUNCTION("""COMPUTED_VALUE"""),0.305)</f>
        <v>0.30499999999999999</v>
      </c>
      <c r="W367" s="3">
        <f ca="1">IFERROR(__xludf.DUMMYFUNCTION("""COMPUTED_VALUE"""),428)</f>
        <v>428</v>
      </c>
      <c r="X367" s="3">
        <f ca="1">IFERROR(__xludf.DUMMYFUNCTION("""COMPUTED_VALUE"""),575)</f>
        <v>575</v>
      </c>
      <c r="Y367" s="3">
        <f ca="1">IFERROR(__xludf.DUMMYFUNCTION("""COMPUTED_VALUE"""),0.744)</f>
        <v>0.74399999999999999</v>
      </c>
      <c r="Z367" s="3">
        <f ca="1">IFERROR(__xludf.DUMMYFUNCTION("""COMPUTED_VALUE"""),378)</f>
        <v>378</v>
      </c>
      <c r="AA367" s="3">
        <f ca="1">IFERROR(__xludf.DUMMYFUNCTION("""COMPUTED_VALUE"""),1095)</f>
        <v>1095</v>
      </c>
      <c r="AB367" s="3">
        <f ca="1">IFERROR(__xludf.DUMMYFUNCTION("""COMPUTED_VALUE"""),351)</f>
        <v>351</v>
      </c>
      <c r="AC367" s="3">
        <f ca="1">IFERROR(__xludf.DUMMYFUNCTION("""COMPUTED_VALUE"""),184)</f>
        <v>184</v>
      </c>
      <c r="AD367" s="3">
        <f ca="1">IFERROR(__xludf.DUMMYFUNCTION("""COMPUTED_VALUE"""),108)</f>
        <v>108</v>
      </c>
      <c r="AE367" s="3">
        <f ca="1">IFERROR(__xludf.DUMMYFUNCTION("""COMPUTED_VALUE"""),414)</f>
        <v>414</v>
      </c>
      <c r="AF367" s="3">
        <f ca="1">IFERROR(__xludf.DUMMYFUNCTION("""COMPUTED_VALUE"""),639)</f>
        <v>639</v>
      </c>
    </row>
    <row r="368" spans="1:32" x14ac:dyDescent="0.25">
      <c r="A368" s="3" t="str">
        <f ca="1">IFERROR(__xludf.DUMMYFUNCTION("""COMPUTED_VALUE"""),"Wake Forest")</f>
        <v>Wake Forest</v>
      </c>
      <c r="B368" s="3">
        <f ca="1">IFERROR(__xludf.DUMMYFUNCTION("""COMPUTED_VALUE"""),31)</f>
        <v>31</v>
      </c>
      <c r="C368" s="3">
        <f ca="1">IFERROR(__xludf.DUMMYFUNCTION("""COMPUTED_VALUE"""),11)</f>
        <v>11</v>
      </c>
      <c r="D368" s="3">
        <f ca="1">IFERROR(__xludf.DUMMYFUNCTION("""COMPUTED_VALUE"""),20)</f>
        <v>20</v>
      </c>
      <c r="E368" s="3">
        <f ca="1">IFERROR(__xludf.DUMMYFUNCTION("""COMPUTED_VALUE"""),0.355)</f>
        <v>0.35499999999999998</v>
      </c>
      <c r="F368" s="3">
        <f ca="1">IFERROR(__xludf.DUMMYFUNCTION("""COMPUTED_VALUE"""),1.21)</f>
        <v>1.21</v>
      </c>
      <c r="G368" s="3">
        <f ca="1">IFERROR(__xludf.DUMMYFUNCTION("""COMPUTED_VALUE"""),8.47)</f>
        <v>8.4700000000000006</v>
      </c>
      <c r="H368" s="3">
        <f ca="1">IFERROR(__xludf.DUMMYFUNCTION("""COMPUTED_VALUE"""),4)</f>
        <v>4</v>
      </c>
      <c r="I368" s="3">
        <f ca="1">IFERROR(__xludf.DUMMYFUNCTION("""COMPUTED_VALUE"""),14)</f>
        <v>14</v>
      </c>
      <c r="J368" s="3">
        <f ca="1">IFERROR(__xludf.DUMMYFUNCTION("""COMPUTED_VALUE"""),8)</f>
        <v>8</v>
      </c>
      <c r="K368" s="3">
        <f ca="1">IFERROR(__xludf.DUMMYFUNCTION("""COMPUTED_VALUE"""),8)</f>
        <v>8</v>
      </c>
      <c r="L368" s="3">
        <f ca="1">IFERROR(__xludf.DUMMYFUNCTION("""COMPUTED_VALUE"""),1)</f>
        <v>1</v>
      </c>
      <c r="M368" s="3">
        <f ca="1">IFERROR(__xludf.DUMMYFUNCTION("""COMPUTED_VALUE"""),10)</f>
        <v>10</v>
      </c>
      <c r="N368" s="3">
        <f ca="1">IFERROR(__xludf.DUMMYFUNCTION("""COMPUTED_VALUE"""),2119)</f>
        <v>2119</v>
      </c>
      <c r="O368" s="3">
        <f ca="1">IFERROR(__xludf.DUMMYFUNCTION("""COMPUTED_VALUE"""),2344)</f>
        <v>2344</v>
      </c>
      <c r="P368" s="3">
        <f ca="1">IFERROR(__xludf.DUMMYFUNCTION("""COMPUTED_VALUE"""),1250)</f>
        <v>1250</v>
      </c>
      <c r="Q368" s="3">
        <f ca="1">IFERROR(__xludf.DUMMYFUNCTION("""COMPUTED_VALUE"""),714)</f>
        <v>714</v>
      </c>
      <c r="R368" s="3">
        <f ca="1">IFERROR(__xludf.DUMMYFUNCTION("""COMPUTED_VALUE"""),1812)</f>
        <v>1812</v>
      </c>
      <c r="S368" s="3">
        <f ca="1">IFERROR(__xludf.DUMMYFUNCTION("""COMPUTED_VALUE"""),0.394)</f>
        <v>0.39400000000000002</v>
      </c>
      <c r="T368" s="3">
        <f ca="1">IFERROR(__xludf.DUMMYFUNCTION("""COMPUTED_VALUE"""),197)</f>
        <v>197</v>
      </c>
      <c r="U368" s="3">
        <f ca="1">IFERROR(__xludf.DUMMYFUNCTION("""COMPUTED_VALUE"""),640)</f>
        <v>640</v>
      </c>
      <c r="V368" s="3">
        <f ca="1">IFERROR(__xludf.DUMMYFUNCTION("""COMPUTED_VALUE"""),0.308)</f>
        <v>0.308</v>
      </c>
      <c r="W368" s="3">
        <f ca="1">IFERROR(__xludf.DUMMYFUNCTION("""COMPUTED_VALUE"""),494)</f>
        <v>494</v>
      </c>
      <c r="X368" s="3">
        <f ca="1">IFERROR(__xludf.DUMMYFUNCTION("""COMPUTED_VALUE"""),681)</f>
        <v>681</v>
      </c>
      <c r="Y368" s="3">
        <f ca="1">IFERROR(__xludf.DUMMYFUNCTION("""COMPUTED_VALUE"""),0.725)</f>
        <v>0.72499999999999998</v>
      </c>
      <c r="Z368" s="3">
        <f ca="1">IFERROR(__xludf.DUMMYFUNCTION("""COMPUTED_VALUE"""),399)</f>
        <v>399</v>
      </c>
      <c r="AA368" s="3">
        <f ca="1">IFERROR(__xludf.DUMMYFUNCTION("""COMPUTED_VALUE"""),1174)</f>
        <v>1174</v>
      </c>
      <c r="AB368" s="3">
        <f ca="1">IFERROR(__xludf.DUMMYFUNCTION("""COMPUTED_VALUE"""),329)</f>
        <v>329</v>
      </c>
      <c r="AC368" s="3">
        <f ca="1">IFERROR(__xludf.DUMMYFUNCTION("""COMPUTED_VALUE"""),150)</f>
        <v>150</v>
      </c>
      <c r="AD368" s="3">
        <f ca="1">IFERROR(__xludf.DUMMYFUNCTION("""COMPUTED_VALUE"""),77)</f>
        <v>77</v>
      </c>
      <c r="AE368" s="3">
        <f ca="1">IFERROR(__xludf.DUMMYFUNCTION("""COMPUTED_VALUE"""),417)</f>
        <v>417</v>
      </c>
      <c r="AF368" s="3">
        <f ca="1">IFERROR(__xludf.DUMMYFUNCTION("""COMPUTED_VALUE"""),555)</f>
        <v>555</v>
      </c>
    </row>
    <row r="369" spans="1:32" x14ac:dyDescent="0.25">
      <c r="A369" s="3" t="str">
        <f ca="1">IFERROR(__xludf.DUMMYFUNCTION("""COMPUTED_VALUE"""),"Washington State")</f>
        <v>Washington State</v>
      </c>
      <c r="B369" s="3">
        <f ca="1">IFERROR(__xludf.DUMMYFUNCTION("""COMPUTED_VALUE"""),32)</f>
        <v>32</v>
      </c>
      <c r="C369" s="3">
        <f ca="1">IFERROR(__xludf.DUMMYFUNCTION("""COMPUTED_VALUE"""),11)</f>
        <v>11</v>
      </c>
      <c r="D369" s="3">
        <f ca="1">IFERROR(__xludf.DUMMYFUNCTION("""COMPUTED_VALUE"""),21)</f>
        <v>21</v>
      </c>
      <c r="E369" s="3">
        <f ca="1">IFERROR(__xludf.DUMMYFUNCTION("""COMPUTED_VALUE"""),0.344)</f>
        <v>0.34399999999999997</v>
      </c>
      <c r="F369" s="3">
        <f ca="1">IFERROR(__xludf.DUMMYFUNCTION("""COMPUTED_VALUE"""),-1.67)</f>
        <v>-1.67</v>
      </c>
      <c r="G369" s="3">
        <f ca="1">IFERROR(__xludf.DUMMYFUNCTION("""COMPUTED_VALUE"""),2.2)</f>
        <v>2.2000000000000002</v>
      </c>
      <c r="H369" s="3">
        <f ca="1">IFERROR(__xludf.DUMMYFUNCTION("""COMPUTED_VALUE"""),4)</f>
        <v>4</v>
      </c>
      <c r="I369" s="3">
        <f ca="1">IFERROR(__xludf.DUMMYFUNCTION("""COMPUTED_VALUE"""),14)</f>
        <v>14</v>
      </c>
      <c r="J369" s="3">
        <f ca="1">IFERROR(__xludf.DUMMYFUNCTION("""COMPUTED_VALUE"""),9)</f>
        <v>9</v>
      </c>
      <c r="K369" s="3">
        <f ca="1">IFERROR(__xludf.DUMMYFUNCTION("""COMPUTED_VALUE"""),7)</f>
        <v>7</v>
      </c>
      <c r="L369" s="3">
        <f ca="1">IFERROR(__xludf.DUMMYFUNCTION("""COMPUTED_VALUE"""),2)</f>
        <v>2</v>
      </c>
      <c r="M369" s="3">
        <f ca="1">IFERROR(__xludf.DUMMYFUNCTION("""COMPUTED_VALUE"""),8)</f>
        <v>8</v>
      </c>
      <c r="N369" s="3">
        <f ca="1">IFERROR(__xludf.DUMMYFUNCTION("""COMPUTED_VALUE"""),2393)</f>
        <v>2393</v>
      </c>
      <c r="O369" s="3">
        <f ca="1">IFERROR(__xludf.DUMMYFUNCTION("""COMPUTED_VALUE"""),2517)</f>
        <v>2517</v>
      </c>
      <c r="P369" s="3">
        <f ca="1">IFERROR(__xludf.DUMMYFUNCTION("""COMPUTED_VALUE"""),1280)</f>
        <v>1280</v>
      </c>
      <c r="Q369" s="3">
        <f ca="1">IFERROR(__xludf.DUMMYFUNCTION("""COMPUTED_VALUE"""),833)</f>
        <v>833</v>
      </c>
      <c r="R369" s="3">
        <f ca="1">IFERROR(__xludf.DUMMYFUNCTION("""COMPUTED_VALUE"""),1861)</f>
        <v>1861</v>
      </c>
      <c r="S369" s="3">
        <f ca="1">IFERROR(__xludf.DUMMYFUNCTION("""COMPUTED_VALUE"""),0.448)</f>
        <v>0.44800000000000001</v>
      </c>
      <c r="T369" s="3">
        <f ca="1">IFERROR(__xludf.DUMMYFUNCTION("""COMPUTED_VALUE"""),301)</f>
        <v>301</v>
      </c>
      <c r="U369" s="3">
        <f ca="1">IFERROR(__xludf.DUMMYFUNCTION("""COMPUTED_VALUE"""),828)</f>
        <v>828</v>
      </c>
      <c r="V369" s="3">
        <f ca="1">IFERROR(__xludf.DUMMYFUNCTION("""COMPUTED_VALUE"""),0.364)</f>
        <v>0.36399999999999999</v>
      </c>
      <c r="W369" s="3">
        <f ca="1">IFERROR(__xludf.DUMMYFUNCTION("""COMPUTED_VALUE"""),426)</f>
        <v>426</v>
      </c>
      <c r="X369" s="3">
        <f ca="1">IFERROR(__xludf.DUMMYFUNCTION("""COMPUTED_VALUE"""),564)</f>
        <v>564</v>
      </c>
      <c r="Y369" s="3">
        <f ca="1">IFERROR(__xludf.DUMMYFUNCTION("""COMPUTED_VALUE"""),0.755)</f>
        <v>0.755</v>
      </c>
      <c r="Z369" s="3">
        <f ca="1">IFERROR(__xludf.DUMMYFUNCTION("""COMPUTED_VALUE"""),276)</f>
        <v>276</v>
      </c>
      <c r="AA369" s="3">
        <f ca="1">IFERROR(__xludf.DUMMYFUNCTION("""COMPUTED_VALUE"""),1076)</f>
        <v>1076</v>
      </c>
      <c r="AB369" s="3">
        <f ca="1">IFERROR(__xludf.DUMMYFUNCTION("""COMPUTED_VALUE"""),478)</f>
        <v>478</v>
      </c>
      <c r="AC369" s="3">
        <f ca="1">IFERROR(__xludf.DUMMYFUNCTION("""COMPUTED_VALUE"""),169)</f>
        <v>169</v>
      </c>
      <c r="AD369" s="3">
        <f ca="1">IFERROR(__xludf.DUMMYFUNCTION("""COMPUTED_VALUE"""),89)</f>
        <v>89</v>
      </c>
      <c r="AE369" s="3">
        <f ca="1">IFERROR(__xludf.DUMMYFUNCTION("""COMPUTED_VALUE"""),440)</f>
        <v>440</v>
      </c>
      <c r="AF369" s="3">
        <f ca="1">IFERROR(__xludf.DUMMYFUNCTION("""COMPUTED_VALUE"""),554)</f>
        <v>554</v>
      </c>
    </row>
    <row r="370" spans="1:32" x14ac:dyDescent="0.25">
      <c r="A370" s="3" t="str">
        <f ca="1">IFERROR(__xludf.DUMMYFUNCTION("""COMPUTED_VALUE"""),"WashingtonNCAA")</f>
        <v>WashingtonNCAA</v>
      </c>
      <c r="B370" s="3">
        <f ca="1">IFERROR(__xludf.DUMMYFUNCTION("""COMPUTED_VALUE"""),36)</f>
        <v>36</v>
      </c>
      <c r="C370" s="3">
        <f ca="1">IFERROR(__xludf.DUMMYFUNCTION("""COMPUTED_VALUE"""),27)</f>
        <v>27</v>
      </c>
      <c r="D370" s="3">
        <f ca="1">IFERROR(__xludf.DUMMYFUNCTION("""COMPUTED_VALUE"""),9)</f>
        <v>9</v>
      </c>
      <c r="E370" s="3">
        <f ca="1">IFERROR(__xludf.DUMMYFUNCTION("""COMPUTED_VALUE"""),0.75)</f>
        <v>0.75</v>
      </c>
      <c r="F370" s="3">
        <f ca="1">IFERROR(__xludf.DUMMYFUNCTION("""COMPUTED_VALUE"""),12.01)</f>
        <v>12.01</v>
      </c>
      <c r="G370" s="3">
        <f ca="1">IFERROR(__xludf.DUMMYFUNCTION("""COMPUTED_VALUE"""),7.01)</f>
        <v>7.01</v>
      </c>
      <c r="H370" s="3">
        <f ca="1">IFERROR(__xludf.DUMMYFUNCTION("""COMPUTED_VALUE"""),15)</f>
        <v>15</v>
      </c>
      <c r="I370" s="3">
        <f ca="1">IFERROR(__xludf.DUMMYFUNCTION("""COMPUTED_VALUE"""),3)</f>
        <v>3</v>
      </c>
      <c r="J370" s="3">
        <f ca="1">IFERROR(__xludf.DUMMYFUNCTION("""COMPUTED_VALUE"""),15)</f>
        <v>15</v>
      </c>
      <c r="K370" s="3">
        <f ca="1">IFERROR(__xludf.DUMMYFUNCTION("""COMPUTED_VALUE"""),1)</f>
        <v>1</v>
      </c>
      <c r="L370" s="3">
        <f ca="1">IFERROR(__xludf.DUMMYFUNCTION("""COMPUTED_VALUE"""),7)</f>
        <v>7</v>
      </c>
      <c r="M370" s="3">
        <f ca="1">IFERROR(__xludf.DUMMYFUNCTION("""COMPUTED_VALUE"""),4)</f>
        <v>4</v>
      </c>
      <c r="N370" s="3">
        <f ca="1">IFERROR(__xludf.DUMMYFUNCTION("""COMPUTED_VALUE"""),2511)</f>
        <v>2511</v>
      </c>
      <c r="O370" s="3">
        <f ca="1">IFERROR(__xludf.DUMMYFUNCTION("""COMPUTED_VALUE"""),2331)</f>
        <v>2331</v>
      </c>
      <c r="P370" s="3">
        <f ca="1">IFERROR(__xludf.DUMMYFUNCTION("""COMPUTED_VALUE"""),1445)</f>
        <v>1445</v>
      </c>
      <c r="Q370" s="3">
        <f ca="1">IFERROR(__xludf.DUMMYFUNCTION("""COMPUTED_VALUE"""),883)</f>
        <v>883</v>
      </c>
      <c r="R370" s="3">
        <f ca="1">IFERROR(__xludf.DUMMYFUNCTION("""COMPUTED_VALUE"""),1956)</f>
        <v>1956</v>
      </c>
      <c r="S370" s="3">
        <f ca="1">IFERROR(__xludf.DUMMYFUNCTION("""COMPUTED_VALUE"""),0.451)</f>
        <v>0.45100000000000001</v>
      </c>
      <c r="T370" s="3">
        <f ca="1">IFERROR(__xludf.DUMMYFUNCTION("""COMPUTED_VALUE"""),273)</f>
        <v>273</v>
      </c>
      <c r="U370" s="3">
        <f ca="1">IFERROR(__xludf.DUMMYFUNCTION("""COMPUTED_VALUE"""),780)</f>
        <v>780</v>
      </c>
      <c r="V370" s="3">
        <f ca="1">IFERROR(__xludf.DUMMYFUNCTION("""COMPUTED_VALUE"""),0.35)</f>
        <v>0.35</v>
      </c>
      <c r="W370" s="3">
        <f ca="1">IFERROR(__xludf.DUMMYFUNCTION("""COMPUTED_VALUE"""),472)</f>
        <v>472</v>
      </c>
      <c r="X370" s="3">
        <f ca="1">IFERROR(__xludf.DUMMYFUNCTION("""COMPUTED_VALUE"""),679)</f>
        <v>679</v>
      </c>
      <c r="Y370" s="3">
        <f ca="1">IFERROR(__xludf.DUMMYFUNCTION("""COMPUTED_VALUE"""),0.695)</f>
        <v>0.69499999999999995</v>
      </c>
      <c r="Z370" s="3">
        <f ca="1">IFERROR(__xludf.DUMMYFUNCTION("""COMPUTED_VALUE"""),334)</f>
        <v>334</v>
      </c>
      <c r="AA370" s="3">
        <f ca="1">IFERROR(__xludf.DUMMYFUNCTION("""COMPUTED_VALUE"""),1129)</f>
        <v>1129</v>
      </c>
      <c r="AB370" s="3">
        <f ca="1">IFERROR(__xludf.DUMMYFUNCTION("""COMPUTED_VALUE"""),419)</f>
        <v>419</v>
      </c>
      <c r="AC370" s="3">
        <f ca="1">IFERROR(__xludf.DUMMYFUNCTION("""COMPUTED_VALUE"""),323)</f>
        <v>323</v>
      </c>
      <c r="AD370" s="3">
        <f ca="1">IFERROR(__xludf.DUMMYFUNCTION("""COMPUTED_VALUE"""),206)</f>
        <v>206</v>
      </c>
      <c r="AE370" s="3">
        <f ca="1">IFERROR(__xludf.DUMMYFUNCTION("""COMPUTED_VALUE"""),479)</f>
        <v>479</v>
      </c>
      <c r="AF370" s="3">
        <f ca="1">IFERROR(__xludf.DUMMYFUNCTION("""COMPUTED_VALUE"""),653)</f>
        <v>653</v>
      </c>
    </row>
    <row r="371" spans="1:32" x14ac:dyDescent="0.25">
      <c r="A371" s="3" t="str">
        <f ca="1">IFERROR(__xludf.DUMMYFUNCTION("""COMPUTED_VALUE"""),"Weber State")</f>
        <v>Weber State</v>
      </c>
      <c r="B371" s="3">
        <f ca="1">IFERROR(__xludf.DUMMYFUNCTION("""COMPUTED_VALUE"""),33)</f>
        <v>33</v>
      </c>
      <c r="C371" s="3">
        <f ca="1">IFERROR(__xludf.DUMMYFUNCTION("""COMPUTED_VALUE"""),18)</f>
        <v>18</v>
      </c>
      <c r="D371" s="3">
        <f ca="1">IFERROR(__xludf.DUMMYFUNCTION("""COMPUTED_VALUE"""),15)</f>
        <v>15</v>
      </c>
      <c r="E371" s="3">
        <f ca="1">IFERROR(__xludf.DUMMYFUNCTION("""COMPUTED_VALUE"""),0.545)</f>
        <v>0.54500000000000004</v>
      </c>
      <c r="F371" s="3">
        <f ca="1">IFERROR(__xludf.DUMMYFUNCTION("""COMPUTED_VALUE"""),-4.37)</f>
        <v>-4.37</v>
      </c>
      <c r="G371" s="3">
        <f ca="1">IFERROR(__xludf.DUMMYFUNCTION("""COMPUTED_VALUE"""),-6.12)</f>
        <v>-6.12</v>
      </c>
      <c r="H371" s="3">
        <f ca="1">IFERROR(__xludf.DUMMYFUNCTION("""COMPUTED_VALUE"""),11)</f>
        <v>11</v>
      </c>
      <c r="I371" s="3">
        <f ca="1">IFERROR(__xludf.DUMMYFUNCTION("""COMPUTED_VALUE"""),9)</f>
        <v>9</v>
      </c>
      <c r="J371" s="3">
        <f ca="1">IFERROR(__xludf.DUMMYFUNCTION("""COMPUTED_VALUE"""),10)</f>
        <v>10</v>
      </c>
      <c r="K371" s="3">
        <f ca="1">IFERROR(__xludf.DUMMYFUNCTION("""COMPUTED_VALUE"""),5)</f>
        <v>5</v>
      </c>
      <c r="L371" s="3">
        <f ca="1">IFERROR(__xludf.DUMMYFUNCTION("""COMPUTED_VALUE"""),5)</f>
        <v>5</v>
      </c>
      <c r="M371" s="3">
        <f ca="1">IFERROR(__xludf.DUMMYFUNCTION("""COMPUTED_VALUE"""),7)</f>
        <v>7</v>
      </c>
      <c r="N371" s="3">
        <f ca="1">IFERROR(__xludf.DUMMYFUNCTION("""COMPUTED_VALUE"""),2617)</f>
        <v>2617</v>
      </c>
      <c r="O371" s="3">
        <f ca="1">IFERROR(__xludf.DUMMYFUNCTION("""COMPUTED_VALUE"""),2454)</f>
        <v>2454</v>
      </c>
      <c r="P371" s="3">
        <f ca="1">IFERROR(__xludf.DUMMYFUNCTION("""COMPUTED_VALUE"""),1330)</f>
        <v>1330</v>
      </c>
      <c r="Q371" s="3">
        <f ca="1">IFERROR(__xludf.DUMMYFUNCTION("""COMPUTED_VALUE"""),920)</f>
        <v>920</v>
      </c>
      <c r="R371" s="3">
        <f ca="1">IFERROR(__xludf.DUMMYFUNCTION("""COMPUTED_VALUE"""),1934)</f>
        <v>1934</v>
      </c>
      <c r="S371" s="3">
        <f ca="1">IFERROR(__xludf.DUMMYFUNCTION("""COMPUTED_VALUE"""),0.476)</f>
        <v>0.47599999999999998</v>
      </c>
      <c r="T371" s="3">
        <f ca="1">IFERROR(__xludf.DUMMYFUNCTION("""COMPUTED_VALUE"""),249)</f>
        <v>249</v>
      </c>
      <c r="U371" s="3">
        <f ca="1">IFERROR(__xludf.DUMMYFUNCTION("""COMPUTED_VALUE"""),684)</f>
        <v>684</v>
      </c>
      <c r="V371" s="3">
        <f ca="1">IFERROR(__xludf.DUMMYFUNCTION("""COMPUTED_VALUE"""),0.364)</f>
        <v>0.36399999999999999</v>
      </c>
      <c r="W371" s="3">
        <f ca="1">IFERROR(__xludf.DUMMYFUNCTION("""COMPUTED_VALUE"""),528)</f>
        <v>528</v>
      </c>
      <c r="X371" s="3">
        <f ca="1">IFERROR(__xludf.DUMMYFUNCTION("""COMPUTED_VALUE"""),708)</f>
        <v>708</v>
      </c>
      <c r="Y371" s="3">
        <f ca="1">IFERROR(__xludf.DUMMYFUNCTION("""COMPUTED_VALUE"""),0.746)</f>
        <v>0.746</v>
      </c>
      <c r="Z371" s="3">
        <f ca="1">IFERROR(__xludf.DUMMYFUNCTION("""COMPUTED_VALUE"""),220)</f>
        <v>220</v>
      </c>
      <c r="AA371" s="3">
        <f ca="1">IFERROR(__xludf.DUMMYFUNCTION("""COMPUTED_VALUE"""),1177)</f>
        <v>1177</v>
      </c>
      <c r="AB371" s="3">
        <f ca="1">IFERROR(__xludf.DUMMYFUNCTION("""COMPUTED_VALUE"""),383)</f>
        <v>383</v>
      </c>
      <c r="AC371" s="3">
        <f ca="1">IFERROR(__xludf.DUMMYFUNCTION("""COMPUTED_VALUE"""),179)</f>
        <v>179</v>
      </c>
      <c r="AD371" s="3">
        <f ca="1">IFERROR(__xludf.DUMMYFUNCTION("""COMPUTED_VALUE"""),140)</f>
        <v>140</v>
      </c>
      <c r="AE371" s="3">
        <f ca="1">IFERROR(__xludf.DUMMYFUNCTION("""COMPUTED_VALUE"""),382)</f>
        <v>382</v>
      </c>
      <c r="AF371" s="3">
        <f ca="1">IFERROR(__xludf.DUMMYFUNCTION("""COMPUTED_VALUE"""),609)</f>
        <v>609</v>
      </c>
    </row>
    <row r="372" spans="1:32" x14ac:dyDescent="0.25">
      <c r="A372" s="3" t="str">
        <f ca="1">IFERROR(__xludf.DUMMYFUNCTION("""COMPUTED_VALUE"""),"West Virginia")</f>
        <v>West Virginia</v>
      </c>
      <c r="B372" s="3">
        <f ca="1">IFERROR(__xludf.DUMMYFUNCTION("""COMPUTED_VALUE"""),36)</f>
        <v>36</v>
      </c>
      <c r="C372" s="3">
        <f ca="1">IFERROR(__xludf.DUMMYFUNCTION("""COMPUTED_VALUE"""),15)</f>
        <v>15</v>
      </c>
      <c r="D372" s="3">
        <f ca="1">IFERROR(__xludf.DUMMYFUNCTION("""COMPUTED_VALUE"""),21)</f>
        <v>21</v>
      </c>
      <c r="E372" s="3">
        <f ca="1">IFERROR(__xludf.DUMMYFUNCTION("""COMPUTED_VALUE"""),0.417)</f>
        <v>0.41699999999999998</v>
      </c>
      <c r="F372" s="3">
        <f ca="1">IFERROR(__xludf.DUMMYFUNCTION("""COMPUTED_VALUE"""),6.94)</f>
        <v>6.94</v>
      </c>
      <c r="G372" s="3">
        <f ca="1">IFERROR(__xludf.DUMMYFUNCTION("""COMPUTED_VALUE"""),10.57)</f>
        <v>10.57</v>
      </c>
      <c r="H372" s="3">
        <f ca="1">IFERROR(__xludf.DUMMYFUNCTION("""COMPUTED_VALUE"""),4)</f>
        <v>4</v>
      </c>
      <c r="I372" s="3">
        <f ca="1">IFERROR(__xludf.DUMMYFUNCTION("""COMPUTED_VALUE"""),14)</f>
        <v>14</v>
      </c>
      <c r="J372" s="3">
        <f ca="1">IFERROR(__xludf.DUMMYFUNCTION("""COMPUTED_VALUE"""),11)</f>
        <v>11</v>
      </c>
      <c r="K372" s="3">
        <f ca="1">IFERROR(__xludf.DUMMYFUNCTION("""COMPUTED_VALUE"""),7)</f>
        <v>7</v>
      </c>
      <c r="L372" s="3">
        <f ca="1">IFERROR(__xludf.DUMMYFUNCTION("""COMPUTED_VALUE"""),0)</f>
        <v>0</v>
      </c>
      <c r="M372" s="3">
        <f ca="1">IFERROR(__xludf.DUMMYFUNCTION("""COMPUTED_VALUE"""),10)</f>
        <v>10</v>
      </c>
      <c r="N372" s="3">
        <f ca="1">IFERROR(__xludf.DUMMYFUNCTION("""COMPUTED_VALUE"""),2655)</f>
        <v>2655</v>
      </c>
      <c r="O372" s="3">
        <f ca="1">IFERROR(__xludf.DUMMYFUNCTION("""COMPUTED_VALUE"""),2786)</f>
        <v>2786</v>
      </c>
      <c r="P372" s="3">
        <f ca="1">IFERROR(__xludf.DUMMYFUNCTION("""COMPUTED_VALUE"""),1460)</f>
        <v>1460</v>
      </c>
      <c r="Q372" s="3">
        <f ca="1">IFERROR(__xludf.DUMMYFUNCTION("""COMPUTED_VALUE"""),901)</f>
        <v>901</v>
      </c>
      <c r="R372" s="3">
        <f ca="1">IFERROR(__xludf.DUMMYFUNCTION("""COMPUTED_VALUE"""),2181)</f>
        <v>2181</v>
      </c>
      <c r="S372" s="3">
        <f ca="1">IFERROR(__xludf.DUMMYFUNCTION("""COMPUTED_VALUE"""),0.413)</f>
        <v>0.41299999999999998</v>
      </c>
      <c r="T372" s="3">
        <f ca="1">IFERROR(__xludf.DUMMYFUNCTION("""COMPUTED_VALUE"""),269)</f>
        <v>269</v>
      </c>
      <c r="U372" s="3">
        <f ca="1">IFERROR(__xludf.DUMMYFUNCTION("""COMPUTED_VALUE"""),852)</f>
        <v>852</v>
      </c>
      <c r="V372" s="3">
        <f ca="1">IFERROR(__xludf.DUMMYFUNCTION("""COMPUTED_VALUE"""),0.316)</f>
        <v>0.316</v>
      </c>
      <c r="W372" s="3">
        <f ca="1">IFERROR(__xludf.DUMMYFUNCTION("""COMPUTED_VALUE"""),584)</f>
        <v>584</v>
      </c>
      <c r="X372" s="3">
        <f ca="1">IFERROR(__xludf.DUMMYFUNCTION("""COMPUTED_VALUE"""),849)</f>
        <v>849</v>
      </c>
      <c r="Y372" s="3">
        <f ca="1">IFERROR(__xludf.DUMMYFUNCTION("""COMPUTED_VALUE"""),0.688)</f>
        <v>0.68799999999999994</v>
      </c>
      <c r="Z372" s="3">
        <f ca="1">IFERROR(__xludf.DUMMYFUNCTION("""COMPUTED_VALUE"""),519)</f>
        <v>519</v>
      </c>
      <c r="AA372" s="3">
        <f ca="1">IFERROR(__xludf.DUMMYFUNCTION("""COMPUTED_VALUE"""),1425)</f>
        <v>1425</v>
      </c>
      <c r="AB372" s="3">
        <f ca="1">IFERROR(__xludf.DUMMYFUNCTION("""COMPUTED_VALUE"""),488)</f>
        <v>488</v>
      </c>
      <c r="AC372" s="3">
        <f ca="1">IFERROR(__xludf.DUMMYFUNCTION("""COMPUTED_VALUE"""),223)</f>
        <v>223</v>
      </c>
      <c r="AD372" s="3">
        <f ca="1">IFERROR(__xludf.DUMMYFUNCTION("""COMPUTED_VALUE"""),126)</f>
        <v>126</v>
      </c>
      <c r="AE372" s="3">
        <f ca="1">IFERROR(__xludf.DUMMYFUNCTION("""COMPUTED_VALUE"""),557)</f>
        <v>557</v>
      </c>
      <c r="AF372" s="3">
        <f ca="1">IFERROR(__xludf.DUMMYFUNCTION("""COMPUTED_VALUE"""),707)</f>
        <v>707</v>
      </c>
    </row>
    <row r="373" spans="1:32" x14ac:dyDescent="0.25">
      <c r="A373" s="3" t="str">
        <f ca="1">IFERROR(__xludf.DUMMYFUNCTION("""COMPUTED_VALUE"""),"Western Carolina")</f>
        <v>Western Carolina</v>
      </c>
      <c r="B373" s="3">
        <f ca="1">IFERROR(__xludf.DUMMYFUNCTION("""COMPUTED_VALUE"""),32)</f>
        <v>32</v>
      </c>
      <c r="C373" s="3">
        <f ca="1">IFERROR(__xludf.DUMMYFUNCTION("""COMPUTED_VALUE"""),7)</f>
        <v>7</v>
      </c>
      <c r="D373" s="3">
        <f ca="1">IFERROR(__xludf.DUMMYFUNCTION("""COMPUTED_VALUE"""),25)</f>
        <v>25</v>
      </c>
      <c r="E373" s="3">
        <f ca="1">IFERROR(__xludf.DUMMYFUNCTION("""COMPUTED_VALUE"""),0.219)</f>
        <v>0.219</v>
      </c>
      <c r="F373" s="3">
        <f ca="1">IFERROR(__xludf.DUMMYFUNCTION("""COMPUTED_VALUE"""),-9.28)</f>
        <v>-9.2799999999999994</v>
      </c>
      <c r="G373" s="3">
        <f ca="1">IFERROR(__xludf.DUMMYFUNCTION("""COMPUTED_VALUE"""),0.34)</f>
        <v>0.34</v>
      </c>
      <c r="H373" s="3">
        <f ca="1">IFERROR(__xludf.DUMMYFUNCTION("""COMPUTED_VALUE"""),4)</f>
        <v>4</v>
      </c>
      <c r="I373" s="3">
        <f ca="1">IFERROR(__xludf.DUMMYFUNCTION("""COMPUTED_VALUE"""),14)</f>
        <v>14</v>
      </c>
      <c r="J373" s="3">
        <f ca="1">IFERROR(__xludf.DUMMYFUNCTION("""COMPUTED_VALUE"""),4)</f>
        <v>4</v>
      </c>
      <c r="K373" s="3">
        <f ca="1">IFERROR(__xludf.DUMMYFUNCTION("""COMPUTED_VALUE"""),8)</f>
        <v>8</v>
      </c>
      <c r="L373" s="3">
        <f ca="1">IFERROR(__xludf.DUMMYFUNCTION("""COMPUTED_VALUE"""),3)</f>
        <v>3</v>
      </c>
      <c r="M373" s="3">
        <f ca="1">IFERROR(__xludf.DUMMYFUNCTION("""COMPUTED_VALUE"""),14)</f>
        <v>14</v>
      </c>
      <c r="N373" s="3">
        <f ca="1">IFERROR(__xludf.DUMMYFUNCTION("""COMPUTED_VALUE"""),2304)</f>
        <v>2304</v>
      </c>
      <c r="O373" s="3">
        <f ca="1">IFERROR(__xludf.DUMMYFUNCTION("""COMPUTED_VALUE"""),2563)</f>
        <v>2563</v>
      </c>
      <c r="P373" s="3">
        <f ca="1">IFERROR(__xludf.DUMMYFUNCTION("""COMPUTED_VALUE"""),1295)</f>
        <v>1295</v>
      </c>
      <c r="Q373" s="3">
        <f ca="1">IFERROR(__xludf.DUMMYFUNCTION("""COMPUTED_VALUE"""),792)</f>
        <v>792</v>
      </c>
      <c r="R373" s="3">
        <f ca="1">IFERROR(__xludf.DUMMYFUNCTION("""COMPUTED_VALUE"""),1744)</f>
        <v>1744</v>
      </c>
      <c r="S373" s="3">
        <f ca="1">IFERROR(__xludf.DUMMYFUNCTION("""COMPUTED_VALUE"""),0.454)</f>
        <v>0.45400000000000001</v>
      </c>
      <c r="T373" s="3">
        <f ca="1">IFERROR(__xludf.DUMMYFUNCTION("""COMPUTED_VALUE"""),296)</f>
        <v>296</v>
      </c>
      <c r="U373" s="3">
        <f ca="1">IFERROR(__xludf.DUMMYFUNCTION("""COMPUTED_VALUE"""),800)</f>
        <v>800</v>
      </c>
      <c r="V373" s="3">
        <f ca="1">IFERROR(__xludf.DUMMYFUNCTION("""COMPUTED_VALUE"""),0.37)</f>
        <v>0.37</v>
      </c>
      <c r="W373" s="3">
        <f ca="1">IFERROR(__xludf.DUMMYFUNCTION("""COMPUTED_VALUE"""),424)</f>
        <v>424</v>
      </c>
      <c r="X373" s="3">
        <f ca="1">IFERROR(__xludf.DUMMYFUNCTION("""COMPUTED_VALUE"""),628)</f>
        <v>628</v>
      </c>
      <c r="Y373" s="3">
        <f ca="1">IFERROR(__xludf.DUMMYFUNCTION("""COMPUTED_VALUE"""),0.675)</f>
        <v>0.67500000000000004</v>
      </c>
      <c r="Z373" s="3">
        <f ca="1">IFERROR(__xludf.DUMMYFUNCTION("""COMPUTED_VALUE"""),303)</f>
        <v>303</v>
      </c>
      <c r="AA373" s="3">
        <f ca="1">IFERROR(__xludf.DUMMYFUNCTION("""COMPUTED_VALUE"""),1135)</f>
        <v>1135</v>
      </c>
      <c r="AB373" s="3">
        <f ca="1">IFERROR(__xludf.DUMMYFUNCTION("""COMPUTED_VALUE"""),389)</f>
        <v>389</v>
      </c>
      <c r="AC373" s="3">
        <f ca="1">IFERROR(__xludf.DUMMYFUNCTION("""COMPUTED_VALUE"""),135)</f>
        <v>135</v>
      </c>
      <c r="AD373" s="3">
        <f ca="1">IFERROR(__xludf.DUMMYFUNCTION("""COMPUTED_VALUE"""),53)</f>
        <v>53</v>
      </c>
      <c r="AE373" s="3">
        <f ca="1">IFERROR(__xludf.DUMMYFUNCTION("""COMPUTED_VALUE"""),577)</f>
        <v>577</v>
      </c>
      <c r="AF373" s="3">
        <f ca="1">IFERROR(__xludf.DUMMYFUNCTION("""COMPUTED_VALUE"""),671)</f>
        <v>671</v>
      </c>
    </row>
    <row r="374" spans="1:32" x14ac:dyDescent="0.25">
      <c r="A374" s="3" t="str">
        <f ca="1">IFERROR(__xludf.DUMMYFUNCTION("""COMPUTED_VALUE"""),"Overall")</f>
        <v>Overall</v>
      </c>
      <c r="B374" s="3" t="str">
        <f ca="1">IFERROR(__xludf.DUMMYFUNCTION("""COMPUTED_VALUE"""),"Conf.")</f>
        <v>Conf.</v>
      </c>
      <c r="C374" s="3" t="str">
        <f ca="1">IFERROR(__xludf.DUMMYFUNCTION("""COMPUTED_VALUE"""),"Home")</f>
        <v>Home</v>
      </c>
      <c r="D374" s="3" t="str">
        <f ca="1">IFERROR(__xludf.DUMMYFUNCTION("""COMPUTED_VALUE"""),"Away")</f>
        <v>Away</v>
      </c>
      <c r="E374" s="3" t="str">
        <f ca="1">IFERROR(__xludf.DUMMYFUNCTION("""COMPUTED_VALUE"""),"Points")</f>
        <v>Points</v>
      </c>
      <c r="F374" s="3" t="str">
        <f ca="1">IFERROR(__xludf.DUMMYFUNCTION("""COMPUTED_VALUE"""),"")</f>
        <v/>
      </c>
      <c r="G374" s="3" t="str">
        <f ca="1">IFERROR(__xludf.DUMMYFUNCTION("""COMPUTED_VALUE"""),"School Totals")</f>
        <v>School Totals</v>
      </c>
      <c r="H374" s="3" t="str">
        <f ca="1">IFERROR(__xludf.DUMMYFUNCTION("""COMPUTED_VALUE"""),"")</f>
        <v/>
      </c>
      <c r="I374" s="3" t="str">
        <f ca="1">IFERROR(__xludf.DUMMYFUNCTION("""COMPUTED_VALUE"""),"")</f>
        <v/>
      </c>
      <c r="J374" s="3" t="str">
        <f ca="1">IFERROR(__xludf.DUMMYFUNCTION("""COMPUTED_VALUE"""),"")</f>
        <v/>
      </c>
      <c r="K374" s="3" t="str">
        <f ca="1">IFERROR(__xludf.DUMMYFUNCTION("""COMPUTED_VALUE"""),"")</f>
        <v/>
      </c>
      <c r="L374" s="3" t="str">
        <f ca="1">IFERROR(__xludf.DUMMYFUNCTION("""COMPUTED_VALUE"""),"")</f>
        <v/>
      </c>
      <c r="M374" s="3" t="str">
        <f ca="1">IFERROR(__xludf.DUMMYFUNCTION("""COMPUTED_VALUE"""),"")</f>
        <v/>
      </c>
      <c r="N374" s="3" t="str">
        <f ca="1">IFERROR(__xludf.DUMMYFUNCTION("""COMPUTED_VALUE"""),"")</f>
        <v/>
      </c>
      <c r="O374" s="3" t="str">
        <f ca="1">IFERROR(__xludf.DUMMYFUNCTION("""COMPUTED_VALUE"""),"")</f>
        <v/>
      </c>
      <c r="P374" s="3" t="str">
        <f ca="1">IFERROR(__xludf.DUMMYFUNCTION("""COMPUTED_VALUE"""),"")</f>
        <v/>
      </c>
      <c r="Q374" s="3" t="str">
        <f ca="1">IFERROR(__xludf.DUMMYFUNCTION("""COMPUTED_VALUE"""),"")</f>
        <v/>
      </c>
      <c r="R374" s="3" t="str">
        <f ca="1">IFERROR(__xludf.DUMMYFUNCTION("""COMPUTED_VALUE"""),"")</f>
        <v/>
      </c>
      <c r="S374" s="3" t="str">
        <f ca="1">IFERROR(__xludf.DUMMYFUNCTION("""COMPUTED_VALUE"""),"")</f>
        <v/>
      </c>
      <c r="T374" s="3" t="str">
        <f ca="1">IFERROR(__xludf.DUMMYFUNCTION("""COMPUTED_VALUE"""),"")</f>
        <v/>
      </c>
      <c r="U374" s="3" t="str">
        <f ca="1">IFERROR(__xludf.DUMMYFUNCTION("""COMPUTED_VALUE"""),"")</f>
        <v/>
      </c>
      <c r="V374" s="3" t="str">
        <f ca="1">IFERROR(__xludf.DUMMYFUNCTION("""COMPUTED_VALUE"""),"")</f>
        <v/>
      </c>
      <c r="W374" s="3" t="str">
        <f ca="1">IFERROR(__xludf.DUMMYFUNCTION("""COMPUTED_VALUE"""),"")</f>
        <v/>
      </c>
      <c r="X374" s="3" t="str">
        <f ca="1">IFERROR(__xludf.DUMMYFUNCTION("""COMPUTED_VALUE"""),"")</f>
        <v/>
      </c>
      <c r="Y374" s="3" t="str">
        <f ca="1">IFERROR(__xludf.DUMMYFUNCTION("""COMPUTED_VALUE"""),"")</f>
        <v/>
      </c>
      <c r="Z374" s="3" t="str">
        <f ca="1">IFERROR(__xludf.DUMMYFUNCTION("""COMPUTED_VALUE"""),"")</f>
        <v/>
      </c>
      <c r="AA374" s="3" t="str">
        <f ca="1">IFERROR(__xludf.DUMMYFUNCTION("""COMPUTED_VALUE"""),"")</f>
        <v/>
      </c>
      <c r="AB374" s="3" t="str">
        <f ca="1">IFERROR(__xludf.DUMMYFUNCTION("""COMPUTED_VALUE"""),"")</f>
        <v/>
      </c>
      <c r="AC374" s="3" t="str">
        <f ca="1">IFERROR(__xludf.DUMMYFUNCTION("""COMPUTED_VALUE"""),"")</f>
        <v/>
      </c>
      <c r="AD374" s="3" t="str">
        <f ca="1">IFERROR(__xludf.DUMMYFUNCTION("""COMPUTED_VALUE"""),"")</f>
        <v/>
      </c>
      <c r="AE374" s="3" t="str">
        <f ca="1">IFERROR(__xludf.DUMMYFUNCTION("""COMPUTED_VALUE"""),"")</f>
        <v/>
      </c>
      <c r="AF374" s="3" t="str">
        <f ca="1">IFERROR(__xludf.DUMMYFUNCTION("""COMPUTED_VALUE"""),"")</f>
        <v/>
      </c>
    </row>
    <row r="375" spans="1:32" x14ac:dyDescent="0.25">
      <c r="A375" s="3" t="str">
        <f ca="1">IFERROR(__xludf.DUMMYFUNCTION("""COMPUTED_VALUE"""),"School")</f>
        <v>School</v>
      </c>
      <c r="B375" s="3" t="str">
        <f ca="1">IFERROR(__xludf.DUMMYFUNCTION("""COMPUTED_VALUE"""),"G")</f>
        <v>G</v>
      </c>
      <c r="C375" s="3" t="str">
        <f ca="1">IFERROR(__xludf.DUMMYFUNCTION("""COMPUTED_VALUE"""),"W")</f>
        <v>W</v>
      </c>
      <c r="D375" s="3" t="str">
        <f ca="1">IFERROR(__xludf.DUMMYFUNCTION("""COMPUTED_VALUE"""),"L")</f>
        <v>L</v>
      </c>
      <c r="E375" s="3" t="str">
        <f ca="1">IFERROR(__xludf.DUMMYFUNCTION("""COMPUTED_VALUE"""),"W-L%")</f>
        <v>W-L%</v>
      </c>
      <c r="F375" s="3" t="str">
        <f ca="1">IFERROR(__xludf.DUMMYFUNCTION("""COMPUTED_VALUE"""),"SRS")</f>
        <v>SRS</v>
      </c>
      <c r="G375" s="3" t="str">
        <f ca="1">IFERROR(__xludf.DUMMYFUNCTION("""COMPUTED_VALUE"""),"SOS")</f>
        <v>SOS</v>
      </c>
      <c r="H375" s="3" t="str">
        <f ca="1">IFERROR(__xludf.DUMMYFUNCTION("""COMPUTED_VALUE"""),"W")</f>
        <v>W</v>
      </c>
      <c r="I375" s="3" t="str">
        <f ca="1">IFERROR(__xludf.DUMMYFUNCTION("""COMPUTED_VALUE"""),"L")</f>
        <v>L</v>
      </c>
      <c r="J375" s="3" t="str">
        <f ca="1">IFERROR(__xludf.DUMMYFUNCTION("""COMPUTED_VALUE"""),"W")</f>
        <v>W</v>
      </c>
      <c r="K375" s="3" t="str">
        <f ca="1">IFERROR(__xludf.DUMMYFUNCTION("""COMPUTED_VALUE"""),"L")</f>
        <v>L</v>
      </c>
      <c r="L375" s="3" t="str">
        <f ca="1">IFERROR(__xludf.DUMMYFUNCTION("""COMPUTED_VALUE"""),"W")</f>
        <v>W</v>
      </c>
      <c r="M375" s="3" t="str">
        <f ca="1">IFERROR(__xludf.DUMMYFUNCTION("""COMPUTED_VALUE"""),"L")</f>
        <v>L</v>
      </c>
      <c r="N375" s="3" t="str">
        <f ca="1">IFERROR(__xludf.DUMMYFUNCTION("""COMPUTED_VALUE"""),"Tm.")</f>
        <v>Tm.</v>
      </c>
      <c r="O375" s="3" t="str">
        <f ca="1">IFERROR(__xludf.DUMMYFUNCTION("""COMPUTED_VALUE"""),"Opp.")</f>
        <v>Opp.</v>
      </c>
      <c r="P375" s="3" t="str">
        <f ca="1">IFERROR(__xludf.DUMMYFUNCTION("""COMPUTED_VALUE"""),"MP")</f>
        <v>MP</v>
      </c>
      <c r="Q375" s="3" t="str">
        <f ca="1">IFERROR(__xludf.DUMMYFUNCTION("""COMPUTED_VALUE"""),"FG")</f>
        <v>FG</v>
      </c>
      <c r="R375" s="3" t="str">
        <f ca="1">IFERROR(__xludf.DUMMYFUNCTION("""COMPUTED_VALUE"""),"FGA")</f>
        <v>FGA</v>
      </c>
      <c r="S375" s="3" t="str">
        <f ca="1">IFERROR(__xludf.DUMMYFUNCTION("""COMPUTED_VALUE"""),"FG%")</f>
        <v>FG%</v>
      </c>
      <c r="T375" s="3" t="str">
        <f ca="1">IFERROR(__xludf.DUMMYFUNCTION("""COMPUTED_VALUE"""),"3P")</f>
        <v>3P</v>
      </c>
      <c r="U375" s="3" t="str">
        <f ca="1">IFERROR(__xludf.DUMMYFUNCTION("""COMPUTED_VALUE"""),"3PA")</f>
        <v>3PA</v>
      </c>
      <c r="V375" s="3" t="str">
        <f ca="1">IFERROR(__xludf.DUMMYFUNCTION("""COMPUTED_VALUE"""),"3P%")</f>
        <v>3P%</v>
      </c>
      <c r="W375" s="3" t="str">
        <f ca="1">IFERROR(__xludf.DUMMYFUNCTION("""COMPUTED_VALUE"""),"FT")</f>
        <v>FT</v>
      </c>
      <c r="X375" s="3" t="str">
        <f ca="1">IFERROR(__xludf.DUMMYFUNCTION("""COMPUTED_VALUE"""),"FTA")</f>
        <v>FTA</v>
      </c>
      <c r="Y375" s="3" t="str">
        <f ca="1">IFERROR(__xludf.DUMMYFUNCTION("""COMPUTED_VALUE"""),"FT%")</f>
        <v>FT%</v>
      </c>
      <c r="Z375" s="3" t="str">
        <f ca="1">IFERROR(__xludf.DUMMYFUNCTION("""COMPUTED_VALUE"""),"ORB")</f>
        <v>ORB</v>
      </c>
      <c r="AA375" s="3" t="str">
        <f ca="1">IFERROR(__xludf.DUMMYFUNCTION("""COMPUTED_VALUE"""),"TRB")</f>
        <v>TRB</v>
      </c>
      <c r="AB375" s="3" t="str">
        <f ca="1">IFERROR(__xludf.DUMMYFUNCTION("""COMPUTED_VALUE"""),"AST")</f>
        <v>AST</v>
      </c>
      <c r="AC375" s="3" t="str">
        <f ca="1">IFERROR(__xludf.DUMMYFUNCTION("""COMPUTED_VALUE"""),"STL")</f>
        <v>STL</v>
      </c>
      <c r="AD375" s="3" t="str">
        <f ca="1">IFERROR(__xludf.DUMMYFUNCTION("""COMPUTED_VALUE"""),"BLK")</f>
        <v>BLK</v>
      </c>
      <c r="AE375" s="3" t="str">
        <f ca="1">IFERROR(__xludf.DUMMYFUNCTION("""COMPUTED_VALUE"""),"TOV")</f>
        <v>TOV</v>
      </c>
      <c r="AF375" s="3" t="str">
        <f ca="1">IFERROR(__xludf.DUMMYFUNCTION("""COMPUTED_VALUE"""),"PF")</f>
        <v>PF</v>
      </c>
    </row>
    <row r="376" spans="1:32" x14ac:dyDescent="0.25">
      <c r="A376" s="3" t="str">
        <f ca="1">IFERROR(__xludf.DUMMYFUNCTION("""COMPUTED_VALUE"""),"Western Illinois")</f>
        <v>Western Illinois</v>
      </c>
      <c r="B376" s="3">
        <f ca="1">IFERROR(__xludf.DUMMYFUNCTION("""COMPUTED_VALUE"""),31)</f>
        <v>31</v>
      </c>
      <c r="C376" s="3">
        <f ca="1">IFERROR(__xludf.DUMMYFUNCTION("""COMPUTED_VALUE"""),10)</f>
        <v>10</v>
      </c>
      <c r="D376" s="3">
        <f ca="1">IFERROR(__xludf.DUMMYFUNCTION("""COMPUTED_VALUE"""),21)</f>
        <v>21</v>
      </c>
      <c r="E376" s="3">
        <f ca="1">IFERROR(__xludf.DUMMYFUNCTION("""COMPUTED_VALUE"""),0.323)</f>
        <v>0.32300000000000001</v>
      </c>
      <c r="F376" s="3">
        <f ca="1">IFERROR(__xludf.DUMMYFUNCTION("""COMPUTED_VALUE"""),-10.04)</f>
        <v>-10.039999999999999</v>
      </c>
      <c r="G376" s="3">
        <f ca="1">IFERROR(__xludf.DUMMYFUNCTION("""COMPUTED_VALUE"""),-5.18)</f>
        <v>-5.18</v>
      </c>
      <c r="H376" s="3">
        <f ca="1">IFERROR(__xludf.DUMMYFUNCTION("""COMPUTED_VALUE"""),4)</f>
        <v>4</v>
      </c>
      <c r="I376" s="3">
        <f ca="1">IFERROR(__xludf.DUMMYFUNCTION("""COMPUTED_VALUE"""),12)</f>
        <v>12</v>
      </c>
      <c r="J376" s="3">
        <f ca="1">IFERROR(__xludf.DUMMYFUNCTION("""COMPUTED_VALUE"""),7)</f>
        <v>7</v>
      </c>
      <c r="K376" s="3">
        <f ca="1">IFERROR(__xludf.DUMMYFUNCTION("""COMPUTED_VALUE"""),6)</f>
        <v>6</v>
      </c>
      <c r="L376" s="3">
        <f ca="1">IFERROR(__xludf.DUMMYFUNCTION("""COMPUTED_VALUE"""),2)</f>
        <v>2</v>
      </c>
      <c r="M376" s="3">
        <f ca="1">IFERROR(__xludf.DUMMYFUNCTION("""COMPUTED_VALUE"""),14)</f>
        <v>14</v>
      </c>
      <c r="N376" s="3">
        <f ca="1">IFERROR(__xludf.DUMMYFUNCTION("""COMPUTED_VALUE"""),2198)</f>
        <v>2198</v>
      </c>
      <c r="O376" s="3">
        <f ca="1">IFERROR(__xludf.DUMMYFUNCTION("""COMPUTED_VALUE"""),2272)</f>
        <v>2272</v>
      </c>
      <c r="P376" s="3">
        <f ca="1">IFERROR(__xludf.DUMMYFUNCTION("""COMPUTED_VALUE"""),1245)</f>
        <v>1245</v>
      </c>
      <c r="Q376" s="3">
        <f ca="1">IFERROR(__xludf.DUMMYFUNCTION("""COMPUTED_VALUE"""),818)</f>
        <v>818</v>
      </c>
      <c r="R376" s="3">
        <f ca="1">IFERROR(__xludf.DUMMYFUNCTION("""COMPUTED_VALUE"""),1860)</f>
        <v>1860</v>
      </c>
      <c r="S376" s="3">
        <f ca="1">IFERROR(__xludf.DUMMYFUNCTION("""COMPUTED_VALUE"""),0.44)</f>
        <v>0.44</v>
      </c>
      <c r="T376" s="3">
        <f ca="1">IFERROR(__xludf.DUMMYFUNCTION("""COMPUTED_VALUE"""),241)</f>
        <v>241</v>
      </c>
      <c r="U376" s="3">
        <f ca="1">IFERROR(__xludf.DUMMYFUNCTION("""COMPUTED_VALUE"""),626)</f>
        <v>626</v>
      </c>
      <c r="V376" s="3">
        <f ca="1">IFERROR(__xludf.DUMMYFUNCTION("""COMPUTED_VALUE"""),0.385)</f>
        <v>0.38500000000000001</v>
      </c>
      <c r="W376" s="3">
        <f ca="1">IFERROR(__xludf.DUMMYFUNCTION("""COMPUTED_VALUE"""),321)</f>
        <v>321</v>
      </c>
      <c r="X376" s="3">
        <f ca="1">IFERROR(__xludf.DUMMYFUNCTION("""COMPUTED_VALUE"""),440)</f>
        <v>440</v>
      </c>
      <c r="Y376" s="3">
        <f ca="1">IFERROR(__xludf.DUMMYFUNCTION("""COMPUTED_VALUE"""),0.73)</f>
        <v>0.73</v>
      </c>
      <c r="Z376" s="3">
        <f ca="1">IFERROR(__xludf.DUMMYFUNCTION("""COMPUTED_VALUE"""),254)</f>
        <v>254</v>
      </c>
      <c r="AA376" s="3">
        <f ca="1">IFERROR(__xludf.DUMMYFUNCTION("""COMPUTED_VALUE"""),1100)</f>
        <v>1100</v>
      </c>
      <c r="AB376" s="3">
        <f ca="1">IFERROR(__xludf.DUMMYFUNCTION("""COMPUTED_VALUE"""),319)</f>
        <v>319</v>
      </c>
      <c r="AC376" s="3">
        <f ca="1">IFERROR(__xludf.DUMMYFUNCTION("""COMPUTED_VALUE"""),165)</f>
        <v>165</v>
      </c>
      <c r="AD376" s="3">
        <f ca="1">IFERROR(__xludf.DUMMYFUNCTION("""COMPUTED_VALUE"""),132)</f>
        <v>132</v>
      </c>
      <c r="AE376" s="3">
        <f ca="1">IFERROR(__xludf.DUMMYFUNCTION("""COMPUTED_VALUE"""),353)</f>
        <v>353</v>
      </c>
      <c r="AF376" s="3">
        <f ca="1">IFERROR(__xludf.DUMMYFUNCTION("""COMPUTED_VALUE"""),487)</f>
        <v>487</v>
      </c>
    </row>
    <row r="377" spans="1:32" x14ac:dyDescent="0.25">
      <c r="A377" s="3" t="str">
        <f ca="1">IFERROR(__xludf.DUMMYFUNCTION("""COMPUTED_VALUE"""),"Western Kentucky")</f>
        <v>Western Kentucky</v>
      </c>
      <c r="B377" s="3">
        <f ca="1">IFERROR(__xludf.DUMMYFUNCTION("""COMPUTED_VALUE"""),34)</f>
        <v>34</v>
      </c>
      <c r="C377" s="3">
        <f ca="1">IFERROR(__xludf.DUMMYFUNCTION("""COMPUTED_VALUE"""),20)</f>
        <v>20</v>
      </c>
      <c r="D377" s="3">
        <f ca="1">IFERROR(__xludf.DUMMYFUNCTION("""COMPUTED_VALUE"""),14)</f>
        <v>14</v>
      </c>
      <c r="E377" s="3">
        <f ca="1">IFERROR(__xludf.DUMMYFUNCTION("""COMPUTED_VALUE"""),0.588)</f>
        <v>0.58799999999999997</v>
      </c>
      <c r="F377" s="3">
        <f ca="1">IFERROR(__xludf.DUMMYFUNCTION("""COMPUTED_VALUE"""),3.14)</f>
        <v>3.14</v>
      </c>
      <c r="G377" s="3">
        <f ca="1">IFERROR(__xludf.DUMMYFUNCTION("""COMPUTED_VALUE"""),0.96)</f>
        <v>0.96</v>
      </c>
      <c r="H377" s="3">
        <f ca="1">IFERROR(__xludf.DUMMYFUNCTION("""COMPUTED_VALUE"""),11)</f>
        <v>11</v>
      </c>
      <c r="I377" s="3">
        <f ca="1">IFERROR(__xludf.DUMMYFUNCTION("""COMPUTED_VALUE"""),7)</f>
        <v>7</v>
      </c>
      <c r="J377" s="3">
        <f ca="1">IFERROR(__xludf.DUMMYFUNCTION("""COMPUTED_VALUE"""),10)</f>
        <v>10</v>
      </c>
      <c r="K377" s="3">
        <f ca="1">IFERROR(__xludf.DUMMYFUNCTION("""COMPUTED_VALUE"""),4)</f>
        <v>4</v>
      </c>
      <c r="L377" s="3">
        <f ca="1">IFERROR(__xludf.DUMMYFUNCTION("""COMPUTED_VALUE"""),6)</f>
        <v>6</v>
      </c>
      <c r="M377" s="3">
        <f ca="1">IFERROR(__xludf.DUMMYFUNCTION("""COMPUTED_VALUE"""),8)</f>
        <v>8</v>
      </c>
      <c r="N377" s="3">
        <f ca="1">IFERROR(__xludf.DUMMYFUNCTION("""COMPUTED_VALUE"""),2429)</f>
        <v>2429</v>
      </c>
      <c r="O377" s="3">
        <f ca="1">IFERROR(__xludf.DUMMYFUNCTION("""COMPUTED_VALUE"""),2355)</f>
        <v>2355</v>
      </c>
      <c r="P377" s="3">
        <f ca="1">IFERROR(__xludf.DUMMYFUNCTION("""COMPUTED_VALUE"""),1380)</f>
        <v>1380</v>
      </c>
      <c r="Q377" s="3">
        <f ca="1">IFERROR(__xludf.DUMMYFUNCTION("""COMPUTED_VALUE"""),853)</f>
        <v>853</v>
      </c>
      <c r="R377" s="3">
        <f ca="1">IFERROR(__xludf.DUMMYFUNCTION("""COMPUTED_VALUE"""),1910)</f>
        <v>1910</v>
      </c>
      <c r="S377" s="3">
        <f ca="1">IFERROR(__xludf.DUMMYFUNCTION("""COMPUTED_VALUE"""),0.447)</f>
        <v>0.44700000000000001</v>
      </c>
      <c r="T377" s="3">
        <f ca="1">IFERROR(__xludf.DUMMYFUNCTION("""COMPUTED_VALUE"""),199)</f>
        <v>199</v>
      </c>
      <c r="U377" s="3">
        <f ca="1">IFERROR(__xludf.DUMMYFUNCTION("""COMPUTED_VALUE"""),608)</f>
        <v>608</v>
      </c>
      <c r="V377" s="3">
        <f ca="1">IFERROR(__xludf.DUMMYFUNCTION("""COMPUTED_VALUE"""),0.327)</f>
        <v>0.32700000000000001</v>
      </c>
      <c r="W377" s="3">
        <f ca="1">IFERROR(__xludf.DUMMYFUNCTION("""COMPUTED_VALUE"""),524)</f>
        <v>524</v>
      </c>
      <c r="X377" s="3">
        <f ca="1">IFERROR(__xludf.DUMMYFUNCTION("""COMPUTED_VALUE"""),724)</f>
        <v>724</v>
      </c>
      <c r="Y377" s="3">
        <f ca="1">IFERROR(__xludf.DUMMYFUNCTION("""COMPUTED_VALUE"""),0.724)</f>
        <v>0.72399999999999998</v>
      </c>
      <c r="Z377" s="3">
        <f ca="1">IFERROR(__xludf.DUMMYFUNCTION("""COMPUTED_VALUE"""),338)</f>
        <v>338</v>
      </c>
      <c r="AA377" s="3">
        <f ca="1">IFERROR(__xludf.DUMMYFUNCTION("""COMPUTED_VALUE"""),1256)</f>
        <v>1256</v>
      </c>
      <c r="AB377" s="3">
        <f ca="1">IFERROR(__xludf.DUMMYFUNCTION("""COMPUTED_VALUE"""),417)</f>
        <v>417</v>
      </c>
      <c r="AC377" s="3">
        <f ca="1">IFERROR(__xludf.DUMMYFUNCTION("""COMPUTED_VALUE"""),235)</f>
        <v>235</v>
      </c>
      <c r="AD377" s="3">
        <f ca="1">IFERROR(__xludf.DUMMYFUNCTION("""COMPUTED_VALUE"""),174)</f>
        <v>174</v>
      </c>
      <c r="AE377" s="3">
        <f ca="1">IFERROR(__xludf.DUMMYFUNCTION("""COMPUTED_VALUE"""),466)</f>
        <v>466</v>
      </c>
      <c r="AF377" s="3">
        <f ca="1">IFERROR(__xludf.DUMMYFUNCTION("""COMPUTED_VALUE"""),528)</f>
        <v>528</v>
      </c>
    </row>
    <row r="378" spans="1:32" x14ac:dyDescent="0.25">
      <c r="A378" s="3" t="str">
        <f ca="1">IFERROR(__xludf.DUMMYFUNCTION("""COMPUTED_VALUE"""),"Western Michigan")</f>
        <v>Western Michigan</v>
      </c>
      <c r="B378" s="3">
        <f ca="1">IFERROR(__xludf.DUMMYFUNCTION("""COMPUTED_VALUE"""),32)</f>
        <v>32</v>
      </c>
      <c r="C378" s="3">
        <f ca="1">IFERROR(__xludf.DUMMYFUNCTION("""COMPUTED_VALUE"""),8)</f>
        <v>8</v>
      </c>
      <c r="D378" s="3">
        <f ca="1">IFERROR(__xludf.DUMMYFUNCTION("""COMPUTED_VALUE"""),24)</f>
        <v>24</v>
      </c>
      <c r="E378" s="3">
        <f ca="1">IFERROR(__xludf.DUMMYFUNCTION("""COMPUTED_VALUE"""),0.25)</f>
        <v>0.25</v>
      </c>
      <c r="F378" s="3">
        <f ca="1">IFERROR(__xludf.DUMMYFUNCTION("""COMPUTED_VALUE"""),-6.26)</f>
        <v>-6.26</v>
      </c>
      <c r="G378" s="3">
        <f ca="1">IFERROR(__xludf.DUMMYFUNCTION("""COMPUTED_VALUE"""),1.48)</f>
        <v>1.48</v>
      </c>
      <c r="H378" s="3">
        <f ca="1">IFERROR(__xludf.DUMMYFUNCTION("""COMPUTED_VALUE"""),2)</f>
        <v>2</v>
      </c>
      <c r="I378" s="3">
        <f ca="1">IFERROR(__xludf.DUMMYFUNCTION("""COMPUTED_VALUE"""),16)</f>
        <v>16</v>
      </c>
      <c r="J378" s="3">
        <f ca="1">IFERROR(__xludf.DUMMYFUNCTION("""COMPUTED_VALUE"""),5)</f>
        <v>5</v>
      </c>
      <c r="K378" s="3">
        <f ca="1">IFERROR(__xludf.DUMMYFUNCTION("""COMPUTED_VALUE"""),9)</f>
        <v>9</v>
      </c>
      <c r="L378" s="3">
        <f ca="1">IFERROR(__xludf.DUMMYFUNCTION("""COMPUTED_VALUE"""),2)</f>
        <v>2</v>
      </c>
      <c r="M378" s="3">
        <f ca="1">IFERROR(__xludf.DUMMYFUNCTION("""COMPUTED_VALUE"""),14)</f>
        <v>14</v>
      </c>
      <c r="N378" s="3">
        <f ca="1">IFERROR(__xludf.DUMMYFUNCTION("""COMPUTED_VALUE"""),2246)</f>
        <v>2246</v>
      </c>
      <c r="O378" s="3">
        <f ca="1">IFERROR(__xludf.DUMMYFUNCTION("""COMPUTED_VALUE"""),2439)</f>
        <v>2439</v>
      </c>
      <c r="P378" s="3">
        <f ca="1">IFERROR(__xludf.DUMMYFUNCTION("""COMPUTED_VALUE"""),1300)</f>
        <v>1300</v>
      </c>
      <c r="Q378" s="3">
        <f ca="1">IFERROR(__xludf.DUMMYFUNCTION("""COMPUTED_VALUE"""),774)</f>
        <v>774</v>
      </c>
      <c r="R378" s="3">
        <f ca="1">IFERROR(__xludf.DUMMYFUNCTION("""COMPUTED_VALUE"""),1822)</f>
        <v>1822</v>
      </c>
      <c r="S378" s="3">
        <f ca="1">IFERROR(__xludf.DUMMYFUNCTION("""COMPUTED_VALUE"""),0.425)</f>
        <v>0.42499999999999999</v>
      </c>
      <c r="T378" s="3">
        <f ca="1">IFERROR(__xludf.DUMMYFUNCTION("""COMPUTED_VALUE"""),228)</f>
        <v>228</v>
      </c>
      <c r="U378" s="3">
        <f ca="1">IFERROR(__xludf.DUMMYFUNCTION("""COMPUTED_VALUE"""),723)</f>
        <v>723</v>
      </c>
      <c r="V378" s="3">
        <f ca="1">IFERROR(__xludf.DUMMYFUNCTION("""COMPUTED_VALUE"""),0.315)</f>
        <v>0.315</v>
      </c>
      <c r="W378" s="3">
        <f ca="1">IFERROR(__xludf.DUMMYFUNCTION("""COMPUTED_VALUE"""),470)</f>
        <v>470</v>
      </c>
      <c r="X378" s="3">
        <f ca="1">IFERROR(__xludf.DUMMYFUNCTION("""COMPUTED_VALUE"""),680)</f>
        <v>680</v>
      </c>
      <c r="Y378" s="3">
        <f ca="1">IFERROR(__xludf.DUMMYFUNCTION("""COMPUTED_VALUE"""),0.691)</f>
        <v>0.69099999999999995</v>
      </c>
      <c r="Z378" s="3">
        <f ca="1">IFERROR(__xludf.DUMMYFUNCTION("""COMPUTED_VALUE"""),345)</f>
        <v>345</v>
      </c>
      <c r="AA378" s="3">
        <f ca="1">IFERROR(__xludf.DUMMYFUNCTION("""COMPUTED_VALUE"""),1197)</f>
        <v>1197</v>
      </c>
      <c r="AB378" s="3">
        <f ca="1">IFERROR(__xludf.DUMMYFUNCTION("""COMPUTED_VALUE"""),374)</f>
        <v>374</v>
      </c>
      <c r="AC378" s="3">
        <f ca="1">IFERROR(__xludf.DUMMYFUNCTION("""COMPUTED_VALUE"""),147)</f>
        <v>147</v>
      </c>
      <c r="AD378" s="3">
        <f ca="1">IFERROR(__xludf.DUMMYFUNCTION("""COMPUTED_VALUE"""),78)</f>
        <v>78</v>
      </c>
      <c r="AE378" s="3">
        <f ca="1">IFERROR(__xludf.DUMMYFUNCTION("""COMPUTED_VALUE"""),490)</f>
        <v>490</v>
      </c>
      <c r="AF378" s="3">
        <f ca="1">IFERROR(__xludf.DUMMYFUNCTION("""COMPUTED_VALUE"""),564)</f>
        <v>564</v>
      </c>
    </row>
    <row r="379" spans="1:32" x14ac:dyDescent="0.25">
      <c r="A379" s="3" t="str">
        <f ca="1">IFERROR(__xludf.DUMMYFUNCTION("""COMPUTED_VALUE"""),"Wichita State")</f>
        <v>Wichita State</v>
      </c>
      <c r="B379" s="3">
        <f ca="1">IFERROR(__xludf.DUMMYFUNCTION("""COMPUTED_VALUE"""),37)</f>
        <v>37</v>
      </c>
      <c r="C379" s="3">
        <f ca="1">IFERROR(__xludf.DUMMYFUNCTION("""COMPUTED_VALUE"""),22)</f>
        <v>22</v>
      </c>
      <c r="D379" s="3">
        <f ca="1">IFERROR(__xludf.DUMMYFUNCTION("""COMPUTED_VALUE"""),15)</f>
        <v>15</v>
      </c>
      <c r="E379" s="3">
        <f ca="1">IFERROR(__xludf.DUMMYFUNCTION("""COMPUTED_VALUE"""),0.595)</f>
        <v>0.59499999999999997</v>
      </c>
      <c r="F379" s="3">
        <f ca="1">IFERROR(__xludf.DUMMYFUNCTION("""COMPUTED_VALUE"""),7.72)</f>
        <v>7.72</v>
      </c>
      <c r="G379" s="3">
        <f ca="1">IFERROR(__xludf.DUMMYFUNCTION("""COMPUTED_VALUE"""),5.91)</f>
        <v>5.91</v>
      </c>
      <c r="H379" s="3">
        <f ca="1">IFERROR(__xludf.DUMMYFUNCTION("""COMPUTED_VALUE"""),10)</f>
        <v>10</v>
      </c>
      <c r="I379" s="3">
        <f ca="1">IFERROR(__xludf.DUMMYFUNCTION("""COMPUTED_VALUE"""),8)</f>
        <v>8</v>
      </c>
      <c r="J379" s="3">
        <f ca="1">IFERROR(__xludf.DUMMYFUNCTION("""COMPUTED_VALUE"""),10)</f>
        <v>10</v>
      </c>
      <c r="K379" s="3">
        <f ca="1">IFERROR(__xludf.DUMMYFUNCTION("""COMPUTED_VALUE"""),4)</f>
        <v>4</v>
      </c>
      <c r="L379" s="3">
        <f ca="1">IFERROR(__xludf.DUMMYFUNCTION("""COMPUTED_VALUE"""),7)</f>
        <v>7</v>
      </c>
      <c r="M379" s="3">
        <f ca="1">IFERROR(__xludf.DUMMYFUNCTION("""COMPUTED_VALUE"""),7)</f>
        <v>7</v>
      </c>
      <c r="N379" s="3">
        <f ca="1">IFERROR(__xludf.DUMMYFUNCTION("""COMPUTED_VALUE"""),2609)</f>
        <v>2609</v>
      </c>
      <c r="O379" s="3">
        <f ca="1">IFERROR(__xludf.DUMMYFUNCTION("""COMPUTED_VALUE"""),2542)</f>
        <v>2542</v>
      </c>
      <c r="P379" s="3">
        <f ca="1">IFERROR(__xludf.DUMMYFUNCTION("""COMPUTED_VALUE"""),1485)</f>
        <v>1485</v>
      </c>
      <c r="Q379" s="3">
        <f ca="1">IFERROR(__xludf.DUMMYFUNCTION("""COMPUTED_VALUE"""),929)</f>
        <v>929</v>
      </c>
      <c r="R379" s="3">
        <f ca="1">IFERROR(__xludf.DUMMYFUNCTION("""COMPUTED_VALUE"""),2277)</f>
        <v>2277</v>
      </c>
      <c r="S379" s="3">
        <f ca="1">IFERROR(__xludf.DUMMYFUNCTION("""COMPUTED_VALUE"""),0.408)</f>
        <v>0.40799999999999997</v>
      </c>
      <c r="T379" s="3">
        <f ca="1">IFERROR(__xludf.DUMMYFUNCTION("""COMPUTED_VALUE"""),276)</f>
        <v>276</v>
      </c>
      <c r="U379" s="3">
        <f ca="1">IFERROR(__xludf.DUMMYFUNCTION("""COMPUTED_VALUE"""),890)</f>
        <v>890</v>
      </c>
      <c r="V379" s="3">
        <f ca="1">IFERROR(__xludf.DUMMYFUNCTION("""COMPUTED_VALUE"""),0.31)</f>
        <v>0.31</v>
      </c>
      <c r="W379" s="3">
        <f ca="1">IFERROR(__xludf.DUMMYFUNCTION("""COMPUTED_VALUE"""),475)</f>
        <v>475</v>
      </c>
      <c r="X379" s="3">
        <f ca="1">IFERROR(__xludf.DUMMYFUNCTION("""COMPUTED_VALUE"""),655)</f>
        <v>655</v>
      </c>
      <c r="Y379" s="3">
        <f ca="1">IFERROR(__xludf.DUMMYFUNCTION("""COMPUTED_VALUE"""),0.725)</f>
        <v>0.72499999999999998</v>
      </c>
      <c r="Z379" s="3">
        <f ca="1">IFERROR(__xludf.DUMMYFUNCTION("""COMPUTED_VALUE"""),452)</f>
        <v>452</v>
      </c>
      <c r="AA379" s="3">
        <f ca="1">IFERROR(__xludf.DUMMYFUNCTION("""COMPUTED_VALUE"""),1417)</f>
        <v>1417</v>
      </c>
      <c r="AB379" s="3">
        <f ca="1">IFERROR(__xludf.DUMMYFUNCTION("""COMPUTED_VALUE"""),499)</f>
        <v>499</v>
      </c>
      <c r="AC379" s="3">
        <f ca="1">IFERROR(__xludf.DUMMYFUNCTION("""COMPUTED_VALUE"""),174)</f>
        <v>174</v>
      </c>
      <c r="AD379" s="3">
        <f ca="1">IFERROR(__xludf.DUMMYFUNCTION("""COMPUTED_VALUE"""),135)</f>
        <v>135</v>
      </c>
      <c r="AE379" s="3">
        <f ca="1">IFERROR(__xludf.DUMMYFUNCTION("""COMPUTED_VALUE"""),446)</f>
        <v>446</v>
      </c>
      <c r="AF379" s="3">
        <f ca="1">IFERROR(__xludf.DUMMYFUNCTION("""COMPUTED_VALUE"""),705)</f>
        <v>705</v>
      </c>
    </row>
    <row r="380" spans="1:32" x14ac:dyDescent="0.25">
      <c r="A380" s="3" t="str">
        <f ca="1">IFERROR(__xludf.DUMMYFUNCTION("""COMPUTED_VALUE"""),"William &amp; Mary")</f>
        <v>William &amp; Mary</v>
      </c>
      <c r="B380" s="3">
        <f ca="1">IFERROR(__xludf.DUMMYFUNCTION("""COMPUTED_VALUE"""),31)</f>
        <v>31</v>
      </c>
      <c r="C380" s="3">
        <f ca="1">IFERROR(__xludf.DUMMYFUNCTION("""COMPUTED_VALUE"""),14)</f>
        <v>14</v>
      </c>
      <c r="D380" s="3">
        <f ca="1">IFERROR(__xludf.DUMMYFUNCTION("""COMPUTED_VALUE"""),17)</f>
        <v>17</v>
      </c>
      <c r="E380" s="3">
        <f ca="1">IFERROR(__xludf.DUMMYFUNCTION("""COMPUTED_VALUE"""),0.452)</f>
        <v>0.45200000000000001</v>
      </c>
      <c r="F380" s="3">
        <f ca="1">IFERROR(__xludf.DUMMYFUNCTION("""COMPUTED_VALUE"""),-4.78)</f>
        <v>-4.78</v>
      </c>
      <c r="G380" s="3">
        <f ca="1">IFERROR(__xludf.DUMMYFUNCTION("""COMPUTED_VALUE"""),-2.08)</f>
        <v>-2.08</v>
      </c>
      <c r="H380" s="3">
        <f ca="1">IFERROR(__xludf.DUMMYFUNCTION("""COMPUTED_VALUE"""),10)</f>
        <v>10</v>
      </c>
      <c r="I380" s="3">
        <f ca="1">IFERROR(__xludf.DUMMYFUNCTION("""COMPUTED_VALUE"""),8)</f>
        <v>8</v>
      </c>
      <c r="J380" s="3">
        <f ca="1">IFERROR(__xludf.DUMMYFUNCTION("""COMPUTED_VALUE"""),9)</f>
        <v>9</v>
      </c>
      <c r="K380" s="3">
        <f ca="1">IFERROR(__xludf.DUMMYFUNCTION("""COMPUTED_VALUE"""),5)</f>
        <v>5</v>
      </c>
      <c r="L380" s="3">
        <f ca="1">IFERROR(__xludf.DUMMYFUNCTION("""COMPUTED_VALUE"""),5)</f>
        <v>5</v>
      </c>
      <c r="M380" s="3">
        <f ca="1">IFERROR(__xludf.DUMMYFUNCTION("""COMPUTED_VALUE"""),11)</f>
        <v>11</v>
      </c>
      <c r="N380" s="3">
        <f ca="1">IFERROR(__xludf.DUMMYFUNCTION("""COMPUTED_VALUE"""),2321)</f>
        <v>2321</v>
      </c>
      <c r="O380" s="3">
        <f ca="1">IFERROR(__xludf.DUMMYFUNCTION("""COMPUTED_VALUE"""),2385)</f>
        <v>2385</v>
      </c>
      <c r="P380" s="3">
        <f ca="1">IFERROR(__xludf.DUMMYFUNCTION("""COMPUTED_VALUE"""),1265)</f>
        <v>1265</v>
      </c>
      <c r="Q380" s="3">
        <f ca="1">IFERROR(__xludf.DUMMYFUNCTION("""COMPUTED_VALUE"""),841)</f>
        <v>841</v>
      </c>
      <c r="R380" s="3">
        <f ca="1">IFERROR(__xludf.DUMMYFUNCTION("""COMPUTED_VALUE"""),1773)</f>
        <v>1773</v>
      </c>
      <c r="S380" s="3">
        <f ca="1">IFERROR(__xludf.DUMMYFUNCTION("""COMPUTED_VALUE"""),0.474)</f>
        <v>0.47399999999999998</v>
      </c>
      <c r="T380" s="3">
        <f ca="1">IFERROR(__xludf.DUMMYFUNCTION("""COMPUTED_VALUE"""),254)</f>
        <v>254</v>
      </c>
      <c r="U380" s="3">
        <f ca="1">IFERROR(__xludf.DUMMYFUNCTION("""COMPUTED_VALUE"""),735)</f>
        <v>735</v>
      </c>
      <c r="V380" s="3">
        <f ca="1">IFERROR(__xludf.DUMMYFUNCTION("""COMPUTED_VALUE"""),0.346)</f>
        <v>0.34599999999999997</v>
      </c>
      <c r="W380" s="3">
        <f ca="1">IFERROR(__xludf.DUMMYFUNCTION("""COMPUTED_VALUE"""),385)</f>
        <v>385</v>
      </c>
      <c r="X380" s="3">
        <f ca="1">IFERROR(__xludf.DUMMYFUNCTION("""COMPUTED_VALUE"""),576)</f>
        <v>576</v>
      </c>
      <c r="Y380" s="3">
        <f ca="1">IFERROR(__xludf.DUMMYFUNCTION("""COMPUTED_VALUE"""),0.668)</f>
        <v>0.66800000000000004</v>
      </c>
      <c r="Z380" s="3">
        <f ca="1">IFERROR(__xludf.DUMMYFUNCTION("""COMPUTED_VALUE"""),251)</f>
        <v>251</v>
      </c>
      <c r="AA380" s="3">
        <f ca="1">IFERROR(__xludf.DUMMYFUNCTION("""COMPUTED_VALUE"""),1057)</f>
        <v>1057</v>
      </c>
      <c r="AB380" s="3">
        <f ca="1">IFERROR(__xludf.DUMMYFUNCTION("""COMPUTED_VALUE"""),529)</f>
        <v>529</v>
      </c>
      <c r="AC380" s="3">
        <f ca="1">IFERROR(__xludf.DUMMYFUNCTION("""COMPUTED_VALUE"""),158)</f>
        <v>158</v>
      </c>
      <c r="AD380" s="3">
        <f ca="1">IFERROR(__xludf.DUMMYFUNCTION("""COMPUTED_VALUE"""),146)</f>
        <v>146</v>
      </c>
      <c r="AE380" s="3">
        <f ca="1">IFERROR(__xludf.DUMMYFUNCTION("""COMPUTED_VALUE"""),390)</f>
        <v>390</v>
      </c>
      <c r="AF380" s="3">
        <f ca="1">IFERROR(__xludf.DUMMYFUNCTION("""COMPUTED_VALUE"""),516)</f>
        <v>516</v>
      </c>
    </row>
    <row r="381" spans="1:32" x14ac:dyDescent="0.25">
      <c r="A381" s="3" t="str">
        <f ca="1">IFERROR(__xludf.DUMMYFUNCTION("""COMPUTED_VALUE"""),"Winthrop")</f>
        <v>Winthrop</v>
      </c>
      <c r="B381" s="3">
        <f ca="1">IFERROR(__xludf.DUMMYFUNCTION("""COMPUTED_VALUE"""),30)</f>
        <v>30</v>
      </c>
      <c r="C381" s="3">
        <f ca="1">IFERROR(__xludf.DUMMYFUNCTION("""COMPUTED_VALUE"""),18)</f>
        <v>18</v>
      </c>
      <c r="D381" s="3">
        <f ca="1">IFERROR(__xludf.DUMMYFUNCTION("""COMPUTED_VALUE"""),12)</f>
        <v>12</v>
      </c>
      <c r="E381" s="3">
        <f ca="1">IFERROR(__xludf.DUMMYFUNCTION("""COMPUTED_VALUE"""),0.6)</f>
        <v>0.6</v>
      </c>
      <c r="F381" s="3">
        <f ca="1">IFERROR(__xludf.DUMMYFUNCTION("""COMPUTED_VALUE"""),-2.89)</f>
        <v>-2.89</v>
      </c>
      <c r="G381" s="3">
        <f ca="1">IFERROR(__xludf.DUMMYFUNCTION("""COMPUTED_VALUE"""),-3.74)</f>
        <v>-3.74</v>
      </c>
      <c r="H381" s="3">
        <f ca="1">IFERROR(__xludf.DUMMYFUNCTION("""COMPUTED_VALUE"""),10)</f>
        <v>10</v>
      </c>
      <c r="I381" s="3">
        <f ca="1">IFERROR(__xludf.DUMMYFUNCTION("""COMPUTED_VALUE"""),6)</f>
        <v>6</v>
      </c>
      <c r="J381" s="3">
        <f ca="1">IFERROR(__xludf.DUMMYFUNCTION("""COMPUTED_VALUE"""),11)</f>
        <v>11</v>
      </c>
      <c r="K381" s="3">
        <f ca="1">IFERROR(__xludf.DUMMYFUNCTION("""COMPUTED_VALUE"""),3)</f>
        <v>3</v>
      </c>
      <c r="L381" s="3">
        <f ca="1">IFERROR(__xludf.DUMMYFUNCTION("""COMPUTED_VALUE"""),7)</f>
        <v>7</v>
      </c>
      <c r="M381" s="3">
        <f ca="1">IFERROR(__xludf.DUMMYFUNCTION("""COMPUTED_VALUE"""),8)</f>
        <v>8</v>
      </c>
      <c r="N381" s="3">
        <f ca="1">IFERROR(__xludf.DUMMYFUNCTION("""COMPUTED_VALUE"""),2499)</f>
        <v>2499</v>
      </c>
      <c r="O381" s="3">
        <f ca="1">IFERROR(__xludf.DUMMYFUNCTION("""COMPUTED_VALUE"""),2358)</f>
        <v>2358</v>
      </c>
      <c r="P381" s="3">
        <f ca="1">IFERROR(__xludf.DUMMYFUNCTION("""COMPUTED_VALUE"""),1210)</f>
        <v>1210</v>
      </c>
      <c r="Q381" s="3">
        <f ca="1">IFERROR(__xludf.DUMMYFUNCTION("""COMPUTED_VALUE"""),855)</f>
        <v>855</v>
      </c>
      <c r="R381" s="3">
        <f ca="1">IFERROR(__xludf.DUMMYFUNCTION("""COMPUTED_VALUE"""),1878)</f>
        <v>1878</v>
      </c>
      <c r="S381" s="3">
        <f ca="1">IFERROR(__xludf.DUMMYFUNCTION("""COMPUTED_VALUE"""),0.455)</f>
        <v>0.45500000000000002</v>
      </c>
      <c r="T381" s="3">
        <f ca="1">IFERROR(__xludf.DUMMYFUNCTION("""COMPUTED_VALUE"""),372)</f>
        <v>372</v>
      </c>
      <c r="U381" s="3">
        <f ca="1">IFERROR(__xludf.DUMMYFUNCTION("""COMPUTED_VALUE"""),997)</f>
        <v>997</v>
      </c>
      <c r="V381" s="3">
        <f ca="1">IFERROR(__xludf.DUMMYFUNCTION("""COMPUTED_VALUE"""),0.373)</f>
        <v>0.373</v>
      </c>
      <c r="W381" s="3">
        <f ca="1">IFERROR(__xludf.DUMMYFUNCTION("""COMPUTED_VALUE"""),417)</f>
        <v>417</v>
      </c>
      <c r="X381" s="3">
        <f ca="1">IFERROR(__xludf.DUMMYFUNCTION("""COMPUTED_VALUE"""),565)</f>
        <v>565</v>
      </c>
      <c r="Y381" s="3">
        <f ca="1">IFERROR(__xludf.DUMMYFUNCTION("""COMPUTED_VALUE"""),0.738)</f>
        <v>0.73799999999999999</v>
      </c>
      <c r="Z381" s="3">
        <f ca="1">IFERROR(__xludf.DUMMYFUNCTION("""COMPUTED_VALUE"""),330)</f>
        <v>330</v>
      </c>
      <c r="AA381" s="3">
        <f ca="1">IFERROR(__xludf.DUMMYFUNCTION("""COMPUTED_VALUE"""),1232)</f>
        <v>1232</v>
      </c>
      <c r="AB381" s="3">
        <f ca="1">IFERROR(__xludf.DUMMYFUNCTION("""COMPUTED_VALUE"""),460)</f>
        <v>460</v>
      </c>
      <c r="AC381" s="3">
        <f ca="1">IFERROR(__xludf.DUMMYFUNCTION("""COMPUTED_VALUE"""),134)</f>
        <v>134</v>
      </c>
      <c r="AD381" s="3">
        <f ca="1">IFERROR(__xludf.DUMMYFUNCTION("""COMPUTED_VALUE"""),83)</f>
        <v>83</v>
      </c>
      <c r="AE381" s="3">
        <f ca="1">IFERROR(__xludf.DUMMYFUNCTION("""COMPUTED_VALUE"""),456)</f>
        <v>456</v>
      </c>
      <c r="AF381" s="3">
        <f ca="1">IFERROR(__xludf.DUMMYFUNCTION("""COMPUTED_VALUE"""),535)</f>
        <v>535</v>
      </c>
    </row>
    <row r="382" spans="1:32" x14ac:dyDescent="0.25">
      <c r="A382" s="3" t="str">
        <f ca="1">IFERROR(__xludf.DUMMYFUNCTION("""COMPUTED_VALUE"""),"WisconsinNCAA")</f>
        <v>WisconsinNCAA</v>
      </c>
      <c r="B382" s="3">
        <f ca="1">IFERROR(__xludf.DUMMYFUNCTION("""COMPUTED_VALUE"""),34)</f>
        <v>34</v>
      </c>
      <c r="C382" s="3">
        <f ca="1">IFERROR(__xludf.DUMMYFUNCTION("""COMPUTED_VALUE"""),23)</f>
        <v>23</v>
      </c>
      <c r="D382" s="3">
        <f ca="1">IFERROR(__xludf.DUMMYFUNCTION("""COMPUTED_VALUE"""),11)</f>
        <v>11</v>
      </c>
      <c r="E382" s="3">
        <f ca="1">IFERROR(__xludf.DUMMYFUNCTION("""COMPUTED_VALUE"""),0.676)</f>
        <v>0.67600000000000005</v>
      </c>
      <c r="F382" s="3">
        <f ca="1">IFERROR(__xludf.DUMMYFUNCTION("""COMPUTED_VALUE"""),17.9)</f>
        <v>17.899999999999999</v>
      </c>
      <c r="G382" s="3">
        <f ca="1">IFERROR(__xludf.DUMMYFUNCTION("""COMPUTED_VALUE"""),11.01)</f>
        <v>11.01</v>
      </c>
      <c r="H382" s="3">
        <f ca="1">IFERROR(__xludf.DUMMYFUNCTION("""COMPUTED_VALUE"""),14)</f>
        <v>14</v>
      </c>
      <c r="I382" s="3">
        <f ca="1">IFERROR(__xludf.DUMMYFUNCTION("""COMPUTED_VALUE"""),6)</f>
        <v>6</v>
      </c>
      <c r="J382" s="3">
        <f ca="1">IFERROR(__xludf.DUMMYFUNCTION("""COMPUTED_VALUE"""),12)</f>
        <v>12</v>
      </c>
      <c r="K382" s="3">
        <f ca="1">IFERROR(__xludf.DUMMYFUNCTION("""COMPUTED_VALUE"""),3)</f>
        <v>3</v>
      </c>
      <c r="L382" s="3">
        <f ca="1">IFERROR(__xludf.DUMMYFUNCTION("""COMPUTED_VALUE"""),8)</f>
        <v>8</v>
      </c>
      <c r="M382" s="3">
        <f ca="1">IFERROR(__xludf.DUMMYFUNCTION("""COMPUTED_VALUE"""),5)</f>
        <v>5</v>
      </c>
      <c r="N382" s="3">
        <f ca="1">IFERROR(__xludf.DUMMYFUNCTION("""COMPUTED_VALUE"""),2333)</f>
        <v>2333</v>
      </c>
      <c r="O382" s="3">
        <f ca="1">IFERROR(__xludf.DUMMYFUNCTION("""COMPUTED_VALUE"""),2099)</f>
        <v>2099</v>
      </c>
      <c r="P382" s="3">
        <f ca="1">IFERROR(__xludf.DUMMYFUNCTION("""COMPUTED_VALUE"""),1385)</f>
        <v>1385</v>
      </c>
      <c r="Q382" s="3">
        <f ca="1">IFERROR(__xludf.DUMMYFUNCTION("""COMPUTED_VALUE"""),874)</f>
        <v>874</v>
      </c>
      <c r="R382" s="3">
        <f ca="1">IFERROR(__xludf.DUMMYFUNCTION("""COMPUTED_VALUE"""),1945)</f>
        <v>1945</v>
      </c>
      <c r="S382" s="3">
        <f ca="1">IFERROR(__xludf.DUMMYFUNCTION("""COMPUTED_VALUE"""),0.449)</f>
        <v>0.44900000000000001</v>
      </c>
      <c r="T382" s="3">
        <f ca="1">IFERROR(__xludf.DUMMYFUNCTION("""COMPUTED_VALUE"""),241)</f>
        <v>241</v>
      </c>
      <c r="U382" s="3">
        <f ca="1">IFERROR(__xludf.DUMMYFUNCTION("""COMPUTED_VALUE"""),672)</f>
        <v>672</v>
      </c>
      <c r="V382" s="3">
        <f ca="1">IFERROR(__xludf.DUMMYFUNCTION("""COMPUTED_VALUE"""),0.359)</f>
        <v>0.35899999999999999</v>
      </c>
      <c r="W382" s="3">
        <f ca="1">IFERROR(__xludf.DUMMYFUNCTION("""COMPUTED_VALUE"""),344)</f>
        <v>344</v>
      </c>
      <c r="X382" s="3">
        <f ca="1">IFERROR(__xludf.DUMMYFUNCTION("""COMPUTED_VALUE"""),531)</f>
        <v>531</v>
      </c>
      <c r="Y382" s="3">
        <f ca="1">IFERROR(__xludf.DUMMYFUNCTION("""COMPUTED_VALUE"""),0.648)</f>
        <v>0.64800000000000002</v>
      </c>
      <c r="Z382" s="3">
        <f ca="1">IFERROR(__xludf.DUMMYFUNCTION("""COMPUTED_VALUE"""),283)</f>
        <v>283</v>
      </c>
      <c r="AA382" s="3">
        <f ca="1">IFERROR(__xludf.DUMMYFUNCTION("""COMPUTED_VALUE"""),1197)</f>
        <v>1197</v>
      </c>
      <c r="AB382" s="3">
        <f ca="1">IFERROR(__xludf.DUMMYFUNCTION("""COMPUTED_VALUE"""),430)</f>
        <v>430</v>
      </c>
      <c r="AC382" s="3">
        <f ca="1">IFERROR(__xludf.DUMMYFUNCTION("""COMPUTED_VALUE"""),177)</f>
        <v>177</v>
      </c>
      <c r="AD382" s="3">
        <f ca="1">IFERROR(__xludf.DUMMYFUNCTION("""COMPUTED_VALUE"""),140)</f>
        <v>140</v>
      </c>
      <c r="AE382" s="3">
        <f ca="1">IFERROR(__xludf.DUMMYFUNCTION("""COMPUTED_VALUE"""),327)</f>
        <v>327</v>
      </c>
      <c r="AF382" s="3">
        <f ca="1">IFERROR(__xludf.DUMMYFUNCTION("""COMPUTED_VALUE"""),511)</f>
        <v>511</v>
      </c>
    </row>
    <row r="383" spans="1:32" x14ac:dyDescent="0.25">
      <c r="A383" s="3" t="str">
        <f ca="1">IFERROR(__xludf.DUMMYFUNCTION("""COMPUTED_VALUE"""),"WoffordNCAA")</f>
        <v>WoffordNCAA</v>
      </c>
      <c r="B383" s="3">
        <f ca="1">IFERROR(__xludf.DUMMYFUNCTION("""COMPUTED_VALUE"""),35)</f>
        <v>35</v>
      </c>
      <c r="C383" s="3">
        <f ca="1">IFERROR(__xludf.DUMMYFUNCTION("""COMPUTED_VALUE"""),30)</f>
        <v>30</v>
      </c>
      <c r="D383" s="3">
        <f ca="1">IFERROR(__xludf.DUMMYFUNCTION("""COMPUTED_VALUE"""),5)</f>
        <v>5</v>
      </c>
      <c r="E383" s="3">
        <f ca="1">IFERROR(__xludf.DUMMYFUNCTION("""COMPUTED_VALUE"""),0.857)</f>
        <v>0.85699999999999998</v>
      </c>
      <c r="F383" s="3">
        <f ca="1">IFERROR(__xludf.DUMMYFUNCTION("""COMPUTED_VALUE"""),13.92)</f>
        <v>13.92</v>
      </c>
      <c r="G383" s="3">
        <f ca="1">IFERROR(__xludf.DUMMYFUNCTION("""COMPUTED_VALUE"""),0.8)</f>
        <v>0.8</v>
      </c>
      <c r="H383" s="3">
        <f ca="1">IFERROR(__xludf.DUMMYFUNCTION("""COMPUTED_VALUE"""),18)</f>
        <v>18</v>
      </c>
      <c r="I383" s="3">
        <f ca="1">IFERROR(__xludf.DUMMYFUNCTION("""COMPUTED_VALUE"""),0)</f>
        <v>0</v>
      </c>
      <c r="J383" s="3">
        <f ca="1">IFERROR(__xludf.DUMMYFUNCTION("""COMPUTED_VALUE"""),15)</f>
        <v>15</v>
      </c>
      <c r="K383" s="3">
        <f ca="1">IFERROR(__xludf.DUMMYFUNCTION("""COMPUTED_VALUE"""),1)</f>
        <v>1</v>
      </c>
      <c r="L383" s="3">
        <f ca="1">IFERROR(__xludf.DUMMYFUNCTION("""COMPUTED_VALUE"""),11)</f>
        <v>11</v>
      </c>
      <c r="M383" s="3">
        <f ca="1">IFERROR(__xludf.DUMMYFUNCTION("""COMPUTED_VALUE"""),3)</f>
        <v>3</v>
      </c>
      <c r="N383" s="3">
        <f ca="1">IFERROR(__xludf.DUMMYFUNCTION("""COMPUTED_VALUE"""),2879)</f>
        <v>2879</v>
      </c>
      <c r="O383" s="3">
        <f ca="1">IFERROR(__xludf.DUMMYFUNCTION("""COMPUTED_VALUE"""),2295)</f>
        <v>2295</v>
      </c>
      <c r="P383" s="3">
        <f ca="1">IFERROR(__xludf.DUMMYFUNCTION("""COMPUTED_VALUE"""),1410)</f>
        <v>1410</v>
      </c>
      <c r="Q383" s="3">
        <f ca="1">IFERROR(__xludf.DUMMYFUNCTION("""COMPUTED_VALUE"""),1044)</f>
        <v>1044</v>
      </c>
      <c r="R383" s="3">
        <f ca="1">IFERROR(__xludf.DUMMYFUNCTION("""COMPUTED_VALUE"""),2132)</f>
        <v>2132</v>
      </c>
      <c r="S383" s="3">
        <f ca="1">IFERROR(__xludf.DUMMYFUNCTION("""COMPUTED_VALUE"""),0.49)</f>
        <v>0.49</v>
      </c>
      <c r="T383" s="3">
        <f ca="1">IFERROR(__xludf.DUMMYFUNCTION("""COMPUTED_VALUE"""),385)</f>
        <v>385</v>
      </c>
      <c r="U383" s="3">
        <f ca="1">IFERROR(__xludf.DUMMYFUNCTION("""COMPUTED_VALUE"""),929)</f>
        <v>929</v>
      </c>
      <c r="V383" s="3">
        <f ca="1">IFERROR(__xludf.DUMMYFUNCTION("""COMPUTED_VALUE"""),0.414)</f>
        <v>0.41399999999999998</v>
      </c>
      <c r="W383" s="3">
        <f ca="1">IFERROR(__xludf.DUMMYFUNCTION("""COMPUTED_VALUE"""),406)</f>
        <v>406</v>
      </c>
      <c r="X383" s="3">
        <f ca="1">IFERROR(__xludf.DUMMYFUNCTION("""COMPUTED_VALUE"""),577)</f>
        <v>577</v>
      </c>
      <c r="Y383" s="3">
        <f ca="1">IFERROR(__xludf.DUMMYFUNCTION("""COMPUTED_VALUE"""),0.704)</f>
        <v>0.70399999999999996</v>
      </c>
      <c r="Z383" s="3">
        <f ca="1">IFERROR(__xludf.DUMMYFUNCTION("""COMPUTED_VALUE"""),365)</f>
        <v>365</v>
      </c>
      <c r="AA383" s="3">
        <f ca="1">IFERROR(__xludf.DUMMYFUNCTION("""COMPUTED_VALUE"""),1232)</f>
        <v>1232</v>
      </c>
      <c r="AB383" s="3">
        <f ca="1">IFERROR(__xludf.DUMMYFUNCTION("""COMPUTED_VALUE"""),528)</f>
        <v>528</v>
      </c>
      <c r="AC383" s="3">
        <f ca="1">IFERROR(__xludf.DUMMYFUNCTION("""COMPUTED_VALUE"""),233)</f>
        <v>233</v>
      </c>
      <c r="AD383" s="3">
        <f ca="1">IFERROR(__xludf.DUMMYFUNCTION("""COMPUTED_VALUE"""),105)</f>
        <v>105</v>
      </c>
      <c r="AE383" s="3">
        <f ca="1">IFERROR(__xludf.DUMMYFUNCTION("""COMPUTED_VALUE"""),377)</f>
        <v>377</v>
      </c>
      <c r="AF383" s="3">
        <f ca="1">IFERROR(__xludf.DUMMYFUNCTION("""COMPUTED_VALUE"""),589)</f>
        <v>589</v>
      </c>
    </row>
    <row r="384" spans="1:32" x14ac:dyDescent="0.25">
      <c r="A384" s="3" t="str">
        <f ca="1">IFERROR(__xludf.DUMMYFUNCTION("""COMPUTED_VALUE"""),"Wright State")</f>
        <v>Wright State</v>
      </c>
      <c r="B384" s="3">
        <f ca="1">IFERROR(__xludf.DUMMYFUNCTION("""COMPUTED_VALUE"""),35)</f>
        <v>35</v>
      </c>
      <c r="C384" s="3">
        <f ca="1">IFERROR(__xludf.DUMMYFUNCTION("""COMPUTED_VALUE"""),21)</f>
        <v>21</v>
      </c>
      <c r="D384" s="3">
        <f ca="1">IFERROR(__xludf.DUMMYFUNCTION("""COMPUTED_VALUE"""),14)</f>
        <v>14</v>
      </c>
      <c r="E384" s="3">
        <f ca="1">IFERROR(__xludf.DUMMYFUNCTION("""COMPUTED_VALUE"""),0.6)</f>
        <v>0.6</v>
      </c>
      <c r="F384" s="3">
        <f ca="1">IFERROR(__xludf.DUMMYFUNCTION("""COMPUTED_VALUE"""),3.29)</f>
        <v>3.29</v>
      </c>
      <c r="G384" s="3">
        <f ca="1">IFERROR(__xludf.DUMMYFUNCTION("""COMPUTED_VALUE"""),-0.89)</f>
        <v>-0.89</v>
      </c>
      <c r="H384" s="3">
        <f ca="1">IFERROR(__xludf.DUMMYFUNCTION("""COMPUTED_VALUE"""),13)</f>
        <v>13</v>
      </c>
      <c r="I384" s="3">
        <f ca="1">IFERROR(__xludf.DUMMYFUNCTION("""COMPUTED_VALUE"""),5)</f>
        <v>5</v>
      </c>
      <c r="J384" s="3">
        <f ca="1">IFERROR(__xludf.DUMMYFUNCTION("""COMPUTED_VALUE"""),15)</f>
        <v>15</v>
      </c>
      <c r="K384" s="3">
        <f ca="1">IFERROR(__xludf.DUMMYFUNCTION("""COMPUTED_VALUE"""),2)</f>
        <v>2</v>
      </c>
      <c r="L384" s="3">
        <f ca="1">IFERROR(__xludf.DUMMYFUNCTION("""COMPUTED_VALUE"""),5)</f>
        <v>5</v>
      </c>
      <c r="M384" s="3">
        <f ca="1">IFERROR(__xludf.DUMMYFUNCTION("""COMPUTED_VALUE"""),8)</f>
        <v>8</v>
      </c>
      <c r="N384" s="3">
        <f ca="1">IFERROR(__xludf.DUMMYFUNCTION("""COMPUTED_VALUE"""),2561)</f>
        <v>2561</v>
      </c>
      <c r="O384" s="3">
        <f ca="1">IFERROR(__xludf.DUMMYFUNCTION("""COMPUTED_VALUE"""),2365)</f>
        <v>2365</v>
      </c>
      <c r="P384" s="3">
        <f ca="1">IFERROR(__xludf.DUMMYFUNCTION("""COMPUTED_VALUE"""),1405)</f>
        <v>1405</v>
      </c>
      <c r="Q384" s="3">
        <f ca="1">IFERROR(__xludf.DUMMYFUNCTION("""COMPUTED_VALUE"""),885)</f>
        <v>885</v>
      </c>
      <c r="R384" s="3">
        <f ca="1">IFERROR(__xludf.DUMMYFUNCTION("""COMPUTED_VALUE"""),2028)</f>
        <v>2028</v>
      </c>
      <c r="S384" s="3">
        <f ca="1">IFERROR(__xludf.DUMMYFUNCTION("""COMPUTED_VALUE"""),0.436)</f>
        <v>0.436</v>
      </c>
      <c r="T384" s="3">
        <f ca="1">IFERROR(__xludf.DUMMYFUNCTION("""COMPUTED_VALUE"""),281)</f>
        <v>281</v>
      </c>
      <c r="U384" s="3">
        <f ca="1">IFERROR(__xludf.DUMMYFUNCTION("""COMPUTED_VALUE"""),818)</f>
        <v>818</v>
      </c>
      <c r="V384" s="3">
        <f ca="1">IFERROR(__xludf.DUMMYFUNCTION("""COMPUTED_VALUE"""),0.344)</f>
        <v>0.34399999999999997</v>
      </c>
      <c r="W384" s="3">
        <f ca="1">IFERROR(__xludf.DUMMYFUNCTION("""COMPUTED_VALUE"""),510)</f>
        <v>510</v>
      </c>
      <c r="X384" s="3">
        <f ca="1">IFERROR(__xludf.DUMMYFUNCTION("""COMPUTED_VALUE"""),692)</f>
        <v>692</v>
      </c>
      <c r="Y384" s="3">
        <f ca="1">IFERROR(__xludf.DUMMYFUNCTION("""COMPUTED_VALUE"""),0.737)</f>
        <v>0.73699999999999999</v>
      </c>
      <c r="Z384" s="3">
        <f ca="1">IFERROR(__xludf.DUMMYFUNCTION("""COMPUTED_VALUE"""),382)</f>
        <v>382</v>
      </c>
      <c r="AA384" s="3">
        <f ca="1">IFERROR(__xludf.DUMMYFUNCTION("""COMPUTED_VALUE"""),1229)</f>
        <v>1229</v>
      </c>
      <c r="AB384" s="3">
        <f ca="1">IFERROR(__xludf.DUMMYFUNCTION("""COMPUTED_VALUE"""),484)</f>
        <v>484</v>
      </c>
      <c r="AC384" s="3">
        <f ca="1">IFERROR(__xludf.DUMMYFUNCTION("""COMPUTED_VALUE"""),214)</f>
        <v>214</v>
      </c>
      <c r="AD384" s="3">
        <f ca="1">IFERROR(__xludf.DUMMYFUNCTION("""COMPUTED_VALUE"""),72)</f>
        <v>72</v>
      </c>
      <c r="AE384" s="3">
        <f ca="1">IFERROR(__xludf.DUMMYFUNCTION("""COMPUTED_VALUE"""),402)</f>
        <v>402</v>
      </c>
      <c r="AF384" s="3">
        <f ca="1">IFERROR(__xludf.DUMMYFUNCTION("""COMPUTED_VALUE"""),545)</f>
        <v>545</v>
      </c>
    </row>
    <row r="385" spans="1:32" x14ac:dyDescent="0.25">
      <c r="A385" s="3" t="str">
        <f ca="1">IFERROR(__xludf.DUMMYFUNCTION("""COMPUTED_VALUE"""),"Wyoming")</f>
        <v>Wyoming</v>
      </c>
      <c r="B385" s="3">
        <f ca="1">IFERROR(__xludf.DUMMYFUNCTION("""COMPUTED_VALUE"""),32)</f>
        <v>32</v>
      </c>
      <c r="C385" s="3">
        <f ca="1">IFERROR(__xludf.DUMMYFUNCTION("""COMPUTED_VALUE"""),8)</f>
        <v>8</v>
      </c>
      <c r="D385" s="3">
        <f ca="1">IFERROR(__xludf.DUMMYFUNCTION("""COMPUTED_VALUE"""),24)</f>
        <v>24</v>
      </c>
      <c r="E385" s="3">
        <f ca="1">IFERROR(__xludf.DUMMYFUNCTION("""COMPUTED_VALUE"""),0.25)</f>
        <v>0.25</v>
      </c>
      <c r="F385" s="3">
        <f ca="1">IFERROR(__xludf.DUMMYFUNCTION("""COMPUTED_VALUE"""),-9.75)</f>
        <v>-9.75</v>
      </c>
      <c r="G385" s="3">
        <f ca="1">IFERROR(__xludf.DUMMYFUNCTION("""COMPUTED_VALUE"""),0.19)</f>
        <v>0.19</v>
      </c>
      <c r="H385" s="3">
        <f ca="1">IFERROR(__xludf.DUMMYFUNCTION("""COMPUTED_VALUE"""),4)</f>
        <v>4</v>
      </c>
      <c r="I385" s="3">
        <f ca="1">IFERROR(__xludf.DUMMYFUNCTION("""COMPUTED_VALUE"""),14)</f>
        <v>14</v>
      </c>
      <c r="J385" s="3">
        <f ca="1">IFERROR(__xludf.DUMMYFUNCTION("""COMPUTED_VALUE"""),6)</f>
        <v>6</v>
      </c>
      <c r="K385" s="3">
        <f ca="1">IFERROR(__xludf.DUMMYFUNCTION("""COMPUTED_VALUE"""),10)</f>
        <v>10</v>
      </c>
      <c r="L385" s="3">
        <f ca="1">IFERROR(__xludf.DUMMYFUNCTION("""COMPUTED_VALUE"""),1)</f>
        <v>1</v>
      </c>
      <c r="M385" s="3">
        <f ca="1">IFERROR(__xludf.DUMMYFUNCTION("""COMPUTED_VALUE"""),11)</f>
        <v>11</v>
      </c>
      <c r="N385" s="3">
        <f ca="1">IFERROR(__xludf.DUMMYFUNCTION("""COMPUTED_VALUE"""),2105)</f>
        <v>2105</v>
      </c>
      <c r="O385" s="3">
        <f ca="1">IFERROR(__xludf.DUMMYFUNCTION("""COMPUTED_VALUE"""),2411)</f>
        <v>2411</v>
      </c>
      <c r="P385" s="3">
        <f ca="1">IFERROR(__xludf.DUMMYFUNCTION("""COMPUTED_VALUE"""),1285)</f>
        <v>1285</v>
      </c>
      <c r="Q385" s="3">
        <f ca="1">IFERROR(__xludf.DUMMYFUNCTION("""COMPUTED_VALUE"""),690)</f>
        <v>690</v>
      </c>
      <c r="R385" s="3">
        <f ca="1">IFERROR(__xludf.DUMMYFUNCTION("""COMPUTED_VALUE"""),1656)</f>
        <v>1656</v>
      </c>
      <c r="S385" s="3">
        <f ca="1">IFERROR(__xludf.DUMMYFUNCTION("""COMPUTED_VALUE"""),0.417)</f>
        <v>0.41699999999999998</v>
      </c>
      <c r="T385" s="3">
        <f ca="1">IFERROR(__xludf.DUMMYFUNCTION("""COMPUTED_VALUE"""),248)</f>
        <v>248</v>
      </c>
      <c r="U385" s="3">
        <f ca="1">IFERROR(__xludf.DUMMYFUNCTION("""COMPUTED_VALUE"""),720)</f>
        <v>720</v>
      </c>
      <c r="V385" s="3">
        <f ca="1">IFERROR(__xludf.DUMMYFUNCTION("""COMPUTED_VALUE"""),0.344)</f>
        <v>0.34399999999999997</v>
      </c>
      <c r="W385" s="3">
        <f ca="1">IFERROR(__xludf.DUMMYFUNCTION("""COMPUTED_VALUE"""),477)</f>
        <v>477</v>
      </c>
      <c r="X385" s="3">
        <f ca="1">IFERROR(__xludf.DUMMYFUNCTION("""COMPUTED_VALUE"""),660)</f>
        <v>660</v>
      </c>
      <c r="Y385" s="3">
        <f ca="1">IFERROR(__xludf.DUMMYFUNCTION("""COMPUTED_VALUE"""),0.723)</f>
        <v>0.72299999999999998</v>
      </c>
      <c r="Z385" s="3">
        <f ca="1">IFERROR(__xludf.DUMMYFUNCTION("""COMPUTED_VALUE"""),167)</f>
        <v>167</v>
      </c>
      <c r="AA385" s="3">
        <f ca="1">IFERROR(__xludf.DUMMYFUNCTION("""COMPUTED_VALUE"""),983)</f>
        <v>983</v>
      </c>
      <c r="AB385" s="3">
        <f ca="1">IFERROR(__xludf.DUMMYFUNCTION("""COMPUTED_VALUE"""),331)</f>
        <v>331</v>
      </c>
      <c r="AC385" s="3">
        <f ca="1">IFERROR(__xludf.DUMMYFUNCTION("""COMPUTED_VALUE"""),176)</f>
        <v>176</v>
      </c>
      <c r="AD385" s="3">
        <f ca="1">IFERROR(__xludf.DUMMYFUNCTION("""COMPUTED_VALUE"""),88)</f>
        <v>88</v>
      </c>
      <c r="AE385" s="3">
        <f ca="1">IFERROR(__xludf.DUMMYFUNCTION("""COMPUTED_VALUE"""),450)</f>
        <v>450</v>
      </c>
      <c r="AF385" s="3">
        <f ca="1">IFERROR(__xludf.DUMMYFUNCTION("""COMPUTED_VALUE"""),588)</f>
        <v>588</v>
      </c>
    </row>
    <row r="386" spans="1:32" x14ac:dyDescent="0.25">
      <c r="A386" s="3" t="str">
        <f ca="1">IFERROR(__xludf.DUMMYFUNCTION("""COMPUTED_VALUE"""),"Xavier")</f>
        <v>Xavier</v>
      </c>
      <c r="B386" s="3">
        <f ca="1">IFERROR(__xludf.DUMMYFUNCTION("""COMPUTED_VALUE"""),35)</f>
        <v>35</v>
      </c>
      <c r="C386" s="3">
        <f ca="1">IFERROR(__xludf.DUMMYFUNCTION("""COMPUTED_VALUE"""),19)</f>
        <v>19</v>
      </c>
      <c r="D386" s="3">
        <f ca="1">IFERROR(__xludf.DUMMYFUNCTION("""COMPUTED_VALUE"""),16)</f>
        <v>16</v>
      </c>
      <c r="E386" s="3">
        <f ca="1">IFERROR(__xludf.DUMMYFUNCTION("""COMPUTED_VALUE"""),0.543)</f>
        <v>0.54300000000000004</v>
      </c>
      <c r="F386" s="3">
        <f ca="1">IFERROR(__xludf.DUMMYFUNCTION("""COMPUTED_VALUE"""),9.61)</f>
        <v>9.61</v>
      </c>
      <c r="G386" s="3">
        <f ca="1">IFERROR(__xludf.DUMMYFUNCTION("""COMPUTED_VALUE"""),8.06)</f>
        <v>8.06</v>
      </c>
      <c r="H386" s="3">
        <f ca="1">IFERROR(__xludf.DUMMYFUNCTION("""COMPUTED_VALUE"""),9)</f>
        <v>9</v>
      </c>
      <c r="I386" s="3">
        <f ca="1">IFERROR(__xludf.DUMMYFUNCTION("""COMPUTED_VALUE"""),9)</f>
        <v>9</v>
      </c>
      <c r="J386" s="3">
        <f ca="1">IFERROR(__xludf.DUMMYFUNCTION("""COMPUTED_VALUE"""),13)</f>
        <v>13</v>
      </c>
      <c r="K386" s="3">
        <f ca="1">IFERROR(__xludf.DUMMYFUNCTION("""COMPUTED_VALUE"""),5)</f>
        <v>5</v>
      </c>
      <c r="L386" s="3">
        <f ca="1">IFERROR(__xludf.DUMMYFUNCTION("""COMPUTED_VALUE"""),4)</f>
        <v>4</v>
      </c>
      <c r="M386" s="3">
        <f ca="1">IFERROR(__xludf.DUMMYFUNCTION("""COMPUTED_VALUE"""),8)</f>
        <v>8</v>
      </c>
      <c r="N386" s="3">
        <f ca="1">IFERROR(__xludf.DUMMYFUNCTION("""COMPUTED_VALUE"""),2526)</f>
        <v>2526</v>
      </c>
      <c r="O386" s="3">
        <f ca="1">IFERROR(__xludf.DUMMYFUNCTION("""COMPUTED_VALUE"""),2472)</f>
        <v>2472</v>
      </c>
      <c r="P386" s="3">
        <f ca="1">IFERROR(__xludf.DUMMYFUNCTION("""COMPUTED_VALUE"""),1420)</f>
        <v>1420</v>
      </c>
      <c r="Q386" s="3">
        <f ca="1">IFERROR(__xludf.DUMMYFUNCTION("""COMPUTED_VALUE"""),922)</f>
        <v>922</v>
      </c>
      <c r="R386" s="3">
        <f ca="1">IFERROR(__xludf.DUMMYFUNCTION("""COMPUTED_VALUE"""),1977)</f>
        <v>1977</v>
      </c>
      <c r="S386" s="3">
        <f ca="1">IFERROR(__xludf.DUMMYFUNCTION("""COMPUTED_VALUE"""),0.466)</f>
        <v>0.46600000000000003</v>
      </c>
      <c r="T386" s="3">
        <f ca="1">IFERROR(__xludf.DUMMYFUNCTION("""COMPUTED_VALUE"""),245)</f>
        <v>245</v>
      </c>
      <c r="U386" s="3">
        <f ca="1">IFERROR(__xludf.DUMMYFUNCTION("""COMPUTED_VALUE"""),740)</f>
        <v>740</v>
      </c>
      <c r="V386" s="3">
        <f ca="1">IFERROR(__xludf.DUMMYFUNCTION("""COMPUTED_VALUE"""),0.331)</f>
        <v>0.33100000000000002</v>
      </c>
      <c r="W386" s="3">
        <f ca="1">IFERROR(__xludf.DUMMYFUNCTION("""COMPUTED_VALUE"""),437)</f>
        <v>437</v>
      </c>
      <c r="X386" s="3">
        <f ca="1">IFERROR(__xludf.DUMMYFUNCTION("""COMPUTED_VALUE"""),644)</f>
        <v>644</v>
      </c>
      <c r="Y386" s="3">
        <f ca="1">IFERROR(__xludf.DUMMYFUNCTION("""COMPUTED_VALUE"""),0.679)</f>
        <v>0.67900000000000005</v>
      </c>
      <c r="Z386" s="3">
        <f ca="1">IFERROR(__xludf.DUMMYFUNCTION("""COMPUTED_VALUE"""),371)</f>
        <v>371</v>
      </c>
      <c r="AA386" s="3">
        <f ca="1">IFERROR(__xludf.DUMMYFUNCTION("""COMPUTED_VALUE"""),1281)</f>
        <v>1281</v>
      </c>
      <c r="AB386" s="3">
        <f ca="1">IFERROR(__xludf.DUMMYFUNCTION("""COMPUTED_VALUE"""),519)</f>
        <v>519</v>
      </c>
      <c r="AC386" s="3">
        <f ca="1">IFERROR(__xludf.DUMMYFUNCTION("""COMPUTED_VALUE"""),190)</f>
        <v>190</v>
      </c>
      <c r="AD386" s="3">
        <f ca="1">IFERROR(__xludf.DUMMYFUNCTION("""COMPUTED_VALUE"""),128)</f>
        <v>128</v>
      </c>
      <c r="AE386" s="3">
        <f ca="1">IFERROR(__xludf.DUMMYFUNCTION("""COMPUTED_VALUE"""),450)</f>
        <v>450</v>
      </c>
      <c r="AF386" s="3">
        <f ca="1">IFERROR(__xludf.DUMMYFUNCTION("""COMPUTED_VALUE"""),550)</f>
        <v>550</v>
      </c>
    </row>
    <row r="387" spans="1:32" x14ac:dyDescent="0.25">
      <c r="A387" s="3" t="str">
        <f ca="1">IFERROR(__xludf.DUMMYFUNCTION("""COMPUTED_VALUE"""),"YaleNCAA")</f>
        <v>YaleNCAA</v>
      </c>
      <c r="B387" s="3">
        <f ca="1">IFERROR(__xludf.DUMMYFUNCTION("""COMPUTED_VALUE"""),30)</f>
        <v>30</v>
      </c>
      <c r="C387" s="3">
        <f ca="1">IFERROR(__xludf.DUMMYFUNCTION("""COMPUTED_VALUE"""),22)</f>
        <v>22</v>
      </c>
      <c r="D387" s="3">
        <f ca="1">IFERROR(__xludf.DUMMYFUNCTION("""COMPUTED_VALUE"""),8)</f>
        <v>8</v>
      </c>
      <c r="E387" s="3">
        <f ca="1">IFERROR(__xludf.DUMMYFUNCTION("""COMPUTED_VALUE"""),0.733)</f>
        <v>0.73299999999999998</v>
      </c>
      <c r="F387" s="3">
        <f ca="1">IFERROR(__xludf.DUMMYFUNCTION("""COMPUTED_VALUE"""),5.52)</f>
        <v>5.52</v>
      </c>
      <c r="G387" s="3">
        <f ca="1">IFERROR(__xludf.DUMMYFUNCTION("""COMPUTED_VALUE"""),-1.24)</f>
        <v>-1.24</v>
      </c>
      <c r="H387" s="3">
        <f ca="1">IFERROR(__xludf.DUMMYFUNCTION("""COMPUTED_VALUE"""),10)</f>
        <v>10</v>
      </c>
      <c r="I387" s="3">
        <f ca="1">IFERROR(__xludf.DUMMYFUNCTION("""COMPUTED_VALUE"""),4)</f>
        <v>4</v>
      </c>
      <c r="J387" s="3">
        <f ca="1">IFERROR(__xludf.DUMMYFUNCTION("""COMPUTED_VALUE"""),11)</f>
        <v>11</v>
      </c>
      <c r="K387" s="3">
        <f ca="1">IFERROR(__xludf.DUMMYFUNCTION("""COMPUTED_VALUE"""),2)</f>
        <v>2</v>
      </c>
      <c r="L387" s="3">
        <f ca="1">IFERROR(__xludf.DUMMYFUNCTION("""COMPUTED_VALUE"""),8)</f>
        <v>8</v>
      </c>
      <c r="M387" s="3">
        <f ca="1">IFERROR(__xludf.DUMMYFUNCTION("""COMPUTED_VALUE"""),5)</f>
        <v>5</v>
      </c>
      <c r="N387" s="3">
        <f ca="1">IFERROR(__xludf.DUMMYFUNCTION("""COMPUTED_VALUE"""),2427)</f>
        <v>2427</v>
      </c>
      <c r="O387" s="3">
        <f ca="1">IFERROR(__xludf.DUMMYFUNCTION("""COMPUTED_VALUE"""),2202)</f>
        <v>2202</v>
      </c>
      <c r="P387" s="3">
        <f ca="1">IFERROR(__xludf.DUMMYFUNCTION("""COMPUTED_VALUE"""),1215)</f>
        <v>1215</v>
      </c>
      <c r="Q387" s="3">
        <f ca="1">IFERROR(__xludf.DUMMYFUNCTION("""COMPUTED_VALUE"""),893)</f>
        <v>893</v>
      </c>
      <c r="R387" s="3">
        <f ca="1">IFERROR(__xludf.DUMMYFUNCTION("""COMPUTED_VALUE"""),1812)</f>
        <v>1812</v>
      </c>
      <c r="S387" s="3">
        <f ca="1">IFERROR(__xludf.DUMMYFUNCTION("""COMPUTED_VALUE"""),0.493)</f>
        <v>0.49299999999999999</v>
      </c>
      <c r="T387" s="3">
        <f ca="1">IFERROR(__xludf.DUMMYFUNCTION("""COMPUTED_VALUE"""),230)</f>
        <v>230</v>
      </c>
      <c r="U387" s="3">
        <f ca="1">IFERROR(__xludf.DUMMYFUNCTION("""COMPUTED_VALUE"""),634)</f>
        <v>634</v>
      </c>
      <c r="V387" s="3">
        <f ca="1">IFERROR(__xludf.DUMMYFUNCTION("""COMPUTED_VALUE"""),0.363)</f>
        <v>0.36299999999999999</v>
      </c>
      <c r="W387" s="3">
        <f ca="1">IFERROR(__xludf.DUMMYFUNCTION("""COMPUTED_VALUE"""),411)</f>
        <v>411</v>
      </c>
      <c r="X387" s="3">
        <f ca="1">IFERROR(__xludf.DUMMYFUNCTION("""COMPUTED_VALUE"""),557)</f>
        <v>557</v>
      </c>
      <c r="Y387" s="3">
        <f ca="1">IFERROR(__xludf.DUMMYFUNCTION("""COMPUTED_VALUE"""),0.738)</f>
        <v>0.73799999999999999</v>
      </c>
      <c r="Z387" s="3">
        <f ca="1">IFERROR(__xludf.DUMMYFUNCTION("""COMPUTED_VALUE"""),259)</f>
        <v>259</v>
      </c>
      <c r="AA387" s="3">
        <f ca="1">IFERROR(__xludf.DUMMYFUNCTION("""COMPUTED_VALUE"""),1157)</f>
        <v>1157</v>
      </c>
      <c r="AB387" s="3">
        <f ca="1">IFERROR(__xludf.DUMMYFUNCTION("""COMPUTED_VALUE"""),503)</f>
        <v>503</v>
      </c>
      <c r="AC387" s="3">
        <f ca="1">IFERROR(__xludf.DUMMYFUNCTION("""COMPUTED_VALUE"""),177)</f>
        <v>177</v>
      </c>
      <c r="AD387" s="3">
        <f ca="1">IFERROR(__xludf.DUMMYFUNCTION("""COMPUTED_VALUE"""),131)</f>
        <v>131</v>
      </c>
      <c r="AE387" s="3">
        <f ca="1">IFERROR(__xludf.DUMMYFUNCTION("""COMPUTED_VALUE"""),392)</f>
        <v>392</v>
      </c>
      <c r="AF387" s="3">
        <f ca="1">IFERROR(__xludf.DUMMYFUNCTION("""COMPUTED_VALUE"""),510)</f>
        <v>510</v>
      </c>
    </row>
    <row r="388" spans="1:32" x14ac:dyDescent="0.25">
      <c r="A388" s="3" t="str">
        <f ca="1">IFERROR(__xludf.DUMMYFUNCTION("""COMPUTED_VALUE"""),"Youngstown State")</f>
        <v>Youngstown State</v>
      </c>
      <c r="B388" s="3">
        <f ca="1">IFERROR(__xludf.DUMMYFUNCTION("""COMPUTED_VALUE"""),32)</f>
        <v>32</v>
      </c>
      <c r="C388" s="3">
        <f ca="1">IFERROR(__xludf.DUMMYFUNCTION("""COMPUTED_VALUE"""),12)</f>
        <v>12</v>
      </c>
      <c r="D388" s="3">
        <f ca="1">IFERROR(__xludf.DUMMYFUNCTION("""COMPUTED_VALUE"""),20)</f>
        <v>20</v>
      </c>
      <c r="E388" s="3">
        <f ca="1">IFERROR(__xludf.DUMMYFUNCTION("""COMPUTED_VALUE"""),0.375)</f>
        <v>0.375</v>
      </c>
      <c r="F388" s="3">
        <f ca="1">IFERROR(__xludf.DUMMYFUNCTION("""COMPUTED_VALUE"""),-7.78)</f>
        <v>-7.78</v>
      </c>
      <c r="G388" s="3">
        <f ca="1">IFERROR(__xludf.DUMMYFUNCTION("""COMPUTED_VALUE"""),-2.05)</f>
        <v>-2.0499999999999998</v>
      </c>
      <c r="H388" s="3">
        <f ca="1">IFERROR(__xludf.DUMMYFUNCTION("""COMPUTED_VALUE"""),8)</f>
        <v>8</v>
      </c>
      <c r="I388" s="3">
        <f ca="1">IFERROR(__xludf.DUMMYFUNCTION("""COMPUTED_VALUE"""),10)</f>
        <v>10</v>
      </c>
      <c r="J388" s="3">
        <f ca="1">IFERROR(__xludf.DUMMYFUNCTION("""COMPUTED_VALUE"""),6)</f>
        <v>6</v>
      </c>
      <c r="K388" s="3">
        <f ca="1">IFERROR(__xludf.DUMMYFUNCTION("""COMPUTED_VALUE"""),7)</f>
        <v>7</v>
      </c>
      <c r="L388" s="3">
        <f ca="1">IFERROR(__xludf.DUMMYFUNCTION("""COMPUTED_VALUE"""),5)</f>
        <v>5</v>
      </c>
      <c r="M388" s="3">
        <f ca="1">IFERROR(__xludf.DUMMYFUNCTION("""COMPUTED_VALUE"""),11)</f>
        <v>11</v>
      </c>
      <c r="N388" s="3">
        <f ca="1">IFERROR(__xludf.DUMMYFUNCTION("""COMPUTED_VALUE"""),2415)</f>
        <v>2415</v>
      </c>
      <c r="O388" s="3">
        <f ca="1">IFERROR(__xludf.DUMMYFUNCTION("""COMPUTED_VALUE"""),2526)</f>
        <v>2526</v>
      </c>
      <c r="P388" s="3">
        <f ca="1">IFERROR(__xludf.DUMMYFUNCTION("""COMPUTED_VALUE"""),1305)</f>
        <v>1305</v>
      </c>
      <c r="Q388" s="3">
        <f ca="1">IFERROR(__xludf.DUMMYFUNCTION("""COMPUTED_VALUE"""),879)</f>
        <v>879</v>
      </c>
      <c r="R388" s="3">
        <f ca="1">IFERROR(__xludf.DUMMYFUNCTION("""COMPUTED_VALUE"""),2057)</f>
        <v>2057</v>
      </c>
      <c r="S388" s="3">
        <f ca="1">IFERROR(__xludf.DUMMYFUNCTION("""COMPUTED_VALUE"""),0.427)</f>
        <v>0.42699999999999999</v>
      </c>
      <c r="T388" s="3">
        <f ca="1">IFERROR(__xludf.DUMMYFUNCTION("""COMPUTED_VALUE"""),303)</f>
        <v>303</v>
      </c>
      <c r="U388" s="3">
        <f ca="1">IFERROR(__xludf.DUMMYFUNCTION("""COMPUTED_VALUE"""),891)</f>
        <v>891</v>
      </c>
      <c r="V388" s="3">
        <f ca="1">IFERROR(__xludf.DUMMYFUNCTION("""COMPUTED_VALUE"""),0.34)</f>
        <v>0.34</v>
      </c>
      <c r="W388" s="3">
        <f ca="1">IFERROR(__xludf.DUMMYFUNCTION("""COMPUTED_VALUE"""),354)</f>
        <v>354</v>
      </c>
      <c r="X388" s="3">
        <f ca="1">IFERROR(__xludf.DUMMYFUNCTION("""COMPUTED_VALUE"""),505)</f>
        <v>505</v>
      </c>
      <c r="Y388" s="3">
        <f ca="1">IFERROR(__xludf.DUMMYFUNCTION("""COMPUTED_VALUE"""),0.701)</f>
        <v>0.70099999999999996</v>
      </c>
      <c r="Z388" s="3">
        <f ca="1">IFERROR(__xludf.DUMMYFUNCTION("""COMPUTED_VALUE"""),418)</f>
        <v>418</v>
      </c>
      <c r="AA388" s="3">
        <f ca="1">IFERROR(__xludf.DUMMYFUNCTION("""COMPUTED_VALUE"""),1207)</f>
        <v>1207</v>
      </c>
      <c r="AB388" s="3">
        <f ca="1">IFERROR(__xludf.DUMMYFUNCTION("""COMPUTED_VALUE"""),449)</f>
        <v>449</v>
      </c>
      <c r="AC388" s="3">
        <f ca="1">IFERROR(__xludf.DUMMYFUNCTION("""COMPUTED_VALUE"""),210)</f>
        <v>210</v>
      </c>
      <c r="AD388" s="3">
        <f ca="1">IFERROR(__xludf.DUMMYFUNCTION("""COMPUTED_VALUE"""),115)</f>
        <v>115</v>
      </c>
      <c r="AE388" s="3">
        <f ca="1">IFERROR(__xludf.DUMMYFUNCTION("""COMPUTED_VALUE"""),423)</f>
        <v>423</v>
      </c>
      <c r="AF388" s="3">
        <f ca="1">IFERROR(__xludf.DUMMYFUNCTION("""COMPUTED_VALUE"""),656)</f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388"/>
  <sheetViews>
    <sheetView workbookViewId="0">
      <selection activeCell="A110" sqref="A110"/>
    </sheetView>
  </sheetViews>
  <sheetFormatPr defaultColWidth="14.453125" defaultRowHeight="15.75" customHeight="1" x14ac:dyDescent="0.25"/>
  <cols>
    <col min="1" max="1" width="19.08984375" customWidth="1"/>
  </cols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IFERROR(__xludf.DUMMYFUNCTION("""COMPUTED_VALUE"""),"Abilene Christian")</f>
        <v>Abilene Christian</v>
      </c>
      <c r="B2" s="1">
        <f ca="1">IFERROR(__xludf.DUMMYFUNCTION("""COMPUTED_VALUE"""),34)</f>
        <v>34</v>
      </c>
      <c r="C2" s="1">
        <f ca="1">IFERROR(__xludf.DUMMYFUNCTION("""COMPUTED_VALUE"""),27)</f>
        <v>27</v>
      </c>
      <c r="D2" s="1">
        <f ca="1">IFERROR(__xludf.DUMMYFUNCTION("""COMPUTED_VALUE"""),7)</f>
        <v>7</v>
      </c>
      <c r="E2" s="1">
        <f ca="1">IFERROR(__xludf.DUMMYFUNCTION("""COMPUTED_VALUE"""),0.794)</f>
        <v>0.79400000000000004</v>
      </c>
      <c r="F2" s="1">
        <f ca="1">IFERROR(__xludf.DUMMYFUNCTION("""COMPUTED_VALUE"""),-1.91)</f>
        <v>-1.91</v>
      </c>
      <c r="G2" s="1">
        <f ca="1">IFERROR(__xludf.DUMMYFUNCTION("""COMPUTED_VALUE"""),-7.34)</f>
        <v>-7.34</v>
      </c>
      <c r="H2" s="1">
        <f ca="1">IFERROR(__xludf.DUMMYFUNCTION("""COMPUTED_VALUE"""),14)</f>
        <v>14</v>
      </c>
      <c r="I2" s="1">
        <f ca="1">IFERROR(__xludf.DUMMYFUNCTION("""COMPUTED_VALUE"""),4)</f>
        <v>4</v>
      </c>
      <c r="J2" s="1">
        <f ca="1">IFERROR(__xludf.DUMMYFUNCTION("""COMPUTED_VALUE"""),13)</f>
        <v>13</v>
      </c>
      <c r="K2" s="1">
        <f ca="1">IFERROR(__xludf.DUMMYFUNCTION("""COMPUTED_VALUE"""),2)</f>
        <v>2</v>
      </c>
      <c r="L2" s="1">
        <f ca="1">IFERROR(__xludf.DUMMYFUNCTION("""COMPUTED_VALUE"""),10)</f>
        <v>10</v>
      </c>
      <c r="M2" s="1">
        <f ca="1">IFERROR(__xludf.DUMMYFUNCTION("""COMPUTED_VALUE"""),4)</f>
        <v>4</v>
      </c>
      <c r="N2" s="1">
        <f ca="1">IFERROR(__xludf.DUMMYFUNCTION("""COMPUTED_VALUE"""),2502)</f>
        <v>2502</v>
      </c>
      <c r="O2" s="1">
        <f ca="1">IFERROR(__xludf.DUMMYFUNCTION("""COMPUTED_VALUE"""),2161)</f>
        <v>2161</v>
      </c>
      <c r="P2" s="1">
        <f ca="1">IFERROR(__xludf.DUMMYFUNCTION("""COMPUTED_VALUE"""),1370)</f>
        <v>1370</v>
      </c>
      <c r="Q2" s="1">
        <f ca="1">IFERROR(__xludf.DUMMYFUNCTION("""COMPUTED_VALUE"""),897)</f>
        <v>897</v>
      </c>
      <c r="R2" s="1">
        <f ca="1">IFERROR(__xludf.DUMMYFUNCTION("""COMPUTED_VALUE"""),1911)</f>
        <v>1911</v>
      </c>
      <c r="S2" s="1">
        <f ca="1">IFERROR(__xludf.DUMMYFUNCTION("""COMPUTED_VALUE"""),0.469)</f>
        <v>0.46899999999999997</v>
      </c>
      <c r="T2" s="1">
        <f ca="1">IFERROR(__xludf.DUMMYFUNCTION("""COMPUTED_VALUE"""),251)</f>
        <v>251</v>
      </c>
      <c r="U2" s="1">
        <f ca="1">IFERROR(__xludf.DUMMYFUNCTION("""COMPUTED_VALUE"""),660)</f>
        <v>660</v>
      </c>
      <c r="V2" s="1">
        <f ca="1">IFERROR(__xludf.DUMMYFUNCTION("""COMPUTED_VALUE"""),0.38)</f>
        <v>0.38</v>
      </c>
      <c r="W2" s="1">
        <f ca="1">IFERROR(__xludf.DUMMYFUNCTION("""COMPUTED_VALUE"""),457)</f>
        <v>457</v>
      </c>
      <c r="X2" s="1">
        <f ca="1">IFERROR(__xludf.DUMMYFUNCTION("""COMPUTED_VALUE"""),642)</f>
        <v>642</v>
      </c>
      <c r="Y2" s="1">
        <f ca="1">IFERROR(__xludf.DUMMYFUNCTION("""COMPUTED_VALUE"""),0.712)</f>
        <v>0.71199999999999997</v>
      </c>
      <c r="Z2" s="1">
        <f ca="1">IFERROR(__xludf.DUMMYFUNCTION("""COMPUTED_VALUE"""),325)</f>
        <v>325</v>
      </c>
      <c r="AA2" s="1">
        <f ca="1">IFERROR(__xludf.DUMMYFUNCTION("""COMPUTED_VALUE"""),1110)</f>
        <v>1110</v>
      </c>
      <c r="AB2" s="1">
        <f ca="1">IFERROR(__xludf.DUMMYFUNCTION("""COMPUTED_VALUE"""),525)</f>
        <v>525</v>
      </c>
      <c r="AC2" s="1">
        <f ca="1">IFERROR(__xludf.DUMMYFUNCTION("""COMPUTED_VALUE"""),297)</f>
        <v>297</v>
      </c>
      <c r="AD2" s="1">
        <f ca="1">IFERROR(__xludf.DUMMYFUNCTION("""COMPUTED_VALUE"""),93)</f>
        <v>93</v>
      </c>
      <c r="AE2" s="1">
        <f ca="1">IFERROR(__xludf.DUMMYFUNCTION("""COMPUTED_VALUE"""),407)</f>
        <v>407</v>
      </c>
      <c r="AF2" s="1">
        <f ca="1">IFERROR(__xludf.DUMMYFUNCTION("""COMPUTED_VALUE"""),635)</f>
        <v>635</v>
      </c>
    </row>
    <row r="3" spans="1:32" ht="15.75" customHeight="1" x14ac:dyDescent="0.25">
      <c r="A3" s="1" t="str">
        <f ca="1">IFERROR(__xludf.DUMMYFUNCTION("""COMPUTED_VALUE"""),"Air Force")</f>
        <v>Air Force</v>
      </c>
      <c r="B3" s="1">
        <f ca="1">IFERROR(__xludf.DUMMYFUNCTION("""COMPUTED_VALUE"""),32)</f>
        <v>32</v>
      </c>
      <c r="C3" s="1">
        <f ca="1">IFERROR(__xludf.DUMMYFUNCTION("""COMPUTED_VALUE"""),14)</f>
        <v>14</v>
      </c>
      <c r="D3" s="1">
        <f ca="1">IFERROR(__xludf.DUMMYFUNCTION("""COMPUTED_VALUE"""),18)</f>
        <v>18</v>
      </c>
      <c r="E3" s="1">
        <f ca="1">IFERROR(__xludf.DUMMYFUNCTION("""COMPUTED_VALUE"""),0.438)</f>
        <v>0.438</v>
      </c>
      <c r="F3" s="1">
        <f ca="1">IFERROR(__xludf.DUMMYFUNCTION("""COMPUTED_VALUE"""),-4.28)</f>
        <v>-4.28</v>
      </c>
      <c r="G3" s="1">
        <f ca="1">IFERROR(__xludf.DUMMYFUNCTION("""COMPUTED_VALUE"""),0.24)</f>
        <v>0.24</v>
      </c>
      <c r="H3" s="1">
        <f ca="1">IFERROR(__xludf.DUMMYFUNCTION("""COMPUTED_VALUE"""),8)</f>
        <v>8</v>
      </c>
      <c r="I3" s="1">
        <f ca="1">IFERROR(__xludf.DUMMYFUNCTION("""COMPUTED_VALUE"""),10)</f>
        <v>10</v>
      </c>
      <c r="J3" s="1">
        <f ca="1">IFERROR(__xludf.DUMMYFUNCTION("""COMPUTED_VALUE"""),9)</f>
        <v>9</v>
      </c>
      <c r="K3" s="1">
        <f ca="1">IFERROR(__xludf.DUMMYFUNCTION("""COMPUTED_VALUE"""),6)</f>
        <v>6</v>
      </c>
      <c r="L3" s="1">
        <f ca="1">IFERROR(__xludf.DUMMYFUNCTION("""COMPUTED_VALUE"""),3)</f>
        <v>3</v>
      </c>
      <c r="M3" s="1">
        <f ca="1">IFERROR(__xludf.DUMMYFUNCTION("""COMPUTED_VALUE"""),9)</f>
        <v>9</v>
      </c>
      <c r="N3" s="1">
        <f ca="1">IFERROR(__xludf.DUMMYFUNCTION("""COMPUTED_VALUE"""),2179)</f>
        <v>2179</v>
      </c>
      <c r="O3" s="1">
        <f ca="1">IFERROR(__xludf.DUMMYFUNCTION("""COMPUTED_VALUE"""),2294)</f>
        <v>2294</v>
      </c>
      <c r="P3" s="1">
        <f ca="1">IFERROR(__xludf.DUMMYFUNCTION("""COMPUTED_VALUE"""),1300)</f>
        <v>1300</v>
      </c>
      <c r="Q3" s="1">
        <f ca="1">IFERROR(__xludf.DUMMYFUNCTION("""COMPUTED_VALUE"""),802)</f>
        <v>802</v>
      </c>
      <c r="R3" s="1">
        <f ca="1">IFERROR(__xludf.DUMMYFUNCTION("""COMPUTED_VALUE"""),1776)</f>
        <v>1776</v>
      </c>
      <c r="S3" s="1">
        <f ca="1">IFERROR(__xludf.DUMMYFUNCTION("""COMPUTED_VALUE"""),0.452)</f>
        <v>0.45200000000000001</v>
      </c>
      <c r="T3" s="1">
        <f ca="1">IFERROR(__xludf.DUMMYFUNCTION("""COMPUTED_VALUE"""),234)</f>
        <v>234</v>
      </c>
      <c r="U3" s="1">
        <f ca="1">IFERROR(__xludf.DUMMYFUNCTION("""COMPUTED_VALUE"""),711)</f>
        <v>711</v>
      </c>
      <c r="V3" s="1">
        <f ca="1">IFERROR(__xludf.DUMMYFUNCTION("""COMPUTED_VALUE"""),0.329)</f>
        <v>0.32900000000000001</v>
      </c>
      <c r="W3" s="1">
        <f ca="1">IFERROR(__xludf.DUMMYFUNCTION("""COMPUTED_VALUE"""),341)</f>
        <v>341</v>
      </c>
      <c r="X3" s="1">
        <f ca="1">IFERROR(__xludf.DUMMYFUNCTION("""COMPUTED_VALUE"""),503)</f>
        <v>503</v>
      </c>
      <c r="Y3" s="1">
        <f ca="1">IFERROR(__xludf.DUMMYFUNCTION("""COMPUTED_VALUE"""),0.678)</f>
        <v>0.67800000000000005</v>
      </c>
      <c r="Z3" s="1">
        <f ca="1">IFERROR(__xludf.DUMMYFUNCTION("""COMPUTED_VALUE"""),253)</f>
        <v>253</v>
      </c>
      <c r="AA3" s="1">
        <f ca="1">IFERROR(__xludf.DUMMYFUNCTION("""COMPUTED_VALUE"""),1077)</f>
        <v>1077</v>
      </c>
      <c r="AB3" s="1">
        <f ca="1">IFERROR(__xludf.DUMMYFUNCTION("""COMPUTED_VALUE"""),434)</f>
        <v>434</v>
      </c>
      <c r="AC3" s="1">
        <f ca="1">IFERROR(__xludf.DUMMYFUNCTION("""COMPUTED_VALUE"""),154)</f>
        <v>154</v>
      </c>
      <c r="AD3" s="1">
        <f ca="1">IFERROR(__xludf.DUMMYFUNCTION("""COMPUTED_VALUE"""),57)</f>
        <v>57</v>
      </c>
      <c r="AE3" s="1">
        <f ca="1">IFERROR(__xludf.DUMMYFUNCTION("""COMPUTED_VALUE"""),423)</f>
        <v>423</v>
      </c>
      <c r="AF3" s="1">
        <f ca="1">IFERROR(__xludf.DUMMYFUNCTION("""COMPUTED_VALUE"""),543)</f>
        <v>543</v>
      </c>
    </row>
    <row r="4" spans="1:32" ht="15.75" customHeight="1" x14ac:dyDescent="0.25">
      <c r="A4" s="1" t="str">
        <f ca="1">IFERROR(__xludf.DUMMYFUNCTION("""COMPUTED_VALUE"""),"Akron")</f>
        <v>Akron</v>
      </c>
      <c r="B4" s="1">
        <f ca="1">IFERROR(__xludf.DUMMYFUNCTION("""COMPUTED_VALUE"""),33)</f>
        <v>33</v>
      </c>
      <c r="C4" s="1">
        <f ca="1">IFERROR(__xludf.DUMMYFUNCTION("""COMPUTED_VALUE"""),17)</f>
        <v>17</v>
      </c>
      <c r="D4" s="1">
        <f ca="1">IFERROR(__xludf.DUMMYFUNCTION("""COMPUTED_VALUE"""),16)</f>
        <v>16</v>
      </c>
      <c r="E4" s="1">
        <f ca="1">IFERROR(__xludf.DUMMYFUNCTION("""COMPUTED_VALUE"""),0.515)</f>
        <v>0.51500000000000001</v>
      </c>
      <c r="F4" s="1">
        <f ca="1">IFERROR(__xludf.DUMMYFUNCTION("""COMPUTED_VALUE"""),4.86)</f>
        <v>4.8600000000000003</v>
      </c>
      <c r="G4" s="1">
        <f ca="1">IFERROR(__xludf.DUMMYFUNCTION("""COMPUTED_VALUE"""),1.09)</f>
        <v>1.0900000000000001</v>
      </c>
      <c r="H4" s="1">
        <f ca="1">IFERROR(__xludf.DUMMYFUNCTION("""COMPUTED_VALUE"""),8)</f>
        <v>8</v>
      </c>
      <c r="I4" s="1">
        <f ca="1">IFERROR(__xludf.DUMMYFUNCTION("""COMPUTED_VALUE"""),10)</f>
        <v>10</v>
      </c>
      <c r="J4" s="1">
        <f ca="1">IFERROR(__xludf.DUMMYFUNCTION("""COMPUTED_VALUE"""),14)</f>
        <v>14</v>
      </c>
      <c r="K4" s="1">
        <f ca="1">IFERROR(__xludf.DUMMYFUNCTION("""COMPUTED_VALUE"""),3)</f>
        <v>3</v>
      </c>
      <c r="L4" s="1">
        <f ca="1">IFERROR(__xludf.DUMMYFUNCTION("""COMPUTED_VALUE"""),1)</f>
        <v>1</v>
      </c>
      <c r="M4" s="1">
        <f ca="1">IFERROR(__xludf.DUMMYFUNCTION("""COMPUTED_VALUE"""),10)</f>
        <v>10</v>
      </c>
      <c r="N4" s="1">
        <f ca="1">IFERROR(__xludf.DUMMYFUNCTION("""COMPUTED_VALUE"""),2271)</f>
        <v>2271</v>
      </c>
      <c r="O4" s="1">
        <f ca="1">IFERROR(__xludf.DUMMYFUNCTION("""COMPUTED_VALUE"""),2107)</f>
        <v>2107</v>
      </c>
      <c r="P4" s="1">
        <f ca="1">IFERROR(__xludf.DUMMYFUNCTION("""COMPUTED_VALUE"""),1325)</f>
        <v>1325</v>
      </c>
      <c r="Q4" s="1">
        <f ca="1">IFERROR(__xludf.DUMMYFUNCTION("""COMPUTED_VALUE"""),797)</f>
        <v>797</v>
      </c>
      <c r="R4" s="1">
        <f ca="1">IFERROR(__xludf.DUMMYFUNCTION("""COMPUTED_VALUE"""),1948)</f>
        <v>1948</v>
      </c>
      <c r="S4" s="1">
        <f ca="1">IFERROR(__xludf.DUMMYFUNCTION("""COMPUTED_VALUE"""),0.409)</f>
        <v>0.40899999999999997</v>
      </c>
      <c r="T4" s="1">
        <f ca="1">IFERROR(__xludf.DUMMYFUNCTION("""COMPUTED_VALUE"""),297)</f>
        <v>297</v>
      </c>
      <c r="U4" s="1">
        <f ca="1">IFERROR(__xludf.DUMMYFUNCTION("""COMPUTED_VALUE"""),929)</f>
        <v>929</v>
      </c>
      <c r="V4" s="1">
        <f ca="1">IFERROR(__xludf.DUMMYFUNCTION("""COMPUTED_VALUE"""),0.32)</f>
        <v>0.32</v>
      </c>
      <c r="W4" s="1">
        <f ca="1">IFERROR(__xludf.DUMMYFUNCTION("""COMPUTED_VALUE"""),380)</f>
        <v>380</v>
      </c>
      <c r="X4" s="1">
        <f ca="1">IFERROR(__xludf.DUMMYFUNCTION("""COMPUTED_VALUE"""),539)</f>
        <v>539</v>
      </c>
      <c r="Y4" s="1">
        <f ca="1">IFERROR(__xludf.DUMMYFUNCTION("""COMPUTED_VALUE"""),0.705)</f>
        <v>0.70499999999999996</v>
      </c>
      <c r="Z4" s="1">
        <f ca="1">IFERROR(__xludf.DUMMYFUNCTION("""COMPUTED_VALUE"""),312)</f>
        <v>312</v>
      </c>
      <c r="AA4" s="1">
        <f ca="1">IFERROR(__xludf.DUMMYFUNCTION("""COMPUTED_VALUE"""),1204)</f>
        <v>1204</v>
      </c>
      <c r="AB4" s="1">
        <f ca="1">IFERROR(__xludf.DUMMYFUNCTION("""COMPUTED_VALUE"""),399)</f>
        <v>399</v>
      </c>
      <c r="AC4" s="1">
        <f ca="1">IFERROR(__xludf.DUMMYFUNCTION("""COMPUTED_VALUE"""),185)</f>
        <v>185</v>
      </c>
      <c r="AD4" s="1">
        <f ca="1">IFERROR(__xludf.DUMMYFUNCTION("""COMPUTED_VALUE"""),106)</f>
        <v>106</v>
      </c>
      <c r="AE4" s="1">
        <f ca="1">IFERROR(__xludf.DUMMYFUNCTION("""COMPUTED_VALUE"""),388)</f>
        <v>388</v>
      </c>
      <c r="AF4" s="1">
        <f ca="1">IFERROR(__xludf.DUMMYFUNCTION("""COMPUTED_VALUE"""),569)</f>
        <v>569</v>
      </c>
    </row>
    <row r="5" spans="1:32" ht="15.75" customHeight="1" x14ac:dyDescent="0.25">
      <c r="A5" s="1" t="str">
        <f ca="1">IFERROR(__xludf.DUMMYFUNCTION("""COMPUTED_VALUE"""),"Alabama A&amp;M")</f>
        <v>Alabama A&amp;M</v>
      </c>
      <c r="B5" s="1">
        <f ca="1">IFERROR(__xludf.DUMMYFUNCTION("""COMPUTED_VALUE"""),32)</f>
        <v>32</v>
      </c>
      <c r="C5" s="1">
        <f ca="1">IFERROR(__xludf.DUMMYFUNCTION("""COMPUTED_VALUE"""),5)</f>
        <v>5</v>
      </c>
      <c r="D5" s="1">
        <f ca="1">IFERROR(__xludf.DUMMYFUNCTION("""COMPUTED_VALUE"""),27)</f>
        <v>27</v>
      </c>
      <c r="E5" s="1">
        <f ca="1">IFERROR(__xludf.DUMMYFUNCTION("""COMPUTED_VALUE"""),0.156)</f>
        <v>0.156</v>
      </c>
      <c r="F5" s="1">
        <f ca="1">IFERROR(__xludf.DUMMYFUNCTION("""COMPUTED_VALUE"""),-19.23)</f>
        <v>-19.23</v>
      </c>
      <c r="G5" s="1">
        <f ca="1">IFERROR(__xludf.DUMMYFUNCTION("""COMPUTED_VALUE"""),-8.38)</f>
        <v>-8.3800000000000008</v>
      </c>
      <c r="H5" s="1">
        <f ca="1">IFERROR(__xludf.DUMMYFUNCTION("""COMPUTED_VALUE"""),4)</f>
        <v>4</v>
      </c>
      <c r="I5" s="1">
        <f ca="1">IFERROR(__xludf.DUMMYFUNCTION("""COMPUTED_VALUE"""),14)</f>
        <v>14</v>
      </c>
      <c r="J5" s="1">
        <f ca="1">IFERROR(__xludf.DUMMYFUNCTION("""COMPUTED_VALUE"""),4)</f>
        <v>4</v>
      </c>
      <c r="K5" s="1">
        <f ca="1">IFERROR(__xludf.DUMMYFUNCTION("""COMPUTED_VALUE"""),7)</f>
        <v>7</v>
      </c>
      <c r="L5" s="1">
        <f ca="1">IFERROR(__xludf.DUMMYFUNCTION("""COMPUTED_VALUE"""),0)</f>
        <v>0</v>
      </c>
      <c r="M5" s="1">
        <f ca="1">IFERROR(__xludf.DUMMYFUNCTION("""COMPUTED_VALUE"""),18)</f>
        <v>18</v>
      </c>
      <c r="N5" s="1">
        <f ca="1">IFERROR(__xludf.DUMMYFUNCTION("""COMPUTED_VALUE"""),1938)</f>
        <v>1938</v>
      </c>
      <c r="O5" s="1">
        <f ca="1">IFERROR(__xludf.DUMMYFUNCTION("""COMPUTED_VALUE"""),2285)</f>
        <v>2285</v>
      </c>
      <c r="P5" s="1">
        <f ca="1">IFERROR(__xludf.DUMMYFUNCTION("""COMPUTED_VALUE"""),1295)</f>
        <v>1295</v>
      </c>
      <c r="Q5" s="1">
        <f ca="1">IFERROR(__xludf.DUMMYFUNCTION("""COMPUTED_VALUE"""),736)</f>
        <v>736</v>
      </c>
      <c r="R5" s="1">
        <f ca="1">IFERROR(__xludf.DUMMYFUNCTION("""COMPUTED_VALUE"""),1809)</f>
        <v>1809</v>
      </c>
      <c r="S5" s="1">
        <f ca="1">IFERROR(__xludf.DUMMYFUNCTION("""COMPUTED_VALUE"""),0.407)</f>
        <v>0.40699999999999997</v>
      </c>
      <c r="T5" s="1">
        <f ca="1">IFERROR(__xludf.DUMMYFUNCTION("""COMPUTED_VALUE"""),182)</f>
        <v>182</v>
      </c>
      <c r="U5" s="1">
        <f ca="1">IFERROR(__xludf.DUMMYFUNCTION("""COMPUTED_VALUE"""),578)</f>
        <v>578</v>
      </c>
      <c r="V5" s="1">
        <f ca="1">IFERROR(__xludf.DUMMYFUNCTION("""COMPUTED_VALUE"""),0.315)</f>
        <v>0.315</v>
      </c>
      <c r="W5" s="1">
        <f ca="1">IFERROR(__xludf.DUMMYFUNCTION("""COMPUTED_VALUE"""),284)</f>
        <v>284</v>
      </c>
      <c r="X5" s="1">
        <f ca="1">IFERROR(__xludf.DUMMYFUNCTION("""COMPUTED_VALUE"""),453)</f>
        <v>453</v>
      </c>
      <c r="Y5" s="1">
        <f ca="1">IFERROR(__xludf.DUMMYFUNCTION("""COMPUTED_VALUE"""),0.627)</f>
        <v>0.627</v>
      </c>
      <c r="Z5" s="1">
        <f ca="1">IFERROR(__xludf.DUMMYFUNCTION("""COMPUTED_VALUE"""),314)</f>
        <v>314</v>
      </c>
      <c r="AA5" s="1">
        <f ca="1">IFERROR(__xludf.DUMMYFUNCTION("""COMPUTED_VALUE"""),1032)</f>
        <v>1032</v>
      </c>
      <c r="AB5" s="1">
        <f ca="1">IFERROR(__xludf.DUMMYFUNCTION("""COMPUTED_VALUE"""),385)</f>
        <v>385</v>
      </c>
      <c r="AC5" s="1">
        <f ca="1">IFERROR(__xludf.DUMMYFUNCTION("""COMPUTED_VALUE"""),234)</f>
        <v>234</v>
      </c>
      <c r="AD5" s="1">
        <f ca="1">IFERROR(__xludf.DUMMYFUNCTION("""COMPUTED_VALUE"""),50)</f>
        <v>50</v>
      </c>
      <c r="AE5" s="1">
        <f ca="1">IFERROR(__xludf.DUMMYFUNCTION("""COMPUTED_VALUE"""),487)</f>
        <v>487</v>
      </c>
      <c r="AF5" s="1">
        <f ca="1">IFERROR(__xludf.DUMMYFUNCTION("""COMPUTED_VALUE"""),587)</f>
        <v>587</v>
      </c>
    </row>
    <row r="6" spans="1:32" ht="15.75" customHeight="1" x14ac:dyDescent="0.25">
      <c r="A6" s="1" t="str">
        <f ca="1">IFERROR(__xludf.DUMMYFUNCTION("""COMPUTED_VALUE"""),"Alabama-Birmingham")</f>
        <v>Alabama-Birmingham</v>
      </c>
      <c r="B6" s="1">
        <f ca="1">IFERROR(__xludf.DUMMYFUNCTION("""COMPUTED_VALUE"""),35)</f>
        <v>35</v>
      </c>
      <c r="C6" s="1">
        <f ca="1">IFERROR(__xludf.DUMMYFUNCTION("""COMPUTED_VALUE"""),20)</f>
        <v>20</v>
      </c>
      <c r="D6" s="1">
        <f ca="1">IFERROR(__xludf.DUMMYFUNCTION("""COMPUTED_VALUE"""),15)</f>
        <v>15</v>
      </c>
      <c r="E6" s="1">
        <f ca="1">IFERROR(__xludf.DUMMYFUNCTION("""COMPUTED_VALUE"""),0.571)</f>
        <v>0.57099999999999995</v>
      </c>
      <c r="F6" s="1">
        <f ca="1">IFERROR(__xludf.DUMMYFUNCTION("""COMPUTED_VALUE"""),0.36)</f>
        <v>0.36</v>
      </c>
      <c r="G6" s="1">
        <f ca="1">IFERROR(__xludf.DUMMYFUNCTION("""COMPUTED_VALUE"""),-1.52)</f>
        <v>-1.52</v>
      </c>
      <c r="H6" s="1">
        <f ca="1">IFERROR(__xludf.DUMMYFUNCTION("""COMPUTED_VALUE"""),10)</f>
        <v>10</v>
      </c>
      <c r="I6" s="1">
        <f ca="1">IFERROR(__xludf.DUMMYFUNCTION("""COMPUTED_VALUE"""),8)</f>
        <v>8</v>
      </c>
      <c r="J6" s="1">
        <f ca="1">IFERROR(__xludf.DUMMYFUNCTION("""COMPUTED_VALUE"""),11)</f>
        <v>11</v>
      </c>
      <c r="K6" s="1">
        <f ca="1">IFERROR(__xludf.DUMMYFUNCTION("""COMPUTED_VALUE"""),5)</f>
        <v>5</v>
      </c>
      <c r="L6" s="1">
        <f ca="1">IFERROR(__xludf.DUMMYFUNCTION("""COMPUTED_VALUE"""),6)</f>
        <v>6</v>
      </c>
      <c r="M6" s="1">
        <f ca="1">IFERROR(__xludf.DUMMYFUNCTION("""COMPUTED_VALUE"""),6)</f>
        <v>6</v>
      </c>
      <c r="N6" s="1">
        <f ca="1">IFERROR(__xludf.DUMMYFUNCTION("""COMPUTED_VALUE"""),2470)</f>
        <v>2470</v>
      </c>
      <c r="O6" s="1">
        <f ca="1">IFERROR(__xludf.DUMMYFUNCTION("""COMPUTED_VALUE"""),2370)</f>
        <v>2370</v>
      </c>
      <c r="P6" s="1">
        <f ca="1">IFERROR(__xludf.DUMMYFUNCTION("""COMPUTED_VALUE"""),1410)</f>
        <v>1410</v>
      </c>
      <c r="Q6" s="1">
        <f ca="1">IFERROR(__xludf.DUMMYFUNCTION("""COMPUTED_VALUE"""),906)</f>
        <v>906</v>
      </c>
      <c r="R6" s="1">
        <f ca="1">IFERROR(__xludf.DUMMYFUNCTION("""COMPUTED_VALUE"""),2003)</f>
        <v>2003</v>
      </c>
      <c r="S6" s="1">
        <f ca="1">IFERROR(__xludf.DUMMYFUNCTION("""COMPUTED_VALUE"""),0.452)</f>
        <v>0.45200000000000001</v>
      </c>
      <c r="T6" s="1">
        <f ca="1">IFERROR(__xludf.DUMMYFUNCTION("""COMPUTED_VALUE"""),234)</f>
        <v>234</v>
      </c>
      <c r="U6" s="1">
        <f ca="1">IFERROR(__xludf.DUMMYFUNCTION("""COMPUTED_VALUE"""),694)</f>
        <v>694</v>
      </c>
      <c r="V6" s="1">
        <f ca="1">IFERROR(__xludf.DUMMYFUNCTION("""COMPUTED_VALUE"""),0.337)</f>
        <v>0.33700000000000002</v>
      </c>
      <c r="W6" s="1">
        <f ca="1">IFERROR(__xludf.DUMMYFUNCTION("""COMPUTED_VALUE"""),424)</f>
        <v>424</v>
      </c>
      <c r="X6" s="1">
        <f ca="1">IFERROR(__xludf.DUMMYFUNCTION("""COMPUTED_VALUE"""),630)</f>
        <v>630</v>
      </c>
      <c r="Y6" s="1">
        <f ca="1">IFERROR(__xludf.DUMMYFUNCTION("""COMPUTED_VALUE"""),0.673)</f>
        <v>0.67300000000000004</v>
      </c>
      <c r="Z6" s="1">
        <f ca="1">IFERROR(__xludf.DUMMYFUNCTION("""COMPUTED_VALUE"""),367)</f>
        <v>367</v>
      </c>
      <c r="AA6" s="1">
        <f ca="1">IFERROR(__xludf.DUMMYFUNCTION("""COMPUTED_VALUE"""),1279)</f>
        <v>1279</v>
      </c>
      <c r="AB6" s="1">
        <f ca="1">IFERROR(__xludf.DUMMYFUNCTION("""COMPUTED_VALUE"""),401)</f>
        <v>401</v>
      </c>
      <c r="AC6" s="1">
        <f ca="1">IFERROR(__xludf.DUMMYFUNCTION("""COMPUTED_VALUE"""),218)</f>
        <v>218</v>
      </c>
      <c r="AD6" s="1">
        <f ca="1">IFERROR(__xludf.DUMMYFUNCTION("""COMPUTED_VALUE"""),82)</f>
        <v>82</v>
      </c>
      <c r="AE6" s="1">
        <f ca="1">IFERROR(__xludf.DUMMYFUNCTION("""COMPUTED_VALUE"""),399)</f>
        <v>399</v>
      </c>
      <c r="AF6" s="1">
        <f ca="1">IFERROR(__xludf.DUMMYFUNCTION("""COMPUTED_VALUE"""),578)</f>
        <v>578</v>
      </c>
    </row>
    <row r="7" spans="1:32" ht="15.75" customHeight="1" x14ac:dyDescent="0.25">
      <c r="A7" s="1" t="str">
        <f ca="1">IFERROR(__xludf.DUMMYFUNCTION("""COMPUTED_VALUE"""),"Alabama State")</f>
        <v>Alabama State</v>
      </c>
      <c r="B7" s="1">
        <f ca="1">IFERROR(__xludf.DUMMYFUNCTION("""COMPUTED_VALUE"""),31)</f>
        <v>31</v>
      </c>
      <c r="C7" s="1">
        <f ca="1">IFERROR(__xludf.DUMMYFUNCTION("""COMPUTED_VALUE"""),12)</f>
        <v>12</v>
      </c>
      <c r="D7" s="1">
        <f ca="1">IFERROR(__xludf.DUMMYFUNCTION("""COMPUTED_VALUE"""),19)</f>
        <v>19</v>
      </c>
      <c r="E7" s="1">
        <f ca="1">IFERROR(__xludf.DUMMYFUNCTION("""COMPUTED_VALUE"""),0.387)</f>
        <v>0.38700000000000001</v>
      </c>
      <c r="F7" s="1">
        <f ca="1">IFERROR(__xludf.DUMMYFUNCTION("""COMPUTED_VALUE"""),-15.6)</f>
        <v>-15.6</v>
      </c>
      <c r="G7" s="1">
        <f ca="1">IFERROR(__xludf.DUMMYFUNCTION("""COMPUTED_VALUE"""),-7.84)</f>
        <v>-7.84</v>
      </c>
      <c r="H7" s="1">
        <f ca="1">IFERROR(__xludf.DUMMYFUNCTION("""COMPUTED_VALUE"""),9)</f>
        <v>9</v>
      </c>
      <c r="I7" s="1">
        <f ca="1">IFERROR(__xludf.DUMMYFUNCTION("""COMPUTED_VALUE"""),9)</f>
        <v>9</v>
      </c>
      <c r="J7" s="1">
        <f ca="1">IFERROR(__xludf.DUMMYFUNCTION("""COMPUTED_VALUE"""),8)</f>
        <v>8</v>
      </c>
      <c r="K7" s="1">
        <f ca="1">IFERROR(__xludf.DUMMYFUNCTION("""COMPUTED_VALUE"""),3)</f>
        <v>3</v>
      </c>
      <c r="L7" s="1">
        <f ca="1">IFERROR(__xludf.DUMMYFUNCTION("""COMPUTED_VALUE"""),3)</f>
        <v>3</v>
      </c>
      <c r="M7" s="1">
        <f ca="1">IFERROR(__xludf.DUMMYFUNCTION("""COMPUTED_VALUE"""),13)</f>
        <v>13</v>
      </c>
      <c r="N7" s="1">
        <f ca="1">IFERROR(__xludf.DUMMYFUNCTION("""COMPUTED_VALUE"""),2086)</f>
        <v>2086</v>
      </c>
      <c r="O7" s="1">
        <f ca="1">IFERROR(__xludf.DUMMYFUNCTION("""COMPUTED_VALUE"""),2235)</f>
        <v>2235</v>
      </c>
      <c r="P7" s="1">
        <f ca="1">IFERROR(__xludf.DUMMYFUNCTION("""COMPUTED_VALUE"""),1250)</f>
        <v>1250</v>
      </c>
      <c r="Q7" s="1">
        <f ca="1">IFERROR(__xludf.DUMMYFUNCTION("""COMPUTED_VALUE"""),712)</f>
        <v>712</v>
      </c>
      <c r="R7" s="1">
        <f ca="1">IFERROR(__xludf.DUMMYFUNCTION("""COMPUTED_VALUE"""),1764)</f>
        <v>1764</v>
      </c>
      <c r="S7" s="1">
        <f ca="1">IFERROR(__xludf.DUMMYFUNCTION("""COMPUTED_VALUE"""),0.404)</f>
        <v>0.40400000000000003</v>
      </c>
      <c r="T7" s="1">
        <f ca="1">IFERROR(__xludf.DUMMYFUNCTION("""COMPUTED_VALUE"""),216)</f>
        <v>216</v>
      </c>
      <c r="U7" s="1">
        <f ca="1">IFERROR(__xludf.DUMMYFUNCTION("""COMPUTED_VALUE"""),673)</f>
        <v>673</v>
      </c>
      <c r="V7" s="1">
        <f ca="1">IFERROR(__xludf.DUMMYFUNCTION("""COMPUTED_VALUE"""),0.321)</f>
        <v>0.32100000000000001</v>
      </c>
      <c r="W7" s="1">
        <f ca="1">IFERROR(__xludf.DUMMYFUNCTION("""COMPUTED_VALUE"""),446)</f>
        <v>446</v>
      </c>
      <c r="X7" s="1">
        <f ca="1">IFERROR(__xludf.DUMMYFUNCTION("""COMPUTED_VALUE"""),684)</f>
        <v>684</v>
      </c>
      <c r="Y7" s="1">
        <f ca="1">IFERROR(__xludf.DUMMYFUNCTION("""COMPUTED_VALUE"""),0.652)</f>
        <v>0.65200000000000002</v>
      </c>
      <c r="Z7" s="1">
        <f ca="1">IFERROR(__xludf.DUMMYFUNCTION("""COMPUTED_VALUE"""),365)</f>
        <v>365</v>
      </c>
      <c r="AA7" s="1">
        <f ca="1">IFERROR(__xludf.DUMMYFUNCTION("""COMPUTED_VALUE"""),1094)</f>
        <v>1094</v>
      </c>
      <c r="AB7" s="1">
        <f ca="1">IFERROR(__xludf.DUMMYFUNCTION("""COMPUTED_VALUE"""),313)</f>
        <v>313</v>
      </c>
      <c r="AC7" s="1">
        <f ca="1">IFERROR(__xludf.DUMMYFUNCTION("""COMPUTED_VALUE"""),203)</f>
        <v>203</v>
      </c>
      <c r="AD7" s="1">
        <f ca="1">IFERROR(__xludf.DUMMYFUNCTION("""COMPUTED_VALUE"""),102)</f>
        <v>102</v>
      </c>
      <c r="AE7" s="1">
        <f ca="1">IFERROR(__xludf.DUMMYFUNCTION("""COMPUTED_VALUE"""),451)</f>
        <v>451</v>
      </c>
      <c r="AF7" s="1">
        <f ca="1">IFERROR(__xludf.DUMMYFUNCTION("""COMPUTED_VALUE"""),565)</f>
        <v>565</v>
      </c>
    </row>
    <row r="8" spans="1:32" ht="15.75" customHeight="1" x14ac:dyDescent="0.25">
      <c r="A8" s="1" t="str">
        <f ca="1">IFERROR(__xludf.DUMMYFUNCTION("""COMPUTED_VALUE"""),"Alabama")</f>
        <v>Alabama</v>
      </c>
      <c r="B8" s="1">
        <f ca="1">IFERROR(__xludf.DUMMYFUNCTION("""COMPUTED_VALUE"""),34)</f>
        <v>34</v>
      </c>
      <c r="C8" s="1">
        <f ca="1">IFERROR(__xludf.DUMMYFUNCTION("""COMPUTED_VALUE"""),18)</f>
        <v>18</v>
      </c>
      <c r="D8" s="1">
        <f ca="1">IFERROR(__xludf.DUMMYFUNCTION("""COMPUTED_VALUE"""),16)</f>
        <v>16</v>
      </c>
      <c r="E8" s="1">
        <f ca="1">IFERROR(__xludf.DUMMYFUNCTION("""COMPUTED_VALUE"""),0.529)</f>
        <v>0.52900000000000003</v>
      </c>
      <c r="F8" s="1">
        <f ca="1">IFERROR(__xludf.DUMMYFUNCTION("""COMPUTED_VALUE"""),9.45)</f>
        <v>9.4499999999999993</v>
      </c>
      <c r="G8" s="1">
        <f ca="1">IFERROR(__xludf.DUMMYFUNCTION("""COMPUTED_VALUE"""),9.01)</f>
        <v>9.01</v>
      </c>
      <c r="H8" s="1">
        <f ca="1">IFERROR(__xludf.DUMMYFUNCTION("""COMPUTED_VALUE"""),8)</f>
        <v>8</v>
      </c>
      <c r="I8" s="1">
        <f ca="1">IFERROR(__xludf.DUMMYFUNCTION("""COMPUTED_VALUE"""),10)</f>
        <v>10</v>
      </c>
      <c r="J8" s="1">
        <f ca="1">IFERROR(__xludf.DUMMYFUNCTION("""COMPUTED_VALUE"""),10)</f>
        <v>10</v>
      </c>
      <c r="K8" s="1">
        <f ca="1">IFERROR(__xludf.DUMMYFUNCTION("""COMPUTED_VALUE"""),6)</f>
        <v>6</v>
      </c>
      <c r="L8" s="1">
        <f ca="1">IFERROR(__xludf.DUMMYFUNCTION("""COMPUTED_VALUE"""),4)</f>
        <v>4</v>
      </c>
      <c r="M8" s="1">
        <f ca="1">IFERROR(__xludf.DUMMYFUNCTION("""COMPUTED_VALUE"""),8)</f>
        <v>8</v>
      </c>
      <c r="N8" s="1">
        <f ca="1">IFERROR(__xludf.DUMMYFUNCTION("""COMPUTED_VALUE"""),2448)</f>
        <v>2448</v>
      </c>
      <c r="O8" s="1">
        <f ca="1">IFERROR(__xludf.DUMMYFUNCTION("""COMPUTED_VALUE"""),2433)</f>
        <v>2433</v>
      </c>
      <c r="P8" s="1">
        <f ca="1">IFERROR(__xludf.DUMMYFUNCTION("""COMPUTED_VALUE"""),1365)</f>
        <v>1365</v>
      </c>
      <c r="Q8" s="1">
        <f ca="1">IFERROR(__xludf.DUMMYFUNCTION("""COMPUTED_VALUE"""),856)</f>
        <v>856</v>
      </c>
      <c r="R8" s="1">
        <f ca="1">IFERROR(__xludf.DUMMYFUNCTION("""COMPUTED_VALUE"""),1945)</f>
        <v>1945</v>
      </c>
      <c r="S8" s="1">
        <f ca="1">IFERROR(__xludf.DUMMYFUNCTION("""COMPUTED_VALUE"""),0.44)</f>
        <v>0.44</v>
      </c>
      <c r="T8" s="1">
        <f ca="1">IFERROR(__xludf.DUMMYFUNCTION("""COMPUTED_VALUE"""),244)</f>
        <v>244</v>
      </c>
      <c r="U8" s="1">
        <f ca="1">IFERROR(__xludf.DUMMYFUNCTION("""COMPUTED_VALUE"""),718)</f>
        <v>718</v>
      </c>
      <c r="V8" s="1">
        <f ca="1">IFERROR(__xludf.DUMMYFUNCTION("""COMPUTED_VALUE"""),0.34)</f>
        <v>0.34</v>
      </c>
      <c r="W8" s="1">
        <f ca="1">IFERROR(__xludf.DUMMYFUNCTION("""COMPUTED_VALUE"""),492)</f>
        <v>492</v>
      </c>
      <c r="X8" s="1">
        <f ca="1">IFERROR(__xludf.DUMMYFUNCTION("""COMPUTED_VALUE"""),739)</f>
        <v>739</v>
      </c>
      <c r="Y8" s="1">
        <f ca="1">IFERROR(__xludf.DUMMYFUNCTION("""COMPUTED_VALUE"""),0.666)</f>
        <v>0.66600000000000004</v>
      </c>
      <c r="Z8" s="1">
        <f ca="1">IFERROR(__xludf.DUMMYFUNCTION("""COMPUTED_VALUE"""),384)</f>
        <v>384</v>
      </c>
      <c r="AA8" s="1">
        <f ca="1">IFERROR(__xludf.DUMMYFUNCTION("""COMPUTED_VALUE"""),1285)</f>
        <v>1285</v>
      </c>
      <c r="AB8" s="1">
        <f ca="1">IFERROR(__xludf.DUMMYFUNCTION("""COMPUTED_VALUE"""),418)</f>
        <v>418</v>
      </c>
      <c r="AC8" s="1">
        <f ca="1">IFERROR(__xludf.DUMMYFUNCTION("""COMPUTED_VALUE"""),157)</f>
        <v>157</v>
      </c>
      <c r="AD8" s="1">
        <f ca="1">IFERROR(__xludf.DUMMYFUNCTION("""COMPUTED_VALUE"""),160)</f>
        <v>160</v>
      </c>
      <c r="AE8" s="1">
        <f ca="1">IFERROR(__xludf.DUMMYFUNCTION("""COMPUTED_VALUE"""),465)</f>
        <v>465</v>
      </c>
      <c r="AF8" s="1">
        <f ca="1">IFERROR(__xludf.DUMMYFUNCTION("""COMPUTED_VALUE"""),572)</f>
        <v>572</v>
      </c>
    </row>
    <row r="9" spans="1:32" ht="15.75" customHeight="1" x14ac:dyDescent="0.25">
      <c r="A9" s="1" t="str">
        <f ca="1">IFERROR(__xludf.DUMMYFUNCTION("""COMPUTED_VALUE"""),"Albany (NY)")</f>
        <v>Albany (NY)</v>
      </c>
      <c r="B9" s="1">
        <f ca="1">IFERROR(__xludf.DUMMYFUNCTION("""COMPUTED_VALUE"""),32)</f>
        <v>32</v>
      </c>
      <c r="C9" s="1">
        <f ca="1">IFERROR(__xludf.DUMMYFUNCTION("""COMPUTED_VALUE"""),12)</f>
        <v>12</v>
      </c>
      <c r="D9" s="1">
        <f ca="1">IFERROR(__xludf.DUMMYFUNCTION("""COMPUTED_VALUE"""),20)</f>
        <v>20</v>
      </c>
      <c r="E9" s="1">
        <f ca="1">IFERROR(__xludf.DUMMYFUNCTION("""COMPUTED_VALUE"""),0.375)</f>
        <v>0.375</v>
      </c>
      <c r="F9" s="1">
        <f ca="1">IFERROR(__xludf.DUMMYFUNCTION("""COMPUTED_VALUE"""),-9.38)</f>
        <v>-9.3800000000000008</v>
      </c>
      <c r="G9" s="1">
        <f ca="1">IFERROR(__xludf.DUMMYFUNCTION("""COMPUTED_VALUE"""),-6.7)</f>
        <v>-6.7</v>
      </c>
      <c r="H9" s="1">
        <f ca="1">IFERROR(__xludf.DUMMYFUNCTION("""COMPUTED_VALUE"""),7)</f>
        <v>7</v>
      </c>
      <c r="I9" s="1">
        <f ca="1">IFERROR(__xludf.DUMMYFUNCTION("""COMPUTED_VALUE"""),9)</f>
        <v>9</v>
      </c>
      <c r="J9" s="1">
        <f ca="1">IFERROR(__xludf.DUMMYFUNCTION("""COMPUTED_VALUE"""),6)</f>
        <v>6</v>
      </c>
      <c r="K9" s="1">
        <f ca="1">IFERROR(__xludf.DUMMYFUNCTION("""COMPUTED_VALUE"""),8)</f>
        <v>8</v>
      </c>
      <c r="L9" s="1">
        <f ca="1">IFERROR(__xludf.DUMMYFUNCTION("""COMPUTED_VALUE"""),6)</f>
        <v>6</v>
      </c>
      <c r="M9" s="1">
        <f ca="1">IFERROR(__xludf.DUMMYFUNCTION("""COMPUTED_VALUE"""),10)</f>
        <v>10</v>
      </c>
      <c r="N9" s="1">
        <f ca="1">IFERROR(__xludf.DUMMYFUNCTION("""COMPUTED_VALUE"""),2150)</f>
        <v>2150</v>
      </c>
      <c r="O9" s="1">
        <f ca="1">IFERROR(__xludf.DUMMYFUNCTION("""COMPUTED_VALUE"""),2216)</f>
        <v>2216</v>
      </c>
      <c r="P9" s="1">
        <f ca="1">IFERROR(__xludf.DUMMYFUNCTION("""COMPUTED_VALUE"""),1300)</f>
        <v>1300</v>
      </c>
      <c r="Q9" s="1">
        <f ca="1">IFERROR(__xludf.DUMMYFUNCTION("""COMPUTED_VALUE"""),728)</f>
        <v>728</v>
      </c>
      <c r="R9" s="1">
        <f ca="1">IFERROR(__xludf.DUMMYFUNCTION("""COMPUTED_VALUE"""),1750)</f>
        <v>1750</v>
      </c>
      <c r="S9" s="1">
        <f ca="1">IFERROR(__xludf.DUMMYFUNCTION("""COMPUTED_VALUE"""),0.416)</f>
        <v>0.41599999999999998</v>
      </c>
      <c r="T9" s="1">
        <f ca="1">IFERROR(__xludf.DUMMYFUNCTION("""COMPUTED_VALUE"""),274)</f>
        <v>274</v>
      </c>
      <c r="U9" s="1">
        <f ca="1">IFERROR(__xludf.DUMMYFUNCTION("""COMPUTED_VALUE"""),790)</f>
        <v>790</v>
      </c>
      <c r="V9" s="1">
        <f ca="1">IFERROR(__xludf.DUMMYFUNCTION("""COMPUTED_VALUE"""),0.347)</f>
        <v>0.34699999999999998</v>
      </c>
      <c r="W9" s="1">
        <f ca="1">IFERROR(__xludf.DUMMYFUNCTION("""COMPUTED_VALUE"""),420)</f>
        <v>420</v>
      </c>
      <c r="X9" s="1">
        <f ca="1">IFERROR(__xludf.DUMMYFUNCTION("""COMPUTED_VALUE"""),564)</f>
        <v>564</v>
      </c>
      <c r="Y9" s="1">
        <f ca="1">IFERROR(__xludf.DUMMYFUNCTION("""COMPUTED_VALUE"""),0.745)</f>
        <v>0.745</v>
      </c>
      <c r="Z9" s="1">
        <f ca="1">IFERROR(__xludf.DUMMYFUNCTION("""COMPUTED_VALUE"""),294)</f>
        <v>294</v>
      </c>
      <c r="AA9" s="1">
        <f ca="1">IFERROR(__xludf.DUMMYFUNCTION("""COMPUTED_VALUE"""),1081)</f>
        <v>1081</v>
      </c>
      <c r="AB9" s="1">
        <f ca="1">IFERROR(__xludf.DUMMYFUNCTION("""COMPUTED_VALUE"""),402)</f>
        <v>402</v>
      </c>
      <c r="AC9" s="1">
        <f ca="1">IFERROR(__xludf.DUMMYFUNCTION("""COMPUTED_VALUE"""),195)</f>
        <v>195</v>
      </c>
      <c r="AD9" s="1">
        <f ca="1">IFERROR(__xludf.DUMMYFUNCTION("""COMPUTED_VALUE"""),78)</f>
        <v>78</v>
      </c>
      <c r="AE9" s="1">
        <f ca="1">IFERROR(__xludf.DUMMYFUNCTION("""COMPUTED_VALUE"""),454)</f>
        <v>454</v>
      </c>
      <c r="AF9" s="1">
        <f ca="1">IFERROR(__xludf.DUMMYFUNCTION("""COMPUTED_VALUE"""),566)</f>
        <v>566</v>
      </c>
    </row>
    <row r="10" spans="1:32" ht="15.75" customHeight="1" x14ac:dyDescent="0.25">
      <c r="A10" s="1" t="str">
        <f ca="1">IFERROR(__xludf.DUMMYFUNCTION("""COMPUTED_VALUE"""),"Alcorn State")</f>
        <v>Alcorn State</v>
      </c>
      <c r="B10" s="1">
        <f ca="1">IFERROR(__xludf.DUMMYFUNCTION("""COMPUTED_VALUE"""),31)</f>
        <v>31</v>
      </c>
      <c r="C10" s="1">
        <f ca="1">IFERROR(__xludf.DUMMYFUNCTION("""COMPUTED_VALUE"""),10)</f>
        <v>10</v>
      </c>
      <c r="D10" s="1">
        <f ca="1">IFERROR(__xludf.DUMMYFUNCTION("""COMPUTED_VALUE"""),21)</f>
        <v>21</v>
      </c>
      <c r="E10" s="1">
        <f ca="1">IFERROR(__xludf.DUMMYFUNCTION("""COMPUTED_VALUE"""),0.323)</f>
        <v>0.32300000000000001</v>
      </c>
      <c r="F10" s="1">
        <f ca="1">IFERROR(__xludf.DUMMYFUNCTION("""COMPUTED_VALUE"""),-22.08)</f>
        <v>-22.08</v>
      </c>
      <c r="G10" s="1">
        <f ca="1">IFERROR(__xludf.DUMMYFUNCTION("""COMPUTED_VALUE"""),-8.97)</f>
        <v>-8.9700000000000006</v>
      </c>
      <c r="H10" s="1">
        <f ca="1">IFERROR(__xludf.DUMMYFUNCTION("""COMPUTED_VALUE"""),6)</f>
        <v>6</v>
      </c>
      <c r="I10" s="1">
        <f ca="1">IFERROR(__xludf.DUMMYFUNCTION("""COMPUTED_VALUE"""),12)</f>
        <v>12</v>
      </c>
      <c r="J10" s="1">
        <f ca="1">IFERROR(__xludf.DUMMYFUNCTION("""COMPUTED_VALUE"""),10)</f>
        <v>10</v>
      </c>
      <c r="K10" s="1">
        <f ca="1">IFERROR(__xludf.DUMMYFUNCTION("""COMPUTED_VALUE"""),3)</f>
        <v>3</v>
      </c>
      <c r="L10" s="1">
        <f ca="1">IFERROR(__xludf.DUMMYFUNCTION("""COMPUTED_VALUE"""),0)</f>
        <v>0</v>
      </c>
      <c r="M10" s="1">
        <f ca="1">IFERROR(__xludf.DUMMYFUNCTION("""COMPUTED_VALUE"""),17)</f>
        <v>17</v>
      </c>
      <c r="N10" s="1">
        <f ca="1">IFERROR(__xludf.DUMMYFUNCTION("""COMPUTED_VALUE"""),1995)</f>
        <v>1995</v>
      </c>
      <c r="O10" s="1">
        <f ca="1">IFERROR(__xludf.DUMMYFUNCTION("""COMPUTED_VALUE"""),2194)</f>
        <v>2194</v>
      </c>
      <c r="P10" s="1">
        <f ca="1">IFERROR(__xludf.DUMMYFUNCTION("""COMPUTED_VALUE"""),1245)</f>
        <v>1245</v>
      </c>
      <c r="Q10" s="1">
        <f ca="1">IFERROR(__xludf.DUMMYFUNCTION("""COMPUTED_VALUE"""),709)</f>
        <v>709</v>
      </c>
      <c r="R10" s="1">
        <f ca="1">IFERROR(__xludf.DUMMYFUNCTION("""COMPUTED_VALUE"""),1721)</f>
        <v>1721</v>
      </c>
      <c r="S10" s="1">
        <f ca="1">IFERROR(__xludf.DUMMYFUNCTION("""COMPUTED_VALUE"""),0.412)</f>
        <v>0.41199999999999998</v>
      </c>
      <c r="T10" s="1">
        <f ca="1">IFERROR(__xludf.DUMMYFUNCTION("""COMPUTED_VALUE"""),211)</f>
        <v>211</v>
      </c>
      <c r="U10" s="1">
        <f ca="1">IFERROR(__xludf.DUMMYFUNCTION("""COMPUTED_VALUE"""),646)</f>
        <v>646</v>
      </c>
      <c r="V10" s="1">
        <f ca="1">IFERROR(__xludf.DUMMYFUNCTION("""COMPUTED_VALUE"""),0.327)</f>
        <v>0.32700000000000001</v>
      </c>
      <c r="W10" s="1">
        <f ca="1">IFERROR(__xludf.DUMMYFUNCTION("""COMPUTED_VALUE"""),366)</f>
        <v>366</v>
      </c>
      <c r="X10" s="1">
        <f ca="1">IFERROR(__xludf.DUMMYFUNCTION("""COMPUTED_VALUE"""),543)</f>
        <v>543</v>
      </c>
      <c r="Y10" s="1">
        <f ca="1">IFERROR(__xludf.DUMMYFUNCTION("""COMPUTED_VALUE"""),0.674)</f>
        <v>0.67400000000000004</v>
      </c>
      <c r="Z10" s="1">
        <f ca="1">IFERROR(__xludf.DUMMYFUNCTION("""COMPUTED_VALUE"""),334)</f>
        <v>334</v>
      </c>
      <c r="AA10" s="1">
        <f ca="1">IFERROR(__xludf.DUMMYFUNCTION("""COMPUTED_VALUE"""),1079)</f>
        <v>1079</v>
      </c>
      <c r="AB10" s="1">
        <f ca="1">IFERROR(__xludf.DUMMYFUNCTION("""COMPUTED_VALUE"""),391)</f>
        <v>391</v>
      </c>
      <c r="AC10" s="1">
        <f ca="1">IFERROR(__xludf.DUMMYFUNCTION("""COMPUTED_VALUE"""),229)</f>
        <v>229</v>
      </c>
      <c r="AD10" s="1">
        <f ca="1">IFERROR(__xludf.DUMMYFUNCTION("""COMPUTED_VALUE"""),107)</f>
        <v>107</v>
      </c>
      <c r="AE10" s="1">
        <f ca="1">IFERROR(__xludf.DUMMYFUNCTION("""COMPUTED_VALUE"""),492)</f>
        <v>492</v>
      </c>
      <c r="AF10" s="1">
        <f ca="1">IFERROR(__xludf.DUMMYFUNCTION("""COMPUTED_VALUE"""),548)</f>
        <v>548</v>
      </c>
    </row>
    <row r="11" spans="1:32" ht="15.75" customHeight="1" x14ac:dyDescent="0.25">
      <c r="A11" s="1" t="str">
        <f ca="1">IFERROR(__xludf.DUMMYFUNCTION("""COMPUTED_VALUE"""),"American")</f>
        <v>American</v>
      </c>
      <c r="B11" s="1">
        <f ca="1">IFERROR(__xludf.DUMMYFUNCTION("""COMPUTED_VALUE"""),30)</f>
        <v>30</v>
      </c>
      <c r="C11" s="1">
        <f ca="1">IFERROR(__xludf.DUMMYFUNCTION("""COMPUTED_VALUE"""),15)</f>
        <v>15</v>
      </c>
      <c r="D11" s="1">
        <f ca="1">IFERROR(__xludf.DUMMYFUNCTION("""COMPUTED_VALUE"""),15)</f>
        <v>15</v>
      </c>
      <c r="E11" s="1">
        <f ca="1">IFERROR(__xludf.DUMMYFUNCTION("""COMPUTED_VALUE"""),0.5)</f>
        <v>0.5</v>
      </c>
      <c r="F11" s="1">
        <f ca="1">IFERROR(__xludf.DUMMYFUNCTION("""COMPUTED_VALUE"""),-4.19)</f>
        <v>-4.1900000000000004</v>
      </c>
      <c r="G11" s="1">
        <f ca="1">IFERROR(__xludf.DUMMYFUNCTION("""COMPUTED_VALUE"""),-7.23)</f>
        <v>-7.23</v>
      </c>
      <c r="H11" s="1">
        <f ca="1">IFERROR(__xludf.DUMMYFUNCTION("""COMPUTED_VALUE"""),9)</f>
        <v>9</v>
      </c>
      <c r="I11" s="1">
        <f ca="1">IFERROR(__xludf.DUMMYFUNCTION("""COMPUTED_VALUE"""),9)</f>
        <v>9</v>
      </c>
      <c r="J11" s="1">
        <f ca="1">IFERROR(__xludf.DUMMYFUNCTION("""COMPUTED_VALUE"""),8)</f>
        <v>8</v>
      </c>
      <c r="K11" s="1">
        <f ca="1">IFERROR(__xludf.DUMMYFUNCTION("""COMPUTED_VALUE"""),7)</f>
        <v>7</v>
      </c>
      <c r="L11" s="1">
        <f ca="1">IFERROR(__xludf.DUMMYFUNCTION("""COMPUTED_VALUE"""),6)</f>
        <v>6</v>
      </c>
      <c r="M11" s="1">
        <f ca="1">IFERROR(__xludf.DUMMYFUNCTION("""COMPUTED_VALUE"""),8)</f>
        <v>8</v>
      </c>
      <c r="N11" s="1">
        <f ca="1">IFERROR(__xludf.DUMMYFUNCTION("""COMPUTED_VALUE"""),2161)</f>
        <v>2161</v>
      </c>
      <c r="O11" s="1">
        <f ca="1">IFERROR(__xludf.DUMMYFUNCTION("""COMPUTED_VALUE"""),2070)</f>
        <v>2070</v>
      </c>
      <c r="P11" s="1">
        <f ca="1">IFERROR(__xludf.DUMMYFUNCTION("""COMPUTED_VALUE"""),1220)</f>
        <v>1220</v>
      </c>
      <c r="Q11" s="1">
        <f ca="1">IFERROR(__xludf.DUMMYFUNCTION("""COMPUTED_VALUE"""),780)</f>
        <v>780</v>
      </c>
      <c r="R11" s="1">
        <f ca="1">IFERROR(__xludf.DUMMYFUNCTION("""COMPUTED_VALUE"""),1645)</f>
        <v>1645</v>
      </c>
      <c r="S11" s="1">
        <f ca="1">IFERROR(__xludf.DUMMYFUNCTION("""COMPUTED_VALUE"""),0.474)</f>
        <v>0.47399999999999998</v>
      </c>
      <c r="T11" s="1">
        <f ca="1">IFERROR(__xludf.DUMMYFUNCTION("""COMPUTED_VALUE"""),190)</f>
        <v>190</v>
      </c>
      <c r="U11" s="1">
        <f ca="1">IFERROR(__xludf.DUMMYFUNCTION("""COMPUTED_VALUE"""),584)</f>
        <v>584</v>
      </c>
      <c r="V11" s="1">
        <f ca="1">IFERROR(__xludf.DUMMYFUNCTION("""COMPUTED_VALUE"""),0.325)</f>
        <v>0.32500000000000001</v>
      </c>
      <c r="W11" s="1">
        <f ca="1">IFERROR(__xludf.DUMMYFUNCTION("""COMPUTED_VALUE"""),411)</f>
        <v>411</v>
      </c>
      <c r="X11" s="1">
        <f ca="1">IFERROR(__xludf.DUMMYFUNCTION("""COMPUTED_VALUE"""),589)</f>
        <v>589</v>
      </c>
      <c r="Y11" s="1">
        <f ca="1">IFERROR(__xludf.DUMMYFUNCTION("""COMPUTED_VALUE"""),0.698)</f>
        <v>0.69799999999999995</v>
      </c>
      <c r="Z11" s="1">
        <f ca="1">IFERROR(__xludf.DUMMYFUNCTION("""COMPUTED_VALUE"""),251)</f>
        <v>251</v>
      </c>
      <c r="AA11" s="1">
        <f ca="1">IFERROR(__xludf.DUMMYFUNCTION("""COMPUTED_VALUE"""),1014)</f>
        <v>1014</v>
      </c>
      <c r="AB11" s="1">
        <f ca="1">IFERROR(__xludf.DUMMYFUNCTION("""COMPUTED_VALUE"""),402)</f>
        <v>402</v>
      </c>
      <c r="AC11" s="1">
        <f ca="1">IFERROR(__xludf.DUMMYFUNCTION("""COMPUTED_VALUE"""),221)</f>
        <v>221</v>
      </c>
      <c r="AD11" s="1">
        <f ca="1">IFERROR(__xludf.DUMMYFUNCTION("""COMPUTED_VALUE"""),131)</f>
        <v>131</v>
      </c>
      <c r="AE11" s="1">
        <f ca="1">IFERROR(__xludf.DUMMYFUNCTION("""COMPUTED_VALUE"""),386)</f>
        <v>386</v>
      </c>
      <c r="AF11" s="1">
        <f ca="1">IFERROR(__xludf.DUMMYFUNCTION("""COMPUTED_VALUE"""),520)</f>
        <v>520</v>
      </c>
    </row>
    <row r="12" spans="1:32" ht="15.75" customHeight="1" x14ac:dyDescent="0.25">
      <c r="A12" s="1" t="str">
        <f ca="1">IFERROR(__xludf.DUMMYFUNCTION("""COMPUTED_VALUE"""),"Appalachian State")</f>
        <v>Appalachian State</v>
      </c>
      <c r="B12" s="1">
        <f ca="1">IFERROR(__xludf.DUMMYFUNCTION("""COMPUTED_VALUE"""),32)</f>
        <v>32</v>
      </c>
      <c r="C12" s="1">
        <f ca="1">IFERROR(__xludf.DUMMYFUNCTION("""COMPUTED_VALUE"""),11)</f>
        <v>11</v>
      </c>
      <c r="D12" s="1">
        <f ca="1">IFERROR(__xludf.DUMMYFUNCTION("""COMPUTED_VALUE"""),21)</f>
        <v>21</v>
      </c>
      <c r="E12" s="1">
        <f ca="1">IFERROR(__xludf.DUMMYFUNCTION("""COMPUTED_VALUE"""),0.344)</f>
        <v>0.34399999999999997</v>
      </c>
      <c r="F12" s="1">
        <f ca="1">IFERROR(__xludf.DUMMYFUNCTION("""COMPUTED_VALUE"""),-3.73)</f>
        <v>-3.73</v>
      </c>
      <c r="G12" s="1">
        <f ca="1">IFERROR(__xludf.DUMMYFUNCTION("""COMPUTED_VALUE"""),0.1)</f>
        <v>0.1</v>
      </c>
      <c r="H12" s="1">
        <f ca="1">IFERROR(__xludf.DUMMYFUNCTION("""COMPUTED_VALUE"""),6)</f>
        <v>6</v>
      </c>
      <c r="I12" s="1">
        <f ca="1">IFERROR(__xludf.DUMMYFUNCTION("""COMPUTED_VALUE"""),12)</f>
        <v>12</v>
      </c>
      <c r="J12" s="1">
        <f ca="1">IFERROR(__xludf.DUMMYFUNCTION("""COMPUTED_VALUE"""),9)</f>
        <v>9</v>
      </c>
      <c r="K12" s="1">
        <f ca="1">IFERROR(__xludf.DUMMYFUNCTION("""COMPUTED_VALUE"""),5)</f>
        <v>5</v>
      </c>
      <c r="L12" s="1">
        <f ca="1">IFERROR(__xludf.DUMMYFUNCTION("""COMPUTED_VALUE"""),2)</f>
        <v>2</v>
      </c>
      <c r="M12" s="1">
        <f ca="1">IFERROR(__xludf.DUMMYFUNCTION("""COMPUTED_VALUE"""),12)</f>
        <v>12</v>
      </c>
      <c r="N12" s="1">
        <f ca="1">IFERROR(__xludf.DUMMYFUNCTION("""COMPUTED_VALUE"""),2557)</f>
        <v>2557</v>
      </c>
      <c r="O12" s="1">
        <f ca="1">IFERROR(__xludf.DUMMYFUNCTION("""COMPUTED_VALUE"""),2539)</f>
        <v>2539</v>
      </c>
      <c r="P12" s="1">
        <f ca="1">IFERROR(__xludf.DUMMYFUNCTION("""COMPUTED_VALUE"""),1290)</f>
        <v>1290</v>
      </c>
      <c r="Q12" s="1">
        <f ca="1">IFERROR(__xludf.DUMMYFUNCTION("""COMPUTED_VALUE"""),880)</f>
        <v>880</v>
      </c>
      <c r="R12" s="1">
        <f ca="1">IFERROR(__xludf.DUMMYFUNCTION("""COMPUTED_VALUE"""),1938)</f>
        <v>1938</v>
      </c>
      <c r="S12" s="1">
        <f ca="1">IFERROR(__xludf.DUMMYFUNCTION("""COMPUTED_VALUE"""),0.454)</f>
        <v>0.45400000000000001</v>
      </c>
      <c r="T12" s="1">
        <f ca="1">IFERROR(__xludf.DUMMYFUNCTION("""COMPUTED_VALUE"""),292)</f>
        <v>292</v>
      </c>
      <c r="U12" s="1">
        <f ca="1">IFERROR(__xludf.DUMMYFUNCTION("""COMPUTED_VALUE"""),814)</f>
        <v>814</v>
      </c>
      <c r="V12" s="1">
        <f ca="1">IFERROR(__xludf.DUMMYFUNCTION("""COMPUTED_VALUE"""),0.359)</f>
        <v>0.35899999999999999</v>
      </c>
      <c r="W12" s="1">
        <f ca="1">IFERROR(__xludf.DUMMYFUNCTION("""COMPUTED_VALUE"""),505)</f>
        <v>505</v>
      </c>
      <c r="X12" s="1">
        <f ca="1">IFERROR(__xludf.DUMMYFUNCTION("""COMPUTED_VALUE"""),706)</f>
        <v>706</v>
      </c>
      <c r="Y12" s="1">
        <f ca="1">IFERROR(__xludf.DUMMYFUNCTION("""COMPUTED_VALUE"""),0.715)</f>
        <v>0.71499999999999997</v>
      </c>
      <c r="Z12" s="1">
        <f ca="1">IFERROR(__xludf.DUMMYFUNCTION("""COMPUTED_VALUE"""),310)</f>
        <v>310</v>
      </c>
      <c r="AA12" s="1">
        <f ca="1">IFERROR(__xludf.DUMMYFUNCTION("""COMPUTED_VALUE"""),1127)</f>
        <v>1127</v>
      </c>
      <c r="AB12" s="1">
        <f ca="1">IFERROR(__xludf.DUMMYFUNCTION("""COMPUTED_VALUE"""),406)</f>
        <v>406</v>
      </c>
      <c r="AC12" s="1">
        <f ca="1">IFERROR(__xludf.DUMMYFUNCTION("""COMPUTED_VALUE"""),171)</f>
        <v>171</v>
      </c>
      <c r="AD12" s="1">
        <f ca="1">IFERROR(__xludf.DUMMYFUNCTION("""COMPUTED_VALUE"""),90)</f>
        <v>90</v>
      </c>
      <c r="AE12" s="1">
        <f ca="1">IFERROR(__xludf.DUMMYFUNCTION("""COMPUTED_VALUE"""),418)</f>
        <v>418</v>
      </c>
      <c r="AF12" s="1">
        <f ca="1">IFERROR(__xludf.DUMMYFUNCTION("""COMPUTED_VALUE"""),585)</f>
        <v>585</v>
      </c>
    </row>
    <row r="13" spans="1:32" ht="15.75" customHeight="1" x14ac:dyDescent="0.25">
      <c r="A13" s="1" t="str">
        <f ca="1">IFERROR(__xludf.DUMMYFUNCTION("""COMPUTED_VALUE"""),"Arizona State")</f>
        <v>Arizona State</v>
      </c>
      <c r="B13" s="1">
        <f ca="1">IFERROR(__xludf.DUMMYFUNCTION("""COMPUTED_VALUE"""),34)</f>
        <v>34</v>
      </c>
      <c r="C13" s="1">
        <f ca="1">IFERROR(__xludf.DUMMYFUNCTION("""COMPUTED_VALUE"""),23)</f>
        <v>23</v>
      </c>
      <c r="D13" s="1">
        <f ca="1">IFERROR(__xludf.DUMMYFUNCTION("""COMPUTED_VALUE"""),11)</f>
        <v>11</v>
      </c>
      <c r="E13" s="1">
        <f ca="1">IFERROR(__xludf.DUMMYFUNCTION("""COMPUTED_VALUE"""),0.676)</f>
        <v>0.67600000000000005</v>
      </c>
      <c r="F13" s="1">
        <f ca="1">IFERROR(__xludf.DUMMYFUNCTION("""COMPUTED_VALUE"""),10.28)</f>
        <v>10.28</v>
      </c>
      <c r="G13" s="1">
        <f ca="1">IFERROR(__xludf.DUMMYFUNCTION("""COMPUTED_VALUE"""),6.04)</f>
        <v>6.04</v>
      </c>
      <c r="H13" s="1">
        <f ca="1">IFERROR(__xludf.DUMMYFUNCTION("""COMPUTED_VALUE"""),12)</f>
        <v>12</v>
      </c>
      <c r="I13" s="1">
        <f ca="1">IFERROR(__xludf.DUMMYFUNCTION("""COMPUTED_VALUE"""),6)</f>
        <v>6</v>
      </c>
      <c r="J13" s="1">
        <f ca="1">IFERROR(__xludf.DUMMYFUNCTION("""COMPUTED_VALUE"""),13)</f>
        <v>13</v>
      </c>
      <c r="K13" s="1">
        <f ca="1">IFERROR(__xludf.DUMMYFUNCTION("""COMPUTED_VALUE"""),3)</f>
        <v>3</v>
      </c>
      <c r="L13" s="1">
        <f ca="1">IFERROR(__xludf.DUMMYFUNCTION("""COMPUTED_VALUE"""),6)</f>
        <v>6</v>
      </c>
      <c r="M13" s="1">
        <f ca="1">IFERROR(__xludf.DUMMYFUNCTION("""COMPUTED_VALUE"""),5)</f>
        <v>5</v>
      </c>
      <c r="N13" s="1">
        <f ca="1">IFERROR(__xludf.DUMMYFUNCTION("""COMPUTED_VALUE"""),2638)</f>
        <v>2638</v>
      </c>
      <c r="O13" s="1">
        <f ca="1">IFERROR(__xludf.DUMMYFUNCTION("""COMPUTED_VALUE"""),2494)</f>
        <v>2494</v>
      </c>
      <c r="P13" s="1">
        <f ca="1">IFERROR(__xludf.DUMMYFUNCTION("""COMPUTED_VALUE"""),1380)</f>
        <v>1380</v>
      </c>
      <c r="Q13" s="1">
        <f ca="1">IFERROR(__xludf.DUMMYFUNCTION("""COMPUTED_VALUE"""),899)</f>
        <v>899</v>
      </c>
      <c r="R13" s="1">
        <f ca="1">IFERROR(__xludf.DUMMYFUNCTION("""COMPUTED_VALUE"""),2012)</f>
        <v>2012</v>
      </c>
      <c r="S13" s="1">
        <f ca="1">IFERROR(__xludf.DUMMYFUNCTION("""COMPUTED_VALUE"""),0.447)</f>
        <v>0.44700000000000001</v>
      </c>
      <c r="T13" s="1">
        <f ca="1">IFERROR(__xludf.DUMMYFUNCTION("""COMPUTED_VALUE"""),240)</f>
        <v>240</v>
      </c>
      <c r="U13" s="1">
        <f ca="1">IFERROR(__xludf.DUMMYFUNCTION("""COMPUTED_VALUE"""),714)</f>
        <v>714</v>
      </c>
      <c r="V13" s="1">
        <f ca="1">IFERROR(__xludf.DUMMYFUNCTION("""COMPUTED_VALUE"""),0.336)</f>
        <v>0.33600000000000002</v>
      </c>
      <c r="W13" s="1">
        <f ca="1">IFERROR(__xludf.DUMMYFUNCTION("""COMPUTED_VALUE"""),600)</f>
        <v>600</v>
      </c>
      <c r="X13" s="1">
        <f ca="1">IFERROR(__xludf.DUMMYFUNCTION("""COMPUTED_VALUE"""),882)</f>
        <v>882</v>
      </c>
      <c r="Y13" s="1">
        <f ca="1">IFERROR(__xludf.DUMMYFUNCTION("""COMPUTED_VALUE"""),0.68)</f>
        <v>0.68</v>
      </c>
      <c r="Z13" s="1">
        <f ca="1">IFERROR(__xludf.DUMMYFUNCTION("""COMPUTED_VALUE"""),399)</f>
        <v>399</v>
      </c>
      <c r="AA13" s="1">
        <f ca="1">IFERROR(__xludf.DUMMYFUNCTION("""COMPUTED_VALUE"""),1351)</f>
        <v>1351</v>
      </c>
      <c r="AB13" s="1">
        <f ca="1">IFERROR(__xludf.DUMMYFUNCTION("""COMPUTED_VALUE"""),459)</f>
        <v>459</v>
      </c>
      <c r="AC13" s="1">
        <f ca="1">IFERROR(__xludf.DUMMYFUNCTION("""COMPUTED_VALUE"""),213)</f>
        <v>213</v>
      </c>
      <c r="AD13" s="1">
        <f ca="1">IFERROR(__xludf.DUMMYFUNCTION("""COMPUTED_VALUE"""),109)</f>
        <v>109</v>
      </c>
      <c r="AE13" s="1">
        <f ca="1">IFERROR(__xludf.DUMMYFUNCTION("""COMPUTED_VALUE"""),466)</f>
        <v>466</v>
      </c>
      <c r="AF13" s="1">
        <f ca="1">IFERROR(__xludf.DUMMYFUNCTION("""COMPUTED_VALUE"""),675)</f>
        <v>675</v>
      </c>
    </row>
    <row r="14" spans="1:32" ht="15.75" customHeight="1" x14ac:dyDescent="0.25">
      <c r="A14" s="1" t="str">
        <f ca="1">IFERROR(__xludf.DUMMYFUNCTION("""COMPUTED_VALUE"""),"Arizona")</f>
        <v>Arizona</v>
      </c>
      <c r="B14" s="1">
        <f ca="1">IFERROR(__xludf.DUMMYFUNCTION("""COMPUTED_VALUE"""),32)</f>
        <v>32</v>
      </c>
      <c r="C14" s="1">
        <f ca="1">IFERROR(__xludf.DUMMYFUNCTION("""COMPUTED_VALUE"""),17)</f>
        <v>17</v>
      </c>
      <c r="D14" s="1">
        <f ca="1">IFERROR(__xludf.DUMMYFUNCTION("""COMPUTED_VALUE"""),15)</f>
        <v>15</v>
      </c>
      <c r="E14" s="1">
        <f ca="1">IFERROR(__xludf.DUMMYFUNCTION("""COMPUTED_VALUE"""),0.531)</f>
        <v>0.53100000000000003</v>
      </c>
      <c r="F14" s="1">
        <f ca="1">IFERROR(__xludf.DUMMYFUNCTION("""COMPUTED_VALUE"""),8.32)</f>
        <v>8.32</v>
      </c>
      <c r="G14" s="1">
        <f ca="1">IFERROR(__xludf.DUMMYFUNCTION("""COMPUTED_VALUE"""),6.32)</f>
        <v>6.32</v>
      </c>
      <c r="H14" s="1">
        <f ca="1">IFERROR(__xludf.DUMMYFUNCTION("""COMPUTED_VALUE"""),8)</f>
        <v>8</v>
      </c>
      <c r="I14" s="1">
        <f ca="1">IFERROR(__xludf.DUMMYFUNCTION("""COMPUTED_VALUE"""),10)</f>
        <v>10</v>
      </c>
      <c r="J14" s="1">
        <f ca="1">IFERROR(__xludf.DUMMYFUNCTION("""COMPUTED_VALUE"""),12)</f>
        <v>12</v>
      </c>
      <c r="K14" s="1">
        <f ca="1">IFERROR(__xludf.DUMMYFUNCTION("""COMPUTED_VALUE"""),5)</f>
        <v>5</v>
      </c>
      <c r="L14" s="1">
        <f ca="1">IFERROR(__xludf.DUMMYFUNCTION("""COMPUTED_VALUE"""),4)</f>
        <v>4</v>
      </c>
      <c r="M14" s="1">
        <f ca="1">IFERROR(__xludf.DUMMYFUNCTION("""COMPUTED_VALUE"""),7)</f>
        <v>7</v>
      </c>
      <c r="N14" s="1">
        <f ca="1">IFERROR(__xludf.DUMMYFUNCTION("""COMPUTED_VALUE"""),2269)</f>
        <v>2269</v>
      </c>
      <c r="O14" s="1">
        <f ca="1">IFERROR(__xludf.DUMMYFUNCTION("""COMPUTED_VALUE"""),2205)</f>
        <v>2205</v>
      </c>
      <c r="P14" s="1">
        <f ca="1">IFERROR(__xludf.DUMMYFUNCTION("""COMPUTED_VALUE"""),1290)</f>
        <v>1290</v>
      </c>
      <c r="Q14" s="1">
        <f ca="1">IFERROR(__xludf.DUMMYFUNCTION("""COMPUTED_VALUE"""),794)</f>
        <v>794</v>
      </c>
      <c r="R14" s="1">
        <f ca="1">IFERROR(__xludf.DUMMYFUNCTION("""COMPUTED_VALUE"""),1861)</f>
        <v>1861</v>
      </c>
      <c r="S14" s="1">
        <f ca="1">IFERROR(__xludf.DUMMYFUNCTION("""COMPUTED_VALUE"""),0.427)</f>
        <v>0.42699999999999999</v>
      </c>
      <c r="T14" s="1">
        <f ca="1">IFERROR(__xludf.DUMMYFUNCTION("""COMPUTED_VALUE"""),235)</f>
        <v>235</v>
      </c>
      <c r="U14" s="1">
        <f ca="1">IFERROR(__xludf.DUMMYFUNCTION("""COMPUTED_VALUE"""),699)</f>
        <v>699</v>
      </c>
      <c r="V14" s="1">
        <f ca="1">IFERROR(__xludf.DUMMYFUNCTION("""COMPUTED_VALUE"""),0.336)</f>
        <v>0.33600000000000002</v>
      </c>
      <c r="W14" s="1">
        <f ca="1">IFERROR(__xludf.DUMMYFUNCTION("""COMPUTED_VALUE"""),446)</f>
        <v>446</v>
      </c>
      <c r="X14" s="1">
        <f ca="1">IFERROR(__xludf.DUMMYFUNCTION("""COMPUTED_VALUE"""),620)</f>
        <v>620</v>
      </c>
      <c r="Y14" s="1">
        <f ca="1">IFERROR(__xludf.DUMMYFUNCTION("""COMPUTED_VALUE"""),0.719)</f>
        <v>0.71899999999999997</v>
      </c>
      <c r="Z14" s="1">
        <f ca="1">IFERROR(__xludf.DUMMYFUNCTION("""COMPUTED_VALUE"""),324)</f>
        <v>324</v>
      </c>
      <c r="AA14" s="1">
        <f ca="1">IFERROR(__xludf.DUMMYFUNCTION("""COMPUTED_VALUE"""),1115)</f>
        <v>1115</v>
      </c>
      <c r="AB14" s="1">
        <f ca="1">IFERROR(__xludf.DUMMYFUNCTION("""COMPUTED_VALUE"""),398)</f>
        <v>398</v>
      </c>
      <c r="AC14" s="1">
        <f ca="1">IFERROR(__xludf.DUMMYFUNCTION("""COMPUTED_VALUE"""),165)</f>
        <v>165</v>
      </c>
      <c r="AD14" s="1">
        <f ca="1">IFERROR(__xludf.DUMMYFUNCTION("""COMPUTED_VALUE"""),73)</f>
        <v>73</v>
      </c>
      <c r="AE14" s="1">
        <f ca="1">IFERROR(__xludf.DUMMYFUNCTION("""COMPUTED_VALUE"""),370)</f>
        <v>370</v>
      </c>
      <c r="AF14" s="1">
        <f ca="1">IFERROR(__xludf.DUMMYFUNCTION("""COMPUTED_VALUE"""),594)</f>
        <v>594</v>
      </c>
    </row>
    <row r="15" spans="1:32" ht="15.75" customHeight="1" x14ac:dyDescent="0.25">
      <c r="A15" s="1" t="str">
        <f ca="1">IFERROR(__xludf.DUMMYFUNCTION("""COMPUTED_VALUE"""),"Little Rock")</f>
        <v>Little Rock</v>
      </c>
      <c r="B15" s="1">
        <f ca="1">IFERROR(__xludf.DUMMYFUNCTION("""COMPUTED_VALUE"""),31)</f>
        <v>31</v>
      </c>
      <c r="C15" s="1">
        <f ca="1">IFERROR(__xludf.DUMMYFUNCTION("""COMPUTED_VALUE"""),10)</f>
        <v>10</v>
      </c>
      <c r="D15" s="1">
        <f ca="1">IFERROR(__xludf.DUMMYFUNCTION("""COMPUTED_VALUE"""),21)</f>
        <v>21</v>
      </c>
      <c r="E15" s="1">
        <f ca="1">IFERROR(__xludf.DUMMYFUNCTION("""COMPUTED_VALUE"""),0.323)</f>
        <v>0.32300000000000001</v>
      </c>
      <c r="F15" s="1">
        <f ca="1">IFERROR(__xludf.DUMMYFUNCTION("""COMPUTED_VALUE"""),-4.87)</f>
        <v>-4.87</v>
      </c>
      <c r="G15" s="1">
        <f ca="1">IFERROR(__xludf.DUMMYFUNCTION("""COMPUTED_VALUE"""),-2.07)</f>
        <v>-2.0699999999999998</v>
      </c>
      <c r="H15" s="1">
        <f ca="1">IFERROR(__xludf.DUMMYFUNCTION("""COMPUTED_VALUE"""),5)</f>
        <v>5</v>
      </c>
      <c r="I15" s="1">
        <f ca="1">IFERROR(__xludf.DUMMYFUNCTION("""COMPUTED_VALUE"""),13)</f>
        <v>13</v>
      </c>
      <c r="J15" s="1">
        <f ca="1">IFERROR(__xludf.DUMMYFUNCTION("""COMPUTED_VALUE"""),7)</f>
        <v>7</v>
      </c>
      <c r="K15" s="1">
        <f ca="1">IFERROR(__xludf.DUMMYFUNCTION("""COMPUTED_VALUE"""),9)</f>
        <v>9</v>
      </c>
      <c r="L15" s="1">
        <f ca="1">IFERROR(__xludf.DUMMYFUNCTION("""COMPUTED_VALUE"""),3)</f>
        <v>3</v>
      </c>
      <c r="M15" s="1">
        <f ca="1">IFERROR(__xludf.DUMMYFUNCTION("""COMPUTED_VALUE"""),12)</f>
        <v>12</v>
      </c>
      <c r="N15" s="1">
        <f ca="1">IFERROR(__xludf.DUMMYFUNCTION("""COMPUTED_VALUE"""),2301)</f>
        <v>2301</v>
      </c>
      <c r="O15" s="1">
        <f ca="1">IFERROR(__xludf.DUMMYFUNCTION("""COMPUTED_VALUE"""),2353)</f>
        <v>2353</v>
      </c>
      <c r="P15" s="1">
        <f ca="1">IFERROR(__xludf.DUMMYFUNCTION("""COMPUTED_VALUE"""),1250)</f>
        <v>1250</v>
      </c>
      <c r="Q15" s="1">
        <f ca="1">IFERROR(__xludf.DUMMYFUNCTION("""COMPUTED_VALUE"""),817)</f>
        <v>817</v>
      </c>
      <c r="R15" s="1">
        <f ca="1">IFERROR(__xludf.DUMMYFUNCTION("""COMPUTED_VALUE"""),1687)</f>
        <v>1687</v>
      </c>
      <c r="S15" s="1">
        <f ca="1">IFERROR(__xludf.DUMMYFUNCTION("""COMPUTED_VALUE"""),0.484)</f>
        <v>0.48399999999999999</v>
      </c>
      <c r="T15" s="1">
        <f ca="1">IFERROR(__xludf.DUMMYFUNCTION("""COMPUTED_VALUE"""),206)</f>
        <v>206</v>
      </c>
      <c r="U15" s="1">
        <f ca="1">IFERROR(__xludf.DUMMYFUNCTION("""COMPUTED_VALUE"""),582)</f>
        <v>582</v>
      </c>
      <c r="V15" s="1">
        <f ca="1">IFERROR(__xludf.DUMMYFUNCTION("""COMPUTED_VALUE"""),0.354)</f>
        <v>0.35399999999999998</v>
      </c>
      <c r="W15" s="1">
        <f ca="1">IFERROR(__xludf.DUMMYFUNCTION("""COMPUTED_VALUE"""),461)</f>
        <v>461</v>
      </c>
      <c r="X15" s="1">
        <f ca="1">IFERROR(__xludf.DUMMYFUNCTION("""COMPUTED_VALUE"""),703)</f>
        <v>703</v>
      </c>
      <c r="Y15" s="1">
        <f ca="1">IFERROR(__xludf.DUMMYFUNCTION("""COMPUTED_VALUE"""),0.656)</f>
        <v>0.65600000000000003</v>
      </c>
      <c r="Z15" s="1">
        <f ca="1">IFERROR(__xludf.DUMMYFUNCTION("""COMPUTED_VALUE"""),244)</f>
        <v>244</v>
      </c>
      <c r="AA15" s="1">
        <f ca="1">IFERROR(__xludf.DUMMYFUNCTION("""COMPUTED_VALUE"""),1060)</f>
        <v>1060</v>
      </c>
      <c r="AB15" s="1">
        <f ca="1">IFERROR(__xludf.DUMMYFUNCTION("""COMPUTED_VALUE"""),443)</f>
        <v>443</v>
      </c>
      <c r="AC15" s="1">
        <f ca="1">IFERROR(__xludf.DUMMYFUNCTION("""COMPUTED_VALUE"""),169)</f>
        <v>169</v>
      </c>
      <c r="AD15" s="1">
        <f ca="1">IFERROR(__xludf.DUMMYFUNCTION("""COMPUTED_VALUE"""),87)</f>
        <v>87</v>
      </c>
      <c r="AE15" s="1">
        <f ca="1">IFERROR(__xludf.DUMMYFUNCTION("""COMPUTED_VALUE"""),503)</f>
        <v>503</v>
      </c>
      <c r="AF15" s="1">
        <f ca="1">IFERROR(__xludf.DUMMYFUNCTION("""COMPUTED_VALUE"""),622)</f>
        <v>622</v>
      </c>
    </row>
    <row r="16" spans="1:32" ht="15.75" customHeight="1" x14ac:dyDescent="0.25">
      <c r="A16" s="1" t="str">
        <f ca="1">IFERROR(__xludf.DUMMYFUNCTION("""COMPUTED_VALUE"""),"Arkansas-Pine Bluff")</f>
        <v>Arkansas-Pine Bluff</v>
      </c>
      <c r="B16" s="1">
        <f ca="1">IFERROR(__xludf.DUMMYFUNCTION("""COMPUTED_VALUE"""),32)</f>
        <v>32</v>
      </c>
      <c r="C16" s="1">
        <f ca="1">IFERROR(__xludf.DUMMYFUNCTION("""COMPUTED_VALUE"""),13)</f>
        <v>13</v>
      </c>
      <c r="D16" s="1">
        <f ca="1">IFERROR(__xludf.DUMMYFUNCTION("""COMPUTED_VALUE"""),19)</f>
        <v>19</v>
      </c>
      <c r="E16" s="1">
        <f ca="1">IFERROR(__xludf.DUMMYFUNCTION("""COMPUTED_VALUE"""),0.406)</f>
        <v>0.40600000000000003</v>
      </c>
      <c r="F16" s="1">
        <f ca="1">IFERROR(__xludf.DUMMYFUNCTION("""COMPUTED_VALUE"""),-14.43)</f>
        <v>-14.43</v>
      </c>
      <c r="G16" s="1">
        <f ca="1">IFERROR(__xludf.DUMMYFUNCTION("""COMPUTED_VALUE"""),-8.18)</f>
        <v>-8.18</v>
      </c>
      <c r="H16" s="1">
        <f ca="1">IFERROR(__xludf.DUMMYFUNCTION("""COMPUTED_VALUE"""),10)</f>
        <v>10</v>
      </c>
      <c r="I16" s="1">
        <f ca="1">IFERROR(__xludf.DUMMYFUNCTION("""COMPUTED_VALUE"""),8)</f>
        <v>8</v>
      </c>
      <c r="J16" s="1">
        <f ca="1">IFERROR(__xludf.DUMMYFUNCTION("""COMPUTED_VALUE"""),8)</f>
        <v>8</v>
      </c>
      <c r="K16" s="1">
        <f ca="1">IFERROR(__xludf.DUMMYFUNCTION("""COMPUTED_VALUE"""),2)</f>
        <v>2</v>
      </c>
      <c r="L16" s="1">
        <f ca="1">IFERROR(__xludf.DUMMYFUNCTION("""COMPUTED_VALUE"""),4)</f>
        <v>4</v>
      </c>
      <c r="M16" s="1">
        <f ca="1">IFERROR(__xludf.DUMMYFUNCTION("""COMPUTED_VALUE"""),17)</f>
        <v>17</v>
      </c>
      <c r="N16" s="1">
        <f ca="1">IFERROR(__xludf.DUMMYFUNCTION("""COMPUTED_VALUE"""),2108)</f>
        <v>2108</v>
      </c>
      <c r="O16" s="1">
        <f ca="1">IFERROR(__xludf.DUMMYFUNCTION("""COMPUTED_VALUE"""),2269)</f>
        <v>2269</v>
      </c>
      <c r="P16" s="1">
        <f ca="1">IFERROR(__xludf.DUMMYFUNCTION("""COMPUTED_VALUE"""),1300)</f>
        <v>1300</v>
      </c>
      <c r="Q16" s="1">
        <f ca="1">IFERROR(__xludf.DUMMYFUNCTION("""COMPUTED_VALUE"""),719)</f>
        <v>719</v>
      </c>
      <c r="R16" s="1">
        <f ca="1">IFERROR(__xludf.DUMMYFUNCTION("""COMPUTED_VALUE"""),1685)</f>
        <v>1685</v>
      </c>
      <c r="S16" s="1">
        <f ca="1">IFERROR(__xludf.DUMMYFUNCTION("""COMPUTED_VALUE"""),0.427)</f>
        <v>0.42699999999999999</v>
      </c>
      <c r="T16" s="1">
        <f ca="1">IFERROR(__xludf.DUMMYFUNCTION("""COMPUTED_VALUE"""),194)</f>
        <v>194</v>
      </c>
      <c r="U16" s="1">
        <f ca="1">IFERROR(__xludf.DUMMYFUNCTION("""COMPUTED_VALUE"""),574)</f>
        <v>574</v>
      </c>
      <c r="V16" s="1">
        <f ca="1">IFERROR(__xludf.DUMMYFUNCTION("""COMPUTED_VALUE"""),0.338)</f>
        <v>0.33800000000000002</v>
      </c>
      <c r="W16" s="1">
        <f ca="1">IFERROR(__xludf.DUMMYFUNCTION("""COMPUTED_VALUE"""),476)</f>
        <v>476</v>
      </c>
      <c r="X16" s="1">
        <f ca="1">IFERROR(__xludf.DUMMYFUNCTION("""COMPUTED_VALUE"""),702)</f>
        <v>702</v>
      </c>
      <c r="Y16" s="1">
        <f ca="1">IFERROR(__xludf.DUMMYFUNCTION("""COMPUTED_VALUE"""),0.678)</f>
        <v>0.67800000000000005</v>
      </c>
      <c r="Z16" s="1">
        <f ca="1">IFERROR(__xludf.DUMMYFUNCTION("""COMPUTED_VALUE"""),317)</f>
        <v>317</v>
      </c>
      <c r="AA16" s="1">
        <f ca="1">IFERROR(__xludf.DUMMYFUNCTION("""COMPUTED_VALUE"""),1063)</f>
        <v>1063</v>
      </c>
      <c r="AB16" s="1">
        <f ca="1">IFERROR(__xludf.DUMMYFUNCTION("""COMPUTED_VALUE"""),365)</f>
        <v>365</v>
      </c>
      <c r="AC16" s="1">
        <f ca="1">IFERROR(__xludf.DUMMYFUNCTION("""COMPUTED_VALUE"""),216)</f>
        <v>216</v>
      </c>
      <c r="AD16" s="1">
        <f ca="1">IFERROR(__xludf.DUMMYFUNCTION("""COMPUTED_VALUE"""),109)</f>
        <v>109</v>
      </c>
      <c r="AE16" s="1">
        <f ca="1">IFERROR(__xludf.DUMMYFUNCTION("""COMPUTED_VALUE"""),478)</f>
        <v>478</v>
      </c>
      <c r="AF16" s="1">
        <f ca="1">IFERROR(__xludf.DUMMYFUNCTION("""COMPUTED_VALUE"""),629)</f>
        <v>629</v>
      </c>
    </row>
    <row r="17" spans="1:32" ht="15.75" customHeight="1" x14ac:dyDescent="0.25">
      <c r="A17" s="1" t="str">
        <f ca="1">IFERROR(__xludf.DUMMYFUNCTION("""COMPUTED_VALUE"""),"Arkansas State")</f>
        <v>Arkansas State</v>
      </c>
      <c r="B17" s="1">
        <f ca="1">IFERROR(__xludf.DUMMYFUNCTION("""COMPUTED_VALUE"""),32)</f>
        <v>32</v>
      </c>
      <c r="C17" s="1">
        <f ca="1">IFERROR(__xludf.DUMMYFUNCTION("""COMPUTED_VALUE"""),13)</f>
        <v>13</v>
      </c>
      <c r="D17" s="1">
        <f ca="1">IFERROR(__xludf.DUMMYFUNCTION("""COMPUTED_VALUE"""),19)</f>
        <v>19</v>
      </c>
      <c r="E17" s="1">
        <f ca="1">IFERROR(__xludf.DUMMYFUNCTION("""COMPUTED_VALUE"""),0.406)</f>
        <v>0.40600000000000003</v>
      </c>
      <c r="F17" s="1">
        <f ca="1">IFERROR(__xludf.DUMMYFUNCTION("""COMPUTED_VALUE"""),-7.1)</f>
        <v>-7.1</v>
      </c>
      <c r="G17" s="1">
        <f ca="1">IFERROR(__xludf.DUMMYFUNCTION("""COMPUTED_VALUE"""),-1.23)</f>
        <v>-1.23</v>
      </c>
      <c r="H17" s="1">
        <f ca="1">IFERROR(__xludf.DUMMYFUNCTION("""COMPUTED_VALUE"""),7)</f>
        <v>7</v>
      </c>
      <c r="I17" s="1">
        <f ca="1">IFERROR(__xludf.DUMMYFUNCTION("""COMPUTED_VALUE"""),11)</f>
        <v>11</v>
      </c>
      <c r="J17" s="1">
        <f ca="1">IFERROR(__xludf.DUMMYFUNCTION("""COMPUTED_VALUE"""),10)</f>
        <v>10</v>
      </c>
      <c r="K17" s="1">
        <f ca="1">IFERROR(__xludf.DUMMYFUNCTION("""COMPUTED_VALUE"""),4)</f>
        <v>4</v>
      </c>
      <c r="L17" s="1">
        <f ca="1">IFERROR(__xludf.DUMMYFUNCTION("""COMPUTED_VALUE"""),2)</f>
        <v>2</v>
      </c>
      <c r="M17" s="1">
        <f ca="1">IFERROR(__xludf.DUMMYFUNCTION("""COMPUTED_VALUE"""),13)</f>
        <v>13</v>
      </c>
      <c r="N17" s="1">
        <f ca="1">IFERROR(__xludf.DUMMYFUNCTION("""COMPUTED_VALUE"""),2359)</f>
        <v>2359</v>
      </c>
      <c r="O17" s="1">
        <f ca="1">IFERROR(__xludf.DUMMYFUNCTION("""COMPUTED_VALUE"""),2475)</f>
        <v>2475</v>
      </c>
      <c r="P17" s="1">
        <f ca="1">IFERROR(__xludf.DUMMYFUNCTION("""COMPUTED_VALUE"""),1310)</f>
        <v>1310</v>
      </c>
      <c r="Q17" s="1">
        <f ca="1">IFERROR(__xludf.DUMMYFUNCTION("""COMPUTED_VALUE"""),796)</f>
        <v>796</v>
      </c>
      <c r="R17" s="1">
        <f ca="1">IFERROR(__xludf.DUMMYFUNCTION("""COMPUTED_VALUE"""),1904)</f>
        <v>1904</v>
      </c>
      <c r="S17" s="1">
        <f ca="1">IFERROR(__xludf.DUMMYFUNCTION("""COMPUTED_VALUE"""),0.418)</f>
        <v>0.41799999999999998</v>
      </c>
      <c r="T17" s="1">
        <f ca="1">IFERROR(__xludf.DUMMYFUNCTION("""COMPUTED_VALUE"""),237)</f>
        <v>237</v>
      </c>
      <c r="U17" s="1">
        <f ca="1">IFERROR(__xludf.DUMMYFUNCTION("""COMPUTED_VALUE"""),709)</f>
        <v>709</v>
      </c>
      <c r="V17" s="1">
        <f ca="1">IFERROR(__xludf.DUMMYFUNCTION("""COMPUTED_VALUE"""),0.334)</f>
        <v>0.33400000000000002</v>
      </c>
      <c r="W17" s="1">
        <f ca="1">IFERROR(__xludf.DUMMYFUNCTION("""COMPUTED_VALUE"""),530)</f>
        <v>530</v>
      </c>
      <c r="X17" s="1">
        <f ca="1">IFERROR(__xludf.DUMMYFUNCTION("""COMPUTED_VALUE"""),721)</f>
        <v>721</v>
      </c>
      <c r="Y17" s="1">
        <f ca="1">IFERROR(__xludf.DUMMYFUNCTION("""COMPUTED_VALUE"""),0.735)</f>
        <v>0.73499999999999999</v>
      </c>
      <c r="Z17" s="1">
        <f ca="1">IFERROR(__xludf.DUMMYFUNCTION("""COMPUTED_VALUE"""),403)</f>
        <v>403</v>
      </c>
      <c r="AA17" s="1">
        <f ca="1">IFERROR(__xludf.DUMMYFUNCTION("""COMPUTED_VALUE"""),1211)</f>
        <v>1211</v>
      </c>
      <c r="AB17" s="1">
        <f ca="1">IFERROR(__xludf.DUMMYFUNCTION("""COMPUTED_VALUE"""),363)</f>
        <v>363</v>
      </c>
      <c r="AC17" s="1">
        <f ca="1">IFERROR(__xludf.DUMMYFUNCTION("""COMPUTED_VALUE"""),183)</f>
        <v>183</v>
      </c>
      <c r="AD17" s="1">
        <f ca="1">IFERROR(__xludf.DUMMYFUNCTION("""COMPUTED_VALUE"""),139)</f>
        <v>139</v>
      </c>
      <c r="AE17" s="1">
        <f ca="1">IFERROR(__xludf.DUMMYFUNCTION("""COMPUTED_VALUE"""),448)</f>
        <v>448</v>
      </c>
      <c r="AF17" s="1">
        <f ca="1">IFERROR(__xludf.DUMMYFUNCTION("""COMPUTED_VALUE"""),684)</f>
        <v>684</v>
      </c>
    </row>
    <row r="18" spans="1:32" ht="15.75" customHeight="1" x14ac:dyDescent="0.25">
      <c r="A18" s="1" t="str">
        <f ca="1">IFERROR(__xludf.DUMMYFUNCTION("""COMPUTED_VALUE"""),"Arkansas")</f>
        <v>Arkansas</v>
      </c>
      <c r="B18" s="1">
        <f ca="1">IFERROR(__xludf.DUMMYFUNCTION("""COMPUTED_VALUE"""),34)</f>
        <v>34</v>
      </c>
      <c r="C18" s="1">
        <f ca="1">IFERROR(__xludf.DUMMYFUNCTION("""COMPUTED_VALUE"""),18)</f>
        <v>18</v>
      </c>
      <c r="D18" s="1">
        <f ca="1">IFERROR(__xludf.DUMMYFUNCTION("""COMPUTED_VALUE"""),16)</f>
        <v>16</v>
      </c>
      <c r="E18" s="1">
        <f ca="1">IFERROR(__xludf.DUMMYFUNCTION("""COMPUTED_VALUE"""),0.529)</f>
        <v>0.52900000000000003</v>
      </c>
      <c r="F18" s="1">
        <f ca="1">IFERROR(__xludf.DUMMYFUNCTION("""COMPUTED_VALUE"""),11.75)</f>
        <v>11.75</v>
      </c>
      <c r="G18" s="1">
        <f ca="1">IFERROR(__xludf.DUMMYFUNCTION("""COMPUTED_VALUE"""),8.78)</f>
        <v>8.7799999999999994</v>
      </c>
      <c r="H18" s="1">
        <f ca="1">IFERROR(__xludf.DUMMYFUNCTION("""COMPUTED_VALUE"""),8)</f>
        <v>8</v>
      </c>
      <c r="I18" s="1">
        <f ca="1">IFERROR(__xludf.DUMMYFUNCTION("""COMPUTED_VALUE"""),10)</f>
        <v>10</v>
      </c>
      <c r="J18" s="1">
        <f ca="1">IFERROR(__xludf.DUMMYFUNCTION("""COMPUTED_VALUE"""),12)</f>
        <v>12</v>
      </c>
      <c r="K18" s="1">
        <f ca="1">IFERROR(__xludf.DUMMYFUNCTION("""COMPUTED_VALUE"""),6)</f>
        <v>6</v>
      </c>
      <c r="L18" s="1">
        <f ca="1">IFERROR(__xludf.DUMMYFUNCTION("""COMPUTED_VALUE"""),5)</f>
        <v>5</v>
      </c>
      <c r="M18" s="1">
        <f ca="1">IFERROR(__xludf.DUMMYFUNCTION("""COMPUTED_VALUE"""),8)</f>
        <v>8</v>
      </c>
      <c r="N18" s="1">
        <f ca="1">IFERROR(__xludf.DUMMYFUNCTION("""COMPUTED_VALUE"""),2559)</f>
        <v>2559</v>
      </c>
      <c r="O18" s="1">
        <f ca="1">IFERROR(__xludf.DUMMYFUNCTION("""COMPUTED_VALUE"""),2458)</f>
        <v>2458</v>
      </c>
      <c r="P18" s="1">
        <f ca="1">IFERROR(__xludf.DUMMYFUNCTION("""COMPUTED_VALUE"""),1370)</f>
        <v>1370</v>
      </c>
      <c r="Q18" s="1">
        <f ca="1">IFERROR(__xludf.DUMMYFUNCTION("""COMPUTED_VALUE"""),893)</f>
        <v>893</v>
      </c>
      <c r="R18" s="1">
        <f ca="1">IFERROR(__xludf.DUMMYFUNCTION("""COMPUTED_VALUE"""),2004)</f>
        <v>2004</v>
      </c>
      <c r="S18" s="1">
        <f ca="1">IFERROR(__xludf.DUMMYFUNCTION("""COMPUTED_VALUE"""),0.446)</f>
        <v>0.44600000000000001</v>
      </c>
      <c r="T18" s="1">
        <f ca="1">IFERROR(__xludf.DUMMYFUNCTION("""COMPUTED_VALUE"""),259)</f>
        <v>259</v>
      </c>
      <c r="U18" s="1">
        <f ca="1">IFERROR(__xludf.DUMMYFUNCTION("""COMPUTED_VALUE"""),751)</f>
        <v>751</v>
      </c>
      <c r="V18" s="1">
        <f ca="1">IFERROR(__xludf.DUMMYFUNCTION("""COMPUTED_VALUE"""),0.345)</f>
        <v>0.34499999999999997</v>
      </c>
      <c r="W18" s="1">
        <f ca="1">IFERROR(__xludf.DUMMYFUNCTION("""COMPUTED_VALUE"""),514)</f>
        <v>514</v>
      </c>
      <c r="X18" s="1">
        <f ca="1">IFERROR(__xludf.DUMMYFUNCTION("""COMPUTED_VALUE"""),769)</f>
        <v>769</v>
      </c>
      <c r="Y18" s="1">
        <f ca="1">IFERROR(__xludf.DUMMYFUNCTION("""COMPUTED_VALUE"""),0.668)</f>
        <v>0.66800000000000004</v>
      </c>
      <c r="Z18" s="1">
        <f ca="1">IFERROR(__xludf.DUMMYFUNCTION("""COMPUTED_VALUE"""),345)</f>
        <v>345</v>
      </c>
      <c r="AA18" s="1">
        <f ca="1">IFERROR(__xludf.DUMMYFUNCTION("""COMPUTED_VALUE"""),1152)</f>
        <v>1152</v>
      </c>
      <c r="AB18" s="1">
        <f ca="1">IFERROR(__xludf.DUMMYFUNCTION("""COMPUTED_VALUE"""),543)</f>
        <v>543</v>
      </c>
      <c r="AC18" s="1">
        <f ca="1">IFERROR(__xludf.DUMMYFUNCTION("""COMPUTED_VALUE"""),276)</f>
        <v>276</v>
      </c>
      <c r="AD18" s="1">
        <f ca="1">IFERROR(__xludf.DUMMYFUNCTION("""COMPUTED_VALUE"""),172)</f>
        <v>172</v>
      </c>
      <c r="AE18" s="1">
        <f ca="1">IFERROR(__xludf.DUMMYFUNCTION("""COMPUTED_VALUE"""),450)</f>
        <v>450</v>
      </c>
      <c r="AF18" s="1">
        <f ca="1">IFERROR(__xludf.DUMMYFUNCTION("""COMPUTED_VALUE"""),693)</f>
        <v>693</v>
      </c>
    </row>
    <row r="19" spans="1:32" ht="12.5" x14ac:dyDescent="0.25">
      <c r="A19" s="1" t="str">
        <f ca="1">IFERROR(__xludf.DUMMYFUNCTION("""COMPUTED_VALUE"""),"Army")</f>
        <v>Army</v>
      </c>
      <c r="B19" s="1">
        <f ca="1">IFERROR(__xludf.DUMMYFUNCTION("""COMPUTED_VALUE"""),32)</f>
        <v>32</v>
      </c>
      <c r="C19" s="1">
        <f ca="1">IFERROR(__xludf.DUMMYFUNCTION("""COMPUTED_VALUE"""),13)</f>
        <v>13</v>
      </c>
      <c r="D19" s="1">
        <f ca="1">IFERROR(__xludf.DUMMYFUNCTION("""COMPUTED_VALUE"""),19)</f>
        <v>19</v>
      </c>
      <c r="E19" s="1">
        <f ca="1">IFERROR(__xludf.DUMMYFUNCTION("""COMPUTED_VALUE"""),0.406)</f>
        <v>0.40600000000000003</v>
      </c>
      <c r="F19" s="1">
        <f ca="1">IFERROR(__xludf.DUMMYFUNCTION("""COMPUTED_VALUE"""),-7.57)</f>
        <v>-7.57</v>
      </c>
      <c r="G19" s="1">
        <f ca="1">IFERROR(__xludf.DUMMYFUNCTION("""COMPUTED_VALUE"""),-4.73)</f>
        <v>-4.7300000000000004</v>
      </c>
      <c r="H19" s="1">
        <f ca="1">IFERROR(__xludf.DUMMYFUNCTION("""COMPUTED_VALUE"""),8)</f>
        <v>8</v>
      </c>
      <c r="I19" s="1">
        <f ca="1">IFERROR(__xludf.DUMMYFUNCTION("""COMPUTED_VALUE"""),10)</f>
        <v>10</v>
      </c>
      <c r="J19" s="1">
        <f ca="1">IFERROR(__xludf.DUMMYFUNCTION("""COMPUTED_VALUE"""),10)</f>
        <v>10</v>
      </c>
      <c r="K19" s="1">
        <f ca="1">IFERROR(__xludf.DUMMYFUNCTION("""COMPUTED_VALUE"""),4)</f>
        <v>4</v>
      </c>
      <c r="L19" s="1">
        <f ca="1">IFERROR(__xludf.DUMMYFUNCTION("""COMPUTED_VALUE"""),3)</f>
        <v>3</v>
      </c>
      <c r="M19" s="1">
        <f ca="1">IFERROR(__xludf.DUMMYFUNCTION("""COMPUTED_VALUE"""),13)</f>
        <v>13</v>
      </c>
      <c r="N19" s="1">
        <f ca="1">IFERROR(__xludf.DUMMYFUNCTION("""COMPUTED_VALUE"""),2268)</f>
        <v>2268</v>
      </c>
      <c r="O19" s="1">
        <f ca="1">IFERROR(__xludf.DUMMYFUNCTION("""COMPUTED_VALUE"""),2305)</f>
        <v>2305</v>
      </c>
      <c r="P19" s="1">
        <f ca="1">IFERROR(__xludf.DUMMYFUNCTION("""COMPUTED_VALUE"""),1280)</f>
        <v>1280</v>
      </c>
      <c r="Q19" s="1">
        <f ca="1">IFERROR(__xludf.DUMMYFUNCTION("""COMPUTED_VALUE"""),837)</f>
        <v>837</v>
      </c>
      <c r="R19" s="1">
        <f ca="1">IFERROR(__xludf.DUMMYFUNCTION("""COMPUTED_VALUE"""),1956)</f>
        <v>1956</v>
      </c>
      <c r="S19" s="1">
        <f ca="1">IFERROR(__xludf.DUMMYFUNCTION("""COMPUTED_VALUE"""),0.428)</f>
        <v>0.42799999999999999</v>
      </c>
      <c r="T19" s="1">
        <f ca="1">IFERROR(__xludf.DUMMYFUNCTION("""COMPUTED_VALUE"""),272)</f>
        <v>272</v>
      </c>
      <c r="U19" s="1">
        <f ca="1">IFERROR(__xludf.DUMMYFUNCTION("""COMPUTED_VALUE"""),863)</f>
        <v>863</v>
      </c>
      <c r="V19" s="1">
        <f ca="1">IFERROR(__xludf.DUMMYFUNCTION("""COMPUTED_VALUE"""),0.315)</f>
        <v>0.315</v>
      </c>
      <c r="W19" s="1">
        <f ca="1">IFERROR(__xludf.DUMMYFUNCTION("""COMPUTED_VALUE"""),322)</f>
        <v>322</v>
      </c>
      <c r="X19" s="1">
        <f ca="1">IFERROR(__xludf.DUMMYFUNCTION("""COMPUTED_VALUE"""),471)</f>
        <v>471</v>
      </c>
      <c r="Y19" s="1">
        <f ca="1">IFERROR(__xludf.DUMMYFUNCTION("""COMPUTED_VALUE"""),0.684)</f>
        <v>0.68400000000000005</v>
      </c>
      <c r="Z19" s="1">
        <f ca="1">IFERROR(__xludf.DUMMYFUNCTION("""COMPUTED_VALUE"""),259)</f>
        <v>259</v>
      </c>
      <c r="AA19" s="1">
        <f ca="1">IFERROR(__xludf.DUMMYFUNCTION("""COMPUTED_VALUE"""),1125)</f>
        <v>1125</v>
      </c>
      <c r="AB19" s="1">
        <f ca="1">IFERROR(__xludf.DUMMYFUNCTION("""COMPUTED_VALUE"""),499)</f>
        <v>499</v>
      </c>
      <c r="AC19" s="1">
        <f ca="1">IFERROR(__xludf.DUMMYFUNCTION("""COMPUTED_VALUE"""),198)</f>
        <v>198</v>
      </c>
      <c r="AD19" s="1">
        <f ca="1">IFERROR(__xludf.DUMMYFUNCTION("""COMPUTED_VALUE"""),50)</f>
        <v>50</v>
      </c>
      <c r="AE19" s="1">
        <f ca="1">IFERROR(__xludf.DUMMYFUNCTION("""COMPUTED_VALUE"""),376)</f>
        <v>376</v>
      </c>
      <c r="AF19" s="1">
        <f ca="1">IFERROR(__xludf.DUMMYFUNCTION("""COMPUTED_VALUE"""),544)</f>
        <v>544</v>
      </c>
    </row>
    <row r="20" spans="1:32" ht="12.5" x14ac:dyDescent="0.25">
      <c r="A20" s="1" t="str">
        <f ca="1">IFERROR(__xludf.DUMMYFUNCTION("""COMPUTED_VALUE"""),"Auburn")</f>
        <v>Auburn</v>
      </c>
      <c r="B20" s="1">
        <f ca="1">IFERROR(__xludf.DUMMYFUNCTION("""COMPUTED_VALUE"""),40)</f>
        <v>40</v>
      </c>
      <c r="C20" s="1">
        <f ca="1">IFERROR(__xludf.DUMMYFUNCTION("""COMPUTED_VALUE"""),30)</f>
        <v>30</v>
      </c>
      <c r="D20" s="1">
        <f ca="1">IFERROR(__xludf.DUMMYFUNCTION("""COMPUTED_VALUE"""),10)</f>
        <v>10</v>
      </c>
      <c r="E20" s="1">
        <f ca="1">IFERROR(__xludf.DUMMYFUNCTION("""COMPUTED_VALUE"""),0.75)</f>
        <v>0.75</v>
      </c>
      <c r="F20" s="1">
        <f ca="1">IFERROR(__xludf.DUMMYFUNCTION("""COMPUTED_VALUE"""),20.84)</f>
        <v>20.84</v>
      </c>
      <c r="G20" s="1">
        <f ca="1">IFERROR(__xludf.DUMMYFUNCTION("""COMPUTED_VALUE"""),10.92)</f>
        <v>10.92</v>
      </c>
      <c r="H20" s="1">
        <f ca="1">IFERROR(__xludf.DUMMYFUNCTION("""COMPUTED_VALUE"""),11)</f>
        <v>11</v>
      </c>
      <c r="I20" s="1">
        <f ca="1">IFERROR(__xludf.DUMMYFUNCTION("""COMPUTED_VALUE"""),7)</f>
        <v>7</v>
      </c>
      <c r="J20" s="1">
        <f ca="1">IFERROR(__xludf.DUMMYFUNCTION("""COMPUTED_VALUE"""),15)</f>
        <v>15</v>
      </c>
      <c r="K20" s="1">
        <f ca="1">IFERROR(__xludf.DUMMYFUNCTION("""COMPUTED_VALUE"""),2)</f>
        <v>2</v>
      </c>
      <c r="L20" s="1">
        <f ca="1">IFERROR(__xludf.DUMMYFUNCTION("""COMPUTED_VALUE"""),4)</f>
        <v>4</v>
      </c>
      <c r="M20" s="1">
        <f ca="1">IFERROR(__xludf.DUMMYFUNCTION("""COMPUTED_VALUE"""),6)</f>
        <v>6</v>
      </c>
      <c r="N20" s="1">
        <f ca="1">IFERROR(__xludf.DUMMYFUNCTION("""COMPUTED_VALUE"""),3188)</f>
        <v>3188</v>
      </c>
      <c r="O20" s="1">
        <f ca="1">IFERROR(__xludf.DUMMYFUNCTION("""COMPUTED_VALUE"""),2750)</f>
        <v>2750</v>
      </c>
      <c r="P20" s="1">
        <f ca="1">IFERROR(__xludf.DUMMYFUNCTION("""COMPUTED_VALUE"""),1615)</f>
        <v>1615</v>
      </c>
      <c r="Q20" s="1">
        <f ca="1">IFERROR(__xludf.DUMMYFUNCTION("""COMPUTED_VALUE"""),1097)</f>
        <v>1097</v>
      </c>
      <c r="R20" s="1">
        <f ca="1">IFERROR(__xludf.DUMMYFUNCTION("""COMPUTED_VALUE"""),2439)</f>
        <v>2439</v>
      </c>
      <c r="S20" s="1">
        <f ca="1">IFERROR(__xludf.DUMMYFUNCTION("""COMPUTED_VALUE"""),0.45)</f>
        <v>0.45</v>
      </c>
      <c r="T20" s="1">
        <f ca="1">IFERROR(__xludf.DUMMYFUNCTION("""COMPUTED_VALUE"""),454)</f>
        <v>454</v>
      </c>
      <c r="U20" s="1">
        <f ca="1">IFERROR(__xludf.DUMMYFUNCTION("""COMPUTED_VALUE"""),1204)</f>
        <v>1204</v>
      </c>
      <c r="V20" s="1">
        <f ca="1">IFERROR(__xludf.DUMMYFUNCTION("""COMPUTED_VALUE"""),0.377)</f>
        <v>0.377</v>
      </c>
      <c r="W20" s="1">
        <f ca="1">IFERROR(__xludf.DUMMYFUNCTION("""COMPUTED_VALUE"""),540)</f>
        <v>540</v>
      </c>
      <c r="X20" s="1">
        <f ca="1">IFERROR(__xludf.DUMMYFUNCTION("""COMPUTED_VALUE"""),760)</f>
        <v>760</v>
      </c>
      <c r="Y20" s="1">
        <f ca="1">IFERROR(__xludf.DUMMYFUNCTION("""COMPUTED_VALUE"""),0.711)</f>
        <v>0.71099999999999997</v>
      </c>
      <c r="Z20" s="1">
        <f ca="1">IFERROR(__xludf.DUMMYFUNCTION("""COMPUTED_VALUE"""),457)</f>
        <v>457</v>
      </c>
      <c r="AA20" s="1">
        <f ca="1">IFERROR(__xludf.DUMMYFUNCTION("""COMPUTED_VALUE"""),1369)</f>
        <v>1369</v>
      </c>
      <c r="AB20" s="1">
        <f ca="1">IFERROR(__xludf.DUMMYFUNCTION("""COMPUTED_VALUE"""),572)</f>
        <v>572</v>
      </c>
      <c r="AC20" s="1">
        <f ca="1">IFERROR(__xludf.DUMMYFUNCTION("""COMPUTED_VALUE"""),369)</f>
        <v>369</v>
      </c>
      <c r="AD20" s="1">
        <f ca="1">IFERROR(__xludf.DUMMYFUNCTION("""COMPUTED_VALUE"""),190)</f>
        <v>190</v>
      </c>
      <c r="AE20" s="1">
        <f ca="1">IFERROR(__xludf.DUMMYFUNCTION("""COMPUTED_VALUE"""),466)</f>
        <v>466</v>
      </c>
      <c r="AF20" s="1">
        <f ca="1">IFERROR(__xludf.DUMMYFUNCTION("""COMPUTED_VALUE"""),731)</f>
        <v>731</v>
      </c>
    </row>
    <row r="21" spans="1:32" ht="12.5" x14ac:dyDescent="0.25">
      <c r="A21" s="1" t="str">
        <f ca="1">IFERROR(__xludf.DUMMYFUNCTION("""COMPUTED_VALUE"""),"Austin Peay")</f>
        <v>Austin Peay</v>
      </c>
      <c r="B21" s="1">
        <f ca="1">IFERROR(__xludf.DUMMYFUNCTION("""COMPUTED_VALUE"""),33)</f>
        <v>33</v>
      </c>
      <c r="C21" s="1">
        <f ca="1">IFERROR(__xludf.DUMMYFUNCTION("""COMPUTED_VALUE"""),22)</f>
        <v>22</v>
      </c>
      <c r="D21" s="1">
        <f ca="1">IFERROR(__xludf.DUMMYFUNCTION("""COMPUTED_VALUE"""),11)</f>
        <v>11</v>
      </c>
      <c r="E21" s="1">
        <f ca="1">IFERROR(__xludf.DUMMYFUNCTION("""COMPUTED_VALUE"""),0.667)</f>
        <v>0.66700000000000004</v>
      </c>
      <c r="F21" s="1">
        <f ca="1">IFERROR(__xludf.DUMMYFUNCTION("""COMPUTED_VALUE"""),0.59)</f>
        <v>0.59</v>
      </c>
      <c r="G21" s="1">
        <f ca="1">IFERROR(__xludf.DUMMYFUNCTION("""COMPUTED_VALUE"""),-4.41)</f>
        <v>-4.41</v>
      </c>
      <c r="H21" s="1">
        <f ca="1">IFERROR(__xludf.DUMMYFUNCTION("""COMPUTED_VALUE"""),13)</f>
        <v>13</v>
      </c>
      <c r="I21" s="1">
        <f ca="1">IFERROR(__xludf.DUMMYFUNCTION("""COMPUTED_VALUE"""),5)</f>
        <v>5</v>
      </c>
      <c r="J21" s="1">
        <f ca="1">IFERROR(__xludf.DUMMYFUNCTION("""COMPUTED_VALUE"""),10)</f>
        <v>10</v>
      </c>
      <c r="K21" s="1">
        <f ca="1">IFERROR(__xludf.DUMMYFUNCTION("""COMPUTED_VALUE"""),2)</f>
        <v>2</v>
      </c>
      <c r="L21" s="1">
        <f ca="1">IFERROR(__xludf.DUMMYFUNCTION("""COMPUTED_VALUE"""),8)</f>
        <v>8</v>
      </c>
      <c r="M21" s="1">
        <f ca="1">IFERROR(__xludf.DUMMYFUNCTION("""COMPUTED_VALUE"""),7)</f>
        <v>7</v>
      </c>
      <c r="N21" s="1">
        <f ca="1">IFERROR(__xludf.DUMMYFUNCTION("""COMPUTED_VALUE"""),2712)</f>
        <v>2712</v>
      </c>
      <c r="O21" s="1">
        <f ca="1">IFERROR(__xludf.DUMMYFUNCTION("""COMPUTED_VALUE"""),2413)</f>
        <v>2413</v>
      </c>
      <c r="P21" s="1">
        <f ca="1">IFERROR(__xludf.DUMMYFUNCTION("""COMPUTED_VALUE"""),1335)</f>
        <v>1335</v>
      </c>
      <c r="Q21" s="1">
        <f ca="1">IFERROR(__xludf.DUMMYFUNCTION("""COMPUTED_VALUE"""),973)</f>
        <v>973</v>
      </c>
      <c r="R21" s="1">
        <f ca="1">IFERROR(__xludf.DUMMYFUNCTION("""COMPUTED_VALUE"""),2060)</f>
        <v>2060</v>
      </c>
      <c r="S21" s="1">
        <f ca="1">IFERROR(__xludf.DUMMYFUNCTION("""COMPUTED_VALUE"""),0.472)</f>
        <v>0.47199999999999998</v>
      </c>
      <c r="T21" s="1">
        <f ca="1">IFERROR(__xludf.DUMMYFUNCTION("""COMPUTED_VALUE"""),268)</f>
        <v>268</v>
      </c>
      <c r="U21" s="1">
        <f ca="1">IFERROR(__xludf.DUMMYFUNCTION("""COMPUTED_VALUE"""),702)</f>
        <v>702</v>
      </c>
      <c r="V21" s="1">
        <f ca="1">IFERROR(__xludf.DUMMYFUNCTION("""COMPUTED_VALUE"""),0.382)</f>
        <v>0.38200000000000001</v>
      </c>
      <c r="W21" s="1">
        <f ca="1">IFERROR(__xludf.DUMMYFUNCTION("""COMPUTED_VALUE"""),498)</f>
        <v>498</v>
      </c>
      <c r="X21" s="1">
        <f ca="1">IFERROR(__xludf.DUMMYFUNCTION("""COMPUTED_VALUE"""),705)</f>
        <v>705</v>
      </c>
      <c r="Y21" s="1">
        <f ca="1">IFERROR(__xludf.DUMMYFUNCTION("""COMPUTED_VALUE"""),0.706)</f>
        <v>0.70599999999999996</v>
      </c>
      <c r="Z21" s="1">
        <f ca="1">IFERROR(__xludf.DUMMYFUNCTION("""COMPUTED_VALUE"""),397)</f>
        <v>397</v>
      </c>
      <c r="AA21" s="1">
        <f ca="1">IFERROR(__xludf.DUMMYFUNCTION("""COMPUTED_VALUE"""),1215)</f>
        <v>1215</v>
      </c>
      <c r="AB21" s="1">
        <f ca="1">IFERROR(__xludf.DUMMYFUNCTION("""COMPUTED_VALUE"""),454)</f>
        <v>454</v>
      </c>
      <c r="AC21" s="1">
        <f ca="1">IFERROR(__xludf.DUMMYFUNCTION("""COMPUTED_VALUE"""),252)</f>
        <v>252</v>
      </c>
      <c r="AD21" s="1">
        <f ca="1">IFERROR(__xludf.DUMMYFUNCTION("""COMPUTED_VALUE"""),110)</f>
        <v>110</v>
      </c>
      <c r="AE21" s="1">
        <f ca="1">IFERROR(__xludf.DUMMYFUNCTION("""COMPUTED_VALUE"""),392)</f>
        <v>392</v>
      </c>
      <c r="AF21" s="1">
        <f ca="1">IFERROR(__xludf.DUMMYFUNCTION("""COMPUTED_VALUE"""),596)</f>
        <v>596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IFERROR(__xludf.DUMMYFUNCTION("""COMPUTED_VALUE"""),"Ball State")</f>
        <v>Ball State</v>
      </c>
      <c r="B24" s="1">
        <f ca="1">IFERROR(__xludf.DUMMYFUNCTION("""COMPUTED_VALUE"""),33)</f>
        <v>33</v>
      </c>
      <c r="C24" s="1">
        <f ca="1">IFERROR(__xludf.DUMMYFUNCTION("""COMPUTED_VALUE"""),16)</f>
        <v>16</v>
      </c>
      <c r="D24" s="1">
        <f ca="1">IFERROR(__xludf.DUMMYFUNCTION("""COMPUTED_VALUE"""),17)</f>
        <v>17</v>
      </c>
      <c r="E24" s="1">
        <f ca="1">IFERROR(__xludf.DUMMYFUNCTION("""COMPUTED_VALUE"""),0.485)</f>
        <v>0.48499999999999999</v>
      </c>
      <c r="F24" s="1">
        <f ca="1">IFERROR(__xludf.DUMMYFUNCTION("""COMPUTED_VALUE"""),3.39)</f>
        <v>3.39</v>
      </c>
      <c r="G24" s="1">
        <f ca="1">IFERROR(__xludf.DUMMYFUNCTION("""COMPUTED_VALUE"""),1.21)</f>
        <v>1.21</v>
      </c>
      <c r="H24" s="1">
        <f ca="1">IFERROR(__xludf.DUMMYFUNCTION("""COMPUTED_VALUE"""),6)</f>
        <v>6</v>
      </c>
      <c r="I24" s="1">
        <f ca="1">IFERROR(__xludf.DUMMYFUNCTION("""COMPUTED_VALUE"""),12)</f>
        <v>12</v>
      </c>
      <c r="J24" s="1">
        <f ca="1">IFERROR(__xludf.DUMMYFUNCTION("""COMPUTED_VALUE"""),7)</f>
        <v>7</v>
      </c>
      <c r="K24" s="1">
        <f ca="1">IFERROR(__xludf.DUMMYFUNCTION("""COMPUTED_VALUE"""),7)</f>
        <v>7</v>
      </c>
      <c r="L24" s="1">
        <f ca="1">IFERROR(__xludf.DUMMYFUNCTION("""COMPUTED_VALUE"""),8)</f>
        <v>8</v>
      </c>
      <c r="M24" s="1">
        <f ca="1">IFERROR(__xludf.DUMMYFUNCTION("""COMPUTED_VALUE"""),7)</f>
        <v>7</v>
      </c>
      <c r="N24" s="1">
        <f ca="1">IFERROR(__xludf.DUMMYFUNCTION("""COMPUTED_VALUE"""),2478)</f>
        <v>2478</v>
      </c>
      <c r="O24" s="1">
        <f ca="1">IFERROR(__xludf.DUMMYFUNCTION("""COMPUTED_VALUE"""),2362)</f>
        <v>2362</v>
      </c>
      <c r="P24" s="1">
        <f ca="1">IFERROR(__xludf.DUMMYFUNCTION("""COMPUTED_VALUE"""),1340)</f>
        <v>1340</v>
      </c>
      <c r="Q24" s="1">
        <f ca="1">IFERROR(__xludf.DUMMYFUNCTION("""COMPUTED_VALUE"""),889)</f>
        <v>889</v>
      </c>
      <c r="R24" s="1">
        <f ca="1">IFERROR(__xludf.DUMMYFUNCTION("""COMPUTED_VALUE"""),1892)</f>
        <v>1892</v>
      </c>
      <c r="S24" s="1">
        <f ca="1">IFERROR(__xludf.DUMMYFUNCTION("""COMPUTED_VALUE"""),0.47)</f>
        <v>0.47</v>
      </c>
      <c r="T24" s="1">
        <f ca="1">IFERROR(__xludf.DUMMYFUNCTION("""COMPUTED_VALUE"""),202)</f>
        <v>202</v>
      </c>
      <c r="U24" s="1">
        <f ca="1">IFERROR(__xludf.DUMMYFUNCTION("""COMPUTED_VALUE"""),621)</f>
        <v>621</v>
      </c>
      <c r="V24" s="1">
        <f ca="1">IFERROR(__xludf.DUMMYFUNCTION("""COMPUTED_VALUE"""),0.325)</f>
        <v>0.32500000000000001</v>
      </c>
      <c r="W24" s="1">
        <f ca="1">IFERROR(__xludf.DUMMYFUNCTION("""COMPUTED_VALUE"""),498)</f>
        <v>498</v>
      </c>
      <c r="X24" s="1">
        <f ca="1">IFERROR(__xludf.DUMMYFUNCTION("""COMPUTED_VALUE"""),709)</f>
        <v>709</v>
      </c>
      <c r="Y24" s="1">
        <f ca="1">IFERROR(__xludf.DUMMYFUNCTION("""COMPUTED_VALUE"""),0.702)</f>
        <v>0.70199999999999996</v>
      </c>
      <c r="Z24" s="1">
        <f ca="1">IFERROR(__xludf.DUMMYFUNCTION("""COMPUTED_VALUE"""),308)</f>
        <v>308</v>
      </c>
      <c r="AA24" s="1">
        <f ca="1">IFERROR(__xludf.DUMMYFUNCTION("""COMPUTED_VALUE"""),1243)</f>
        <v>1243</v>
      </c>
      <c r="AB24" s="1">
        <f ca="1">IFERROR(__xludf.DUMMYFUNCTION("""COMPUTED_VALUE"""),426)</f>
        <v>426</v>
      </c>
      <c r="AC24" s="1">
        <f ca="1">IFERROR(__xludf.DUMMYFUNCTION("""COMPUTED_VALUE"""),217)</f>
        <v>217</v>
      </c>
      <c r="AD24" s="1">
        <f ca="1">IFERROR(__xludf.DUMMYFUNCTION("""COMPUTED_VALUE"""),118)</f>
        <v>118</v>
      </c>
      <c r="AE24" s="1">
        <f ca="1">IFERROR(__xludf.DUMMYFUNCTION("""COMPUTED_VALUE"""),480)</f>
        <v>480</v>
      </c>
      <c r="AF24" s="1">
        <f ca="1">IFERROR(__xludf.DUMMYFUNCTION("""COMPUTED_VALUE"""),579)</f>
        <v>579</v>
      </c>
    </row>
    <row r="25" spans="1:32" ht="12.5" x14ac:dyDescent="0.25">
      <c r="A25" s="1" t="str">
        <f ca="1">IFERROR(__xludf.DUMMYFUNCTION("""COMPUTED_VALUE"""),"Baylor")</f>
        <v>Baylor</v>
      </c>
      <c r="B25" s="1">
        <f ca="1">IFERROR(__xludf.DUMMYFUNCTION("""COMPUTED_VALUE"""),34)</f>
        <v>34</v>
      </c>
      <c r="C25" s="1">
        <f ca="1">IFERROR(__xludf.DUMMYFUNCTION("""COMPUTED_VALUE"""),20)</f>
        <v>20</v>
      </c>
      <c r="D25" s="1">
        <f ca="1">IFERROR(__xludf.DUMMYFUNCTION("""COMPUTED_VALUE"""),14)</f>
        <v>14</v>
      </c>
      <c r="E25" s="1">
        <f ca="1">IFERROR(__xludf.DUMMYFUNCTION("""COMPUTED_VALUE"""),0.588)</f>
        <v>0.58799999999999997</v>
      </c>
      <c r="F25" s="1">
        <f ca="1">IFERROR(__xludf.DUMMYFUNCTION("""COMPUTED_VALUE"""),13.38)</f>
        <v>13.38</v>
      </c>
      <c r="G25" s="1">
        <f ca="1">IFERROR(__xludf.DUMMYFUNCTION("""COMPUTED_VALUE"""),9.26)</f>
        <v>9.26</v>
      </c>
      <c r="H25" s="1">
        <f ca="1">IFERROR(__xludf.DUMMYFUNCTION("""COMPUTED_VALUE"""),10)</f>
        <v>10</v>
      </c>
      <c r="I25" s="1">
        <f ca="1">IFERROR(__xludf.DUMMYFUNCTION("""COMPUTED_VALUE"""),8)</f>
        <v>8</v>
      </c>
      <c r="J25" s="1">
        <f ca="1">IFERROR(__xludf.DUMMYFUNCTION("""COMPUTED_VALUE"""),13)</f>
        <v>13</v>
      </c>
      <c r="K25" s="1">
        <f ca="1">IFERROR(__xludf.DUMMYFUNCTION("""COMPUTED_VALUE"""),5)</f>
        <v>5</v>
      </c>
      <c r="L25" s="1">
        <f ca="1">IFERROR(__xludf.DUMMYFUNCTION("""COMPUTED_VALUE"""),5)</f>
        <v>5</v>
      </c>
      <c r="M25" s="1">
        <f ca="1">IFERROR(__xludf.DUMMYFUNCTION("""COMPUTED_VALUE"""),6)</f>
        <v>6</v>
      </c>
      <c r="N25" s="1">
        <f ca="1">IFERROR(__xludf.DUMMYFUNCTION("""COMPUTED_VALUE"""),2442)</f>
        <v>2442</v>
      </c>
      <c r="O25" s="1">
        <f ca="1">IFERROR(__xludf.DUMMYFUNCTION("""COMPUTED_VALUE"""),2302)</f>
        <v>2302</v>
      </c>
      <c r="P25" s="1">
        <f ca="1">IFERROR(__xludf.DUMMYFUNCTION("""COMPUTED_VALUE"""),1365)</f>
        <v>1365</v>
      </c>
      <c r="Q25" s="1">
        <f ca="1">IFERROR(__xludf.DUMMYFUNCTION("""COMPUTED_VALUE"""),869)</f>
        <v>869</v>
      </c>
      <c r="R25" s="1">
        <f ca="1">IFERROR(__xludf.DUMMYFUNCTION("""COMPUTED_VALUE"""),1966)</f>
        <v>1966</v>
      </c>
      <c r="S25" s="1">
        <f ca="1">IFERROR(__xludf.DUMMYFUNCTION("""COMPUTED_VALUE"""),0.442)</f>
        <v>0.442</v>
      </c>
      <c r="T25" s="1">
        <f ca="1">IFERROR(__xludf.DUMMYFUNCTION("""COMPUTED_VALUE"""),274)</f>
        <v>274</v>
      </c>
      <c r="U25" s="1">
        <f ca="1">IFERROR(__xludf.DUMMYFUNCTION("""COMPUTED_VALUE"""),803)</f>
        <v>803</v>
      </c>
      <c r="V25" s="1">
        <f ca="1">IFERROR(__xludf.DUMMYFUNCTION("""COMPUTED_VALUE"""),0.341)</f>
        <v>0.34100000000000003</v>
      </c>
      <c r="W25" s="1">
        <f ca="1">IFERROR(__xludf.DUMMYFUNCTION("""COMPUTED_VALUE"""),430)</f>
        <v>430</v>
      </c>
      <c r="X25" s="1">
        <f ca="1">IFERROR(__xludf.DUMMYFUNCTION("""COMPUTED_VALUE"""),635)</f>
        <v>635</v>
      </c>
      <c r="Y25" s="1">
        <f ca="1">IFERROR(__xludf.DUMMYFUNCTION("""COMPUTED_VALUE"""),0.677)</f>
        <v>0.67700000000000005</v>
      </c>
      <c r="Z25" s="1">
        <f ca="1">IFERROR(__xludf.DUMMYFUNCTION("""COMPUTED_VALUE"""),450)</f>
        <v>450</v>
      </c>
      <c r="AA25" s="1">
        <f ca="1">IFERROR(__xludf.DUMMYFUNCTION("""COMPUTED_VALUE"""),1281)</f>
        <v>1281</v>
      </c>
      <c r="AB25" s="1">
        <f ca="1">IFERROR(__xludf.DUMMYFUNCTION("""COMPUTED_VALUE"""),473)</f>
        <v>473</v>
      </c>
      <c r="AC25" s="1">
        <f ca="1">IFERROR(__xludf.DUMMYFUNCTION("""COMPUTED_VALUE"""),209)</f>
        <v>209</v>
      </c>
      <c r="AD25" s="1">
        <f ca="1">IFERROR(__xludf.DUMMYFUNCTION("""COMPUTED_VALUE"""),159)</f>
        <v>159</v>
      </c>
      <c r="AE25" s="1">
        <f ca="1">IFERROR(__xludf.DUMMYFUNCTION("""COMPUTED_VALUE"""),446)</f>
        <v>446</v>
      </c>
      <c r="AF25" s="1">
        <f ca="1">IFERROR(__xludf.DUMMYFUNCTION("""COMPUTED_VALUE"""),636)</f>
        <v>636</v>
      </c>
    </row>
    <row r="26" spans="1:32" ht="12.5" x14ac:dyDescent="0.25">
      <c r="A26" s="1" t="str">
        <f ca="1">IFERROR(__xludf.DUMMYFUNCTION("""COMPUTED_VALUE"""),"Belmont")</f>
        <v>Belmont</v>
      </c>
      <c r="B26" s="1">
        <f ca="1">IFERROR(__xludf.DUMMYFUNCTION("""COMPUTED_VALUE"""),33)</f>
        <v>33</v>
      </c>
      <c r="C26" s="1">
        <f ca="1">IFERROR(__xludf.DUMMYFUNCTION("""COMPUTED_VALUE"""),27)</f>
        <v>27</v>
      </c>
      <c r="D26" s="1">
        <f ca="1">IFERROR(__xludf.DUMMYFUNCTION("""COMPUTED_VALUE"""),6)</f>
        <v>6</v>
      </c>
      <c r="E26" s="1">
        <f ca="1">IFERROR(__xludf.DUMMYFUNCTION("""COMPUTED_VALUE"""),0.818)</f>
        <v>0.81799999999999995</v>
      </c>
      <c r="F26" s="1">
        <f ca="1">IFERROR(__xludf.DUMMYFUNCTION("""COMPUTED_VALUE"""),9.12)</f>
        <v>9.1199999999999992</v>
      </c>
      <c r="G26" s="1">
        <f ca="1">IFERROR(__xludf.DUMMYFUNCTION("""COMPUTED_VALUE"""),-2.6)</f>
        <v>-2.6</v>
      </c>
      <c r="H26" s="1">
        <f ca="1">IFERROR(__xludf.DUMMYFUNCTION("""COMPUTED_VALUE"""),16)</f>
        <v>16</v>
      </c>
      <c r="I26" s="1">
        <f ca="1">IFERROR(__xludf.DUMMYFUNCTION("""COMPUTED_VALUE"""),2)</f>
        <v>2</v>
      </c>
      <c r="J26" s="1">
        <f ca="1">IFERROR(__xludf.DUMMYFUNCTION("""COMPUTED_VALUE"""),13)</f>
        <v>13</v>
      </c>
      <c r="K26" s="1">
        <f ca="1">IFERROR(__xludf.DUMMYFUNCTION("""COMPUTED_VALUE"""),1)</f>
        <v>1</v>
      </c>
      <c r="L26" s="1">
        <f ca="1">IFERROR(__xludf.DUMMYFUNCTION("""COMPUTED_VALUE"""),12)</f>
        <v>12</v>
      </c>
      <c r="M26" s="1">
        <f ca="1">IFERROR(__xludf.DUMMYFUNCTION("""COMPUTED_VALUE"""),3)</f>
        <v>3</v>
      </c>
      <c r="N26" s="1">
        <f ca="1">IFERROR(__xludf.DUMMYFUNCTION("""COMPUTED_VALUE"""),2868)</f>
        <v>2868</v>
      </c>
      <c r="O26" s="1">
        <f ca="1">IFERROR(__xludf.DUMMYFUNCTION("""COMPUTED_VALUE"""),2439)</f>
        <v>2439</v>
      </c>
      <c r="P26" s="1">
        <f ca="1">IFERROR(__xludf.DUMMYFUNCTION("""COMPUTED_VALUE"""),1330)</f>
        <v>1330</v>
      </c>
      <c r="Q26" s="1">
        <f ca="1">IFERROR(__xludf.DUMMYFUNCTION("""COMPUTED_VALUE"""),1042)</f>
        <v>1042</v>
      </c>
      <c r="R26" s="1">
        <f ca="1">IFERROR(__xludf.DUMMYFUNCTION("""COMPUTED_VALUE"""),2094)</f>
        <v>2094</v>
      </c>
      <c r="S26" s="1">
        <f ca="1">IFERROR(__xludf.DUMMYFUNCTION("""COMPUTED_VALUE"""),0.498)</f>
        <v>0.498</v>
      </c>
      <c r="T26" s="1">
        <f ca="1">IFERROR(__xludf.DUMMYFUNCTION("""COMPUTED_VALUE"""),343)</f>
        <v>343</v>
      </c>
      <c r="U26" s="1">
        <f ca="1">IFERROR(__xludf.DUMMYFUNCTION("""COMPUTED_VALUE"""),922)</f>
        <v>922</v>
      </c>
      <c r="V26" s="1">
        <f ca="1">IFERROR(__xludf.DUMMYFUNCTION("""COMPUTED_VALUE"""),0.372)</f>
        <v>0.372</v>
      </c>
      <c r="W26" s="1">
        <f ca="1">IFERROR(__xludf.DUMMYFUNCTION("""COMPUTED_VALUE"""),441)</f>
        <v>441</v>
      </c>
      <c r="X26" s="1">
        <f ca="1">IFERROR(__xludf.DUMMYFUNCTION("""COMPUTED_VALUE"""),598)</f>
        <v>598</v>
      </c>
      <c r="Y26" s="1">
        <f ca="1">IFERROR(__xludf.DUMMYFUNCTION("""COMPUTED_VALUE"""),0.737)</f>
        <v>0.73699999999999999</v>
      </c>
      <c r="Z26" s="1">
        <f ca="1">IFERROR(__xludf.DUMMYFUNCTION("""COMPUTED_VALUE"""),286)</f>
        <v>286</v>
      </c>
      <c r="AA26" s="1">
        <f ca="1">IFERROR(__xludf.DUMMYFUNCTION("""COMPUTED_VALUE"""),1275)</f>
        <v>1275</v>
      </c>
      <c r="AB26" s="1">
        <f ca="1">IFERROR(__xludf.DUMMYFUNCTION("""COMPUTED_VALUE"""),645)</f>
        <v>645</v>
      </c>
      <c r="AC26" s="1">
        <f ca="1">IFERROR(__xludf.DUMMYFUNCTION("""COMPUTED_VALUE"""),220)</f>
        <v>220</v>
      </c>
      <c r="AD26" s="1">
        <f ca="1">IFERROR(__xludf.DUMMYFUNCTION("""COMPUTED_VALUE"""),125)</f>
        <v>125</v>
      </c>
      <c r="AE26" s="1">
        <f ca="1">IFERROR(__xludf.DUMMYFUNCTION("""COMPUTED_VALUE"""),376)</f>
        <v>376</v>
      </c>
      <c r="AF26" s="1">
        <f ca="1">IFERROR(__xludf.DUMMYFUNCTION("""COMPUTED_VALUE"""),509)</f>
        <v>509</v>
      </c>
    </row>
    <row r="27" spans="1:32" ht="12.5" x14ac:dyDescent="0.25">
      <c r="A27" s="1" t="str">
        <f ca="1">IFERROR(__xludf.DUMMYFUNCTION("""COMPUTED_VALUE"""),"Bethune-Cookman")</f>
        <v>Bethune-Cookman</v>
      </c>
      <c r="B27" s="1">
        <f ca="1">IFERROR(__xludf.DUMMYFUNCTION("""COMPUTED_VALUE"""),31)</f>
        <v>31</v>
      </c>
      <c r="C27" s="1">
        <f ca="1">IFERROR(__xludf.DUMMYFUNCTION("""COMPUTED_VALUE"""),14)</f>
        <v>14</v>
      </c>
      <c r="D27" s="1">
        <f ca="1">IFERROR(__xludf.DUMMYFUNCTION("""COMPUTED_VALUE"""),17)</f>
        <v>17</v>
      </c>
      <c r="E27" s="1">
        <f ca="1">IFERROR(__xludf.DUMMYFUNCTION("""COMPUTED_VALUE"""),0.452)</f>
        <v>0.45200000000000001</v>
      </c>
      <c r="F27" s="1">
        <f ca="1">IFERROR(__xludf.DUMMYFUNCTION("""COMPUTED_VALUE"""),-11.98)</f>
        <v>-11.98</v>
      </c>
      <c r="G27" s="1">
        <f ca="1">IFERROR(__xludf.DUMMYFUNCTION("""COMPUTED_VALUE"""),-9.74)</f>
        <v>-9.74</v>
      </c>
      <c r="H27" s="1">
        <f ca="1">IFERROR(__xludf.DUMMYFUNCTION("""COMPUTED_VALUE"""),9)</f>
        <v>9</v>
      </c>
      <c r="I27" s="1">
        <f ca="1">IFERROR(__xludf.DUMMYFUNCTION("""COMPUTED_VALUE"""),7)</f>
        <v>7</v>
      </c>
      <c r="J27" s="1">
        <f ca="1">IFERROR(__xludf.DUMMYFUNCTION("""COMPUTED_VALUE"""),11)</f>
        <v>11</v>
      </c>
      <c r="K27" s="1">
        <f ca="1">IFERROR(__xludf.DUMMYFUNCTION("""COMPUTED_VALUE"""),4)</f>
        <v>4</v>
      </c>
      <c r="L27" s="1">
        <f ca="1">IFERROR(__xludf.DUMMYFUNCTION("""COMPUTED_VALUE"""),3)</f>
        <v>3</v>
      </c>
      <c r="M27" s="1">
        <f ca="1">IFERROR(__xludf.DUMMYFUNCTION("""COMPUTED_VALUE"""),12)</f>
        <v>12</v>
      </c>
      <c r="N27" s="1">
        <f ca="1">IFERROR(__xludf.DUMMYFUNCTION("""COMPUTED_VALUE"""),2290)</f>
        <v>2290</v>
      </c>
      <c r="O27" s="1">
        <f ca="1">IFERROR(__xludf.DUMMYFUNCTION("""COMPUTED_VALUE"""),2245)</f>
        <v>2245</v>
      </c>
      <c r="P27" s="1">
        <f ca="1">IFERROR(__xludf.DUMMYFUNCTION("""COMPUTED_VALUE"""),1250)</f>
        <v>1250</v>
      </c>
      <c r="Q27" s="1">
        <f ca="1">IFERROR(__xludf.DUMMYFUNCTION("""COMPUTED_VALUE"""),833)</f>
        <v>833</v>
      </c>
      <c r="R27" s="1">
        <f ca="1">IFERROR(__xludf.DUMMYFUNCTION("""COMPUTED_VALUE"""),1899)</f>
        <v>1899</v>
      </c>
      <c r="S27" s="1">
        <f ca="1">IFERROR(__xludf.DUMMYFUNCTION("""COMPUTED_VALUE"""),0.439)</f>
        <v>0.439</v>
      </c>
      <c r="T27" s="1">
        <f ca="1">IFERROR(__xludf.DUMMYFUNCTION("""COMPUTED_VALUE"""),204)</f>
        <v>204</v>
      </c>
      <c r="U27" s="1">
        <f ca="1">IFERROR(__xludf.DUMMYFUNCTION("""COMPUTED_VALUE"""),635)</f>
        <v>635</v>
      </c>
      <c r="V27" s="1">
        <f ca="1">IFERROR(__xludf.DUMMYFUNCTION("""COMPUTED_VALUE"""),0.321)</f>
        <v>0.32100000000000001</v>
      </c>
      <c r="W27" s="1">
        <f ca="1">IFERROR(__xludf.DUMMYFUNCTION("""COMPUTED_VALUE"""),420)</f>
        <v>420</v>
      </c>
      <c r="X27" s="1">
        <f ca="1">IFERROR(__xludf.DUMMYFUNCTION("""COMPUTED_VALUE"""),689)</f>
        <v>689</v>
      </c>
      <c r="Y27" s="1">
        <f ca="1">IFERROR(__xludf.DUMMYFUNCTION("""COMPUTED_VALUE"""),0.61)</f>
        <v>0.61</v>
      </c>
      <c r="Z27" s="1">
        <f ca="1">IFERROR(__xludf.DUMMYFUNCTION("""COMPUTED_VALUE"""),415)</f>
        <v>415</v>
      </c>
      <c r="AA27" s="1">
        <f ca="1">IFERROR(__xludf.DUMMYFUNCTION("""COMPUTED_VALUE"""),1274)</f>
        <v>1274</v>
      </c>
      <c r="AB27" s="1">
        <f ca="1">IFERROR(__xludf.DUMMYFUNCTION("""COMPUTED_VALUE"""),444)</f>
        <v>444</v>
      </c>
      <c r="AC27" s="1">
        <f ca="1">IFERROR(__xludf.DUMMYFUNCTION("""COMPUTED_VALUE"""),234)</f>
        <v>234</v>
      </c>
      <c r="AD27" s="1">
        <f ca="1">IFERROR(__xludf.DUMMYFUNCTION("""COMPUTED_VALUE"""),108)</f>
        <v>108</v>
      </c>
      <c r="AE27" s="1">
        <f ca="1">IFERROR(__xludf.DUMMYFUNCTION("""COMPUTED_VALUE"""),501)</f>
        <v>501</v>
      </c>
      <c r="AF27" s="1">
        <f ca="1">IFERROR(__xludf.DUMMYFUNCTION("""COMPUTED_VALUE"""),610)</f>
        <v>610</v>
      </c>
    </row>
    <row r="28" spans="1:32" ht="12.5" x14ac:dyDescent="0.25">
      <c r="A28" s="1" t="str">
        <f ca="1">IFERROR(__xludf.DUMMYFUNCTION("""COMPUTED_VALUE"""),"Binghamton")</f>
        <v>Binghamton</v>
      </c>
      <c r="B28" s="1">
        <f ca="1">IFERROR(__xludf.DUMMYFUNCTION("""COMPUTED_VALUE"""),33)</f>
        <v>33</v>
      </c>
      <c r="C28" s="1">
        <f ca="1">IFERROR(__xludf.DUMMYFUNCTION("""COMPUTED_VALUE"""),10)</f>
        <v>10</v>
      </c>
      <c r="D28" s="1">
        <f ca="1">IFERROR(__xludf.DUMMYFUNCTION("""COMPUTED_VALUE"""),23)</f>
        <v>23</v>
      </c>
      <c r="E28" s="1">
        <f ca="1">IFERROR(__xludf.DUMMYFUNCTION("""COMPUTED_VALUE"""),0.303)</f>
        <v>0.30299999999999999</v>
      </c>
      <c r="F28" s="1">
        <f ca="1">IFERROR(__xludf.DUMMYFUNCTION("""COMPUTED_VALUE"""),-13.92)</f>
        <v>-13.92</v>
      </c>
      <c r="G28" s="1">
        <f ca="1">IFERROR(__xludf.DUMMYFUNCTION("""COMPUTED_VALUE"""),-4.69)</f>
        <v>-4.6900000000000004</v>
      </c>
      <c r="H28" s="1">
        <f ca="1">IFERROR(__xludf.DUMMYFUNCTION("""COMPUTED_VALUE"""),5)</f>
        <v>5</v>
      </c>
      <c r="I28" s="1">
        <f ca="1">IFERROR(__xludf.DUMMYFUNCTION("""COMPUTED_VALUE"""),11)</f>
        <v>11</v>
      </c>
      <c r="J28" s="1">
        <f ca="1">IFERROR(__xludf.DUMMYFUNCTION("""COMPUTED_VALUE"""),5)</f>
        <v>5</v>
      </c>
      <c r="K28" s="1">
        <f ca="1">IFERROR(__xludf.DUMMYFUNCTION("""COMPUTED_VALUE"""),11)</f>
        <v>11</v>
      </c>
      <c r="L28" s="1">
        <f ca="1">IFERROR(__xludf.DUMMYFUNCTION("""COMPUTED_VALUE"""),5)</f>
        <v>5</v>
      </c>
      <c r="M28" s="1">
        <f ca="1">IFERROR(__xludf.DUMMYFUNCTION("""COMPUTED_VALUE"""),12)</f>
        <v>12</v>
      </c>
      <c r="N28" s="1">
        <f ca="1">IFERROR(__xludf.DUMMYFUNCTION("""COMPUTED_VALUE"""),2152)</f>
        <v>2152</v>
      </c>
      <c r="O28" s="1">
        <f ca="1">IFERROR(__xludf.DUMMYFUNCTION("""COMPUTED_VALUE"""),2376)</f>
        <v>2376</v>
      </c>
      <c r="P28" s="1">
        <f ca="1">IFERROR(__xludf.DUMMYFUNCTION("""COMPUTED_VALUE"""),1320)</f>
        <v>1320</v>
      </c>
      <c r="Q28" s="1">
        <f ca="1">IFERROR(__xludf.DUMMYFUNCTION("""COMPUTED_VALUE"""),793)</f>
        <v>793</v>
      </c>
      <c r="R28" s="1">
        <f ca="1">IFERROR(__xludf.DUMMYFUNCTION("""COMPUTED_VALUE"""),1842)</f>
        <v>1842</v>
      </c>
      <c r="S28" s="1">
        <f ca="1">IFERROR(__xludf.DUMMYFUNCTION("""COMPUTED_VALUE"""),0.431)</f>
        <v>0.43099999999999999</v>
      </c>
      <c r="T28" s="1">
        <f ca="1">IFERROR(__xludf.DUMMYFUNCTION("""COMPUTED_VALUE"""),275)</f>
        <v>275</v>
      </c>
      <c r="U28" s="1">
        <f ca="1">IFERROR(__xludf.DUMMYFUNCTION("""COMPUTED_VALUE"""),788)</f>
        <v>788</v>
      </c>
      <c r="V28" s="1">
        <f ca="1">IFERROR(__xludf.DUMMYFUNCTION("""COMPUTED_VALUE"""),0.349)</f>
        <v>0.34899999999999998</v>
      </c>
      <c r="W28" s="1">
        <f ca="1">IFERROR(__xludf.DUMMYFUNCTION("""COMPUTED_VALUE"""),291)</f>
        <v>291</v>
      </c>
      <c r="X28" s="1">
        <f ca="1">IFERROR(__xludf.DUMMYFUNCTION("""COMPUTED_VALUE"""),452)</f>
        <v>452</v>
      </c>
      <c r="Y28" s="1">
        <f ca="1">IFERROR(__xludf.DUMMYFUNCTION("""COMPUTED_VALUE"""),0.644)</f>
        <v>0.64400000000000002</v>
      </c>
      <c r="Z28" s="1">
        <f ca="1">IFERROR(__xludf.DUMMYFUNCTION("""COMPUTED_VALUE"""),244)</f>
        <v>244</v>
      </c>
      <c r="AA28" s="1">
        <f ca="1">IFERROR(__xludf.DUMMYFUNCTION("""COMPUTED_VALUE"""),1060)</f>
        <v>1060</v>
      </c>
      <c r="AB28" s="1">
        <f ca="1">IFERROR(__xludf.DUMMYFUNCTION("""COMPUTED_VALUE"""),324)</f>
        <v>324</v>
      </c>
      <c r="AC28" s="1">
        <f ca="1">IFERROR(__xludf.DUMMYFUNCTION("""COMPUTED_VALUE"""),183)</f>
        <v>183</v>
      </c>
      <c r="AD28" s="1">
        <f ca="1">IFERROR(__xludf.DUMMYFUNCTION("""COMPUTED_VALUE"""),152)</f>
        <v>152</v>
      </c>
      <c r="AE28" s="1">
        <f ca="1">IFERROR(__xludf.DUMMYFUNCTION("""COMPUTED_VALUE"""),409)</f>
        <v>409</v>
      </c>
      <c r="AF28" s="1">
        <f ca="1">IFERROR(__xludf.DUMMYFUNCTION("""COMPUTED_VALUE"""),474)</f>
        <v>474</v>
      </c>
    </row>
    <row r="29" spans="1:32" ht="12.5" x14ac:dyDescent="0.25">
      <c r="A29" s="1" t="str">
        <f ca="1">IFERROR(__xludf.DUMMYFUNCTION("""COMPUTED_VALUE"""),"Boise State")</f>
        <v>Boise State</v>
      </c>
      <c r="B29" s="1">
        <f ca="1">IFERROR(__xludf.DUMMYFUNCTION("""COMPUTED_VALUE"""),33)</f>
        <v>33</v>
      </c>
      <c r="C29" s="1">
        <f ca="1">IFERROR(__xludf.DUMMYFUNCTION("""COMPUTED_VALUE"""),13)</f>
        <v>13</v>
      </c>
      <c r="D29" s="1">
        <f ca="1">IFERROR(__xludf.DUMMYFUNCTION("""COMPUTED_VALUE"""),20)</f>
        <v>20</v>
      </c>
      <c r="E29" s="1">
        <f ca="1">IFERROR(__xludf.DUMMYFUNCTION("""COMPUTED_VALUE"""),0.394)</f>
        <v>0.39400000000000002</v>
      </c>
      <c r="F29" s="1">
        <f ca="1">IFERROR(__xludf.DUMMYFUNCTION("""COMPUTED_VALUE"""),3.61)</f>
        <v>3.61</v>
      </c>
      <c r="G29" s="1">
        <f ca="1">IFERROR(__xludf.DUMMYFUNCTION("""COMPUTED_VALUE"""),1.08)</f>
        <v>1.08</v>
      </c>
      <c r="H29" s="1">
        <f ca="1">IFERROR(__xludf.DUMMYFUNCTION("""COMPUTED_VALUE"""),7)</f>
        <v>7</v>
      </c>
      <c r="I29" s="1">
        <f ca="1">IFERROR(__xludf.DUMMYFUNCTION("""COMPUTED_VALUE"""),11)</f>
        <v>11</v>
      </c>
      <c r="J29" s="1">
        <f ca="1">IFERROR(__xludf.DUMMYFUNCTION("""COMPUTED_VALUE"""),8)</f>
        <v>8</v>
      </c>
      <c r="K29" s="1">
        <f ca="1">IFERROR(__xludf.DUMMYFUNCTION("""COMPUTED_VALUE"""),7)</f>
        <v>7</v>
      </c>
      <c r="L29" s="1">
        <f ca="1">IFERROR(__xludf.DUMMYFUNCTION("""COMPUTED_VALUE"""),3)</f>
        <v>3</v>
      </c>
      <c r="M29" s="1">
        <f ca="1">IFERROR(__xludf.DUMMYFUNCTION("""COMPUTED_VALUE"""),10)</f>
        <v>10</v>
      </c>
      <c r="N29" s="1">
        <f ca="1">IFERROR(__xludf.DUMMYFUNCTION("""COMPUTED_VALUE"""),2364)</f>
        <v>2364</v>
      </c>
      <c r="O29" s="1">
        <f ca="1">IFERROR(__xludf.DUMMYFUNCTION("""COMPUTED_VALUE"""),2263)</f>
        <v>2263</v>
      </c>
      <c r="P29" s="1">
        <f ca="1">IFERROR(__xludf.DUMMYFUNCTION("""COMPUTED_VALUE"""),1330)</f>
        <v>1330</v>
      </c>
      <c r="Q29" s="1">
        <f ca="1">IFERROR(__xludf.DUMMYFUNCTION("""COMPUTED_VALUE"""),845)</f>
        <v>845</v>
      </c>
      <c r="R29" s="1">
        <f ca="1">IFERROR(__xludf.DUMMYFUNCTION("""COMPUTED_VALUE"""),1801)</f>
        <v>1801</v>
      </c>
      <c r="S29" s="1">
        <f ca="1">IFERROR(__xludf.DUMMYFUNCTION("""COMPUTED_VALUE"""),0.469)</f>
        <v>0.46899999999999997</v>
      </c>
      <c r="T29" s="1">
        <f ca="1">IFERROR(__xludf.DUMMYFUNCTION("""COMPUTED_VALUE"""),252)</f>
        <v>252</v>
      </c>
      <c r="U29" s="1">
        <f ca="1">IFERROR(__xludf.DUMMYFUNCTION("""COMPUTED_VALUE"""),715)</f>
        <v>715</v>
      </c>
      <c r="V29" s="1">
        <f ca="1">IFERROR(__xludf.DUMMYFUNCTION("""COMPUTED_VALUE"""),0.352)</f>
        <v>0.35199999999999998</v>
      </c>
      <c r="W29" s="1">
        <f ca="1">IFERROR(__xludf.DUMMYFUNCTION("""COMPUTED_VALUE"""),422)</f>
        <v>422</v>
      </c>
      <c r="X29" s="1">
        <f ca="1">IFERROR(__xludf.DUMMYFUNCTION("""COMPUTED_VALUE"""),584)</f>
        <v>584</v>
      </c>
      <c r="Y29" s="1">
        <f ca="1">IFERROR(__xludf.DUMMYFUNCTION("""COMPUTED_VALUE"""),0.723)</f>
        <v>0.72299999999999998</v>
      </c>
      <c r="Z29" s="1">
        <f ca="1">IFERROR(__xludf.DUMMYFUNCTION("""COMPUTED_VALUE"""),242)</f>
        <v>242</v>
      </c>
      <c r="AA29" s="1">
        <f ca="1">IFERROR(__xludf.DUMMYFUNCTION("""COMPUTED_VALUE"""),1016)</f>
        <v>1016</v>
      </c>
      <c r="AB29" s="1">
        <f ca="1">IFERROR(__xludf.DUMMYFUNCTION("""COMPUTED_VALUE"""),398)</f>
        <v>398</v>
      </c>
      <c r="AC29" s="1">
        <f ca="1">IFERROR(__xludf.DUMMYFUNCTION("""COMPUTED_VALUE"""),200)</f>
        <v>200</v>
      </c>
      <c r="AD29" s="1">
        <f ca="1">IFERROR(__xludf.DUMMYFUNCTION("""COMPUTED_VALUE"""),68)</f>
        <v>68</v>
      </c>
      <c r="AE29" s="1">
        <f ca="1">IFERROR(__xludf.DUMMYFUNCTION("""COMPUTED_VALUE"""),379)</f>
        <v>379</v>
      </c>
      <c r="AF29" s="1">
        <f ca="1">IFERROR(__xludf.DUMMYFUNCTION("""COMPUTED_VALUE"""),570)</f>
        <v>570</v>
      </c>
    </row>
    <row r="30" spans="1:32" ht="12.5" x14ac:dyDescent="0.25">
      <c r="A30" s="1" t="str">
        <f ca="1">IFERROR(__xludf.DUMMYFUNCTION("""COMPUTED_VALUE"""),"Boston College")</f>
        <v>Boston College</v>
      </c>
      <c r="B30" s="1">
        <f ca="1">IFERROR(__xludf.DUMMYFUNCTION("""COMPUTED_VALUE"""),31)</f>
        <v>31</v>
      </c>
      <c r="C30" s="1">
        <f ca="1">IFERROR(__xludf.DUMMYFUNCTION("""COMPUTED_VALUE"""),14)</f>
        <v>14</v>
      </c>
      <c r="D30" s="1">
        <f ca="1">IFERROR(__xludf.DUMMYFUNCTION("""COMPUTED_VALUE"""),17)</f>
        <v>17</v>
      </c>
      <c r="E30" s="1">
        <f ca="1">IFERROR(__xludf.DUMMYFUNCTION("""COMPUTED_VALUE"""),0.452)</f>
        <v>0.45200000000000001</v>
      </c>
      <c r="F30" s="1">
        <f ca="1">IFERROR(__xludf.DUMMYFUNCTION("""COMPUTED_VALUE"""),5.83)</f>
        <v>5.83</v>
      </c>
      <c r="G30" s="1">
        <f ca="1">IFERROR(__xludf.DUMMYFUNCTION("""COMPUTED_VALUE"""),7.76)</f>
        <v>7.76</v>
      </c>
      <c r="H30" s="1">
        <f ca="1">IFERROR(__xludf.DUMMYFUNCTION("""COMPUTED_VALUE"""),5)</f>
        <v>5</v>
      </c>
      <c r="I30" s="1">
        <f ca="1">IFERROR(__xludf.DUMMYFUNCTION("""COMPUTED_VALUE"""),13)</f>
        <v>13</v>
      </c>
      <c r="J30" s="1">
        <f ca="1">IFERROR(__xludf.DUMMYFUNCTION("""COMPUTED_VALUE"""),10)</f>
        <v>10</v>
      </c>
      <c r="K30" s="1">
        <f ca="1">IFERROR(__xludf.DUMMYFUNCTION("""COMPUTED_VALUE"""),8)</f>
        <v>8</v>
      </c>
      <c r="L30" s="1">
        <f ca="1">IFERROR(__xludf.DUMMYFUNCTION("""COMPUTED_VALUE"""),2)</f>
        <v>2</v>
      </c>
      <c r="M30" s="1">
        <f ca="1">IFERROR(__xludf.DUMMYFUNCTION("""COMPUTED_VALUE"""),8)</f>
        <v>8</v>
      </c>
      <c r="N30" s="1">
        <f ca="1">IFERROR(__xludf.DUMMYFUNCTION("""COMPUTED_VALUE"""),2196)</f>
        <v>2196</v>
      </c>
      <c r="O30" s="1">
        <f ca="1">IFERROR(__xludf.DUMMYFUNCTION("""COMPUTED_VALUE"""),2256)</f>
        <v>2256</v>
      </c>
      <c r="P30" s="1">
        <f ca="1">IFERROR(__xludf.DUMMYFUNCTION("""COMPUTED_VALUE"""),1260)</f>
        <v>1260</v>
      </c>
      <c r="Q30" s="1">
        <f ca="1">IFERROR(__xludf.DUMMYFUNCTION("""COMPUTED_VALUE"""),768)</f>
        <v>768</v>
      </c>
      <c r="R30" s="1">
        <f ca="1">IFERROR(__xludf.DUMMYFUNCTION("""COMPUTED_VALUE"""),1808)</f>
        <v>1808</v>
      </c>
      <c r="S30" s="1">
        <f ca="1">IFERROR(__xludf.DUMMYFUNCTION("""COMPUTED_VALUE"""),0.425)</f>
        <v>0.42499999999999999</v>
      </c>
      <c r="T30" s="1">
        <f ca="1">IFERROR(__xludf.DUMMYFUNCTION("""COMPUTED_VALUE"""),218)</f>
        <v>218</v>
      </c>
      <c r="U30" s="1">
        <f ca="1">IFERROR(__xludf.DUMMYFUNCTION("""COMPUTED_VALUE"""),687)</f>
        <v>687</v>
      </c>
      <c r="V30" s="1">
        <f ca="1">IFERROR(__xludf.DUMMYFUNCTION("""COMPUTED_VALUE"""),0.317)</f>
        <v>0.317</v>
      </c>
      <c r="W30" s="1">
        <f ca="1">IFERROR(__xludf.DUMMYFUNCTION("""COMPUTED_VALUE"""),442)</f>
        <v>442</v>
      </c>
      <c r="X30" s="1">
        <f ca="1">IFERROR(__xludf.DUMMYFUNCTION("""COMPUTED_VALUE"""),633)</f>
        <v>633</v>
      </c>
      <c r="Y30" s="1">
        <f ca="1">IFERROR(__xludf.DUMMYFUNCTION("""COMPUTED_VALUE"""),0.698)</f>
        <v>0.69799999999999995</v>
      </c>
      <c r="Z30" s="1">
        <f ca="1">IFERROR(__xludf.DUMMYFUNCTION("""COMPUTED_VALUE"""),331)</f>
        <v>331</v>
      </c>
      <c r="AA30" s="1">
        <f ca="1">IFERROR(__xludf.DUMMYFUNCTION("""COMPUTED_VALUE"""),1139)</f>
        <v>1139</v>
      </c>
      <c r="AB30" s="1">
        <f ca="1">IFERROR(__xludf.DUMMYFUNCTION("""COMPUTED_VALUE"""),382)</f>
        <v>382</v>
      </c>
      <c r="AC30" s="1">
        <f ca="1">IFERROR(__xludf.DUMMYFUNCTION("""COMPUTED_VALUE"""),159)</f>
        <v>159</v>
      </c>
      <c r="AD30" s="1">
        <f ca="1">IFERROR(__xludf.DUMMYFUNCTION("""COMPUTED_VALUE"""),103)</f>
        <v>103</v>
      </c>
      <c r="AE30" s="1">
        <f ca="1">IFERROR(__xludf.DUMMYFUNCTION("""COMPUTED_VALUE"""),378)</f>
        <v>378</v>
      </c>
      <c r="AF30" s="1">
        <f ca="1">IFERROR(__xludf.DUMMYFUNCTION("""COMPUTED_VALUE"""),509)</f>
        <v>509</v>
      </c>
    </row>
    <row r="31" spans="1:32" ht="12.5" x14ac:dyDescent="0.25">
      <c r="A31" s="1" t="str">
        <f ca="1">IFERROR(__xludf.DUMMYFUNCTION("""COMPUTED_VALUE"""),"Boston University")</f>
        <v>Boston University</v>
      </c>
      <c r="B31" s="1">
        <f ca="1">IFERROR(__xludf.DUMMYFUNCTION("""COMPUTED_VALUE"""),33)</f>
        <v>33</v>
      </c>
      <c r="C31" s="1">
        <f ca="1">IFERROR(__xludf.DUMMYFUNCTION("""COMPUTED_VALUE"""),15)</f>
        <v>15</v>
      </c>
      <c r="D31" s="1">
        <f ca="1">IFERROR(__xludf.DUMMYFUNCTION("""COMPUTED_VALUE"""),18)</f>
        <v>18</v>
      </c>
      <c r="E31" s="1">
        <f ca="1">IFERROR(__xludf.DUMMYFUNCTION("""COMPUTED_VALUE"""),0.455)</f>
        <v>0.45500000000000002</v>
      </c>
      <c r="F31" s="1">
        <f ca="1">IFERROR(__xludf.DUMMYFUNCTION("""COMPUTED_VALUE"""),-6.61)</f>
        <v>-6.61</v>
      </c>
      <c r="G31" s="1">
        <f ca="1">IFERROR(__xludf.DUMMYFUNCTION("""COMPUTED_VALUE"""),-5.39)</f>
        <v>-5.39</v>
      </c>
      <c r="H31" s="1">
        <f ca="1">IFERROR(__xludf.DUMMYFUNCTION("""COMPUTED_VALUE"""),7)</f>
        <v>7</v>
      </c>
      <c r="I31" s="1">
        <f ca="1">IFERROR(__xludf.DUMMYFUNCTION("""COMPUTED_VALUE"""),11)</f>
        <v>11</v>
      </c>
      <c r="J31" s="1">
        <f ca="1">IFERROR(__xludf.DUMMYFUNCTION("""COMPUTED_VALUE"""),7)</f>
        <v>7</v>
      </c>
      <c r="K31" s="1">
        <f ca="1">IFERROR(__xludf.DUMMYFUNCTION("""COMPUTED_VALUE"""),7)</f>
        <v>7</v>
      </c>
      <c r="L31" s="1">
        <f ca="1">IFERROR(__xludf.DUMMYFUNCTION("""COMPUTED_VALUE"""),8)</f>
        <v>8</v>
      </c>
      <c r="M31" s="1">
        <f ca="1">IFERROR(__xludf.DUMMYFUNCTION("""COMPUTED_VALUE"""),10)</f>
        <v>10</v>
      </c>
      <c r="N31" s="1">
        <f ca="1">IFERROR(__xludf.DUMMYFUNCTION("""COMPUTED_VALUE"""),2385)</f>
        <v>2385</v>
      </c>
      <c r="O31" s="1">
        <f ca="1">IFERROR(__xludf.DUMMYFUNCTION("""COMPUTED_VALUE"""),2387)</f>
        <v>2387</v>
      </c>
      <c r="P31" s="1">
        <f ca="1">IFERROR(__xludf.DUMMYFUNCTION("""COMPUTED_VALUE"""),1325)</f>
        <v>1325</v>
      </c>
      <c r="Q31" s="1">
        <f ca="1">IFERROR(__xludf.DUMMYFUNCTION("""COMPUTED_VALUE"""),922)</f>
        <v>922</v>
      </c>
      <c r="R31" s="1">
        <f ca="1">IFERROR(__xludf.DUMMYFUNCTION("""COMPUTED_VALUE"""),1922)</f>
        <v>1922</v>
      </c>
      <c r="S31" s="1">
        <f ca="1">IFERROR(__xludf.DUMMYFUNCTION("""COMPUTED_VALUE"""),0.48)</f>
        <v>0.48</v>
      </c>
      <c r="T31" s="1">
        <f ca="1">IFERROR(__xludf.DUMMYFUNCTION("""COMPUTED_VALUE"""),221)</f>
        <v>221</v>
      </c>
      <c r="U31" s="1">
        <f ca="1">IFERROR(__xludf.DUMMYFUNCTION("""COMPUTED_VALUE"""),639)</f>
        <v>639</v>
      </c>
      <c r="V31" s="1">
        <f ca="1">IFERROR(__xludf.DUMMYFUNCTION("""COMPUTED_VALUE"""),0.346)</f>
        <v>0.34599999999999997</v>
      </c>
      <c r="W31" s="1">
        <f ca="1">IFERROR(__xludf.DUMMYFUNCTION("""COMPUTED_VALUE"""),320)</f>
        <v>320</v>
      </c>
      <c r="X31" s="1">
        <f ca="1">IFERROR(__xludf.DUMMYFUNCTION("""COMPUTED_VALUE"""),468)</f>
        <v>468</v>
      </c>
      <c r="Y31" s="1">
        <f ca="1">IFERROR(__xludf.DUMMYFUNCTION("""COMPUTED_VALUE"""),0.684)</f>
        <v>0.68400000000000005</v>
      </c>
      <c r="Z31" s="1">
        <f ca="1">IFERROR(__xludf.DUMMYFUNCTION("""COMPUTED_VALUE"""),311)</f>
        <v>311</v>
      </c>
      <c r="AA31" s="1">
        <f ca="1">IFERROR(__xludf.DUMMYFUNCTION("""COMPUTED_VALUE"""),1091)</f>
        <v>1091</v>
      </c>
      <c r="AB31" s="1">
        <f ca="1">IFERROR(__xludf.DUMMYFUNCTION("""COMPUTED_VALUE"""),447)</f>
        <v>447</v>
      </c>
      <c r="AC31" s="1">
        <f ca="1">IFERROR(__xludf.DUMMYFUNCTION("""COMPUTED_VALUE"""),199)</f>
        <v>199</v>
      </c>
      <c r="AD31" s="1">
        <f ca="1">IFERROR(__xludf.DUMMYFUNCTION("""COMPUTED_VALUE"""),73)</f>
        <v>73</v>
      </c>
      <c r="AE31" s="1">
        <f ca="1">IFERROR(__xludf.DUMMYFUNCTION("""COMPUTED_VALUE"""),425)</f>
        <v>425</v>
      </c>
      <c r="AF31" s="1">
        <f ca="1">IFERROR(__xludf.DUMMYFUNCTION("""COMPUTED_VALUE"""),578)</f>
        <v>578</v>
      </c>
    </row>
    <row r="32" spans="1:32" ht="12.5" x14ac:dyDescent="0.25">
      <c r="A32" s="1" t="str">
        <f ca="1">IFERROR(__xludf.DUMMYFUNCTION("""COMPUTED_VALUE"""),"Bowling Green State")</f>
        <v>Bowling Green State</v>
      </c>
      <c r="B32" s="1">
        <f ca="1">IFERROR(__xludf.DUMMYFUNCTION("""COMPUTED_VALUE"""),34)</f>
        <v>34</v>
      </c>
      <c r="C32" s="1">
        <f ca="1">IFERROR(__xludf.DUMMYFUNCTION("""COMPUTED_VALUE"""),22)</f>
        <v>22</v>
      </c>
      <c r="D32" s="1">
        <f ca="1">IFERROR(__xludf.DUMMYFUNCTION("""COMPUTED_VALUE"""),12)</f>
        <v>12</v>
      </c>
      <c r="E32" s="1">
        <f ca="1">IFERROR(__xludf.DUMMYFUNCTION("""COMPUTED_VALUE"""),0.647)</f>
        <v>0.64700000000000002</v>
      </c>
      <c r="F32" s="1">
        <f ca="1">IFERROR(__xludf.DUMMYFUNCTION("""COMPUTED_VALUE"""),4.24)</f>
        <v>4.24</v>
      </c>
      <c r="G32" s="1">
        <f ca="1">IFERROR(__xludf.DUMMYFUNCTION("""COMPUTED_VALUE"""),0.86)</f>
        <v>0.86</v>
      </c>
      <c r="H32" s="1">
        <f ca="1">IFERROR(__xludf.DUMMYFUNCTION("""COMPUTED_VALUE"""),12)</f>
        <v>12</v>
      </c>
      <c r="I32" s="1">
        <f ca="1">IFERROR(__xludf.DUMMYFUNCTION("""COMPUTED_VALUE"""),6)</f>
        <v>6</v>
      </c>
      <c r="J32" s="1">
        <f ca="1">IFERROR(__xludf.DUMMYFUNCTION("""COMPUTED_VALUE"""),14)</f>
        <v>14</v>
      </c>
      <c r="K32" s="1">
        <f ca="1">IFERROR(__xludf.DUMMYFUNCTION("""COMPUTED_VALUE"""),2)</f>
        <v>2</v>
      </c>
      <c r="L32" s="1">
        <f ca="1">IFERROR(__xludf.DUMMYFUNCTION("""COMPUTED_VALUE"""),5)</f>
        <v>5</v>
      </c>
      <c r="M32" s="1">
        <f ca="1">IFERROR(__xludf.DUMMYFUNCTION("""COMPUTED_VALUE"""),8)</f>
        <v>8</v>
      </c>
      <c r="N32" s="1">
        <f ca="1">IFERROR(__xludf.DUMMYFUNCTION("""COMPUTED_VALUE"""),2668)</f>
        <v>2668</v>
      </c>
      <c r="O32" s="1">
        <f ca="1">IFERROR(__xludf.DUMMYFUNCTION("""COMPUTED_VALUE"""),2496)</f>
        <v>2496</v>
      </c>
      <c r="P32" s="1">
        <f ca="1">IFERROR(__xludf.DUMMYFUNCTION("""COMPUTED_VALUE"""),1370)</f>
        <v>1370</v>
      </c>
      <c r="Q32" s="1">
        <f ca="1">IFERROR(__xludf.DUMMYFUNCTION("""COMPUTED_VALUE"""),945)</f>
        <v>945</v>
      </c>
      <c r="R32" s="1">
        <f ca="1">IFERROR(__xludf.DUMMYFUNCTION("""COMPUTED_VALUE"""),2134)</f>
        <v>2134</v>
      </c>
      <c r="S32" s="1">
        <f ca="1">IFERROR(__xludf.DUMMYFUNCTION("""COMPUTED_VALUE"""),0.443)</f>
        <v>0.443</v>
      </c>
      <c r="T32" s="1">
        <f ca="1">IFERROR(__xludf.DUMMYFUNCTION("""COMPUTED_VALUE"""),272)</f>
        <v>272</v>
      </c>
      <c r="U32" s="1">
        <f ca="1">IFERROR(__xludf.DUMMYFUNCTION("""COMPUTED_VALUE"""),762)</f>
        <v>762</v>
      </c>
      <c r="V32" s="1">
        <f ca="1">IFERROR(__xludf.DUMMYFUNCTION("""COMPUTED_VALUE"""),0.357)</f>
        <v>0.35699999999999998</v>
      </c>
      <c r="W32" s="1">
        <f ca="1">IFERROR(__xludf.DUMMYFUNCTION("""COMPUTED_VALUE"""),506)</f>
        <v>506</v>
      </c>
      <c r="X32" s="1">
        <f ca="1">IFERROR(__xludf.DUMMYFUNCTION("""COMPUTED_VALUE"""),755)</f>
        <v>755</v>
      </c>
      <c r="Y32" s="1">
        <f ca="1">IFERROR(__xludf.DUMMYFUNCTION("""COMPUTED_VALUE"""),0.67)</f>
        <v>0.67</v>
      </c>
      <c r="Z32" s="1">
        <f ca="1">IFERROR(__xludf.DUMMYFUNCTION("""COMPUTED_VALUE"""),408)</f>
        <v>408</v>
      </c>
      <c r="AA32" s="1">
        <f ca="1">IFERROR(__xludf.DUMMYFUNCTION("""COMPUTED_VALUE"""),1396)</f>
        <v>1396</v>
      </c>
      <c r="AB32" s="1">
        <f ca="1">IFERROR(__xludf.DUMMYFUNCTION("""COMPUTED_VALUE"""),427)</f>
        <v>427</v>
      </c>
      <c r="AC32" s="1">
        <f ca="1">IFERROR(__xludf.DUMMYFUNCTION("""COMPUTED_VALUE"""),227)</f>
        <v>227</v>
      </c>
      <c r="AD32" s="1">
        <f ca="1">IFERROR(__xludf.DUMMYFUNCTION("""COMPUTED_VALUE"""),90)</f>
        <v>90</v>
      </c>
      <c r="AE32" s="1">
        <f ca="1">IFERROR(__xludf.DUMMYFUNCTION("""COMPUTED_VALUE"""),412)</f>
        <v>412</v>
      </c>
      <c r="AF32" s="1">
        <f ca="1">IFERROR(__xludf.DUMMYFUNCTION("""COMPUTED_VALUE"""),596)</f>
        <v>596</v>
      </c>
    </row>
    <row r="33" spans="1:32" ht="12.5" x14ac:dyDescent="0.25">
      <c r="A33" s="1" t="str">
        <f ca="1">IFERROR(__xludf.DUMMYFUNCTION("""COMPUTED_VALUE"""),"Bradley")</f>
        <v>Bradley</v>
      </c>
      <c r="B33" s="1">
        <f ca="1">IFERROR(__xludf.DUMMYFUNCTION("""COMPUTED_VALUE"""),35)</f>
        <v>35</v>
      </c>
      <c r="C33" s="1">
        <f ca="1">IFERROR(__xludf.DUMMYFUNCTION("""COMPUTED_VALUE"""),20)</f>
        <v>20</v>
      </c>
      <c r="D33" s="1">
        <f ca="1">IFERROR(__xludf.DUMMYFUNCTION("""COMPUTED_VALUE"""),15)</f>
        <v>15</v>
      </c>
      <c r="E33" s="1">
        <f ca="1">IFERROR(__xludf.DUMMYFUNCTION("""COMPUTED_VALUE"""),0.571)</f>
        <v>0.57099999999999995</v>
      </c>
      <c r="F33" s="1">
        <f ca="1">IFERROR(__xludf.DUMMYFUNCTION("""COMPUTED_VALUE"""),-0.08)</f>
        <v>-0.08</v>
      </c>
      <c r="G33" s="1">
        <f ca="1">IFERROR(__xludf.DUMMYFUNCTION("""COMPUTED_VALUE"""),-0.9)</f>
        <v>-0.9</v>
      </c>
      <c r="H33" s="1">
        <f ca="1">IFERROR(__xludf.DUMMYFUNCTION("""COMPUTED_VALUE"""),9)</f>
        <v>9</v>
      </c>
      <c r="I33" s="1">
        <f ca="1">IFERROR(__xludf.DUMMYFUNCTION("""COMPUTED_VALUE"""),9)</f>
        <v>9</v>
      </c>
      <c r="J33" s="1">
        <f ca="1">IFERROR(__xludf.DUMMYFUNCTION("""COMPUTED_VALUE"""),10)</f>
        <v>10</v>
      </c>
      <c r="K33" s="1">
        <f ca="1">IFERROR(__xludf.DUMMYFUNCTION("""COMPUTED_VALUE"""),6)</f>
        <v>6</v>
      </c>
      <c r="L33" s="1">
        <f ca="1">IFERROR(__xludf.DUMMYFUNCTION("""COMPUTED_VALUE"""),5)</f>
        <v>5</v>
      </c>
      <c r="M33" s="1">
        <f ca="1">IFERROR(__xludf.DUMMYFUNCTION("""COMPUTED_VALUE"""),8)</f>
        <v>8</v>
      </c>
      <c r="N33" s="1">
        <f ca="1">IFERROR(__xludf.DUMMYFUNCTION("""COMPUTED_VALUE"""),2329)</f>
        <v>2329</v>
      </c>
      <c r="O33" s="1">
        <f ca="1">IFERROR(__xludf.DUMMYFUNCTION("""COMPUTED_VALUE"""),2285)</f>
        <v>2285</v>
      </c>
      <c r="P33" s="1">
        <f ca="1">IFERROR(__xludf.DUMMYFUNCTION("""COMPUTED_VALUE"""),1405)</f>
        <v>1405</v>
      </c>
      <c r="Q33" s="1">
        <f ca="1">IFERROR(__xludf.DUMMYFUNCTION("""COMPUTED_VALUE"""),812)</f>
        <v>812</v>
      </c>
      <c r="R33" s="1">
        <f ca="1">IFERROR(__xludf.DUMMYFUNCTION("""COMPUTED_VALUE"""),1874)</f>
        <v>1874</v>
      </c>
      <c r="S33" s="1">
        <f ca="1">IFERROR(__xludf.DUMMYFUNCTION("""COMPUTED_VALUE"""),0.433)</f>
        <v>0.433</v>
      </c>
      <c r="T33" s="1">
        <f ca="1">IFERROR(__xludf.DUMMYFUNCTION("""COMPUTED_VALUE"""),240)</f>
        <v>240</v>
      </c>
      <c r="U33" s="1">
        <f ca="1">IFERROR(__xludf.DUMMYFUNCTION("""COMPUTED_VALUE"""),653)</f>
        <v>653</v>
      </c>
      <c r="V33" s="1">
        <f ca="1">IFERROR(__xludf.DUMMYFUNCTION("""COMPUTED_VALUE"""),0.368)</f>
        <v>0.36799999999999999</v>
      </c>
      <c r="W33" s="1">
        <f ca="1">IFERROR(__xludf.DUMMYFUNCTION("""COMPUTED_VALUE"""),465)</f>
        <v>465</v>
      </c>
      <c r="X33" s="1">
        <f ca="1">IFERROR(__xludf.DUMMYFUNCTION("""COMPUTED_VALUE"""),672)</f>
        <v>672</v>
      </c>
      <c r="Y33" s="1">
        <f ca="1">IFERROR(__xludf.DUMMYFUNCTION("""COMPUTED_VALUE"""),0.692)</f>
        <v>0.69199999999999995</v>
      </c>
      <c r="Z33" s="1">
        <f ca="1">IFERROR(__xludf.DUMMYFUNCTION("""COMPUTED_VALUE"""),313)</f>
        <v>313</v>
      </c>
      <c r="AA33" s="1">
        <f ca="1">IFERROR(__xludf.DUMMYFUNCTION("""COMPUTED_VALUE"""),1195)</f>
        <v>1195</v>
      </c>
      <c r="AB33" s="1">
        <f ca="1">IFERROR(__xludf.DUMMYFUNCTION("""COMPUTED_VALUE"""),423)</f>
        <v>423</v>
      </c>
      <c r="AC33" s="1">
        <f ca="1">IFERROR(__xludf.DUMMYFUNCTION("""COMPUTED_VALUE"""),186)</f>
        <v>186</v>
      </c>
      <c r="AD33" s="1">
        <f ca="1">IFERROR(__xludf.DUMMYFUNCTION("""COMPUTED_VALUE"""),132)</f>
        <v>132</v>
      </c>
      <c r="AE33" s="1">
        <f ca="1">IFERROR(__xludf.DUMMYFUNCTION("""COMPUTED_VALUE"""),440)</f>
        <v>440</v>
      </c>
      <c r="AF33" s="1">
        <f ca="1">IFERROR(__xludf.DUMMYFUNCTION("""COMPUTED_VALUE"""),617)</f>
        <v>617</v>
      </c>
    </row>
    <row r="34" spans="1:32" ht="12.5" x14ac:dyDescent="0.25">
      <c r="A34" s="1" t="str">
        <f ca="1">IFERROR(__xludf.DUMMYFUNCTION("""COMPUTED_VALUE"""),"Brigham Young")</f>
        <v>Brigham Young</v>
      </c>
      <c r="B34" s="1">
        <f ca="1">IFERROR(__xludf.DUMMYFUNCTION("""COMPUTED_VALUE"""),32)</f>
        <v>32</v>
      </c>
      <c r="C34" s="1">
        <f ca="1">IFERROR(__xludf.DUMMYFUNCTION("""COMPUTED_VALUE"""),19)</f>
        <v>19</v>
      </c>
      <c r="D34" s="1">
        <f ca="1">IFERROR(__xludf.DUMMYFUNCTION("""COMPUTED_VALUE"""),13)</f>
        <v>13</v>
      </c>
      <c r="E34" s="1">
        <f ca="1">IFERROR(__xludf.DUMMYFUNCTION("""COMPUTED_VALUE"""),0.594)</f>
        <v>0.59399999999999997</v>
      </c>
      <c r="F34" s="1">
        <f ca="1">IFERROR(__xludf.DUMMYFUNCTION("""COMPUTED_VALUE"""),6.15)</f>
        <v>6.15</v>
      </c>
      <c r="G34" s="1">
        <f ca="1">IFERROR(__xludf.DUMMYFUNCTION("""COMPUTED_VALUE"""),3.31)</f>
        <v>3.31</v>
      </c>
      <c r="H34" s="1">
        <f ca="1">IFERROR(__xludf.DUMMYFUNCTION("""COMPUTED_VALUE"""),11)</f>
        <v>11</v>
      </c>
      <c r="I34" s="1">
        <f ca="1">IFERROR(__xludf.DUMMYFUNCTION("""COMPUTED_VALUE"""),5)</f>
        <v>5</v>
      </c>
      <c r="J34" s="1">
        <f ca="1">IFERROR(__xludf.DUMMYFUNCTION("""COMPUTED_VALUE"""),13)</f>
        <v>13</v>
      </c>
      <c r="K34" s="1">
        <f ca="1">IFERROR(__xludf.DUMMYFUNCTION("""COMPUTED_VALUE"""),3)</f>
        <v>3</v>
      </c>
      <c r="L34" s="1">
        <f ca="1">IFERROR(__xludf.DUMMYFUNCTION("""COMPUTED_VALUE"""),5)</f>
        <v>5</v>
      </c>
      <c r="M34" s="1">
        <f ca="1">IFERROR(__xludf.DUMMYFUNCTION("""COMPUTED_VALUE"""),8)</f>
        <v>8</v>
      </c>
      <c r="N34" s="1">
        <f ca="1">IFERROR(__xludf.DUMMYFUNCTION("""COMPUTED_VALUE"""),2527)</f>
        <v>2527</v>
      </c>
      <c r="O34" s="1">
        <f ca="1">IFERROR(__xludf.DUMMYFUNCTION("""COMPUTED_VALUE"""),2436)</f>
        <v>2436</v>
      </c>
      <c r="P34" s="1">
        <f ca="1">IFERROR(__xludf.DUMMYFUNCTION("""COMPUTED_VALUE"""),1295)</f>
        <v>1295</v>
      </c>
      <c r="Q34" s="1">
        <f ca="1">IFERROR(__xludf.DUMMYFUNCTION("""COMPUTED_VALUE"""),878)</f>
        <v>878</v>
      </c>
      <c r="R34" s="1">
        <f ca="1">IFERROR(__xludf.DUMMYFUNCTION("""COMPUTED_VALUE"""),1878)</f>
        <v>1878</v>
      </c>
      <c r="S34" s="1">
        <f ca="1">IFERROR(__xludf.DUMMYFUNCTION("""COMPUTED_VALUE"""),0.468)</f>
        <v>0.46800000000000003</v>
      </c>
      <c r="T34" s="1">
        <f ca="1">IFERROR(__xludf.DUMMYFUNCTION("""COMPUTED_VALUE"""),226)</f>
        <v>226</v>
      </c>
      <c r="U34" s="1">
        <f ca="1">IFERROR(__xludf.DUMMYFUNCTION("""COMPUTED_VALUE"""),684)</f>
        <v>684</v>
      </c>
      <c r="V34" s="1">
        <f ca="1">IFERROR(__xludf.DUMMYFUNCTION("""COMPUTED_VALUE"""),0.33)</f>
        <v>0.33</v>
      </c>
      <c r="W34" s="1">
        <f ca="1">IFERROR(__xludf.DUMMYFUNCTION("""COMPUTED_VALUE"""),545)</f>
        <v>545</v>
      </c>
      <c r="X34" s="1">
        <f ca="1">IFERROR(__xludf.DUMMYFUNCTION("""COMPUTED_VALUE"""),750)</f>
        <v>750</v>
      </c>
      <c r="Y34" s="1">
        <f ca="1">IFERROR(__xludf.DUMMYFUNCTION("""COMPUTED_VALUE"""),0.727)</f>
        <v>0.72699999999999998</v>
      </c>
      <c r="Z34" s="1">
        <f ca="1">IFERROR(__xludf.DUMMYFUNCTION("""COMPUTED_VALUE"""),263)</f>
        <v>263</v>
      </c>
      <c r="AA34" s="1">
        <f ca="1">IFERROR(__xludf.DUMMYFUNCTION("""COMPUTED_VALUE"""),1118)</f>
        <v>1118</v>
      </c>
      <c r="AB34" s="1">
        <f ca="1">IFERROR(__xludf.DUMMYFUNCTION("""COMPUTED_VALUE"""),482)</f>
        <v>482</v>
      </c>
      <c r="AC34" s="1">
        <f ca="1">IFERROR(__xludf.DUMMYFUNCTION("""COMPUTED_VALUE"""),203)</f>
        <v>203</v>
      </c>
      <c r="AD34" s="1">
        <f ca="1">IFERROR(__xludf.DUMMYFUNCTION("""COMPUTED_VALUE"""),107)</f>
        <v>107</v>
      </c>
      <c r="AE34" s="1">
        <f ca="1">IFERROR(__xludf.DUMMYFUNCTION("""COMPUTED_VALUE"""),354)</f>
        <v>354</v>
      </c>
      <c r="AF34" s="1">
        <f ca="1">IFERROR(__xludf.DUMMYFUNCTION("""COMPUTED_VALUE"""),625)</f>
        <v>625</v>
      </c>
    </row>
    <row r="35" spans="1:32" ht="12.5" x14ac:dyDescent="0.25">
      <c r="A35" s="1" t="str">
        <f ca="1">IFERROR(__xludf.DUMMYFUNCTION("""COMPUTED_VALUE"""),"Brown")</f>
        <v>Brown</v>
      </c>
      <c r="B35" s="1">
        <f ca="1">IFERROR(__xludf.DUMMYFUNCTION("""COMPUTED_VALUE"""),32)</f>
        <v>32</v>
      </c>
      <c r="C35" s="1">
        <f ca="1">IFERROR(__xludf.DUMMYFUNCTION("""COMPUTED_VALUE"""),20)</f>
        <v>20</v>
      </c>
      <c r="D35" s="1">
        <f ca="1">IFERROR(__xludf.DUMMYFUNCTION("""COMPUTED_VALUE"""),12)</f>
        <v>12</v>
      </c>
      <c r="E35" s="1">
        <f ca="1">IFERROR(__xludf.DUMMYFUNCTION("""COMPUTED_VALUE"""),0.625)</f>
        <v>0.625</v>
      </c>
      <c r="F35" s="1">
        <f ca="1">IFERROR(__xludf.DUMMYFUNCTION("""COMPUTED_VALUE"""),-0.62)</f>
        <v>-0.62</v>
      </c>
      <c r="G35" s="1">
        <f ca="1">IFERROR(__xludf.DUMMYFUNCTION("""COMPUTED_VALUE"""),-3.29)</f>
        <v>-3.29</v>
      </c>
      <c r="H35" s="1">
        <f ca="1">IFERROR(__xludf.DUMMYFUNCTION("""COMPUTED_VALUE"""),7)</f>
        <v>7</v>
      </c>
      <c r="I35" s="1">
        <f ca="1">IFERROR(__xludf.DUMMYFUNCTION("""COMPUTED_VALUE"""),7)</f>
        <v>7</v>
      </c>
      <c r="J35" s="1">
        <f ca="1">IFERROR(__xludf.DUMMYFUNCTION("""COMPUTED_VALUE"""),13)</f>
        <v>13</v>
      </c>
      <c r="K35" s="1">
        <f ca="1">IFERROR(__xludf.DUMMYFUNCTION("""COMPUTED_VALUE"""),3)</f>
        <v>3</v>
      </c>
      <c r="L35" s="1">
        <f ca="1">IFERROR(__xludf.DUMMYFUNCTION("""COMPUTED_VALUE"""),7)</f>
        <v>7</v>
      </c>
      <c r="M35" s="1">
        <f ca="1">IFERROR(__xludf.DUMMYFUNCTION("""COMPUTED_VALUE"""),9)</f>
        <v>9</v>
      </c>
      <c r="N35" s="1">
        <f ca="1">IFERROR(__xludf.DUMMYFUNCTION("""COMPUTED_VALUE"""),2355)</f>
        <v>2355</v>
      </c>
      <c r="O35" s="1">
        <f ca="1">IFERROR(__xludf.DUMMYFUNCTION("""COMPUTED_VALUE"""),2204)</f>
        <v>2204</v>
      </c>
      <c r="P35" s="1">
        <f ca="1">IFERROR(__xludf.DUMMYFUNCTION("""COMPUTED_VALUE"""),1290)</f>
        <v>1290</v>
      </c>
      <c r="Q35" s="1">
        <f ca="1">IFERROR(__xludf.DUMMYFUNCTION("""COMPUTED_VALUE"""),805)</f>
        <v>805</v>
      </c>
      <c r="R35" s="1">
        <f ca="1">IFERROR(__xludf.DUMMYFUNCTION("""COMPUTED_VALUE"""),1818)</f>
        <v>1818</v>
      </c>
      <c r="S35" s="1">
        <f ca="1">IFERROR(__xludf.DUMMYFUNCTION("""COMPUTED_VALUE"""),0.443)</f>
        <v>0.443</v>
      </c>
      <c r="T35" s="1">
        <f ca="1">IFERROR(__xludf.DUMMYFUNCTION("""COMPUTED_VALUE"""),255)</f>
        <v>255</v>
      </c>
      <c r="U35" s="1">
        <f ca="1">IFERROR(__xludf.DUMMYFUNCTION("""COMPUTED_VALUE"""),745)</f>
        <v>745</v>
      </c>
      <c r="V35" s="1">
        <f ca="1">IFERROR(__xludf.DUMMYFUNCTION("""COMPUTED_VALUE"""),0.342)</f>
        <v>0.34200000000000003</v>
      </c>
      <c r="W35" s="1">
        <f ca="1">IFERROR(__xludf.DUMMYFUNCTION("""COMPUTED_VALUE"""),490)</f>
        <v>490</v>
      </c>
      <c r="X35" s="1">
        <f ca="1">IFERROR(__xludf.DUMMYFUNCTION("""COMPUTED_VALUE"""),685)</f>
        <v>685</v>
      </c>
      <c r="Y35" s="1">
        <f ca="1">IFERROR(__xludf.DUMMYFUNCTION("""COMPUTED_VALUE"""),0.715)</f>
        <v>0.71499999999999997</v>
      </c>
      <c r="Z35" s="1">
        <f ca="1">IFERROR(__xludf.DUMMYFUNCTION("""COMPUTED_VALUE"""),261)</f>
        <v>261</v>
      </c>
      <c r="AA35" s="1">
        <f ca="1">IFERROR(__xludf.DUMMYFUNCTION("""COMPUTED_VALUE"""),1157)</f>
        <v>1157</v>
      </c>
      <c r="AB35" s="1">
        <f ca="1">IFERROR(__xludf.DUMMYFUNCTION("""COMPUTED_VALUE"""),418)</f>
        <v>418</v>
      </c>
      <c r="AC35" s="1">
        <f ca="1">IFERROR(__xludf.DUMMYFUNCTION("""COMPUTED_VALUE"""),241)</f>
        <v>241</v>
      </c>
      <c r="AD35" s="1">
        <f ca="1">IFERROR(__xludf.DUMMYFUNCTION("""COMPUTED_VALUE"""),123)</f>
        <v>123</v>
      </c>
      <c r="AE35" s="1">
        <f ca="1">IFERROR(__xludf.DUMMYFUNCTION("""COMPUTED_VALUE"""),458)</f>
        <v>458</v>
      </c>
      <c r="AF35" s="1">
        <f ca="1">IFERROR(__xludf.DUMMYFUNCTION("""COMPUTED_VALUE"""),600)</f>
        <v>600</v>
      </c>
    </row>
    <row r="36" spans="1:32" ht="12.5" x14ac:dyDescent="0.25">
      <c r="A36" s="1" t="str">
        <f ca="1">IFERROR(__xludf.DUMMYFUNCTION("""COMPUTED_VALUE"""),"Bryant")</f>
        <v>Bryant</v>
      </c>
      <c r="B36" s="1">
        <f ca="1">IFERROR(__xludf.DUMMYFUNCTION("""COMPUTED_VALUE"""),30)</f>
        <v>30</v>
      </c>
      <c r="C36" s="1">
        <f ca="1">IFERROR(__xludf.DUMMYFUNCTION("""COMPUTED_VALUE"""),10)</f>
        <v>10</v>
      </c>
      <c r="D36" s="1">
        <f ca="1">IFERROR(__xludf.DUMMYFUNCTION("""COMPUTED_VALUE"""),20)</f>
        <v>20</v>
      </c>
      <c r="E36" s="1">
        <f ca="1">IFERROR(__xludf.DUMMYFUNCTION("""COMPUTED_VALUE"""),0.333)</f>
        <v>0.33300000000000002</v>
      </c>
      <c r="F36" s="1">
        <f ca="1">IFERROR(__xludf.DUMMYFUNCTION("""COMPUTED_VALUE"""),-15.19)</f>
        <v>-15.19</v>
      </c>
      <c r="G36" s="1">
        <f ca="1">IFERROR(__xludf.DUMMYFUNCTION("""COMPUTED_VALUE"""),-7.66)</f>
        <v>-7.66</v>
      </c>
      <c r="H36" s="1">
        <f ca="1">IFERROR(__xludf.DUMMYFUNCTION("""COMPUTED_VALUE"""),7)</f>
        <v>7</v>
      </c>
      <c r="I36" s="1">
        <f ca="1">IFERROR(__xludf.DUMMYFUNCTION("""COMPUTED_VALUE"""),11)</f>
        <v>11</v>
      </c>
      <c r="J36" s="1">
        <f ca="1">IFERROR(__xludf.DUMMYFUNCTION("""COMPUTED_VALUE"""),8)</f>
        <v>8</v>
      </c>
      <c r="K36" s="1">
        <f ca="1">IFERROR(__xludf.DUMMYFUNCTION("""COMPUTED_VALUE"""),6)</f>
        <v>6</v>
      </c>
      <c r="L36" s="1">
        <f ca="1">IFERROR(__xludf.DUMMYFUNCTION("""COMPUTED_VALUE"""),2)</f>
        <v>2</v>
      </c>
      <c r="M36" s="1">
        <f ca="1">IFERROR(__xludf.DUMMYFUNCTION("""COMPUTED_VALUE"""),13)</f>
        <v>13</v>
      </c>
      <c r="N36" s="1">
        <f ca="1">IFERROR(__xludf.DUMMYFUNCTION("""COMPUTED_VALUE"""),2088)</f>
        <v>2088</v>
      </c>
      <c r="O36" s="1">
        <f ca="1">IFERROR(__xludf.DUMMYFUNCTION("""COMPUTED_VALUE"""),2314)</f>
        <v>2314</v>
      </c>
      <c r="P36" s="1">
        <f ca="1">IFERROR(__xludf.DUMMYFUNCTION("""COMPUTED_VALUE"""),1200)</f>
        <v>1200</v>
      </c>
      <c r="Q36" s="1">
        <f ca="1">IFERROR(__xludf.DUMMYFUNCTION("""COMPUTED_VALUE"""),709)</f>
        <v>709</v>
      </c>
      <c r="R36" s="1">
        <f ca="1">IFERROR(__xludf.DUMMYFUNCTION("""COMPUTED_VALUE"""),1680)</f>
        <v>1680</v>
      </c>
      <c r="S36" s="1">
        <f ca="1">IFERROR(__xludf.DUMMYFUNCTION("""COMPUTED_VALUE"""),0.422)</f>
        <v>0.42199999999999999</v>
      </c>
      <c r="T36" s="1">
        <f ca="1">IFERROR(__xludf.DUMMYFUNCTION("""COMPUTED_VALUE"""),230)</f>
        <v>230</v>
      </c>
      <c r="U36" s="1">
        <f ca="1">IFERROR(__xludf.DUMMYFUNCTION("""COMPUTED_VALUE"""),708)</f>
        <v>708</v>
      </c>
      <c r="V36" s="1">
        <f ca="1">IFERROR(__xludf.DUMMYFUNCTION("""COMPUTED_VALUE"""),0.325)</f>
        <v>0.32500000000000001</v>
      </c>
      <c r="W36" s="1">
        <f ca="1">IFERROR(__xludf.DUMMYFUNCTION("""COMPUTED_VALUE"""),440)</f>
        <v>440</v>
      </c>
      <c r="X36" s="1">
        <f ca="1">IFERROR(__xludf.DUMMYFUNCTION("""COMPUTED_VALUE"""),618)</f>
        <v>618</v>
      </c>
      <c r="Y36" s="1">
        <f ca="1">IFERROR(__xludf.DUMMYFUNCTION("""COMPUTED_VALUE"""),0.712)</f>
        <v>0.71199999999999997</v>
      </c>
      <c r="Z36" s="1">
        <f ca="1">IFERROR(__xludf.DUMMYFUNCTION("""COMPUTED_VALUE"""),285)</f>
        <v>285</v>
      </c>
      <c r="AA36" s="1">
        <f ca="1">IFERROR(__xludf.DUMMYFUNCTION("""COMPUTED_VALUE"""),969)</f>
        <v>969</v>
      </c>
      <c r="AB36" s="1">
        <f ca="1">IFERROR(__xludf.DUMMYFUNCTION("""COMPUTED_VALUE"""),319)</f>
        <v>319</v>
      </c>
      <c r="AC36" s="1">
        <f ca="1">IFERROR(__xludf.DUMMYFUNCTION("""COMPUTED_VALUE"""),158)</f>
        <v>158</v>
      </c>
      <c r="AD36" s="1">
        <f ca="1">IFERROR(__xludf.DUMMYFUNCTION("""COMPUTED_VALUE"""),79)</f>
        <v>79</v>
      </c>
      <c r="AE36" s="1">
        <f ca="1">IFERROR(__xludf.DUMMYFUNCTION("""COMPUTED_VALUE"""),383)</f>
        <v>383</v>
      </c>
      <c r="AF36" s="1">
        <f ca="1">IFERROR(__xludf.DUMMYFUNCTION("""COMPUTED_VALUE"""),575)</f>
        <v>575</v>
      </c>
    </row>
    <row r="37" spans="1:32" ht="12.5" x14ac:dyDescent="0.25">
      <c r="A37" s="1" t="str">
        <f ca="1">IFERROR(__xludf.DUMMYFUNCTION("""COMPUTED_VALUE"""),"Bucknell")</f>
        <v>Bucknell</v>
      </c>
      <c r="B37" s="1">
        <f ca="1">IFERROR(__xludf.DUMMYFUNCTION("""COMPUTED_VALUE"""),33)</f>
        <v>33</v>
      </c>
      <c r="C37" s="1">
        <f ca="1">IFERROR(__xludf.DUMMYFUNCTION("""COMPUTED_VALUE"""),21)</f>
        <v>21</v>
      </c>
      <c r="D37" s="1">
        <f ca="1">IFERROR(__xludf.DUMMYFUNCTION("""COMPUTED_VALUE"""),12)</f>
        <v>12</v>
      </c>
      <c r="E37" s="1">
        <f ca="1">IFERROR(__xludf.DUMMYFUNCTION("""COMPUTED_VALUE"""),0.636)</f>
        <v>0.63600000000000001</v>
      </c>
      <c r="F37" s="1">
        <f ca="1">IFERROR(__xludf.DUMMYFUNCTION("""COMPUTED_VALUE"""),0.59)</f>
        <v>0.59</v>
      </c>
      <c r="G37" s="1">
        <f ca="1">IFERROR(__xludf.DUMMYFUNCTION("""COMPUTED_VALUE"""),-2.93)</f>
        <v>-2.93</v>
      </c>
      <c r="H37" s="1">
        <f ca="1">IFERROR(__xludf.DUMMYFUNCTION("""COMPUTED_VALUE"""),13)</f>
        <v>13</v>
      </c>
      <c r="I37" s="1">
        <f ca="1">IFERROR(__xludf.DUMMYFUNCTION("""COMPUTED_VALUE"""),5)</f>
        <v>5</v>
      </c>
      <c r="J37" s="1">
        <f ca="1">IFERROR(__xludf.DUMMYFUNCTION("""COMPUTED_VALUE"""),12)</f>
        <v>12</v>
      </c>
      <c r="K37" s="1">
        <f ca="1">IFERROR(__xludf.DUMMYFUNCTION("""COMPUTED_VALUE"""),3)</f>
        <v>3</v>
      </c>
      <c r="L37" s="1">
        <f ca="1">IFERROR(__xludf.DUMMYFUNCTION("""COMPUTED_VALUE"""),7)</f>
        <v>7</v>
      </c>
      <c r="M37" s="1">
        <f ca="1">IFERROR(__xludf.DUMMYFUNCTION("""COMPUTED_VALUE"""),8)</f>
        <v>8</v>
      </c>
      <c r="N37" s="1">
        <f ca="1">IFERROR(__xludf.DUMMYFUNCTION("""COMPUTED_VALUE"""),2534)</f>
        <v>2534</v>
      </c>
      <c r="O37" s="1">
        <f ca="1">IFERROR(__xludf.DUMMYFUNCTION("""COMPUTED_VALUE"""),2418)</f>
        <v>2418</v>
      </c>
      <c r="P37" s="1">
        <f ca="1">IFERROR(__xludf.DUMMYFUNCTION("""COMPUTED_VALUE"""),1325)</f>
        <v>1325</v>
      </c>
      <c r="Q37" s="1">
        <f ca="1">IFERROR(__xludf.DUMMYFUNCTION("""COMPUTED_VALUE"""),867)</f>
        <v>867</v>
      </c>
      <c r="R37" s="1">
        <f ca="1">IFERROR(__xludf.DUMMYFUNCTION("""COMPUTED_VALUE"""),1928)</f>
        <v>1928</v>
      </c>
      <c r="S37" s="1">
        <f ca="1">IFERROR(__xludf.DUMMYFUNCTION("""COMPUTED_VALUE"""),0.45)</f>
        <v>0.45</v>
      </c>
      <c r="T37" s="1">
        <f ca="1">IFERROR(__xludf.DUMMYFUNCTION("""COMPUTED_VALUE"""),311)</f>
        <v>311</v>
      </c>
      <c r="U37" s="1">
        <f ca="1">IFERROR(__xludf.DUMMYFUNCTION("""COMPUTED_VALUE"""),885)</f>
        <v>885</v>
      </c>
      <c r="V37" s="1">
        <f ca="1">IFERROR(__xludf.DUMMYFUNCTION("""COMPUTED_VALUE"""),0.351)</f>
        <v>0.35099999999999998</v>
      </c>
      <c r="W37" s="1">
        <f ca="1">IFERROR(__xludf.DUMMYFUNCTION("""COMPUTED_VALUE"""),489)</f>
        <v>489</v>
      </c>
      <c r="X37" s="1">
        <f ca="1">IFERROR(__xludf.DUMMYFUNCTION("""COMPUTED_VALUE"""),653)</f>
        <v>653</v>
      </c>
      <c r="Y37" s="1">
        <f ca="1">IFERROR(__xludf.DUMMYFUNCTION("""COMPUTED_VALUE"""),0.749)</f>
        <v>0.749</v>
      </c>
      <c r="Z37" s="1">
        <f ca="1">IFERROR(__xludf.DUMMYFUNCTION("""COMPUTED_VALUE"""),286)</f>
        <v>286</v>
      </c>
      <c r="AA37" s="1">
        <f ca="1">IFERROR(__xludf.DUMMYFUNCTION("""COMPUTED_VALUE"""),1154)</f>
        <v>1154</v>
      </c>
      <c r="AB37" s="1">
        <f ca="1">IFERROR(__xludf.DUMMYFUNCTION("""COMPUTED_VALUE"""),519)</f>
        <v>519</v>
      </c>
      <c r="AC37" s="1">
        <f ca="1">IFERROR(__xludf.DUMMYFUNCTION("""COMPUTED_VALUE"""),173)</f>
        <v>173</v>
      </c>
      <c r="AD37" s="1">
        <f ca="1">IFERROR(__xludf.DUMMYFUNCTION("""COMPUTED_VALUE"""),116)</f>
        <v>116</v>
      </c>
      <c r="AE37" s="1">
        <f ca="1">IFERROR(__xludf.DUMMYFUNCTION("""COMPUTED_VALUE"""),409)</f>
        <v>409</v>
      </c>
      <c r="AF37" s="1">
        <f ca="1">IFERROR(__xludf.DUMMYFUNCTION("""COMPUTED_VALUE"""),627)</f>
        <v>627</v>
      </c>
    </row>
    <row r="38" spans="1:32" ht="12.5" x14ac:dyDescent="0.25">
      <c r="A38" s="1" t="str">
        <f ca="1">IFERROR(__xludf.DUMMYFUNCTION("""COMPUTED_VALUE"""),"Buffalo")</f>
        <v>Buffalo</v>
      </c>
      <c r="B38" s="1">
        <f ca="1">IFERROR(__xludf.DUMMYFUNCTION("""COMPUTED_VALUE"""),36)</f>
        <v>36</v>
      </c>
      <c r="C38" s="1">
        <f ca="1">IFERROR(__xludf.DUMMYFUNCTION("""COMPUTED_VALUE"""),32)</f>
        <v>32</v>
      </c>
      <c r="D38" s="1">
        <f ca="1">IFERROR(__xludf.DUMMYFUNCTION("""COMPUTED_VALUE"""),4)</f>
        <v>4</v>
      </c>
      <c r="E38" s="1">
        <f ca="1">IFERROR(__xludf.DUMMYFUNCTION("""COMPUTED_VALUE"""),0.889)</f>
        <v>0.88900000000000001</v>
      </c>
      <c r="F38" s="1">
        <f ca="1">IFERROR(__xludf.DUMMYFUNCTION("""COMPUTED_VALUE"""),15.56)</f>
        <v>15.56</v>
      </c>
      <c r="G38" s="1">
        <f ca="1">IFERROR(__xludf.DUMMYFUNCTION("""COMPUTED_VALUE"""),2.62)</f>
        <v>2.62</v>
      </c>
      <c r="H38" s="1">
        <f ca="1">IFERROR(__xludf.DUMMYFUNCTION("""COMPUTED_VALUE"""),16)</f>
        <v>16</v>
      </c>
      <c r="I38" s="1">
        <f ca="1">IFERROR(__xludf.DUMMYFUNCTION("""COMPUTED_VALUE"""),2)</f>
        <v>2</v>
      </c>
      <c r="J38" s="1">
        <f ca="1">IFERROR(__xludf.DUMMYFUNCTION("""COMPUTED_VALUE"""),14)</f>
        <v>14</v>
      </c>
      <c r="K38" s="1">
        <f ca="1">IFERROR(__xludf.DUMMYFUNCTION("""COMPUTED_VALUE"""),0)</f>
        <v>0</v>
      </c>
      <c r="L38" s="1">
        <f ca="1">IFERROR(__xludf.DUMMYFUNCTION("""COMPUTED_VALUE"""),12)</f>
        <v>12</v>
      </c>
      <c r="M38" s="1">
        <f ca="1">IFERROR(__xludf.DUMMYFUNCTION("""COMPUTED_VALUE"""),3)</f>
        <v>3</v>
      </c>
      <c r="N38" s="1">
        <f ca="1">IFERROR(__xludf.DUMMYFUNCTION("""COMPUTED_VALUE"""),3037)</f>
        <v>3037</v>
      </c>
      <c r="O38" s="1">
        <f ca="1">IFERROR(__xludf.DUMMYFUNCTION("""COMPUTED_VALUE"""),2550)</f>
        <v>2550</v>
      </c>
      <c r="P38" s="1">
        <f ca="1">IFERROR(__xludf.DUMMYFUNCTION("""COMPUTED_VALUE"""),1445)</f>
        <v>1445</v>
      </c>
      <c r="Q38" s="1">
        <f ca="1">IFERROR(__xludf.DUMMYFUNCTION("""COMPUTED_VALUE"""),1083)</f>
        <v>1083</v>
      </c>
      <c r="R38" s="1">
        <f ca="1">IFERROR(__xludf.DUMMYFUNCTION("""COMPUTED_VALUE"""),2344)</f>
        <v>2344</v>
      </c>
      <c r="S38" s="1">
        <f ca="1">IFERROR(__xludf.DUMMYFUNCTION("""COMPUTED_VALUE"""),0.462)</f>
        <v>0.46200000000000002</v>
      </c>
      <c r="T38" s="1">
        <f ca="1">IFERROR(__xludf.DUMMYFUNCTION("""COMPUTED_VALUE"""),344)</f>
        <v>344</v>
      </c>
      <c r="U38" s="1">
        <f ca="1">IFERROR(__xludf.DUMMYFUNCTION("""COMPUTED_VALUE"""),1022)</f>
        <v>1022</v>
      </c>
      <c r="V38" s="1">
        <f ca="1">IFERROR(__xludf.DUMMYFUNCTION("""COMPUTED_VALUE"""),0.337)</f>
        <v>0.33700000000000002</v>
      </c>
      <c r="W38" s="1">
        <f ca="1">IFERROR(__xludf.DUMMYFUNCTION("""COMPUTED_VALUE"""),527)</f>
        <v>527</v>
      </c>
      <c r="X38" s="1">
        <f ca="1">IFERROR(__xludf.DUMMYFUNCTION("""COMPUTED_VALUE"""),767)</f>
        <v>767</v>
      </c>
      <c r="Y38" s="1">
        <f ca="1">IFERROR(__xludf.DUMMYFUNCTION("""COMPUTED_VALUE"""),0.687)</f>
        <v>0.68700000000000006</v>
      </c>
      <c r="Z38" s="1">
        <f ca="1">IFERROR(__xludf.DUMMYFUNCTION("""COMPUTED_VALUE"""),452)</f>
        <v>452</v>
      </c>
      <c r="AA38" s="1">
        <f ca="1">IFERROR(__xludf.DUMMYFUNCTION("""COMPUTED_VALUE"""),1470)</f>
        <v>1470</v>
      </c>
      <c r="AB38" s="1">
        <f ca="1">IFERROR(__xludf.DUMMYFUNCTION("""COMPUTED_VALUE"""),599)</f>
        <v>599</v>
      </c>
      <c r="AC38" s="1">
        <f ca="1">IFERROR(__xludf.DUMMYFUNCTION("""COMPUTED_VALUE"""),263)</f>
        <v>263</v>
      </c>
      <c r="AD38" s="1">
        <f ca="1">IFERROR(__xludf.DUMMYFUNCTION("""COMPUTED_VALUE"""),140)</f>
        <v>140</v>
      </c>
      <c r="AE38" s="1">
        <f ca="1">IFERROR(__xludf.DUMMYFUNCTION("""COMPUTED_VALUE"""),433)</f>
        <v>433</v>
      </c>
      <c r="AF38" s="1">
        <f ca="1">IFERROR(__xludf.DUMMYFUNCTION("""COMPUTED_VALUE"""),659)</f>
        <v>659</v>
      </c>
    </row>
    <row r="39" spans="1:32" ht="12.5" x14ac:dyDescent="0.25">
      <c r="A39" s="1" t="str">
        <f ca="1">IFERROR(__xludf.DUMMYFUNCTION("""COMPUTED_VALUE"""),"Butler")</f>
        <v>Butler</v>
      </c>
      <c r="B39" s="1">
        <f ca="1">IFERROR(__xludf.DUMMYFUNCTION("""COMPUTED_VALUE"""),33)</f>
        <v>33</v>
      </c>
      <c r="C39" s="1">
        <f ca="1">IFERROR(__xludf.DUMMYFUNCTION("""COMPUTED_VALUE"""),16)</f>
        <v>16</v>
      </c>
      <c r="D39" s="1">
        <f ca="1">IFERROR(__xludf.DUMMYFUNCTION("""COMPUTED_VALUE"""),17)</f>
        <v>17</v>
      </c>
      <c r="E39" s="1">
        <f ca="1">IFERROR(__xludf.DUMMYFUNCTION("""COMPUTED_VALUE"""),0.485)</f>
        <v>0.48499999999999999</v>
      </c>
      <c r="F39" s="1">
        <f ca="1">IFERROR(__xludf.DUMMYFUNCTION("""COMPUTED_VALUE"""),9.22)</f>
        <v>9.2200000000000006</v>
      </c>
      <c r="G39" s="1">
        <f ca="1">IFERROR(__xludf.DUMMYFUNCTION("""COMPUTED_VALUE"""),8.1)</f>
        <v>8.1</v>
      </c>
      <c r="H39" s="1">
        <f ca="1">IFERROR(__xludf.DUMMYFUNCTION("""COMPUTED_VALUE"""),7)</f>
        <v>7</v>
      </c>
      <c r="I39" s="1">
        <f ca="1">IFERROR(__xludf.DUMMYFUNCTION("""COMPUTED_VALUE"""),11)</f>
        <v>11</v>
      </c>
      <c r="J39" s="1">
        <f ca="1">IFERROR(__xludf.DUMMYFUNCTION("""COMPUTED_VALUE"""),12)</f>
        <v>12</v>
      </c>
      <c r="K39" s="1">
        <f ca="1">IFERROR(__xludf.DUMMYFUNCTION("""COMPUTED_VALUE"""),4)</f>
        <v>4</v>
      </c>
      <c r="L39" s="1">
        <f ca="1">IFERROR(__xludf.DUMMYFUNCTION("""COMPUTED_VALUE"""),2)</f>
        <v>2</v>
      </c>
      <c r="M39" s="1">
        <f ca="1">IFERROR(__xludf.DUMMYFUNCTION("""COMPUTED_VALUE"""),10)</f>
        <v>10</v>
      </c>
      <c r="N39" s="1">
        <f ca="1">IFERROR(__xludf.DUMMYFUNCTION("""COMPUTED_VALUE"""),2374)</f>
        <v>2374</v>
      </c>
      <c r="O39" s="1">
        <f ca="1">IFERROR(__xludf.DUMMYFUNCTION("""COMPUTED_VALUE"""),2337)</f>
        <v>2337</v>
      </c>
      <c r="P39" s="1">
        <f ca="1">IFERROR(__xludf.DUMMYFUNCTION("""COMPUTED_VALUE"""),1330)</f>
        <v>1330</v>
      </c>
      <c r="Q39" s="1">
        <f ca="1">IFERROR(__xludf.DUMMYFUNCTION("""COMPUTED_VALUE"""),861)</f>
        <v>861</v>
      </c>
      <c r="R39" s="1">
        <f ca="1">IFERROR(__xludf.DUMMYFUNCTION("""COMPUTED_VALUE"""),1934)</f>
        <v>1934</v>
      </c>
      <c r="S39" s="1">
        <f ca="1">IFERROR(__xludf.DUMMYFUNCTION("""COMPUTED_VALUE"""),0.445)</f>
        <v>0.44500000000000001</v>
      </c>
      <c r="T39" s="1">
        <f ca="1">IFERROR(__xludf.DUMMYFUNCTION("""COMPUTED_VALUE"""),292)</f>
        <v>292</v>
      </c>
      <c r="U39" s="1">
        <f ca="1">IFERROR(__xludf.DUMMYFUNCTION("""COMPUTED_VALUE"""),827)</f>
        <v>827</v>
      </c>
      <c r="V39" s="1">
        <f ca="1">IFERROR(__xludf.DUMMYFUNCTION("""COMPUTED_VALUE"""),0.353)</f>
        <v>0.35299999999999998</v>
      </c>
      <c r="W39" s="1">
        <f ca="1">IFERROR(__xludf.DUMMYFUNCTION("""COMPUTED_VALUE"""),360)</f>
        <v>360</v>
      </c>
      <c r="X39" s="1">
        <f ca="1">IFERROR(__xludf.DUMMYFUNCTION("""COMPUTED_VALUE"""),488)</f>
        <v>488</v>
      </c>
      <c r="Y39" s="1">
        <f ca="1">IFERROR(__xludf.DUMMYFUNCTION("""COMPUTED_VALUE"""),0.738)</f>
        <v>0.73799999999999999</v>
      </c>
      <c r="Z39" s="1">
        <f ca="1">IFERROR(__xludf.DUMMYFUNCTION("""COMPUTED_VALUE"""),288)</f>
        <v>288</v>
      </c>
      <c r="AA39" s="1">
        <f ca="1">IFERROR(__xludf.DUMMYFUNCTION("""COMPUTED_VALUE"""),1058)</f>
        <v>1058</v>
      </c>
      <c r="AB39" s="1">
        <f ca="1">IFERROR(__xludf.DUMMYFUNCTION("""COMPUTED_VALUE"""),434)</f>
        <v>434</v>
      </c>
      <c r="AC39" s="1">
        <f ca="1">IFERROR(__xludf.DUMMYFUNCTION("""COMPUTED_VALUE"""),193)</f>
        <v>193</v>
      </c>
      <c r="AD39" s="1">
        <f ca="1">IFERROR(__xludf.DUMMYFUNCTION("""COMPUTED_VALUE"""),62)</f>
        <v>62</v>
      </c>
      <c r="AE39" s="1">
        <f ca="1">IFERROR(__xludf.DUMMYFUNCTION("""COMPUTED_VALUE"""),359)</f>
        <v>359</v>
      </c>
      <c r="AF39" s="1">
        <f ca="1">IFERROR(__xludf.DUMMYFUNCTION("""COMPUTED_VALUE"""),593)</f>
        <v>593</v>
      </c>
    </row>
    <row r="40" spans="1:32" ht="12.5" x14ac:dyDescent="0.25">
      <c r="A40" s="1" t="str">
        <f ca="1">IFERROR(__xludf.DUMMYFUNCTION("""COMPUTED_VALUE"""),"Cal Poly")</f>
        <v>Cal Poly</v>
      </c>
      <c r="B40" s="1">
        <f ca="1">IFERROR(__xludf.DUMMYFUNCTION("""COMPUTED_VALUE"""),29)</f>
        <v>29</v>
      </c>
      <c r="C40" s="1">
        <f ca="1">IFERROR(__xludf.DUMMYFUNCTION("""COMPUTED_VALUE"""),6)</f>
        <v>6</v>
      </c>
      <c r="D40" s="1">
        <f ca="1">IFERROR(__xludf.DUMMYFUNCTION("""COMPUTED_VALUE"""),23)</f>
        <v>23</v>
      </c>
      <c r="E40" s="1">
        <f ca="1">IFERROR(__xludf.DUMMYFUNCTION("""COMPUTED_VALUE"""),0.207)</f>
        <v>0.20699999999999999</v>
      </c>
      <c r="F40" s="1">
        <f ca="1">IFERROR(__xludf.DUMMYFUNCTION("""COMPUTED_VALUE"""),-13.95)</f>
        <v>-13.95</v>
      </c>
      <c r="G40" s="1">
        <f ca="1">IFERROR(__xludf.DUMMYFUNCTION("""COMPUTED_VALUE"""),-3.54)</f>
        <v>-3.54</v>
      </c>
      <c r="H40" s="1">
        <f ca="1">IFERROR(__xludf.DUMMYFUNCTION("""COMPUTED_VALUE"""),2)</f>
        <v>2</v>
      </c>
      <c r="I40" s="1">
        <f ca="1">IFERROR(__xludf.DUMMYFUNCTION("""COMPUTED_VALUE"""),14)</f>
        <v>14</v>
      </c>
      <c r="J40" s="1">
        <f ca="1">IFERROR(__xludf.DUMMYFUNCTION("""COMPUTED_VALUE"""),4)</f>
        <v>4</v>
      </c>
      <c r="K40" s="1">
        <f ca="1">IFERROR(__xludf.DUMMYFUNCTION("""COMPUTED_VALUE"""),8)</f>
        <v>8</v>
      </c>
      <c r="L40" s="1">
        <f ca="1">IFERROR(__xludf.DUMMYFUNCTION("""COMPUTED_VALUE"""),1)</f>
        <v>1</v>
      </c>
      <c r="M40" s="1">
        <f ca="1">IFERROR(__xludf.DUMMYFUNCTION("""COMPUTED_VALUE"""),14)</f>
        <v>14</v>
      </c>
      <c r="N40" s="1">
        <f ca="1">IFERROR(__xludf.DUMMYFUNCTION("""COMPUTED_VALUE"""),1930)</f>
        <v>1930</v>
      </c>
      <c r="O40" s="1">
        <f ca="1">IFERROR(__xludf.DUMMYFUNCTION("""COMPUTED_VALUE"""),2183)</f>
        <v>2183</v>
      </c>
      <c r="P40" s="1">
        <f ca="1">IFERROR(__xludf.DUMMYFUNCTION("""COMPUTED_VALUE"""),1185)</f>
        <v>1185</v>
      </c>
      <c r="Q40" s="1">
        <f ca="1">IFERROR(__xludf.DUMMYFUNCTION("""COMPUTED_VALUE"""),706)</f>
        <v>706</v>
      </c>
      <c r="R40" s="1">
        <f ca="1">IFERROR(__xludf.DUMMYFUNCTION("""COMPUTED_VALUE"""),1715)</f>
        <v>1715</v>
      </c>
      <c r="S40" s="1">
        <f ca="1">IFERROR(__xludf.DUMMYFUNCTION("""COMPUTED_VALUE"""),0.412)</f>
        <v>0.41199999999999998</v>
      </c>
      <c r="T40" s="1">
        <f ca="1">IFERROR(__xludf.DUMMYFUNCTION("""COMPUTED_VALUE"""),225)</f>
        <v>225</v>
      </c>
      <c r="U40" s="1">
        <f ca="1">IFERROR(__xludf.DUMMYFUNCTION("""COMPUTED_VALUE"""),687)</f>
        <v>687</v>
      </c>
      <c r="V40" s="1">
        <f ca="1">IFERROR(__xludf.DUMMYFUNCTION("""COMPUTED_VALUE"""),0.328)</f>
        <v>0.32800000000000001</v>
      </c>
      <c r="W40" s="1">
        <f ca="1">IFERROR(__xludf.DUMMYFUNCTION("""COMPUTED_VALUE"""),293)</f>
        <v>293</v>
      </c>
      <c r="X40" s="1">
        <f ca="1">IFERROR(__xludf.DUMMYFUNCTION("""COMPUTED_VALUE"""),452)</f>
        <v>452</v>
      </c>
      <c r="Y40" s="1">
        <f ca="1">IFERROR(__xludf.DUMMYFUNCTION("""COMPUTED_VALUE"""),0.648)</f>
        <v>0.64800000000000002</v>
      </c>
      <c r="Z40" s="1">
        <f ca="1">IFERROR(__xludf.DUMMYFUNCTION("""COMPUTED_VALUE"""),284)</f>
        <v>284</v>
      </c>
      <c r="AA40" s="1">
        <f ca="1">IFERROR(__xludf.DUMMYFUNCTION("""COMPUTED_VALUE"""),975)</f>
        <v>975</v>
      </c>
      <c r="AB40" s="1">
        <f ca="1">IFERROR(__xludf.DUMMYFUNCTION("""COMPUTED_VALUE"""),301)</f>
        <v>301</v>
      </c>
      <c r="AC40" s="1">
        <f ca="1">IFERROR(__xludf.DUMMYFUNCTION("""COMPUTED_VALUE"""),147)</f>
        <v>147</v>
      </c>
      <c r="AD40" s="1">
        <f ca="1">IFERROR(__xludf.DUMMYFUNCTION("""COMPUTED_VALUE"""),99)</f>
        <v>99</v>
      </c>
      <c r="AE40" s="1">
        <f ca="1">IFERROR(__xludf.DUMMYFUNCTION("""COMPUTED_VALUE"""),334)</f>
        <v>334</v>
      </c>
      <c r="AF40" s="1">
        <f ca="1">IFERROR(__xludf.DUMMYFUNCTION("""COMPUTED_VALUE"""),544)</f>
        <v>544</v>
      </c>
    </row>
    <row r="41" spans="1:32" ht="12.5" x14ac:dyDescent="0.25">
      <c r="A41" s="1" t="str">
        <f ca="1">IFERROR(__xludf.DUMMYFUNCTION("""COMPUTED_VALUE"""),"Cal State Bakersfield")</f>
        <v>Cal State Bakersfield</v>
      </c>
      <c r="B41" s="1">
        <f ca="1">IFERROR(__xludf.DUMMYFUNCTION("""COMPUTED_VALUE"""),34)</f>
        <v>34</v>
      </c>
      <c r="C41" s="1">
        <f ca="1">IFERROR(__xludf.DUMMYFUNCTION("""COMPUTED_VALUE"""),18)</f>
        <v>18</v>
      </c>
      <c r="D41" s="1">
        <f ca="1">IFERROR(__xludf.DUMMYFUNCTION("""COMPUTED_VALUE"""),16)</f>
        <v>16</v>
      </c>
      <c r="E41" s="1">
        <f ca="1">IFERROR(__xludf.DUMMYFUNCTION("""COMPUTED_VALUE"""),0.529)</f>
        <v>0.52900000000000003</v>
      </c>
      <c r="F41" s="1">
        <f ca="1">IFERROR(__xludf.DUMMYFUNCTION("""COMPUTED_VALUE"""),-5.12)</f>
        <v>-5.12</v>
      </c>
      <c r="G41" s="1">
        <f ca="1">IFERROR(__xludf.DUMMYFUNCTION("""COMPUTED_VALUE"""),-2.63)</f>
        <v>-2.63</v>
      </c>
      <c r="H41" s="1">
        <f ca="1">IFERROR(__xludf.DUMMYFUNCTION("""COMPUTED_VALUE"""),7)</f>
        <v>7</v>
      </c>
      <c r="I41" s="1">
        <f ca="1">IFERROR(__xludf.DUMMYFUNCTION("""COMPUTED_VALUE"""),9)</f>
        <v>9</v>
      </c>
      <c r="J41" s="1">
        <f ca="1">IFERROR(__xludf.DUMMYFUNCTION("""COMPUTED_VALUE"""),9)</f>
        <v>9</v>
      </c>
      <c r="K41" s="1">
        <f ca="1">IFERROR(__xludf.DUMMYFUNCTION("""COMPUTED_VALUE"""),4)</f>
        <v>4</v>
      </c>
      <c r="L41" s="1">
        <f ca="1">IFERROR(__xludf.DUMMYFUNCTION("""COMPUTED_VALUE"""),7)</f>
        <v>7</v>
      </c>
      <c r="M41" s="1">
        <f ca="1">IFERROR(__xludf.DUMMYFUNCTION("""COMPUTED_VALUE"""),10)</f>
        <v>10</v>
      </c>
      <c r="N41" s="1">
        <f ca="1">IFERROR(__xludf.DUMMYFUNCTION("""COMPUTED_VALUE"""),2412)</f>
        <v>2412</v>
      </c>
      <c r="O41" s="1">
        <f ca="1">IFERROR(__xludf.DUMMYFUNCTION("""COMPUTED_VALUE"""),2412)</f>
        <v>2412</v>
      </c>
      <c r="P41" s="1">
        <f ca="1">IFERROR(__xludf.DUMMYFUNCTION("""COMPUTED_VALUE"""),1375)</f>
        <v>1375</v>
      </c>
      <c r="Q41" s="1">
        <f ca="1">IFERROR(__xludf.DUMMYFUNCTION("""COMPUTED_VALUE"""),887)</f>
        <v>887</v>
      </c>
      <c r="R41" s="1">
        <f ca="1">IFERROR(__xludf.DUMMYFUNCTION("""COMPUTED_VALUE"""),2092)</f>
        <v>2092</v>
      </c>
      <c r="S41" s="1">
        <f ca="1">IFERROR(__xludf.DUMMYFUNCTION("""COMPUTED_VALUE"""),0.424)</f>
        <v>0.42399999999999999</v>
      </c>
      <c r="T41" s="1">
        <f ca="1">IFERROR(__xludf.DUMMYFUNCTION("""COMPUTED_VALUE"""),221)</f>
        <v>221</v>
      </c>
      <c r="U41" s="1">
        <f ca="1">IFERROR(__xludf.DUMMYFUNCTION("""COMPUTED_VALUE"""),683)</f>
        <v>683</v>
      </c>
      <c r="V41" s="1">
        <f ca="1">IFERROR(__xludf.DUMMYFUNCTION("""COMPUTED_VALUE"""),0.324)</f>
        <v>0.32400000000000001</v>
      </c>
      <c r="W41" s="1">
        <f ca="1">IFERROR(__xludf.DUMMYFUNCTION("""COMPUTED_VALUE"""),417)</f>
        <v>417</v>
      </c>
      <c r="X41" s="1">
        <f ca="1">IFERROR(__xludf.DUMMYFUNCTION("""COMPUTED_VALUE"""),620)</f>
        <v>620</v>
      </c>
      <c r="Y41" s="1">
        <f ca="1">IFERROR(__xludf.DUMMYFUNCTION("""COMPUTED_VALUE"""),0.673)</f>
        <v>0.67300000000000004</v>
      </c>
      <c r="Z41" s="1">
        <f ca="1">IFERROR(__xludf.DUMMYFUNCTION("""COMPUTED_VALUE"""),486)</f>
        <v>486</v>
      </c>
      <c r="AA41" s="1">
        <f ca="1">IFERROR(__xludf.DUMMYFUNCTION("""COMPUTED_VALUE"""),1272)</f>
        <v>1272</v>
      </c>
      <c r="AB41" s="1">
        <f ca="1">IFERROR(__xludf.DUMMYFUNCTION("""COMPUTED_VALUE"""),379)</f>
        <v>379</v>
      </c>
      <c r="AC41" s="1">
        <f ca="1">IFERROR(__xludf.DUMMYFUNCTION("""COMPUTED_VALUE"""),218)</f>
        <v>218</v>
      </c>
      <c r="AD41" s="1">
        <f ca="1">IFERROR(__xludf.DUMMYFUNCTION("""COMPUTED_VALUE"""),105)</f>
        <v>105</v>
      </c>
      <c r="AE41" s="1">
        <f ca="1">IFERROR(__xludf.DUMMYFUNCTION("""COMPUTED_VALUE"""),439)</f>
        <v>439</v>
      </c>
      <c r="AF41" s="1">
        <f ca="1">IFERROR(__xludf.DUMMYFUNCTION("""COMPUTED_VALUE"""),747)</f>
        <v>747</v>
      </c>
    </row>
    <row r="42" spans="1:32" ht="12.5" x14ac:dyDescent="0.25">
      <c r="A42" s="1" t="str">
        <f ca="1">IFERROR(__xludf.DUMMYFUNCTION("""COMPUTED_VALUE"""),"Cal State Fullerton")</f>
        <v>Cal State Fullerton</v>
      </c>
      <c r="B42" s="1">
        <f ca="1">IFERROR(__xludf.DUMMYFUNCTION("""COMPUTED_VALUE"""),34)</f>
        <v>34</v>
      </c>
      <c r="C42" s="1">
        <f ca="1">IFERROR(__xludf.DUMMYFUNCTION("""COMPUTED_VALUE"""),16)</f>
        <v>16</v>
      </c>
      <c r="D42" s="1">
        <f ca="1">IFERROR(__xludf.DUMMYFUNCTION("""COMPUTED_VALUE"""),18)</f>
        <v>18</v>
      </c>
      <c r="E42" s="1">
        <f ca="1">IFERROR(__xludf.DUMMYFUNCTION("""COMPUTED_VALUE"""),0.471)</f>
        <v>0.47099999999999997</v>
      </c>
      <c r="F42" s="1">
        <f ca="1">IFERROR(__xludf.DUMMYFUNCTION("""COMPUTED_VALUE"""),-3.29)</f>
        <v>-3.29</v>
      </c>
      <c r="G42" s="1">
        <f ca="1">IFERROR(__xludf.DUMMYFUNCTION("""COMPUTED_VALUE"""),-1.14)</f>
        <v>-1.1399999999999999</v>
      </c>
      <c r="H42" s="1">
        <f ca="1">IFERROR(__xludf.DUMMYFUNCTION("""COMPUTED_VALUE"""),10)</f>
        <v>10</v>
      </c>
      <c r="I42" s="1">
        <f ca="1">IFERROR(__xludf.DUMMYFUNCTION("""COMPUTED_VALUE"""),6)</f>
        <v>6</v>
      </c>
      <c r="J42" s="1">
        <f ca="1">IFERROR(__xludf.DUMMYFUNCTION("""COMPUTED_VALUE"""),9)</f>
        <v>9</v>
      </c>
      <c r="K42" s="1">
        <f ca="1">IFERROR(__xludf.DUMMYFUNCTION("""COMPUTED_VALUE"""),4)</f>
        <v>4</v>
      </c>
      <c r="L42" s="1">
        <f ca="1">IFERROR(__xludf.DUMMYFUNCTION("""COMPUTED_VALUE"""),4)</f>
        <v>4</v>
      </c>
      <c r="M42" s="1">
        <f ca="1">IFERROR(__xludf.DUMMYFUNCTION("""COMPUTED_VALUE"""),11)</f>
        <v>11</v>
      </c>
      <c r="N42" s="1">
        <f ca="1">IFERROR(__xludf.DUMMYFUNCTION("""COMPUTED_VALUE"""),2437)</f>
        <v>2437</v>
      </c>
      <c r="O42" s="1">
        <f ca="1">IFERROR(__xludf.DUMMYFUNCTION("""COMPUTED_VALUE"""),2414)</f>
        <v>2414</v>
      </c>
      <c r="P42" s="1">
        <f ca="1">IFERROR(__xludf.DUMMYFUNCTION("""COMPUTED_VALUE"""),1385)</f>
        <v>1385</v>
      </c>
      <c r="Q42" s="1">
        <f ca="1">IFERROR(__xludf.DUMMYFUNCTION("""COMPUTED_VALUE"""),868)</f>
        <v>868</v>
      </c>
      <c r="R42" s="1">
        <f ca="1">IFERROR(__xludf.DUMMYFUNCTION("""COMPUTED_VALUE"""),1911)</f>
        <v>1911</v>
      </c>
      <c r="S42" s="1">
        <f ca="1">IFERROR(__xludf.DUMMYFUNCTION("""COMPUTED_VALUE"""),0.454)</f>
        <v>0.45400000000000001</v>
      </c>
      <c r="T42" s="1">
        <f ca="1">IFERROR(__xludf.DUMMYFUNCTION("""COMPUTED_VALUE"""),187)</f>
        <v>187</v>
      </c>
      <c r="U42" s="1">
        <f ca="1">IFERROR(__xludf.DUMMYFUNCTION("""COMPUTED_VALUE"""),589)</f>
        <v>589</v>
      </c>
      <c r="V42" s="1">
        <f ca="1">IFERROR(__xludf.DUMMYFUNCTION("""COMPUTED_VALUE"""),0.317)</f>
        <v>0.317</v>
      </c>
      <c r="W42" s="1">
        <f ca="1">IFERROR(__xludf.DUMMYFUNCTION("""COMPUTED_VALUE"""),514)</f>
        <v>514</v>
      </c>
      <c r="X42" s="1">
        <f ca="1">IFERROR(__xludf.DUMMYFUNCTION("""COMPUTED_VALUE"""),726)</f>
        <v>726</v>
      </c>
      <c r="Y42" s="1">
        <f ca="1">IFERROR(__xludf.DUMMYFUNCTION("""COMPUTED_VALUE"""),0.708)</f>
        <v>0.70799999999999996</v>
      </c>
      <c r="Z42" s="1">
        <f ca="1">IFERROR(__xludf.DUMMYFUNCTION("""COMPUTED_VALUE"""),277)</f>
        <v>277</v>
      </c>
      <c r="AA42" s="1">
        <f ca="1">IFERROR(__xludf.DUMMYFUNCTION("""COMPUTED_VALUE"""),1224)</f>
        <v>1224</v>
      </c>
      <c r="AB42" s="1">
        <f ca="1">IFERROR(__xludf.DUMMYFUNCTION("""COMPUTED_VALUE"""),407)</f>
        <v>407</v>
      </c>
      <c r="AC42" s="1">
        <f ca="1">IFERROR(__xludf.DUMMYFUNCTION("""COMPUTED_VALUE"""),200)</f>
        <v>200</v>
      </c>
      <c r="AD42" s="1">
        <f ca="1">IFERROR(__xludf.DUMMYFUNCTION("""COMPUTED_VALUE"""),118)</f>
        <v>118</v>
      </c>
      <c r="AE42" s="1">
        <f ca="1">IFERROR(__xludf.DUMMYFUNCTION("""COMPUTED_VALUE"""),450)</f>
        <v>450</v>
      </c>
      <c r="AF42" s="1">
        <f ca="1">IFERROR(__xludf.DUMMYFUNCTION("""COMPUTED_VALUE"""),639)</f>
        <v>639</v>
      </c>
    </row>
    <row r="43" spans="1:32" ht="12.5" x14ac:dyDescent="0.25">
      <c r="A43" s="1" t="str">
        <f ca="1">IFERROR(__xludf.DUMMYFUNCTION("""COMPUTED_VALUE"""),"Cal State Northridge")</f>
        <v>Cal State Northridge</v>
      </c>
      <c r="B43" s="1">
        <f ca="1">IFERROR(__xludf.DUMMYFUNCTION("""COMPUTED_VALUE"""),34)</f>
        <v>34</v>
      </c>
      <c r="C43" s="1">
        <f ca="1">IFERROR(__xludf.DUMMYFUNCTION("""COMPUTED_VALUE"""),13)</f>
        <v>13</v>
      </c>
      <c r="D43" s="1">
        <f ca="1">IFERROR(__xludf.DUMMYFUNCTION("""COMPUTED_VALUE"""),21)</f>
        <v>21</v>
      </c>
      <c r="E43" s="1">
        <f ca="1">IFERROR(__xludf.DUMMYFUNCTION("""COMPUTED_VALUE"""),0.382)</f>
        <v>0.38200000000000001</v>
      </c>
      <c r="F43" s="1">
        <f ca="1">IFERROR(__xludf.DUMMYFUNCTION("""COMPUTED_VALUE"""),-6.54)</f>
        <v>-6.54</v>
      </c>
      <c r="G43" s="1">
        <f ca="1">IFERROR(__xludf.DUMMYFUNCTION("""COMPUTED_VALUE"""),-3.39)</f>
        <v>-3.39</v>
      </c>
      <c r="H43" s="1">
        <f ca="1">IFERROR(__xludf.DUMMYFUNCTION("""COMPUTED_VALUE"""),7)</f>
        <v>7</v>
      </c>
      <c r="I43" s="1">
        <f ca="1">IFERROR(__xludf.DUMMYFUNCTION("""COMPUTED_VALUE"""),9)</f>
        <v>9</v>
      </c>
      <c r="J43" s="1">
        <f ca="1">IFERROR(__xludf.DUMMYFUNCTION("""COMPUTED_VALUE"""),7)</f>
        <v>7</v>
      </c>
      <c r="K43" s="1">
        <f ca="1">IFERROR(__xludf.DUMMYFUNCTION("""COMPUTED_VALUE"""),9)</f>
        <v>9</v>
      </c>
      <c r="L43" s="1">
        <f ca="1">IFERROR(__xludf.DUMMYFUNCTION("""COMPUTED_VALUE"""),4)</f>
        <v>4</v>
      </c>
      <c r="M43" s="1">
        <f ca="1">IFERROR(__xludf.DUMMYFUNCTION("""COMPUTED_VALUE"""),11)</f>
        <v>11</v>
      </c>
      <c r="N43" s="1">
        <f ca="1">IFERROR(__xludf.DUMMYFUNCTION("""COMPUTED_VALUE"""),2601)</f>
        <v>2601</v>
      </c>
      <c r="O43" s="1">
        <f ca="1">IFERROR(__xludf.DUMMYFUNCTION("""COMPUTED_VALUE"""),2701)</f>
        <v>2701</v>
      </c>
      <c r="P43" s="1">
        <f ca="1">IFERROR(__xludf.DUMMYFUNCTION("""COMPUTED_VALUE"""),1375)</f>
        <v>1375</v>
      </c>
      <c r="Q43" s="1">
        <f ca="1">IFERROR(__xludf.DUMMYFUNCTION("""COMPUTED_VALUE"""),968)</f>
        <v>968</v>
      </c>
      <c r="R43" s="1">
        <f ca="1">IFERROR(__xludf.DUMMYFUNCTION("""COMPUTED_VALUE"""),2103)</f>
        <v>2103</v>
      </c>
      <c r="S43" s="1">
        <f ca="1">IFERROR(__xludf.DUMMYFUNCTION("""COMPUTED_VALUE"""),0.46)</f>
        <v>0.46</v>
      </c>
      <c r="T43" s="1">
        <f ca="1">IFERROR(__xludf.DUMMYFUNCTION("""COMPUTED_VALUE"""),234)</f>
        <v>234</v>
      </c>
      <c r="U43" s="1">
        <f ca="1">IFERROR(__xludf.DUMMYFUNCTION("""COMPUTED_VALUE"""),648)</f>
        <v>648</v>
      </c>
      <c r="V43" s="1">
        <f ca="1">IFERROR(__xludf.DUMMYFUNCTION("""COMPUTED_VALUE"""),0.361)</f>
        <v>0.36099999999999999</v>
      </c>
      <c r="W43" s="1">
        <f ca="1">IFERROR(__xludf.DUMMYFUNCTION("""COMPUTED_VALUE"""),431)</f>
        <v>431</v>
      </c>
      <c r="X43" s="1">
        <f ca="1">IFERROR(__xludf.DUMMYFUNCTION("""COMPUTED_VALUE"""),676)</f>
        <v>676</v>
      </c>
      <c r="Y43" s="1">
        <f ca="1">IFERROR(__xludf.DUMMYFUNCTION("""COMPUTED_VALUE"""),0.638)</f>
        <v>0.63800000000000001</v>
      </c>
      <c r="Z43" s="1">
        <f ca="1">IFERROR(__xludf.DUMMYFUNCTION("""COMPUTED_VALUE"""),352)</f>
        <v>352</v>
      </c>
      <c r="AA43" s="1">
        <f ca="1">IFERROR(__xludf.DUMMYFUNCTION("""COMPUTED_VALUE"""),1214)</f>
        <v>1214</v>
      </c>
      <c r="AB43" s="1">
        <f ca="1">IFERROR(__xludf.DUMMYFUNCTION("""COMPUTED_VALUE"""),512)</f>
        <v>512</v>
      </c>
      <c r="AC43" s="1">
        <f ca="1">IFERROR(__xludf.DUMMYFUNCTION("""COMPUTED_VALUE"""),225)</f>
        <v>225</v>
      </c>
      <c r="AD43" s="1">
        <f ca="1">IFERROR(__xludf.DUMMYFUNCTION("""COMPUTED_VALUE"""),154)</f>
        <v>154</v>
      </c>
      <c r="AE43" s="1">
        <f ca="1">IFERROR(__xludf.DUMMYFUNCTION("""COMPUTED_VALUE"""),410)</f>
        <v>410</v>
      </c>
      <c r="AF43" s="1">
        <f ca="1">IFERROR(__xludf.DUMMYFUNCTION("""COMPUTED_VALUE"""),641)</f>
        <v>641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IFERROR(__xludf.DUMMYFUNCTION("""COMPUTED_VALUE"""),"California Baptist")</f>
        <v>California Baptist</v>
      </c>
      <c r="B46" s="1">
        <f ca="1">IFERROR(__xludf.DUMMYFUNCTION("""COMPUTED_VALUE"""),31)</f>
        <v>31</v>
      </c>
      <c r="C46" s="1">
        <f ca="1">IFERROR(__xludf.DUMMYFUNCTION("""COMPUTED_VALUE"""),16)</f>
        <v>16</v>
      </c>
      <c r="D46" s="1">
        <f ca="1">IFERROR(__xludf.DUMMYFUNCTION("""COMPUTED_VALUE"""),15)</f>
        <v>15</v>
      </c>
      <c r="E46" s="1">
        <f ca="1">IFERROR(__xludf.DUMMYFUNCTION("""COMPUTED_VALUE"""),0.516)</f>
        <v>0.51600000000000001</v>
      </c>
      <c r="F46" s="1">
        <f ca="1">IFERROR(__xludf.DUMMYFUNCTION("""COMPUTED_VALUE"""),-3.89)</f>
        <v>-3.89</v>
      </c>
      <c r="G46" s="1">
        <f ca="1">IFERROR(__xludf.DUMMYFUNCTION("""COMPUTED_VALUE"""),-4.12)</f>
        <v>-4.12</v>
      </c>
      <c r="H46" s="1">
        <f ca="1">IFERROR(__xludf.DUMMYFUNCTION("""COMPUTED_VALUE"""),7)</f>
        <v>7</v>
      </c>
      <c r="I46" s="1">
        <f ca="1">IFERROR(__xludf.DUMMYFUNCTION("""COMPUTED_VALUE"""),9)</f>
        <v>9</v>
      </c>
      <c r="J46" s="1">
        <f ca="1">IFERROR(__xludf.DUMMYFUNCTION("""COMPUTED_VALUE"""),8)</f>
        <v>8</v>
      </c>
      <c r="K46" s="1">
        <f ca="1">IFERROR(__xludf.DUMMYFUNCTION("""COMPUTED_VALUE"""),7)</f>
        <v>7</v>
      </c>
      <c r="L46" s="1">
        <f ca="1">IFERROR(__xludf.DUMMYFUNCTION("""COMPUTED_VALUE"""),8)</f>
        <v>8</v>
      </c>
      <c r="M46" s="1">
        <f ca="1">IFERROR(__xludf.DUMMYFUNCTION("""COMPUTED_VALUE"""),6)</f>
        <v>6</v>
      </c>
      <c r="N46" s="1">
        <f ca="1">IFERROR(__xludf.DUMMYFUNCTION("""COMPUTED_VALUE"""),2403)</f>
        <v>2403</v>
      </c>
      <c r="O46" s="1">
        <f ca="1">IFERROR(__xludf.DUMMYFUNCTION("""COMPUTED_VALUE"""),2241)</f>
        <v>2241</v>
      </c>
      <c r="P46" s="1">
        <f ca="1">IFERROR(__xludf.DUMMYFUNCTION("""COMPUTED_VALUE"""),1260)</f>
        <v>1260</v>
      </c>
      <c r="Q46" s="1">
        <f ca="1">IFERROR(__xludf.DUMMYFUNCTION("""COMPUTED_VALUE"""),831)</f>
        <v>831</v>
      </c>
      <c r="R46" s="1">
        <f ca="1">IFERROR(__xludf.DUMMYFUNCTION("""COMPUTED_VALUE"""),1859)</f>
        <v>1859</v>
      </c>
      <c r="S46" s="1">
        <f ca="1">IFERROR(__xludf.DUMMYFUNCTION("""COMPUTED_VALUE"""),0.447)</f>
        <v>0.44700000000000001</v>
      </c>
      <c r="T46" s="1">
        <f ca="1">IFERROR(__xludf.DUMMYFUNCTION("""COMPUTED_VALUE"""),287)</f>
        <v>287</v>
      </c>
      <c r="U46" s="1">
        <f ca="1">IFERROR(__xludf.DUMMYFUNCTION("""COMPUTED_VALUE"""),800)</f>
        <v>800</v>
      </c>
      <c r="V46" s="1">
        <f ca="1">IFERROR(__xludf.DUMMYFUNCTION("""COMPUTED_VALUE"""),0.359)</f>
        <v>0.35899999999999999</v>
      </c>
      <c r="W46" s="1">
        <f ca="1">IFERROR(__xludf.DUMMYFUNCTION("""COMPUTED_VALUE"""),454)</f>
        <v>454</v>
      </c>
      <c r="X46" s="1">
        <f ca="1">IFERROR(__xludf.DUMMYFUNCTION("""COMPUTED_VALUE"""),576)</f>
        <v>576</v>
      </c>
      <c r="Y46" s="1">
        <f ca="1">IFERROR(__xludf.DUMMYFUNCTION("""COMPUTED_VALUE"""),0.788)</f>
        <v>0.78800000000000003</v>
      </c>
      <c r="Z46" s="1">
        <f ca="1">IFERROR(__xludf.DUMMYFUNCTION("""COMPUTED_VALUE"""),306)</f>
        <v>306</v>
      </c>
      <c r="AA46" s="1">
        <f ca="1">IFERROR(__xludf.DUMMYFUNCTION("""COMPUTED_VALUE"""),1171)</f>
        <v>1171</v>
      </c>
      <c r="AB46" s="1">
        <f ca="1">IFERROR(__xludf.DUMMYFUNCTION("""COMPUTED_VALUE"""),345)</f>
        <v>345</v>
      </c>
      <c r="AC46" s="1">
        <f ca="1">IFERROR(__xludf.DUMMYFUNCTION("""COMPUTED_VALUE"""),148)</f>
        <v>148</v>
      </c>
      <c r="AD46" s="1">
        <f ca="1">IFERROR(__xludf.DUMMYFUNCTION("""COMPUTED_VALUE"""),85)</f>
        <v>85</v>
      </c>
      <c r="AE46" s="1">
        <f ca="1">IFERROR(__xludf.DUMMYFUNCTION("""COMPUTED_VALUE"""),379)</f>
        <v>379</v>
      </c>
      <c r="AF46" s="1">
        <f ca="1">IFERROR(__xludf.DUMMYFUNCTION("""COMPUTED_VALUE"""),623)</f>
        <v>623</v>
      </c>
    </row>
    <row r="47" spans="1:32" ht="12.5" x14ac:dyDescent="0.25">
      <c r="A47" s="1" t="str">
        <f ca="1">IFERROR(__xludf.DUMMYFUNCTION("""COMPUTED_VALUE"""),"UC-Davis")</f>
        <v>UC-Davis</v>
      </c>
      <c r="B47" s="1">
        <f ca="1">IFERROR(__xludf.DUMMYFUNCTION("""COMPUTED_VALUE"""),31)</f>
        <v>31</v>
      </c>
      <c r="C47" s="1">
        <f ca="1">IFERROR(__xludf.DUMMYFUNCTION("""COMPUTED_VALUE"""),11)</f>
        <v>11</v>
      </c>
      <c r="D47" s="1">
        <f ca="1">IFERROR(__xludf.DUMMYFUNCTION("""COMPUTED_VALUE"""),20)</f>
        <v>20</v>
      </c>
      <c r="E47" s="1">
        <f ca="1">IFERROR(__xludf.DUMMYFUNCTION("""COMPUTED_VALUE"""),0.355)</f>
        <v>0.35499999999999998</v>
      </c>
      <c r="F47" s="1">
        <f ca="1">IFERROR(__xludf.DUMMYFUNCTION("""COMPUTED_VALUE"""),-6.26)</f>
        <v>-6.26</v>
      </c>
      <c r="G47" s="1">
        <f ca="1">IFERROR(__xludf.DUMMYFUNCTION("""COMPUTED_VALUE"""),-1.5)</f>
        <v>-1.5</v>
      </c>
      <c r="H47" s="1">
        <f ca="1">IFERROR(__xludf.DUMMYFUNCTION("""COMPUTED_VALUE"""),7)</f>
        <v>7</v>
      </c>
      <c r="I47" s="1">
        <f ca="1">IFERROR(__xludf.DUMMYFUNCTION("""COMPUTED_VALUE"""),9)</f>
        <v>9</v>
      </c>
      <c r="J47" s="1">
        <f ca="1">IFERROR(__xludf.DUMMYFUNCTION("""COMPUTED_VALUE"""),7)</f>
        <v>7</v>
      </c>
      <c r="K47" s="1">
        <f ca="1">IFERROR(__xludf.DUMMYFUNCTION("""COMPUTED_VALUE"""),6)</f>
        <v>6</v>
      </c>
      <c r="L47" s="1">
        <f ca="1">IFERROR(__xludf.DUMMYFUNCTION("""COMPUTED_VALUE"""),3)</f>
        <v>3</v>
      </c>
      <c r="M47" s="1">
        <f ca="1">IFERROR(__xludf.DUMMYFUNCTION("""COMPUTED_VALUE"""),12)</f>
        <v>12</v>
      </c>
      <c r="N47" s="1">
        <f ca="1">IFERROR(__xludf.DUMMYFUNCTION("""COMPUTED_VALUE"""),2038)</f>
        <v>2038</v>
      </c>
      <c r="O47" s="1">
        <f ca="1">IFERROR(__xludf.DUMMYFUNCTION("""COMPUTED_VALUE"""),2128)</f>
        <v>2128</v>
      </c>
      <c r="P47" s="1">
        <f ca="1">IFERROR(__xludf.DUMMYFUNCTION("""COMPUTED_VALUE"""),1260)</f>
        <v>1260</v>
      </c>
      <c r="Q47" s="1">
        <f ca="1">IFERROR(__xludf.DUMMYFUNCTION("""COMPUTED_VALUE"""),735)</f>
        <v>735</v>
      </c>
      <c r="R47" s="1">
        <f ca="1">IFERROR(__xludf.DUMMYFUNCTION("""COMPUTED_VALUE"""),1673)</f>
        <v>1673</v>
      </c>
      <c r="S47" s="1">
        <f ca="1">IFERROR(__xludf.DUMMYFUNCTION("""COMPUTED_VALUE"""),0.439)</f>
        <v>0.439</v>
      </c>
      <c r="T47" s="1">
        <f ca="1">IFERROR(__xludf.DUMMYFUNCTION("""COMPUTED_VALUE"""),203)</f>
        <v>203</v>
      </c>
      <c r="U47" s="1">
        <f ca="1">IFERROR(__xludf.DUMMYFUNCTION("""COMPUTED_VALUE"""),619)</f>
        <v>619</v>
      </c>
      <c r="V47" s="1">
        <f ca="1">IFERROR(__xludf.DUMMYFUNCTION("""COMPUTED_VALUE"""),0.328)</f>
        <v>0.32800000000000001</v>
      </c>
      <c r="W47" s="1">
        <f ca="1">IFERROR(__xludf.DUMMYFUNCTION("""COMPUTED_VALUE"""),365)</f>
        <v>365</v>
      </c>
      <c r="X47" s="1">
        <f ca="1">IFERROR(__xludf.DUMMYFUNCTION("""COMPUTED_VALUE"""),515)</f>
        <v>515</v>
      </c>
      <c r="Y47" s="1">
        <f ca="1">IFERROR(__xludf.DUMMYFUNCTION("""COMPUTED_VALUE"""),0.709)</f>
        <v>0.70899999999999996</v>
      </c>
      <c r="Z47" s="1">
        <f ca="1">IFERROR(__xludf.DUMMYFUNCTION("""COMPUTED_VALUE"""),218)</f>
        <v>218</v>
      </c>
      <c r="AA47" s="1">
        <f ca="1">IFERROR(__xludf.DUMMYFUNCTION("""COMPUTED_VALUE"""),929)</f>
        <v>929</v>
      </c>
      <c r="AB47" s="1">
        <f ca="1">IFERROR(__xludf.DUMMYFUNCTION("""COMPUTED_VALUE"""),375)</f>
        <v>375</v>
      </c>
      <c r="AC47" s="1">
        <f ca="1">IFERROR(__xludf.DUMMYFUNCTION("""COMPUTED_VALUE"""),196)</f>
        <v>196</v>
      </c>
      <c r="AD47" s="1">
        <f ca="1">IFERROR(__xludf.DUMMYFUNCTION("""COMPUTED_VALUE"""),71)</f>
        <v>71</v>
      </c>
      <c r="AE47" s="1">
        <f ca="1">IFERROR(__xludf.DUMMYFUNCTION("""COMPUTED_VALUE"""),412)</f>
        <v>412</v>
      </c>
      <c r="AF47" s="1">
        <f ca="1">IFERROR(__xludf.DUMMYFUNCTION("""COMPUTED_VALUE"""),596)</f>
        <v>596</v>
      </c>
    </row>
    <row r="48" spans="1:32" ht="12.5" x14ac:dyDescent="0.25">
      <c r="A48" s="1" t="str">
        <f ca="1">IFERROR(__xludf.DUMMYFUNCTION("""COMPUTED_VALUE"""),"UC-Irvine")</f>
        <v>UC-Irvine</v>
      </c>
      <c r="B48" s="1">
        <f ca="1">IFERROR(__xludf.DUMMYFUNCTION("""COMPUTED_VALUE"""),37)</f>
        <v>37</v>
      </c>
      <c r="C48" s="1">
        <f ca="1">IFERROR(__xludf.DUMMYFUNCTION("""COMPUTED_VALUE"""),31)</f>
        <v>31</v>
      </c>
      <c r="D48" s="1">
        <f ca="1">IFERROR(__xludf.DUMMYFUNCTION("""COMPUTED_VALUE"""),6)</f>
        <v>6</v>
      </c>
      <c r="E48" s="1">
        <f ca="1">IFERROR(__xludf.DUMMYFUNCTION("""COMPUTED_VALUE"""),0.838)</f>
        <v>0.83799999999999997</v>
      </c>
      <c r="F48" s="1">
        <f ca="1">IFERROR(__xludf.DUMMYFUNCTION("""COMPUTED_VALUE"""),5.7)</f>
        <v>5.7</v>
      </c>
      <c r="G48" s="1">
        <f ca="1">IFERROR(__xludf.DUMMYFUNCTION("""COMPUTED_VALUE"""),-2.3)</f>
        <v>-2.2999999999999998</v>
      </c>
      <c r="H48" s="1">
        <f ca="1">IFERROR(__xludf.DUMMYFUNCTION("""COMPUTED_VALUE"""),15)</f>
        <v>15</v>
      </c>
      <c r="I48" s="1">
        <f ca="1">IFERROR(__xludf.DUMMYFUNCTION("""COMPUTED_VALUE"""),1)</f>
        <v>1</v>
      </c>
      <c r="J48" s="1">
        <f ca="1">IFERROR(__xludf.DUMMYFUNCTION("""COMPUTED_VALUE"""),12)</f>
        <v>12</v>
      </c>
      <c r="K48" s="1">
        <f ca="1">IFERROR(__xludf.DUMMYFUNCTION("""COMPUTED_VALUE"""),2)</f>
        <v>2</v>
      </c>
      <c r="L48" s="1">
        <f ca="1">IFERROR(__xludf.DUMMYFUNCTION("""COMPUTED_VALUE"""),13)</f>
        <v>13</v>
      </c>
      <c r="M48" s="1">
        <f ca="1">IFERROR(__xludf.DUMMYFUNCTION("""COMPUTED_VALUE"""),2)</f>
        <v>2</v>
      </c>
      <c r="N48" s="1">
        <f ca="1">IFERROR(__xludf.DUMMYFUNCTION("""COMPUTED_VALUE"""),2675)</f>
        <v>2675</v>
      </c>
      <c r="O48" s="1">
        <f ca="1">IFERROR(__xludf.DUMMYFUNCTION("""COMPUTED_VALUE"""),2353)</f>
        <v>2353</v>
      </c>
      <c r="P48" s="1">
        <f ca="1">IFERROR(__xludf.DUMMYFUNCTION("""COMPUTED_VALUE"""),1500)</f>
        <v>1500</v>
      </c>
      <c r="Q48" s="1">
        <f ca="1">IFERROR(__xludf.DUMMYFUNCTION("""COMPUTED_VALUE"""),987)</f>
        <v>987</v>
      </c>
      <c r="R48" s="1">
        <f ca="1">IFERROR(__xludf.DUMMYFUNCTION("""COMPUTED_VALUE"""),2159)</f>
        <v>2159</v>
      </c>
      <c r="S48" s="1">
        <f ca="1">IFERROR(__xludf.DUMMYFUNCTION("""COMPUTED_VALUE"""),0.457)</f>
        <v>0.45700000000000002</v>
      </c>
      <c r="T48" s="1">
        <f ca="1">IFERROR(__xludf.DUMMYFUNCTION("""COMPUTED_VALUE"""),252)</f>
        <v>252</v>
      </c>
      <c r="U48" s="1">
        <f ca="1">IFERROR(__xludf.DUMMYFUNCTION("""COMPUTED_VALUE"""),701)</f>
        <v>701</v>
      </c>
      <c r="V48" s="1">
        <f ca="1">IFERROR(__xludf.DUMMYFUNCTION("""COMPUTED_VALUE"""),0.359)</f>
        <v>0.35899999999999999</v>
      </c>
      <c r="W48" s="1">
        <f ca="1">IFERROR(__xludf.DUMMYFUNCTION("""COMPUTED_VALUE"""),449)</f>
        <v>449</v>
      </c>
      <c r="X48" s="1">
        <f ca="1">IFERROR(__xludf.DUMMYFUNCTION("""COMPUTED_VALUE"""),640)</f>
        <v>640</v>
      </c>
      <c r="Y48" s="1">
        <f ca="1">IFERROR(__xludf.DUMMYFUNCTION("""COMPUTED_VALUE"""),0.702)</f>
        <v>0.70199999999999996</v>
      </c>
      <c r="Z48" s="1">
        <f ca="1">IFERROR(__xludf.DUMMYFUNCTION("""COMPUTED_VALUE"""),429)</f>
        <v>429</v>
      </c>
      <c r="AA48" s="1">
        <f ca="1">IFERROR(__xludf.DUMMYFUNCTION("""COMPUTED_VALUE"""),1471)</f>
        <v>1471</v>
      </c>
      <c r="AB48" s="1">
        <f ca="1">IFERROR(__xludf.DUMMYFUNCTION("""COMPUTED_VALUE"""),479)</f>
        <v>479</v>
      </c>
      <c r="AC48" s="1">
        <f ca="1">IFERROR(__xludf.DUMMYFUNCTION("""COMPUTED_VALUE"""),210)</f>
        <v>210</v>
      </c>
      <c r="AD48" s="1">
        <f ca="1">IFERROR(__xludf.DUMMYFUNCTION("""COMPUTED_VALUE"""),153)</f>
        <v>153</v>
      </c>
      <c r="AE48" s="1">
        <f ca="1">IFERROR(__xludf.DUMMYFUNCTION("""COMPUTED_VALUE"""),441)</f>
        <v>441</v>
      </c>
      <c r="AF48" s="1">
        <f ca="1">IFERROR(__xludf.DUMMYFUNCTION("""COMPUTED_VALUE"""),673)</f>
        <v>673</v>
      </c>
    </row>
    <row r="49" spans="1:32" ht="12.5" x14ac:dyDescent="0.25">
      <c r="A49" s="1" t="str">
        <f ca="1">IFERROR(__xludf.DUMMYFUNCTION("""COMPUTED_VALUE"""),"UC-Riverside")</f>
        <v>UC-Riverside</v>
      </c>
      <c r="B49" s="1">
        <f ca="1">IFERROR(__xludf.DUMMYFUNCTION("""COMPUTED_VALUE"""),33)</f>
        <v>33</v>
      </c>
      <c r="C49" s="1">
        <f ca="1">IFERROR(__xludf.DUMMYFUNCTION("""COMPUTED_VALUE"""),10)</f>
        <v>10</v>
      </c>
      <c r="D49" s="1">
        <f ca="1">IFERROR(__xludf.DUMMYFUNCTION("""COMPUTED_VALUE"""),23)</f>
        <v>23</v>
      </c>
      <c r="E49" s="1">
        <f ca="1">IFERROR(__xludf.DUMMYFUNCTION("""COMPUTED_VALUE"""),0.303)</f>
        <v>0.30299999999999999</v>
      </c>
      <c r="F49" s="1">
        <f ca="1">IFERROR(__xludf.DUMMYFUNCTION("""COMPUTED_VALUE"""),-11.12)</f>
        <v>-11.12</v>
      </c>
      <c r="G49" s="1">
        <f ca="1">IFERROR(__xludf.DUMMYFUNCTION("""COMPUTED_VALUE"""),-3.19)</f>
        <v>-3.19</v>
      </c>
      <c r="H49" s="1">
        <f ca="1">IFERROR(__xludf.DUMMYFUNCTION("""COMPUTED_VALUE"""),4)</f>
        <v>4</v>
      </c>
      <c r="I49" s="1">
        <f ca="1">IFERROR(__xludf.DUMMYFUNCTION("""COMPUTED_VALUE"""),12)</f>
        <v>12</v>
      </c>
      <c r="J49" s="1">
        <f ca="1">IFERROR(__xludf.DUMMYFUNCTION("""COMPUTED_VALUE"""),7)</f>
        <v>7</v>
      </c>
      <c r="K49" s="1">
        <f ca="1">IFERROR(__xludf.DUMMYFUNCTION("""COMPUTED_VALUE"""),7)</f>
        <v>7</v>
      </c>
      <c r="L49" s="1">
        <f ca="1">IFERROR(__xludf.DUMMYFUNCTION("""COMPUTED_VALUE"""),2)</f>
        <v>2</v>
      </c>
      <c r="M49" s="1">
        <f ca="1">IFERROR(__xludf.DUMMYFUNCTION("""COMPUTED_VALUE"""),14)</f>
        <v>14</v>
      </c>
      <c r="N49" s="1">
        <f ca="1">IFERROR(__xludf.DUMMYFUNCTION("""COMPUTED_VALUE"""),2153)</f>
        <v>2153</v>
      </c>
      <c r="O49" s="1">
        <f ca="1">IFERROR(__xludf.DUMMYFUNCTION("""COMPUTED_VALUE"""),2279)</f>
        <v>2279</v>
      </c>
      <c r="P49" s="1">
        <f ca="1">IFERROR(__xludf.DUMMYFUNCTION("""COMPUTED_VALUE"""),1325)</f>
        <v>1325</v>
      </c>
      <c r="Q49" s="1">
        <f ca="1">IFERROR(__xludf.DUMMYFUNCTION("""COMPUTED_VALUE"""),792)</f>
        <v>792</v>
      </c>
      <c r="R49" s="1">
        <f ca="1">IFERROR(__xludf.DUMMYFUNCTION("""COMPUTED_VALUE"""),1787)</f>
        <v>1787</v>
      </c>
      <c r="S49" s="1">
        <f ca="1">IFERROR(__xludf.DUMMYFUNCTION("""COMPUTED_VALUE"""),0.443)</f>
        <v>0.443</v>
      </c>
      <c r="T49" s="1">
        <f ca="1">IFERROR(__xludf.DUMMYFUNCTION("""COMPUTED_VALUE"""),279)</f>
        <v>279</v>
      </c>
      <c r="U49" s="1">
        <f ca="1">IFERROR(__xludf.DUMMYFUNCTION("""COMPUTED_VALUE"""),743)</f>
        <v>743</v>
      </c>
      <c r="V49" s="1">
        <f ca="1">IFERROR(__xludf.DUMMYFUNCTION("""COMPUTED_VALUE"""),0.376)</f>
        <v>0.376</v>
      </c>
      <c r="W49" s="1">
        <f ca="1">IFERROR(__xludf.DUMMYFUNCTION("""COMPUTED_VALUE"""),290)</f>
        <v>290</v>
      </c>
      <c r="X49" s="1">
        <f ca="1">IFERROR(__xludf.DUMMYFUNCTION("""COMPUTED_VALUE"""),424)</f>
        <v>424</v>
      </c>
      <c r="Y49" s="1">
        <f ca="1">IFERROR(__xludf.DUMMYFUNCTION("""COMPUTED_VALUE"""),0.684)</f>
        <v>0.68400000000000005</v>
      </c>
      <c r="Z49" s="1">
        <f ca="1">IFERROR(__xludf.DUMMYFUNCTION("""COMPUTED_VALUE"""),286)</f>
        <v>286</v>
      </c>
      <c r="AA49" s="1">
        <f ca="1">IFERROR(__xludf.DUMMYFUNCTION("""COMPUTED_VALUE"""),1051)</f>
        <v>1051</v>
      </c>
      <c r="AB49" s="1">
        <f ca="1">IFERROR(__xludf.DUMMYFUNCTION("""COMPUTED_VALUE"""),425)</f>
        <v>425</v>
      </c>
      <c r="AC49" s="1">
        <f ca="1">IFERROR(__xludf.DUMMYFUNCTION("""COMPUTED_VALUE"""),164)</f>
        <v>164</v>
      </c>
      <c r="AD49" s="1">
        <f ca="1">IFERROR(__xludf.DUMMYFUNCTION("""COMPUTED_VALUE"""),60)</f>
        <v>60</v>
      </c>
      <c r="AE49" s="1">
        <f ca="1">IFERROR(__xludf.DUMMYFUNCTION("""COMPUTED_VALUE"""),425)</f>
        <v>425</v>
      </c>
      <c r="AF49" s="1">
        <f ca="1">IFERROR(__xludf.DUMMYFUNCTION("""COMPUTED_VALUE"""),562)</f>
        <v>562</v>
      </c>
    </row>
    <row r="50" spans="1:32" ht="12.5" x14ac:dyDescent="0.25">
      <c r="A50" s="1" t="str">
        <f ca="1">IFERROR(__xludf.DUMMYFUNCTION("""COMPUTED_VALUE"""),"UC-Santa Barbara")</f>
        <v>UC-Santa Barbara</v>
      </c>
      <c r="B50" s="1">
        <f ca="1">IFERROR(__xludf.DUMMYFUNCTION("""COMPUTED_VALUE"""),32)</f>
        <v>32</v>
      </c>
      <c r="C50" s="1">
        <f ca="1">IFERROR(__xludf.DUMMYFUNCTION("""COMPUTED_VALUE"""),22)</f>
        <v>22</v>
      </c>
      <c r="D50" s="1">
        <f ca="1">IFERROR(__xludf.DUMMYFUNCTION("""COMPUTED_VALUE"""),10)</f>
        <v>10</v>
      </c>
      <c r="E50" s="1">
        <f ca="1">IFERROR(__xludf.DUMMYFUNCTION("""COMPUTED_VALUE"""),0.688)</f>
        <v>0.68799999999999994</v>
      </c>
      <c r="F50" s="1">
        <f ca="1">IFERROR(__xludf.DUMMYFUNCTION("""COMPUTED_VALUE"""),-1.62)</f>
        <v>-1.62</v>
      </c>
      <c r="G50" s="1">
        <f ca="1">IFERROR(__xludf.DUMMYFUNCTION("""COMPUTED_VALUE"""),-5.55)</f>
        <v>-5.55</v>
      </c>
      <c r="H50" s="1">
        <f ca="1">IFERROR(__xludf.DUMMYFUNCTION("""COMPUTED_VALUE"""),10)</f>
        <v>10</v>
      </c>
      <c r="I50" s="1">
        <f ca="1">IFERROR(__xludf.DUMMYFUNCTION("""COMPUTED_VALUE"""),6)</f>
        <v>6</v>
      </c>
      <c r="J50" s="1">
        <f ca="1">IFERROR(__xludf.DUMMYFUNCTION("""COMPUTED_VALUE"""),12)</f>
        <v>12</v>
      </c>
      <c r="K50" s="1">
        <f ca="1">IFERROR(__xludf.DUMMYFUNCTION("""COMPUTED_VALUE"""),3)</f>
        <v>3</v>
      </c>
      <c r="L50" s="1">
        <f ca="1">IFERROR(__xludf.DUMMYFUNCTION("""COMPUTED_VALUE"""),7)</f>
        <v>7</v>
      </c>
      <c r="M50" s="1">
        <f ca="1">IFERROR(__xludf.DUMMYFUNCTION("""COMPUTED_VALUE"""),6)</f>
        <v>6</v>
      </c>
      <c r="N50" s="1">
        <f ca="1">IFERROR(__xludf.DUMMYFUNCTION("""COMPUTED_VALUE"""),2350)</f>
        <v>2350</v>
      </c>
      <c r="O50" s="1">
        <f ca="1">IFERROR(__xludf.DUMMYFUNCTION("""COMPUTED_VALUE"""),2114)</f>
        <v>2114</v>
      </c>
      <c r="P50" s="1">
        <f ca="1">IFERROR(__xludf.DUMMYFUNCTION("""COMPUTED_VALUE"""),1290)</f>
        <v>1290</v>
      </c>
      <c r="Q50" s="1">
        <f ca="1">IFERROR(__xludf.DUMMYFUNCTION("""COMPUTED_VALUE"""),825)</f>
        <v>825</v>
      </c>
      <c r="R50" s="1">
        <f ca="1">IFERROR(__xludf.DUMMYFUNCTION("""COMPUTED_VALUE"""),1819)</f>
        <v>1819</v>
      </c>
      <c r="S50" s="1">
        <f ca="1">IFERROR(__xludf.DUMMYFUNCTION("""COMPUTED_VALUE"""),0.454)</f>
        <v>0.45400000000000001</v>
      </c>
      <c r="T50" s="1">
        <f ca="1">IFERROR(__xludf.DUMMYFUNCTION("""COMPUTED_VALUE"""),204)</f>
        <v>204</v>
      </c>
      <c r="U50" s="1">
        <f ca="1">IFERROR(__xludf.DUMMYFUNCTION("""COMPUTED_VALUE"""),594)</f>
        <v>594</v>
      </c>
      <c r="V50" s="1">
        <f ca="1">IFERROR(__xludf.DUMMYFUNCTION("""COMPUTED_VALUE"""),0.343)</f>
        <v>0.34300000000000003</v>
      </c>
      <c r="W50" s="1">
        <f ca="1">IFERROR(__xludf.DUMMYFUNCTION("""COMPUTED_VALUE"""),496)</f>
        <v>496</v>
      </c>
      <c r="X50" s="1">
        <f ca="1">IFERROR(__xludf.DUMMYFUNCTION("""COMPUTED_VALUE"""),693)</f>
        <v>693</v>
      </c>
      <c r="Y50" s="1">
        <f ca="1">IFERROR(__xludf.DUMMYFUNCTION("""COMPUTED_VALUE"""),0.716)</f>
        <v>0.71599999999999997</v>
      </c>
      <c r="Z50" s="1">
        <f ca="1">IFERROR(__xludf.DUMMYFUNCTION("""COMPUTED_VALUE"""),379)</f>
        <v>379</v>
      </c>
      <c r="AA50" s="1">
        <f ca="1">IFERROR(__xludf.DUMMYFUNCTION("""COMPUTED_VALUE"""),1204)</f>
        <v>1204</v>
      </c>
      <c r="AB50" s="1">
        <f ca="1">IFERROR(__xludf.DUMMYFUNCTION("""COMPUTED_VALUE"""),431)</f>
        <v>431</v>
      </c>
      <c r="AC50" s="1">
        <f ca="1">IFERROR(__xludf.DUMMYFUNCTION("""COMPUTED_VALUE"""),159)</f>
        <v>159</v>
      </c>
      <c r="AD50" s="1">
        <f ca="1">IFERROR(__xludf.DUMMYFUNCTION("""COMPUTED_VALUE"""),106)</f>
        <v>106</v>
      </c>
      <c r="AE50" s="1">
        <f ca="1">IFERROR(__xludf.DUMMYFUNCTION("""COMPUTED_VALUE"""),355)</f>
        <v>355</v>
      </c>
      <c r="AF50" s="1">
        <f ca="1">IFERROR(__xludf.DUMMYFUNCTION("""COMPUTED_VALUE"""),558)</f>
        <v>558</v>
      </c>
    </row>
    <row r="51" spans="1:32" ht="12.5" x14ac:dyDescent="0.25">
      <c r="A51" s="1" t="str">
        <f ca="1">IFERROR(__xludf.DUMMYFUNCTION("""COMPUTED_VALUE"""),"University of California")</f>
        <v>University of California</v>
      </c>
      <c r="B51" s="1">
        <f ca="1">IFERROR(__xludf.DUMMYFUNCTION("""COMPUTED_VALUE"""),31)</f>
        <v>31</v>
      </c>
      <c r="C51" s="1">
        <f ca="1">IFERROR(__xludf.DUMMYFUNCTION("""COMPUTED_VALUE"""),8)</f>
        <v>8</v>
      </c>
      <c r="D51" s="1">
        <f ca="1">IFERROR(__xludf.DUMMYFUNCTION("""COMPUTED_VALUE"""),23)</f>
        <v>23</v>
      </c>
      <c r="E51" s="1">
        <f ca="1">IFERROR(__xludf.DUMMYFUNCTION("""COMPUTED_VALUE"""),0.258)</f>
        <v>0.25800000000000001</v>
      </c>
      <c r="F51" s="1">
        <f ca="1">IFERROR(__xludf.DUMMYFUNCTION("""COMPUTED_VALUE"""),-3.16)</f>
        <v>-3.16</v>
      </c>
      <c r="G51" s="1">
        <f ca="1">IFERROR(__xludf.DUMMYFUNCTION("""COMPUTED_VALUE"""),5.42)</f>
        <v>5.42</v>
      </c>
      <c r="H51" s="1">
        <f ca="1">IFERROR(__xludf.DUMMYFUNCTION("""COMPUTED_VALUE"""),3)</f>
        <v>3</v>
      </c>
      <c r="I51" s="1">
        <f ca="1">IFERROR(__xludf.DUMMYFUNCTION("""COMPUTED_VALUE"""),15)</f>
        <v>15</v>
      </c>
      <c r="J51" s="1">
        <f ca="1">IFERROR(__xludf.DUMMYFUNCTION("""COMPUTED_VALUE"""),7)</f>
        <v>7</v>
      </c>
      <c r="K51" s="1">
        <f ca="1">IFERROR(__xludf.DUMMYFUNCTION("""COMPUTED_VALUE"""),9)</f>
        <v>9</v>
      </c>
      <c r="L51" s="1">
        <f ca="1">IFERROR(__xludf.DUMMYFUNCTION("""COMPUTED_VALUE"""),1)</f>
        <v>1</v>
      </c>
      <c r="M51" s="1">
        <f ca="1">IFERROR(__xludf.DUMMYFUNCTION("""COMPUTED_VALUE"""),10)</f>
        <v>10</v>
      </c>
      <c r="N51" s="1">
        <f ca="1">IFERROR(__xludf.DUMMYFUNCTION("""COMPUTED_VALUE"""),2121)</f>
        <v>2121</v>
      </c>
      <c r="O51" s="1">
        <f ca="1">IFERROR(__xludf.DUMMYFUNCTION("""COMPUTED_VALUE"""),2387)</f>
        <v>2387</v>
      </c>
      <c r="P51" s="1">
        <f ca="1">IFERROR(__xludf.DUMMYFUNCTION("""COMPUTED_VALUE"""),1245)</f>
        <v>1245</v>
      </c>
      <c r="Q51" s="1">
        <f ca="1">IFERROR(__xludf.DUMMYFUNCTION("""COMPUTED_VALUE"""),739)</f>
        <v>739</v>
      </c>
      <c r="R51" s="1">
        <f ca="1">IFERROR(__xludf.DUMMYFUNCTION("""COMPUTED_VALUE"""),1735)</f>
        <v>1735</v>
      </c>
      <c r="S51" s="1">
        <f ca="1">IFERROR(__xludf.DUMMYFUNCTION("""COMPUTED_VALUE"""),0.426)</f>
        <v>0.42599999999999999</v>
      </c>
      <c r="T51" s="1">
        <f ca="1">IFERROR(__xludf.DUMMYFUNCTION("""COMPUTED_VALUE"""),207)</f>
        <v>207</v>
      </c>
      <c r="U51" s="1">
        <f ca="1">IFERROR(__xludf.DUMMYFUNCTION("""COMPUTED_VALUE"""),592)</f>
        <v>592</v>
      </c>
      <c r="V51" s="1">
        <f ca="1">IFERROR(__xludf.DUMMYFUNCTION("""COMPUTED_VALUE"""),0.35)</f>
        <v>0.35</v>
      </c>
      <c r="W51" s="1">
        <f ca="1">IFERROR(__xludf.DUMMYFUNCTION("""COMPUTED_VALUE"""),436)</f>
        <v>436</v>
      </c>
      <c r="X51" s="1">
        <f ca="1">IFERROR(__xludf.DUMMYFUNCTION("""COMPUTED_VALUE"""),603)</f>
        <v>603</v>
      </c>
      <c r="Y51" s="1">
        <f ca="1">IFERROR(__xludf.DUMMYFUNCTION("""COMPUTED_VALUE"""),0.723)</f>
        <v>0.72299999999999998</v>
      </c>
      <c r="Z51" s="1">
        <f ca="1">IFERROR(__xludf.DUMMYFUNCTION("""COMPUTED_VALUE"""),249)</f>
        <v>249</v>
      </c>
      <c r="AA51" s="1">
        <f ca="1">IFERROR(__xludf.DUMMYFUNCTION("""COMPUTED_VALUE"""),900)</f>
        <v>900</v>
      </c>
      <c r="AB51" s="1">
        <f ca="1">IFERROR(__xludf.DUMMYFUNCTION("""COMPUTED_VALUE"""),338)</f>
        <v>338</v>
      </c>
      <c r="AC51" s="1">
        <f ca="1">IFERROR(__xludf.DUMMYFUNCTION("""COMPUTED_VALUE"""),227)</f>
        <v>227</v>
      </c>
      <c r="AD51" s="1">
        <f ca="1">IFERROR(__xludf.DUMMYFUNCTION("""COMPUTED_VALUE"""),99)</f>
        <v>99</v>
      </c>
      <c r="AE51" s="1">
        <f ca="1">IFERROR(__xludf.DUMMYFUNCTION("""COMPUTED_VALUE"""),352)</f>
        <v>352</v>
      </c>
      <c r="AF51" s="1">
        <f ca="1">IFERROR(__xludf.DUMMYFUNCTION("""COMPUTED_VALUE"""),574)</f>
        <v>574</v>
      </c>
    </row>
    <row r="52" spans="1:32" ht="12.5" x14ac:dyDescent="0.25">
      <c r="A52" s="1" t="str">
        <f ca="1">IFERROR(__xludf.DUMMYFUNCTION("""COMPUTED_VALUE"""),"Campbell")</f>
        <v>Campbell</v>
      </c>
      <c r="B52" s="1">
        <f ca="1">IFERROR(__xludf.DUMMYFUNCTION("""COMPUTED_VALUE"""),33)</f>
        <v>33</v>
      </c>
      <c r="C52" s="1">
        <f ca="1">IFERROR(__xludf.DUMMYFUNCTION("""COMPUTED_VALUE"""),20)</f>
        <v>20</v>
      </c>
      <c r="D52" s="1">
        <f ca="1">IFERROR(__xludf.DUMMYFUNCTION("""COMPUTED_VALUE"""),13)</f>
        <v>13</v>
      </c>
      <c r="E52" s="1">
        <f ca="1">IFERROR(__xludf.DUMMYFUNCTION("""COMPUTED_VALUE"""),0.606)</f>
        <v>0.60599999999999998</v>
      </c>
      <c r="F52" s="1">
        <f ca="1">IFERROR(__xludf.DUMMYFUNCTION("""COMPUTED_VALUE"""),-3.62)</f>
        <v>-3.62</v>
      </c>
      <c r="G52" s="1">
        <f ca="1">IFERROR(__xludf.DUMMYFUNCTION("""COMPUTED_VALUE"""),-4.39)</f>
        <v>-4.3899999999999997</v>
      </c>
      <c r="H52" s="1">
        <f ca="1">IFERROR(__xludf.DUMMYFUNCTION("""COMPUTED_VALUE"""),12)</f>
        <v>12</v>
      </c>
      <c r="I52" s="1">
        <f ca="1">IFERROR(__xludf.DUMMYFUNCTION("""COMPUTED_VALUE"""),4)</f>
        <v>4</v>
      </c>
      <c r="J52" s="1">
        <f ca="1">IFERROR(__xludf.DUMMYFUNCTION("""COMPUTED_VALUE"""),12)</f>
        <v>12</v>
      </c>
      <c r="K52" s="1">
        <f ca="1">IFERROR(__xludf.DUMMYFUNCTION("""COMPUTED_VALUE"""),4)</f>
        <v>4</v>
      </c>
      <c r="L52" s="1">
        <f ca="1">IFERROR(__xludf.DUMMYFUNCTION("""COMPUTED_VALUE"""),5)</f>
        <v>5</v>
      </c>
      <c r="M52" s="1">
        <f ca="1">IFERROR(__xludf.DUMMYFUNCTION("""COMPUTED_VALUE"""),8)</f>
        <v>8</v>
      </c>
      <c r="N52" s="1">
        <f ca="1">IFERROR(__xludf.DUMMYFUNCTION("""COMPUTED_VALUE"""),2495)</f>
        <v>2495</v>
      </c>
      <c r="O52" s="1">
        <f ca="1">IFERROR(__xludf.DUMMYFUNCTION("""COMPUTED_VALUE"""),2328)</f>
        <v>2328</v>
      </c>
      <c r="P52" s="1">
        <f ca="1">IFERROR(__xludf.DUMMYFUNCTION("""COMPUTED_VALUE"""),1325)</f>
        <v>1325</v>
      </c>
      <c r="Q52" s="1">
        <f ca="1">IFERROR(__xludf.DUMMYFUNCTION("""COMPUTED_VALUE"""),867)</f>
        <v>867</v>
      </c>
      <c r="R52" s="1">
        <f ca="1">IFERROR(__xludf.DUMMYFUNCTION("""COMPUTED_VALUE"""),1906)</f>
        <v>1906</v>
      </c>
      <c r="S52" s="1">
        <f ca="1">IFERROR(__xludf.DUMMYFUNCTION("""COMPUTED_VALUE"""),0.455)</f>
        <v>0.45500000000000002</v>
      </c>
      <c r="T52" s="1">
        <f ca="1">IFERROR(__xludf.DUMMYFUNCTION("""COMPUTED_VALUE"""),313)</f>
        <v>313</v>
      </c>
      <c r="U52" s="1">
        <f ca="1">IFERROR(__xludf.DUMMYFUNCTION("""COMPUTED_VALUE"""),912)</f>
        <v>912</v>
      </c>
      <c r="V52" s="1">
        <f ca="1">IFERROR(__xludf.DUMMYFUNCTION("""COMPUTED_VALUE"""),0.343)</f>
        <v>0.34300000000000003</v>
      </c>
      <c r="W52" s="1">
        <f ca="1">IFERROR(__xludf.DUMMYFUNCTION("""COMPUTED_VALUE"""),448)</f>
        <v>448</v>
      </c>
      <c r="X52" s="1">
        <f ca="1">IFERROR(__xludf.DUMMYFUNCTION("""COMPUTED_VALUE"""),590)</f>
        <v>590</v>
      </c>
      <c r="Y52" s="1">
        <f ca="1">IFERROR(__xludf.DUMMYFUNCTION("""COMPUTED_VALUE"""),0.759)</f>
        <v>0.75900000000000001</v>
      </c>
      <c r="Z52" s="1">
        <f ca="1">IFERROR(__xludf.DUMMYFUNCTION("""COMPUTED_VALUE"""),266)</f>
        <v>266</v>
      </c>
      <c r="AA52" s="1">
        <f ca="1">IFERROR(__xludf.DUMMYFUNCTION("""COMPUTED_VALUE"""),1050)</f>
        <v>1050</v>
      </c>
      <c r="AB52" s="1">
        <f ca="1">IFERROR(__xludf.DUMMYFUNCTION("""COMPUTED_VALUE"""),482)</f>
        <v>482</v>
      </c>
      <c r="AC52" s="1">
        <f ca="1">IFERROR(__xludf.DUMMYFUNCTION("""COMPUTED_VALUE"""),218)</f>
        <v>218</v>
      </c>
      <c r="AD52" s="1">
        <f ca="1">IFERROR(__xludf.DUMMYFUNCTION("""COMPUTED_VALUE"""),104)</f>
        <v>104</v>
      </c>
      <c r="AE52" s="1">
        <f ca="1">IFERROR(__xludf.DUMMYFUNCTION("""COMPUTED_VALUE"""),337)</f>
        <v>337</v>
      </c>
      <c r="AF52" s="1">
        <f ca="1">IFERROR(__xludf.DUMMYFUNCTION("""COMPUTED_VALUE"""),522)</f>
        <v>522</v>
      </c>
    </row>
    <row r="53" spans="1:32" ht="12.5" x14ac:dyDescent="0.25">
      <c r="A53" s="1" t="str">
        <f ca="1">IFERROR(__xludf.DUMMYFUNCTION("""COMPUTED_VALUE"""),"Canisius")</f>
        <v>Canisius</v>
      </c>
      <c r="B53" s="1">
        <f ca="1">IFERROR(__xludf.DUMMYFUNCTION("""COMPUTED_VALUE"""),32)</f>
        <v>32</v>
      </c>
      <c r="C53" s="1">
        <f ca="1">IFERROR(__xludf.DUMMYFUNCTION("""COMPUTED_VALUE"""),15)</f>
        <v>15</v>
      </c>
      <c r="D53" s="1">
        <f ca="1">IFERROR(__xludf.DUMMYFUNCTION("""COMPUTED_VALUE"""),17)</f>
        <v>17</v>
      </c>
      <c r="E53" s="1">
        <f ca="1">IFERROR(__xludf.DUMMYFUNCTION("""COMPUTED_VALUE"""),0.469)</f>
        <v>0.46899999999999997</v>
      </c>
      <c r="F53" s="1">
        <f ca="1">IFERROR(__xludf.DUMMYFUNCTION("""COMPUTED_VALUE"""),-8.79)</f>
        <v>-8.7899999999999991</v>
      </c>
      <c r="G53" s="1">
        <f ca="1">IFERROR(__xludf.DUMMYFUNCTION("""COMPUTED_VALUE"""),-4.85)</f>
        <v>-4.8499999999999996</v>
      </c>
      <c r="H53" s="1">
        <f ca="1">IFERROR(__xludf.DUMMYFUNCTION("""COMPUTED_VALUE"""),11)</f>
        <v>11</v>
      </c>
      <c r="I53" s="1">
        <f ca="1">IFERROR(__xludf.DUMMYFUNCTION("""COMPUTED_VALUE"""),7)</f>
        <v>7</v>
      </c>
      <c r="J53" s="1">
        <f ca="1">IFERROR(__xludf.DUMMYFUNCTION("""COMPUTED_VALUE"""),5)</f>
        <v>5</v>
      </c>
      <c r="K53" s="1">
        <f ca="1">IFERROR(__xludf.DUMMYFUNCTION("""COMPUTED_VALUE"""),8)</f>
        <v>8</v>
      </c>
      <c r="L53" s="1">
        <f ca="1">IFERROR(__xludf.DUMMYFUNCTION("""COMPUTED_VALUE"""),9)</f>
        <v>9</v>
      </c>
      <c r="M53" s="1">
        <f ca="1">IFERROR(__xludf.DUMMYFUNCTION("""COMPUTED_VALUE"""),5)</f>
        <v>5</v>
      </c>
      <c r="N53" s="1">
        <f ca="1">IFERROR(__xludf.DUMMYFUNCTION("""COMPUTED_VALUE"""),2250)</f>
        <v>2250</v>
      </c>
      <c r="O53" s="1">
        <f ca="1">IFERROR(__xludf.DUMMYFUNCTION("""COMPUTED_VALUE"""),2376)</f>
        <v>2376</v>
      </c>
      <c r="P53" s="1">
        <f ca="1">IFERROR(__xludf.DUMMYFUNCTION("""COMPUTED_VALUE"""),1295)</f>
        <v>1295</v>
      </c>
      <c r="Q53" s="1">
        <f ca="1">IFERROR(__xludf.DUMMYFUNCTION("""COMPUTED_VALUE"""),798)</f>
        <v>798</v>
      </c>
      <c r="R53" s="1">
        <f ca="1">IFERROR(__xludf.DUMMYFUNCTION("""COMPUTED_VALUE"""),1834)</f>
        <v>1834</v>
      </c>
      <c r="S53" s="1">
        <f ca="1">IFERROR(__xludf.DUMMYFUNCTION("""COMPUTED_VALUE"""),0.435)</f>
        <v>0.435</v>
      </c>
      <c r="T53" s="1">
        <f ca="1">IFERROR(__xludf.DUMMYFUNCTION("""COMPUTED_VALUE"""),256)</f>
        <v>256</v>
      </c>
      <c r="U53" s="1">
        <f ca="1">IFERROR(__xludf.DUMMYFUNCTION("""COMPUTED_VALUE"""),791)</f>
        <v>791</v>
      </c>
      <c r="V53" s="1">
        <f ca="1">IFERROR(__xludf.DUMMYFUNCTION("""COMPUTED_VALUE"""),0.324)</f>
        <v>0.32400000000000001</v>
      </c>
      <c r="W53" s="1">
        <f ca="1">IFERROR(__xludf.DUMMYFUNCTION("""COMPUTED_VALUE"""),398)</f>
        <v>398</v>
      </c>
      <c r="X53" s="1">
        <f ca="1">IFERROR(__xludf.DUMMYFUNCTION("""COMPUTED_VALUE"""),575)</f>
        <v>575</v>
      </c>
      <c r="Y53" s="1">
        <f ca="1">IFERROR(__xludf.DUMMYFUNCTION("""COMPUTED_VALUE"""),0.692)</f>
        <v>0.69199999999999995</v>
      </c>
      <c r="Z53" s="1">
        <f ca="1">IFERROR(__xludf.DUMMYFUNCTION("""COMPUTED_VALUE"""),300)</f>
        <v>300</v>
      </c>
      <c r="AA53" s="1">
        <f ca="1">IFERROR(__xludf.DUMMYFUNCTION("""COMPUTED_VALUE"""),1026)</f>
        <v>1026</v>
      </c>
      <c r="AB53" s="1">
        <f ca="1">IFERROR(__xludf.DUMMYFUNCTION("""COMPUTED_VALUE"""),466)</f>
        <v>466</v>
      </c>
      <c r="AC53" s="1">
        <f ca="1">IFERROR(__xludf.DUMMYFUNCTION("""COMPUTED_VALUE"""),204)</f>
        <v>204</v>
      </c>
      <c r="AD53" s="1">
        <f ca="1">IFERROR(__xludf.DUMMYFUNCTION("""COMPUTED_VALUE"""),108)</f>
        <v>108</v>
      </c>
      <c r="AE53" s="1">
        <f ca="1">IFERROR(__xludf.DUMMYFUNCTION("""COMPUTED_VALUE"""),412)</f>
        <v>412</v>
      </c>
      <c r="AF53" s="1">
        <f ca="1">IFERROR(__xludf.DUMMYFUNCTION("""COMPUTED_VALUE"""),627)</f>
        <v>627</v>
      </c>
    </row>
    <row r="54" spans="1:32" ht="12.5" x14ac:dyDescent="0.25">
      <c r="A54" s="1" t="str">
        <f ca="1">IFERROR(__xludf.DUMMYFUNCTION("""COMPUTED_VALUE"""),"Central Arkansas")</f>
        <v>Central Arkansas</v>
      </c>
      <c r="B54" s="1">
        <f ca="1">IFERROR(__xludf.DUMMYFUNCTION("""COMPUTED_VALUE"""),33)</f>
        <v>33</v>
      </c>
      <c r="C54" s="1">
        <f ca="1">IFERROR(__xludf.DUMMYFUNCTION("""COMPUTED_VALUE"""),14)</f>
        <v>14</v>
      </c>
      <c r="D54" s="1">
        <f ca="1">IFERROR(__xludf.DUMMYFUNCTION("""COMPUTED_VALUE"""),19)</f>
        <v>19</v>
      </c>
      <c r="E54" s="1">
        <f ca="1">IFERROR(__xludf.DUMMYFUNCTION("""COMPUTED_VALUE"""),0.424)</f>
        <v>0.42399999999999999</v>
      </c>
      <c r="F54" s="1">
        <f ca="1">IFERROR(__xludf.DUMMYFUNCTION("""COMPUTED_VALUE"""),-11.37)</f>
        <v>-11.37</v>
      </c>
      <c r="G54" s="1">
        <f ca="1">IFERROR(__xludf.DUMMYFUNCTION("""COMPUTED_VALUE"""),-4.81)</f>
        <v>-4.8099999999999996</v>
      </c>
      <c r="H54" s="1">
        <f ca="1">IFERROR(__xludf.DUMMYFUNCTION("""COMPUTED_VALUE"""),8)</f>
        <v>8</v>
      </c>
      <c r="I54" s="1">
        <f ca="1">IFERROR(__xludf.DUMMYFUNCTION("""COMPUTED_VALUE"""),10)</f>
        <v>10</v>
      </c>
      <c r="J54" s="1">
        <f ca="1">IFERROR(__xludf.DUMMYFUNCTION("""COMPUTED_VALUE"""),8)</f>
        <v>8</v>
      </c>
      <c r="K54" s="1">
        <f ca="1">IFERROR(__xludf.DUMMYFUNCTION("""COMPUTED_VALUE"""),5)</f>
        <v>5</v>
      </c>
      <c r="L54" s="1">
        <f ca="1">IFERROR(__xludf.DUMMYFUNCTION("""COMPUTED_VALUE"""),5)</f>
        <v>5</v>
      </c>
      <c r="M54" s="1">
        <f ca="1">IFERROR(__xludf.DUMMYFUNCTION("""COMPUTED_VALUE"""),13)</f>
        <v>13</v>
      </c>
      <c r="N54" s="1">
        <f ca="1">IFERROR(__xludf.DUMMYFUNCTION("""COMPUTED_VALUE"""),2383)</f>
        <v>2383</v>
      </c>
      <c r="O54" s="1">
        <f ca="1">IFERROR(__xludf.DUMMYFUNCTION("""COMPUTED_VALUE"""),2498)</f>
        <v>2498</v>
      </c>
      <c r="P54" s="1">
        <f ca="1">IFERROR(__xludf.DUMMYFUNCTION("""COMPUTED_VALUE"""),1330)</f>
        <v>1330</v>
      </c>
      <c r="Q54" s="1">
        <f ca="1">IFERROR(__xludf.DUMMYFUNCTION("""COMPUTED_VALUE"""),810)</f>
        <v>810</v>
      </c>
      <c r="R54" s="1">
        <f ca="1">IFERROR(__xludf.DUMMYFUNCTION("""COMPUTED_VALUE"""),1903)</f>
        <v>1903</v>
      </c>
      <c r="S54" s="1">
        <f ca="1">IFERROR(__xludf.DUMMYFUNCTION("""COMPUTED_VALUE"""),0.426)</f>
        <v>0.42599999999999999</v>
      </c>
      <c r="T54" s="1">
        <f ca="1">IFERROR(__xludf.DUMMYFUNCTION("""COMPUTED_VALUE"""),276)</f>
        <v>276</v>
      </c>
      <c r="U54" s="1">
        <f ca="1">IFERROR(__xludf.DUMMYFUNCTION("""COMPUTED_VALUE"""),784)</f>
        <v>784</v>
      </c>
      <c r="V54" s="1">
        <f ca="1">IFERROR(__xludf.DUMMYFUNCTION("""COMPUTED_VALUE"""),0.352)</f>
        <v>0.35199999999999998</v>
      </c>
      <c r="W54" s="1">
        <f ca="1">IFERROR(__xludf.DUMMYFUNCTION("""COMPUTED_VALUE"""),487)</f>
        <v>487</v>
      </c>
      <c r="X54" s="1">
        <f ca="1">IFERROR(__xludf.DUMMYFUNCTION("""COMPUTED_VALUE"""),667)</f>
        <v>667</v>
      </c>
      <c r="Y54" s="1">
        <f ca="1">IFERROR(__xludf.DUMMYFUNCTION("""COMPUTED_VALUE"""),0.73)</f>
        <v>0.73</v>
      </c>
      <c r="Z54" s="1">
        <f ca="1">IFERROR(__xludf.DUMMYFUNCTION("""COMPUTED_VALUE"""),299)</f>
        <v>299</v>
      </c>
      <c r="AA54" s="1">
        <f ca="1">IFERROR(__xludf.DUMMYFUNCTION("""COMPUTED_VALUE"""),1164)</f>
        <v>1164</v>
      </c>
      <c r="AB54" s="1">
        <f ca="1">IFERROR(__xludf.DUMMYFUNCTION("""COMPUTED_VALUE"""),463)</f>
        <v>463</v>
      </c>
      <c r="AC54" s="1">
        <f ca="1">IFERROR(__xludf.DUMMYFUNCTION("""COMPUTED_VALUE"""),202)</f>
        <v>202</v>
      </c>
      <c r="AD54" s="1">
        <f ca="1">IFERROR(__xludf.DUMMYFUNCTION("""COMPUTED_VALUE"""),120)</f>
        <v>120</v>
      </c>
      <c r="AE54" s="1">
        <f ca="1">IFERROR(__xludf.DUMMYFUNCTION("""COMPUTED_VALUE"""),478)</f>
        <v>478</v>
      </c>
      <c r="AF54" s="1">
        <f ca="1">IFERROR(__xludf.DUMMYFUNCTION("""COMPUTED_VALUE"""),611)</f>
        <v>611</v>
      </c>
    </row>
    <row r="55" spans="1:32" ht="12.5" x14ac:dyDescent="0.25">
      <c r="A55" s="1" t="str">
        <f ca="1">IFERROR(__xludf.DUMMYFUNCTION("""COMPUTED_VALUE"""),"Central Connecticut State")</f>
        <v>Central Connecticut State</v>
      </c>
      <c r="B55" s="1">
        <f ca="1">IFERROR(__xludf.DUMMYFUNCTION("""COMPUTED_VALUE"""),31)</f>
        <v>31</v>
      </c>
      <c r="C55" s="1">
        <f ca="1">IFERROR(__xludf.DUMMYFUNCTION("""COMPUTED_VALUE"""),11)</f>
        <v>11</v>
      </c>
      <c r="D55" s="1">
        <f ca="1">IFERROR(__xludf.DUMMYFUNCTION("""COMPUTED_VALUE"""),20)</f>
        <v>20</v>
      </c>
      <c r="E55" s="1">
        <f ca="1">IFERROR(__xludf.DUMMYFUNCTION("""COMPUTED_VALUE"""),0.355)</f>
        <v>0.35499999999999998</v>
      </c>
      <c r="F55" s="1">
        <f ca="1">IFERROR(__xludf.DUMMYFUNCTION("""COMPUTED_VALUE"""),-14.02)</f>
        <v>-14.02</v>
      </c>
      <c r="G55" s="1">
        <f ca="1">IFERROR(__xludf.DUMMYFUNCTION("""COMPUTED_VALUE"""),-6.71)</f>
        <v>-6.71</v>
      </c>
      <c r="H55" s="1">
        <f ca="1">IFERROR(__xludf.DUMMYFUNCTION("""COMPUTED_VALUE"""),5)</f>
        <v>5</v>
      </c>
      <c r="I55" s="1">
        <f ca="1">IFERROR(__xludf.DUMMYFUNCTION("""COMPUTED_VALUE"""),13)</f>
        <v>13</v>
      </c>
      <c r="J55" s="1">
        <f ca="1">IFERROR(__xludf.DUMMYFUNCTION("""COMPUTED_VALUE"""),5)</f>
        <v>5</v>
      </c>
      <c r="K55" s="1">
        <f ca="1">IFERROR(__xludf.DUMMYFUNCTION("""COMPUTED_VALUE"""),7)</f>
        <v>7</v>
      </c>
      <c r="L55" s="1">
        <f ca="1">IFERROR(__xludf.DUMMYFUNCTION("""COMPUTED_VALUE"""),5)</f>
        <v>5</v>
      </c>
      <c r="M55" s="1">
        <f ca="1">IFERROR(__xludf.DUMMYFUNCTION("""COMPUTED_VALUE"""),12)</f>
        <v>12</v>
      </c>
      <c r="N55" s="1">
        <f ca="1">IFERROR(__xludf.DUMMYFUNCTION("""COMPUTED_VALUE"""),2205)</f>
        <v>2205</v>
      </c>
      <c r="O55" s="1">
        <f ca="1">IFERROR(__xludf.DUMMYFUNCTION("""COMPUTED_VALUE"""),2367)</f>
        <v>2367</v>
      </c>
      <c r="P55" s="1">
        <f ca="1">IFERROR(__xludf.DUMMYFUNCTION("""COMPUTED_VALUE"""),1260)</f>
        <v>1260</v>
      </c>
      <c r="Q55" s="1">
        <f ca="1">IFERROR(__xludf.DUMMYFUNCTION("""COMPUTED_VALUE"""),754)</f>
        <v>754</v>
      </c>
      <c r="R55" s="1">
        <f ca="1">IFERROR(__xludf.DUMMYFUNCTION("""COMPUTED_VALUE"""),1821)</f>
        <v>1821</v>
      </c>
      <c r="S55" s="1">
        <f ca="1">IFERROR(__xludf.DUMMYFUNCTION("""COMPUTED_VALUE"""),0.414)</f>
        <v>0.41399999999999998</v>
      </c>
      <c r="T55" s="1">
        <f ca="1">IFERROR(__xludf.DUMMYFUNCTION("""COMPUTED_VALUE"""),201)</f>
        <v>201</v>
      </c>
      <c r="U55" s="1">
        <f ca="1">IFERROR(__xludf.DUMMYFUNCTION("""COMPUTED_VALUE"""),612)</f>
        <v>612</v>
      </c>
      <c r="V55" s="1">
        <f ca="1">IFERROR(__xludf.DUMMYFUNCTION("""COMPUTED_VALUE"""),0.328)</f>
        <v>0.32800000000000001</v>
      </c>
      <c r="W55" s="1">
        <f ca="1">IFERROR(__xludf.DUMMYFUNCTION("""COMPUTED_VALUE"""),496)</f>
        <v>496</v>
      </c>
      <c r="X55" s="1">
        <f ca="1">IFERROR(__xludf.DUMMYFUNCTION("""COMPUTED_VALUE"""),634)</f>
        <v>634</v>
      </c>
      <c r="Y55" s="1">
        <f ca="1">IFERROR(__xludf.DUMMYFUNCTION("""COMPUTED_VALUE"""),0.782)</f>
        <v>0.78200000000000003</v>
      </c>
      <c r="Z55" s="1">
        <f ca="1">IFERROR(__xludf.DUMMYFUNCTION("""COMPUTED_VALUE"""),332)</f>
        <v>332</v>
      </c>
      <c r="AA55" s="1">
        <f ca="1">IFERROR(__xludf.DUMMYFUNCTION("""COMPUTED_VALUE"""),1107)</f>
        <v>1107</v>
      </c>
      <c r="AB55" s="1">
        <f ca="1">IFERROR(__xludf.DUMMYFUNCTION("""COMPUTED_VALUE"""),353)</f>
        <v>353</v>
      </c>
      <c r="AC55" s="1">
        <f ca="1">IFERROR(__xludf.DUMMYFUNCTION("""COMPUTED_VALUE"""),172)</f>
        <v>172</v>
      </c>
      <c r="AD55" s="1">
        <f ca="1">IFERROR(__xludf.DUMMYFUNCTION("""COMPUTED_VALUE"""),110)</f>
        <v>110</v>
      </c>
      <c r="AE55" s="1">
        <f ca="1">IFERROR(__xludf.DUMMYFUNCTION("""COMPUTED_VALUE"""),427)</f>
        <v>427</v>
      </c>
      <c r="AF55" s="1">
        <f ca="1">IFERROR(__xludf.DUMMYFUNCTION("""COMPUTED_VALUE"""),597)</f>
        <v>597</v>
      </c>
    </row>
    <row r="56" spans="1:32" ht="12.5" x14ac:dyDescent="0.25">
      <c r="A56" s="1" t="str">
        <f ca="1">IFERROR(__xludf.DUMMYFUNCTION("""COMPUTED_VALUE"""),"Central Florida")</f>
        <v>Central Florida</v>
      </c>
      <c r="B56" s="1">
        <f ca="1">IFERROR(__xludf.DUMMYFUNCTION("""COMPUTED_VALUE"""),33)</f>
        <v>33</v>
      </c>
      <c r="C56" s="1">
        <f ca="1">IFERROR(__xludf.DUMMYFUNCTION("""COMPUTED_VALUE"""),24)</f>
        <v>24</v>
      </c>
      <c r="D56" s="1">
        <f ca="1">IFERROR(__xludf.DUMMYFUNCTION("""COMPUTED_VALUE"""),9)</f>
        <v>9</v>
      </c>
      <c r="E56" s="1">
        <f ca="1">IFERROR(__xludf.DUMMYFUNCTION("""COMPUTED_VALUE"""),0.727)</f>
        <v>0.72699999999999998</v>
      </c>
      <c r="F56" s="1">
        <f ca="1">IFERROR(__xludf.DUMMYFUNCTION("""COMPUTED_VALUE"""),13.37)</f>
        <v>13.37</v>
      </c>
      <c r="G56" s="1">
        <f ca="1">IFERROR(__xludf.DUMMYFUNCTION("""COMPUTED_VALUE"""),5.58)</f>
        <v>5.58</v>
      </c>
      <c r="H56" s="1">
        <f ca="1">IFERROR(__xludf.DUMMYFUNCTION("""COMPUTED_VALUE"""),13)</f>
        <v>13</v>
      </c>
      <c r="I56" s="1">
        <f ca="1">IFERROR(__xludf.DUMMYFUNCTION("""COMPUTED_VALUE"""),5)</f>
        <v>5</v>
      </c>
      <c r="J56" s="1">
        <f ca="1">IFERROR(__xludf.DUMMYFUNCTION("""COMPUTED_VALUE"""),15)</f>
        <v>15</v>
      </c>
      <c r="K56" s="1">
        <f ca="1">IFERROR(__xludf.DUMMYFUNCTION("""COMPUTED_VALUE"""),2)</f>
        <v>2</v>
      </c>
      <c r="L56" s="1">
        <f ca="1">IFERROR(__xludf.DUMMYFUNCTION("""COMPUTED_VALUE"""),5)</f>
        <v>5</v>
      </c>
      <c r="M56" s="1">
        <f ca="1">IFERROR(__xludf.DUMMYFUNCTION("""COMPUTED_VALUE"""),5)</f>
        <v>5</v>
      </c>
      <c r="N56" s="1">
        <f ca="1">IFERROR(__xludf.DUMMYFUNCTION("""COMPUTED_VALUE"""),2385)</f>
        <v>2385</v>
      </c>
      <c r="O56" s="1">
        <f ca="1">IFERROR(__xludf.DUMMYFUNCTION("""COMPUTED_VALUE"""),2128)</f>
        <v>2128</v>
      </c>
      <c r="P56" s="1">
        <f ca="1">IFERROR(__xludf.DUMMYFUNCTION("""COMPUTED_VALUE"""),1325)</f>
        <v>1325</v>
      </c>
      <c r="Q56" s="1">
        <f ca="1">IFERROR(__xludf.DUMMYFUNCTION("""COMPUTED_VALUE"""),819)</f>
        <v>819</v>
      </c>
      <c r="R56" s="1">
        <f ca="1">IFERROR(__xludf.DUMMYFUNCTION("""COMPUTED_VALUE"""),1763)</f>
        <v>1763</v>
      </c>
      <c r="S56" s="1">
        <f ca="1">IFERROR(__xludf.DUMMYFUNCTION("""COMPUTED_VALUE"""),0.465)</f>
        <v>0.46500000000000002</v>
      </c>
      <c r="T56" s="1">
        <f ca="1">IFERROR(__xludf.DUMMYFUNCTION("""COMPUTED_VALUE"""),229)</f>
        <v>229</v>
      </c>
      <c r="U56" s="1">
        <f ca="1">IFERROR(__xludf.DUMMYFUNCTION("""COMPUTED_VALUE"""),628)</f>
        <v>628</v>
      </c>
      <c r="V56" s="1">
        <f ca="1">IFERROR(__xludf.DUMMYFUNCTION("""COMPUTED_VALUE"""),0.365)</f>
        <v>0.36499999999999999</v>
      </c>
      <c r="W56" s="1">
        <f ca="1">IFERROR(__xludf.DUMMYFUNCTION("""COMPUTED_VALUE"""),518)</f>
        <v>518</v>
      </c>
      <c r="X56" s="1">
        <f ca="1">IFERROR(__xludf.DUMMYFUNCTION("""COMPUTED_VALUE"""),798)</f>
        <v>798</v>
      </c>
      <c r="Y56" s="1">
        <f ca="1">IFERROR(__xludf.DUMMYFUNCTION("""COMPUTED_VALUE"""),0.649)</f>
        <v>0.64900000000000002</v>
      </c>
      <c r="Z56" s="1">
        <f ca="1">IFERROR(__xludf.DUMMYFUNCTION("""COMPUTED_VALUE"""),315)</f>
        <v>315</v>
      </c>
      <c r="AA56" s="1">
        <f ca="1">IFERROR(__xludf.DUMMYFUNCTION("""COMPUTED_VALUE"""),1215)</f>
        <v>1215</v>
      </c>
      <c r="AB56" s="1">
        <f ca="1">IFERROR(__xludf.DUMMYFUNCTION("""COMPUTED_VALUE"""),439)</f>
        <v>439</v>
      </c>
      <c r="AC56" s="1">
        <f ca="1">IFERROR(__xludf.DUMMYFUNCTION("""COMPUTED_VALUE"""),189)</f>
        <v>189</v>
      </c>
      <c r="AD56" s="1">
        <f ca="1">IFERROR(__xludf.DUMMYFUNCTION("""COMPUTED_VALUE"""),150)</f>
        <v>150</v>
      </c>
      <c r="AE56" s="1">
        <f ca="1">IFERROR(__xludf.DUMMYFUNCTION("""COMPUTED_VALUE"""),393)</f>
        <v>393</v>
      </c>
      <c r="AF56" s="1">
        <f ca="1">IFERROR(__xludf.DUMMYFUNCTION("""COMPUTED_VALUE"""),554)</f>
        <v>554</v>
      </c>
    </row>
    <row r="57" spans="1:32" ht="12.5" x14ac:dyDescent="0.25">
      <c r="A57" s="1" t="str">
        <f ca="1">IFERROR(__xludf.DUMMYFUNCTION("""COMPUTED_VALUE"""),"Central Michigan")</f>
        <v>Central Michigan</v>
      </c>
      <c r="B57" s="1">
        <f ca="1">IFERROR(__xludf.DUMMYFUNCTION("""COMPUTED_VALUE"""),35)</f>
        <v>35</v>
      </c>
      <c r="C57" s="1">
        <f ca="1">IFERROR(__xludf.DUMMYFUNCTION("""COMPUTED_VALUE"""),23)</f>
        <v>23</v>
      </c>
      <c r="D57" s="1">
        <f ca="1">IFERROR(__xludf.DUMMYFUNCTION("""COMPUTED_VALUE"""),12)</f>
        <v>12</v>
      </c>
      <c r="E57" s="1">
        <f ca="1">IFERROR(__xludf.DUMMYFUNCTION("""COMPUTED_VALUE"""),0.657)</f>
        <v>0.65700000000000003</v>
      </c>
      <c r="F57" s="1">
        <f ca="1">IFERROR(__xludf.DUMMYFUNCTION("""COMPUTED_VALUE"""),2.79)</f>
        <v>2.79</v>
      </c>
      <c r="G57" s="1">
        <f ca="1">IFERROR(__xludf.DUMMYFUNCTION("""COMPUTED_VALUE"""),-0.34)</f>
        <v>-0.34</v>
      </c>
      <c r="H57" s="1">
        <f ca="1">IFERROR(__xludf.DUMMYFUNCTION("""COMPUTED_VALUE"""),10)</f>
        <v>10</v>
      </c>
      <c r="I57" s="1">
        <f ca="1">IFERROR(__xludf.DUMMYFUNCTION("""COMPUTED_VALUE"""),8)</f>
        <v>8</v>
      </c>
      <c r="J57" s="1">
        <f ca="1">IFERROR(__xludf.DUMMYFUNCTION("""COMPUTED_VALUE"""),13)</f>
        <v>13</v>
      </c>
      <c r="K57" s="1">
        <f ca="1">IFERROR(__xludf.DUMMYFUNCTION("""COMPUTED_VALUE"""),4)</f>
        <v>4</v>
      </c>
      <c r="L57" s="1">
        <f ca="1">IFERROR(__xludf.DUMMYFUNCTION("""COMPUTED_VALUE"""),7)</f>
        <v>7</v>
      </c>
      <c r="M57" s="1">
        <f ca="1">IFERROR(__xludf.DUMMYFUNCTION("""COMPUTED_VALUE"""),6)</f>
        <v>6</v>
      </c>
      <c r="N57" s="1">
        <f ca="1">IFERROR(__xludf.DUMMYFUNCTION("""COMPUTED_VALUE"""),2896)</f>
        <v>2896</v>
      </c>
      <c r="O57" s="1">
        <f ca="1">IFERROR(__xludf.DUMMYFUNCTION("""COMPUTED_VALUE"""),2690)</f>
        <v>2690</v>
      </c>
      <c r="P57" s="1">
        <f ca="1">IFERROR(__xludf.DUMMYFUNCTION("""COMPUTED_VALUE"""),1425)</f>
        <v>1425</v>
      </c>
      <c r="Q57" s="1">
        <f ca="1">IFERROR(__xludf.DUMMYFUNCTION("""COMPUTED_VALUE"""),991)</f>
        <v>991</v>
      </c>
      <c r="R57" s="1">
        <f ca="1">IFERROR(__xludf.DUMMYFUNCTION("""COMPUTED_VALUE"""),2177)</f>
        <v>2177</v>
      </c>
      <c r="S57" s="1">
        <f ca="1">IFERROR(__xludf.DUMMYFUNCTION("""COMPUTED_VALUE"""),0.455)</f>
        <v>0.45500000000000002</v>
      </c>
      <c r="T57" s="1">
        <f ca="1">IFERROR(__xludf.DUMMYFUNCTION("""COMPUTED_VALUE"""),305)</f>
        <v>305</v>
      </c>
      <c r="U57" s="1">
        <f ca="1">IFERROR(__xludf.DUMMYFUNCTION("""COMPUTED_VALUE"""),822)</f>
        <v>822</v>
      </c>
      <c r="V57" s="1">
        <f ca="1">IFERROR(__xludf.DUMMYFUNCTION("""COMPUTED_VALUE"""),0.371)</f>
        <v>0.371</v>
      </c>
      <c r="W57" s="1">
        <f ca="1">IFERROR(__xludf.DUMMYFUNCTION("""COMPUTED_VALUE"""),609)</f>
        <v>609</v>
      </c>
      <c r="X57" s="1">
        <f ca="1">IFERROR(__xludf.DUMMYFUNCTION("""COMPUTED_VALUE"""),908)</f>
        <v>908</v>
      </c>
      <c r="Y57" s="1">
        <f ca="1">IFERROR(__xludf.DUMMYFUNCTION("""COMPUTED_VALUE"""),0.671)</f>
        <v>0.67100000000000004</v>
      </c>
      <c r="Z57" s="1">
        <f ca="1">IFERROR(__xludf.DUMMYFUNCTION("""COMPUTED_VALUE"""),419)</f>
        <v>419</v>
      </c>
      <c r="AA57" s="1">
        <f ca="1">IFERROR(__xludf.DUMMYFUNCTION("""COMPUTED_VALUE"""),1321)</f>
        <v>1321</v>
      </c>
      <c r="AB57" s="1">
        <f ca="1">IFERROR(__xludf.DUMMYFUNCTION("""COMPUTED_VALUE"""),467)</f>
        <v>467</v>
      </c>
      <c r="AC57" s="1">
        <f ca="1">IFERROR(__xludf.DUMMYFUNCTION("""COMPUTED_VALUE"""),267)</f>
        <v>267</v>
      </c>
      <c r="AD57" s="1">
        <f ca="1">IFERROR(__xludf.DUMMYFUNCTION("""COMPUTED_VALUE"""),107)</f>
        <v>107</v>
      </c>
      <c r="AE57" s="1">
        <f ca="1">IFERROR(__xludf.DUMMYFUNCTION("""COMPUTED_VALUE"""),425)</f>
        <v>425</v>
      </c>
      <c r="AF57" s="1">
        <f ca="1">IFERROR(__xludf.DUMMYFUNCTION("""COMPUTED_VALUE"""),593)</f>
        <v>593</v>
      </c>
    </row>
    <row r="58" spans="1:32" ht="12.5" x14ac:dyDescent="0.25">
      <c r="A58" s="1" t="str">
        <f ca="1">IFERROR(__xludf.DUMMYFUNCTION("""COMPUTED_VALUE"""),"Charleston Southern")</f>
        <v>Charleston Southern</v>
      </c>
      <c r="B58" s="1">
        <f ca="1">IFERROR(__xludf.DUMMYFUNCTION("""COMPUTED_VALUE"""),34)</f>
        <v>34</v>
      </c>
      <c r="C58" s="1">
        <f ca="1">IFERROR(__xludf.DUMMYFUNCTION("""COMPUTED_VALUE"""),18)</f>
        <v>18</v>
      </c>
      <c r="D58" s="1">
        <f ca="1">IFERROR(__xludf.DUMMYFUNCTION("""COMPUTED_VALUE"""),16)</f>
        <v>16</v>
      </c>
      <c r="E58" s="1">
        <f ca="1">IFERROR(__xludf.DUMMYFUNCTION("""COMPUTED_VALUE"""),0.529)</f>
        <v>0.52900000000000003</v>
      </c>
      <c r="F58" s="1">
        <f ca="1">IFERROR(__xludf.DUMMYFUNCTION("""COMPUTED_VALUE"""),-2.43)</f>
        <v>-2.4300000000000002</v>
      </c>
      <c r="G58" s="1">
        <f ca="1">IFERROR(__xludf.DUMMYFUNCTION("""COMPUTED_VALUE"""),-4.19)</f>
        <v>-4.1900000000000004</v>
      </c>
      <c r="H58" s="1">
        <f ca="1">IFERROR(__xludf.DUMMYFUNCTION("""COMPUTED_VALUE"""),9)</f>
        <v>9</v>
      </c>
      <c r="I58" s="1">
        <f ca="1">IFERROR(__xludf.DUMMYFUNCTION("""COMPUTED_VALUE"""),7)</f>
        <v>7</v>
      </c>
      <c r="J58" s="1">
        <f ca="1">IFERROR(__xludf.DUMMYFUNCTION("""COMPUTED_VALUE"""),12)</f>
        <v>12</v>
      </c>
      <c r="K58" s="1">
        <f ca="1">IFERROR(__xludf.DUMMYFUNCTION("""COMPUTED_VALUE"""),4)</f>
        <v>4</v>
      </c>
      <c r="L58" s="1">
        <f ca="1">IFERROR(__xludf.DUMMYFUNCTION("""COMPUTED_VALUE"""),4)</f>
        <v>4</v>
      </c>
      <c r="M58" s="1">
        <f ca="1">IFERROR(__xludf.DUMMYFUNCTION("""COMPUTED_VALUE"""),11)</f>
        <v>11</v>
      </c>
      <c r="N58" s="1">
        <f ca="1">IFERROR(__xludf.DUMMYFUNCTION("""COMPUTED_VALUE"""),2574)</f>
        <v>2574</v>
      </c>
      <c r="O58" s="1">
        <f ca="1">IFERROR(__xludf.DUMMYFUNCTION("""COMPUTED_VALUE"""),2369)</f>
        <v>2369</v>
      </c>
      <c r="P58" s="1">
        <f ca="1">IFERROR(__xludf.DUMMYFUNCTION("""COMPUTED_VALUE"""),1370)</f>
        <v>1370</v>
      </c>
      <c r="Q58" s="1">
        <f ca="1">IFERROR(__xludf.DUMMYFUNCTION("""COMPUTED_VALUE"""),926)</f>
        <v>926</v>
      </c>
      <c r="R58" s="1">
        <f ca="1">IFERROR(__xludf.DUMMYFUNCTION("""COMPUTED_VALUE"""),2156)</f>
        <v>2156</v>
      </c>
      <c r="S58" s="1">
        <f ca="1">IFERROR(__xludf.DUMMYFUNCTION("""COMPUTED_VALUE"""),0.429)</f>
        <v>0.42899999999999999</v>
      </c>
      <c r="T58" s="1">
        <f ca="1">IFERROR(__xludf.DUMMYFUNCTION("""COMPUTED_VALUE"""),324)</f>
        <v>324</v>
      </c>
      <c r="U58" s="1">
        <f ca="1">IFERROR(__xludf.DUMMYFUNCTION("""COMPUTED_VALUE"""),945)</f>
        <v>945</v>
      </c>
      <c r="V58" s="1">
        <f ca="1">IFERROR(__xludf.DUMMYFUNCTION("""COMPUTED_VALUE"""),0.343)</f>
        <v>0.34300000000000003</v>
      </c>
      <c r="W58" s="1">
        <f ca="1">IFERROR(__xludf.DUMMYFUNCTION("""COMPUTED_VALUE"""),398)</f>
        <v>398</v>
      </c>
      <c r="X58" s="1">
        <f ca="1">IFERROR(__xludf.DUMMYFUNCTION("""COMPUTED_VALUE"""),588)</f>
        <v>588</v>
      </c>
      <c r="Y58" s="1">
        <f ca="1">IFERROR(__xludf.DUMMYFUNCTION("""COMPUTED_VALUE"""),0.677)</f>
        <v>0.67700000000000005</v>
      </c>
      <c r="Z58" s="1">
        <f ca="1">IFERROR(__xludf.DUMMYFUNCTION("""COMPUTED_VALUE"""),407)</f>
        <v>407</v>
      </c>
      <c r="AA58" s="1">
        <f ca="1">IFERROR(__xludf.DUMMYFUNCTION("""COMPUTED_VALUE"""),1277)</f>
        <v>1277</v>
      </c>
      <c r="AB58" s="1">
        <f ca="1">IFERROR(__xludf.DUMMYFUNCTION("""COMPUTED_VALUE"""),487)</f>
        <v>487</v>
      </c>
      <c r="AC58" s="1">
        <f ca="1">IFERROR(__xludf.DUMMYFUNCTION("""COMPUTED_VALUE"""),263)</f>
        <v>263</v>
      </c>
      <c r="AD58" s="1">
        <f ca="1">IFERROR(__xludf.DUMMYFUNCTION("""COMPUTED_VALUE"""),110)</f>
        <v>110</v>
      </c>
      <c r="AE58" s="1">
        <f ca="1">IFERROR(__xludf.DUMMYFUNCTION("""COMPUTED_VALUE"""),441)</f>
        <v>441</v>
      </c>
      <c r="AF58" s="1">
        <f ca="1">IFERROR(__xludf.DUMMYFUNCTION("""COMPUTED_VALUE"""),571)</f>
        <v>571</v>
      </c>
    </row>
    <row r="59" spans="1:32" ht="12.5" x14ac:dyDescent="0.25">
      <c r="A59" s="1" t="str">
        <f ca="1">IFERROR(__xludf.DUMMYFUNCTION("""COMPUTED_VALUE"""),"Charlotte")</f>
        <v>Charlotte</v>
      </c>
      <c r="B59" s="1">
        <f ca="1">IFERROR(__xludf.DUMMYFUNCTION("""COMPUTED_VALUE"""),29)</f>
        <v>29</v>
      </c>
      <c r="C59" s="1">
        <f ca="1">IFERROR(__xludf.DUMMYFUNCTION("""COMPUTED_VALUE"""),8)</f>
        <v>8</v>
      </c>
      <c r="D59" s="1">
        <f ca="1">IFERROR(__xludf.DUMMYFUNCTION("""COMPUTED_VALUE"""),21)</f>
        <v>21</v>
      </c>
      <c r="E59" s="1">
        <f ca="1">IFERROR(__xludf.DUMMYFUNCTION("""COMPUTED_VALUE"""),0.276)</f>
        <v>0.27600000000000002</v>
      </c>
      <c r="F59" s="1">
        <f ca="1">IFERROR(__xludf.DUMMYFUNCTION("""COMPUTED_VALUE"""),-8.34)</f>
        <v>-8.34</v>
      </c>
      <c r="G59" s="1">
        <f ca="1">IFERROR(__xludf.DUMMYFUNCTION("""COMPUTED_VALUE"""),-0.89)</f>
        <v>-0.89</v>
      </c>
      <c r="H59" s="1">
        <f ca="1">IFERROR(__xludf.DUMMYFUNCTION("""COMPUTED_VALUE"""),5)</f>
        <v>5</v>
      </c>
      <c r="I59" s="1">
        <f ca="1">IFERROR(__xludf.DUMMYFUNCTION("""COMPUTED_VALUE"""),13)</f>
        <v>13</v>
      </c>
      <c r="J59" s="1">
        <f ca="1">IFERROR(__xludf.DUMMYFUNCTION("""COMPUTED_VALUE"""),5)</f>
        <v>5</v>
      </c>
      <c r="K59" s="1">
        <f ca="1">IFERROR(__xludf.DUMMYFUNCTION("""COMPUTED_VALUE"""),9)</f>
        <v>9</v>
      </c>
      <c r="L59" s="1">
        <f ca="1">IFERROR(__xludf.DUMMYFUNCTION("""COMPUTED_VALUE"""),3)</f>
        <v>3</v>
      </c>
      <c r="M59" s="1">
        <f ca="1">IFERROR(__xludf.DUMMYFUNCTION("""COMPUTED_VALUE"""),9)</f>
        <v>9</v>
      </c>
      <c r="N59" s="1">
        <f ca="1">IFERROR(__xludf.DUMMYFUNCTION("""COMPUTED_VALUE"""),1776)</f>
        <v>1776</v>
      </c>
      <c r="O59" s="1">
        <f ca="1">IFERROR(__xludf.DUMMYFUNCTION("""COMPUTED_VALUE"""),1992)</f>
        <v>1992</v>
      </c>
      <c r="P59" s="1">
        <f ca="1">IFERROR(__xludf.DUMMYFUNCTION("""COMPUTED_VALUE"""),1160)</f>
        <v>1160</v>
      </c>
      <c r="Q59" s="1">
        <f ca="1">IFERROR(__xludf.DUMMYFUNCTION("""COMPUTED_VALUE"""),598)</f>
        <v>598</v>
      </c>
      <c r="R59" s="1">
        <f ca="1">IFERROR(__xludf.DUMMYFUNCTION("""COMPUTED_VALUE"""),1442)</f>
        <v>1442</v>
      </c>
      <c r="S59" s="1">
        <f ca="1">IFERROR(__xludf.DUMMYFUNCTION("""COMPUTED_VALUE"""),0.415)</f>
        <v>0.41499999999999998</v>
      </c>
      <c r="T59" s="1">
        <f ca="1">IFERROR(__xludf.DUMMYFUNCTION("""COMPUTED_VALUE"""),191)</f>
        <v>191</v>
      </c>
      <c r="U59" s="1">
        <f ca="1">IFERROR(__xludf.DUMMYFUNCTION("""COMPUTED_VALUE"""),615)</f>
        <v>615</v>
      </c>
      <c r="V59" s="1">
        <f ca="1">IFERROR(__xludf.DUMMYFUNCTION("""COMPUTED_VALUE"""),0.311)</f>
        <v>0.311</v>
      </c>
      <c r="W59" s="1">
        <f ca="1">IFERROR(__xludf.DUMMYFUNCTION("""COMPUTED_VALUE"""),389)</f>
        <v>389</v>
      </c>
      <c r="X59" s="1">
        <f ca="1">IFERROR(__xludf.DUMMYFUNCTION("""COMPUTED_VALUE"""),524)</f>
        <v>524</v>
      </c>
      <c r="Y59" s="1">
        <f ca="1">IFERROR(__xludf.DUMMYFUNCTION("""COMPUTED_VALUE"""),0.742)</f>
        <v>0.74199999999999999</v>
      </c>
      <c r="Z59" s="1">
        <f ca="1">IFERROR(__xludf.DUMMYFUNCTION("""COMPUTED_VALUE"""),199)</f>
        <v>199</v>
      </c>
      <c r="AA59" s="1">
        <f ca="1">IFERROR(__xludf.DUMMYFUNCTION("""COMPUTED_VALUE"""),892)</f>
        <v>892</v>
      </c>
      <c r="AB59" s="1">
        <f ca="1">IFERROR(__xludf.DUMMYFUNCTION("""COMPUTED_VALUE"""),288)</f>
        <v>288</v>
      </c>
      <c r="AC59" s="1">
        <f ca="1">IFERROR(__xludf.DUMMYFUNCTION("""COMPUTED_VALUE"""),138)</f>
        <v>138</v>
      </c>
      <c r="AD59" s="1">
        <f ca="1">IFERROR(__xludf.DUMMYFUNCTION("""COMPUTED_VALUE"""),101)</f>
        <v>101</v>
      </c>
      <c r="AE59" s="1">
        <f ca="1">IFERROR(__xludf.DUMMYFUNCTION("""COMPUTED_VALUE"""),418)</f>
        <v>418</v>
      </c>
      <c r="AF59" s="1">
        <f ca="1">IFERROR(__xludf.DUMMYFUNCTION("""COMPUTED_VALUE"""),490)</f>
        <v>490</v>
      </c>
    </row>
    <row r="60" spans="1:32" ht="12.5" x14ac:dyDescent="0.25">
      <c r="A60" s="1" t="str">
        <f ca="1">IFERROR(__xludf.DUMMYFUNCTION("""COMPUTED_VALUE"""),"Chattanooga")</f>
        <v>Chattanooga</v>
      </c>
      <c r="B60" s="1">
        <f ca="1">IFERROR(__xludf.DUMMYFUNCTION("""COMPUTED_VALUE"""),32)</f>
        <v>32</v>
      </c>
      <c r="C60" s="1">
        <f ca="1">IFERROR(__xludf.DUMMYFUNCTION("""COMPUTED_VALUE"""),12)</f>
        <v>12</v>
      </c>
      <c r="D60" s="1">
        <f ca="1">IFERROR(__xludf.DUMMYFUNCTION("""COMPUTED_VALUE"""),20)</f>
        <v>20</v>
      </c>
      <c r="E60" s="1">
        <f ca="1">IFERROR(__xludf.DUMMYFUNCTION("""COMPUTED_VALUE"""),0.375)</f>
        <v>0.375</v>
      </c>
      <c r="F60" s="1">
        <f ca="1">IFERROR(__xludf.DUMMYFUNCTION("""COMPUTED_VALUE"""),-7.87)</f>
        <v>-7.87</v>
      </c>
      <c r="G60" s="1">
        <f ca="1">IFERROR(__xludf.DUMMYFUNCTION("""COMPUTED_VALUE"""),-0.76)</f>
        <v>-0.76</v>
      </c>
      <c r="H60" s="1">
        <f ca="1">IFERROR(__xludf.DUMMYFUNCTION("""COMPUTED_VALUE"""),7)</f>
        <v>7</v>
      </c>
      <c r="I60" s="1">
        <f ca="1">IFERROR(__xludf.DUMMYFUNCTION("""COMPUTED_VALUE"""),11)</f>
        <v>11</v>
      </c>
      <c r="J60" s="1">
        <f ca="1">IFERROR(__xludf.DUMMYFUNCTION("""COMPUTED_VALUE"""),8)</f>
        <v>8</v>
      </c>
      <c r="K60" s="1">
        <f ca="1">IFERROR(__xludf.DUMMYFUNCTION("""COMPUTED_VALUE"""),6)</f>
        <v>6</v>
      </c>
      <c r="L60" s="1">
        <f ca="1">IFERROR(__xludf.DUMMYFUNCTION("""COMPUTED_VALUE"""),4)</f>
        <v>4</v>
      </c>
      <c r="M60" s="1">
        <f ca="1">IFERROR(__xludf.DUMMYFUNCTION("""COMPUTED_VALUE"""),11)</f>
        <v>11</v>
      </c>
      <c r="N60" s="1">
        <f ca="1">IFERROR(__xludf.DUMMYFUNCTION("""COMPUTED_VALUE"""),2268)</f>
        <v>2268</v>
      </c>
      <c r="O60" s="1">
        <f ca="1">IFERROR(__xludf.DUMMYFUNCTION("""COMPUTED_VALUE"""),2376)</f>
        <v>2376</v>
      </c>
      <c r="P60" s="1">
        <f ca="1">IFERROR(__xludf.DUMMYFUNCTION("""COMPUTED_VALUE"""),1285)</f>
        <v>1285</v>
      </c>
      <c r="Q60" s="1">
        <f ca="1">IFERROR(__xludf.DUMMYFUNCTION("""COMPUTED_VALUE"""),833)</f>
        <v>833</v>
      </c>
      <c r="R60" s="1">
        <f ca="1">IFERROR(__xludf.DUMMYFUNCTION("""COMPUTED_VALUE"""),1881)</f>
        <v>1881</v>
      </c>
      <c r="S60" s="1">
        <f ca="1">IFERROR(__xludf.DUMMYFUNCTION("""COMPUTED_VALUE"""),0.443)</f>
        <v>0.443</v>
      </c>
      <c r="T60" s="1">
        <f ca="1">IFERROR(__xludf.DUMMYFUNCTION("""COMPUTED_VALUE"""),290)</f>
        <v>290</v>
      </c>
      <c r="U60" s="1">
        <f ca="1">IFERROR(__xludf.DUMMYFUNCTION("""COMPUTED_VALUE"""),795)</f>
        <v>795</v>
      </c>
      <c r="V60" s="1">
        <f ca="1">IFERROR(__xludf.DUMMYFUNCTION("""COMPUTED_VALUE"""),0.365)</f>
        <v>0.36499999999999999</v>
      </c>
      <c r="W60" s="1">
        <f ca="1">IFERROR(__xludf.DUMMYFUNCTION("""COMPUTED_VALUE"""),312)</f>
        <v>312</v>
      </c>
      <c r="X60" s="1">
        <f ca="1">IFERROR(__xludf.DUMMYFUNCTION("""COMPUTED_VALUE"""),457)</f>
        <v>457</v>
      </c>
      <c r="Y60" s="1">
        <f ca="1">IFERROR(__xludf.DUMMYFUNCTION("""COMPUTED_VALUE"""),0.683)</f>
        <v>0.68300000000000005</v>
      </c>
      <c r="Z60" s="1">
        <f ca="1">IFERROR(__xludf.DUMMYFUNCTION("""COMPUTED_VALUE"""),278)</f>
        <v>278</v>
      </c>
      <c r="AA60" s="1">
        <f ca="1">IFERROR(__xludf.DUMMYFUNCTION("""COMPUTED_VALUE"""),1095)</f>
        <v>1095</v>
      </c>
      <c r="AB60" s="1">
        <f ca="1">IFERROR(__xludf.DUMMYFUNCTION("""COMPUTED_VALUE"""),418)</f>
        <v>418</v>
      </c>
      <c r="AC60" s="1">
        <f ca="1">IFERROR(__xludf.DUMMYFUNCTION("""COMPUTED_VALUE"""),139)</f>
        <v>139</v>
      </c>
      <c r="AD60" s="1">
        <f ca="1">IFERROR(__xludf.DUMMYFUNCTION("""COMPUTED_VALUE"""),79)</f>
        <v>79</v>
      </c>
      <c r="AE60" s="1">
        <f ca="1">IFERROR(__xludf.DUMMYFUNCTION("""COMPUTED_VALUE"""),409)</f>
        <v>409</v>
      </c>
      <c r="AF60" s="1">
        <f ca="1">IFERROR(__xludf.DUMMYFUNCTION("""COMPUTED_VALUE"""),553)</f>
        <v>553</v>
      </c>
    </row>
    <row r="61" spans="1:32" ht="12.5" x14ac:dyDescent="0.25">
      <c r="A61" s="1" t="str">
        <f ca="1">IFERROR(__xludf.DUMMYFUNCTION("""COMPUTED_VALUE"""),"Chicago State")</f>
        <v>Chicago State</v>
      </c>
      <c r="B61" s="1">
        <f ca="1">IFERROR(__xludf.DUMMYFUNCTION("""COMPUTED_VALUE"""),32)</f>
        <v>32</v>
      </c>
      <c r="C61" s="1">
        <f ca="1">IFERROR(__xludf.DUMMYFUNCTION("""COMPUTED_VALUE"""),3)</f>
        <v>3</v>
      </c>
      <c r="D61" s="1">
        <f ca="1">IFERROR(__xludf.DUMMYFUNCTION("""COMPUTED_VALUE"""),29)</f>
        <v>29</v>
      </c>
      <c r="E61" s="1">
        <f ca="1">IFERROR(__xludf.DUMMYFUNCTION("""COMPUTED_VALUE"""),0.094)</f>
        <v>9.4E-2</v>
      </c>
      <c r="F61" s="1">
        <f ca="1">IFERROR(__xludf.DUMMYFUNCTION("""COMPUTED_VALUE"""),-24.83)</f>
        <v>-24.83</v>
      </c>
      <c r="G61" s="1">
        <f ca="1">IFERROR(__xludf.DUMMYFUNCTION("""COMPUTED_VALUE"""),0.67)</f>
        <v>0.67</v>
      </c>
      <c r="H61" s="1">
        <f ca="1">IFERROR(__xludf.DUMMYFUNCTION("""COMPUTED_VALUE"""),0)</f>
        <v>0</v>
      </c>
      <c r="I61" s="1">
        <f ca="1">IFERROR(__xludf.DUMMYFUNCTION("""COMPUTED_VALUE"""),16)</f>
        <v>16</v>
      </c>
      <c r="J61" s="1">
        <f ca="1">IFERROR(__xludf.DUMMYFUNCTION("""COMPUTED_VALUE"""),3)</f>
        <v>3</v>
      </c>
      <c r="K61" s="1">
        <f ca="1">IFERROR(__xludf.DUMMYFUNCTION("""COMPUTED_VALUE"""),8)</f>
        <v>8</v>
      </c>
      <c r="L61" s="1">
        <f ca="1">IFERROR(__xludf.DUMMYFUNCTION("""COMPUTED_VALUE"""),0)</f>
        <v>0</v>
      </c>
      <c r="M61" s="1">
        <f ca="1">IFERROR(__xludf.DUMMYFUNCTION("""COMPUTED_VALUE"""),19)</f>
        <v>19</v>
      </c>
      <c r="N61" s="1">
        <f ca="1">IFERROR(__xludf.DUMMYFUNCTION("""COMPUTED_VALUE"""),1970)</f>
        <v>1970</v>
      </c>
      <c r="O61" s="1">
        <f ca="1">IFERROR(__xludf.DUMMYFUNCTION("""COMPUTED_VALUE"""),2710)</f>
        <v>2710</v>
      </c>
      <c r="P61" s="1">
        <f ca="1">IFERROR(__xludf.DUMMYFUNCTION("""COMPUTED_VALUE"""),1280)</f>
        <v>1280</v>
      </c>
      <c r="Q61" s="1">
        <f ca="1">IFERROR(__xludf.DUMMYFUNCTION("""COMPUTED_VALUE"""),718)</f>
        <v>718</v>
      </c>
      <c r="R61" s="1">
        <f ca="1">IFERROR(__xludf.DUMMYFUNCTION("""COMPUTED_VALUE"""),1752)</f>
        <v>1752</v>
      </c>
      <c r="S61" s="1">
        <f ca="1">IFERROR(__xludf.DUMMYFUNCTION("""COMPUTED_VALUE"""),0.41)</f>
        <v>0.41</v>
      </c>
      <c r="T61" s="1">
        <f ca="1">IFERROR(__xludf.DUMMYFUNCTION("""COMPUTED_VALUE"""),141)</f>
        <v>141</v>
      </c>
      <c r="U61" s="1">
        <f ca="1">IFERROR(__xludf.DUMMYFUNCTION("""COMPUTED_VALUE"""),471)</f>
        <v>471</v>
      </c>
      <c r="V61" s="1">
        <f ca="1">IFERROR(__xludf.DUMMYFUNCTION("""COMPUTED_VALUE"""),0.299)</f>
        <v>0.29899999999999999</v>
      </c>
      <c r="W61" s="1">
        <f ca="1">IFERROR(__xludf.DUMMYFUNCTION("""COMPUTED_VALUE"""),393)</f>
        <v>393</v>
      </c>
      <c r="X61" s="1">
        <f ca="1">IFERROR(__xludf.DUMMYFUNCTION("""COMPUTED_VALUE"""),581)</f>
        <v>581</v>
      </c>
      <c r="Y61" s="1">
        <f ca="1">IFERROR(__xludf.DUMMYFUNCTION("""COMPUTED_VALUE"""),0.676)</f>
        <v>0.67600000000000005</v>
      </c>
      <c r="Z61" s="1">
        <f ca="1">IFERROR(__xludf.DUMMYFUNCTION("""COMPUTED_VALUE"""),252)</f>
        <v>252</v>
      </c>
      <c r="AA61" s="1">
        <f ca="1">IFERROR(__xludf.DUMMYFUNCTION("""COMPUTED_VALUE"""),995)</f>
        <v>995</v>
      </c>
      <c r="AB61" s="1">
        <f ca="1">IFERROR(__xludf.DUMMYFUNCTION("""COMPUTED_VALUE"""),376)</f>
        <v>376</v>
      </c>
      <c r="AC61" s="1">
        <f ca="1">IFERROR(__xludf.DUMMYFUNCTION("""COMPUTED_VALUE"""),193)</f>
        <v>193</v>
      </c>
      <c r="AD61" s="1">
        <f ca="1">IFERROR(__xludf.DUMMYFUNCTION("""COMPUTED_VALUE"""),72)</f>
        <v>72</v>
      </c>
      <c r="AE61" s="1">
        <f ca="1">IFERROR(__xludf.DUMMYFUNCTION("""COMPUTED_VALUE"""),512)</f>
        <v>512</v>
      </c>
      <c r="AF61" s="1">
        <f ca="1">IFERROR(__xludf.DUMMYFUNCTION("""COMPUTED_VALUE"""),625)</f>
        <v>625</v>
      </c>
    </row>
    <row r="62" spans="1:32" ht="12.5" x14ac:dyDescent="0.25">
      <c r="A62" s="1" t="str">
        <f ca="1">IFERROR(__xludf.DUMMYFUNCTION("""COMPUTED_VALUE"""),"Cincinnati")</f>
        <v>Cincinnati</v>
      </c>
      <c r="B62" s="1">
        <f ca="1">IFERROR(__xludf.DUMMYFUNCTION("""COMPUTED_VALUE"""),35)</f>
        <v>35</v>
      </c>
      <c r="C62" s="1">
        <f ca="1">IFERROR(__xludf.DUMMYFUNCTION("""COMPUTED_VALUE"""),28)</f>
        <v>28</v>
      </c>
      <c r="D62" s="1">
        <f ca="1">IFERROR(__xludf.DUMMYFUNCTION("""COMPUTED_VALUE"""),7)</f>
        <v>7</v>
      </c>
      <c r="E62" s="1">
        <f ca="1">IFERROR(__xludf.DUMMYFUNCTION("""COMPUTED_VALUE"""),0.8)</f>
        <v>0.8</v>
      </c>
      <c r="F62" s="1">
        <f ca="1">IFERROR(__xludf.DUMMYFUNCTION("""COMPUTED_VALUE"""),14.53)</f>
        <v>14.53</v>
      </c>
      <c r="G62" s="1">
        <f ca="1">IFERROR(__xludf.DUMMYFUNCTION("""COMPUTED_VALUE"""),5.5)</f>
        <v>5.5</v>
      </c>
      <c r="H62" s="1">
        <f ca="1">IFERROR(__xludf.DUMMYFUNCTION("""COMPUTED_VALUE"""),14)</f>
        <v>14</v>
      </c>
      <c r="I62" s="1">
        <f ca="1">IFERROR(__xludf.DUMMYFUNCTION("""COMPUTED_VALUE"""),4)</f>
        <v>4</v>
      </c>
      <c r="J62" s="1">
        <f ca="1">IFERROR(__xludf.DUMMYFUNCTION("""COMPUTED_VALUE"""),16)</f>
        <v>16</v>
      </c>
      <c r="K62" s="1">
        <f ca="1">IFERROR(__xludf.DUMMYFUNCTION("""COMPUTED_VALUE"""),2)</f>
        <v>2</v>
      </c>
      <c r="L62" s="1">
        <f ca="1">IFERROR(__xludf.DUMMYFUNCTION("""COMPUTED_VALUE"""),7)</f>
        <v>7</v>
      </c>
      <c r="M62" s="1">
        <f ca="1">IFERROR(__xludf.DUMMYFUNCTION("""COMPUTED_VALUE"""),4)</f>
        <v>4</v>
      </c>
      <c r="N62" s="1">
        <f ca="1">IFERROR(__xludf.DUMMYFUNCTION("""COMPUTED_VALUE"""),2510)</f>
        <v>2510</v>
      </c>
      <c r="O62" s="1">
        <f ca="1">IFERROR(__xludf.DUMMYFUNCTION("""COMPUTED_VALUE"""),2194)</f>
        <v>2194</v>
      </c>
      <c r="P62" s="1">
        <f ca="1">IFERROR(__xludf.DUMMYFUNCTION("""COMPUTED_VALUE"""),1410)</f>
        <v>1410</v>
      </c>
      <c r="Q62" s="1">
        <f ca="1">IFERROR(__xludf.DUMMYFUNCTION("""COMPUTED_VALUE"""),872)</f>
        <v>872</v>
      </c>
      <c r="R62" s="1">
        <f ca="1">IFERROR(__xludf.DUMMYFUNCTION("""COMPUTED_VALUE"""),2018)</f>
        <v>2018</v>
      </c>
      <c r="S62" s="1">
        <f ca="1">IFERROR(__xludf.DUMMYFUNCTION("""COMPUTED_VALUE"""),0.432)</f>
        <v>0.432</v>
      </c>
      <c r="T62" s="1">
        <f ca="1">IFERROR(__xludf.DUMMYFUNCTION("""COMPUTED_VALUE"""),232)</f>
        <v>232</v>
      </c>
      <c r="U62" s="1">
        <f ca="1">IFERROR(__xludf.DUMMYFUNCTION("""COMPUTED_VALUE"""),673)</f>
        <v>673</v>
      </c>
      <c r="V62" s="1">
        <f ca="1">IFERROR(__xludf.DUMMYFUNCTION("""COMPUTED_VALUE"""),0.345)</f>
        <v>0.34499999999999997</v>
      </c>
      <c r="W62" s="1">
        <f ca="1">IFERROR(__xludf.DUMMYFUNCTION("""COMPUTED_VALUE"""),534)</f>
        <v>534</v>
      </c>
      <c r="X62" s="1">
        <f ca="1">IFERROR(__xludf.DUMMYFUNCTION("""COMPUTED_VALUE"""),758)</f>
        <v>758</v>
      </c>
      <c r="Y62" s="1">
        <f ca="1">IFERROR(__xludf.DUMMYFUNCTION("""COMPUTED_VALUE"""),0.704)</f>
        <v>0.70399999999999996</v>
      </c>
      <c r="Z62" s="1">
        <f ca="1">IFERROR(__xludf.DUMMYFUNCTION("""COMPUTED_VALUE"""),442)</f>
        <v>442</v>
      </c>
      <c r="AA62" s="1">
        <f ca="1">IFERROR(__xludf.DUMMYFUNCTION("""COMPUTED_VALUE"""),1264)</f>
        <v>1264</v>
      </c>
      <c r="AB62" s="1">
        <f ca="1">IFERROR(__xludf.DUMMYFUNCTION("""COMPUTED_VALUE"""),466)</f>
        <v>466</v>
      </c>
      <c r="AC62" s="1">
        <f ca="1">IFERROR(__xludf.DUMMYFUNCTION("""COMPUTED_VALUE"""),214)</f>
        <v>214</v>
      </c>
      <c r="AD62" s="1">
        <f ca="1">IFERROR(__xludf.DUMMYFUNCTION("""COMPUTED_VALUE"""),155)</f>
        <v>155</v>
      </c>
      <c r="AE62" s="1">
        <f ca="1">IFERROR(__xludf.DUMMYFUNCTION("""COMPUTED_VALUE"""),365)</f>
        <v>365</v>
      </c>
      <c r="AF62" s="1">
        <f ca="1">IFERROR(__xludf.DUMMYFUNCTION("""COMPUTED_VALUE"""),563)</f>
        <v>563</v>
      </c>
    </row>
    <row r="63" spans="1:32" ht="12.5" x14ac:dyDescent="0.25">
      <c r="A63" s="1" t="str">
        <f ca="1">IFERROR(__xludf.DUMMYFUNCTION("""COMPUTED_VALUE"""),"Citadel")</f>
        <v>Citadel</v>
      </c>
      <c r="B63" s="1">
        <f ca="1">IFERROR(__xludf.DUMMYFUNCTION("""COMPUTED_VALUE"""),30)</f>
        <v>30</v>
      </c>
      <c r="C63" s="1">
        <f ca="1">IFERROR(__xludf.DUMMYFUNCTION("""COMPUTED_VALUE"""),12)</f>
        <v>12</v>
      </c>
      <c r="D63" s="1">
        <f ca="1">IFERROR(__xludf.DUMMYFUNCTION("""COMPUTED_VALUE"""),18)</f>
        <v>18</v>
      </c>
      <c r="E63" s="1">
        <f ca="1">IFERROR(__xludf.DUMMYFUNCTION("""COMPUTED_VALUE"""),0.4)</f>
        <v>0.4</v>
      </c>
      <c r="F63" s="1">
        <f ca="1">IFERROR(__xludf.DUMMYFUNCTION("""COMPUTED_VALUE"""),-7.94)</f>
        <v>-7.94</v>
      </c>
      <c r="G63" s="1">
        <f ca="1">IFERROR(__xludf.DUMMYFUNCTION("""COMPUTED_VALUE"""),0.03)</f>
        <v>0.03</v>
      </c>
      <c r="H63" s="1">
        <f ca="1">IFERROR(__xludf.DUMMYFUNCTION("""COMPUTED_VALUE"""),4)</f>
        <v>4</v>
      </c>
      <c r="I63" s="1">
        <f ca="1">IFERROR(__xludf.DUMMYFUNCTION("""COMPUTED_VALUE"""),14)</f>
        <v>14</v>
      </c>
      <c r="J63" s="1">
        <f ca="1">IFERROR(__xludf.DUMMYFUNCTION("""COMPUTED_VALUE"""),8)</f>
        <v>8</v>
      </c>
      <c r="K63" s="1">
        <f ca="1">IFERROR(__xludf.DUMMYFUNCTION("""COMPUTED_VALUE"""),7)</f>
        <v>7</v>
      </c>
      <c r="L63" s="1">
        <f ca="1">IFERROR(__xludf.DUMMYFUNCTION("""COMPUTED_VALUE"""),4)</f>
        <v>4</v>
      </c>
      <c r="M63" s="1">
        <f ca="1">IFERROR(__xludf.DUMMYFUNCTION("""COMPUTED_VALUE"""),10)</f>
        <v>10</v>
      </c>
      <c r="N63" s="1">
        <f ca="1">IFERROR(__xludf.DUMMYFUNCTION("""COMPUTED_VALUE"""),2553)</f>
        <v>2553</v>
      </c>
      <c r="O63" s="1">
        <f ca="1">IFERROR(__xludf.DUMMYFUNCTION("""COMPUTED_VALUE"""),2584)</f>
        <v>2584</v>
      </c>
      <c r="P63" s="1">
        <f ca="1">IFERROR(__xludf.DUMMYFUNCTION("""COMPUTED_VALUE"""),1210)</f>
        <v>1210</v>
      </c>
      <c r="Q63" s="1">
        <f ca="1">IFERROR(__xludf.DUMMYFUNCTION("""COMPUTED_VALUE"""),899)</f>
        <v>899</v>
      </c>
      <c r="R63" s="1">
        <f ca="1">IFERROR(__xludf.DUMMYFUNCTION("""COMPUTED_VALUE"""),2011)</f>
        <v>2011</v>
      </c>
      <c r="S63" s="1">
        <f ca="1">IFERROR(__xludf.DUMMYFUNCTION("""COMPUTED_VALUE"""),0.447)</f>
        <v>0.44700000000000001</v>
      </c>
      <c r="T63" s="1">
        <f ca="1">IFERROR(__xludf.DUMMYFUNCTION("""COMPUTED_VALUE"""),370)</f>
        <v>370</v>
      </c>
      <c r="U63" s="1">
        <f ca="1">IFERROR(__xludf.DUMMYFUNCTION("""COMPUTED_VALUE"""),1076)</f>
        <v>1076</v>
      </c>
      <c r="V63" s="1">
        <f ca="1">IFERROR(__xludf.DUMMYFUNCTION("""COMPUTED_VALUE"""),0.344)</f>
        <v>0.34399999999999997</v>
      </c>
      <c r="W63" s="1">
        <f ca="1">IFERROR(__xludf.DUMMYFUNCTION("""COMPUTED_VALUE"""),385)</f>
        <v>385</v>
      </c>
      <c r="X63" s="1">
        <f ca="1">IFERROR(__xludf.DUMMYFUNCTION("""COMPUTED_VALUE"""),523)</f>
        <v>523</v>
      </c>
      <c r="Y63" s="1">
        <f ca="1">IFERROR(__xludf.DUMMYFUNCTION("""COMPUTED_VALUE"""),0.736)</f>
        <v>0.73599999999999999</v>
      </c>
      <c r="Z63" s="1">
        <f ca="1">IFERROR(__xludf.DUMMYFUNCTION("""COMPUTED_VALUE"""),322)</f>
        <v>322</v>
      </c>
      <c r="AA63" s="1">
        <f ca="1">IFERROR(__xludf.DUMMYFUNCTION("""COMPUTED_VALUE"""),1107)</f>
        <v>1107</v>
      </c>
      <c r="AB63" s="1">
        <f ca="1">IFERROR(__xludf.DUMMYFUNCTION("""COMPUTED_VALUE"""),462)</f>
        <v>462</v>
      </c>
      <c r="AC63" s="1">
        <f ca="1">IFERROR(__xludf.DUMMYFUNCTION("""COMPUTED_VALUE"""),201)</f>
        <v>201</v>
      </c>
      <c r="AD63" s="1">
        <f ca="1">IFERROR(__xludf.DUMMYFUNCTION("""COMPUTED_VALUE"""),110)</f>
        <v>110</v>
      </c>
      <c r="AE63" s="1">
        <f ca="1">IFERROR(__xludf.DUMMYFUNCTION("""COMPUTED_VALUE"""),386)</f>
        <v>386</v>
      </c>
      <c r="AF63" s="1">
        <f ca="1">IFERROR(__xludf.DUMMYFUNCTION("""COMPUTED_VALUE"""),528)</f>
        <v>528</v>
      </c>
    </row>
    <row r="64" spans="1:32" ht="12.5" x14ac:dyDescent="0.25">
      <c r="A64" s="1" t="str">
        <f ca="1">IFERROR(__xludf.DUMMYFUNCTION("""COMPUTED_VALUE"""),"Clemson")</f>
        <v>Clemson</v>
      </c>
      <c r="B64" s="1">
        <f ca="1">IFERROR(__xludf.DUMMYFUNCTION("""COMPUTED_VALUE"""),34)</f>
        <v>34</v>
      </c>
      <c r="C64" s="1">
        <f ca="1">IFERROR(__xludf.DUMMYFUNCTION("""COMPUTED_VALUE"""),20)</f>
        <v>20</v>
      </c>
      <c r="D64" s="1">
        <f ca="1">IFERROR(__xludf.DUMMYFUNCTION("""COMPUTED_VALUE"""),14)</f>
        <v>14</v>
      </c>
      <c r="E64" s="1">
        <f ca="1">IFERROR(__xludf.DUMMYFUNCTION("""COMPUTED_VALUE"""),0.588)</f>
        <v>0.58799999999999997</v>
      </c>
      <c r="F64" s="1">
        <f ca="1">IFERROR(__xludf.DUMMYFUNCTION("""COMPUTED_VALUE"""),13.85)</f>
        <v>13.85</v>
      </c>
      <c r="G64" s="1">
        <f ca="1">IFERROR(__xludf.DUMMYFUNCTION("""COMPUTED_VALUE"""),8.99)</f>
        <v>8.99</v>
      </c>
      <c r="H64" s="1">
        <f ca="1">IFERROR(__xludf.DUMMYFUNCTION("""COMPUTED_VALUE"""),9)</f>
        <v>9</v>
      </c>
      <c r="I64" s="1">
        <f ca="1">IFERROR(__xludf.DUMMYFUNCTION("""COMPUTED_VALUE"""),9)</f>
        <v>9</v>
      </c>
      <c r="J64" s="1">
        <f ca="1">IFERROR(__xludf.DUMMYFUNCTION("""COMPUTED_VALUE"""),14)</f>
        <v>14</v>
      </c>
      <c r="K64" s="1">
        <f ca="1">IFERROR(__xludf.DUMMYFUNCTION("""COMPUTED_VALUE"""),5)</f>
        <v>5</v>
      </c>
      <c r="L64" s="1">
        <f ca="1">IFERROR(__xludf.DUMMYFUNCTION("""COMPUTED_VALUE"""),4)</f>
        <v>4</v>
      </c>
      <c r="M64" s="1">
        <f ca="1">IFERROR(__xludf.DUMMYFUNCTION("""COMPUTED_VALUE"""),6)</f>
        <v>6</v>
      </c>
      <c r="N64" s="1">
        <f ca="1">IFERROR(__xludf.DUMMYFUNCTION("""COMPUTED_VALUE"""),2339)</f>
        <v>2339</v>
      </c>
      <c r="O64" s="1">
        <f ca="1">IFERROR(__xludf.DUMMYFUNCTION("""COMPUTED_VALUE"""),2174)</f>
        <v>2174</v>
      </c>
      <c r="P64" s="1">
        <f ca="1">IFERROR(__xludf.DUMMYFUNCTION("""COMPUTED_VALUE"""),1360)</f>
        <v>1360</v>
      </c>
      <c r="Q64" s="1">
        <f ca="1">IFERROR(__xludf.DUMMYFUNCTION("""COMPUTED_VALUE"""),833)</f>
        <v>833</v>
      </c>
      <c r="R64" s="1">
        <f ca="1">IFERROR(__xludf.DUMMYFUNCTION("""COMPUTED_VALUE"""),1857)</f>
        <v>1857</v>
      </c>
      <c r="S64" s="1">
        <f ca="1">IFERROR(__xludf.DUMMYFUNCTION("""COMPUTED_VALUE"""),0.449)</f>
        <v>0.44900000000000001</v>
      </c>
      <c r="T64" s="1">
        <f ca="1">IFERROR(__xludf.DUMMYFUNCTION("""COMPUTED_VALUE"""),217)</f>
        <v>217</v>
      </c>
      <c r="U64" s="1">
        <f ca="1">IFERROR(__xludf.DUMMYFUNCTION("""COMPUTED_VALUE"""),661)</f>
        <v>661</v>
      </c>
      <c r="V64" s="1">
        <f ca="1">IFERROR(__xludf.DUMMYFUNCTION("""COMPUTED_VALUE"""),0.328)</f>
        <v>0.32800000000000001</v>
      </c>
      <c r="W64" s="1">
        <f ca="1">IFERROR(__xludf.DUMMYFUNCTION("""COMPUTED_VALUE"""),456)</f>
        <v>456</v>
      </c>
      <c r="X64" s="1">
        <f ca="1">IFERROR(__xludf.DUMMYFUNCTION("""COMPUTED_VALUE"""),623)</f>
        <v>623</v>
      </c>
      <c r="Y64" s="1">
        <f ca="1">IFERROR(__xludf.DUMMYFUNCTION("""COMPUTED_VALUE"""),0.732)</f>
        <v>0.73199999999999998</v>
      </c>
      <c r="Z64" s="1">
        <f ca="1">IFERROR(__xludf.DUMMYFUNCTION("""COMPUTED_VALUE"""),309)</f>
        <v>309</v>
      </c>
      <c r="AA64" s="1">
        <f ca="1">IFERROR(__xludf.DUMMYFUNCTION("""COMPUTED_VALUE"""),1204)</f>
        <v>1204</v>
      </c>
      <c r="AB64" s="1">
        <f ca="1">IFERROR(__xludf.DUMMYFUNCTION("""COMPUTED_VALUE"""),410)</f>
        <v>410</v>
      </c>
      <c r="AC64" s="1">
        <f ca="1">IFERROR(__xludf.DUMMYFUNCTION("""COMPUTED_VALUE"""),223)</f>
        <v>223</v>
      </c>
      <c r="AD64" s="1">
        <f ca="1">IFERROR(__xludf.DUMMYFUNCTION("""COMPUTED_VALUE"""),154)</f>
        <v>154</v>
      </c>
      <c r="AE64" s="1">
        <f ca="1">IFERROR(__xludf.DUMMYFUNCTION("""COMPUTED_VALUE"""),450)</f>
        <v>450</v>
      </c>
      <c r="AF64" s="1">
        <f ca="1">IFERROR(__xludf.DUMMYFUNCTION("""COMPUTED_VALUE"""),552)</f>
        <v>552</v>
      </c>
    </row>
    <row r="65" spans="1:32" ht="12.5" x14ac:dyDescent="0.25">
      <c r="A65" s="1" t="str">
        <f ca="1">IFERROR(__xludf.DUMMYFUNCTION("""COMPUTED_VALUE"""),"Cleveland State")</f>
        <v>Cleveland State</v>
      </c>
      <c r="B65" s="1">
        <f ca="1">IFERROR(__xludf.DUMMYFUNCTION("""COMPUTED_VALUE"""),31)</f>
        <v>31</v>
      </c>
      <c r="C65" s="1">
        <f ca="1">IFERROR(__xludf.DUMMYFUNCTION("""COMPUTED_VALUE"""),10)</f>
        <v>10</v>
      </c>
      <c r="D65" s="1">
        <f ca="1">IFERROR(__xludf.DUMMYFUNCTION("""COMPUTED_VALUE"""),21)</f>
        <v>21</v>
      </c>
      <c r="E65" s="1">
        <f ca="1">IFERROR(__xludf.DUMMYFUNCTION("""COMPUTED_VALUE"""),0.323)</f>
        <v>0.32300000000000001</v>
      </c>
      <c r="F65" s="1">
        <f ca="1">IFERROR(__xludf.DUMMYFUNCTION("""COMPUTED_VALUE"""),-7.96)</f>
        <v>-7.96</v>
      </c>
      <c r="G65" s="1">
        <f ca="1">IFERROR(__xludf.DUMMYFUNCTION("""COMPUTED_VALUE"""),-1.52)</f>
        <v>-1.52</v>
      </c>
      <c r="H65" s="1">
        <f ca="1">IFERROR(__xludf.DUMMYFUNCTION("""COMPUTED_VALUE"""),5)</f>
        <v>5</v>
      </c>
      <c r="I65" s="1">
        <f ca="1">IFERROR(__xludf.DUMMYFUNCTION("""COMPUTED_VALUE"""),13)</f>
        <v>13</v>
      </c>
      <c r="J65" s="1">
        <f ca="1">IFERROR(__xludf.DUMMYFUNCTION("""COMPUTED_VALUE"""),8)</f>
        <v>8</v>
      </c>
      <c r="K65" s="1">
        <f ca="1">IFERROR(__xludf.DUMMYFUNCTION("""COMPUTED_VALUE"""),9)</f>
        <v>9</v>
      </c>
      <c r="L65" s="1">
        <f ca="1">IFERROR(__xludf.DUMMYFUNCTION("""COMPUTED_VALUE"""),2)</f>
        <v>2</v>
      </c>
      <c r="M65" s="1">
        <f ca="1">IFERROR(__xludf.DUMMYFUNCTION("""COMPUTED_VALUE"""),12)</f>
        <v>12</v>
      </c>
      <c r="N65" s="1">
        <f ca="1">IFERROR(__xludf.DUMMYFUNCTION("""COMPUTED_VALUE"""),2300)</f>
        <v>2300</v>
      </c>
      <c r="O65" s="1">
        <f ca="1">IFERROR(__xludf.DUMMYFUNCTION("""COMPUTED_VALUE"""),2437)</f>
        <v>2437</v>
      </c>
      <c r="P65" s="1">
        <f ca="1">IFERROR(__xludf.DUMMYFUNCTION("""COMPUTED_VALUE"""),1250)</f>
        <v>1250</v>
      </c>
      <c r="Q65" s="1">
        <f ca="1">IFERROR(__xludf.DUMMYFUNCTION("""COMPUTED_VALUE"""),799)</f>
        <v>799</v>
      </c>
      <c r="R65" s="1">
        <f ca="1">IFERROR(__xludf.DUMMYFUNCTION("""COMPUTED_VALUE"""),1834)</f>
        <v>1834</v>
      </c>
      <c r="S65" s="1">
        <f ca="1">IFERROR(__xludf.DUMMYFUNCTION("""COMPUTED_VALUE"""),0.436)</f>
        <v>0.436</v>
      </c>
      <c r="T65" s="1">
        <f ca="1">IFERROR(__xludf.DUMMYFUNCTION("""COMPUTED_VALUE"""),303)</f>
        <v>303</v>
      </c>
      <c r="U65" s="1">
        <f ca="1">IFERROR(__xludf.DUMMYFUNCTION("""COMPUTED_VALUE"""),820)</f>
        <v>820</v>
      </c>
      <c r="V65" s="1">
        <f ca="1">IFERROR(__xludf.DUMMYFUNCTION("""COMPUTED_VALUE"""),0.37)</f>
        <v>0.37</v>
      </c>
      <c r="W65" s="1">
        <f ca="1">IFERROR(__xludf.DUMMYFUNCTION("""COMPUTED_VALUE"""),399)</f>
        <v>399</v>
      </c>
      <c r="X65" s="1">
        <f ca="1">IFERROR(__xludf.DUMMYFUNCTION("""COMPUTED_VALUE"""),585)</f>
        <v>585</v>
      </c>
      <c r="Y65" s="1">
        <f ca="1">IFERROR(__xludf.DUMMYFUNCTION("""COMPUTED_VALUE"""),0.682)</f>
        <v>0.68200000000000005</v>
      </c>
      <c r="Z65" s="1">
        <f ca="1">IFERROR(__xludf.DUMMYFUNCTION("""COMPUTED_VALUE"""),303)</f>
        <v>303</v>
      </c>
      <c r="AA65" s="1">
        <f ca="1">IFERROR(__xludf.DUMMYFUNCTION("""COMPUTED_VALUE"""),1093)</f>
        <v>1093</v>
      </c>
      <c r="AB65" s="1">
        <f ca="1">IFERROR(__xludf.DUMMYFUNCTION("""COMPUTED_VALUE"""),460)</f>
        <v>460</v>
      </c>
      <c r="AC65" s="1">
        <f ca="1">IFERROR(__xludf.DUMMYFUNCTION("""COMPUTED_VALUE"""),174)</f>
        <v>174</v>
      </c>
      <c r="AD65" s="1">
        <f ca="1">IFERROR(__xludf.DUMMYFUNCTION("""COMPUTED_VALUE"""),97)</f>
        <v>97</v>
      </c>
      <c r="AE65" s="1">
        <f ca="1">IFERROR(__xludf.DUMMYFUNCTION("""COMPUTED_VALUE"""),412)</f>
        <v>412</v>
      </c>
      <c r="AF65" s="1">
        <f ca="1">IFERROR(__xludf.DUMMYFUNCTION("""COMPUTED_VALUE"""),551)</f>
        <v>551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IFERROR(__xludf.DUMMYFUNCTION("""COMPUTED_VALUE"""),"Coastal Carolina")</f>
        <v>Coastal Carolina</v>
      </c>
      <c r="B68" s="1">
        <f ca="1">IFERROR(__xludf.DUMMYFUNCTION("""COMPUTED_VALUE"""),34)</f>
        <v>34</v>
      </c>
      <c r="C68" s="1">
        <f ca="1">IFERROR(__xludf.DUMMYFUNCTION("""COMPUTED_VALUE"""),17)</f>
        <v>17</v>
      </c>
      <c r="D68" s="1">
        <f ca="1">IFERROR(__xludf.DUMMYFUNCTION("""COMPUTED_VALUE"""),17)</f>
        <v>17</v>
      </c>
      <c r="E68" s="1">
        <f ca="1">IFERROR(__xludf.DUMMYFUNCTION("""COMPUTED_VALUE"""),0.5)</f>
        <v>0.5</v>
      </c>
      <c r="F68" s="1">
        <f ca="1">IFERROR(__xludf.DUMMYFUNCTION("""COMPUTED_VALUE"""),-0.5)</f>
        <v>-0.5</v>
      </c>
      <c r="G68" s="1">
        <f ca="1">IFERROR(__xludf.DUMMYFUNCTION("""COMPUTED_VALUE"""),-1.94)</f>
        <v>-1.94</v>
      </c>
      <c r="H68" s="1">
        <f ca="1">IFERROR(__xludf.DUMMYFUNCTION("""COMPUTED_VALUE"""),9)</f>
        <v>9</v>
      </c>
      <c r="I68" s="1">
        <f ca="1">IFERROR(__xludf.DUMMYFUNCTION("""COMPUTED_VALUE"""),9)</f>
        <v>9</v>
      </c>
      <c r="J68" s="1">
        <f ca="1">IFERROR(__xludf.DUMMYFUNCTION("""COMPUTED_VALUE"""),10)</f>
        <v>10</v>
      </c>
      <c r="K68" s="1">
        <f ca="1">IFERROR(__xludf.DUMMYFUNCTION("""COMPUTED_VALUE"""),4)</f>
        <v>4</v>
      </c>
      <c r="L68" s="1">
        <f ca="1">IFERROR(__xludf.DUMMYFUNCTION("""COMPUTED_VALUE"""),6)</f>
        <v>6</v>
      </c>
      <c r="M68" s="1">
        <f ca="1">IFERROR(__xludf.DUMMYFUNCTION("""COMPUTED_VALUE"""),11)</f>
        <v>11</v>
      </c>
      <c r="N68" s="1">
        <f ca="1">IFERROR(__xludf.DUMMYFUNCTION("""COMPUTED_VALUE"""),2641)</f>
        <v>2641</v>
      </c>
      <c r="O68" s="1">
        <f ca="1">IFERROR(__xludf.DUMMYFUNCTION("""COMPUTED_VALUE"""),2520)</f>
        <v>2520</v>
      </c>
      <c r="P68" s="1">
        <f ca="1">IFERROR(__xludf.DUMMYFUNCTION("""COMPUTED_VALUE"""),1370)</f>
        <v>1370</v>
      </c>
      <c r="Q68" s="1">
        <f ca="1">IFERROR(__xludf.DUMMYFUNCTION("""COMPUTED_VALUE"""),899)</f>
        <v>899</v>
      </c>
      <c r="R68" s="1">
        <f ca="1">IFERROR(__xludf.DUMMYFUNCTION("""COMPUTED_VALUE"""),1986)</f>
        <v>1986</v>
      </c>
      <c r="S68" s="1">
        <f ca="1">IFERROR(__xludf.DUMMYFUNCTION("""COMPUTED_VALUE"""),0.453)</f>
        <v>0.45300000000000001</v>
      </c>
      <c r="T68" s="1">
        <f ca="1">IFERROR(__xludf.DUMMYFUNCTION("""COMPUTED_VALUE"""),284)</f>
        <v>284</v>
      </c>
      <c r="U68" s="1">
        <f ca="1">IFERROR(__xludf.DUMMYFUNCTION("""COMPUTED_VALUE"""),766)</f>
        <v>766</v>
      </c>
      <c r="V68" s="1">
        <f ca="1">IFERROR(__xludf.DUMMYFUNCTION("""COMPUTED_VALUE"""),0.371)</f>
        <v>0.371</v>
      </c>
      <c r="W68" s="1">
        <f ca="1">IFERROR(__xludf.DUMMYFUNCTION("""COMPUTED_VALUE"""),559)</f>
        <v>559</v>
      </c>
      <c r="X68" s="1">
        <f ca="1">IFERROR(__xludf.DUMMYFUNCTION("""COMPUTED_VALUE"""),778)</f>
        <v>778</v>
      </c>
      <c r="Y68" s="1">
        <f ca="1">IFERROR(__xludf.DUMMYFUNCTION("""COMPUTED_VALUE"""),0.719)</f>
        <v>0.71899999999999997</v>
      </c>
      <c r="Z68" s="1">
        <f ca="1">IFERROR(__xludf.DUMMYFUNCTION("""COMPUTED_VALUE"""),376)</f>
        <v>376</v>
      </c>
      <c r="AA68" s="1">
        <f ca="1">IFERROR(__xludf.DUMMYFUNCTION("""COMPUTED_VALUE"""),1256)</f>
        <v>1256</v>
      </c>
      <c r="AB68" s="1">
        <f ca="1">IFERROR(__xludf.DUMMYFUNCTION("""COMPUTED_VALUE"""),451)</f>
        <v>451</v>
      </c>
      <c r="AC68" s="1">
        <f ca="1">IFERROR(__xludf.DUMMYFUNCTION("""COMPUTED_VALUE"""),214)</f>
        <v>214</v>
      </c>
      <c r="AD68" s="1">
        <f ca="1">IFERROR(__xludf.DUMMYFUNCTION("""COMPUTED_VALUE"""),78)</f>
        <v>78</v>
      </c>
      <c r="AE68" s="1">
        <f ca="1">IFERROR(__xludf.DUMMYFUNCTION("""COMPUTED_VALUE"""),472)</f>
        <v>472</v>
      </c>
      <c r="AF68" s="1">
        <f ca="1">IFERROR(__xludf.DUMMYFUNCTION("""COMPUTED_VALUE"""),691)</f>
        <v>691</v>
      </c>
    </row>
    <row r="69" spans="1:32" ht="12.5" x14ac:dyDescent="0.25">
      <c r="A69" s="1" t="str">
        <f ca="1">IFERROR(__xludf.DUMMYFUNCTION("""COMPUTED_VALUE"""),"Colgate")</f>
        <v>Colgate</v>
      </c>
      <c r="B69" s="1">
        <f ca="1">IFERROR(__xludf.DUMMYFUNCTION("""COMPUTED_VALUE"""),35)</f>
        <v>35</v>
      </c>
      <c r="C69" s="1">
        <f ca="1">IFERROR(__xludf.DUMMYFUNCTION("""COMPUTED_VALUE"""),24)</f>
        <v>24</v>
      </c>
      <c r="D69" s="1">
        <f ca="1">IFERROR(__xludf.DUMMYFUNCTION("""COMPUTED_VALUE"""),11)</f>
        <v>11</v>
      </c>
      <c r="E69" s="1">
        <f ca="1">IFERROR(__xludf.DUMMYFUNCTION("""COMPUTED_VALUE"""),0.686)</f>
        <v>0.68600000000000005</v>
      </c>
      <c r="F69" s="1">
        <f ca="1">IFERROR(__xludf.DUMMYFUNCTION("""COMPUTED_VALUE"""),1.23)</f>
        <v>1.23</v>
      </c>
      <c r="G69" s="1">
        <f ca="1">IFERROR(__xludf.DUMMYFUNCTION("""COMPUTED_VALUE"""),-3.83)</f>
        <v>-3.83</v>
      </c>
      <c r="H69" s="1">
        <f ca="1">IFERROR(__xludf.DUMMYFUNCTION("""COMPUTED_VALUE"""),13)</f>
        <v>13</v>
      </c>
      <c r="I69" s="1">
        <f ca="1">IFERROR(__xludf.DUMMYFUNCTION("""COMPUTED_VALUE"""),5)</f>
        <v>5</v>
      </c>
      <c r="J69" s="1">
        <f ca="1">IFERROR(__xludf.DUMMYFUNCTION("""COMPUTED_VALUE"""),15)</f>
        <v>15</v>
      </c>
      <c r="K69" s="1">
        <f ca="1">IFERROR(__xludf.DUMMYFUNCTION("""COMPUTED_VALUE"""),1)</f>
        <v>1</v>
      </c>
      <c r="L69" s="1">
        <f ca="1">IFERROR(__xludf.DUMMYFUNCTION("""COMPUTED_VALUE"""),9)</f>
        <v>9</v>
      </c>
      <c r="M69" s="1">
        <f ca="1">IFERROR(__xludf.DUMMYFUNCTION("""COMPUTED_VALUE"""),9)</f>
        <v>9</v>
      </c>
      <c r="N69" s="1">
        <f ca="1">IFERROR(__xludf.DUMMYFUNCTION("""COMPUTED_VALUE"""),2648)</f>
        <v>2648</v>
      </c>
      <c r="O69" s="1">
        <f ca="1">IFERROR(__xludf.DUMMYFUNCTION("""COMPUTED_VALUE"""),2458)</f>
        <v>2458</v>
      </c>
      <c r="P69" s="1">
        <f ca="1">IFERROR(__xludf.DUMMYFUNCTION("""COMPUTED_VALUE"""),1415)</f>
        <v>1415</v>
      </c>
      <c r="Q69" s="1">
        <f ca="1">IFERROR(__xludf.DUMMYFUNCTION("""COMPUTED_VALUE"""),955)</f>
        <v>955</v>
      </c>
      <c r="R69" s="1">
        <f ca="1">IFERROR(__xludf.DUMMYFUNCTION("""COMPUTED_VALUE"""),1995)</f>
        <v>1995</v>
      </c>
      <c r="S69" s="1">
        <f ca="1">IFERROR(__xludf.DUMMYFUNCTION("""COMPUTED_VALUE"""),0.479)</f>
        <v>0.47899999999999998</v>
      </c>
      <c r="T69" s="1">
        <f ca="1">IFERROR(__xludf.DUMMYFUNCTION("""COMPUTED_VALUE"""),320)</f>
        <v>320</v>
      </c>
      <c r="U69" s="1">
        <f ca="1">IFERROR(__xludf.DUMMYFUNCTION("""COMPUTED_VALUE"""),815)</f>
        <v>815</v>
      </c>
      <c r="V69" s="1">
        <f ca="1">IFERROR(__xludf.DUMMYFUNCTION("""COMPUTED_VALUE"""),0.393)</f>
        <v>0.39300000000000002</v>
      </c>
      <c r="W69" s="1">
        <f ca="1">IFERROR(__xludf.DUMMYFUNCTION("""COMPUTED_VALUE"""),418)</f>
        <v>418</v>
      </c>
      <c r="X69" s="1">
        <f ca="1">IFERROR(__xludf.DUMMYFUNCTION("""COMPUTED_VALUE"""),563)</f>
        <v>563</v>
      </c>
      <c r="Y69" s="1">
        <f ca="1">IFERROR(__xludf.DUMMYFUNCTION("""COMPUTED_VALUE"""),0.742)</f>
        <v>0.74199999999999999</v>
      </c>
      <c r="Z69" s="1">
        <f ca="1">IFERROR(__xludf.DUMMYFUNCTION("""COMPUTED_VALUE"""),322)</f>
        <v>322</v>
      </c>
      <c r="AA69" s="1">
        <f ca="1">IFERROR(__xludf.DUMMYFUNCTION("""COMPUTED_VALUE"""),1240)</f>
        <v>1240</v>
      </c>
      <c r="AB69" s="1">
        <f ca="1">IFERROR(__xludf.DUMMYFUNCTION("""COMPUTED_VALUE"""),541)</f>
        <v>541</v>
      </c>
      <c r="AC69" s="1">
        <f ca="1">IFERROR(__xludf.DUMMYFUNCTION("""COMPUTED_VALUE"""),213)</f>
        <v>213</v>
      </c>
      <c r="AD69" s="1">
        <f ca="1">IFERROR(__xludf.DUMMYFUNCTION("""COMPUTED_VALUE"""),121)</f>
        <v>121</v>
      </c>
      <c r="AE69" s="1">
        <f ca="1">IFERROR(__xludf.DUMMYFUNCTION("""COMPUTED_VALUE"""),456)</f>
        <v>456</v>
      </c>
      <c r="AF69" s="1">
        <f ca="1">IFERROR(__xludf.DUMMYFUNCTION("""COMPUTED_VALUE"""),547)</f>
        <v>547</v>
      </c>
    </row>
    <row r="70" spans="1:32" ht="12.5" x14ac:dyDescent="0.25">
      <c r="A70" s="1" t="str">
        <f ca="1">IFERROR(__xludf.DUMMYFUNCTION("""COMPUTED_VALUE"""),"College of Charleston")</f>
        <v>College of Charleston</v>
      </c>
      <c r="B70" s="1">
        <f ca="1">IFERROR(__xludf.DUMMYFUNCTION("""COMPUTED_VALUE"""),33)</f>
        <v>33</v>
      </c>
      <c r="C70" s="1">
        <f ca="1">IFERROR(__xludf.DUMMYFUNCTION("""COMPUTED_VALUE"""),24)</f>
        <v>24</v>
      </c>
      <c r="D70" s="1">
        <f ca="1">IFERROR(__xludf.DUMMYFUNCTION("""COMPUTED_VALUE"""),9)</f>
        <v>9</v>
      </c>
      <c r="E70" s="1">
        <f ca="1">IFERROR(__xludf.DUMMYFUNCTION("""COMPUTED_VALUE"""),0.727)</f>
        <v>0.72699999999999998</v>
      </c>
      <c r="F70" s="1">
        <f ca="1">IFERROR(__xludf.DUMMYFUNCTION("""COMPUTED_VALUE"""),2.36)</f>
        <v>2.36</v>
      </c>
      <c r="G70" s="1">
        <f ca="1">IFERROR(__xludf.DUMMYFUNCTION("""COMPUTED_VALUE"""),-2.95)</f>
        <v>-2.95</v>
      </c>
      <c r="H70" s="1">
        <f ca="1">IFERROR(__xludf.DUMMYFUNCTION("""COMPUTED_VALUE"""),12)</f>
        <v>12</v>
      </c>
      <c r="I70" s="1">
        <f ca="1">IFERROR(__xludf.DUMMYFUNCTION("""COMPUTED_VALUE"""),6)</f>
        <v>6</v>
      </c>
      <c r="J70" s="1">
        <f ca="1">IFERROR(__xludf.DUMMYFUNCTION("""COMPUTED_VALUE"""),13)</f>
        <v>13</v>
      </c>
      <c r="K70" s="1">
        <f ca="1">IFERROR(__xludf.DUMMYFUNCTION("""COMPUTED_VALUE"""),2)</f>
        <v>2</v>
      </c>
      <c r="L70" s="1">
        <f ca="1">IFERROR(__xludf.DUMMYFUNCTION("""COMPUTED_VALUE"""),8)</f>
        <v>8</v>
      </c>
      <c r="M70" s="1">
        <f ca="1">IFERROR(__xludf.DUMMYFUNCTION("""COMPUTED_VALUE"""),5)</f>
        <v>5</v>
      </c>
      <c r="N70" s="1">
        <f ca="1">IFERROR(__xludf.DUMMYFUNCTION("""COMPUTED_VALUE"""),2453)</f>
        <v>2453</v>
      </c>
      <c r="O70" s="1">
        <f ca="1">IFERROR(__xludf.DUMMYFUNCTION("""COMPUTED_VALUE"""),2265)</f>
        <v>2265</v>
      </c>
      <c r="P70" s="1">
        <f ca="1">IFERROR(__xludf.DUMMYFUNCTION("""COMPUTED_VALUE"""),1330)</f>
        <v>1330</v>
      </c>
      <c r="Q70" s="1">
        <f ca="1">IFERROR(__xludf.DUMMYFUNCTION("""COMPUTED_VALUE"""),878)</f>
        <v>878</v>
      </c>
      <c r="R70" s="1">
        <f ca="1">IFERROR(__xludf.DUMMYFUNCTION("""COMPUTED_VALUE"""),1818)</f>
        <v>1818</v>
      </c>
      <c r="S70" s="1">
        <f ca="1">IFERROR(__xludf.DUMMYFUNCTION("""COMPUTED_VALUE"""),0.483)</f>
        <v>0.48299999999999998</v>
      </c>
      <c r="T70" s="1">
        <f ca="1">IFERROR(__xludf.DUMMYFUNCTION("""COMPUTED_VALUE"""),227)</f>
        <v>227</v>
      </c>
      <c r="U70" s="1">
        <f ca="1">IFERROR(__xludf.DUMMYFUNCTION("""COMPUTED_VALUE"""),667)</f>
        <v>667</v>
      </c>
      <c r="V70" s="1">
        <f ca="1">IFERROR(__xludf.DUMMYFUNCTION("""COMPUTED_VALUE"""),0.34)</f>
        <v>0.34</v>
      </c>
      <c r="W70" s="1">
        <f ca="1">IFERROR(__xludf.DUMMYFUNCTION("""COMPUTED_VALUE"""),470)</f>
        <v>470</v>
      </c>
      <c r="X70" s="1">
        <f ca="1">IFERROR(__xludf.DUMMYFUNCTION("""COMPUTED_VALUE"""),615)</f>
        <v>615</v>
      </c>
      <c r="Y70" s="1">
        <f ca="1">IFERROR(__xludf.DUMMYFUNCTION("""COMPUTED_VALUE"""),0.764)</f>
        <v>0.76400000000000001</v>
      </c>
      <c r="Z70" s="1">
        <f ca="1">IFERROR(__xludf.DUMMYFUNCTION("""COMPUTED_VALUE"""),260)</f>
        <v>260</v>
      </c>
      <c r="AA70" s="1">
        <f ca="1">IFERROR(__xludf.DUMMYFUNCTION("""COMPUTED_VALUE"""),1060)</f>
        <v>1060</v>
      </c>
      <c r="AB70" s="1">
        <f ca="1">IFERROR(__xludf.DUMMYFUNCTION("""COMPUTED_VALUE"""),387)</f>
        <v>387</v>
      </c>
      <c r="AC70" s="1">
        <f ca="1">IFERROR(__xludf.DUMMYFUNCTION("""COMPUTED_VALUE"""),216)</f>
        <v>216</v>
      </c>
      <c r="AD70" s="1">
        <f ca="1">IFERROR(__xludf.DUMMYFUNCTION("""COMPUTED_VALUE"""),76)</f>
        <v>76</v>
      </c>
      <c r="AE70" s="1">
        <f ca="1">IFERROR(__xludf.DUMMYFUNCTION("""COMPUTED_VALUE"""),347)</f>
        <v>347</v>
      </c>
      <c r="AF70" s="1">
        <f ca="1">IFERROR(__xludf.DUMMYFUNCTION("""COMPUTED_VALUE"""),486)</f>
        <v>486</v>
      </c>
    </row>
    <row r="71" spans="1:32" ht="12.5" x14ac:dyDescent="0.25">
      <c r="A71" s="1" t="str">
        <f ca="1">IFERROR(__xludf.DUMMYFUNCTION("""COMPUTED_VALUE"""),"Colorado State")</f>
        <v>Colorado State</v>
      </c>
      <c r="B71" s="1">
        <f ca="1">IFERROR(__xludf.DUMMYFUNCTION("""COMPUTED_VALUE"""),32)</f>
        <v>32</v>
      </c>
      <c r="C71" s="1">
        <f ca="1">IFERROR(__xludf.DUMMYFUNCTION("""COMPUTED_VALUE"""),12)</f>
        <v>12</v>
      </c>
      <c r="D71" s="1">
        <f ca="1">IFERROR(__xludf.DUMMYFUNCTION("""COMPUTED_VALUE"""),20)</f>
        <v>20</v>
      </c>
      <c r="E71" s="1">
        <f ca="1">IFERROR(__xludf.DUMMYFUNCTION("""COMPUTED_VALUE"""),0.375)</f>
        <v>0.375</v>
      </c>
      <c r="F71" s="1">
        <f ca="1">IFERROR(__xludf.DUMMYFUNCTION("""COMPUTED_VALUE"""),-0.11)</f>
        <v>-0.11</v>
      </c>
      <c r="G71" s="1">
        <f ca="1">IFERROR(__xludf.DUMMYFUNCTION("""COMPUTED_VALUE"""),1.41)</f>
        <v>1.41</v>
      </c>
      <c r="H71" s="1">
        <f ca="1">IFERROR(__xludf.DUMMYFUNCTION("""COMPUTED_VALUE"""),7)</f>
        <v>7</v>
      </c>
      <c r="I71" s="1">
        <f ca="1">IFERROR(__xludf.DUMMYFUNCTION("""COMPUTED_VALUE"""),11)</f>
        <v>11</v>
      </c>
      <c r="J71" s="1">
        <f ca="1">IFERROR(__xludf.DUMMYFUNCTION("""COMPUTED_VALUE"""),8)</f>
        <v>8</v>
      </c>
      <c r="K71" s="1">
        <f ca="1">IFERROR(__xludf.DUMMYFUNCTION("""COMPUTED_VALUE"""),9)</f>
        <v>9</v>
      </c>
      <c r="L71" s="1">
        <f ca="1">IFERROR(__xludf.DUMMYFUNCTION("""COMPUTED_VALUE"""),3)</f>
        <v>3</v>
      </c>
      <c r="M71" s="1">
        <f ca="1">IFERROR(__xludf.DUMMYFUNCTION("""COMPUTED_VALUE"""),8)</f>
        <v>8</v>
      </c>
      <c r="N71" s="1">
        <f ca="1">IFERROR(__xludf.DUMMYFUNCTION("""COMPUTED_VALUE"""),2393)</f>
        <v>2393</v>
      </c>
      <c r="O71" s="1">
        <f ca="1">IFERROR(__xludf.DUMMYFUNCTION("""COMPUTED_VALUE"""),2406)</f>
        <v>2406</v>
      </c>
      <c r="P71" s="1">
        <f ca="1">IFERROR(__xludf.DUMMYFUNCTION("""COMPUTED_VALUE"""),1285)</f>
        <v>1285</v>
      </c>
      <c r="Q71" s="1">
        <f ca="1">IFERROR(__xludf.DUMMYFUNCTION("""COMPUTED_VALUE"""),866)</f>
        <v>866</v>
      </c>
      <c r="R71" s="1">
        <f ca="1">IFERROR(__xludf.DUMMYFUNCTION("""COMPUTED_VALUE"""),1818)</f>
        <v>1818</v>
      </c>
      <c r="S71" s="1">
        <f ca="1">IFERROR(__xludf.DUMMYFUNCTION("""COMPUTED_VALUE"""),0.476)</f>
        <v>0.47599999999999998</v>
      </c>
      <c r="T71" s="1">
        <f ca="1">IFERROR(__xludf.DUMMYFUNCTION("""COMPUTED_VALUE"""),259)</f>
        <v>259</v>
      </c>
      <c r="U71" s="1">
        <f ca="1">IFERROR(__xludf.DUMMYFUNCTION("""COMPUTED_VALUE"""),722)</f>
        <v>722</v>
      </c>
      <c r="V71" s="1">
        <f ca="1">IFERROR(__xludf.DUMMYFUNCTION("""COMPUTED_VALUE"""),0.359)</f>
        <v>0.35899999999999999</v>
      </c>
      <c r="W71" s="1">
        <f ca="1">IFERROR(__xludf.DUMMYFUNCTION("""COMPUTED_VALUE"""),402)</f>
        <v>402</v>
      </c>
      <c r="X71" s="1">
        <f ca="1">IFERROR(__xludf.DUMMYFUNCTION("""COMPUTED_VALUE"""),579)</f>
        <v>579</v>
      </c>
      <c r="Y71" s="1">
        <f ca="1">IFERROR(__xludf.DUMMYFUNCTION("""COMPUTED_VALUE"""),0.694)</f>
        <v>0.69399999999999995</v>
      </c>
      <c r="Z71" s="1">
        <f ca="1">IFERROR(__xludf.DUMMYFUNCTION("""COMPUTED_VALUE"""),256)</f>
        <v>256</v>
      </c>
      <c r="AA71" s="1">
        <f ca="1">IFERROR(__xludf.DUMMYFUNCTION("""COMPUTED_VALUE"""),1080)</f>
        <v>1080</v>
      </c>
      <c r="AB71" s="1">
        <f ca="1">IFERROR(__xludf.DUMMYFUNCTION("""COMPUTED_VALUE"""),472)</f>
        <v>472</v>
      </c>
      <c r="AC71" s="1">
        <f ca="1">IFERROR(__xludf.DUMMYFUNCTION("""COMPUTED_VALUE"""),199)</f>
        <v>199</v>
      </c>
      <c r="AD71" s="1">
        <f ca="1">IFERROR(__xludf.DUMMYFUNCTION("""COMPUTED_VALUE"""),76)</f>
        <v>76</v>
      </c>
      <c r="AE71" s="1">
        <f ca="1">IFERROR(__xludf.DUMMYFUNCTION("""COMPUTED_VALUE"""),372)</f>
        <v>372</v>
      </c>
      <c r="AF71" s="1">
        <f ca="1">IFERROR(__xludf.DUMMYFUNCTION("""COMPUTED_VALUE"""),522)</f>
        <v>522</v>
      </c>
    </row>
    <row r="72" spans="1:32" ht="12.5" x14ac:dyDescent="0.25">
      <c r="A72" s="1" t="str">
        <f ca="1">IFERROR(__xludf.DUMMYFUNCTION("""COMPUTED_VALUE"""),"Colorado")</f>
        <v>Colorado</v>
      </c>
      <c r="B72" s="1">
        <f ca="1">IFERROR(__xludf.DUMMYFUNCTION("""COMPUTED_VALUE"""),36)</f>
        <v>36</v>
      </c>
      <c r="C72" s="1">
        <f ca="1">IFERROR(__xludf.DUMMYFUNCTION("""COMPUTED_VALUE"""),23)</f>
        <v>23</v>
      </c>
      <c r="D72" s="1">
        <f ca="1">IFERROR(__xludf.DUMMYFUNCTION("""COMPUTED_VALUE"""),13)</f>
        <v>13</v>
      </c>
      <c r="E72" s="1">
        <f ca="1">IFERROR(__xludf.DUMMYFUNCTION("""COMPUTED_VALUE"""),0.639)</f>
        <v>0.63900000000000001</v>
      </c>
      <c r="F72" s="1">
        <f ca="1">IFERROR(__xludf.DUMMYFUNCTION("""COMPUTED_VALUE"""),9.68)</f>
        <v>9.68</v>
      </c>
      <c r="G72" s="1">
        <f ca="1">IFERROR(__xludf.DUMMYFUNCTION("""COMPUTED_VALUE"""),3.6)</f>
        <v>3.6</v>
      </c>
      <c r="H72" s="1">
        <f ca="1">IFERROR(__xludf.DUMMYFUNCTION("""COMPUTED_VALUE"""),10)</f>
        <v>10</v>
      </c>
      <c r="I72" s="1">
        <f ca="1">IFERROR(__xludf.DUMMYFUNCTION("""COMPUTED_VALUE"""),8)</f>
        <v>8</v>
      </c>
      <c r="J72" s="1">
        <f ca="1">IFERROR(__xludf.DUMMYFUNCTION("""COMPUTED_VALUE"""),15)</f>
        <v>15</v>
      </c>
      <c r="K72" s="1">
        <f ca="1">IFERROR(__xludf.DUMMYFUNCTION("""COMPUTED_VALUE"""),2)</f>
        <v>2</v>
      </c>
      <c r="L72" s="1">
        <f ca="1">IFERROR(__xludf.DUMMYFUNCTION("""COMPUTED_VALUE"""),5)</f>
        <v>5</v>
      </c>
      <c r="M72" s="1">
        <f ca="1">IFERROR(__xludf.DUMMYFUNCTION("""COMPUTED_VALUE"""),9)</f>
        <v>9</v>
      </c>
      <c r="N72" s="1">
        <f ca="1">IFERROR(__xludf.DUMMYFUNCTION("""COMPUTED_VALUE"""),2648)</f>
        <v>2648</v>
      </c>
      <c r="O72" s="1">
        <f ca="1">IFERROR(__xludf.DUMMYFUNCTION("""COMPUTED_VALUE"""),2429)</f>
        <v>2429</v>
      </c>
      <c r="P72" s="1">
        <f ca="1">IFERROR(__xludf.DUMMYFUNCTION("""COMPUTED_VALUE"""),1445)</f>
        <v>1445</v>
      </c>
      <c r="Q72" s="1">
        <f ca="1">IFERROR(__xludf.DUMMYFUNCTION("""COMPUTED_VALUE"""),924)</f>
        <v>924</v>
      </c>
      <c r="R72" s="1">
        <f ca="1">IFERROR(__xludf.DUMMYFUNCTION("""COMPUTED_VALUE"""),2036)</f>
        <v>2036</v>
      </c>
      <c r="S72" s="1">
        <f ca="1">IFERROR(__xludf.DUMMYFUNCTION("""COMPUTED_VALUE"""),0.454)</f>
        <v>0.45400000000000001</v>
      </c>
      <c r="T72" s="1">
        <f ca="1">IFERROR(__xludf.DUMMYFUNCTION("""COMPUTED_VALUE"""),230)</f>
        <v>230</v>
      </c>
      <c r="U72" s="1">
        <f ca="1">IFERROR(__xludf.DUMMYFUNCTION("""COMPUTED_VALUE"""),711)</f>
        <v>711</v>
      </c>
      <c r="V72" s="1">
        <f ca="1">IFERROR(__xludf.DUMMYFUNCTION("""COMPUTED_VALUE"""),0.323)</f>
        <v>0.32300000000000001</v>
      </c>
      <c r="W72" s="1">
        <f ca="1">IFERROR(__xludf.DUMMYFUNCTION("""COMPUTED_VALUE"""),570)</f>
        <v>570</v>
      </c>
      <c r="X72" s="1">
        <f ca="1">IFERROR(__xludf.DUMMYFUNCTION("""COMPUTED_VALUE"""),757)</f>
        <v>757</v>
      </c>
      <c r="Y72" s="1">
        <f ca="1">IFERROR(__xludf.DUMMYFUNCTION("""COMPUTED_VALUE"""),0.753)</f>
        <v>0.753</v>
      </c>
      <c r="Z72" s="1">
        <f ca="1">IFERROR(__xludf.DUMMYFUNCTION("""COMPUTED_VALUE"""),363)</f>
        <v>363</v>
      </c>
      <c r="AA72" s="1">
        <f ca="1">IFERROR(__xludf.DUMMYFUNCTION("""COMPUTED_VALUE"""),1352)</f>
        <v>1352</v>
      </c>
      <c r="AB72" s="1">
        <f ca="1">IFERROR(__xludf.DUMMYFUNCTION("""COMPUTED_VALUE"""),478)</f>
        <v>478</v>
      </c>
      <c r="AC72" s="1">
        <f ca="1">IFERROR(__xludf.DUMMYFUNCTION("""COMPUTED_VALUE"""),181)</f>
        <v>181</v>
      </c>
      <c r="AD72" s="1">
        <f ca="1">IFERROR(__xludf.DUMMYFUNCTION("""COMPUTED_VALUE"""),107)</f>
        <v>107</v>
      </c>
      <c r="AE72" s="1">
        <f ca="1">IFERROR(__xludf.DUMMYFUNCTION("""COMPUTED_VALUE"""),479)</f>
        <v>479</v>
      </c>
      <c r="AF72" s="1">
        <f ca="1">IFERROR(__xludf.DUMMYFUNCTION("""COMPUTED_VALUE"""),616)</f>
        <v>616</v>
      </c>
    </row>
    <row r="73" spans="1:32" ht="12.5" x14ac:dyDescent="0.25">
      <c r="A73" s="1" t="str">
        <f ca="1">IFERROR(__xludf.DUMMYFUNCTION("""COMPUTED_VALUE"""),"Columbia")</f>
        <v>Columbia</v>
      </c>
      <c r="B73" s="1">
        <f ca="1">IFERROR(__xludf.DUMMYFUNCTION("""COMPUTED_VALUE"""),28)</f>
        <v>28</v>
      </c>
      <c r="C73" s="1">
        <f ca="1">IFERROR(__xludf.DUMMYFUNCTION("""COMPUTED_VALUE"""),10)</f>
        <v>10</v>
      </c>
      <c r="D73" s="1">
        <f ca="1">IFERROR(__xludf.DUMMYFUNCTION("""COMPUTED_VALUE"""),18)</f>
        <v>18</v>
      </c>
      <c r="E73" s="1">
        <f ca="1">IFERROR(__xludf.DUMMYFUNCTION("""COMPUTED_VALUE"""),0.357)</f>
        <v>0.35699999999999998</v>
      </c>
      <c r="F73" s="1">
        <f ca="1">IFERROR(__xludf.DUMMYFUNCTION("""COMPUTED_VALUE"""),-5.18)</f>
        <v>-5.18</v>
      </c>
      <c r="G73" s="1">
        <f ca="1">IFERROR(__xludf.DUMMYFUNCTION("""COMPUTED_VALUE"""),-2.14)</f>
        <v>-2.14</v>
      </c>
      <c r="H73" s="1">
        <f ca="1">IFERROR(__xludf.DUMMYFUNCTION("""COMPUTED_VALUE"""),5)</f>
        <v>5</v>
      </c>
      <c r="I73" s="1">
        <f ca="1">IFERROR(__xludf.DUMMYFUNCTION("""COMPUTED_VALUE"""),9)</f>
        <v>9</v>
      </c>
      <c r="J73" s="1">
        <f ca="1">IFERROR(__xludf.DUMMYFUNCTION("""COMPUTED_VALUE"""),5)</f>
        <v>5</v>
      </c>
      <c r="K73" s="1">
        <f ca="1">IFERROR(__xludf.DUMMYFUNCTION("""COMPUTED_VALUE"""),7)</f>
        <v>7</v>
      </c>
      <c r="L73" s="1">
        <f ca="1">IFERROR(__xludf.DUMMYFUNCTION("""COMPUTED_VALUE"""),4)</f>
        <v>4</v>
      </c>
      <c r="M73" s="1">
        <f ca="1">IFERROR(__xludf.DUMMYFUNCTION("""COMPUTED_VALUE"""),9)</f>
        <v>9</v>
      </c>
      <c r="N73" s="1">
        <f ca="1">IFERROR(__xludf.DUMMYFUNCTION("""COMPUTED_VALUE"""),2059)</f>
        <v>2059</v>
      </c>
      <c r="O73" s="1">
        <f ca="1">IFERROR(__xludf.DUMMYFUNCTION("""COMPUTED_VALUE"""),2052)</f>
        <v>2052</v>
      </c>
      <c r="P73" s="1">
        <f ca="1">IFERROR(__xludf.DUMMYFUNCTION("""COMPUTED_VALUE"""),1160)</f>
        <v>1160</v>
      </c>
      <c r="Q73" s="1">
        <f ca="1">IFERROR(__xludf.DUMMYFUNCTION("""COMPUTED_VALUE"""),778)</f>
        <v>778</v>
      </c>
      <c r="R73" s="1">
        <f ca="1">IFERROR(__xludf.DUMMYFUNCTION("""COMPUTED_VALUE"""),1720)</f>
        <v>1720</v>
      </c>
      <c r="S73" s="1">
        <f ca="1">IFERROR(__xludf.DUMMYFUNCTION("""COMPUTED_VALUE"""),0.452)</f>
        <v>0.45200000000000001</v>
      </c>
      <c r="T73" s="1">
        <f ca="1">IFERROR(__xludf.DUMMYFUNCTION("""COMPUTED_VALUE"""),237)</f>
        <v>237</v>
      </c>
      <c r="U73" s="1">
        <f ca="1">IFERROR(__xludf.DUMMYFUNCTION("""COMPUTED_VALUE"""),655)</f>
        <v>655</v>
      </c>
      <c r="V73" s="1">
        <f ca="1">IFERROR(__xludf.DUMMYFUNCTION("""COMPUTED_VALUE"""),0.362)</f>
        <v>0.36199999999999999</v>
      </c>
      <c r="W73" s="1">
        <f ca="1">IFERROR(__xludf.DUMMYFUNCTION("""COMPUTED_VALUE"""),266)</f>
        <v>266</v>
      </c>
      <c r="X73" s="1">
        <f ca="1">IFERROR(__xludf.DUMMYFUNCTION("""COMPUTED_VALUE"""),377)</f>
        <v>377</v>
      </c>
      <c r="Y73" s="1">
        <f ca="1">IFERROR(__xludf.DUMMYFUNCTION("""COMPUTED_VALUE"""),0.706)</f>
        <v>0.70599999999999996</v>
      </c>
      <c r="Z73" s="1">
        <f ca="1">IFERROR(__xludf.DUMMYFUNCTION("""COMPUTED_VALUE"""),255)</f>
        <v>255</v>
      </c>
      <c r="AA73" s="1">
        <f ca="1">IFERROR(__xludf.DUMMYFUNCTION("""COMPUTED_VALUE"""),985)</f>
        <v>985</v>
      </c>
      <c r="AB73" s="1">
        <f ca="1">IFERROR(__xludf.DUMMYFUNCTION("""COMPUTED_VALUE"""),443)</f>
        <v>443</v>
      </c>
      <c r="AC73" s="1">
        <f ca="1">IFERROR(__xludf.DUMMYFUNCTION("""COMPUTED_VALUE"""),218)</f>
        <v>218</v>
      </c>
      <c r="AD73" s="1">
        <f ca="1">IFERROR(__xludf.DUMMYFUNCTION("""COMPUTED_VALUE"""),78)</f>
        <v>78</v>
      </c>
      <c r="AE73" s="1">
        <f ca="1">IFERROR(__xludf.DUMMYFUNCTION("""COMPUTED_VALUE"""),366)</f>
        <v>366</v>
      </c>
      <c r="AF73" s="1">
        <f ca="1">IFERROR(__xludf.DUMMYFUNCTION("""COMPUTED_VALUE"""),539)</f>
        <v>539</v>
      </c>
    </row>
    <row r="74" spans="1:32" ht="12.5" x14ac:dyDescent="0.25">
      <c r="A74" s="1" t="str">
        <f ca="1">IFERROR(__xludf.DUMMYFUNCTION("""COMPUTED_VALUE"""),"Connecticut")</f>
        <v>Connecticut</v>
      </c>
      <c r="B74" s="1">
        <f ca="1">IFERROR(__xludf.DUMMYFUNCTION("""COMPUTED_VALUE"""),33)</f>
        <v>33</v>
      </c>
      <c r="C74" s="1">
        <f ca="1">IFERROR(__xludf.DUMMYFUNCTION("""COMPUTED_VALUE"""),16)</f>
        <v>16</v>
      </c>
      <c r="D74" s="1">
        <f ca="1">IFERROR(__xludf.DUMMYFUNCTION("""COMPUTED_VALUE"""),17)</f>
        <v>17</v>
      </c>
      <c r="E74" s="1">
        <f ca="1">IFERROR(__xludf.DUMMYFUNCTION("""COMPUTED_VALUE"""),0.485)</f>
        <v>0.48499999999999999</v>
      </c>
      <c r="F74" s="1">
        <f ca="1">IFERROR(__xludf.DUMMYFUNCTION("""COMPUTED_VALUE"""),6.81)</f>
        <v>6.81</v>
      </c>
      <c r="G74" s="1">
        <f ca="1">IFERROR(__xludf.DUMMYFUNCTION("""COMPUTED_VALUE"""),4.32)</f>
        <v>4.32</v>
      </c>
      <c r="H74" s="1">
        <f ca="1">IFERROR(__xludf.DUMMYFUNCTION("""COMPUTED_VALUE"""),6)</f>
        <v>6</v>
      </c>
      <c r="I74" s="1">
        <f ca="1">IFERROR(__xludf.DUMMYFUNCTION("""COMPUTED_VALUE"""),12)</f>
        <v>12</v>
      </c>
      <c r="J74" s="1">
        <f ca="1">IFERROR(__xludf.DUMMYFUNCTION("""COMPUTED_VALUE"""),13)</f>
        <v>13</v>
      </c>
      <c r="K74" s="1">
        <f ca="1">IFERROR(__xludf.DUMMYFUNCTION("""COMPUTED_VALUE"""),5)</f>
        <v>5</v>
      </c>
      <c r="L74" s="1">
        <f ca="1">IFERROR(__xludf.DUMMYFUNCTION("""COMPUTED_VALUE"""),1)</f>
        <v>1</v>
      </c>
      <c r="M74" s="1">
        <f ca="1">IFERROR(__xludf.DUMMYFUNCTION("""COMPUTED_VALUE"""),8)</f>
        <v>8</v>
      </c>
      <c r="N74" s="1">
        <f ca="1">IFERROR(__xludf.DUMMYFUNCTION("""COMPUTED_VALUE"""),2436)</f>
        <v>2436</v>
      </c>
      <c r="O74" s="1">
        <f ca="1">IFERROR(__xludf.DUMMYFUNCTION("""COMPUTED_VALUE"""),2354)</f>
        <v>2354</v>
      </c>
      <c r="P74" s="1">
        <f ca="1">IFERROR(__xludf.DUMMYFUNCTION("""COMPUTED_VALUE"""),1325)</f>
        <v>1325</v>
      </c>
      <c r="Q74" s="1">
        <f ca="1">IFERROR(__xludf.DUMMYFUNCTION("""COMPUTED_VALUE"""),874)</f>
        <v>874</v>
      </c>
      <c r="R74" s="1">
        <f ca="1">IFERROR(__xludf.DUMMYFUNCTION("""COMPUTED_VALUE"""),1959)</f>
        <v>1959</v>
      </c>
      <c r="S74" s="1">
        <f ca="1">IFERROR(__xludf.DUMMYFUNCTION("""COMPUTED_VALUE"""),0.446)</f>
        <v>0.44600000000000001</v>
      </c>
      <c r="T74" s="1">
        <f ca="1">IFERROR(__xludf.DUMMYFUNCTION("""COMPUTED_VALUE"""),252)</f>
        <v>252</v>
      </c>
      <c r="U74" s="1">
        <f ca="1">IFERROR(__xludf.DUMMYFUNCTION("""COMPUTED_VALUE"""),732)</f>
        <v>732</v>
      </c>
      <c r="V74" s="1">
        <f ca="1">IFERROR(__xludf.DUMMYFUNCTION("""COMPUTED_VALUE"""),0.344)</f>
        <v>0.34399999999999997</v>
      </c>
      <c r="W74" s="1">
        <f ca="1">IFERROR(__xludf.DUMMYFUNCTION("""COMPUTED_VALUE"""),436)</f>
        <v>436</v>
      </c>
      <c r="X74" s="1">
        <f ca="1">IFERROR(__xludf.DUMMYFUNCTION("""COMPUTED_VALUE"""),641)</f>
        <v>641</v>
      </c>
      <c r="Y74" s="1">
        <f ca="1">IFERROR(__xludf.DUMMYFUNCTION("""COMPUTED_VALUE"""),0.68)</f>
        <v>0.68</v>
      </c>
      <c r="Z74" s="1">
        <f ca="1">IFERROR(__xludf.DUMMYFUNCTION("""COMPUTED_VALUE"""),380)</f>
        <v>380</v>
      </c>
      <c r="AA74" s="1">
        <f ca="1">IFERROR(__xludf.DUMMYFUNCTION("""COMPUTED_VALUE"""),1167)</f>
        <v>1167</v>
      </c>
      <c r="AB74" s="1">
        <f ca="1">IFERROR(__xludf.DUMMYFUNCTION("""COMPUTED_VALUE"""),422)</f>
        <v>422</v>
      </c>
      <c r="AC74" s="1">
        <f ca="1">IFERROR(__xludf.DUMMYFUNCTION("""COMPUTED_VALUE"""),200)</f>
        <v>200</v>
      </c>
      <c r="AD74" s="1">
        <f ca="1">IFERROR(__xludf.DUMMYFUNCTION("""COMPUTED_VALUE"""),145)</f>
        <v>145</v>
      </c>
      <c r="AE74" s="1">
        <f ca="1">IFERROR(__xludf.DUMMYFUNCTION("""COMPUTED_VALUE"""),427)</f>
        <v>427</v>
      </c>
      <c r="AF74" s="1">
        <f ca="1">IFERROR(__xludf.DUMMYFUNCTION("""COMPUTED_VALUE"""),643)</f>
        <v>643</v>
      </c>
    </row>
    <row r="75" spans="1:32" ht="12.5" x14ac:dyDescent="0.25">
      <c r="A75" s="1" t="str">
        <f ca="1">IFERROR(__xludf.DUMMYFUNCTION("""COMPUTED_VALUE"""),"Coppin State")</f>
        <v>Coppin State</v>
      </c>
      <c r="B75" s="1">
        <f ca="1">IFERROR(__xludf.DUMMYFUNCTION("""COMPUTED_VALUE"""),33)</f>
        <v>33</v>
      </c>
      <c r="C75" s="1">
        <f ca="1">IFERROR(__xludf.DUMMYFUNCTION("""COMPUTED_VALUE"""),8)</f>
        <v>8</v>
      </c>
      <c r="D75" s="1">
        <f ca="1">IFERROR(__xludf.DUMMYFUNCTION("""COMPUTED_VALUE"""),25)</f>
        <v>25</v>
      </c>
      <c r="E75" s="1">
        <f ca="1">IFERROR(__xludf.DUMMYFUNCTION("""COMPUTED_VALUE"""),0.242)</f>
        <v>0.24199999999999999</v>
      </c>
      <c r="F75" s="1">
        <f ca="1">IFERROR(__xludf.DUMMYFUNCTION("""COMPUTED_VALUE"""),-18.9)</f>
        <v>-18.899999999999999</v>
      </c>
      <c r="G75" s="1">
        <f ca="1">IFERROR(__xludf.DUMMYFUNCTION("""COMPUTED_VALUE"""),-7.11)</f>
        <v>-7.11</v>
      </c>
      <c r="H75" s="1">
        <f ca="1">IFERROR(__xludf.DUMMYFUNCTION("""COMPUTED_VALUE"""),7)</f>
        <v>7</v>
      </c>
      <c r="I75" s="1">
        <f ca="1">IFERROR(__xludf.DUMMYFUNCTION("""COMPUTED_VALUE"""),9)</f>
        <v>9</v>
      </c>
      <c r="J75" s="1">
        <f ca="1">IFERROR(__xludf.DUMMYFUNCTION("""COMPUTED_VALUE"""),3)</f>
        <v>3</v>
      </c>
      <c r="K75" s="1">
        <f ca="1">IFERROR(__xludf.DUMMYFUNCTION("""COMPUTED_VALUE"""),7)</f>
        <v>7</v>
      </c>
      <c r="L75" s="1">
        <f ca="1">IFERROR(__xludf.DUMMYFUNCTION("""COMPUTED_VALUE"""),4)</f>
        <v>4</v>
      </c>
      <c r="M75" s="1">
        <f ca="1">IFERROR(__xludf.DUMMYFUNCTION("""COMPUTED_VALUE"""),16)</f>
        <v>16</v>
      </c>
      <c r="N75" s="1">
        <f ca="1">IFERROR(__xludf.DUMMYFUNCTION("""COMPUTED_VALUE"""),2118)</f>
        <v>2118</v>
      </c>
      <c r="O75" s="1">
        <f ca="1">IFERROR(__xludf.DUMMYFUNCTION("""COMPUTED_VALUE"""),2507)</f>
        <v>2507</v>
      </c>
      <c r="P75" s="1">
        <f ca="1">IFERROR(__xludf.DUMMYFUNCTION("""COMPUTED_VALUE"""),1330)</f>
        <v>1330</v>
      </c>
      <c r="Q75" s="1">
        <f ca="1">IFERROR(__xludf.DUMMYFUNCTION("""COMPUTED_VALUE"""),710)</f>
        <v>710</v>
      </c>
      <c r="R75" s="1">
        <f ca="1">IFERROR(__xludf.DUMMYFUNCTION("""COMPUTED_VALUE"""),1827)</f>
        <v>1827</v>
      </c>
      <c r="S75" s="1">
        <f ca="1">IFERROR(__xludf.DUMMYFUNCTION("""COMPUTED_VALUE"""),0.389)</f>
        <v>0.38900000000000001</v>
      </c>
      <c r="T75" s="1">
        <f ca="1">IFERROR(__xludf.DUMMYFUNCTION("""COMPUTED_VALUE"""),240)</f>
        <v>240</v>
      </c>
      <c r="U75" s="1">
        <f ca="1">IFERROR(__xludf.DUMMYFUNCTION("""COMPUTED_VALUE"""),841)</f>
        <v>841</v>
      </c>
      <c r="V75" s="1">
        <f ca="1">IFERROR(__xludf.DUMMYFUNCTION("""COMPUTED_VALUE"""),0.285)</f>
        <v>0.28499999999999998</v>
      </c>
      <c r="W75" s="1">
        <f ca="1">IFERROR(__xludf.DUMMYFUNCTION("""COMPUTED_VALUE"""),458)</f>
        <v>458</v>
      </c>
      <c r="X75" s="1">
        <f ca="1">IFERROR(__xludf.DUMMYFUNCTION("""COMPUTED_VALUE"""),689)</f>
        <v>689</v>
      </c>
      <c r="Y75" s="1">
        <f ca="1">IFERROR(__xludf.DUMMYFUNCTION("""COMPUTED_VALUE"""),0.665)</f>
        <v>0.66500000000000004</v>
      </c>
      <c r="Z75" s="1">
        <f ca="1">IFERROR(__xludf.DUMMYFUNCTION("""COMPUTED_VALUE"""),314)</f>
        <v>314</v>
      </c>
      <c r="AA75" s="1">
        <f ca="1">IFERROR(__xludf.DUMMYFUNCTION("""COMPUTED_VALUE"""),1218)</f>
        <v>1218</v>
      </c>
      <c r="AB75" s="1">
        <f ca="1">IFERROR(__xludf.DUMMYFUNCTION("""COMPUTED_VALUE"""),326)</f>
        <v>326</v>
      </c>
      <c r="AC75" s="1">
        <f ca="1">IFERROR(__xludf.DUMMYFUNCTION("""COMPUTED_VALUE"""),169)</f>
        <v>169</v>
      </c>
      <c r="AD75" s="1">
        <f ca="1">IFERROR(__xludf.DUMMYFUNCTION("""COMPUTED_VALUE"""),115)</f>
        <v>115</v>
      </c>
      <c r="AE75" s="1">
        <f ca="1">IFERROR(__xludf.DUMMYFUNCTION("""COMPUTED_VALUE"""),555)</f>
        <v>555</v>
      </c>
      <c r="AF75" s="1">
        <f ca="1">IFERROR(__xludf.DUMMYFUNCTION("""COMPUTED_VALUE"""),620)</f>
        <v>620</v>
      </c>
    </row>
    <row r="76" spans="1:32" ht="12.5" x14ac:dyDescent="0.25">
      <c r="A76" s="1" t="str">
        <f ca="1">IFERROR(__xludf.DUMMYFUNCTION("""COMPUTED_VALUE"""),"Cornell")</f>
        <v>Cornell</v>
      </c>
      <c r="B76" s="1">
        <f ca="1">IFERROR(__xludf.DUMMYFUNCTION("""COMPUTED_VALUE"""),31)</f>
        <v>31</v>
      </c>
      <c r="C76" s="1">
        <f ca="1">IFERROR(__xludf.DUMMYFUNCTION("""COMPUTED_VALUE"""),15)</f>
        <v>15</v>
      </c>
      <c r="D76" s="1">
        <f ca="1">IFERROR(__xludf.DUMMYFUNCTION("""COMPUTED_VALUE"""),16)</f>
        <v>16</v>
      </c>
      <c r="E76" s="1">
        <f ca="1">IFERROR(__xludf.DUMMYFUNCTION("""COMPUTED_VALUE"""),0.484)</f>
        <v>0.48399999999999999</v>
      </c>
      <c r="F76" s="1">
        <f ca="1">IFERROR(__xludf.DUMMYFUNCTION("""COMPUTED_VALUE"""),-6.12)</f>
        <v>-6.12</v>
      </c>
      <c r="G76" s="1">
        <f ca="1">IFERROR(__xludf.DUMMYFUNCTION("""COMPUTED_VALUE"""),-2.02)</f>
        <v>-2.02</v>
      </c>
      <c r="H76" s="1">
        <f ca="1">IFERROR(__xludf.DUMMYFUNCTION("""COMPUTED_VALUE"""),7)</f>
        <v>7</v>
      </c>
      <c r="I76" s="1">
        <f ca="1">IFERROR(__xludf.DUMMYFUNCTION("""COMPUTED_VALUE"""),7)</f>
        <v>7</v>
      </c>
      <c r="J76" s="1">
        <f ca="1">IFERROR(__xludf.DUMMYFUNCTION("""COMPUTED_VALUE"""),9)</f>
        <v>9</v>
      </c>
      <c r="K76" s="1">
        <f ca="1">IFERROR(__xludf.DUMMYFUNCTION("""COMPUTED_VALUE"""),4)</f>
        <v>4</v>
      </c>
      <c r="L76" s="1">
        <f ca="1">IFERROR(__xludf.DUMMYFUNCTION("""COMPUTED_VALUE"""),6)</f>
        <v>6</v>
      </c>
      <c r="M76" s="1">
        <f ca="1">IFERROR(__xludf.DUMMYFUNCTION("""COMPUTED_VALUE"""),12)</f>
        <v>12</v>
      </c>
      <c r="N76" s="1">
        <f ca="1">IFERROR(__xludf.DUMMYFUNCTION("""COMPUTED_VALUE"""),2149)</f>
        <v>2149</v>
      </c>
      <c r="O76" s="1">
        <f ca="1">IFERROR(__xludf.DUMMYFUNCTION("""COMPUTED_VALUE"""),2211)</f>
        <v>2211</v>
      </c>
      <c r="P76" s="1">
        <f ca="1">IFERROR(__xludf.DUMMYFUNCTION("""COMPUTED_VALUE"""),1260)</f>
        <v>1260</v>
      </c>
      <c r="Q76" s="1">
        <f ca="1">IFERROR(__xludf.DUMMYFUNCTION("""COMPUTED_VALUE"""),754)</f>
        <v>754</v>
      </c>
      <c r="R76" s="1">
        <f ca="1">IFERROR(__xludf.DUMMYFUNCTION("""COMPUTED_VALUE"""),1705)</f>
        <v>1705</v>
      </c>
      <c r="S76" s="1">
        <f ca="1">IFERROR(__xludf.DUMMYFUNCTION("""COMPUTED_VALUE"""),0.442)</f>
        <v>0.442</v>
      </c>
      <c r="T76" s="1">
        <f ca="1">IFERROR(__xludf.DUMMYFUNCTION("""COMPUTED_VALUE"""),243)</f>
        <v>243</v>
      </c>
      <c r="U76" s="1">
        <f ca="1">IFERROR(__xludf.DUMMYFUNCTION("""COMPUTED_VALUE"""),731)</f>
        <v>731</v>
      </c>
      <c r="V76" s="1">
        <f ca="1">IFERROR(__xludf.DUMMYFUNCTION("""COMPUTED_VALUE"""),0.332)</f>
        <v>0.33200000000000002</v>
      </c>
      <c r="W76" s="1">
        <f ca="1">IFERROR(__xludf.DUMMYFUNCTION("""COMPUTED_VALUE"""),398)</f>
        <v>398</v>
      </c>
      <c r="X76" s="1">
        <f ca="1">IFERROR(__xludf.DUMMYFUNCTION("""COMPUTED_VALUE"""),551)</f>
        <v>551</v>
      </c>
      <c r="Y76" s="1">
        <f ca="1">IFERROR(__xludf.DUMMYFUNCTION("""COMPUTED_VALUE"""),0.722)</f>
        <v>0.72199999999999998</v>
      </c>
      <c r="Z76" s="1">
        <f ca="1">IFERROR(__xludf.DUMMYFUNCTION("""COMPUTED_VALUE"""),191)</f>
        <v>191</v>
      </c>
      <c r="AA76" s="1">
        <f ca="1">IFERROR(__xludf.DUMMYFUNCTION("""COMPUTED_VALUE"""),1015)</f>
        <v>1015</v>
      </c>
      <c r="AB76" s="1">
        <f ca="1">IFERROR(__xludf.DUMMYFUNCTION("""COMPUTED_VALUE"""),453)</f>
        <v>453</v>
      </c>
      <c r="AC76" s="1">
        <f ca="1">IFERROR(__xludf.DUMMYFUNCTION("""COMPUTED_VALUE"""),181)</f>
        <v>181</v>
      </c>
      <c r="AD76" s="1">
        <f ca="1">IFERROR(__xludf.DUMMYFUNCTION("""COMPUTED_VALUE"""),107)</f>
        <v>107</v>
      </c>
      <c r="AE76" s="1">
        <f ca="1">IFERROR(__xludf.DUMMYFUNCTION("""COMPUTED_VALUE"""),414)</f>
        <v>414</v>
      </c>
      <c r="AF76" s="1">
        <f ca="1">IFERROR(__xludf.DUMMYFUNCTION("""COMPUTED_VALUE"""),492)</f>
        <v>492</v>
      </c>
    </row>
    <row r="77" spans="1:32" ht="12.5" x14ac:dyDescent="0.25">
      <c r="A77" s="1" t="str">
        <f ca="1">IFERROR(__xludf.DUMMYFUNCTION("""COMPUTED_VALUE"""),"Creighton")</f>
        <v>Creighton</v>
      </c>
      <c r="B77" s="1">
        <f ca="1">IFERROR(__xludf.DUMMYFUNCTION("""COMPUTED_VALUE"""),35)</f>
        <v>35</v>
      </c>
      <c r="C77" s="1">
        <f ca="1">IFERROR(__xludf.DUMMYFUNCTION("""COMPUTED_VALUE"""),20)</f>
        <v>20</v>
      </c>
      <c r="D77" s="1">
        <f ca="1">IFERROR(__xludf.DUMMYFUNCTION("""COMPUTED_VALUE"""),15)</f>
        <v>15</v>
      </c>
      <c r="E77" s="1">
        <f ca="1">IFERROR(__xludf.DUMMYFUNCTION("""COMPUTED_VALUE"""),0.571)</f>
        <v>0.57099999999999995</v>
      </c>
      <c r="F77" s="1">
        <f ca="1">IFERROR(__xludf.DUMMYFUNCTION("""COMPUTED_VALUE"""),12)</f>
        <v>12</v>
      </c>
      <c r="G77" s="1">
        <f ca="1">IFERROR(__xludf.DUMMYFUNCTION("""COMPUTED_VALUE"""),8.59)</f>
        <v>8.59</v>
      </c>
      <c r="H77" s="1">
        <f ca="1">IFERROR(__xludf.DUMMYFUNCTION("""COMPUTED_VALUE"""),9)</f>
        <v>9</v>
      </c>
      <c r="I77" s="1">
        <f ca="1">IFERROR(__xludf.DUMMYFUNCTION("""COMPUTED_VALUE"""),9)</f>
        <v>9</v>
      </c>
      <c r="J77" s="1">
        <f ca="1">IFERROR(__xludf.DUMMYFUNCTION("""COMPUTED_VALUE"""),13)</f>
        <v>13</v>
      </c>
      <c r="K77" s="1">
        <f ca="1">IFERROR(__xludf.DUMMYFUNCTION("""COMPUTED_VALUE"""),6)</f>
        <v>6</v>
      </c>
      <c r="L77" s="1">
        <f ca="1">IFERROR(__xludf.DUMMYFUNCTION("""COMPUTED_VALUE"""),4)</f>
        <v>4</v>
      </c>
      <c r="M77" s="1">
        <f ca="1">IFERROR(__xludf.DUMMYFUNCTION("""COMPUTED_VALUE"""),8)</f>
        <v>8</v>
      </c>
      <c r="N77" s="1">
        <f ca="1">IFERROR(__xludf.DUMMYFUNCTION("""COMPUTED_VALUE"""),2727)</f>
        <v>2727</v>
      </c>
      <c r="O77" s="1">
        <f ca="1">IFERROR(__xludf.DUMMYFUNCTION("""COMPUTED_VALUE"""),2561)</f>
        <v>2561</v>
      </c>
      <c r="P77" s="1">
        <f ca="1">IFERROR(__xludf.DUMMYFUNCTION("""COMPUTED_VALUE"""),1420)</f>
        <v>1420</v>
      </c>
      <c r="Q77" s="1">
        <f ca="1">IFERROR(__xludf.DUMMYFUNCTION("""COMPUTED_VALUE"""),980)</f>
        <v>980</v>
      </c>
      <c r="R77" s="1">
        <f ca="1">IFERROR(__xludf.DUMMYFUNCTION("""COMPUTED_VALUE"""),2044)</f>
        <v>2044</v>
      </c>
      <c r="S77" s="1">
        <f ca="1">IFERROR(__xludf.DUMMYFUNCTION("""COMPUTED_VALUE"""),0.479)</f>
        <v>0.47899999999999998</v>
      </c>
      <c r="T77" s="1">
        <f ca="1">IFERROR(__xludf.DUMMYFUNCTION("""COMPUTED_VALUE"""),372)</f>
        <v>372</v>
      </c>
      <c r="U77" s="1">
        <f ca="1">IFERROR(__xludf.DUMMYFUNCTION("""COMPUTED_VALUE"""),961)</f>
        <v>961</v>
      </c>
      <c r="V77" s="1">
        <f ca="1">IFERROR(__xludf.DUMMYFUNCTION("""COMPUTED_VALUE"""),0.387)</f>
        <v>0.38700000000000001</v>
      </c>
      <c r="W77" s="1">
        <f ca="1">IFERROR(__xludf.DUMMYFUNCTION("""COMPUTED_VALUE"""),395)</f>
        <v>395</v>
      </c>
      <c r="X77" s="1">
        <f ca="1">IFERROR(__xludf.DUMMYFUNCTION("""COMPUTED_VALUE"""),582)</f>
        <v>582</v>
      </c>
      <c r="Y77" s="1">
        <f ca="1">IFERROR(__xludf.DUMMYFUNCTION("""COMPUTED_VALUE"""),0.679)</f>
        <v>0.67900000000000005</v>
      </c>
      <c r="Z77" s="1">
        <f ca="1">IFERROR(__xludf.DUMMYFUNCTION("""COMPUTED_VALUE"""),288)</f>
        <v>288</v>
      </c>
      <c r="AA77" s="1">
        <f ca="1">IFERROR(__xludf.DUMMYFUNCTION("""COMPUTED_VALUE"""),1196)</f>
        <v>1196</v>
      </c>
      <c r="AB77" s="1">
        <f ca="1">IFERROR(__xludf.DUMMYFUNCTION("""COMPUTED_VALUE"""),561)</f>
        <v>561</v>
      </c>
      <c r="AC77" s="1">
        <f ca="1">IFERROR(__xludf.DUMMYFUNCTION("""COMPUTED_VALUE"""),237)</f>
        <v>237</v>
      </c>
      <c r="AD77" s="1">
        <f ca="1">IFERROR(__xludf.DUMMYFUNCTION("""COMPUTED_VALUE"""),92)</f>
        <v>92</v>
      </c>
      <c r="AE77" s="1">
        <f ca="1">IFERROR(__xludf.DUMMYFUNCTION("""COMPUTED_VALUE"""),464)</f>
        <v>464</v>
      </c>
      <c r="AF77" s="1">
        <f ca="1">IFERROR(__xludf.DUMMYFUNCTION("""COMPUTED_VALUE"""),580)</f>
        <v>580</v>
      </c>
    </row>
    <row r="78" spans="1:32" ht="12.5" x14ac:dyDescent="0.25">
      <c r="A78" s="1" t="str">
        <f ca="1">IFERROR(__xludf.DUMMYFUNCTION("""COMPUTED_VALUE"""),"Dartmouth")</f>
        <v>Dartmouth</v>
      </c>
      <c r="B78" s="1">
        <f ca="1">IFERROR(__xludf.DUMMYFUNCTION("""COMPUTED_VALUE"""),30)</f>
        <v>30</v>
      </c>
      <c r="C78" s="1">
        <f ca="1">IFERROR(__xludf.DUMMYFUNCTION("""COMPUTED_VALUE"""),11)</f>
        <v>11</v>
      </c>
      <c r="D78" s="1">
        <f ca="1">IFERROR(__xludf.DUMMYFUNCTION("""COMPUTED_VALUE"""),19)</f>
        <v>19</v>
      </c>
      <c r="E78" s="1">
        <f ca="1">IFERROR(__xludf.DUMMYFUNCTION("""COMPUTED_VALUE"""),0.367)</f>
        <v>0.36699999999999999</v>
      </c>
      <c r="F78" s="1">
        <f ca="1">IFERROR(__xludf.DUMMYFUNCTION("""COMPUTED_VALUE"""),-5.75)</f>
        <v>-5.75</v>
      </c>
      <c r="G78" s="1">
        <f ca="1">IFERROR(__xludf.DUMMYFUNCTION("""COMPUTED_VALUE"""),-3)</f>
        <v>-3</v>
      </c>
      <c r="H78" s="1">
        <f ca="1">IFERROR(__xludf.DUMMYFUNCTION("""COMPUTED_VALUE"""),2)</f>
        <v>2</v>
      </c>
      <c r="I78" s="1">
        <f ca="1">IFERROR(__xludf.DUMMYFUNCTION("""COMPUTED_VALUE"""),12)</f>
        <v>12</v>
      </c>
      <c r="J78" s="1">
        <f ca="1">IFERROR(__xludf.DUMMYFUNCTION("""COMPUTED_VALUE"""),8)</f>
        <v>8</v>
      </c>
      <c r="K78" s="1">
        <f ca="1">IFERROR(__xludf.DUMMYFUNCTION("""COMPUTED_VALUE"""),6)</f>
        <v>6</v>
      </c>
      <c r="L78" s="1">
        <f ca="1">IFERROR(__xludf.DUMMYFUNCTION("""COMPUTED_VALUE"""),2)</f>
        <v>2</v>
      </c>
      <c r="M78" s="1">
        <f ca="1">IFERROR(__xludf.DUMMYFUNCTION("""COMPUTED_VALUE"""),12)</f>
        <v>12</v>
      </c>
      <c r="N78" s="1">
        <f ca="1">IFERROR(__xludf.DUMMYFUNCTION("""COMPUTED_VALUE"""),2160)</f>
        <v>2160</v>
      </c>
      <c r="O78" s="1">
        <f ca="1">IFERROR(__xludf.DUMMYFUNCTION("""COMPUTED_VALUE"""),2116)</f>
        <v>2116</v>
      </c>
      <c r="P78" s="1">
        <f ca="1">IFERROR(__xludf.DUMMYFUNCTION("""COMPUTED_VALUE"""),1210)</f>
        <v>1210</v>
      </c>
      <c r="Q78" s="1">
        <f ca="1">IFERROR(__xludf.DUMMYFUNCTION("""COMPUTED_VALUE"""),791)</f>
        <v>791</v>
      </c>
      <c r="R78" s="1">
        <f ca="1">IFERROR(__xludf.DUMMYFUNCTION("""COMPUTED_VALUE"""),1750)</f>
        <v>1750</v>
      </c>
      <c r="S78" s="1">
        <f ca="1">IFERROR(__xludf.DUMMYFUNCTION("""COMPUTED_VALUE"""),0.452)</f>
        <v>0.45200000000000001</v>
      </c>
      <c r="T78" s="1">
        <f ca="1">IFERROR(__xludf.DUMMYFUNCTION("""COMPUTED_VALUE"""),264)</f>
        <v>264</v>
      </c>
      <c r="U78" s="1">
        <f ca="1">IFERROR(__xludf.DUMMYFUNCTION("""COMPUTED_VALUE"""),721)</f>
        <v>721</v>
      </c>
      <c r="V78" s="1">
        <f ca="1">IFERROR(__xludf.DUMMYFUNCTION("""COMPUTED_VALUE"""),0.366)</f>
        <v>0.36599999999999999</v>
      </c>
      <c r="W78" s="1">
        <f ca="1">IFERROR(__xludf.DUMMYFUNCTION("""COMPUTED_VALUE"""),314)</f>
        <v>314</v>
      </c>
      <c r="X78" s="1">
        <f ca="1">IFERROR(__xludf.DUMMYFUNCTION("""COMPUTED_VALUE"""),436)</f>
        <v>436</v>
      </c>
      <c r="Y78" s="1">
        <f ca="1">IFERROR(__xludf.DUMMYFUNCTION("""COMPUTED_VALUE"""),0.72)</f>
        <v>0.72</v>
      </c>
      <c r="Z78" s="1">
        <f ca="1">IFERROR(__xludf.DUMMYFUNCTION("""COMPUTED_VALUE"""),246)</f>
        <v>246</v>
      </c>
      <c r="AA78" s="1">
        <f ca="1">IFERROR(__xludf.DUMMYFUNCTION("""COMPUTED_VALUE"""),1020)</f>
        <v>1020</v>
      </c>
      <c r="AB78" s="1">
        <f ca="1">IFERROR(__xludf.DUMMYFUNCTION("""COMPUTED_VALUE"""),426)</f>
        <v>426</v>
      </c>
      <c r="AC78" s="1">
        <f ca="1">IFERROR(__xludf.DUMMYFUNCTION("""COMPUTED_VALUE"""),158)</f>
        <v>158</v>
      </c>
      <c r="AD78" s="1">
        <f ca="1">IFERROR(__xludf.DUMMYFUNCTION("""COMPUTED_VALUE"""),100)</f>
        <v>100</v>
      </c>
      <c r="AE78" s="1">
        <f ca="1">IFERROR(__xludf.DUMMYFUNCTION("""COMPUTED_VALUE"""),361)</f>
        <v>361</v>
      </c>
      <c r="AF78" s="1">
        <f ca="1">IFERROR(__xludf.DUMMYFUNCTION("""COMPUTED_VALUE"""),468)</f>
        <v>468</v>
      </c>
    </row>
    <row r="79" spans="1:32" ht="12.5" x14ac:dyDescent="0.25">
      <c r="A79" s="1" t="str">
        <f ca="1">IFERROR(__xludf.DUMMYFUNCTION("""COMPUTED_VALUE"""),"Davidson")</f>
        <v>Davidson</v>
      </c>
      <c r="B79" s="1">
        <f ca="1">IFERROR(__xludf.DUMMYFUNCTION("""COMPUTED_VALUE"""),34)</f>
        <v>34</v>
      </c>
      <c r="C79" s="1">
        <f ca="1">IFERROR(__xludf.DUMMYFUNCTION("""COMPUTED_VALUE"""),24)</f>
        <v>24</v>
      </c>
      <c r="D79" s="1">
        <f ca="1">IFERROR(__xludf.DUMMYFUNCTION("""COMPUTED_VALUE"""),10)</f>
        <v>10</v>
      </c>
      <c r="E79" s="1">
        <f ca="1">IFERROR(__xludf.DUMMYFUNCTION("""COMPUTED_VALUE"""),0.706)</f>
        <v>0.70599999999999996</v>
      </c>
      <c r="F79" s="1">
        <f ca="1">IFERROR(__xludf.DUMMYFUNCTION("""COMPUTED_VALUE"""),6.38)</f>
        <v>6.38</v>
      </c>
      <c r="G79" s="1">
        <f ca="1">IFERROR(__xludf.DUMMYFUNCTION("""COMPUTED_VALUE"""),1.96)</f>
        <v>1.96</v>
      </c>
      <c r="H79" s="1">
        <f ca="1">IFERROR(__xludf.DUMMYFUNCTION("""COMPUTED_VALUE"""),14)</f>
        <v>14</v>
      </c>
      <c r="I79" s="1">
        <f ca="1">IFERROR(__xludf.DUMMYFUNCTION("""COMPUTED_VALUE"""),4)</f>
        <v>4</v>
      </c>
      <c r="J79" s="1">
        <f ca="1">IFERROR(__xludf.DUMMYFUNCTION("""COMPUTED_VALUE"""),14)</f>
        <v>14</v>
      </c>
      <c r="K79" s="1">
        <f ca="1">IFERROR(__xludf.DUMMYFUNCTION("""COMPUTED_VALUE"""),2)</f>
        <v>2</v>
      </c>
      <c r="L79" s="1">
        <f ca="1">IFERROR(__xludf.DUMMYFUNCTION("""COMPUTED_VALUE"""),7)</f>
        <v>7</v>
      </c>
      <c r="M79" s="1">
        <f ca="1">IFERROR(__xludf.DUMMYFUNCTION("""COMPUTED_VALUE"""),5)</f>
        <v>5</v>
      </c>
      <c r="N79" s="1">
        <f ca="1">IFERROR(__xludf.DUMMYFUNCTION("""COMPUTED_VALUE"""),2409)</f>
        <v>2409</v>
      </c>
      <c r="O79" s="1">
        <f ca="1">IFERROR(__xludf.DUMMYFUNCTION("""COMPUTED_VALUE"""),2229)</f>
        <v>2229</v>
      </c>
      <c r="P79" s="1">
        <f ca="1">IFERROR(__xludf.DUMMYFUNCTION("""COMPUTED_VALUE"""),1365)</f>
        <v>1365</v>
      </c>
      <c r="Q79" s="1">
        <f ca="1">IFERROR(__xludf.DUMMYFUNCTION("""COMPUTED_VALUE"""),852)</f>
        <v>852</v>
      </c>
      <c r="R79" s="1">
        <f ca="1">IFERROR(__xludf.DUMMYFUNCTION("""COMPUTED_VALUE"""),1893)</f>
        <v>1893</v>
      </c>
      <c r="S79" s="1">
        <f ca="1">IFERROR(__xludf.DUMMYFUNCTION("""COMPUTED_VALUE"""),0.45)</f>
        <v>0.45</v>
      </c>
      <c r="T79" s="1">
        <f ca="1">IFERROR(__xludf.DUMMYFUNCTION("""COMPUTED_VALUE"""),312)</f>
        <v>312</v>
      </c>
      <c r="U79" s="1">
        <f ca="1">IFERROR(__xludf.DUMMYFUNCTION("""COMPUTED_VALUE"""),882)</f>
        <v>882</v>
      </c>
      <c r="V79" s="1">
        <f ca="1">IFERROR(__xludf.DUMMYFUNCTION("""COMPUTED_VALUE"""),0.354)</f>
        <v>0.35399999999999998</v>
      </c>
      <c r="W79" s="1">
        <f ca="1">IFERROR(__xludf.DUMMYFUNCTION("""COMPUTED_VALUE"""),393)</f>
        <v>393</v>
      </c>
      <c r="X79" s="1">
        <f ca="1">IFERROR(__xludf.DUMMYFUNCTION("""COMPUTED_VALUE"""),525)</f>
        <v>525</v>
      </c>
      <c r="Y79" s="1">
        <f ca="1">IFERROR(__xludf.DUMMYFUNCTION("""COMPUTED_VALUE"""),0.749)</f>
        <v>0.749</v>
      </c>
      <c r="Z79" s="1">
        <f ca="1">IFERROR(__xludf.DUMMYFUNCTION("""COMPUTED_VALUE"""),264)</f>
        <v>264</v>
      </c>
      <c r="AA79" s="1">
        <f ca="1">IFERROR(__xludf.DUMMYFUNCTION("""COMPUTED_VALUE"""),1185)</f>
        <v>1185</v>
      </c>
      <c r="AB79" s="1">
        <f ca="1">IFERROR(__xludf.DUMMYFUNCTION("""COMPUTED_VALUE"""),499)</f>
        <v>499</v>
      </c>
      <c r="AC79" s="1">
        <f ca="1">IFERROR(__xludf.DUMMYFUNCTION("""COMPUTED_VALUE"""),175)</f>
        <v>175</v>
      </c>
      <c r="AD79" s="1">
        <f ca="1">IFERROR(__xludf.DUMMYFUNCTION("""COMPUTED_VALUE"""),82)</f>
        <v>82</v>
      </c>
      <c r="AE79" s="1">
        <f ca="1">IFERROR(__xludf.DUMMYFUNCTION("""COMPUTED_VALUE"""),378)</f>
        <v>378</v>
      </c>
      <c r="AF79" s="1">
        <f ca="1">IFERROR(__xludf.DUMMYFUNCTION("""COMPUTED_VALUE"""),539)</f>
        <v>539</v>
      </c>
    </row>
    <row r="80" spans="1:32" ht="12.5" x14ac:dyDescent="0.25">
      <c r="A80" s="1" t="str">
        <f ca="1">IFERROR(__xludf.DUMMYFUNCTION("""COMPUTED_VALUE"""),"Dayton")</f>
        <v>Dayton</v>
      </c>
      <c r="B80" s="1">
        <f ca="1">IFERROR(__xludf.DUMMYFUNCTION("""COMPUTED_VALUE"""),33)</f>
        <v>33</v>
      </c>
      <c r="C80" s="1">
        <f ca="1">IFERROR(__xludf.DUMMYFUNCTION("""COMPUTED_VALUE"""),21)</f>
        <v>21</v>
      </c>
      <c r="D80" s="1">
        <f ca="1">IFERROR(__xludf.DUMMYFUNCTION("""COMPUTED_VALUE"""),12)</f>
        <v>12</v>
      </c>
      <c r="E80" s="1">
        <f ca="1">IFERROR(__xludf.DUMMYFUNCTION("""COMPUTED_VALUE"""),0.636)</f>
        <v>0.63600000000000001</v>
      </c>
      <c r="F80" s="1">
        <f ca="1">IFERROR(__xludf.DUMMYFUNCTION("""COMPUTED_VALUE"""),9.67)</f>
        <v>9.67</v>
      </c>
      <c r="G80" s="1">
        <f ca="1">IFERROR(__xludf.DUMMYFUNCTION("""COMPUTED_VALUE"""),2.91)</f>
        <v>2.91</v>
      </c>
      <c r="H80" s="1">
        <f ca="1">IFERROR(__xludf.DUMMYFUNCTION("""COMPUTED_VALUE"""),13)</f>
        <v>13</v>
      </c>
      <c r="I80" s="1">
        <f ca="1">IFERROR(__xludf.DUMMYFUNCTION("""COMPUTED_VALUE"""),5)</f>
        <v>5</v>
      </c>
      <c r="J80" s="1">
        <f ca="1">IFERROR(__xludf.DUMMYFUNCTION("""COMPUTED_VALUE"""),13)</f>
        <v>13</v>
      </c>
      <c r="K80" s="1">
        <f ca="1">IFERROR(__xludf.DUMMYFUNCTION("""COMPUTED_VALUE"""),4)</f>
        <v>4</v>
      </c>
      <c r="L80" s="1">
        <f ca="1">IFERROR(__xludf.DUMMYFUNCTION("""COMPUTED_VALUE"""),7)</f>
        <v>7</v>
      </c>
      <c r="M80" s="1">
        <f ca="1">IFERROR(__xludf.DUMMYFUNCTION("""COMPUTED_VALUE"""),4)</f>
        <v>4</v>
      </c>
      <c r="N80" s="1">
        <f ca="1">IFERROR(__xludf.DUMMYFUNCTION("""COMPUTED_VALUE"""),2406)</f>
        <v>2406</v>
      </c>
      <c r="O80" s="1">
        <f ca="1">IFERROR(__xludf.DUMMYFUNCTION("""COMPUTED_VALUE"""),2183)</f>
        <v>2183</v>
      </c>
      <c r="P80" s="1">
        <f ca="1">IFERROR(__xludf.DUMMYFUNCTION("""COMPUTED_VALUE"""),1335)</f>
        <v>1335</v>
      </c>
      <c r="Q80" s="1">
        <f ca="1">IFERROR(__xludf.DUMMYFUNCTION("""COMPUTED_VALUE"""),902)</f>
        <v>902</v>
      </c>
      <c r="R80" s="1">
        <f ca="1">IFERROR(__xludf.DUMMYFUNCTION("""COMPUTED_VALUE"""),1789)</f>
        <v>1789</v>
      </c>
      <c r="S80" s="1">
        <f ca="1">IFERROR(__xludf.DUMMYFUNCTION("""COMPUTED_VALUE"""),0.504)</f>
        <v>0.504</v>
      </c>
      <c r="T80" s="1">
        <f ca="1">IFERROR(__xludf.DUMMYFUNCTION("""COMPUTED_VALUE"""),205)</f>
        <v>205</v>
      </c>
      <c r="U80" s="1">
        <f ca="1">IFERROR(__xludf.DUMMYFUNCTION("""COMPUTED_VALUE"""),617)</f>
        <v>617</v>
      </c>
      <c r="V80" s="1">
        <f ca="1">IFERROR(__xludf.DUMMYFUNCTION("""COMPUTED_VALUE"""),0.332)</f>
        <v>0.33200000000000002</v>
      </c>
      <c r="W80" s="1">
        <f ca="1">IFERROR(__xludf.DUMMYFUNCTION("""COMPUTED_VALUE"""),397)</f>
        <v>397</v>
      </c>
      <c r="X80" s="1">
        <f ca="1">IFERROR(__xludf.DUMMYFUNCTION("""COMPUTED_VALUE"""),575)</f>
        <v>575</v>
      </c>
      <c r="Y80" s="1">
        <f ca="1">IFERROR(__xludf.DUMMYFUNCTION("""COMPUTED_VALUE"""),0.69)</f>
        <v>0.69</v>
      </c>
      <c r="Z80" s="1">
        <f ca="1">IFERROR(__xludf.DUMMYFUNCTION("""COMPUTED_VALUE"""),261)</f>
        <v>261</v>
      </c>
      <c r="AA80" s="1">
        <f ca="1">IFERROR(__xludf.DUMMYFUNCTION("""COMPUTED_VALUE"""),1145)</f>
        <v>1145</v>
      </c>
      <c r="AB80" s="1">
        <f ca="1">IFERROR(__xludf.DUMMYFUNCTION("""COMPUTED_VALUE"""),541)</f>
        <v>541</v>
      </c>
      <c r="AC80" s="1">
        <f ca="1">IFERROR(__xludf.DUMMYFUNCTION("""COMPUTED_VALUE"""),164)</f>
        <v>164</v>
      </c>
      <c r="AD80" s="1">
        <f ca="1">IFERROR(__xludf.DUMMYFUNCTION("""COMPUTED_VALUE"""),81)</f>
        <v>81</v>
      </c>
      <c r="AE80" s="1">
        <f ca="1">IFERROR(__xludf.DUMMYFUNCTION("""COMPUTED_VALUE"""),414)</f>
        <v>414</v>
      </c>
      <c r="AF80" s="1">
        <f ca="1">IFERROR(__xludf.DUMMYFUNCTION("""COMPUTED_VALUE"""),463)</f>
        <v>463</v>
      </c>
    </row>
    <row r="81" spans="1:32" ht="12.5" x14ac:dyDescent="0.25">
      <c r="A81" s="1" t="str">
        <f ca="1">IFERROR(__xludf.DUMMYFUNCTION("""COMPUTED_VALUE"""),"Delaware State")</f>
        <v>Delaware State</v>
      </c>
      <c r="B81" s="1">
        <f ca="1">IFERROR(__xludf.DUMMYFUNCTION("""COMPUTED_VALUE"""),31)</f>
        <v>31</v>
      </c>
      <c r="C81" s="1">
        <f ca="1">IFERROR(__xludf.DUMMYFUNCTION("""COMPUTED_VALUE"""),6)</f>
        <v>6</v>
      </c>
      <c r="D81" s="1">
        <f ca="1">IFERROR(__xludf.DUMMYFUNCTION("""COMPUTED_VALUE"""),25)</f>
        <v>25</v>
      </c>
      <c r="E81" s="1">
        <f ca="1">IFERROR(__xludf.DUMMYFUNCTION("""COMPUTED_VALUE"""),0.194)</f>
        <v>0.19400000000000001</v>
      </c>
      <c r="F81" s="1">
        <f ca="1">IFERROR(__xludf.DUMMYFUNCTION("""COMPUTED_VALUE"""),-26.82)</f>
        <v>-26.82</v>
      </c>
      <c r="G81" s="1">
        <f ca="1">IFERROR(__xludf.DUMMYFUNCTION("""COMPUTED_VALUE"""),-10.13)</f>
        <v>-10.130000000000001</v>
      </c>
      <c r="H81" s="1">
        <f ca="1">IFERROR(__xludf.DUMMYFUNCTION("""COMPUTED_VALUE"""),2)</f>
        <v>2</v>
      </c>
      <c r="I81" s="1">
        <f ca="1">IFERROR(__xludf.DUMMYFUNCTION("""COMPUTED_VALUE"""),14)</f>
        <v>14</v>
      </c>
      <c r="J81" s="1">
        <f ca="1">IFERROR(__xludf.DUMMYFUNCTION("""COMPUTED_VALUE"""),3)</f>
        <v>3</v>
      </c>
      <c r="K81" s="1">
        <f ca="1">IFERROR(__xludf.DUMMYFUNCTION("""COMPUTED_VALUE"""),9)</f>
        <v>9</v>
      </c>
      <c r="L81" s="1">
        <f ca="1">IFERROR(__xludf.DUMMYFUNCTION("""COMPUTED_VALUE"""),2)</f>
        <v>2</v>
      </c>
      <c r="M81" s="1">
        <f ca="1">IFERROR(__xludf.DUMMYFUNCTION("""COMPUTED_VALUE"""),15)</f>
        <v>15</v>
      </c>
      <c r="N81" s="1">
        <f ca="1">IFERROR(__xludf.DUMMYFUNCTION("""COMPUTED_VALUE"""),1956)</f>
        <v>1956</v>
      </c>
      <c r="O81" s="1">
        <f ca="1">IFERROR(__xludf.DUMMYFUNCTION("""COMPUTED_VALUE"""),2371)</f>
        <v>2371</v>
      </c>
      <c r="P81" s="1">
        <f ca="1">IFERROR(__xludf.DUMMYFUNCTION("""COMPUTED_VALUE"""),1240)</f>
        <v>1240</v>
      </c>
      <c r="Q81" s="1">
        <f ca="1">IFERROR(__xludf.DUMMYFUNCTION("""COMPUTED_VALUE"""),695)</f>
        <v>695</v>
      </c>
      <c r="R81" s="1">
        <f ca="1">IFERROR(__xludf.DUMMYFUNCTION("""COMPUTED_VALUE"""),1963)</f>
        <v>1963</v>
      </c>
      <c r="S81" s="1">
        <f ca="1">IFERROR(__xludf.DUMMYFUNCTION("""COMPUTED_VALUE"""),0.354)</f>
        <v>0.35399999999999998</v>
      </c>
      <c r="T81" s="1">
        <f ca="1">IFERROR(__xludf.DUMMYFUNCTION("""COMPUTED_VALUE"""),234)</f>
        <v>234</v>
      </c>
      <c r="U81" s="1">
        <f ca="1">IFERROR(__xludf.DUMMYFUNCTION("""COMPUTED_VALUE"""),789)</f>
        <v>789</v>
      </c>
      <c r="V81" s="1">
        <f ca="1">IFERROR(__xludf.DUMMYFUNCTION("""COMPUTED_VALUE"""),0.297)</f>
        <v>0.29699999999999999</v>
      </c>
      <c r="W81" s="1">
        <f ca="1">IFERROR(__xludf.DUMMYFUNCTION("""COMPUTED_VALUE"""),332)</f>
        <v>332</v>
      </c>
      <c r="X81" s="1">
        <f ca="1">IFERROR(__xludf.DUMMYFUNCTION("""COMPUTED_VALUE"""),489)</f>
        <v>489</v>
      </c>
      <c r="Y81" s="1">
        <f ca="1">IFERROR(__xludf.DUMMYFUNCTION("""COMPUTED_VALUE"""),0.679)</f>
        <v>0.67900000000000005</v>
      </c>
      <c r="Z81" s="1">
        <f ca="1">IFERROR(__xludf.DUMMYFUNCTION("""COMPUTED_VALUE"""),378)</f>
        <v>378</v>
      </c>
      <c r="AA81" s="1">
        <f ca="1">IFERROR(__xludf.DUMMYFUNCTION("""COMPUTED_VALUE"""),1144)</f>
        <v>1144</v>
      </c>
      <c r="AB81" s="1">
        <f ca="1">IFERROR(__xludf.DUMMYFUNCTION("""COMPUTED_VALUE"""),333)</f>
        <v>333</v>
      </c>
      <c r="AC81" s="1">
        <f ca="1">IFERROR(__xludf.DUMMYFUNCTION("""COMPUTED_VALUE"""),214)</f>
        <v>214</v>
      </c>
      <c r="AD81" s="1">
        <f ca="1">IFERROR(__xludf.DUMMYFUNCTION("""COMPUTED_VALUE"""),66)</f>
        <v>66</v>
      </c>
      <c r="AE81" s="1">
        <f ca="1">IFERROR(__xludf.DUMMYFUNCTION("""COMPUTED_VALUE"""),435)</f>
        <v>435</v>
      </c>
      <c r="AF81" s="1">
        <f ca="1">IFERROR(__xludf.DUMMYFUNCTION("""COMPUTED_VALUE"""),589)</f>
        <v>589</v>
      </c>
    </row>
    <row r="82" spans="1:32" ht="12.5" x14ac:dyDescent="0.25">
      <c r="A82" s="1" t="str">
        <f ca="1">IFERROR(__xludf.DUMMYFUNCTION("""COMPUTED_VALUE"""),"Delaware")</f>
        <v>Delaware</v>
      </c>
      <c r="B82" s="1">
        <f ca="1">IFERROR(__xludf.DUMMYFUNCTION("""COMPUTED_VALUE"""),33)</f>
        <v>33</v>
      </c>
      <c r="C82" s="1">
        <f ca="1">IFERROR(__xludf.DUMMYFUNCTION("""COMPUTED_VALUE"""),17)</f>
        <v>17</v>
      </c>
      <c r="D82" s="1">
        <f ca="1">IFERROR(__xludf.DUMMYFUNCTION("""COMPUTED_VALUE"""),16)</f>
        <v>16</v>
      </c>
      <c r="E82" s="1">
        <f ca="1">IFERROR(__xludf.DUMMYFUNCTION("""COMPUTED_VALUE"""),0.515)</f>
        <v>0.51500000000000001</v>
      </c>
      <c r="F82" s="1">
        <f ca="1">IFERROR(__xludf.DUMMYFUNCTION("""COMPUTED_VALUE"""),-7.91)</f>
        <v>-7.91</v>
      </c>
      <c r="G82" s="1">
        <f ca="1">IFERROR(__xludf.DUMMYFUNCTION("""COMPUTED_VALUE"""),-4.82)</f>
        <v>-4.82</v>
      </c>
      <c r="H82" s="1">
        <f ca="1">IFERROR(__xludf.DUMMYFUNCTION("""COMPUTED_VALUE"""),8)</f>
        <v>8</v>
      </c>
      <c r="I82" s="1">
        <f ca="1">IFERROR(__xludf.DUMMYFUNCTION("""COMPUTED_VALUE"""),10)</f>
        <v>10</v>
      </c>
      <c r="J82" s="1">
        <f ca="1">IFERROR(__xludf.DUMMYFUNCTION("""COMPUTED_VALUE"""),9)</f>
        <v>9</v>
      </c>
      <c r="K82" s="1">
        <f ca="1">IFERROR(__xludf.DUMMYFUNCTION("""COMPUTED_VALUE"""),7)</f>
        <v>7</v>
      </c>
      <c r="L82" s="1">
        <f ca="1">IFERROR(__xludf.DUMMYFUNCTION("""COMPUTED_VALUE"""),7)</f>
        <v>7</v>
      </c>
      <c r="M82" s="1">
        <f ca="1">IFERROR(__xludf.DUMMYFUNCTION("""COMPUTED_VALUE"""),8)</f>
        <v>8</v>
      </c>
      <c r="N82" s="1">
        <f ca="1">IFERROR(__xludf.DUMMYFUNCTION("""COMPUTED_VALUE"""),2352)</f>
        <v>2352</v>
      </c>
      <c r="O82" s="1">
        <f ca="1">IFERROR(__xludf.DUMMYFUNCTION("""COMPUTED_VALUE"""),2380)</f>
        <v>2380</v>
      </c>
      <c r="P82" s="1">
        <f ca="1">IFERROR(__xludf.DUMMYFUNCTION("""COMPUTED_VALUE"""),1360)</f>
        <v>1360</v>
      </c>
      <c r="Q82" s="1">
        <f ca="1">IFERROR(__xludf.DUMMYFUNCTION("""COMPUTED_VALUE"""),830)</f>
        <v>830</v>
      </c>
      <c r="R82" s="1">
        <f ca="1">IFERROR(__xludf.DUMMYFUNCTION("""COMPUTED_VALUE"""),1808)</f>
        <v>1808</v>
      </c>
      <c r="S82" s="1">
        <f ca="1">IFERROR(__xludf.DUMMYFUNCTION("""COMPUTED_VALUE"""),0.459)</f>
        <v>0.45900000000000002</v>
      </c>
      <c r="T82" s="1">
        <f ca="1">IFERROR(__xludf.DUMMYFUNCTION("""COMPUTED_VALUE"""),282)</f>
        <v>282</v>
      </c>
      <c r="U82" s="1">
        <f ca="1">IFERROR(__xludf.DUMMYFUNCTION("""COMPUTED_VALUE"""),746)</f>
        <v>746</v>
      </c>
      <c r="V82" s="1">
        <f ca="1">IFERROR(__xludf.DUMMYFUNCTION("""COMPUTED_VALUE"""),0.378)</f>
        <v>0.378</v>
      </c>
      <c r="W82" s="1">
        <f ca="1">IFERROR(__xludf.DUMMYFUNCTION("""COMPUTED_VALUE"""),410)</f>
        <v>410</v>
      </c>
      <c r="X82" s="1">
        <f ca="1">IFERROR(__xludf.DUMMYFUNCTION("""COMPUTED_VALUE"""),564)</f>
        <v>564</v>
      </c>
      <c r="Y82" s="1">
        <f ca="1">IFERROR(__xludf.DUMMYFUNCTION("""COMPUTED_VALUE"""),0.727)</f>
        <v>0.72699999999999998</v>
      </c>
      <c r="Z82" s="1">
        <f ca="1">IFERROR(__xludf.DUMMYFUNCTION("""COMPUTED_VALUE"""),254)</f>
        <v>254</v>
      </c>
      <c r="AA82" s="1">
        <f ca="1">IFERROR(__xludf.DUMMYFUNCTION("""COMPUTED_VALUE"""),1083)</f>
        <v>1083</v>
      </c>
      <c r="AB82" s="1">
        <f ca="1">IFERROR(__xludf.DUMMYFUNCTION("""COMPUTED_VALUE"""),425)</f>
        <v>425</v>
      </c>
      <c r="AC82" s="1">
        <f ca="1">IFERROR(__xludf.DUMMYFUNCTION("""COMPUTED_VALUE"""),149)</f>
        <v>149</v>
      </c>
      <c r="AD82" s="1">
        <f ca="1">IFERROR(__xludf.DUMMYFUNCTION("""COMPUTED_VALUE"""),78)</f>
        <v>78</v>
      </c>
      <c r="AE82" s="1">
        <f ca="1">IFERROR(__xludf.DUMMYFUNCTION("""COMPUTED_VALUE"""),378)</f>
        <v>378</v>
      </c>
      <c r="AF82" s="1">
        <f ca="1">IFERROR(__xludf.DUMMYFUNCTION("""COMPUTED_VALUE"""),523)</f>
        <v>523</v>
      </c>
    </row>
    <row r="83" spans="1:32" ht="12.5" x14ac:dyDescent="0.25">
      <c r="A83" s="1" t="str">
        <f ca="1">IFERROR(__xludf.DUMMYFUNCTION("""COMPUTED_VALUE"""),"Denver")</f>
        <v>Denver</v>
      </c>
      <c r="B83" s="1">
        <f ca="1">IFERROR(__xludf.DUMMYFUNCTION("""COMPUTED_VALUE"""),30)</f>
        <v>30</v>
      </c>
      <c r="C83" s="1">
        <f ca="1">IFERROR(__xludf.DUMMYFUNCTION("""COMPUTED_VALUE"""),8)</f>
        <v>8</v>
      </c>
      <c r="D83" s="1">
        <f ca="1">IFERROR(__xludf.DUMMYFUNCTION("""COMPUTED_VALUE"""),22)</f>
        <v>22</v>
      </c>
      <c r="E83" s="1">
        <f ca="1">IFERROR(__xludf.DUMMYFUNCTION("""COMPUTED_VALUE"""),0.267)</f>
        <v>0.26700000000000002</v>
      </c>
      <c r="F83" s="1">
        <f ca="1">IFERROR(__xludf.DUMMYFUNCTION("""COMPUTED_VALUE"""),-11.84)</f>
        <v>-11.84</v>
      </c>
      <c r="G83" s="1">
        <f ca="1">IFERROR(__xludf.DUMMYFUNCTION("""COMPUTED_VALUE"""),-2.97)</f>
        <v>-2.97</v>
      </c>
      <c r="H83" s="1">
        <f ca="1">IFERROR(__xludf.DUMMYFUNCTION("""COMPUTED_VALUE"""),3)</f>
        <v>3</v>
      </c>
      <c r="I83" s="1">
        <f ca="1">IFERROR(__xludf.DUMMYFUNCTION("""COMPUTED_VALUE"""),13)</f>
        <v>13</v>
      </c>
      <c r="J83" s="1">
        <f ca="1">IFERROR(__xludf.DUMMYFUNCTION("""COMPUTED_VALUE"""),6)</f>
        <v>6</v>
      </c>
      <c r="K83" s="1">
        <f ca="1">IFERROR(__xludf.DUMMYFUNCTION("""COMPUTED_VALUE"""),7)</f>
        <v>7</v>
      </c>
      <c r="L83" s="1">
        <f ca="1">IFERROR(__xludf.DUMMYFUNCTION("""COMPUTED_VALUE"""),1)</f>
        <v>1</v>
      </c>
      <c r="M83" s="1">
        <f ca="1">IFERROR(__xludf.DUMMYFUNCTION("""COMPUTED_VALUE"""),14)</f>
        <v>14</v>
      </c>
      <c r="N83" s="1">
        <f ca="1">IFERROR(__xludf.DUMMYFUNCTION("""COMPUTED_VALUE"""),2086)</f>
        <v>2086</v>
      </c>
      <c r="O83" s="1">
        <f ca="1">IFERROR(__xludf.DUMMYFUNCTION("""COMPUTED_VALUE"""),2319)</f>
        <v>2319</v>
      </c>
      <c r="P83" s="1">
        <f ca="1">IFERROR(__xludf.DUMMYFUNCTION("""COMPUTED_VALUE"""),1205)</f>
        <v>1205</v>
      </c>
      <c r="Q83" s="1">
        <f ca="1">IFERROR(__xludf.DUMMYFUNCTION("""COMPUTED_VALUE"""),755)</f>
        <v>755</v>
      </c>
      <c r="R83" s="1">
        <f ca="1">IFERROR(__xludf.DUMMYFUNCTION("""COMPUTED_VALUE"""),1723)</f>
        <v>1723</v>
      </c>
      <c r="S83" s="1">
        <f ca="1">IFERROR(__xludf.DUMMYFUNCTION("""COMPUTED_VALUE"""),0.438)</f>
        <v>0.438</v>
      </c>
      <c r="T83" s="1">
        <f ca="1">IFERROR(__xludf.DUMMYFUNCTION("""COMPUTED_VALUE"""),227)</f>
        <v>227</v>
      </c>
      <c r="U83" s="1">
        <f ca="1">IFERROR(__xludf.DUMMYFUNCTION("""COMPUTED_VALUE"""),622)</f>
        <v>622</v>
      </c>
      <c r="V83" s="1">
        <f ca="1">IFERROR(__xludf.DUMMYFUNCTION("""COMPUTED_VALUE"""),0.365)</f>
        <v>0.36499999999999999</v>
      </c>
      <c r="W83" s="1">
        <f ca="1">IFERROR(__xludf.DUMMYFUNCTION("""COMPUTED_VALUE"""),349)</f>
        <v>349</v>
      </c>
      <c r="X83" s="1">
        <f ca="1">IFERROR(__xludf.DUMMYFUNCTION("""COMPUTED_VALUE"""),460)</f>
        <v>460</v>
      </c>
      <c r="Y83" s="1">
        <f ca="1">IFERROR(__xludf.DUMMYFUNCTION("""COMPUTED_VALUE"""),0.759)</f>
        <v>0.75900000000000001</v>
      </c>
      <c r="Z83" s="1">
        <f ca="1">IFERROR(__xludf.DUMMYFUNCTION("""COMPUTED_VALUE"""),275)</f>
        <v>275</v>
      </c>
      <c r="AA83" s="1">
        <f ca="1">IFERROR(__xludf.DUMMYFUNCTION("""COMPUTED_VALUE"""),1041)</f>
        <v>1041</v>
      </c>
      <c r="AB83" s="1">
        <f ca="1">IFERROR(__xludf.DUMMYFUNCTION("""COMPUTED_VALUE"""),354)</f>
        <v>354</v>
      </c>
      <c r="AC83" s="1">
        <f ca="1">IFERROR(__xludf.DUMMYFUNCTION("""COMPUTED_VALUE"""),142)</f>
        <v>142</v>
      </c>
      <c r="AD83" s="1">
        <f ca="1">IFERROR(__xludf.DUMMYFUNCTION("""COMPUTED_VALUE"""),78)</f>
        <v>78</v>
      </c>
      <c r="AE83" s="1">
        <f ca="1">IFERROR(__xludf.DUMMYFUNCTION("""COMPUTED_VALUE"""),408)</f>
        <v>408</v>
      </c>
      <c r="AF83" s="1">
        <f ca="1">IFERROR(__xludf.DUMMYFUNCTION("""COMPUTED_VALUE"""),506)</f>
        <v>506</v>
      </c>
    </row>
    <row r="84" spans="1:32" ht="12.5" x14ac:dyDescent="0.25">
      <c r="A84" s="1" t="str">
        <f ca="1">IFERROR(__xludf.DUMMYFUNCTION("""COMPUTED_VALUE"""),"DePaul")</f>
        <v>DePaul</v>
      </c>
      <c r="B84" s="1">
        <f ca="1">IFERROR(__xludf.DUMMYFUNCTION("""COMPUTED_VALUE"""),36)</f>
        <v>36</v>
      </c>
      <c r="C84" s="1">
        <f ca="1">IFERROR(__xludf.DUMMYFUNCTION("""COMPUTED_VALUE"""),19)</f>
        <v>19</v>
      </c>
      <c r="D84" s="1">
        <f ca="1">IFERROR(__xludf.DUMMYFUNCTION("""COMPUTED_VALUE"""),17)</f>
        <v>17</v>
      </c>
      <c r="E84" s="1">
        <f ca="1">IFERROR(__xludf.DUMMYFUNCTION("""COMPUTED_VALUE"""),0.528)</f>
        <v>0.52800000000000002</v>
      </c>
      <c r="F84" s="1">
        <f ca="1">IFERROR(__xludf.DUMMYFUNCTION("""COMPUTED_VALUE"""),6)</f>
        <v>6</v>
      </c>
      <c r="G84" s="1">
        <f ca="1">IFERROR(__xludf.DUMMYFUNCTION("""COMPUTED_VALUE"""),4.05)</f>
        <v>4.05</v>
      </c>
      <c r="H84" s="1">
        <f ca="1">IFERROR(__xludf.DUMMYFUNCTION("""COMPUTED_VALUE"""),7)</f>
        <v>7</v>
      </c>
      <c r="I84" s="1">
        <f ca="1">IFERROR(__xludf.DUMMYFUNCTION("""COMPUTED_VALUE"""),11)</f>
        <v>11</v>
      </c>
      <c r="J84" s="1">
        <f ca="1">IFERROR(__xludf.DUMMYFUNCTION("""COMPUTED_VALUE"""),16)</f>
        <v>16</v>
      </c>
      <c r="K84" s="1">
        <f ca="1">IFERROR(__xludf.DUMMYFUNCTION("""COMPUTED_VALUE"""),7)</f>
        <v>7</v>
      </c>
      <c r="L84" s="1">
        <f ca="1">IFERROR(__xludf.DUMMYFUNCTION("""COMPUTED_VALUE"""),3)</f>
        <v>3</v>
      </c>
      <c r="M84" s="1">
        <f ca="1">IFERROR(__xludf.DUMMYFUNCTION("""COMPUTED_VALUE"""),9)</f>
        <v>9</v>
      </c>
      <c r="N84" s="1">
        <f ca="1">IFERROR(__xludf.DUMMYFUNCTION("""COMPUTED_VALUE"""),2821)</f>
        <v>2821</v>
      </c>
      <c r="O84" s="1">
        <f ca="1">IFERROR(__xludf.DUMMYFUNCTION("""COMPUTED_VALUE"""),2751)</f>
        <v>2751</v>
      </c>
      <c r="P84" s="1">
        <f ca="1">IFERROR(__xludf.DUMMYFUNCTION("""COMPUTED_VALUE"""),1450)</f>
        <v>1450</v>
      </c>
      <c r="Q84" s="1">
        <f ca="1">IFERROR(__xludf.DUMMYFUNCTION("""COMPUTED_VALUE"""),1009)</f>
        <v>1009</v>
      </c>
      <c r="R84" s="1">
        <f ca="1">IFERROR(__xludf.DUMMYFUNCTION("""COMPUTED_VALUE"""),2143)</f>
        <v>2143</v>
      </c>
      <c r="S84" s="1">
        <f ca="1">IFERROR(__xludf.DUMMYFUNCTION("""COMPUTED_VALUE"""),0.471)</f>
        <v>0.47099999999999997</v>
      </c>
      <c r="T84" s="1">
        <f ca="1">IFERROR(__xludf.DUMMYFUNCTION("""COMPUTED_VALUE"""),241)</f>
        <v>241</v>
      </c>
      <c r="U84" s="1">
        <f ca="1">IFERROR(__xludf.DUMMYFUNCTION("""COMPUTED_VALUE"""),703)</f>
        <v>703</v>
      </c>
      <c r="V84" s="1">
        <f ca="1">IFERROR(__xludf.DUMMYFUNCTION("""COMPUTED_VALUE"""),0.343)</f>
        <v>0.34300000000000003</v>
      </c>
      <c r="W84" s="1">
        <f ca="1">IFERROR(__xludf.DUMMYFUNCTION("""COMPUTED_VALUE"""),562)</f>
        <v>562</v>
      </c>
      <c r="X84" s="1">
        <f ca="1">IFERROR(__xludf.DUMMYFUNCTION("""COMPUTED_VALUE"""),773)</f>
        <v>773</v>
      </c>
      <c r="Y84" s="1">
        <f ca="1">IFERROR(__xludf.DUMMYFUNCTION("""COMPUTED_VALUE"""),0.727)</f>
        <v>0.72699999999999998</v>
      </c>
      <c r="Z84" s="1">
        <f ca="1">IFERROR(__xludf.DUMMYFUNCTION("""COMPUTED_VALUE"""),396)</f>
        <v>396</v>
      </c>
      <c r="AA84" s="1">
        <f ca="1">IFERROR(__xludf.DUMMYFUNCTION("""COMPUTED_VALUE"""),1347)</f>
        <v>1347</v>
      </c>
      <c r="AB84" s="1">
        <f ca="1">IFERROR(__xludf.DUMMYFUNCTION("""COMPUTED_VALUE"""),513)</f>
        <v>513</v>
      </c>
      <c r="AC84" s="1">
        <f ca="1">IFERROR(__xludf.DUMMYFUNCTION("""COMPUTED_VALUE"""),227)</f>
        <v>227</v>
      </c>
      <c r="AD84" s="1">
        <f ca="1">IFERROR(__xludf.DUMMYFUNCTION("""COMPUTED_VALUE"""),117)</f>
        <v>117</v>
      </c>
      <c r="AE84" s="1">
        <f ca="1">IFERROR(__xludf.DUMMYFUNCTION("""COMPUTED_VALUE"""),488)</f>
        <v>488</v>
      </c>
      <c r="AF84" s="1">
        <f ca="1">IFERROR(__xludf.DUMMYFUNCTION("""COMPUTED_VALUE"""),630)</f>
        <v>630</v>
      </c>
    </row>
    <row r="85" spans="1:32" ht="12.5" x14ac:dyDescent="0.25">
      <c r="A85" s="1" t="str">
        <f ca="1">IFERROR(__xludf.DUMMYFUNCTION("""COMPUTED_VALUE"""),"Detroit Mercy")</f>
        <v>Detroit Mercy</v>
      </c>
      <c r="B85" s="1">
        <f ca="1">IFERROR(__xludf.DUMMYFUNCTION("""COMPUTED_VALUE"""),31)</f>
        <v>31</v>
      </c>
      <c r="C85" s="1">
        <f ca="1">IFERROR(__xludf.DUMMYFUNCTION("""COMPUTED_VALUE"""),11)</f>
        <v>11</v>
      </c>
      <c r="D85" s="1">
        <f ca="1">IFERROR(__xludf.DUMMYFUNCTION("""COMPUTED_VALUE"""),20)</f>
        <v>20</v>
      </c>
      <c r="E85" s="1">
        <f ca="1">IFERROR(__xludf.DUMMYFUNCTION("""COMPUTED_VALUE"""),0.355)</f>
        <v>0.35499999999999998</v>
      </c>
      <c r="F85" s="1">
        <f ca="1">IFERROR(__xludf.DUMMYFUNCTION("""COMPUTED_VALUE"""),-6.33)</f>
        <v>-6.33</v>
      </c>
      <c r="G85" s="1">
        <f ca="1">IFERROR(__xludf.DUMMYFUNCTION("""COMPUTED_VALUE"""),-0.36)</f>
        <v>-0.36</v>
      </c>
      <c r="H85" s="1">
        <f ca="1">IFERROR(__xludf.DUMMYFUNCTION("""COMPUTED_VALUE"""),8)</f>
        <v>8</v>
      </c>
      <c r="I85" s="1">
        <f ca="1">IFERROR(__xludf.DUMMYFUNCTION("""COMPUTED_VALUE"""),10)</f>
        <v>10</v>
      </c>
      <c r="J85" s="1">
        <f ca="1">IFERROR(__xludf.DUMMYFUNCTION("""COMPUTED_VALUE"""),6)</f>
        <v>6</v>
      </c>
      <c r="K85" s="1">
        <f ca="1">IFERROR(__xludf.DUMMYFUNCTION("""COMPUTED_VALUE"""),6)</f>
        <v>6</v>
      </c>
      <c r="L85" s="1">
        <f ca="1">IFERROR(__xludf.DUMMYFUNCTION("""COMPUTED_VALUE"""),4)</f>
        <v>4</v>
      </c>
      <c r="M85" s="1">
        <f ca="1">IFERROR(__xludf.DUMMYFUNCTION("""COMPUTED_VALUE"""),14)</f>
        <v>14</v>
      </c>
      <c r="N85" s="1">
        <f ca="1">IFERROR(__xludf.DUMMYFUNCTION("""COMPUTED_VALUE"""),2279)</f>
        <v>2279</v>
      </c>
      <c r="O85" s="1">
        <f ca="1">IFERROR(__xludf.DUMMYFUNCTION("""COMPUTED_VALUE"""),2464)</f>
        <v>2464</v>
      </c>
      <c r="P85" s="1">
        <f ca="1">IFERROR(__xludf.DUMMYFUNCTION("""COMPUTED_VALUE"""),1240)</f>
        <v>1240</v>
      </c>
      <c r="Q85" s="1">
        <f ca="1">IFERROR(__xludf.DUMMYFUNCTION("""COMPUTED_VALUE"""),784)</f>
        <v>784</v>
      </c>
      <c r="R85" s="1">
        <f ca="1">IFERROR(__xludf.DUMMYFUNCTION("""COMPUTED_VALUE"""),1874)</f>
        <v>1874</v>
      </c>
      <c r="S85" s="1">
        <f ca="1">IFERROR(__xludf.DUMMYFUNCTION("""COMPUTED_VALUE"""),0.418)</f>
        <v>0.41799999999999998</v>
      </c>
      <c r="T85" s="1">
        <f ca="1">IFERROR(__xludf.DUMMYFUNCTION("""COMPUTED_VALUE"""),294)</f>
        <v>294</v>
      </c>
      <c r="U85" s="1">
        <f ca="1">IFERROR(__xludf.DUMMYFUNCTION("""COMPUTED_VALUE"""),825)</f>
        <v>825</v>
      </c>
      <c r="V85" s="1">
        <f ca="1">IFERROR(__xludf.DUMMYFUNCTION("""COMPUTED_VALUE"""),0.356)</f>
        <v>0.35599999999999998</v>
      </c>
      <c r="W85" s="1">
        <f ca="1">IFERROR(__xludf.DUMMYFUNCTION("""COMPUTED_VALUE"""),417)</f>
        <v>417</v>
      </c>
      <c r="X85" s="1">
        <f ca="1">IFERROR(__xludf.DUMMYFUNCTION("""COMPUTED_VALUE"""),581)</f>
        <v>581</v>
      </c>
      <c r="Y85" s="1">
        <f ca="1">IFERROR(__xludf.DUMMYFUNCTION("""COMPUTED_VALUE"""),0.718)</f>
        <v>0.71799999999999997</v>
      </c>
      <c r="Z85" s="1">
        <f ca="1">IFERROR(__xludf.DUMMYFUNCTION("""COMPUTED_VALUE"""),336)</f>
        <v>336</v>
      </c>
      <c r="AA85" s="1">
        <f ca="1">IFERROR(__xludf.DUMMYFUNCTION("""COMPUTED_VALUE"""),1019)</f>
        <v>1019</v>
      </c>
      <c r="AB85" s="1">
        <f ca="1">IFERROR(__xludf.DUMMYFUNCTION("""COMPUTED_VALUE"""),319)</f>
        <v>319</v>
      </c>
      <c r="AC85" s="1">
        <f ca="1">IFERROR(__xludf.DUMMYFUNCTION("""COMPUTED_VALUE"""),238)</f>
        <v>238</v>
      </c>
      <c r="AD85" s="1">
        <f ca="1">IFERROR(__xludf.DUMMYFUNCTION("""COMPUTED_VALUE"""),77)</f>
        <v>77</v>
      </c>
      <c r="AE85" s="1">
        <f ca="1">IFERROR(__xludf.DUMMYFUNCTION("""COMPUTED_VALUE"""),355)</f>
        <v>355</v>
      </c>
      <c r="AF85" s="1">
        <f ca="1">IFERROR(__xludf.DUMMYFUNCTION("""COMPUTED_VALUE"""),528)</f>
        <v>528</v>
      </c>
    </row>
    <row r="86" spans="1:32" ht="12.5" x14ac:dyDescent="0.25">
      <c r="A86" s="1" t="str">
        <f ca="1">IFERROR(__xludf.DUMMYFUNCTION("""COMPUTED_VALUE"""),"Drake")</f>
        <v>Drake</v>
      </c>
      <c r="B86" s="1">
        <f ca="1">IFERROR(__xludf.DUMMYFUNCTION("""COMPUTED_VALUE"""),34)</f>
        <v>34</v>
      </c>
      <c r="C86" s="1">
        <f ca="1">IFERROR(__xludf.DUMMYFUNCTION("""COMPUTED_VALUE"""),24)</f>
        <v>24</v>
      </c>
      <c r="D86" s="1">
        <f ca="1">IFERROR(__xludf.DUMMYFUNCTION("""COMPUTED_VALUE"""),10)</f>
        <v>10</v>
      </c>
      <c r="E86" s="1">
        <f ca="1">IFERROR(__xludf.DUMMYFUNCTION("""COMPUTED_VALUE"""),0.706)</f>
        <v>0.70599999999999996</v>
      </c>
      <c r="F86" s="1">
        <f ca="1">IFERROR(__xludf.DUMMYFUNCTION("""COMPUTED_VALUE"""),2.52)</f>
        <v>2.52</v>
      </c>
      <c r="G86" s="1">
        <f ca="1">IFERROR(__xludf.DUMMYFUNCTION("""COMPUTED_VALUE"""),-0.66)</f>
        <v>-0.66</v>
      </c>
      <c r="H86" s="1">
        <f ca="1">IFERROR(__xludf.DUMMYFUNCTION("""COMPUTED_VALUE"""),12)</f>
        <v>12</v>
      </c>
      <c r="I86" s="1">
        <f ca="1">IFERROR(__xludf.DUMMYFUNCTION("""COMPUTED_VALUE"""),6)</f>
        <v>6</v>
      </c>
      <c r="J86" s="1">
        <f ca="1">IFERROR(__xludf.DUMMYFUNCTION("""COMPUTED_VALUE"""),13)</f>
        <v>13</v>
      </c>
      <c r="K86" s="1">
        <f ca="1">IFERROR(__xludf.DUMMYFUNCTION("""COMPUTED_VALUE"""),2)</f>
        <v>2</v>
      </c>
      <c r="L86" s="1">
        <f ca="1">IFERROR(__xludf.DUMMYFUNCTION("""COMPUTED_VALUE"""),7)</f>
        <v>7</v>
      </c>
      <c r="M86" s="1">
        <f ca="1">IFERROR(__xludf.DUMMYFUNCTION("""COMPUTED_VALUE"""),6)</f>
        <v>6</v>
      </c>
      <c r="N86" s="1">
        <f ca="1">IFERROR(__xludf.DUMMYFUNCTION("""COMPUTED_VALUE"""),2563)</f>
        <v>2563</v>
      </c>
      <c r="O86" s="1">
        <f ca="1">IFERROR(__xludf.DUMMYFUNCTION("""COMPUTED_VALUE"""),2387)</f>
        <v>2387</v>
      </c>
      <c r="P86" s="1">
        <f ca="1">IFERROR(__xludf.DUMMYFUNCTION("""COMPUTED_VALUE"""),1385)</f>
        <v>1385</v>
      </c>
      <c r="Q86" s="1">
        <f ca="1">IFERROR(__xludf.DUMMYFUNCTION("""COMPUTED_VALUE"""),908)</f>
        <v>908</v>
      </c>
      <c r="R86" s="1">
        <f ca="1">IFERROR(__xludf.DUMMYFUNCTION("""COMPUTED_VALUE"""),1943)</f>
        <v>1943</v>
      </c>
      <c r="S86" s="1">
        <f ca="1">IFERROR(__xludf.DUMMYFUNCTION("""COMPUTED_VALUE"""),0.467)</f>
        <v>0.46700000000000003</v>
      </c>
      <c r="T86" s="1">
        <f ca="1">IFERROR(__xludf.DUMMYFUNCTION("""COMPUTED_VALUE"""),279)</f>
        <v>279</v>
      </c>
      <c r="U86" s="1">
        <f ca="1">IFERROR(__xludf.DUMMYFUNCTION("""COMPUTED_VALUE"""),773)</f>
        <v>773</v>
      </c>
      <c r="V86" s="1">
        <f ca="1">IFERROR(__xludf.DUMMYFUNCTION("""COMPUTED_VALUE"""),0.361)</f>
        <v>0.36099999999999999</v>
      </c>
      <c r="W86" s="1">
        <f ca="1">IFERROR(__xludf.DUMMYFUNCTION("""COMPUTED_VALUE"""),468)</f>
        <v>468</v>
      </c>
      <c r="X86" s="1">
        <f ca="1">IFERROR(__xludf.DUMMYFUNCTION("""COMPUTED_VALUE"""),618)</f>
        <v>618</v>
      </c>
      <c r="Y86" s="1">
        <f ca="1">IFERROR(__xludf.DUMMYFUNCTION("""COMPUTED_VALUE"""),0.757)</f>
        <v>0.75700000000000001</v>
      </c>
      <c r="Z86" s="1">
        <f ca="1">IFERROR(__xludf.DUMMYFUNCTION("""COMPUTED_VALUE"""),279)</f>
        <v>279</v>
      </c>
      <c r="AA86" s="1">
        <f ca="1">IFERROR(__xludf.DUMMYFUNCTION("""COMPUTED_VALUE"""),1214)</f>
        <v>1214</v>
      </c>
      <c r="AB86" s="1">
        <f ca="1">IFERROR(__xludf.DUMMYFUNCTION("""COMPUTED_VALUE"""),518)</f>
        <v>518</v>
      </c>
      <c r="AC86" s="1">
        <f ca="1">IFERROR(__xludf.DUMMYFUNCTION("""COMPUTED_VALUE"""),180)</f>
        <v>180</v>
      </c>
      <c r="AD86" s="1">
        <f ca="1">IFERROR(__xludf.DUMMYFUNCTION("""COMPUTED_VALUE"""),130)</f>
        <v>130</v>
      </c>
      <c r="AE86" s="1">
        <f ca="1">IFERROR(__xludf.DUMMYFUNCTION("""COMPUTED_VALUE"""),449)</f>
        <v>449</v>
      </c>
      <c r="AF86" s="1">
        <f ca="1">IFERROR(__xludf.DUMMYFUNCTION("""COMPUTED_VALUE"""),568)</f>
        <v>568</v>
      </c>
    </row>
    <row r="87" spans="1:32" ht="12.5" x14ac:dyDescent="0.25">
      <c r="A87" s="1" t="str">
        <f ca="1">IFERROR(__xludf.DUMMYFUNCTION("""COMPUTED_VALUE"""),"Drexel")</f>
        <v>Drexel</v>
      </c>
      <c r="B87" s="1">
        <f ca="1">IFERROR(__xludf.DUMMYFUNCTION("""COMPUTED_VALUE"""),32)</f>
        <v>32</v>
      </c>
      <c r="C87" s="1">
        <f ca="1">IFERROR(__xludf.DUMMYFUNCTION("""COMPUTED_VALUE"""),13)</f>
        <v>13</v>
      </c>
      <c r="D87" s="1">
        <f ca="1">IFERROR(__xludf.DUMMYFUNCTION("""COMPUTED_VALUE"""),19)</f>
        <v>19</v>
      </c>
      <c r="E87" s="1">
        <f ca="1">IFERROR(__xludf.DUMMYFUNCTION("""COMPUTED_VALUE"""),0.406)</f>
        <v>0.40600000000000003</v>
      </c>
      <c r="F87" s="1">
        <f ca="1">IFERROR(__xludf.DUMMYFUNCTION("""COMPUTED_VALUE"""),-7.02)</f>
        <v>-7.02</v>
      </c>
      <c r="G87" s="1">
        <f ca="1">IFERROR(__xludf.DUMMYFUNCTION("""COMPUTED_VALUE"""),-2.93)</f>
        <v>-2.93</v>
      </c>
      <c r="H87" s="1">
        <f ca="1">IFERROR(__xludf.DUMMYFUNCTION("""COMPUTED_VALUE"""),7)</f>
        <v>7</v>
      </c>
      <c r="I87" s="1">
        <f ca="1">IFERROR(__xludf.DUMMYFUNCTION("""COMPUTED_VALUE"""),11)</f>
        <v>11</v>
      </c>
      <c r="J87" s="1">
        <f ca="1">IFERROR(__xludf.DUMMYFUNCTION("""COMPUTED_VALUE"""),9)</f>
        <v>9</v>
      </c>
      <c r="K87" s="1">
        <f ca="1">IFERROR(__xludf.DUMMYFUNCTION("""COMPUTED_VALUE"""),7)</f>
        <v>7</v>
      </c>
      <c r="L87" s="1">
        <f ca="1">IFERROR(__xludf.DUMMYFUNCTION("""COMPUTED_VALUE"""),3)</f>
        <v>3</v>
      </c>
      <c r="M87" s="1">
        <f ca="1">IFERROR(__xludf.DUMMYFUNCTION("""COMPUTED_VALUE"""),11)</f>
        <v>11</v>
      </c>
      <c r="N87" s="1">
        <f ca="1">IFERROR(__xludf.DUMMYFUNCTION("""COMPUTED_VALUE"""),2425)</f>
        <v>2425</v>
      </c>
      <c r="O87" s="1">
        <f ca="1">IFERROR(__xludf.DUMMYFUNCTION("""COMPUTED_VALUE"""),2475)</f>
        <v>2475</v>
      </c>
      <c r="P87" s="1">
        <f ca="1">IFERROR(__xludf.DUMMYFUNCTION("""COMPUTED_VALUE"""),1280)</f>
        <v>1280</v>
      </c>
      <c r="Q87" s="1">
        <f ca="1">IFERROR(__xludf.DUMMYFUNCTION("""COMPUTED_VALUE"""),874)</f>
        <v>874</v>
      </c>
      <c r="R87" s="1">
        <f ca="1">IFERROR(__xludf.DUMMYFUNCTION("""COMPUTED_VALUE"""),1900)</f>
        <v>1900</v>
      </c>
      <c r="S87" s="1">
        <f ca="1">IFERROR(__xludf.DUMMYFUNCTION("""COMPUTED_VALUE"""),0.46)</f>
        <v>0.46</v>
      </c>
      <c r="T87" s="1">
        <f ca="1">IFERROR(__xludf.DUMMYFUNCTION("""COMPUTED_VALUE"""),237)</f>
        <v>237</v>
      </c>
      <c r="U87" s="1">
        <f ca="1">IFERROR(__xludf.DUMMYFUNCTION("""COMPUTED_VALUE"""),669)</f>
        <v>669</v>
      </c>
      <c r="V87" s="1">
        <f ca="1">IFERROR(__xludf.DUMMYFUNCTION("""COMPUTED_VALUE"""),0.354)</f>
        <v>0.35399999999999998</v>
      </c>
      <c r="W87" s="1">
        <f ca="1">IFERROR(__xludf.DUMMYFUNCTION("""COMPUTED_VALUE"""),440)</f>
        <v>440</v>
      </c>
      <c r="X87" s="1">
        <f ca="1">IFERROR(__xludf.DUMMYFUNCTION("""COMPUTED_VALUE"""),584)</f>
        <v>584</v>
      </c>
      <c r="Y87" s="1">
        <f ca="1">IFERROR(__xludf.DUMMYFUNCTION("""COMPUTED_VALUE"""),0.753)</f>
        <v>0.753</v>
      </c>
      <c r="Z87" s="1">
        <f ca="1">IFERROR(__xludf.DUMMYFUNCTION("""COMPUTED_VALUE"""),312)</f>
        <v>312</v>
      </c>
      <c r="AA87" s="1">
        <f ca="1">IFERROR(__xludf.DUMMYFUNCTION("""COMPUTED_VALUE"""),1126)</f>
        <v>1126</v>
      </c>
      <c r="AB87" s="1">
        <f ca="1">IFERROR(__xludf.DUMMYFUNCTION("""COMPUTED_VALUE"""),464)</f>
        <v>464</v>
      </c>
      <c r="AC87" s="1">
        <f ca="1">IFERROR(__xludf.DUMMYFUNCTION("""COMPUTED_VALUE"""),144)</f>
        <v>144</v>
      </c>
      <c r="AD87" s="1">
        <f ca="1">IFERROR(__xludf.DUMMYFUNCTION("""COMPUTED_VALUE"""),62)</f>
        <v>62</v>
      </c>
      <c r="AE87" s="1">
        <f ca="1">IFERROR(__xludf.DUMMYFUNCTION("""COMPUTED_VALUE"""),377)</f>
        <v>377</v>
      </c>
      <c r="AF87" s="1">
        <f ca="1">IFERROR(__xludf.DUMMYFUNCTION("""COMPUTED_VALUE"""),542)</f>
        <v>542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IFERROR(__xludf.DUMMYFUNCTION("""COMPUTED_VALUE"""),"Duke")</f>
        <v>Duke</v>
      </c>
      <c r="B90" s="1">
        <f ca="1">IFERROR(__xludf.DUMMYFUNCTION("""COMPUTED_VALUE"""),38)</f>
        <v>38</v>
      </c>
      <c r="C90" s="1">
        <f ca="1">IFERROR(__xludf.DUMMYFUNCTION("""COMPUTED_VALUE"""),32)</f>
        <v>32</v>
      </c>
      <c r="D90" s="1">
        <f ca="1">IFERROR(__xludf.DUMMYFUNCTION("""COMPUTED_VALUE"""),6)</f>
        <v>6</v>
      </c>
      <c r="E90" s="1">
        <f ca="1">IFERROR(__xludf.DUMMYFUNCTION("""COMPUTED_VALUE"""),0.842)</f>
        <v>0.84199999999999997</v>
      </c>
      <c r="F90" s="1">
        <f ca="1">IFERROR(__xludf.DUMMYFUNCTION("""COMPUTED_VALUE"""),26.9)</f>
        <v>26.9</v>
      </c>
      <c r="G90" s="1">
        <f ca="1">IFERROR(__xludf.DUMMYFUNCTION("""COMPUTED_VALUE"""),11.98)</f>
        <v>11.98</v>
      </c>
      <c r="H90" s="1">
        <f ca="1">IFERROR(__xludf.DUMMYFUNCTION("""COMPUTED_VALUE"""),14)</f>
        <v>14</v>
      </c>
      <c r="I90" s="1">
        <f ca="1">IFERROR(__xludf.DUMMYFUNCTION("""COMPUTED_VALUE"""),4)</f>
        <v>4</v>
      </c>
      <c r="J90" s="1">
        <f ca="1">IFERROR(__xludf.DUMMYFUNCTION("""COMPUTED_VALUE"""),15)</f>
        <v>15</v>
      </c>
      <c r="K90" s="1">
        <f ca="1">IFERROR(__xludf.DUMMYFUNCTION("""COMPUTED_VALUE"""),2)</f>
        <v>2</v>
      </c>
      <c r="L90" s="1">
        <f ca="1">IFERROR(__xludf.DUMMYFUNCTION("""COMPUTED_VALUE"""),7)</f>
        <v>7</v>
      </c>
      <c r="M90" s="1">
        <f ca="1">IFERROR(__xludf.DUMMYFUNCTION("""COMPUTED_VALUE"""),2)</f>
        <v>2</v>
      </c>
      <c r="N90" s="1">
        <f ca="1">IFERROR(__xludf.DUMMYFUNCTION("""COMPUTED_VALUE"""),3143)</f>
        <v>3143</v>
      </c>
      <c r="O90" s="1">
        <f ca="1">IFERROR(__xludf.DUMMYFUNCTION("""COMPUTED_VALUE"""),2576)</f>
        <v>2576</v>
      </c>
      <c r="P90" s="1">
        <f ca="1">IFERROR(__xludf.DUMMYFUNCTION("""COMPUTED_VALUE"""),1525)</f>
        <v>1525</v>
      </c>
      <c r="Q90" s="1">
        <f ca="1">IFERROR(__xludf.DUMMYFUNCTION("""COMPUTED_VALUE"""),1157)</f>
        <v>1157</v>
      </c>
      <c r="R90" s="1">
        <f ca="1">IFERROR(__xludf.DUMMYFUNCTION("""COMPUTED_VALUE"""),2418)</f>
        <v>2418</v>
      </c>
      <c r="S90" s="1">
        <f ca="1">IFERROR(__xludf.DUMMYFUNCTION("""COMPUTED_VALUE"""),0.478)</f>
        <v>0.47799999999999998</v>
      </c>
      <c r="T90" s="1">
        <f ca="1">IFERROR(__xludf.DUMMYFUNCTION("""COMPUTED_VALUE"""),278)</f>
        <v>278</v>
      </c>
      <c r="U90" s="1">
        <f ca="1">IFERROR(__xludf.DUMMYFUNCTION("""COMPUTED_VALUE"""),903)</f>
        <v>903</v>
      </c>
      <c r="V90" s="1">
        <f ca="1">IFERROR(__xludf.DUMMYFUNCTION("""COMPUTED_VALUE"""),0.308)</f>
        <v>0.308</v>
      </c>
      <c r="W90" s="1">
        <f ca="1">IFERROR(__xludf.DUMMYFUNCTION("""COMPUTED_VALUE"""),551)</f>
        <v>551</v>
      </c>
      <c r="X90" s="1">
        <f ca="1">IFERROR(__xludf.DUMMYFUNCTION("""COMPUTED_VALUE"""),803)</f>
        <v>803</v>
      </c>
      <c r="Y90" s="1">
        <f ca="1">IFERROR(__xludf.DUMMYFUNCTION("""COMPUTED_VALUE"""),0.686)</f>
        <v>0.68600000000000005</v>
      </c>
      <c r="Z90" s="1">
        <f ca="1">IFERROR(__xludf.DUMMYFUNCTION("""COMPUTED_VALUE"""),495)</f>
        <v>495</v>
      </c>
      <c r="AA90" s="1">
        <f ca="1">IFERROR(__xludf.DUMMYFUNCTION("""COMPUTED_VALUE"""),1567)</f>
        <v>1567</v>
      </c>
      <c r="AB90" s="1">
        <f ca="1">IFERROR(__xludf.DUMMYFUNCTION("""COMPUTED_VALUE"""),606)</f>
        <v>606</v>
      </c>
      <c r="AC90" s="1">
        <f ca="1">IFERROR(__xludf.DUMMYFUNCTION("""COMPUTED_VALUE"""),346)</f>
        <v>346</v>
      </c>
      <c r="AD90" s="1">
        <f ca="1">IFERROR(__xludf.DUMMYFUNCTION("""COMPUTED_VALUE"""),257)</f>
        <v>257</v>
      </c>
      <c r="AE90" s="1">
        <f ca="1">IFERROR(__xludf.DUMMYFUNCTION("""COMPUTED_VALUE"""),488)</f>
        <v>488</v>
      </c>
      <c r="AF90" s="1">
        <f ca="1">IFERROR(__xludf.DUMMYFUNCTION("""COMPUTED_VALUE"""),595)</f>
        <v>595</v>
      </c>
    </row>
    <row r="91" spans="1:32" ht="12.5" x14ac:dyDescent="0.25">
      <c r="A91" s="1" t="str">
        <f ca="1">IFERROR(__xludf.DUMMYFUNCTION("""COMPUTED_VALUE"""),"Duquesne")</f>
        <v>Duquesne</v>
      </c>
      <c r="B91" s="1">
        <f ca="1">IFERROR(__xludf.DUMMYFUNCTION("""COMPUTED_VALUE"""),32)</f>
        <v>32</v>
      </c>
      <c r="C91" s="1">
        <f ca="1">IFERROR(__xludf.DUMMYFUNCTION("""COMPUTED_VALUE"""),19)</f>
        <v>19</v>
      </c>
      <c r="D91" s="1">
        <f ca="1">IFERROR(__xludf.DUMMYFUNCTION("""COMPUTED_VALUE"""),13)</f>
        <v>13</v>
      </c>
      <c r="E91" s="1">
        <f ca="1">IFERROR(__xludf.DUMMYFUNCTION("""COMPUTED_VALUE"""),0.594)</f>
        <v>0.59399999999999997</v>
      </c>
      <c r="F91" s="1">
        <f ca="1">IFERROR(__xludf.DUMMYFUNCTION("""COMPUTED_VALUE"""),0.53)</f>
        <v>0.53</v>
      </c>
      <c r="G91" s="1">
        <f ca="1">IFERROR(__xludf.DUMMYFUNCTION("""COMPUTED_VALUE"""),-0.63)</f>
        <v>-0.63</v>
      </c>
      <c r="H91" s="1">
        <f ca="1">IFERROR(__xludf.DUMMYFUNCTION("""COMPUTED_VALUE"""),10)</f>
        <v>10</v>
      </c>
      <c r="I91" s="1">
        <f ca="1">IFERROR(__xludf.DUMMYFUNCTION("""COMPUTED_VALUE"""),8)</f>
        <v>8</v>
      </c>
      <c r="J91" s="1">
        <f ca="1">IFERROR(__xludf.DUMMYFUNCTION("""COMPUTED_VALUE"""),14)</f>
        <v>14</v>
      </c>
      <c r="K91" s="1">
        <f ca="1">IFERROR(__xludf.DUMMYFUNCTION("""COMPUTED_VALUE"""),4)</f>
        <v>4</v>
      </c>
      <c r="L91" s="1">
        <f ca="1">IFERROR(__xludf.DUMMYFUNCTION("""COMPUTED_VALUE"""),4)</f>
        <v>4</v>
      </c>
      <c r="M91" s="1">
        <f ca="1">IFERROR(__xludf.DUMMYFUNCTION("""COMPUTED_VALUE"""),6)</f>
        <v>6</v>
      </c>
      <c r="N91" s="1">
        <f ca="1">IFERROR(__xludf.DUMMYFUNCTION("""COMPUTED_VALUE"""),2351)</f>
        <v>2351</v>
      </c>
      <c r="O91" s="1">
        <f ca="1">IFERROR(__xludf.DUMMYFUNCTION("""COMPUTED_VALUE"""),2314)</f>
        <v>2314</v>
      </c>
      <c r="P91" s="1">
        <f ca="1">IFERROR(__xludf.DUMMYFUNCTION("""COMPUTED_VALUE"""),1295)</f>
        <v>1295</v>
      </c>
      <c r="Q91" s="1">
        <f ca="1">IFERROR(__xludf.DUMMYFUNCTION("""COMPUTED_VALUE"""),810)</f>
        <v>810</v>
      </c>
      <c r="R91" s="1">
        <f ca="1">IFERROR(__xludf.DUMMYFUNCTION("""COMPUTED_VALUE"""),1894)</f>
        <v>1894</v>
      </c>
      <c r="S91" s="1">
        <f ca="1">IFERROR(__xludf.DUMMYFUNCTION("""COMPUTED_VALUE"""),0.428)</f>
        <v>0.42799999999999999</v>
      </c>
      <c r="T91" s="1">
        <f ca="1">IFERROR(__xludf.DUMMYFUNCTION("""COMPUTED_VALUE"""),271)</f>
        <v>271</v>
      </c>
      <c r="U91" s="1">
        <f ca="1">IFERROR(__xludf.DUMMYFUNCTION("""COMPUTED_VALUE"""),841)</f>
        <v>841</v>
      </c>
      <c r="V91" s="1">
        <f ca="1">IFERROR(__xludf.DUMMYFUNCTION("""COMPUTED_VALUE"""),0.322)</f>
        <v>0.32200000000000001</v>
      </c>
      <c r="W91" s="1">
        <f ca="1">IFERROR(__xludf.DUMMYFUNCTION("""COMPUTED_VALUE"""),460)</f>
        <v>460</v>
      </c>
      <c r="X91" s="1">
        <f ca="1">IFERROR(__xludf.DUMMYFUNCTION("""COMPUTED_VALUE"""),663)</f>
        <v>663</v>
      </c>
      <c r="Y91" s="1">
        <f ca="1">IFERROR(__xludf.DUMMYFUNCTION("""COMPUTED_VALUE"""),0.694)</f>
        <v>0.69399999999999995</v>
      </c>
      <c r="Z91" s="1">
        <f ca="1">IFERROR(__xludf.DUMMYFUNCTION("""COMPUTED_VALUE"""),379)</f>
        <v>379</v>
      </c>
      <c r="AA91" s="1">
        <f ca="1">IFERROR(__xludf.DUMMYFUNCTION("""COMPUTED_VALUE"""),1133)</f>
        <v>1133</v>
      </c>
      <c r="AB91" s="1">
        <f ca="1">IFERROR(__xludf.DUMMYFUNCTION("""COMPUTED_VALUE"""),442)</f>
        <v>442</v>
      </c>
      <c r="AC91" s="1">
        <f ca="1">IFERROR(__xludf.DUMMYFUNCTION("""COMPUTED_VALUE"""),250)</f>
        <v>250</v>
      </c>
      <c r="AD91" s="1">
        <f ca="1">IFERROR(__xludf.DUMMYFUNCTION("""COMPUTED_VALUE"""),151)</f>
        <v>151</v>
      </c>
      <c r="AE91" s="1">
        <f ca="1">IFERROR(__xludf.DUMMYFUNCTION("""COMPUTED_VALUE"""),451)</f>
        <v>451</v>
      </c>
      <c r="AF91" s="1">
        <f ca="1">IFERROR(__xludf.DUMMYFUNCTION("""COMPUTED_VALUE"""),580)</f>
        <v>580</v>
      </c>
    </row>
    <row r="92" spans="1:32" ht="12.5" x14ac:dyDescent="0.25">
      <c r="A92" s="1" t="str">
        <f ca="1">IFERROR(__xludf.DUMMYFUNCTION("""COMPUTED_VALUE"""),"East Carolina")</f>
        <v>East Carolina</v>
      </c>
      <c r="B92" s="1">
        <f ca="1">IFERROR(__xludf.DUMMYFUNCTION("""COMPUTED_VALUE"""),31)</f>
        <v>31</v>
      </c>
      <c r="C92" s="1">
        <f ca="1">IFERROR(__xludf.DUMMYFUNCTION("""COMPUTED_VALUE"""),10)</f>
        <v>10</v>
      </c>
      <c r="D92" s="1">
        <f ca="1">IFERROR(__xludf.DUMMYFUNCTION("""COMPUTED_VALUE"""),21)</f>
        <v>21</v>
      </c>
      <c r="E92" s="1">
        <f ca="1">IFERROR(__xludf.DUMMYFUNCTION("""COMPUTED_VALUE"""),0.323)</f>
        <v>0.32300000000000001</v>
      </c>
      <c r="F92" s="1">
        <f ca="1">IFERROR(__xludf.DUMMYFUNCTION("""COMPUTED_VALUE"""),-5.49)</f>
        <v>-5.49</v>
      </c>
      <c r="G92" s="1">
        <f ca="1">IFERROR(__xludf.DUMMYFUNCTION("""COMPUTED_VALUE"""),1.31)</f>
        <v>1.31</v>
      </c>
      <c r="H92" s="1">
        <f ca="1">IFERROR(__xludf.DUMMYFUNCTION("""COMPUTED_VALUE"""),3)</f>
        <v>3</v>
      </c>
      <c r="I92" s="1">
        <f ca="1">IFERROR(__xludf.DUMMYFUNCTION("""COMPUTED_VALUE"""),15)</f>
        <v>15</v>
      </c>
      <c r="J92" s="1">
        <f ca="1">IFERROR(__xludf.DUMMYFUNCTION("""COMPUTED_VALUE"""),8)</f>
        <v>8</v>
      </c>
      <c r="K92" s="1">
        <f ca="1">IFERROR(__xludf.DUMMYFUNCTION("""COMPUTED_VALUE"""),9)</f>
        <v>9</v>
      </c>
      <c r="L92" s="1">
        <f ca="1">IFERROR(__xludf.DUMMYFUNCTION("""COMPUTED_VALUE"""),1)</f>
        <v>1</v>
      </c>
      <c r="M92" s="1">
        <f ca="1">IFERROR(__xludf.DUMMYFUNCTION("""COMPUTED_VALUE"""),11)</f>
        <v>11</v>
      </c>
      <c r="N92" s="1">
        <f ca="1">IFERROR(__xludf.DUMMYFUNCTION("""COMPUTED_VALUE"""),2088)</f>
        <v>2088</v>
      </c>
      <c r="O92" s="1">
        <f ca="1">IFERROR(__xludf.DUMMYFUNCTION("""COMPUTED_VALUE"""),2299)</f>
        <v>2299</v>
      </c>
      <c r="P92" s="1">
        <f ca="1">IFERROR(__xludf.DUMMYFUNCTION("""COMPUTED_VALUE"""),1255)</f>
        <v>1255</v>
      </c>
      <c r="Q92" s="1">
        <f ca="1">IFERROR(__xludf.DUMMYFUNCTION("""COMPUTED_VALUE"""),749)</f>
        <v>749</v>
      </c>
      <c r="R92" s="1">
        <f ca="1">IFERROR(__xludf.DUMMYFUNCTION("""COMPUTED_VALUE"""),1791)</f>
        <v>1791</v>
      </c>
      <c r="S92" s="1">
        <f ca="1">IFERROR(__xludf.DUMMYFUNCTION("""COMPUTED_VALUE"""),0.418)</f>
        <v>0.41799999999999998</v>
      </c>
      <c r="T92" s="1">
        <f ca="1">IFERROR(__xludf.DUMMYFUNCTION("""COMPUTED_VALUE"""),155)</f>
        <v>155</v>
      </c>
      <c r="U92" s="1">
        <f ca="1">IFERROR(__xludf.DUMMYFUNCTION("""COMPUTED_VALUE"""),545)</f>
        <v>545</v>
      </c>
      <c r="V92" s="1">
        <f ca="1">IFERROR(__xludf.DUMMYFUNCTION("""COMPUTED_VALUE"""),0.284)</f>
        <v>0.28399999999999997</v>
      </c>
      <c r="W92" s="1">
        <f ca="1">IFERROR(__xludf.DUMMYFUNCTION("""COMPUTED_VALUE"""),435)</f>
        <v>435</v>
      </c>
      <c r="X92" s="1">
        <f ca="1">IFERROR(__xludf.DUMMYFUNCTION("""COMPUTED_VALUE"""),638)</f>
        <v>638</v>
      </c>
      <c r="Y92" s="1">
        <f ca="1">IFERROR(__xludf.DUMMYFUNCTION("""COMPUTED_VALUE"""),0.682)</f>
        <v>0.68200000000000005</v>
      </c>
      <c r="Z92" s="1">
        <f ca="1">IFERROR(__xludf.DUMMYFUNCTION("""COMPUTED_VALUE"""),317)</f>
        <v>317</v>
      </c>
      <c r="AA92" s="1">
        <f ca="1">IFERROR(__xludf.DUMMYFUNCTION("""COMPUTED_VALUE"""),1061)</f>
        <v>1061</v>
      </c>
      <c r="AB92" s="1">
        <f ca="1">IFERROR(__xludf.DUMMYFUNCTION("""COMPUTED_VALUE"""),382)</f>
        <v>382</v>
      </c>
      <c r="AC92" s="1">
        <f ca="1">IFERROR(__xludf.DUMMYFUNCTION("""COMPUTED_VALUE"""),224)</f>
        <v>224</v>
      </c>
      <c r="AD92" s="1">
        <f ca="1">IFERROR(__xludf.DUMMYFUNCTION("""COMPUTED_VALUE"""),110)</f>
        <v>110</v>
      </c>
      <c r="AE92" s="1">
        <f ca="1">IFERROR(__xludf.DUMMYFUNCTION("""COMPUTED_VALUE"""),416)</f>
        <v>416</v>
      </c>
      <c r="AF92" s="1">
        <f ca="1">IFERROR(__xludf.DUMMYFUNCTION("""COMPUTED_VALUE"""),622)</f>
        <v>622</v>
      </c>
    </row>
    <row r="93" spans="1:32" ht="12.5" x14ac:dyDescent="0.25">
      <c r="A93" s="1" t="str">
        <f ca="1">IFERROR(__xludf.DUMMYFUNCTION("""COMPUTED_VALUE"""),"East Tennessee State")</f>
        <v>East Tennessee State</v>
      </c>
      <c r="B93" s="1">
        <f ca="1">IFERROR(__xludf.DUMMYFUNCTION("""COMPUTED_VALUE"""),34)</f>
        <v>34</v>
      </c>
      <c r="C93" s="1">
        <f ca="1">IFERROR(__xludf.DUMMYFUNCTION("""COMPUTED_VALUE"""),24)</f>
        <v>24</v>
      </c>
      <c r="D93" s="1">
        <f ca="1">IFERROR(__xludf.DUMMYFUNCTION("""COMPUTED_VALUE"""),10)</f>
        <v>10</v>
      </c>
      <c r="E93" s="1">
        <f ca="1">IFERROR(__xludf.DUMMYFUNCTION("""COMPUTED_VALUE"""),0.706)</f>
        <v>0.70599999999999996</v>
      </c>
      <c r="F93" s="1">
        <f ca="1">IFERROR(__xludf.DUMMYFUNCTION("""COMPUTED_VALUE"""),5.21)</f>
        <v>5.21</v>
      </c>
      <c r="G93" s="1">
        <f ca="1">IFERROR(__xludf.DUMMYFUNCTION("""COMPUTED_VALUE"""),-1.79)</f>
        <v>-1.79</v>
      </c>
      <c r="H93" s="1">
        <f ca="1">IFERROR(__xludf.DUMMYFUNCTION("""COMPUTED_VALUE"""),13)</f>
        <v>13</v>
      </c>
      <c r="I93" s="1">
        <f ca="1">IFERROR(__xludf.DUMMYFUNCTION("""COMPUTED_VALUE"""),5)</f>
        <v>5</v>
      </c>
      <c r="J93" s="1">
        <f ca="1">IFERROR(__xludf.DUMMYFUNCTION("""COMPUTED_VALUE"""),13)</f>
        <v>13</v>
      </c>
      <c r="K93" s="1">
        <f ca="1">IFERROR(__xludf.DUMMYFUNCTION("""COMPUTED_VALUE"""),3)</f>
        <v>3</v>
      </c>
      <c r="L93" s="1">
        <f ca="1">IFERROR(__xludf.DUMMYFUNCTION("""COMPUTED_VALUE"""),8)</f>
        <v>8</v>
      </c>
      <c r="M93" s="1">
        <f ca="1">IFERROR(__xludf.DUMMYFUNCTION("""COMPUTED_VALUE"""),6)</f>
        <v>6</v>
      </c>
      <c r="N93" s="1">
        <f ca="1">IFERROR(__xludf.DUMMYFUNCTION("""COMPUTED_VALUE"""),2707)</f>
        <v>2707</v>
      </c>
      <c r="O93" s="1">
        <f ca="1">IFERROR(__xludf.DUMMYFUNCTION("""COMPUTED_VALUE"""),2371)</f>
        <v>2371</v>
      </c>
      <c r="P93" s="1">
        <f ca="1">IFERROR(__xludf.DUMMYFUNCTION("""COMPUTED_VALUE"""),1375)</f>
        <v>1375</v>
      </c>
      <c r="Q93" s="1">
        <f ca="1">IFERROR(__xludf.DUMMYFUNCTION("""COMPUTED_VALUE"""),1004)</f>
        <v>1004</v>
      </c>
      <c r="R93" s="1">
        <f ca="1">IFERROR(__xludf.DUMMYFUNCTION("""COMPUTED_VALUE"""),2067)</f>
        <v>2067</v>
      </c>
      <c r="S93" s="1">
        <f ca="1">IFERROR(__xludf.DUMMYFUNCTION("""COMPUTED_VALUE"""),0.486)</f>
        <v>0.48599999999999999</v>
      </c>
      <c r="T93" s="1">
        <f ca="1">IFERROR(__xludf.DUMMYFUNCTION("""COMPUTED_VALUE"""),274)</f>
        <v>274</v>
      </c>
      <c r="U93" s="1">
        <f ca="1">IFERROR(__xludf.DUMMYFUNCTION("""COMPUTED_VALUE"""),758)</f>
        <v>758</v>
      </c>
      <c r="V93" s="1">
        <f ca="1">IFERROR(__xludf.DUMMYFUNCTION("""COMPUTED_VALUE"""),0.361)</f>
        <v>0.36099999999999999</v>
      </c>
      <c r="W93" s="1">
        <f ca="1">IFERROR(__xludf.DUMMYFUNCTION("""COMPUTED_VALUE"""),425)</f>
        <v>425</v>
      </c>
      <c r="X93" s="1">
        <f ca="1">IFERROR(__xludf.DUMMYFUNCTION("""COMPUTED_VALUE"""),634)</f>
        <v>634</v>
      </c>
      <c r="Y93" s="1">
        <f ca="1">IFERROR(__xludf.DUMMYFUNCTION("""COMPUTED_VALUE"""),0.67)</f>
        <v>0.67</v>
      </c>
      <c r="Z93" s="1">
        <f ca="1">IFERROR(__xludf.DUMMYFUNCTION("""COMPUTED_VALUE"""),442)</f>
        <v>442</v>
      </c>
      <c r="AA93" s="1">
        <f ca="1">IFERROR(__xludf.DUMMYFUNCTION("""COMPUTED_VALUE"""),1351)</f>
        <v>1351</v>
      </c>
      <c r="AB93" s="1">
        <f ca="1">IFERROR(__xludf.DUMMYFUNCTION("""COMPUTED_VALUE"""),534)</f>
        <v>534</v>
      </c>
      <c r="AC93" s="1">
        <f ca="1">IFERROR(__xludf.DUMMYFUNCTION("""COMPUTED_VALUE"""),252)</f>
        <v>252</v>
      </c>
      <c r="AD93" s="1">
        <f ca="1">IFERROR(__xludf.DUMMYFUNCTION("""COMPUTED_VALUE"""),135)</f>
        <v>135</v>
      </c>
      <c r="AE93" s="1">
        <f ca="1">IFERROR(__xludf.DUMMYFUNCTION("""COMPUTED_VALUE"""),483)</f>
        <v>483</v>
      </c>
      <c r="AF93" s="1">
        <f ca="1">IFERROR(__xludf.DUMMYFUNCTION("""COMPUTED_VALUE"""),603)</f>
        <v>603</v>
      </c>
    </row>
    <row r="94" spans="1:32" ht="12.5" x14ac:dyDescent="0.25">
      <c r="A94" s="1" t="str">
        <f ca="1">IFERROR(__xludf.DUMMYFUNCTION("""COMPUTED_VALUE"""),"Eastern Illinois")</f>
        <v>Eastern Illinois</v>
      </c>
      <c r="B94" s="1">
        <f ca="1">IFERROR(__xludf.DUMMYFUNCTION("""COMPUTED_VALUE"""),32)</f>
        <v>32</v>
      </c>
      <c r="C94" s="1">
        <f ca="1">IFERROR(__xludf.DUMMYFUNCTION("""COMPUTED_VALUE"""),14)</f>
        <v>14</v>
      </c>
      <c r="D94" s="1">
        <f ca="1">IFERROR(__xludf.DUMMYFUNCTION("""COMPUTED_VALUE"""),18)</f>
        <v>18</v>
      </c>
      <c r="E94" s="1">
        <f ca="1">IFERROR(__xludf.DUMMYFUNCTION("""COMPUTED_VALUE"""),0.438)</f>
        <v>0.438</v>
      </c>
      <c r="F94" s="1">
        <f ca="1">IFERROR(__xludf.DUMMYFUNCTION("""COMPUTED_VALUE"""),-11.81)</f>
        <v>-11.81</v>
      </c>
      <c r="G94" s="1">
        <f ca="1">IFERROR(__xludf.DUMMYFUNCTION("""COMPUTED_VALUE"""),-5.01)</f>
        <v>-5.01</v>
      </c>
      <c r="H94" s="1">
        <f ca="1">IFERROR(__xludf.DUMMYFUNCTION("""COMPUTED_VALUE"""),7)</f>
        <v>7</v>
      </c>
      <c r="I94" s="1">
        <f ca="1">IFERROR(__xludf.DUMMYFUNCTION("""COMPUTED_VALUE"""),11)</f>
        <v>11</v>
      </c>
      <c r="J94" s="1">
        <f ca="1">IFERROR(__xludf.DUMMYFUNCTION("""COMPUTED_VALUE"""),7)</f>
        <v>7</v>
      </c>
      <c r="K94" s="1">
        <f ca="1">IFERROR(__xludf.DUMMYFUNCTION("""COMPUTED_VALUE"""),6)</f>
        <v>6</v>
      </c>
      <c r="L94" s="1">
        <f ca="1">IFERROR(__xludf.DUMMYFUNCTION("""COMPUTED_VALUE"""),5)</f>
        <v>5</v>
      </c>
      <c r="M94" s="1">
        <f ca="1">IFERROR(__xludf.DUMMYFUNCTION("""COMPUTED_VALUE"""),10)</f>
        <v>10</v>
      </c>
      <c r="N94" s="1">
        <f ca="1">IFERROR(__xludf.DUMMYFUNCTION("""COMPUTED_VALUE"""),2299)</f>
        <v>2299</v>
      </c>
      <c r="O94" s="1">
        <f ca="1">IFERROR(__xludf.DUMMYFUNCTION("""COMPUTED_VALUE"""),2457)</f>
        <v>2457</v>
      </c>
      <c r="P94" s="1">
        <f ca="1">IFERROR(__xludf.DUMMYFUNCTION("""COMPUTED_VALUE"""),1310)</f>
        <v>1310</v>
      </c>
      <c r="Q94" s="1">
        <f ca="1">IFERROR(__xludf.DUMMYFUNCTION("""COMPUTED_VALUE"""),826)</f>
        <v>826</v>
      </c>
      <c r="R94" s="1">
        <f ca="1">IFERROR(__xludf.DUMMYFUNCTION("""COMPUTED_VALUE"""),1912)</f>
        <v>1912</v>
      </c>
      <c r="S94" s="1">
        <f ca="1">IFERROR(__xludf.DUMMYFUNCTION("""COMPUTED_VALUE"""),0.432)</f>
        <v>0.432</v>
      </c>
      <c r="T94" s="1">
        <f ca="1">IFERROR(__xludf.DUMMYFUNCTION("""COMPUTED_VALUE"""),272)</f>
        <v>272</v>
      </c>
      <c r="U94" s="1">
        <f ca="1">IFERROR(__xludf.DUMMYFUNCTION("""COMPUTED_VALUE"""),735)</f>
        <v>735</v>
      </c>
      <c r="V94" s="1">
        <f ca="1">IFERROR(__xludf.DUMMYFUNCTION("""COMPUTED_VALUE"""),0.37)</f>
        <v>0.37</v>
      </c>
      <c r="W94" s="1">
        <f ca="1">IFERROR(__xludf.DUMMYFUNCTION("""COMPUTED_VALUE"""),375)</f>
        <v>375</v>
      </c>
      <c r="X94" s="1">
        <f ca="1">IFERROR(__xludf.DUMMYFUNCTION("""COMPUTED_VALUE"""),545)</f>
        <v>545</v>
      </c>
      <c r="Y94" s="1">
        <f ca="1">IFERROR(__xludf.DUMMYFUNCTION("""COMPUTED_VALUE"""),0.688)</f>
        <v>0.68799999999999994</v>
      </c>
      <c r="Z94" s="1">
        <f ca="1">IFERROR(__xludf.DUMMYFUNCTION("""COMPUTED_VALUE"""),347)</f>
        <v>347</v>
      </c>
      <c r="AA94" s="1">
        <f ca="1">IFERROR(__xludf.DUMMYFUNCTION("""COMPUTED_VALUE"""),1147)</f>
        <v>1147</v>
      </c>
      <c r="AB94" s="1">
        <f ca="1">IFERROR(__xludf.DUMMYFUNCTION("""COMPUTED_VALUE"""),434)</f>
        <v>434</v>
      </c>
      <c r="AC94" s="1">
        <f ca="1">IFERROR(__xludf.DUMMYFUNCTION("""COMPUTED_VALUE"""),200)</f>
        <v>200</v>
      </c>
      <c r="AD94" s="1">
        <f ca="1">IFERROR(__xludf.DUMMYFUNCTION("""COMPUTED_VALUE"""),120)</f>
        <v>120</v>
      </c>
      <c r="AE94" s="1">
        <f ca="1">IFERROR(__xludf.DUMMYFUNCTION("""COMPUTED_VALUE"""),427)</f>
        <v>427</v>
      </c>
      <c r="AF94" s="1">
        <f ca="1">IFERROR(__xludf.DUMMYFUNCTION("""COMPUTED_VALUE"""),569)</f>
        <v>569</v>
      </c>
    </row>
    <row r="95" spans="1:32" ht="12.5" x14ac:dyDescent="0.25">
      <c r="A95" s="1" t="str">
        <f ca="1">IFERROR(__xludf.DUMMYFUNCTION("""COMPUTED_VALUE"""),"Eastern Kentucky")</f>
        <v>Eastern Kentucky</v>
      </c>
      <c r="B95" s="1">
        <f ca="1">IFERROR(__xludf.DUMMYFUNCTION("""COMPUTED_VALUE"""),31)</f>
        <v>31</v>
      </c>
      <c r="C95" s="1">
        <f ca="1">IFERROR(__xludf.DUMMYFUNCTION("""COMPUTED_VALUE"""),13)</f>
        <v>13</v>
      </c>
      <c r="D95" s="1">
        <f ca="1">IFERROR(__xludf.DUMMYFUNCTION("""COMPUTED_VALUE"""),18)</f>
        <v>18</v>
      </c>
      <c r="E95" s="1">
        <f ca="1">IFERROR(__xludf.DUMMYFUNCTION("""COMPUTED_VALUE"""),0.419)</f>
        <v>0.41899999999999998</v>
      </c>
      <c r="F95" s="1">
        <f ca="1">IFERROR(__xludf.DUMMYFUNCTION("""COMPUTED_VALUE"""),-7.4)</f>
        <v>-7.4</v>
      </c>
      <c r="G95" s="1">
        <f ca="1">IFERROR(__xludf.DUMMYFUNCTION("""COMPUTED_VALUE"""),-2.47)</f>
        <v>-2.4700000000000002</v>
      </c>
      <c r="H95" s="1">
        <f ca="1">IFERROR(__xludf.DUMMYFUNCTION("""COMPUTED_VALUE"""),6)</f>
        <v>6</v>
      </c>
      <c r="I95" s="1">
        <f ca="1">IFERROR(__xludf.DUMMYFUNCTION("""COMPUTED_VALUE"""),12)</f>
        <v>12</v>
      </c>
      <c r="J95" s="1">
        <f ca="1">IFERROR(__xludf.DUMMYFUNCTION("""COMPUTED_VALUE"""),9)</f>
        <v>9</v>
      </c>
      <c r="K95" s="1">
        <f ca="1">IFERROR(__xludf.DUMMYFUNCTION("""COMPUTED_VALUE"""),5)</f>
        <v>5</v>
      </c>
      <c r="L95" s="1">
        <f ca="1">IFERROR(__xludf.DUMMYFUNCTION("""COMPUTED_VALUE"""),3)</f>
        <v>3</v>
      </c>
      <c r="M95" s="1">
        <f ca="1">IFERROR(__xludf.DUMMYFUNCTION("""COMPUTED_VALUE"""),11)</f>
        <v>11</v>
      </c>
      <c r="N95" s="1">
        <f ca="1">IFERROR(__xludf.DUMMYFUNCTION("""COMPUTED_VALUE"""),2562)</f>
        <v>2562</v>
      </c>
      <c r="O95" s="1">
        <f ca="1">IFERROR(__xludf.DUMMYFUNCTION("""COMPUTED_VALUE"""),2577)</f>
        <v>2577</v>
      </c>
      <c r="P95" s="1">
        <f ca="1">IFERROR(__xludf.DUMMYFUNCTION("""COMPUTED_VALUE"""),1265)</f>
        <v>1265</v>
      </c>
      <c r="Q95" s="1">
        <f ca="1">IFERROR(__xludf.DUMMYFUNCTION("""COMPUTED_VALUE"""),902)</f>
        <v>902</v>
      </c>
      <c r="R95" s="1">
        <f ca="1">IFERROR(__xludf.DUMMYFUNCTION("""COMPUTED_VALUE"""),2125)</f>
        <v>2125</v>
      </c>
      <c r="S95" s="1">
        <f ca="1">IFERROR(__xludf.DUMMYFUNCTION("""COMPUTED_VALUE"""),0.424)</f>
        <v>0.42399999999999999</v>
      </c>
      <c r="T95" s="1">
        <f ca="1">IFERROR(__xludf.DUMMYFUNCTION("""COMPUTED_VALUE"""),272)</f>
        <v>272</v>
      </c>
      <c r="U95" s="1">
        <f ca="1">IFERROR(__xludf.DUMMYFUNCTION("""COMPUTED_VALUE"""),832)</f>
        <v>832</v>
      </c>
      <c r="V95" s="1">
        <f ca="1">IFERROR(__xludf.DUMMYFUNCTION("""COMPUTED_VALUE"""),0.327)</f>
        <v>0.32700000000000001</v>
      </c>
      <c r="W95" s="1">
        <f ca="1">IFERROR(__xludf.DUMMYFUNCTION("""COMPUTED_VALUE"""),486)</f>
        <v>486</v>
      </c>
      <c r="X95" s="1">
        <f ca="1">IFERROR(__xludf.DUMMYFUNCTION("""COMPUTED_VALUE"""),683)</f>
        <v>683</v>
      </c>
      <c r="Y95" s="1">
        <f ca="1">IFERROR(__xludf.DUMMYFUNCTION("""COMPUTED_VALUE"""),0.712)</f>
        <v>0.71199999999999997</v>
      </c>
      <c r="Z95" s="1">
        <f ca="1">IFERROR(__xludf.DUMMYFUNCTION("""COMPUTED_VALUE"""),362)</f>
        <v>362</v>
      </c>
      <c r="AA95" s="1">
        <f ca="1">IFERROR(__xludf.DUMMYFUNCTION("""COMPUTED_VALUE"""),1167)</f>
        <v>1167</v>
      </c>
      <c r="AB95" s="1">
        <f ca="1">IFERROR(__xludf.DUMMYFUNCTION("""COMPUTED_VALUE"""),458)</f>
        <v>458</v>
      </c>
      <c r="AC95" s="1">
        <f ca="1">IFERROR(__xludf.DUMMYFUNCTION("""COMPUTED_VALUE"""),317)</f>
        <v>317</v>
      </c>
      <c r="AD95" s="1">
        <f ca="1">IFERROR(__xludf.DUMMYFUNCTION("""COMPUTED_VALUE"""),101)</f>
        <v>101</v>
      </c>
      <c r="AE95" s="1">
        <f ca="1">IFERROR(__xludf.DUMMYFUNCTION("""COMPUTED_VALUE"""),447)</f>
        <v>447</v>
      </c>
      <c r="AF95" s="1">
        <f ca="1">IFERROR(__xludf.DUMMYFUNCTION("""COMPUTED_VALUE"""),661)</f>
        <v>661</v>
      </c>
    </row>
    <row r="96" spans="1:32" ht="12.5" x14ac:dyDescent="0.25">
      <c r="A96" s="1" t="str">
        <f ca="1">IFERROR(__xludf.DUMMYFUNCTION("""COMPUTED_VALUE"""),"Eastern Michigan")</f>
        <v>Eastern Michigan</v>
      </c>
      <c r="B96" s="1">
        <f ca="1">IFERROR(__xludf.DUMMYFUNCTION("""COMPUTED_VALUE"""),32)</f>
        <v>32</v>
      </c>
      <c r="C96" s="1">
        <f ca="1">IFERROR(__xludf.DUMMYFUNCTION("""COMPUTED_VALUE"""),15)</f>
        <v>15</v>
      </c>
      <c r="D96" s="1">
        <f ca="1">IFERROR(__xludf.DUMMYFUNCTION("""COMPUTED_VALUE"""),17)</f>
        <v>17</v>
      </c>
      <c r="E96" s="1">
        <f ca="1">IFERROR(__xludf.DUMMYFUNCTION("""COMPUTED_VALUE"""),0.469)</f>
        <v>0.46899999999999997</v>
      </c>
      <c r="F96" s="1">
        <f ca="1">IFERROR(__xludf.DUMMYFUNCTION("""COMPUTED_VALUE"""),0.4)</f>
        <v>0.4</v>
      </c>
      <c r="G96" s="1">
        <f ca="1">IFERROR(__xludf.DUMMYFUNCTION("""COMPUTED_VALUE"""),4.43)</f>
        <v>4.43</v>
      </c>
      <c r="H96" s="1">
        <f ca="1">IFERROR(__xludf.DUMMYFUNCTION("""COMPUTED_VALUE"""),9)</f>
        <v>9</v>
      </c>
      <c r="I96" s="1">
        <f ca="1">IFERROR(__xludf.DUMMYFUNCTION("""COMPUTED_VALUE"""),9)</f>
        <v>9</v>
      </c>
      <c r="J96" s="1">
        <f ca="1">IFERROR(__xludf.DUMMYFUNCTION("""COMPUTED_VALUE"""),11)</f>
        <v>11</v>
      </c>
      <c r="K96" s="1">
        <f ca="1">IFERROR(__xludf.DUMMYFUNCTION("""COMPUTED_VALUE"""),7)</f>
        <v>7</v>
      </c>
      <c r="L96" s="1">
        <f ca="1">IFERROR(__xludf.DUMMYFUNCTION("""COMPUTED_VALUE"""),4)</f>
        <v>4</v>
      </c>
      <c r="M96" s="1">
        <f ca="1">IFERROR(__xludf.DUMMYFUNCTION("""COMPUTED_VALUE"""),10)</f>
        <v>10</v>
      </c>
      <c r="N96" s="1">
        <f ca="1">IFERROR(__xludf.DUMMYFUNCTION("""COMPUTED_VALUE"""),2203)</f>
        <v>2203</v>
      </c>
      <c r="O96" s="1">
        <f ca="1">IFERROR(__xludf.DUMMYFUNCTION("""COMPUTED_VALUE"""),2213)</f>
        <v>2213</v>
      </c>
      <c r="P96" s="1">
        <f ca="1">IFERROR(__xludf.DUMMYFUNCTION("""COMPUTED_VALUE"""),1295)</f>
        <v>1295</v>
      </c>
      <c r="Q96" s="1">
        <f ca="1">IFERROR(__xludf.DUMMYFUNCTION("""COMPUTED_VALUE"""),818)</f>
        <v>818</v>
      </c>
      <c r="R96" s="1">
        <f ca="1">IFERROR(__xludf.DUMMYFUNCTION("""COMPUTED_VALUE"""),1823)</f>
        <v>1823</v>
      </c>
      <c r="S96" s="1">
        <f ca="1">IFERROR(__xludf.DUMMYFUNCTION("""COMPUTED_VALUE"""),0.449)</f>
        <v>0.44900000000000001</v>
      </c>
      <c r="T96" s="1">
        <f ca="1">IFERROR(__xludf.DUMMYFUNCTION("""COMPUTED_VALUE"""),187)</f>
        <v>187</v>
      </c>
      <c r="U96" s="1">
        <f ca="1">IFERROR(__xludf.DUMMYFUNCTION("""COMPUTED_VALUE"""),634)</f>
        <v>634</v>
      </c>
      <c r="V96" s="1">
        <f ca="1">IFERROR(__xludf.DUMMYFUNCTION("""COMPUTED_VALUE"""),0.295)</f>
        <v>0.29499999999999998</v>
      </c>
      <c r="W96" s="1">
        <f ca="1">IFERROR(__xludf.DUMMYFUNCTION("""COMPUTED_VALUE"""),380)</f>
        <v>380</v>
      </c>
      <c r="X96" s="1">
        <f ca="1">IFERROR(__xludf.DUMMYFUNCTION("""COMPUTED_VALUE"""),604)</f>
        <v>604</v>
      </c>
      <c r="Y96" s="1">
        <f ca="1">IFERROR(__xludf.DUMMYFUNCTION("""COMPUTED_VALUE"""),0.629)</f>
        <v>0.629</v>
      </c>
      <c r="Z96" s="1">
        <f ca="1">IFERROR(__xludf.DUMMYFUNCTION("""COMPUTED_VALUE"""),400)</f>
        <v>400</v>
      </c>
      <c r="AA96" s="1">
        <f ca="1">IFERROR(__xludf.DUMMYFUNCTION("""COMPUTED_VALUE"""),1155)</f>
        <v>1155</v>
      </c>
      <c r="AB96" s="1">
        <f ca="1">IFERROR(__xludf.DUMMYFUNCTION("""COMPUTED_VALUE"""),369)</f>
        <v>369</v>
      </c>
      <c r="AC96" s="1">
        <f ca="1">IFERROR(__xludf.DUMMYFUNCTION("""COMPUTED_VALUE"""),237)</f>
        <v>237</v>
      </c>
      <c r="AD96" s="1">
        <f ca="1">IFERROR(__xludf.DUMMYFUNCTION("""COMPUTED_VALUE"""),143)</f>
        <v>143</v>
      </c>
      <c r="AE96" s="1">
        <f ca="1">IFERROR(__xludf.DUMMYFUNCTION("""COMPUTED_VALUE"""),442)</f>
        <v>442</v>
      </c>
      <c r="AF96" s="1">
        <f ca="1">IFERROR(__xludf.DUMMYFUNCTION("""COMPUTED_VALUE"""),529)</f>
        <v>529</v>
      </c>
    </row>
    <row r="97" spans="1:32" ht="12.5" x14ac:dyDescent="0.25">
      <c r="A97" s="1" t="str">
        <f ca="1">IFERROR(__xludf.DUMMYFUNCTION("""COMPUTED_VALUE"""),"Eastern Washington")</f>
        <v>Eastern Washington</v>
      </c>
      <c r="B97" s="1">
        <f ca="1">IFERROR(__xludf.DUMMYFUNCTION("""COMPUTED_VALUE"""),34)</f>
        <v>34</v>
      </c>
      <c r="C97" s="1">
        <f ca="1">IFERROR(__xludf.DUMMYFUNCTION("""COMPUTED_VALUE"""),16)</f>
        <v>16</v>
      </c>
      <c r="D97" s="1">
        <f ca="1">IFERROR(__xludf.DUMMYFUNCTION("""COMPUTED_VALUE"""),18)</f>
        <v>18</v>
      </c>
      <c r="E97" s="1">
        <f ca="1">IFERROR(__xludf.DUMMYFUNCTION("""COMPUTED_VALUE"""),0.471)</f>
        <v>0.47099999999999997</v>
      </c>
      <c r="F97" s="1">
        <f ca="1">IFERROR(__xludf.DUMMYFUNCTION("""COMPUTED_VALUE"""),-6.77)</f>
        <v>-6.77</v>
      </c>
      <c r="G97" s="1">
        <f ca="1">IFERROR(__xludf.DUMMYFUNCTION("""COMPUTED_VALUE"""),-4.17)</f>
        <v>-4.17</v>
      </c>
      <c r="H97" s="1">
        <f ca="1">IFERROR(__xludf.DUMMYFUNCTION("""COMPUTED_VALUE"""),12)</f>
        <v>12</v>
      </c>
      <c r="I97" s="1">
        <f ca="1">IFERROR(__xludf.DUMMYFUNCTION("""COMPUTED_VALUE"""),8)</f>
        <v>8</v>
      </c>
      <c r="J97" s="1">
        <f ca="1">IFERROR(__xludf.DUMMYFUNCTION("""COMPUTED_VALUE"""),9)</f>
        <v>9</v>
      </c>
      <c r="K97" s="1">
        <f ca="1">IFERROR(__xludf.DUMMYFUNCTION("""COMPUTED_VALUE"""),4)</f>
        <v>4</v>
      </c>
      <c r="L97" s="1">
        <f ca="1">IFERROR(__xludf.DUMMYFUNCTION("""COMPUTED_VALUE"""),4)</f>
        <v>4</v>
      </c>
      <c r="M97" s="1">
        <f ca="1">IFERROR(__xludf.DUMMYFUNCTION("""COMPUTED_VALUE"""),13)</f>
        <v>13</v>
      </c>
      <c r="N97" s="1">
        <f ca="1">IFERROR(__xludf.DUMMYFUNCTION("""COMPUTED_VALUE"""),2460)</f>
        <v>2460</v>
      </c>
      <c r="O97" s="1">
        <f ca="1">IFERROR(__xludf.DUMMYFUNCTION("""COMPUTED_VALUE"""),2527)</f>
        <v>2527</v>
      </c>
      <c r="P97" s="1">
        <f ca="1">IFERROR(__xludf.DUMMYFUNCTION("""COMPUTED_VALUE"""),1380)</f>
        <v>1380</v>
      </c>
      <c r="Q97" s="1">
        <f ca="1">IFERROR(__xludf.DUMMYFUNCTION("""COMPUTED_VALUE"""),876)</f>
        <v>876</v>
      </c>
      <c r="R97" s="1">
        <f ca="1">IFERROR(__xludf.DUMMYFUNCTION("""COMPUTED_VALUE"""),2040)</f>
        <v>2040</v>
      </c>
      <c r="S97" s="1">
        <f ca="1">IFERROR(__xludf.DUMMYFUNCTION("""COMPUTED_VALUE"""),0.429)</f>
        <v>0.42899999999999999</v>
      </c>
      <c r="T97" s="1">
        <f ca="1">IFERROR(__xludf.DUMMYFUNCTION("""COMPUTED_VALUE"""),310)</f>
        <v>310</v>
      </c>
      <c r="U97" s="1">
        <f ca="1">IFERROR(__xludf.DUMMYFUNCTION("""COMPUTED_VALUE"""),886)</f>
        <v>886</v>
      </c>
      <c r="V97" s="1">
        <f ca="1">IFERROR(__xludf.DUMMYFUNCTION("""COMPUTED_VALUE"""),0.35)</f>
        <v>0.35</v>
      </c>
      <c r="W97" s="1">
        <f ca="1">IFERROR(__xludf.DUMMYFUNCTION("""COMPUTED_VALUE"""),398)</f>
        <v>398</v>
      </c>
      <c r="X97" s="1">
        <f ca="1">IFERROR(__xludf.DUMMYFUNCTION("""COMPUTED_VALUE"""),546)</f>
        <v>546</v>
      </c>
      <c r="Y97" s="1">
        <f ca="1">IFERROR(__xludf.DUMMYFUNCTION("""COMPUTED_VALUE"""),0.729)</f>
        <v>0.72899999999999998</v>
      </c>
      <c r="Z97" s="1">
        <f ca="1">IFERROR(__xludf.DUMMYFUNCTION("""COMPUTED_VALUE"""),299)</f>
        <v>299</v>
      </c>
      <c r="AA97" s="1">
        <f ca="1">IFERROR(__xludf.DUMMYFUNCTION("""COMPUTED_VALUE"""),1192)</f>
        <v>1192</v>
      </c>
      <c r="AB97" s="1">
        <f ca="1">IFERROR(__xludf.DUMMYFUNCTION("""COMPUTED_VALUE"""),467)</f>
        <v>467</v>
      </c>
      <c r="AC97" s="1">
        <f ca="1">IFERROR(__xludf.DUMMYFUNCTION("""COMPUTED_VALUE"""),200)</f>
        <v>200</v>
      </c>
      <c r="AD97" s="1">
        <f ca="1">IFERROR(__xludf.DUMMYFUNCTION("""COMPUTED_VALUE"""),101)</f>
        <v>101</v>
      </c>
      <c r="AE97" s="1">
        <f ca="1">IFERROR(__xludf.DUMMYFUNCTION("""COMPUTED_VALUE"""),401)</f>
        <v>401</v>
      </c>
      <c r="AF97" s="1">
        <f ca="1">IFERROR(__xludf.DUMMYFUNCTION("""COMPUTED_VALUE"""),632)</f>
        <v>632</v>
      </c>
    </row>
    <row r="98" spans="1:32" ht="12.5" x14ac:dyDescent="0.25">
      <c r="A98" s="1" t="str">
        <f ca="1">IFERROR(__xludf.DUMMYFUNCTION("""COMPUTED_VALUE"""),"Elon")</f>
        <v>Elon</v>
      </c>
      <c r="B98" s="1">
        <f ca="1">IFERROR(__xludf.DUMMYFUNCTION("""COMPUTED_VALUE"""),32)</f>
        <v>32</v>
      </c>
      <c r="C98" s="1">
        <f ca="1">IFERROR(__xludf.DUMMYFUNCTION("""COMPUTED_VALUE"""),11)</f>
        <v>11</v>
      </c>
      <c r="D98" s="1">
        <f ca="1">IFERROR(__xludf.DUMMYFUNCTION("""COMPUTED_VALUE"""),21)</f>
        <v>21</v>
      </c>
      <c r="E98" s="1">
        <f ca="1">IFERROR(__xludf.DUMMYFUNCTION("""COMPUTED_VALUE"""),0.344)</f>
        <v>0.34399999999999997</v>
      </c>
      <c r="F98" s="1">
        <f ca="1">IFERROR(__xludf.DUMMYFUNCTION("""COMPUTED_VALUE"""),-11.53)</f>
        <v>-11.53</v>
      </c>
      <c r="G98" s="1">
        <f ca="1">IFERROR(__xludf.DUMMYFUNCTION("""COMPUTED_VALUE"""),-3.56)</f>
        <v>-3.56</v>
      </c>
      <c r="H98" s="1">
        <f ca="1">IFERROR(__xludf.DUMMYFUNCTION("""COMPUTED_VALUE"""),7)</f>
        <v>7</v>
      </c>
      <c r="I98" s="1">
        <f ca="1">IFERROR(__xludf.DUMMYFUNCTION("""COMPUTED_VALUE"""),11)</f>
        <v>11</v>
      </c>
      <c r="J98" s="1">
        <f ca="1">IFERROR(__xludf.DUMMYFUNCTION("""COMPUTED_VALUE"""),5)</f>
        <v>5</v>
      </c>
      <c r="K98" s="1">
        <f ca="1">IFERROR(__xludf.DUMMYFUNCTION("""COMPUTED_VALUE"""),11)</f>
        <v>11</v>
      </c>
      <c r="L98" s="1">
        <f ca="1">IFERROR(__xludf.DUMMYFUNCTION("""COMPUTED_VALUE"""),6)</f>
        <v>6</v>
      </c>
      <c r="M98" s="1">
        <f ca="1">IFERROR(__xludf.DUMMYFUNCTION("""COMPUTED_VALUE"""),7)</f>
        <v>7</v>
      </c>
      <c r="N98" s="1">
        <f ca="1">IFERROR(__xludf.DUMMYFUNCTION("""COMPUTED_VALUE"""),2266)</f>
        <v>2266</v>
      </c>
      <c r="O98" s="1">
        <f ca="1">IFERROR(__xludf.DUMMYFUNCTION("""COMPUTED_VALUE"""),2445)</f>
        <v>2445</v>
      </c>
      <c r="P98" s="1">
        <f ca="1">IFERROR(__xludf.DUMMYFUNCTION("""COMPUTED_VALUE"""),1290)</f>
        <v>1290</v>
      </c>
      <c r="Q98" s="1">
        <f ca="1">IFERROR(__xludf.DUMMYFUNCTION("""COMPUTED_VALUE"""),812)</f>
        <v>812</v>
      </c>
      <c r="R98" s="1">
        <f ca="1">IFERROR(__xludf.DUMMYFUNCTION("""COMPUTED_VALUE"""),1862)</f>
        <v>1862</v>
      </c>
      <c r="S98" s="1">
        <f ca="1">IFERROR(__xludf.DUMMYFUNCTION("""COMPUTED_VALUE"""),0.436)</f>
        <v>0.436</v>
      </c>
      <c r="T98" s="1">
        <f ca="1">IFERROR(__xludf.DUMMYFUNCTION("""COMPUTED_VALUE"""),335)</f>
        <v>335</v>
      </c>
      <c r="U98" s="1">
        <f ca="1">IFERROR(__xludf.DUMMYFUNCTION("""COMPUTED_VALUE"""),943)</f>
        <v>943</v>
      </c>
      <c r="V98" s="1">
        <f ca="1">IFERROR(__xludf.DUMMYFUNCTION("""COMPUTED_VALUE"""),0.355)</f>
        <v>0.35499999999999998</v>
      </c>
      <c r="W98" s="1">
        <f ca="1">IFERROR(__xludf.DUMMYFUNCTION("""COMPUTED_VALUE"""),307)</f>
        <v>307</v>
      </c>
      <c r="X98" s="1">
        <f ca="1">IFERROR(__xludf.DUMMYFUNCTION("""COMPUTED_VALUE"""),443)</f>
        <v>443</v>
      </c>
      <c r="Y98" s="1">
        <f ca="1">IFERROR(__xludf.DUMMYFUNCTION("""COMPUTED_VALUE"""),0.693)</f>
        <v>0.69299999999999995</v>
      </c>
      <c r="Z98" s="1">
        <f ca="1">IFERROR(__xludf.DUMMYFUNCTION("""COMPUTED_VALUE"""),265)</f>
        <v>265</v>
      </c>
      <c r="AA98" s="1">
        <f ca="1">IFERROR(__xludf.DUMMYFUNCTION("""COMPUTED_VALUE"""),1082)</f>
        <v>1082</v>
      </c>
      <c r="AB98" s="1">
        <f ca="1">IFERROR(__xludf.DUMMYFUNCTION("""COMPUTED_VALUE"""),468)</f>
        <v>468</v>
      </c>
      <c r="AC98" s="1">
        <f ca="1">IFERROR(__xludf.DUMMYFUNCTION("""COMPUTED_VALUE"""),135)</f>
        <v>135</v>
      </c>
      <c r="AD98" s="1">
        <f ca="1">IFERROR(__xludf.DUMMYFUNCTION("""COMPUTED_VALUE"""),62)</f>
        <v>62</v>
      </c>
      <c r="AE98" s="1">
        <f ca="1">IFERROR(__xludf.DUMMYFUNCTION("""COMPUTED_VALUE"""),413)</f>
        <v>413</v>
      </c>
      <c r="AF98" s="1">
        <f ca="1">IFERROR(__xludf.DUMMYFUNCTION("""COMPUTED_VALUE"""),539)</f>
        <v>539</v>
      </c>
    </row>
    <row r="99" spans="1:32" ht="12.5" x14ac:dyDescent="0.25">
      <c r="A99" s="1" t="str">
        <f ca="1">IFERROR(__xludf.DUMMYFUNCTION("""COMPUTED_VALUE"""),"Evansville")</f>
        <v>Evansville</v>
      </c>
      <c r="B99" s="1">
        <f ca="1">IFERROR(__xludf.DUMMYFUNCTION("""COMPUTED_VALUE"""),32)</f>
        <v>32</v>
      </c>
      <c r="C99" s="1">
        <f ca="1">IFERROR(__xludf.DUMMYFUNCTION("""COMPUTED_VALUE"""),11)</f>
        <v>11</v>
      </c>
      <c r="D99" s="1">
        <f ca="1">IFERROR(__xludf.DUMMYFUNCTION("""COMPUTED_VALUE"""),21)</f>
        <v>21</v>
      </c>
      <c r="E99" s="1">
        <f ca="1">IFERROR(__xludf.DUMMYFUNCTION("""COMPUTED_VALUE"""),0.344)</f>
        <v>0.34399999999999997</v>
      </c>
      <c r="F99" s="1">
        <f ca="1">IFERROR(__xludf.DUMMYFUNCTION("""COMPUTED_VALUE"""),-3.84)</f>
        <v>-3.84</v>
      </c>
      <c r="G99" s="1">
        <f ca="1">IFERROR(__xludf.DUMMYFUNCTION("""COMPUTED_VALUE"""),0.13)</f>
        <v>0.13</v>
      </c>
      <c r="H99" s="1">
        <f ca="1">IFERROR(__xludf.DUMMYFUNCTION("""COMPUTED_VALUE"""),5)</f>
        <v>5</v>
      </c>
      <c r="I99" s="1">
        <f ca="1">IFERROR(__xludf.DUMMYFUNCTION("""COMPUTED_VALUE"""),13)</f>
        <v>13</v>
      </c>
      <c r="J99" s="1">
        <f ca="1">IFERROR(__xludf.DUMMYFUNCTION("""COMPUTED_VALUE"""),9)</f>
        <v>9</v>
      </c>
      <c r="K99" s="1">
        <f ca="1">IFERROR(__xludf.DUMMYFUNCTION("""COMPUTED_VALUE"""),7)</f>
        <v>7</v>
      </c>
      <c r="L99" s="1">
        <f ca="1">IFERROR(__xludf.DUMMYFUNCTION("""COMPUTED_VALUE"""),2)</f>
        <v>2</v>
      </c>
      <c r="M99" s="1">
        <f ca="1">IFERROR(__xludf.DUMMYFUNCTION("""COMPUTED_VALUE"""),13)</f>
        <v>13</v>
      </c>
      <c r="N99" s="1">
        <f ca="1">IFERROR(__xludf.DUMMYFUNCTION("""COMPUTED_VALUE"""),2234)</f>
        <v>2234</v>
      </c>
      <c r="O99" s="1">
        <f ca="1">IFERROR(__xludf.DUMMYFUNCTION("""COMPUTED_VALUE"""),2317)</f>
        <v>2317</v>
      </c>
      <c r="P99" s="1">
        <f ca="1">IFERROR(__xludf.DUMMYFUNCTION("""COMPUTED_VALUE"""),1295)</f>
        <v>1295</v>
      </c>
      <c r="Q99" s="1">
        <f ca="1">IFERROR(__xludf.DUMMYFUNCTION("""COMPUTED_VALUE"""),747)</f>
        <v>747</v>
      </c>
      <c r="R99" s="1">
        <f ca="1">IFERROR(__xludf.DUMMYFUNCTION("""COMPUTED_VALUE"""),1776)</f>
        <v>1776</v>
      </c>
      <c r="S99" s="1">
        <f ca="1">IFERROR(__xludf.DUMMYFUNCTION("""COMPUTED_VALUE"""),0.421)</f>
        <v>0.42099999999999999</v>
      </c>
      <c r="T99" s="1">
        <f ca="1">IFERROR(__xludf.DUMMYFUNCTION("""COMPUTED_VALUE"""),264)</f>
        <v>264</v>
      </c>
      <c r="U99" s="1">
        <f ca="1">IFERROR(__xludf.DUMMYFUNCTION("""COMPUTED_VALUE"""),776)</f>
        <v>776</v>
      </c>
      <c r="V99" s="1">
        <f ca="1">IFERROR(__xludf.DUMMYFUNCTION("""COMPUTED_VALUE"""),0.34)</f>
        <v>0.34</v>
      </c>
      <c r="W99" s="1">
        <f ca="1">IFERROR(__xludf.DUMMYFUNCTION("""COMPUTED_VALUE"""),476)</f>
        <v>476</v>
      </c>
      <c r="X99" s="1">
        <f ca="1">IFERROR(__xludf.DUMMYFUNCTION("""COMPUTED_VALUE"""),660)</f>
        <v>660</v>
      </c>
      <c r="Y99" s="1">
        <f ca="1">IFERROR(__xludf.DUMMYFUNCTION("""COMPUTED_VALUE"""),0.721)</f>
        <v>0.72099999999999997</v>
      </c>
      <c r="Z99" s="1">
        <f ca="1">IFERROR(__xludf.DUMMYFUNCTION("""COMPUTED_VALUE"""),215)</f>
        <v>215</v>
      </c>
      <c r="AA99" s="1">
        <f ca="1">IFERROR(__xludf.DUMMYFUNCTION("""COMPUTED_VALUE"""),1095)</f>
        <v>1095</v>
      </c>
      <c r="AB99" s="1">
        <f ca="1">IFERROR(__xludf.DUMMYFUNCTION("""COMPUTED_VALUE"""),394)</f>
        <v>394</v>
      </c>
      <c r="AC99" s="1">
        <f ca="1">IFERROR(__xludf.DUMMYFUNCTION("""COMPUTED_VALUE"""),185)</f>
        <v>185</v>
      </c>
      <c r="AD99" s="1">
        <f ca="1">IFERROR(__xludf.DUMMYFUNCTION("""COMPUTED_VALUE"""),89)</f>
        <v>89</v>
      </c>
      <c r="AE99" s="1">
        <f ca="1">IFERROR(__xludf.DUMMYFUNCTION("""COMPUTED_VALUE"""),416)</f>
        <v>416</v>
      </c>
      <c r="AF99" s="1">
        <f ca="1">IFERROR(__xludf.DUMMYFUNCTION("""COMPUTED_VALUE"""),602)</f>
        <v>602</v>
      </c>
    </row>
    <row r="100" spans="1:32" ht="12.5" x14ac:dyDescent="0.25">
      <c r="A100" s="1" t="str">
        <f ca="1">IFERROR(__xludf.DUMMYFUNCTION("""COMPUTED_VALUE"""),"Fairfield")</f>
        <v>Fairfield</v>
      </c>
      <c r="B100" s="1">
        <f ca="1">IFERROR(__xludf.DUMMYFUNCTION("""COMPUTED_VALUE"""),31)</f>
        <v>31</v>
      </c>
      <c r="C100" s="1">
        <f ca="1">IFERROR(__xludf.DUMMYFUNCTION("""COMPUTED_VALUE"""),9)</f>
        <v>9</v>
      </c>
      <c r="D100" s="1">
        <f ca="1">IFERROR(__xludf.DUMMYFUNCTION("""COMPUTED_VALUE"""),22)</f>
        <v>22</v>
      </c>
      <c r="E100" s="1">
        <f ca="1">IFERROR(__xludf.DUMMYFUNCTION("""COMPUTED_VALUE"""),0.29)</f>
        <v>0.28999999999999998</v>
      </c>
      <c r="F100" s="1">
        <f ca="1">IFERROR(__xludf.DUMMYFUNCTION("""COMPUTED_VALUE"""),-10.2)</f>
        <v>-10.199999999999999</v>
      </c>
      <c r="G100" s="1">
        <f ca="1">IFERROR(__xludf.DUMMYFUNCTION("""COMPUTED_VALUE"""),-7.14)</f>
        <v>-7.14</v>
      </c>
      <c r="H100" s="1">
        <f ca="1">IFERROR(__xludf.DUMMYFUNCTION("""COMPUTED_VALUE"""),6)</f>
        <v>6</v>
      </c>
      <c r="I100" s="1">
        <f ca="1">IFERROR(__xludf.DUMMYFUNCTION("""COMPUTED_VALUE"""),12)</f>
        <v>12</v>
      </c>
      <c r="J100" s="1">
        <f ca="1">IFERROR(__xludf.DUMMYFUNCTION("""COMPUTED_VALUE"""),5)</f>
        <v>5</v>
      </c>
      <c r="K100" s="1">
        <f ca="1">IFERROR(__xludf.DUMMYFUNCTION("""COMPUTED_VALUE"""),7)</f>
        <v>7</v>
      </c>
      <c r="L100" s="1">
        <f ca="1">IFERROR(__xludf.DUMMYFUNCTION("""COMPUTED_VALUE"""),3)</f>
        <v>3</v>
      </c>
      <c r="M100" s="1">
        <f ca="1">IFERROR(__xludf.DUMMYFUNCTION("""COMPUTED_VALUE"""),13)</f>
        <v>13</v>
      </c>
      <c r="N100" s="1">
        <f ca="1">IFERROR(__xludf.DUMMYFUNCTION("""COMPUTED_VALUE"""),2072)</f>
        <v>2072</v>
      </c>
      <c r="O100" s="1">
        <f ca="1">IFERROR(__xludf.DUMMYFUNCTION("""COMPUTED_VALUE"""),2167)</f>
        <v>2167</v>
      </c>
      <c r="P100" s="1">
        <f ca="1">IFERROR(__xludf.DUMMYFUNCTION("""COMPUTED_VALUE"""),1240)</f>
        <v>1240</v>
      </c>
      <c r="Q100" s="1">
        <f ca="1">IFERROR(__xludf.DUMMYFUNCTION("""COMPUTED_VALUE"""),761)</f>
        <v>761</v>
      </c>
      <c r="R100" s="1">
        <f ca="1">IFERROR(__xludf.DUMMYFUNCTION("""COMPUTED_VALUE"""),1755)</f>
        <v>1755</v>
      </c>
      <c r="S100" s="1">
        <f ca="1">IFERROR(__xludf.DUMMYFUNCTION("""COMPUTED_VALUE"""),0.434)</f>
        <v>0.434</v>
      </c>
      <c r="T100" s="1">
        <f ca="1">IFERROR(__xludf.DUMMYFUNCTION("""COMPUTED_VALUE"""),259)</f>
        <v>259</v>
      </c>
      <c r="U100" s="1">
        <f ca="1">IFERROR(__xludf.DUMMYFUNCTION("""COMPUTED_VALUE"""),740)</f>
        <v>740</v>
      </c>
      <c r="V100" s="1">
        <f ca="1">IFERROR(__xludf.DUMMYFUNCTION("""COMPUTED_VALUE"""),0.35)</f>
        <v>0.35</v>
      </c>
      <c r="W100" s="1">
        <f ca="1">IFERROR(__xludf.DUMMYFUNCTION("""COMPUTED_VALUE"""),291)</f>
        <v>291</v>
      </c>
      <c r="X100" s="1">
        <f ca="1">IFERROR(__xludf.DUMMYFUNCTION("""COMPUTED_VALUE"""),420)</f>
        <v>420</v>
      </c>
      <c r="Y100" s="1">
        <f ca="1">IFERROR(__xludf.DUMMYFUNCTION("""COMPUTED_VALUE"""),0.693)</f>
        <v>0.69299999999999995</v>
      </c>
      <c r="Z100" s="1">
        <f ca="1">IFERROR(__xludf.DUMMYFUNCTION("""COMPUTED_VALUE"""),273)</f>
        <v>273</v>
      </c>
      <c r="AA100" s="1">
        <f ca="1">IFERROR(__xludf.DUMMYFUNCTION("""COMPUTED_VALUE"""),968)</f>
        <v>968</v>
      </c>
      <c r="AB100" s="1">
        <f ca="1">IFERROR(__xludf.DUMMYFUNCTION("""COMPUTED_VALUE"""),401)</f>
        <v>401</v>
      </c>
      <c r="AC100" s="1">
        <f ca="1">IFERROR(__xludf.DUMMYFUNCTION("""COMPUTED_VALUE"""),202)</f>
        <v>202</v>
      </c>
      <c r="AD100" s="1">
        <f ca="1">IFERROR(__xludf.DUMMYFUNCTION("""COMPUTED_VALUE"""),63)</f>
        <v>63</v>
      </c>
      <c r="AE100" s="1">
        <f ca="1">IFERROR(__xludf.DUMMYFUNCTION("""COMPUTED_VALUE"""),436)</f>
        <v>436</v>
      </c>
      <c r="AF100" s="1">
        <f ca="1">IFERROR(__xludf.DUMMYFUNCTION("""COMPUTED_VALUE"""),612)</f>
        <v>612</v>
      </c>
    </row>
    <row r="101" spans="1:32" ht="12.5" x14ac:dyDescent="0.25">
      <c r="A101" s="1" t="str">
        <f ca="1">IFERROR(__xludf.DUMMYFUNCTION("""COMPUTED_VALUE"""),"Fairleigh Dickinson")</f>
        <v>Fairleigh Dickinson</v>
      </c>
      <c r="B101" s="1">
        <f ca="1">IFERROR(__xludf.DUMMYFUNCTION("""COMPUTED_VALUE"""),35)</f>
        <v>35</v>
      </c>
      <c r="C101" s="1">
        <f ca="1">IFERROR(__xludf.DUMMYFUNCTION("""COMPUTED_VALUE"""),21)</f>
        <v>21</v>
      </c>
      <c r="D101" s="1">
        <f ca="1">IFERROR(__xludf.DUMMYFUNCTION("""COMPUTED_VALUE"""),14)</f>
        <v>14</v>
      </c>
      <c r="E101" s="1">
        <f ca="1">IFERROR(__xludf.DUMMYFUNCTION("""COMPUTED_VALUE"""),0.6)</f>
        <v>0.6</v>
      </c>
      <c r="F101" s="1">
        <f ca="1">IFERROR(__xludf.DUMMYFUNCTION("""COMPUTED_VALUE"""),-6.09)</f>
        <v>-6.09</v>
      </c>
      <c r="G101" s="1">
        <f ca="1">IFERROR(__xludf.DUMMYFUNCTION("""COMPUTED_VALUE"""),-7.24)</f>
        <v>-7.24</v>
      </c>
      <c r="H101" s="1">
        <f ca="1">IFERROR(__xludf.DUMMYFUNCTION("""COMPUTED_VALUE"""),12)</f>
        <v>12</v>
      </c>
      <c r="I101" s="1">
        <f ca="1">IFERROR(__xludf.DUMMYFUNCTION("""COMPUTED_VALUE"""),6)</f>
        <v>6</v>
      </c>
      <c r="J101" s="1">
        <f ca="1">IFERROR(__xludf.DUMMYFUNCTION("""COMPUTED_VALUE"""),13)</f>
        <v>13</v>
      </c>
      <c r="K101" s="1">
        <f ca="1">IFERROR(__xludf.DUMMYFUNCTION("""COMPUTED_VALUE"""),4)</f>
        <v>4</v>
      </c>
      <c r="L101" s="1">
        <f ca="1">IFERROR(__xludf.DUMMYFUNCTION("""COMPUTED_VALUE"""),7)</f>
        <v>7</v>
      </c>
      <c r="M101" s="1">
        <f ca="1">IFERROR(__xludf.DUMMYFUNCTION("""COMPUTED_VALUE"""),9)</f>
        <v>9</v>
      </c>
      <c r="N101" s="1">
        <f ca="1">IFERROR(__xludf.DUMMYFUNCTION("""COMPUTED_VALUE"""),2620)</f>
        <v>2620</v>
      </c>
      <c r="O101" s="1">
        <f ca="1">IFERROR(__xludf.DUMMYFUNCTION("""COMPUTED_VALUE"""),2515)</f>
        <v>2515</v>
      </c>
      <c r="P101" s="1">
        <f ca="1">IFERROR(__xludf.DUMMYFUNCTION("""COMPUTED_VALUE"""),1420)</f>
        <v>1420</v>
      </c>
      <c r="Q101" s="1">
        <f ca="1">IFERROR(__xludf.DUMMYFUNCTION("""COMPUTED_VALUE"""),921)</f>
        <v>921</v>
      </c>
      <c r="R101" s="1">
        <f ca="1">IFERROR(__xludf.DUMMYFUNCTION("""COMPUTED_VALUE"""),1939)</f>
        <v>1939</v>
      </c>
      <c r="S101" s="1">
        <f ca="1">IFERROR(__xludf.DUMMYFUNCTION("""COMPUTED_VALUE"""),0.475)</f>
        <v>0.47499999999999998</v>
      </c>
      <c r="T101" s="1">
        <f ca="1">IFERROR(__xludf.DUMMYFUNCTION("""COMPUTED_VALUE"""),269)</f>
        <v>269</v>
      </c>
      <c r="U101" s="1">
        <f ca="1">IFERROR(__xludf.DUMMYFUNCTION("""COMPUTED_VALUE"""),672)</f>
        <v>672</v>
      </c>
      <c r="V101" s="1">
        <f ca="1">IFERROR(__xludf.DUMMYFUNCTION("""COMPUTED_VALUE"""),0.4)</f>
        <v>0.4</v>
      </c>
      <c r="W101" s="1">
        <f ca="1">IFERROR(__xludf.DUMMYFUNCTION("""COMPUTED_VALUE"""),509)</f>
        <v>509</v>
      </c>
      <c r="X101" s="1">
        <f ca="1">IFERROR(__xludf.DUMMYFUNCTION("""COMPUTED_VALUE"""),702)</f>
        <v>702</v>
      </c>
      <c r="Y101" s="1">
        <f ca="1">IFERROR(__xludf.DUMMYFUNCTION("""COMPUTED_VALUE"""),0.725)</f>
        <v>0.72499999999999998</v>
      </c>
      <c r="Z101" s="1">
        <f ca="1">IFERROR(__xludf.DUMMYFUNCTION("""COMPUTED_VALUE"""),323)</f>
        <v>323</v>
      </c>
      <c r="AA101" s="1">
        <f ca="1">IFERROR(__xludf.DUMMYFUNCTION("""COMPUTED_VALUE"""),1155)</f>
        <v>1155</v>
      </c>
      <c r="AB101" s="1">
        <f ca="1">IFERROR(__xludf.DUMMYFUNCTION("""COMPUTED_VALUE"""),486)</f>
        <v>486</v>
      </c>
      <c r="AC101" s="1">
        <f ca="1">IFERROR(__xludf.DUMMYFUNCTION("""COMPUTED_VALUE"""),261)</f>
        <v>261</v>
      </c>
      <c r="AD101" s="1">
        <f ca="1">IFERROR(__xludf.DUMMYFUNCTION("""COMPUTED_VALUE"""),132)</f>
        <v>132</v>
      </c>
      <c r="AE101" s="1">
        <f ca="1">IFERROR(__xludf.DUMMYFUNCTION("""COMPUTED_VALUE"""),477)</f>
        <v>477</v>
      </c>
      <c r="AF101" s="1">
        <f ca="1">IFERROR(__xludf.DUMMYFUNCTION("""COMPUTED_VALUE"""),578)</f>
        <v>578</v>
      </c>
    </row>
    <row r="102" spans="1:32" ht="12.5" x14ac:dyDescent="0.25">
      <c r="A102" s="1" t="str">
        <f ca="1">IFERROR(__xludf.DUMMYFUNCTION("""COMPUTED_VALUE"""),"Florida A&amp;M")</f>
        <v>Florida A&amp;M</v>
      </c>
      <c r="B102" s="1">
        <f ca="1">IFERROR(__xludf.DUMMYFUNCTION("""COMPUTED_VALUE"""),31)</f>
        <v>31</v>
      </c>
      <c r="C102" s="1">
        <f ca="1">IFERROR(__xludf.DUMMYFUNCTION("""COMPUTED_VALUE"""),12)</f>
        <v>12</v>
      </c>
      <c r="D102" s="1">
        <f ca="1">IFERROR(__xludf.DUMMYFUNCTION("""COMPUTED_VALUE"""),19)</f>
        <v>19</v>
      </c>
      <c r="E102" s="1">
        <f ca="1">IFERROR(__xludf.DUMMYFUNCTION("""COMPUTED_VALUE"""),0.387)</f>
        <v>0.38700000000000001</v>
      </c>
      <c r="F102" s="1">
        <f ca="1">IFERROR(__xludf.DUMMYFUNCTION("""COMPUTED_VALUE"""),-13.57)</f>
        <v>-13.57</v>
      </c>
      <c r="G102" s="1">
        <f ca="1">IFERROR(__xludf.DUMMYFUNCTION("""COMPUTED_VALUE"""),-8.09)</f>
        <v>-8.09</v>
      </c>
      <c r="H102" s="1">
        <f ca="1">IFERROR(__xludf.DUMMYFUNCTION("""COMPUTED_VALUE"""),9)</f>
        <v>9</v>
      </c>
      <c r="I102" s="1">
        <f ca="1">IFERROR(__xludf.DUMMYFUNCTION("""COMPUTED_VALUE"""),7)</f>
        <v>7</v>
      </c>
      <c r="J102" s="1">
        <f ca="1">IFERROR(__xludf.DUMMYFUNCTION("""COMPUTED_VALUE"""),6)</f>
        <v>6</v>
      </c>
      <c r="K102" s="1">
        <f ca="1">IFERROR(__xludf.DUMMYFUNCTION("""COMPUTED_VALUE"""),3)</f>
        <v>3</v>
      </c>
      <c r="L102" s="1">
        <f ca="1">IFERROR(__xludf.DUMMYFUNCTION("""COMPUTED_VALUE"""),6)</f>
        <v>6</v>
      </c>
      <c r="M102" s="1">
        <f ca="1">IFERROR(__xludf.DUMMYFUNCTION("""COMPUTED_VALUE"""),14)</f>
        <v>14</v>
      </c>
      <c r="N102" s="1">
        <f ca="1">IFERROR(__xludf.DUMMYFUNCTION("""COMPUTED_VALUE"""),1927)</f>
        <v>1927</v>
      </c>
      <c r="O102" s="1">
        <f ca="1">IFERROR(__xludf.DUMMYFUNCTION("""COMPUTED_VALUE"""),2057)</f>
        <v>2057</v>
      </c>
      <c r="P102" s="1">
        <f ca="1">IFERROR(__xludf.DUMMYFUNCTION("""COMPUTED_VALUE"""),1245)</f>
        <v>1245</v>
      </c>
      <c r="Q102" s="1">
        <f ca="1">IFERROR(__xludf.DUMMYFUNCTION("""COMPUTED_VALUE"""),719)</f>
        <v>719</v>
      </c>
      <c r="R102" s="1">
        <f ca="1">IFERROR(__xludf.DUMMYFUNCTION("""COMPUTED_VALUE"""),1640)</f>
        <v>1640</v>
      </c>
      <c r="S102" s="1">
        <f ca="1">IFERROR(__xludf.DUMMYFUNCTION("""COMPUTED_VALUE"""),0.438)</f>
        <v>0.438</v>
      </c>
      <c r="T102" s="1">
        <f ca="1">IFERROR(__xludf.DUMMYFUNCTION("""COMPUTED_VALUE"""),180)</f>
        <v>180</v>
      </c>
      <c r="U102" s="1">
        <f ca="1">IFERROR(__xludf.DUMMYFUNCTION("""COMPUTED_VALUE"""),489)</f>
        <v>489</v>
      </c>
      <c r="V102" s="1">
        <f ca="1">IFERROR(__xludf.DUMMYFUNCTION("""COMPUTED_VALUE"""),0.368)</f>
        <v>0.36799999999999999</v>
      </c>
      <c r="W102" s="1">
        <f ca="1">IFERROR(__xludf.DUMMYFUNCTION("""COMPUTED_VALUE"""),309)</f>
        <v>309</v>
      </c>
      <c r="X102" s="1">
        <f ca="1">IFERROR(__xludf.DUMMYFUNCTION("""COMPUTED_VALUE"""),503)</f>
        <v>503</v>
      </c>
      <c r="Y102" s="1">
        <f ca="1">IFERROR(__xludf.DUMMYFUNCTION("""COMPUTED_VALUE"""),0.614)</f>
        <v>0.61399999999999999</v>
      </c>
      <c r="Z102" s="1">
        <f ca="1">IFERROR(__xludf.DUMMYFUNCTION("""COMPUTED_VALUE"""),288)</f>
        <v>288</v>
      </c>
      <c r="AA102" s="1">
        <f ca="1">IFERROR(__xludf.DUMMYFUNCTION("""COMPUTED_VALUE"""),991)</f>
        <v>991</v>
      </c>
      <c r="AB102" s="1">
        <f ca="1">IFERROR(__xludf.DUMMYFUNCTION("""COMPUTED_VALUE"""),355)</f>
        <v>355</v>
      </c>
      <c r="AC102" s="1">
        <f ca="1">IFERROR(__xludf.DUMMYFUNCTION("""COMPUTED_VALUE"""),226)</f>
        <v>226</v>
      </c>
      <c r="AD102" s="1">
        <f ca="1">IFERROR(__xludf.DUMMYFUNCTION("""COMPUTED_VALUE"""),111)</f>
        <v>111</v>
      </c>
      <c r="AE102" s="1">
        <f ca="1">IFERROR(__xludf.DUMMYFUNCTION("""COMPUTED_VALUE"""),499)</f>
        <v>499</v>
      </c>
      <c r="AF102" s="1">
        <f ca="1">IFERROR(__xludf.DUMMYFUNCTION("""COMPUTED_VALUE"""),580)</f>
        <v>580</v>
      </c>
    </row>
    <row r="103" spans="1:32" ht="12.5" x14ac:dyDescent="0.25">
      <c r="A103" s="1" t="str">
        <f ca="1">IFERROR(__xludf.DUMMYFUNCTION("""COMPUTED_VALUE"""),"Florida Atlantic")</f>
        <v>Florida Atlantic</v>
      </c>
      <c r="B103" s="1">
        <f ca="1">IFERROR(__xludf.DUMMYFUNCTION("""COMPUTED_VALUE"""),33)</f>
        <v>33</v>
      </c>
      <c r="C103" s="1">
        <f ca="1">IFERROR(__xludf.DUMMYFUNCTION("""COMPUTED_VALUE"""),17)</f>
        <v>17</v>
      </c>
      <c r="D103" s="1">
        <f ca="1">IFERROR(__xludf.DUMMYFUNCTION("""COMPUTED_VALUE"""),16)</f>
        <v>16</v>
      </c>
      <c r="E103" s="1">
        <f ca="1">IFERROR(__xludf.DUMMYFUNCTION("""COMPUTED_VALUE"""),0.515)</f>
        <v>0.51500000000000001</v>
      </c>
      <c r="F103" s="1">
        <f ca="1">IFERROR(__xludf.DUMMYFUNCTION("""COMPUTED_VALUE"""),-1.42)</f>
        <v>-1.42</v>
      </c>
      <c r="G103" s="1">
        <f ca="1">IFERROR(__xludf.DUMMYFUNCTION("""COMPUTED_VALUE"""),-1.76)</f>
        <v>-1.76</v>
      </c>
      <c r="H103" s="1">
        <f ca="1">IFERROR(__xludf.DUMMYFUNCTION("""COMPUTED_VALUE"""),8)</f>
        <v>8</v>
      </c>
      <c r="I103" s="1">
        <f ca="1">IFERROR(__xludf.DUMMYFUNCTION("""COMPUTED_VALUE"""),10)</f>
        <v>10</v>
      </c>
      <c r="J103" s="1">
        <f ca="1">IFERROR(__xludf.DUMMYFUNCTION("""COMPUTED_VALUE"""),9)</f>
        <v>9</v>
      </c>
      <c r="K103" s="1">
        <f ca="1">IFERROR(__xludf.DUMMYFUNCTION("""COMPUTED_VALUE"""),5)</f>
        <v>5</v>
      </c>
      <c r="L103" s="1">
        <f ca="1">IFERROR(__xludf.DUMMYFUNCTION("""COMPUTED_VALUE"""),6)</f>
        <v>6</v>
      </c>
      <c r="M103" s="1">
        <f ca="1">IFERROR(__xludf.DUMMYFUNCTION("""COMPUTED_VALUE"""),9)</f>
        <v>9</v>
      </c>
      <c r="N103" s="1">
        <f ca="1">IFERROR(__xludf.DUMMYFUNCTION("""COMPUTED_VALUE"""),2322)</f>
        <v>2322</v>
      </c>
      <c r="O103" s="1">
        <f ca="1">IFERROR(__xludf.DUMMYFUNCTION("""COMPUTED_VALUE"""),2243)</f>
        <v>2243</v>
      </c>
      <c r="P103" s="1">
        <f ca="1">IFERROR(__xludf.DUMMYFUNCTION("""COMPUTED_VALUE"""),1335)</f>
        <v>1335</v>
      </c>
      <c r="Q103" s="1">
        <f ca="1">IFERROR(__xludf.DUMMYFUNCTION("""COMPUTED_VALUE"""),809)</f>
        <v>809</v>
      </c>
      <c r="R103" s="1">
        <f ca="1">IFERROR(__xludf.DUMMYFUNCTION("""COMPUTED_VALUE"""),1971)</f>
        <v>1971</v>
      </c>
      <c r="S103" s="1">
        <f ca="1">IFERROR(__xludf.DUMMYFUNCTION("""COMPUTED_VALUE"""),0.41)</f>
        <v>0.41</v>
      </c>
      <c r="T103" s="1">
        <f ca="1">IFERROR(__xludf.DUMMYFUNCTION("""COMPUTED_VALUE"""),290)</f>
        <v>290</v>
      </c>
      <c r="U103" s="1">
        <f ca="1">IFERROR(__xludf.DUMMYFUNCTION("""COMPUTED_VALUE"""),895)</f>
        <v>895</v>
      </c>
      <c r="V103" s="1">
        <f ca="1">IFERROR(__xludf.DUMMYFUNCTION("""COMPUTED_VALUE"""),0.324)</f>
        <v>0.32400000000000001</v>
      </c>
      <c r="W103" s="1">
        <f ca="1">IFERROR(__xludf.DUMMYFUNCTION("""COMPUTED_VALUE"""),414)</f>
        <v>414</v>
      </c>
      <c r="X103" s="1">
        <f ca="1">IFERROR(__xludf.DUMMYFUNCTION("""COMPUTED_VALUE"""),551)</f>
        <v>551</v>
      </c>
      <c r="Y103" s="1">
        <f ca="1">IFERROR(__xludf.DUMMYFUNCTION("""COMPUTED_VALUE"""),0.751)</f>
        <v>0.751</v>
      </c>
      <c r="Z103" s="1">
        <f ca="1">IFERROR(__xludf.DUMMYFUNCTION("""COMPUTED_VALUE"""),366)</f>
        <v>366</v>
      </c>
      <c r="AA103" s="1">
        <f ca="1">IFERROR(__xludf.DUMMYFUNCTION("""COMPUTED_VALUE"""),1296)</f>
        <v>1296</v>
      </c>
      <c r="AB103" s="1">
        <f ca="1">IFERROR(__xludf.DUMMYFUNCTION("""COMPUTED_VALUE"""),419)</f>
        <v>419</v>
      </c>
      <c r="AC103" s="1">
        <f ca="1">IFERROR(__xludf.DUMMYFUNCTION("""COMPUTED_VALUE"""),184)</f>
        <v>184</v>
      </c>
      <c r="AD103" s="1">
        <f ca="1">IFERROR(__xludf.DUMMYFUNCTION("""COMPUTED_VALUE"""),93)</f>
        <v>93</v>
      </c>
      <c r="AE103" s="1">
        <f ca="1">IFERROR(__xludf.DUMMYFUNCTION("""COMPUTED_VALUE"""),485)</f>
        <v>485</v>
      </c>
      <c r="AF103" s="1">
        <f ca="1">IFERROR(__xludf.DUMMYFUNCTION("""COMPUTED_VALUE"""),575)</f>
        <v>575</v>
      </c>
    </row>
    <row r="104" spans="1:32" ht="12.5" x14ac:dyDescent="0.25">
      <c r="A104" s="1" t="str">
        <f ca="1">IFERROR(__xludf.DUMMYFUNCTION("""COMPUTED_VALUE"""),"Florida Gulf Coast")</f>
        <v>Florida Gulf Coast</v>
      </c>
      <c r="B104" s="1">
        <f ca="1">IFERROR(__xludf.DUMMYFUNCTION("""COMPUTED_VALUE"""),32)</f>
        <v>32</v>
      </c>
      <c r="C104" s="1">
        <f ca="1">IFERROR(__xludf.DUMMYFUNCTION("""COMPUTED_VALUE"""),14)</f>
        <v>14</v>
      </c>
      <c r="D104" s="1">
        <f ca="1">IFERROR(__xludf.DUMMYFUNCTION("""COMPUTED_VALUE"""),18)</f>
        <v>18</v>
      </c>
      <c r="E104" s="1">
        <f ca="1">IFERROR(__xludf.DUMMYFUNCTION("""COMPUTED_VALUE"""),0.438)</f>
        <v>0.438</v>
      </c>
      <c r="F104" s="1">
        <f ca="1">IFERROR(__xludf.DUMMYFUNCTION("""COMPUTED_VALUE"""),-5.11)</f>
        <v>-5.1100000000000003</v>
      </c>
      <c r="G104" s="1">
        <f ca="1">IFERROR(__xludf.DUMMYFUNCTION("""COMPUTED_VALUE"""),-1.48)</f>
        <v>-1.48</v>
      </c>
      <c r="H104" s="1">
        <f ca="1">IFERROR(__xludf.DUMMYFUNCTION("""COMPUTED_VALUE"""),9)</f>
        <v>9</v>
      </c>
      <c r="I104" s="1">
        <f ca="1">IFERROR(__xludf.DUMMYFUNCTION("""COMPUTED_VALUE"""),7)</f>
        <v>7</v>
      </c>
      <c r="J104" s="1">
        <f ca="1">IFERROR(__xludf.DUMMYFUNCTION("""COMPUTED_VALUE"""),10)</f>
        <v>10</v>
      </c>
      <c r="K104" s="1">
        <f ca="1">IFERROR(__xludf.DUMMYFUNCTION("""COMPUTED_VALUE"""),4)</f>
        <v>4</v>
      </c>
      <c r="L104" s="1">
        <f ca="1">IFERROR(__xludf.DUMMYFUNCTION("""COMPUTED_VALUE"""),4)</f>
        <v>4</v>
      </c>
      <c r="M104" s="1">
        <f ca="1">IFERROR(__xludf.DUMMYFUNCTION("""COMPUTED_VALUE"""),10)</f>
        <v>10</v>
      </c>
      <c r="N104" s="1">
        <f ca="1">IFERROR(__xludf.DUMMYFUNCTION("""COMPUTED_VALUE"""),2280)</f>
        <v>2280</v>
      </c>
      <c r="O104" s="1">
        <f ca="1">IFERROR(__xludf.DUMMYFUNCTION("""COMPUTED_VALUE"""),2360)</f>
        <v>2360</v>
      </c>
      <c r="P104" s="1">
        <f ca="1">IFERROR(__xludf.DUMMYFUNCTION("""COMPUTED_VALUE"""),1280)</f>
        <v>1280</v>
      </c>
      <c r="Q104" s="1">
        <f ca="1">IFERROR(__xludf.DUMMYFUNCTION("""COMPUTED_VALUE"""),809)</f>
        <v>809</v>
      </c>
      <c r="R104" s="1">
        <f ca="1">IFERROR(__xludf.DUMMYFUNCTION("""COMPUTED_VALUE"""),1787)</f>
        <v>1787</v>
      </c>
      <c r="S104" s="1">
        <f ca="1">IFERROR(__xludf.DUMMYFUNCTION("""COMPUTED_VALUE"""),0.453)</f>
        <v>0.45300000000000001</v>
      </c>
      <c r="T104" s="1">
        <f ca="1">IFERROR(__xludf.DUMMYFUNCTION("""COMPUTED_VALUE"""),269)</f>
        <v>269</v>
      </c>
      <c r="U104" s="1">
        <f ca="1">IFERROR(__xludf.DUMMYFUNCTION("""COMPUTED_VALUE"""),724)</f>
        <v>724</v>
      </c>
      <c r="V104" s="1">
        <f ca="1">IFERROR(__xludf.DUMMYFUNCTION("""COMPUTED_VALUE"""),0.372)</f>
        <v>0.372</v>
      </c>
      <c r="W104" s="1">
        <f ca="1">IFERROR(__xludf.DUMMYFUNCTION("""COMPUTED_VALUE"""),393)</f>
        <v>393</v>
      </c>
      <c r="X104" s="1">
        <f ca="1">IFERROR(__xludf.DUMMYFUNCTION("""COMPUTED_VALUE"""),588)</f>
        <v>588</v>
      </c>
      <c r="Y104" s="1">
        <f ca="1">IFERROR(__xludf.DUMMYFUNCTION("""COMPUTED_VALUE"""),0.668)</f>
        <v>0.66800000000000004</v>
      </c>
      <c r="Z104" s="1">
        <f ca="1">IFERROR(__xludf.DUMMYFUNCTION("""COMPUTED_VALUE"""),272)</f>
        <v>272</v>
      </c>
      <c r="AA104" s="1">
        <f ca="1">IFERROR(__xludf.DUMMYFUNCTION("""COMPUTED_VALUE"""),1064)</f>
        <v>1064</v>
      </c>
      <c r="AB104" s="1">
        <f ca="1">IFERROR(__xludf.DUMMYFUNCTION("""COMPUTED_VALUE"""),449)</f>
        <v>449</v>
      </c>
      <c r="AC104" s="1">
        <f ca="1">IFERROR(__xludf.DUMMYFUNCTION("""COMPUTED_VALUE"""),219)</f>
        <v>219</v>
      </c>
      <c r="AD104" s="1">
        <f ca="1">IFERROR(__xludf.DUMMYFUNCTION("""COMPUTED_VALUE"""),133)</f>
        <v>133</v>
      </c>
      <c r="AE104" s="1">
        <f ca="1">IFERROR(__xludf.DUMMYFUNCTION("""COMPUTED_VALUE"""),479)</f>
        <v>479</v>
      </c>
      <c r="AF104" s="1">
        <f ca="1">IFERROR(__xludf.DUMMYFUNCTION("""COMPUTED_VALUE"""),514)</f>
        <v>514</v>
      </c>
    </row>
    <row r="105" spans="1:32" ht="12.5" x14ac:dyDescent="0.25">
      <c r="A105" s="1" t="str">
        <f ca="1">IFERROR(__xludf.DUMMYFUNCTION("""COMPUTED_VALUE"""),"Florida International")</f>
        <v>Florida International</v>
      </c>
      <c r="B105" s="1">
        <f ca="1">IFERROR(__xludf.DUMMYFUNCTION("""COMPUTED_VALUE"""),34)</f>
        <v>34</v>
      </c>
      <c r="C105" s="1">
        <f ca="1">IFERROR(__xludf.DUMMYFUNCTION("""COMPUTED_VALUE"""),20)</f>
        <v>20</v>
      </c>
      <c r="D105" s="1">
        <f ca="1">IFERROR(__xludf.DUMMYFUNCTION("""COMPUTED_VALUE"""),14)</f>
        <v>14</v>
      </c>
      <c r="E105" s="1">
        <f ca="1">IFERROR(__xludf.DUMMYFUNCTION("""COMPUTED_VALUE"""),0.588)</f>
        <v>0.58799999999999997</v>
      </c>
      <c r="F105" s="1">
        <f ca="1">IFERROR(__xludf.DUMMYFUNCTION("""COMPUTED_VALUE"""),-4.55)</f>
        <v>-4.55</v>
      </c>
      <c r="G105" s="1">
        <f ca="1">IFERROR(__xludf.DUMMYFUNCTION("""COMPUTED_VALUE"""),-1.45)</f>
        <v>-1.45</v>
      </c>
      <c r="H105" s="1">
        <f ca="1">IFERROR(__xludf.DUMMYFUNCTION("""COMPUTED_VALUE"""),10)</f>
        <v>10</v>
      </c>
      <c r="I105" s="1">
        <f ca="1">IFERROR(__xludf.DUMMYFUNCTION("""COMPUTED_VALUE"""),8)</f>
        <v>8</v>
      </c>
      <c r="J105" s="1">
        <f ca="1">IFERROR(__xludf.DUMMYFUNCTION("""COMPUTED_VALUE"""),12)</f>
        <v>12</v>
      </c>
      <c r="K105" s="1">
        <f ca="1">IFERROR(__xludf.DUMMYFUNCTION("""COMPUTED_VALUE"""),4)</f>
        <v>4</v>
      </c>
      <c r="L105" s="1">
        <f ca="1">IFERROR(__xludf.DUMMYFUNCTION("""COMPUTED_VALUE"""),6)</f>
        <v>6</v>
      </c>
      <c r="M105" s="1">
        <f ca="1">IFERROR(__xludf.DUMMYFUNCTION("""COMPUTED_VALUE"""),9)</f>
        <v>9</v>
      </c>
      <c r="N105" s="1">
        <f ca="1">IFERROR(__xludf.DUMMYFUNCTION("""COMPUTED_VALUE"""),2798)</f>
        <v>2798</v>
      </c>
      <c r="O105" s="1">
        <f ca="1">IFERROR(__xludf.DUMMYFUNCTION("""COMPUTED_VALUE"""),2734)</f>
        <v>2734</v>
      </c>
      <c r="P105" s="1">
        <f ca="1">IFERROR(__xludf.DUMMYFUNCTION("""COMPUTED_VALUE"""),1360)</f>
        <v>1360</v>
      </c>
      <c r="Q105" s="1">
        <f ca="1">IFERROR(__xludf.DUMMYFUNCTION("""COMPUTED_VALUE"""),986)</f>
        <v>986</v>
      </c>
      <c r="R105" s="1">
        <f ca="1">IFERROR(__xludf.DUMMYFUNCTION("""COMPUTED_VALUE"""),2239)</f>
        <v>2239</v>
      </c>
      <c r="S105" s="1">
        <f ca="1">IFERROR(__xludf.DUMMYFUNCTION("""COMPUTED_VALUE"""),0.44)</f>
        <v>0.44</v>
      </c>
      <c r="T105" s="1">
        <f ca="1">IFERROR(__xludf.DUMMYFUNCTION("""COMPUTED_VALUE"""),279)</f>
        <v>279</v>
      </c>
      <c r="U105" s="1">
        <f ca="1">IFERROR(__xludf.DUMMYFUNCTION("""COMPUTED_VALUE"""),923)</f>
        <v>923</v>
      </c>
      <c r="V105" s="1">
        <f ca="1">IFERROR(__xludf.DUMMYFUNCTION("""COMPUTED_VALUE"""),0.302)</f>
        <v>0.30199999999999999</v>
      </c>
      <c r="W105" s="1">
        <f ca="1">IFERROR(__xludf.DUMMYFUNCTION("""COMPUTED_VALUE"""),547)</f>
        <v>547</v>
      </c>
      <c r="X105" s="1">
        <f ca="1">IFERROR(__xludf.DUMMYFUNCTION("""COMPUTED_VALUE"""),855)</f>
        <v>855</v>
      </c>
      <c r="Y105" s="1">
        <f ca="1">IFERROR(__xludf.DUMMYFUNCTION("""COMPUTED_VALUE"""),0.64)</f>
        <v>0.64</v>
      </c>
      <c r="Z105" s="1">
        <f ca="1">IFERROR(__xludf.DUMMYFUNCTION("""COMPUTED_VALUE"""),367)</f>
        <v>367</v>
      </c>
      <c r="AA105" s="1">
        <f ca="1">IFERROR(__xludf.DUMMYFUNCTION("""COMPUTED_VALUE"""),1217)</f>
        <v>1217</v>
      </c>
      <c r="AB105" s="1">
        <f ca="1">IFERROR(__xludf.DUMMYFUNCTION("""COMPUTED_VALUE"""),491)</f>
        <v>491</v>
      </c>
      <c r="AC105" s="1">
        <f ca="1">IFERROR(__xludf.DUMMYFUNCTION("""COMPUTED_VALUE"""),359)</f>
        <v>359</v>
      </c>
      <c r="AD105" s="1">
        <f ca="1">IFERROR(__xludf.DUMMYFUNCTION("""COMPUTED_VALUE"""),153)</f>
        <v>153</v>
      </c>
      <c r="AE105" s="1">
        <f ca="1">IFERROR(__xludf.DUMMYFUNCTION("""COMPUTED_VALUE"""),477)</f>
        <v>477</v>
      </c>
      <c r="AF105" s="1">
        <f ca="1">IFERROR(__xludf.DUMMYFUNCTION("""COMPUTED_VALUE"""),655)</f>
        <v>655</v>
      </c>
    </row>
    <row r="106" spans="1:32" ht="12.5" x14ac:dyDescent="0.25">
      <c r="A106" s="1" t="str">
        <f ca="1">IFERROR(__xludf.DUMMYFUNCTION("""COMPUTED_VALUE"""),"Florida State")</f>
        <v>Florida State</v>
      </c>
      <c r="B106" s="1">
        <f ca="1">IFERROR(__xludf.DUMMYFUNCTION("""COMPUTED_VALUE"""),37)</f>
        <v>37</v>
      </c>
      <c r="C106" s="1">
        <f ca="1">IFERROR(__xludf.DUMMYFUNCTION("""COMPUTED_VALUE"""),29)</f>
        <v>29</v>
      </c>
      <c r="D106" s="1">
        <f ca="1">IFERROR(__xludf.DUMMYFUNCTION("""COMPUTED_VALUE"""),8)</f>
        <v>8</v>
      </c>
      <c r="E106" s="1">
        <f ca="1">IFERROR(__xludf.DUMMYFUNCTION("""COMPUTED_VALUE"""),0.784)</f>
        <v>0.78400000000000003</v>
      </c>
      <c r="F106" s="1">
        <f ca="1">IFERROR(__xludf.DUMMYFUNCTION("""COMPUTED_VALUE"""),17.99)</f>
        <v>17.989999999999998</v>
      </c>
      <c r="G106" s="1">
        <f ca="1">IFERROR(__xludf.DUMMYFUNCTION("""COMPUTED_VALUE"""),10.26)</f>
        <v>10.26</v>
      </c>
      <c r="H106" s="1">
        <f ca="1">IFERROR(__xludf.DUMMYFUNCTION("""COMPUTED_VALUE"""),13)</f>
        <v>13</v>
      </c>
      <c r="I106" s="1">
        <f ca="1">IFERROR(__xludf.DUMMYFUNCTION("""COMPUTED_VALUE"""),5)</f>
        <v>5</v>
      </c>
      <c r="J106" s="1">
        <f ca="1">IFERROR(__xludf.DUMMYFUNCTION("""COMPUTED_VALUE"""),15)</f>
        <v>15</v>
      </c>
      <c r="K106" s="1">
        <f ca="1">IFERROR(__xludf.DUMMYFUNCTION("""COMPUTED_VALUE"""),1)</f>
        <v>1</v>
      </c>
      <c r="L106" s="1">
        <f ca="1">IFERROR(__xludf.DUMMYFUNCTION("""COMPUTED_VALUE"""),6)</f>
        <v>6</v>
      </c>
      <c r="M106" s="1">
        <f ca="1">IFERROR(__xludf.DUMMYFUNCTION("""COMPUTED_VALUE"""),4)</f>
        <v>4</v>
      </c>
      <c r="N106" s="1">
        <f ca="1">IFERROR(__xludf.DUMMYFUNCTION("""COMPUTED_VALUE"""),2771)</f>
        <v>2771</v>
      </c>
      <c r="O106" s="1">
        <f ca="1">IFERROR(__xludf.DUMMYFUNCTION("""COMPUTED_VALUE"""),2485)</f>
        <v>2485</v>
      </c>
      <c r="P106" s="1">
        <f ca="1">IFERROR(__xludf.DUMMYFUNCTION("""COMPUTED_VALUE"""),1500)</f>
        <v>1500</v>
      </c>
      <c r="Q106" s="1">
        <f ca="1">IFERROR(__xludf.DUMMYFUNCTION("""COMPUTED_VALUE"""),960)</f>
        <v>960</v>
      </c>
      <c r="R106" s="1">
        <f ca="1">IFERROR(__xludf.DUMMYFUNCTION("""COMPUTED_VALUE"""),2171)</f>
        <v>2171</v>
      </c>
      <c r="S106" s="1">
        <f ca="1">IFERROR(__xludf.DUMMYFUNCTION("""COMPUTED_VALUE"""),0.442)</f>
        <v>0.442</v>
      </c>
      <c r="T106" s="1">
        <f ca="1">IFERROR(__xludf.DUMMYFUNCTION("""COMPUTED_VALUE"""),272)</f>
        <v>272</v>
      </c>
      <c r="U106" s="1">
        <f ca="1">IFERROR(__xludf.DUMMYFUNCTION("""COMPUTED_VALUE"""),819)</f>
        <v>819</v>
      </c>
      <c r="V106" s="1">
        <f ca="1">IFERROR(__xludf.DUMMYFUNCTION("""COMPUTED_VALUE"""),0.332)</f>
        <v>0.33200000000000002</v>
      </c>
      <c r="W106" s="1">
        <f ca="1">IFERROR(__xludf.DUMMYFUNCTION("""COMPUTED_VALUE"""),579)</f>
        <v>579</v>
      </c>
      <c r="X106" s="1">
        <f ca="1">IFERROR(__xludf.DUMMYFUNCTION("""COMPUTED_VALUE"""),778)</f>
        <v>778</v>
      </c>
      <c r="Y106" s="1">
        <f ca="1">IFERROR(__xludf.DUMMYFUNCTION("""COMPUTED_VALUE"""),0.744)</f>
        <v>0.74399999999999999</v>
      </c>
      <c r="Z106" s="1">
        <f ca="1">IFERROR(__xludf.DUMMYFUNCTION("""COMPUTED_VALUE"""),418)</f>
        <v>418</v>
      </c>
      <c r="AA106" s="1">
        <f ca="1">IFERROR(__xludf.DUMMYFUNCTION("""COMPUTED_VALUE"""),1391)</f>
        <v>1391</v>
      </c>
      <c r="AB106" s="1">
        <f ca="1">IFERROR(__xludf.DUMMYFUNCTION("""COMPUTED_VALUE"""),475)</f>
        <v>475</v>
      </c>
      <c r="AC106" s="1">
        <f ca="1">IFERROR(__xludf.DUMMYFUNCTION("""COMPUTED_VALUE"""),266)</f>
        <v>266</v>
      </c>
      <c r="AD106" s="1">
        <f ca="1">IFERROR(__xludf.DUMMYFUNCTION("""COMPUTED_VALUE"""),161)</f>
        <v>161</v>
      </c>
      <c r="AE106" s="1">
        <f ca="1">IFERROR(__xludf.DUMMYFUNCTION("""COMPUTED_VALUE"""),492)</f>
        <v>492</v>
      </c>
      <c r="AF106" s="1">
        <f ca="1">IFERROR(__xludf.DUMMYFUNCTION("""COMPUTED_VALUE"""),705)</f>
        <v>705</v>
      </c>
    </row>
    <row r="107" spans="1:32" ht="12.5" x14ac:dyDescent="0.25">
      <c r="A107" s="1" t="str">
        <f ca="1">IFERROR(__xludf.DUMMYFUNCTION("""COMPUTED_VALUE"""),"Florida")</f>
        <v>Florida</v>
      </c>
      <c r="B107" s="1">
        <f ca="1">IFERROR(__xludf.DUMMYFUNCTION("""COMPUTED_VALUE"""),36)</f>
        <v>36</v>
      </c>
      <c r="C107" s="1">
        <f ca="1">IFERROR(__xludf.DUMMYFUNCTION("""COMPUTED_VALUE"""),20)</f>
        <v>20</v>
      </c>
      <c r="D107" s="1">
        <f ca="1">IFERROR(__xludf.DUMMYFUNCTION("""COMPUTED_VALUE"""),16)</f>
        <v>16</v>
      </c>
      <c r="E107" s="1">
        <f ca="1">IFERROR(__xludf.DUMMYFUNCTION("""COMPUTED_VALUE"""),0.556)</f>
        <v>0.55600000000000005</v>
      </c>
      <c r="F107" s="1">
        <f ca="1">IFERROR(__xludf.DUMMYFUNCTION("""COMPUTED_VALUE"""),15.42)</f>
        <v>15.42</v>
      </c>
      <c r="G107" s="1">
        <f ca="1">IFERROR(__xludf.DUMMYFUNCTION("""COMPUTED_VALUE"""),11.22)</f>
        <v>11.22</v>
      </c>
      <c r="H107" s="1">
        <f ca="1">IFERROR(__xludf.DUMMYFUNCTION("""COMPUTED_VALUE"""),9)</f>
        <v>9</v>
      </c>
      <c r="I107" s="1">
        <f ca="1">IFERROR(__xludf.DUMMYFUNCTION("""COMPUTED_VALUE"""),9)</f>
        <v>9</v>
      </c>
      <c r="J107" s="1">
        <f ca="1">IFERROR(__xludf.DUMMYFUNCTION("""COMPUTED_VALUE"""),9)</f>
        <v>9</v>
      </c>
      <c r="K107" s="1">
        <f ca="1">IFERROR(__xludf.DUMMYFUNCTION("""COMPUTED_VALUE"""),6)</f>
        <v>6</v>
      </c>
      <c r="L107" s="1">
        <f ca="1">IFERROR(__xludf.DUMMYFUNCTION("""COMPUTED_VALUE"""),5)</f>
        <v>5</v>
      </c>
      <c r="M107" s="1">
        <f ca="1">IFERROR(__xludf.DUMMYFUNCTION("""COMPUTED_VALUE"""),6)</f>
        <v>6</v>
      </c>
      <c r="N107" s="1">
        <f ca="1">IFERROR(__xludf.DUMMYFUNCTION("""COMPUTED_VALUE"""),2440)</f>
        <v>2440</v>
      </c>
      <c r="O107" s="1">
        <f ca="1">IFERROR(__xludf.DUMMYFUNCTION("""COMPUTED_VALUE"""),2289)</f>
        <v>2289</v>
      </c>
      <c r="P107" s="1">
        <f ca="1">IFERROR(__xludf.DUMMYFUNCTION("""COMPUTED_VALUE"""),1455)</f>
        <v>1455</v>
      </c>
      <c r="Q107" s="1">
        <f ca="1">IFERROR(__xludf.DUMMYFUNCTION("""COMPUTED_VALUE"""),857)</f>
        <v>857</v>
      </c>
      <c r="R107" s="1">
        <f ca="1">IFERROR(__xludf.DUMMYFUNCTION("""COMPUTED_VALUE"""),2015)</f>
        <v>2015</v>
      </c>
      <c r="S107" s="1">
        <f ca="1">IFERROR(__xludf.DUMMYFUNCTION("""COMPUTED_VALUE"""),0.425)</f>
        <v>0.42499999999999999</v>
      </c>
      <c r="T107" s="1">
        <f ca="1">IFERROR(__xludf.DUMMYFUNCTION("""COMPUTED_VALUE"""),291)</f>
        <v>291</v>
      </c>
      <c r="U107" s="1">
        <f ca="1">IFERROR(__xludf.DUMMYFUNCTION("""COMPUTED_VALUE"""),872)</f>
        <v>872</v>
      </c>
      <c r="V107" s="1">
        <f ca="1">IFERROR(__xludf.DUMMYFUNCTION("""COMPUTED_VALUE"""),0.334)</f>
        <v>0.33400000000000002</v>
      </c>
      <c r="W107" s="1">
        <f ca="1">IFERROR(__xludf.DUMMYFUNCTION("""COMPUTED_VALUE"""),435)</f>
        <v>435</v>
      </c>
      <c r="X107" s="1">
        <f ca="1">IFERROR(__xludf.DUMMYFUNCTION("""COMPUTED_VALUE"""),603)</f>
        <v>603</v>
      </c>
      <c r="Y107" s="1">
        <f ca="1">IFERROR(__xludf.DUMMYFUNCTION("""COMPUTED_VALUE"""),0.721)</f>
        <v>0.72099999999999997</v>
      </c>
      <c r="Z107" s="1">
        <f ca="1">IFERROR(__xludf.DUMMYFUNCTION("""COMPUTED_VALUE"""),375)</f>
        <v>375</v>
      </c>
      <c r="AA107" s="1">
        <f ca="1">IFERROR(__xludf.DUMMYFUNCTION("""COMPUTED_VALUE"""),1201)</f>
        <v>1201</v>
      </c>
      <c r="AB107" s="1">
        <f ca="1">IFERROR(__xludf.DUMMYFUNCTION("""COMPUTED_VALUE"""),437)</f>
        <v>437</v>
      </c>
      <c r="AC107" s="1">
        <f ca="1">IFERROR(__xludf.DUMMYFUNCTION("""COMPUTED_VALUE"""),257)</f>
        <v>257</v>
      </c>
      <c r="AD107" s="1">
        <f ca="1">IFERROR(__xludf.DUMMYFUNCTION("""COMPUTED_VALUE"""),131)</f>
        <v>131</v>
      </c>
      <c r="AE107" s="1">
        <f ca="1">IFERROR(__xludf.DUMMYFUNCTION("""COMPUTED_VALUE"""),420)</f>
        <v>420</v>
      </c>
      <c r="AF107" s="1">
        <f ca="1">IFERROR(__xludf.DUMMYFUNCTION("""COMPUTED_VALUE"""),614)</f>
        <v>614</v>
      </c>
    </row>
    <row r="108" spans="1:32" ht="12.5" x14ac:dyDescent="0.25">
      <c r="A108" s="1" t="str">
        <f ca="1">IFERROR(__xludf.DUMMYFUNCTION("""COMPUTED_VALUE"""),"Fordham")</f>
        <v>Fordham</v>
      </c>
      <c r="B108" s="1">
        <f ca="1">IFERROR(__xludf.DUMMYFUNCTION("""COMPUTED_VALUE"""),32)</f>
        <v>32</v>
      </c>
      <c r="C108" s="1">
        <f ca="1">IFERROR(__xludf.DUMMYFUNCTION("""COMPUTED_VALUE"""),12)</f>
        <v>12</v>
      </c>
      <c r="D108" s="1">
        <f ca="1">IFERROR(__xludf.DUMMYFUNCTION("""COMPUTED_VALUE"""),20)</f>
        <v>20</v>
      </c>
      <c r="E108" s="1">
        <f ca="1">IFERROR(__xludf.DUMMYFUNCTION("""COMPUTED_VALUE"""),0.375)</f>
        <v>0.375</v>
      </c>
      <c r="F108" s="1">
        <f ca="1">IFERROR(__xludf.DUMMYFUNCTION("""COMPUTED_VALUE"""),-5.02)</f>
        <v>-5.0199999999999996</v>
      </c>
      <c r="G108" s="1">
        <f ca="1">IFERROR(__xludf.DUMMYFUNCTION("""COMPUTED_VALUE"""),-2.4)</f>
        <v>-2.4</v>
      </c>
      <c r="H108" s="1">
        <f ca="1">IFERROR(__xludf.DUMMYFUNCTION("""COMPUTED_VALUE"""),3)</f>
        <v>3</v>
      </c>
      <c r="I108" s="1">
        <f ca="1">IFERROR(__xludf.DUMMYFUNCTION("""COMPUTED_VALUE"""),15)</f>
        <v>15</v>
      </c>
      <c r="J108" s="1">
        <f ca="1">IFERROR(__xludf.DUMMYFUNCTION("""COMPUTED_VALUE"""),9)</f>
        <v>9</v>
      </c>
      <c r="K108" s="1">
        <f ca="1">IFERROR(__xludf.DUMMYFUNCTION("""COMPUTED_VALUE"""),10)</f>
        <v>10</v>
      </c>
      <c r="L108" s="1">
        <f ca="1">IFERROR(__xludf.DUMMYFUNCTION("""COMPUTED_VALUE"""),3)</f>
        <v>3</v>
      </c>
      <c r="M108" s="1">
        <f ca="1">IFERROR(__xludf.DUMMYFUNCTION("""COMPUTED_VALUE"""),8)</f>
        <v>8</v>
      </c>
      <c r="N108" s="1">
        <f ca="1">IFERROR(__xludf.DUMMYFUNCTION("""COMPUTED_VALUE"""),2108)</f>
        <v>2108</v>
      </c>
      <c r="O108" s="1">
        <f ca="1">IFERROR(__xludf.DUMMYFUNCTION("""COMPUTED_VALUE"""),2141)</f>
        <v>2141</v>
      </c>
      <c r="P108" s="1">
        <f ca="1">IFERROR(__xludf.DUMMYFUNCTION("""COMPUTED_VALUE"""),1295)</f>
        <v>1295</v>
      </c>
      <c r="Q108" s="1">
        <f ca="1">IFERROR(__xludf.DUMMYFUNCTION("""COMPUTED_VALUE"""),759)</f>
        <v>759</v>
      </c>
      <c r="R108" s="1">
        <f ca="1">IFERROR(__xludf.DUMMYFUNCTION("""COMPUTED_VALUE"""),1890)</f>
        <v>1890</v>
      </c>
      <c r="S108" s="1">
        <f ca="1">IFERROR(__xludf.DUMMYFUNCTION("""COMPUTED_VALUE"""),0.402)</f>
        <v>0.40200000000000002</v>
      </c>
      <c r="T108" s="1">
        <f ca="1">IFERROR(__xludf.DUMMYFUNCTION("""COMPUTED_VALUE"""),276)</f>
        <v>276</v>
      </c>
      <c r="U108" s="1">
        <f ca="1">IFERROR(__xludf.DUMMYFUNCTION("""COMPUTED_VALUE"""),831)</f>
        <v>831</v>
      </c>
      <c r="V108" s="1">
        <f ca="1">IFERROR(__xludf.DUMMYFUNCTION("""COMPUTED_VALUE"""),0.332)</f>
        <v>0.33200000000000002</v>
      </c>
      <c r="W108" s="1">
        <f ca="1">IFERROR(__xludf.DUMMYFUNCTION("""COMPUTED_VALUE"""),314)</f>
        <v>314</v>
      </c>
      <c r="X108" s="1">
        <f ca="1">IFERROR(__xludf.DUMMYFUNCTION("""COMPUTED_VALUE"""),462)</f>
        <v>462</v>
      </c>
      <c r="Y108" s="1">
        <f ca="1">IFERROR(__xludf.DUMMYFUNCTION("""COMPUTED_VALUE"""),0.68)</f>
        <v>0.68</v>
      </c>
      <c r="Z108" s="1">
        <f ca="1">IFERROR(__xludf.DUMMYFUNCTION("""COMPUTED_VALUE"""),305)</f>
        <v>305</v>
      </c>
      <c r="AA108" s="1">
        <f ca="1">IFERROR(__xludf.DUMMYFUNCTION("""COMPUTED_VALUE"""),1082)</f>
        <v>1082</v>
      </c>
      <c r="AB108" s="1">
        <f ca="1">IFERROR(__xludf.DUMMYFUNCTION("""COMPUTED_VALUE"""),360)</f>
        <v>360</v>
      </c>
      <c r="AC108" s="1">
        <f ca="1">IFERROR(__xludf.DUMMYFUNCTION("""COMPUTED_VALUE"""),188)</f>
        <v>188</v>
      </c>
      <c r="AD108" s="1">
        <f ca="1">IFERROR(__xludf.DUMMYFUNCTION("""COMPUTED_VALUE"""),108)</f>
        <v>108</v>
      </c>
      <c r="AE108" s="1">
        <f ca="1">IFERROR(__xludf.DUMMYFUNCTION("""COMPUTED_VALUE"""),345)</f>
        <v>345</v>
      </c>
      <c r="AF108" s="1">
        <f ca="1">IFERROR(__xludf.DUMMYFUNCTION("""COMPUTED_VALUE"""),559)</f>
        <v>559</v>
      </c>
    </row>
    <row r="109" spans="1:32" ht="12.5" x14ac:dyDescent="0.25">
      <c r="A109" s="1" t="str">
        <f ca="1">IFERROR(__xludf.DUMMYFUNCTION("""COMPUTED_VALUE"""),"Fresno State")</f>
        <v>Fresno State</v>
      </c>
      <c r="B109" s="1">
        <f ca="1">IFERROR(__xludf.DUMMYFUNCTION("""COMPUTED_VALUE"""),32)</f>
        <v>32</v>
      </c>
      <c r="C109" s="1">
        <f ca="1">IFERROR(__xludf.DUMMYFUNCTION("""COMPUTED_VALUE"""),23)</f>
        <v>23</v>
      </c>
      <c r="D109" s="1">
        <f ca="1">IFERROR(__xludf.DUMMYFUNCTION("""COMPUTED_VALUE"""),9)</f>
        <v>9</v>
      </c>
      <c r="E109" s="1">
        <f ca="1">IFERROR(__xludf.DUMMYFUNCTION("""COMPUTED_VALUE"""),0.719)</f>
        <v>0.71899999999999997</v>
      </c>
      <c r="F109" s="1">
        <f ca="1">IFERROR(__xludf.DUMMYFUNCTION("""COMPUTED_VALUE"""),8.99)</f>
        <v>8.99</v>
      </c>
      <c r="G109" s="1">
        <f ca="1">IFERROR(__xludf.DUMMYFUNCTION("""COMPUTED_VALUE"""),0.67)</f>
        <v>0.67</v>
      </c>
      <c r="H109" s="1">
        <f ca="1">IFERROR(__xludf.DUMMYFUNCTION("""COMPUTED_VALUE"""),13)</f>
        <v>13</v>
      </c>
      <c r="I109" s="1">
        <f ca="1">IFERROR(__xludf.DUMMYFUNCTION("""COMPUTED_VALUE"""),5)</f>
        <v>5</v>
      </c>
      <c r="J109" s="1">
        <f ca="1">IFERROR(__xludf.DUMMYFUNCTION("""COMPUTED_VALUE"""),13)</f>
        <v>13</v>
      </c>
      <c r="K109" s="1">
        <f ca="1">IFERROR(__xludf.DUMMYFUNCTION("""COMPUTED_VALUE"""),4)</f>
        <v>4</v>
      </c>
      <c r="L109" s="1">
        <f ca="1">IFERROR(__xludf.DUMMYFUNCTION("""COMPUTED_VALUE"""),7)</f>
        <v>7</v>
      </c>
      <c r="M109" s="1">
        <f ca="1">IFERROR(__xludf.DUMMYFUNCTION("""COMPUTED_VALUE"""),3)</f>
        <v>3</v>
      </c>
      <c r="N109" s="1">
        <f ca="1">IFERROR(__xludf.DUMMYFUNCTION("""COMPUTED_VALUE"""),2448)</f>
        <v>2448</v>
      </c>
      <c r="O109" s="1">
        <f ca="1">IFERROR(__xludf.DUMMYFUNCTION("""COMPUTED_VALUE"""),2162)</f>
        <v>2162</v>
      </c>
      <c r="P109" s="1">
        <f ca="1">IFERROR(__xludf.DUMMYFUNCTION("""COMPUTED_VALUE"""),1285)</f>
        <v>1285</v>
      </c>
      <c r="Q109" s="1">
        <f ca="1">IFERROR(__xludf.DUMMYFUNCTION("""COMPUTED_VALUE"""),847)</f>
        <v>847</v>
      </c>
      <c r="R109" s="1">
        <f ca="1">IFERROR(__xludf.DUMMYFUNCTION("""COMPUTED_VALUE"""),1866)</f>
        <v>1866</v>
      </c>
      <c r="S109" s="1">
        <f ca="1">IFERROR(__xludf.DUMMYFUNCTION("""COMPUTED_VALUE"""),0.454)</f>
        <v>0.45400000000000001</v>
      </c>
      <c r="T109" s="1">
        <f ca="1">IFERROR(__xludf.DUMMYFUNCTION("""COMPUTED_VALUE"""),342)</f>
        <v>342</v>
      </c>
      <c r="U109" s="1">
        <f ca="1">IFERROR(__xludf.DUMMYFUNCTION("""COMPUTED_VALUE"""),897)</f>
        <v>897</v>
      </c>
      <c r="V109" s="1">
        <f ca="1">IFERROR(__xludf.DUMMYFUNCTION("""COMPUTED_VALUE"""),0.381)</f>
        <v>0.38100000000000001</v>
      </c>
      <c r="W109" s="1">
        <f ca="1">IFERROR(__xludf.DUMMYFUNCTION("""COMPUTED_VALUE"""),412)</f>
        <v>412</v>
      </c>
      <c r="X109" s="1">
        <f ca="1">IFERROR(__xludf.DUMMYFUNCTION("""COMPUTED_VALUE"""),572)</f>
        <v>572</v>
      </c>
      <c r="Y109" s="1">
        <f ca="1">IFERROR(__xludf.DUMMYFUNCTION("""COMPUTED_VALUE"""),0.72)</f>
        <v>0.72</v>
      </c>
      <c r="Z109" s="1">
        <f ca="1">IFERROR(__xludf.DUMMYFUNCTION("""COMPUTED_VALUE"""),300)</f>
        <v>300</v>
      </c>
      <c r="AA109" s="1">
        <f ca="1">IFERROR(__xludf.DUMMYFUNCTION("""COMPUTED_VALUE"""),1137)</f>
        <v>1137</v>
      </c>
      <c r="AB109" s="1">
        <f ca="1">IFERROR(__xludf.DUMMYFUNCTION("""COMPUTED_VALUE"""),457)</f>
        <v>457</v>
      </c>
      <c r="AC109" s="1">
        <f ca="1">IFERROR(__xludf.DUMMYFUNCTION("""COMPUTED_VALUE"""),228)</f>
        <v>228</v>
      </c>
      <c r="AD109" s="1">
        <f ca="1">IFERROR(__xludf.DUMMYFUNCTION("""COMPUTED_VALUE"""),111)</f>
        <v>111</v>
      </c>
      <c r="AE109" s="1">
        <f ca="1">IFERROR(__xludf.DUMMYFUNCTION("""COMPUTED_VALUE"""),400)</f>
        <v>400</v>
      </c>
      <c r="AF109" s="1">
        <f ca="1">IFERROR(__xludf.DUMMYFUNCTION("""COMPUTED_VALUE"""),592)</f>
        <v>592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IFERROR(__xludf.DUMMYFUNCTION("""COMPUTED_VALUE"""),"Furman")</f>
        <v>Furman</v>
      </c>
      <c r="B112" s="1">
        <f ca="1">IFERROR(__xludf.DUMMYFUNCTION("""COMPUTED_VALUE"""),33)</f>
        <v>33</v>
      </c>
      <c r="C112" s="1">
        <f ca="1">IFERROR(__xludf.DUMMYFUNCTION("""COMPUTED_VALUE"""),25)</f>
        <v>25</v>
      </c>
      <c r="D112" s="1">
        <f ca="1">IFERROR(__xludf.DUMMYFUNCTION("""COMPUTED_VALUE"""),8)</f>
        <v>8</v>
      </c>
      <c r="E112" s="1">
        <f ca="1">IFERROR(__xludf.DUMMYFUNCTION("""COMPUTED_VALUE"""),0.758)</f>
        <v>0.75800000000000001</v>
      </c>
      <c r="F112" s="1">
        <f ca="1">IFERROR(__xludf.DUMMYFUNCTION("""COMPUTED_VALUE"""),7.46)</f>
        <v>7.46</v>
      </c>
      <c r="G112" s="1">
        <f ca="1">IFERROR(__xludf.DUMMYFUNCTION("""COMPUTED_VALUE"""),-1.5)</f>
        <v>-1.5</v>
      </c>
      <c r="H112" s="1">
        <f ca="1">IFERROR(__xludf.DUMMYFUNCTION("""COMPUTED_VALUE"""),13)</f>
        <v>13</v>
      </c>
      <c r="I112" s="1">
        <f ca="1">IFERROR(__xludf.DUMMYFUNCTION("""COMPUTED_VALUE"""),5)</f>
        <v>5</v>
      </c>
      <c r="J112" s="1">
        <f ca="1">IFERROR(__xludf.DUMMYFUNCTION("""COMPUTED_VALUE"""),13)</f>
        <v>13</v>
      </c>
      <c r="K112" s="1">
        <f ca="1">IFERROR(__xludf.DUMMYFUNCTION("""COMPUTED_VALUE"""),3)</f>
        <v>3</v>
      </c>
      <c r="L112" s="1">
        <f ca="1">IFERROR(__xludf.DUMMYFUNCTION("""COMPUTED_VALUE"""),11)</f>
        <v>11</v>
      </c>
      <c r="M112" s="1">
        <f ca="1">IFERROR(__xludf.DUMMYFUNCTION("""COMPUTED_VALUE"""),4)</f>
        <v>4</v>
      </c>
      <c r="N112" s="1">
        <f ca="1">IFERROR(__xludf.DUMMYFUNCTION("""COMPUTED_VALUE"""),2562)</f>
        <v>2562</v>
      </c>
      <c r="O112" s="1">
        <f ca="1">IFERROR(__xludf.DUMMYFUNCTION("""COMPUTED_VALUE"""),2182)</f>
        <v>2182</v>
      </c>
      <c r="P112" s="1">
        <f ca="1">IFERROR(__xludf.DUMMYFUNCTION("""COMPUTED_VALUE"""),1340)</f>
        <v>1340</v>
      </c>
      <c r="Q112" s="1">
        <f ca="1">IFERROR(__xludf.DUMMYFUNCTION("""COMPUTED_VALUE"""),930)</f>
        <v>930</v>
      </c>
      <c r="R112" s="1">
        <f ca="1">IFERROR(__xludf.DUMMYFUNCTION("""COMPUTED_VALUE"""),1962)</f>
        <v>1962</v>
      </c>
      <c r="S112" s="1">
        <f ca="1">IFERROR(__xludf.DUMMYFUNCTION("""COMPUTED_VALUE"""),0.474)</f>
        <v>0.47399999999999998</v>
      </c>
      <c r="T112" s="1">
        <f ca="1">IFERROR(__xludf.DUMMYFUNCTION("""COMPUTED_VALUE"""),338)</f>
        <v>338</v>
      </c>
      <c r="U112" s="1">
        <f ca="1">IFERROR(__xludf.DUMMYFUNCTION("""COMPUTED_VALUE"""),935)</f>
        <v>935</v>
      </c>
      <c r="V112" s="1">
        <f ca="1">IFERROR(__xludf.DUMMYFUNCTION("""COMPUTED_VALUE"""),0.361)</f>
        <v>0.36099999999999999</v>
      </c>
      <c r="W112" s="1">
        <f ca="1">IFERROR(__xludf.DUMMYFUNCTION("""COMPUTED_VALUE"""),364)</f>
        <v>364</v>
      </c>
      <c r="X112" s="1">
        <f ca="1">IFERROR(__xludf.DUMMYFUNCTION("""COMPUTED_VALUE"""),508)</f>
        <v>508</v>
      </c>
      <c r="Y112" s="1">
        <f ca="1">IFERROR(__xludf.DUMMYFUNCTION("""COMPUTED_VALUE"""),0.717)</f>
        <v>0.71699999999999997</v>
      </c>
      <c r="Z112" s="1">
        <f ca="1">IFERROR(__xludf.DUMMYFUNCTION("""COMPUTED_VALUE"""),326)</f>
        <v>326</v>
      </c>
      <c r="AA112" s="1">
        <f ca="1">IFERROR(__xludf.DUMMYFUNCTION("""COMPUTED_VALUE"""),1171)</f>
        <v>1171</v>
      </c>
      <c r="AB112" s="1">
        <f ca="1">IFERROR(__xludf.DUMMYFUNCTION("""COMPUTED_VALUE"""),524)</f>
        <v>524</v>
      </c>
      <c r="AC112" s="1">
        <f ca="1">IFERROR(__xludf.DUMMYFUNCTION("""COMPUTED_VALUE"""),288)</f>
        <v>288</v>
      </c>
      <c r="AD112" s="1">
        <f ca="1">IFERROR(__xludf.DUMMYFUNCTION("""COMPUTED_VALUE"""),137)</f>
        <v>137</v>
      </c>
      <c r="AE112" s="1">
        <f ca="1">IFERROR(__xludf.DUMMYFUNCTION("""COMPUTED_VALUE"""),407)</f>
        <v>407</v>
      </c>
      <c r="AF112" s="1">
        <f ca="1">IFERROR(__xludf.DUMMYFUNCTION("""COMPUTED_VALUE"""),481)</f>
        <v>481</v>
      </c>
    </row>
    <row r="113" spans="1:32" ht="12.5" x14ac:dyDescent="0.25">
      <c r="A113" s="1" t="str">
        <f ca="1">IFERROR(__xludf.DUMMYFUNCTION("""COMPUTED_VALUE"""),"Gardner-Webb")</f>
        <v>Gardner-Webb</v>
      </c>
      <c r="B113" s="1">
        <f ca="1">IFERROR(__xludf.DUMMYFUNCTION("""COMPUTED_VALUE"""),35)</f>
        <v>35</v>
      </c>
      <c r="C113" s="1">
        <f ca="1">IFERROR(__xludf.DUMMYFUNCTION("""COMPUTED_VALUE"""),23)</f>
        <v>23</v>
      </c>
      <c r="D113" s="1">
        <f ca="1">IFERROR(__xludf.DUMMYFUNCTION("""COMPUTED_VALUE"""),12)</f>
        <v>12</v>
      </c>
      <c r="E113" s="1">
        <f ca="1">IFERROR(__xludf.DUMMYFUNCTION("""COMPUTED_VALUE"""),0.657)</f>
        <v>0.65700000000000003</v>
      </c>
      <c r="F113" s="1">
        <f ca="1">IFERROR(__xludf.DUMMYFUNCTION("""COMPUTED_VALUE"""),-2.61)</f>
        <v>-2.61</v>
      </c>
      <c r="G113" s="1">
        <f ca="1">IFERROR(__xludf.DUMMYFUNCTION("""COMPUTED_VALUE"""),-4.43)</f>
        <v>-4.43</v>
      </c>
      <c r="H113" s="1">
        <f ca="1">IFERROR(__xludf.DUMMYFUNCTION("""COMPUTED_VALUE"""),11)</f>
        <v>11</v>
      </c>
      <c r="I113" s="1">
        <f ca="1">IFERROR(__xludf.DUMMYFUNCTION("""COMPUTED_VALUE"""),6)</f>
        <v>6</v>
      </c>
      <c r="J113" s="1">
        <f ca="1">IFERROR(__xludf.DUMMYFUNCTION("""COMPUTED_VALUE"""),13)</f>
        <v>13</v>
      </c>
      <c r="K113" s="1">
        <f ca="1">IFERROR(__xludf.DUMMYFUNCTION("""COMPUTED_VALUE"""),0)</f>
        <v>0</v>
      </c>
      <c r="L113" s="1">
        <f ca="1">IFERROR(__xludf.DUMMYFUNCTION("""COMPUTED_VALUE"""),8)</f>
        <v>8</v>
      </c>
      <c r="M113" s="1">
        <f ca="1">IFERROR(__xludf.DUMMYFUNCTION("""COMPUTED_VALUE"""),9)</f>
        <v>9</v>
      </c>
      <c r="N113" s="1">
        <f ca="1">IFERROR(__xludf.DUMMYFUNCTION("""COMPUTED_VALUE"""),2718)</f>
        <v>2718</v>
      </c>
      <c r="O113" s="1">
        <f ca="1">IFERROR(__xludf.DUMMYFUNCTION("""COMPUTED_VALUE"""),2468)</f>
        <v>2468</v>
      </c>
      <c r="P113" s="1">
        <f ca="1">IFERROR(__xludf.DUMMYFUNCTION("""COMPUTED_VALUE"""),1430)</f>
        <v>1430</v>
      </c>
      <c r="Q113" s="1">
        <f ca="1">IFERROR(__xludf.DUMMYFUNCTION("""COMPUTED_VALUE"""),955)</f>
        <v>955</v>
      </c>
      <c r="R113" s="1">
        <f ca="1">IFERROR(__xludf.DUMMYFUNCTION("""COMPUTED_VALUE"""),1962)</f>
        <v>1962</v>
      </c>
      <c r="S113" s="1">
        <f ca="1">IFERROR(__xludf.DUMMYFUNCTION("""COMPUTED_VALUE"""),0.487)</f>
        <v>0.48699999999999999</v>
      </c>
      <c r="T113" s="1">
        <f ca="1">IFERROR(__xludf.DUMMYFUNCTION("""COMPUTED_VALUE"""),281)</f>
        <v>281</v>
      </c>
      <c r="U113" s="1">
        <f ca="1">IFERROR(__xludf.DUMMYFUNCTION("""COMPUTED_VALUE"""),719)</f>
        <v>719</v>
      </c>
      <c r="V113" s="1">
        <f ca="1">IFERROR(__xludf.DUMMYFUNCTION("""COMPUTED_VALUE"""),0.391)</f>
        <v>0.39100000000000001</v>
      </c>
      <c r="W113" s="1">
        <f ca="1">IFERROR(__xludf.DUMMYFUNCTION("""COMPUTED_VALUE"""),527)</f>
        <v>527</v>
      </c>
      <c r="X113" s="1">
        <f ca="1">IFERROR(__xludf.DUMMYFUNCTION("""COMPUTED_VALUE"""),741)</f>
        <v>741</v>
      </c>
      <c r="Y113" s="1">
        <f ca="1">IFERROR(__xludf.DUMMYFUNCTION("""COMPUTED_VALUE"""),0.711)</f>
        <v>0.71099999999999997</v>
      </c>
      <c r="Z113" s="1">
        <f ca="1">IFERROR(__xludf.DUMMYFUNCTION("""COMPUTED_VALUE"""),271)</f>
        <v>271</v>
      </c>
      <c r="AA113" s="1">
        <f ca="1">IFERROR(__xludf.DUMMYFUNCTION("""COMPUTED_VALUE"""),1190)</f>
        <v>1190</v>
      </c>
      <c r="AB113" s="1">
        <f ca="1">IFERROR(__xludf.DUMMYFUNCTION("""COMPUTED_VALUE"""),502)</f>
        <v>502</v>
      </c>
      <c r="AC113" s="1">
        <f ca="1">IFERROR(__xludf.DUMMYFUNCTION("""COMPUTED_VALUE"""),238)</f>
        <v>238</v>
      </c>
      <c r="AD113" s="1">
        <f ca="1">IFERROR(__xludf.DUMMYFUNCTION("""COMPUTED_VALUE"""),101)</f>
        <v>101</v>
      </c>
      <c r="AE113" s="1">
        <f ca="1">IFERROR(__xludf.DUMMYFUNCTION("""COMPUTED_VALUE"""),407)</f>
        <v>407</v>
      </c>
      <c r="AF113" s="1">
        <f ca="1">IFERROR(__xludf.DUMMYFUNCTION("""COMPUTED_VALUE"""),561)</f>
        <v>561</v>
      </c>
    </row>
    <row r="114" spans="1:32" ht="12.5" x14ac:dyDescent="0.25">
      <c r="A114" s="1" t="str">
        <f ca="1">IFERROR(__xludf.DUMMYFUNCTION("""COMPUTED_VALUE"""),"George Mason")</f>
        <v>George Mason</v>
      </c>
      <c r="B114" s="1">
        <f ca="1">IFERROR(__xludf.DUMMYFUNCTION("""COMPUTED_VALUE"""),33)</f>
        <v>33</v>
      </c>
      <c r="C114" s="1">
        <f ca="1">IFERROR(__xludf.DUMMYFUNCTION("""COMPUTED_VALUE"""),18)</f>
        <v>18</v>
      </c>
      <c r="D114" s="1">
        <f ca="1">IFERROR(__xludf.DUMMYFUNCTION("""COMPUTED_VALUE"""),15)</f>
        <v>15</v>
      </c>
      <c r="E114" s="1">
        <f ca="1">IFERROR(__xludf.DUMMYFUNCTION("""COMPUTED_VALUE"""),0.545)</f>
        <v>0.54500000000000004</v>
      </c>
      <c r="F114" s="1">
        <f ca="1">IFERROR(__xludf.DUMMYFUNCTION("""COMPUTED_VALUE"""),0.84)</f>
        <v>0.84</v>
      </c>
      <c r="G114" s="1">
        <f ca="1">IFERROR(__xludf.DUMMYFUNCTION("""COMPUTED_VALUE"""),0.08)</f>
        <v>0.08</v>
      </c>
      <c r="H114" s="1">
        <f ca="1">IFERROR(__xludf.DUMMYFUNCTION("""COMPUTED_VALUE"""),11)</f>
        <v>11</v>
      </c>
      <c r="I114" s="1">
        <f ca="1">IFERROR(__xludf.DUMMYFUNCTION("""COMPUTED_VALUE"""),7)</f>
        <v>7</v>
      </c>
      <c r="J114" s="1">
        <f ca="1">IFERROR(__xludf.DUMMYFUNCTION("""COMPUTED_VALUE"""),11)</f>
        <v>11</v>
      </c>
      <c r="K114" s="1">
        <f ca="1">IFERROR(__xludf.DUMMYFUNCTION("""COMPUTED_VALUE"""),6)</f>
        <v>6</v>
      </c>
      <c r="L114" s="1">
        <f ca="1">IFERROR(__xludf.DUMMYFUNCTION("""COMPUTED_VALUE"""),6)</f>
        <v>6</v>
      </c>
      <c r="M114" s="1">
        <f ca="1">IFERROR(__xludf.DUMMYFUNCTION("""COMPUTED_VALUE"""),6)</f>
        <v>6</v>
      </c>
      <c r="N114" s="1">
        <f ca="1">IFERROR(__xludf.DUMMYFUNCTION("""COMPUTED_VALUE"""),2314)</f>
        <v>2314</v>
      </c>
      <c r="O114" s="1">
        <f ca="1">IFERROR(__xludf.DUMMYFUNCTION("""COMPUTED_VALUE"""),2289)</f>
        <v>2289</v>
      </c>
      <c r="P114" s="1">
        <f ca="1">IFERROR(__xludf.DUMMYFUNCTION("""COMPUTED_VALUE"""),1330)</f>
        <v>1330</v>
      </c>
      <c r="Q114" s="1">
        <f ca="1">IFERROR(__xludf.DUMMYFUNCTION("""COMPUTED_VALUE"""),825)</f>
        <v>825</v>
      </c>
      <c r="R114" s="1">
        <f ca="1">IFERROR(__xludf.DUMMYFUNCTION("""COMPUTED_VALUE"""),1855)</f>
        <v>1855</v>
      </c>
      <c r="S114" s="1">
        <f ca="1">IFERROR(__xludf.DUMMYFUNCTION("""COMPUTED_VALUE"""),0.445)</f>
        <v>0.44500000000000001</v>
      </c>
      <c r="T114" s="1">
        <f ca="1">IFERROR(__xludf.DUMMYFUNCTION("""COMPUTED_VALUE"""),210)</f>
        <v>210</v>
      </c>
      <c r="U114" s="1">
        <f ca="1">IFERROR(__xludf.DUMMYFUNCTION("""COMPUTED_VALUE"""),637)</f>
        <v>637</v>
      </c>
      <c r="V114" s="1">
        <f ca="1">IFERROR(__xludf.DUMMYFUNCTION("""COMPUTED_VALUE"""),0.33)</f>
        <v>0.33</v>
      </c>
      <c r="W114" s="1">
        <f ca="1">IFERROR(__xludf.DUMMYFUNCTION("""COMPUTED_VALUE"""),454)</f>
        <v>454</v>
      </c>
      <c r="X114" s="1">
        <f ca="1">IFERROR(__xludf.DUMMYFUNCTION("""COMPUTED_VALUE"""),634)</f>
        <v>634</v>
      </c>
      <c r="Y114" s="1">
        <f ca="1">IFERROR(__xludf.DUMMYFUNCTION("""COMPUTED_VALUE"""),0.716)</f>
        <v>0.71599999999999997</v>
      </c>
      <c r="Z114" s="1">
        <f ca="1">IFERROR(__xludf.DUMMYFUNCTION("""COMPUTED_VALUE"""),323)</f>
        <v>323</v>
      </c>
      <c r="AA114" s="1">
        <f ca="1">IFERROR(__xludf.DUMMYFUNCTION("""COMPUTED_VALUE"""),1166)</f>
        <v>1166</v>
      </c>
      <c r="AB114" s="1">
        <f ca="1">IFERROR(__xludf.DUMMYFUNCTION("""COMPUTED_VALUE"""),399)</f>
        <v>399</v>
      </c>
      <c r="AC114" s="1">
        <f ca="1">IFERROR(__xludf.DUMMYFUNCTION("""COMPUTED_VALUE"""),204)</f>
        <v>204</v>
      </c>
      <c r="AD114" s="1">
        <f ca="1">IFERROR(__xludf.DUMMYFUNCTION("""COMPUTED_VALUE"""),97)</f>
        <v>97</v>
      </c>
      <c r="AE114" s="1">
        <f ca="1">IFERROR(__xludf.DUMMYFUNCTION("""COMPUTED_VALUE"""),428)</f>
        <v>428</v>
      </c>
      <c r="AF114" s="1">
        <f ca="1">IFERROR(__xludf.DUMMYFUNCTION("""COMPUTED_VALUE"""),563)</f>
        <v>563</v>
      </c>
    </row>
    <row r="115" spans="1:32" ht="12.5" x14ac:dyDescent="0.25">
      <c r="A115" s="1" t="str">
        <f ca="1">IFERROR(__xludf.DUMMYFUNCTION("""COMPUTED_VALUE"""),"George Washington")</f>
        <v>George Washington</v>
      </c>
      <c r="B115" s="1">
        <f ca="1">IFERROR(__xludf.DUMMYFUNCTION("""COMPUTED_VALUE"""),33)</f>
        <v>33</v>
      </c>
      <c r="C115" s="1">
        <f ca="1">IFERROR(__xludf.DUMMYFUNCTION("""COMPUTED_VALUE"""),9)</f>
        <v>9</v>
      </c>
      <c r="D115" s="1">
        <f ca="1">IFERROR(__xludf.DUMMYFUNCTION("""COMPUTED_VALUE"""),24)</f>
        <v>24</v>
      </c>
      <c r="E115" s="1">
        <f ca="1">IFERROR(__xludf.DUMMYFUNCTION("""COMPUTED_VALUE"""),0.273)</f>
        <v>0.27300000000000002</v>
      </c>
      <c r="F115" s="1">
        <f ca="1">IFERROR(__xludf.DUMMYFUNCTION("""COMPUTED_VALUE"""),-6.65)</f>
        <v>-6.65</v>
      </c>
      <c r="G115" s="1">
        <f ca="1">IFERROR(__xludf.DUMMYFUNCTION("""COMPUTED_VALUE"""),1.2)</f>
        <v>1.2</v>
      </c>
      <c r="H115" s="1">
        <f ca="1">IFERROR(__xludf.DUMMYFUNCTION("""COMPUTED_VALUE"""),4)</f>
        <v>4</v>
      </c>
      <c r="I115" s="1">
        <f ca="1">IFERROR(__xludf.DUMMYFUNCTION("""COMPUTED_VALUE"""),14)</f>
        <v>14</v>
      </c>
      <c r="J115" s="1">
        <f ca="1">IFERROR(__xludf.DUMMYFUNCTION("""COMPUTED_VALUE"""),6)</f>
        <v>6</v>
      </c>
      <c r="K115" s="1">
        <f ca="1">IFERROR(__xludf.DUMMYFUNCTION("""COMPUTED_VALUE"""),11)</f>
        <v>11</v>
      </c>
      <c r="L115" s="1">
        <f ca="1">IFERROR(__xludf.DUMMYFUNCTION("""COMPUTED_VALUE"""),2)</f>
        <v>2</v>
      </c>
      <c r="M115" s="1">
        <f ca="1">IFERROR(__xludf.DUMMYFUNCTION("""COMPUTED_VALUE"""),10)</f>
        <v>10</v>
      </c>
      <c r="N115" s="1">
        <f ca="1">IFERROR(__xludf.DUMMYFUNCTION("""COMPUTED_VALUE"""),2097)</f>
        <v>2097</v>
      </c>
      <c r="O115" s="1">
        <f ca="1">IFERROR(__xludf.DUMMYFUNCTION("""COMPUTED_VALUE"""),2356)</f>
        <v>2356</v>
      </c>
      <c r="P115" s="1">
        <f ca="1">IFERROR(__xludf.DUMMYFUNCTION("""COMPUTED_VALUE"""),1340)</f>
        <v>1340</v>
      </c>
      <c r="Q115" s="1">
        <f ca="1">IFERROR(__xludf.DUMMYFUNCTION("""COMPUTED_VALUE"""),745)</f>
        <v>745</v>
      </c>
      <c r="R115" s="1">
        <f ca="1">IFERROR(__xludf.DUMMYFUNCTION("""COMPUTED_VALUE"""),1842)</f>
        <v>1842</v>
      </c>
      <c r="S115" s="1">
        <f ca="1">IFERROR(__xludf.DUMMYFUNCTION("""COMPUTED_VALUE"""),0.404)</f>
        <v>0.40400000000000003</v>
      </c>
      <c r="T115" s="1">
        <f ca="1">IFERROR(__xludf.DUMMYFUNCTION("""COMPUTED_VALUE"""),196)</f>
        <v>196</v>
      </c>
      <c r="U115" s="1">
        <f ca="1">IFERROR(__xludf.DUMMYFUNCTION("""COMPUTED_VALUE"""),631)</f>
        <v>631</v>
      </c>
      <c r="V115" s="1">
        <f ca="1">IFERROR(__xludf.DUMMYFUNCTION("""COMPUTED_VALUE"""),0.311)</f>
        <v>0.311</v>
      </c>
      <c r="W115" s="1">
        <f ca="1">IFERROR(__xludf.DUMMYFUNCTION("""COMPUTED_VALUE"""),411)</f>
        <v>411</v>
      </c>
      <c r="X115" s="1">
        <f ca="1">IFERROR(__xludf.DUMMYFUNCTION("""COMPUTED_VALUE"""),600)</f>
        <v>600</v>
      </c>
      <c r="Y115" s="1">
        <f ca="1">IFERROR(__xludf.DUMMYFUNCTION("""COMPUTED_VALUE"""),0.685)</f>
        <v>0.68500000000000005</v>
      </c>
      <c r="Z115" s="1">
        <f ca="1">IFERROR(__xludf.DUMMYFUNCTION("""COMPUTED_VALUE"""),274)</f>
        <v>274</v>
      </c>
      <c r="AA115" s="1">
        <f ca="1">IFERROR(__xludf.DUMMYFUNCTION("""COMPUTED_VALUE"""),1116)</f>
        <v>1116</v>
      </c>
      <c r="AB115" s="1">
        <f ca="1">IFERROR(__xludf.DUMMYFUNCTION("""COMPUTED_VALUE"""),375)</f>
        <v>375</v>
      </c>
      <c r="AC115" s="1">
        <f ca="1">IFERROR(__xludf.DUMMYFUNCTION("""COMPUTED_VALUE"""),170)</f>
        <v>170</v>
      </c>
      <c r="AD115" s="1">
        <f ca="1">IFERROR(__xludf.DUMMYFUNCTION("""COMPUTED_VALUE"""),96)</f>
        <v>96</v>
      </c>
      <c r="AE115" s="1">
        <f ca="1">IFERROR(__xludf.DUMMYFUNCTION("""COMPUTED_VALUE"""),413)</f>
        <v>413</v>
      </c>
      <c r="AF115" s="1">
        <f ca="1">IFERROR(__xludf.DUMMYFUNCTION("""COMPUTED_VALUE"""),526)</f>
        <v>526</v>
      </c>
    </row>
    <row r="116" spans="1:32" ht="12.5" x14ac:dyDescent="0.25">
      <c r="A116" s="1" t="str">
        <f ca="1">IFERROR(__xludf.DUMMYFUNCTION("""COMPUTED_VALUE"""),"Georgetown")</f>
        <v>Georgetown</v>
      </c>
      <c r="B116" s="1">
        <f ca="1">IFERROR(__xludf.DUMMYFUNCTION("""COMPUTED_VALUE"""),33)</f>
        <v>33</v>
      </c>
      <c r="C116" s="1">
        <f ca="1">IFERROR(__xludf.DUMMYFUNCTION("""COMPUTED_VALUE"""),19)</f>
        <v>19</v>
      </c>
      <c r="D116" s="1">
        <f ca="1">IFERROR(__xludf.DUMMYFUNCTION("""COMPUTED_VALUE"""),14)</f>
        <v>14</v>
      </c>
      <c r="E116" s="1">
        <f ca="1">IFERROR(__xludf.DUMMYFUNCTION("""COMPUTED_VALUE"""),0.576)</f>
        <v>0.57599999999999996</v>
      </c>
      <c r="F116" s="1">
        <f ca="1">IFERROR(__xludf.DUMMYFUNCTION("""COMPUTED_VALUE"""),6.8)</f>
        <v>6.8</v>
      </c>
      <c r="G116" s="1">
        <f ca="1">IFERROR(__xludf.DUMMYFUNCTION("""COMPUTED_VALUE"""),5.31)</f>
        <v>5.31</v>
      </c>
      <c r="H116" s="1">
        <f ca="1">IFERROR(__xludf.DUMMYFUNCTION("""COMPUTED_VALUE"""),9)</f>
        <v>9</v>
      </c>
      <c r="I116" s="1">
        <f ca="1">IFERROR(__xludf.DUMMYFUNCTION("""COMPUTED_VALUE"""),9)</f>
        <v>9</v>
      </c>
      <c r="J116" s="1">
        <f ca="1">IFERROR(__xludf.DUMMYFUNCTION("""COMPUTED_VALUE"""),13)</f>
        <v>13</v>
      </c>
      <c r="K116" s="1">
        <f ca="1">IFERROR(__xludf.DUMMYFUNCTION("""COMPUTED_VALUE"""),6)</f>
        <v>6</v>
      </c>
      <c r="L116" s="1">
        <f ca="1">IFERROR(__xludf.DUMMYFUNCTION("""COMPUTED_VALUE"""),5)</f>
        <v>5</v>
      </c>
      <c r="M116" s="1">
        <f ca="1">IFERROR(__xludf.DUMMYFUNCTION("""COMPUTED_VALUE"""),6)</f>
        <v>6</v>
      </c>
      <c r="N116" s="1">
        <f ca="1">IFERROR(__xludf.DUMMYFUNCTION("""COMPUTED_VALUE"""),2625)</f>
        <v>2625</v>
      </c>
      <c r="O116" s="1">
        <f ca="1">IFERROR(__xludf.DUMMYFUNCTION("""COMPUTED_VALUE"""),2576)</f>
        <v>2576</v>
      </c>
      <c r="P116" s="1">
        <f ca="1">IFERROR(__xludf.DUMMYFUNCTION("""COMPUTED_VALUE"""),1355)</f>
        <v>1355</v>
      </c>
      <c r="Q116" s="1">
        <f ca="1">IFERROR(__xludf.DUMMYFUNCTION("""COMPUTED_VALUE"""),894)</f>
        <v>894</v>
      </c>
      <c r="R116" s="1">
        <f ca="1">IFERROR(__xludf.DUMMYFUNCTION("""COMPUTED_VALUE"""),2017)</f>
        <v>2017</v>
      </c>
      <c r="S116" s="1">
        <f ca="1">IFERROR(__xludf.DUMMYFUNCTION("""COMPUTED_VALUE"""),0.443)</f>
        <v>0.443</v>
      </c>
      <c r="T116" s="1">
        <f ca="1">IFERROR(__xludf.DUMMYFUNCTION("""COMPUTED_VALUE"""),269)</f>
        <v>269</v>
      </c>
      <c r="U116" s="1">
        <f ca="1">IFERROR(__xludf.DUMMYFUNCTION("""COMPUTED_VALUE"""),757)</f>
        <v>757</v>
      </c>
      <c r="V116" s="1">
        <f ca="1">IFERROR(__xludf.DUMMYFUNCTION("""COMPUTED_VALUE"""),0.355)</f>
        <v>0.35499999999999998</v>
      </c>
      <c r="W116" s="1">
        <f ca="1">IFERROR(__xludf.DUMMYFUNCTION("""COMPUTED_VALUE"""),568)</f>
        <v>568</v>
      </c>
      <c r="X116" s="1">
        <f ca="1">IFERROR(__xludf.DUMMYFUNCTION("""COMPUTED_VALUE"""),771)</f>
        <v>771</v>
      </c>
      <c r="Y116" s="1">
        <f ca="1">IFERROR(__xludf.DUMMYFUNCTION("""COMPUTED_VALUE"""),0.737)</f>
        <v>0.73699999999999999</v>
      </c>
      <c r="Z116" s="1">
        <f ca="1">IFERROR(__xludf.DUMMYFUNCTION("""COMPUTED_VALUE"""),350)</f>
        <v>350</v>
      </c>
      <c r="AA116" s="1">
        <f ca="1">IFERROR(__xludf.DUMMYFUNCTION("""COMPUTED_VALUE"""),1299)</f>
        <v>1299</v>
      </c>
      <c r="AB116" s="1">
        <f ca="1">IFERROR(__xludf.DUMMYFUNCTION("""COMPUTED_VALUE"""),542)</f>
        <v>542</v>
      </c>
      <c r="AC116" s="1">
        <f ca="1">IFERROR(__xludf.DUMMYFUNCTION("""COMPUTED_VALUE"""),198)</f>
        <v>198</v>
      </c>
      <c r="AD116" s="1">
        <f ca="1">IFERROR(__xludf.DUMMYFUNCTION("""COMPUTED_VALUE"""),131)</f>
        <v>131</v>
      </c>
      <c r="AE116" s="1">
        <f ca="1">IFERROR(__xludf.DUMMYFUNCTION("""COMPUTED_VALUE"""),443)</f>
        <v>443</v>
      </c>
      <c r="AF116" s="1">
        <f ca="1">IFERROR(__xludf.DUMMYFUNCTION("""COMPUTED_VALUE"""),581)</f>
        <v>581</v>
      </c>
    </row>
    <row r="117" spans="1:32" ht="12.5" x14ac:dyDescent="0.25">
      <c r="A117" s="1" t="str">
        <f ca="1">IFERROR(__xludf.DUMMYFUNCTION("""COMPUTED_VALUE"""),"Georgia Southern")</f>
        <v>Georgia Southern</v>
      </c>
      <c r="B117" s="1">
        <f ca="1">IFERROR(__xludf.DUMMYFUNCTION("""COMPUTED_VALUE"""),33)</f>
        <v>33</v>
      </c>
      <c r="C117" s="1">
        <f ca="1">IFERROR(__xludf.DUMMYFUNCTION("""COMPUTED_VALUE"""),21)</f>
        <v>21</v>
      </c>
      <c r="D117" s="1">
        <f ca="1">IFERROR(__xludf.DUMMYFUNCTION("""COMPUTED_VALUE"""),12)</f>
        <v>12</v>
      </c>
      <c r="E117" s="1">
        <f ca="1">IFERROR(__xludf.DUMMYFUNCTION("""COMPUTED_VALUE"""),0.636)</f>
        <v>0.63600000000000001</v>
      </c>
      <c r="F117" s="1">
        <f ca="1">IFERROR(__xludf.DUMMYFUNCTION("""COMPUTED_VALUE"""),3.75)</f>
        <v>3.75</v>
      </c>
      <c r="G117" s="1">
        <f ca="1">IFERROR(__xludf.DUMMYFUNCTION("""COMPUTED_VALUE"""),0.13)</f>
        <v>0.13</v>
      </c>
      <c r="H117" s="1">
        <f ca="1">IFERROR(__xludf.DUMMYFUNCTION("""COMPUTED_VALUE"""),12)</f>
        <v>12</v>
      </c>
      <c r="I117" s="1">
        <f ca="1">IFERROR(__xludf.DUMMYFUNCTION("""COMPUTED_VALUE"""),6)</f>
        <v>6</v>
      </c>
      <c r="J117" s="1">
        <f ca="1">IFERROR(__xludf.DUMMYFUNCTION("""COMPUTED_VALUE"""),10)</f>
        <v>10</v>
      </c>
      <c r="K117" s="1">
        <f ca="1">IFERROR(__xludf.DUMMYFUNCTION("""COMPUTED_VALUE"""),4)</f>
        <v>4</v>
      </c>
      <c r="L117" s="1">
        <f ca="1">IFERROR(__xludf.DUMMYFUNCTION("""COMPUTED_VALUE"""),7)</f>
        <v>7</v>
      </c>
      <c r="M117" s="1">
        <f ca="1">IFERROR(__xludf.DUMMYFUNCTION("""COMPUTED_VALUE"""),7)</f>
        <v>7</v>
      </c>
      <c r="N117" s="1">
        <f ca="1">IFERROR(__xludf.DUMMYFUNCTION("""COMPUTED_VALUE"""),2726)</f>
        <v>2726</v>
      </c>
      <c r="O117" s="1">
        <f ca="1">IFERROR(__xludf.DUMMYFUNCTION("""COMPUTED_VALUE"""),2489)</f>
        <v>2489</v>
      </c>
      <c r="P117" s="1">
        <f ca="1">IFERROR(__xludf.DUMMYFUNCTION("""COMPUTED_VALUE"""),1330)</f>
        <v>1330</v>
      </c>
      <c r="Q117" s="1">
        <f ca="1">IFERROR(__xludf.DUMMYFUNCTION("""COMPUTED_VALUE"""),1012)</f>
        <v>1012</v>
      </c>
      <c r="R117" s="1">
        <f ca="1">IFERROR(__xludf.DUMMYFUNCTION("""COMPUTED_VALUE"""),2028)</f>
        <v>2028</v>
      </c>
      <c r="S117" s="1">
        <f ca="1">IFERROR(__xludf.DUMMYFUNCTION("""COMPUTED_VALUE"""),0.499)</f>
        <v>0.499</v>
      </c>
      <c r="T117" s="1">
        <f ca="1">IFERROR(__xludf.DUMMYFUNCTION("""COMPUTED_VALUE"""),204)</f>
        <v>204</v>
      </c>
      <c r="U117" s="1">
        <f ca="1">IFERROR(__xludf.DUMMYFUNCTION("""COMPUTED_VALUE"""),632)</f>
        <v>632</v>
      </c>
      <c r="V117" s="1">
        <f ca="1">IFERROR(__xludf.DUMMYFUNCTION("""COMPUTED_VALUE"""),0.323)</f>
        <v>0.32300000000000001</v>
      </c>
      <c r="W117" s="1">
        <f ca="1">IFERROR(__xludf.DUMMYFUNCTION("""COMPUTED_VALUE"""),498)</f>
        <v>498</v>
      </c>
      <c r="X117" s="1">
        <f ca="1">IFERROR(__xludf.DUMMYFUNCTION("""COMPUTED_VALUE"""),720)</f>
        <v>720</v>
      </c>
      <c r="Y117" s="1">
        <f ca="1">IFERROR(__xludf.DUMMYFUNCTION("""COMPUTED_VALUE"""),0.692)</f>
        <v>0.69199999999999995</v>
      </c>
      <c r="Z117" s="1">
        <f ca="1">IFERROR(__xludf.DUMMYFUNCTION("""COMPUTED_VALUE"""),320)</f>
        <v>320</v>
      </c>
      <c r="AA117" s="1">
        <f ca="1">IFERROR(__xludf.DUMMYFUNCTION("""COMPUTED_VALUE"""),1190)</f>
        <v>1190</v>
      </c>
      <c r="AB117" s="1">
        <f ca="1">IFERROR(__xludf.DUMMYFUNCTION("""COMPUTED_VALUE"""),403)</f>
        <v>403</v>
      </c>
      <c r="AC117" s="1">
        <f ca="1">IFERROR(__xludf.DUMMYFUNCTION("""COMPUTED_VALUE"""),255)</f>
        <v>255</v>
      </c>
      <c r="AD117" s="1">
        <f ca="1">IFERROR(__xludf.DUMMYFUNCTION("""COMPUTED_VALUE"""),132)</f>
        <v>132</v>
      </c>
      <c r="AE117" s="1">
        <f ca="1">IFERROR(__xludf.DUMMYFUNCTION("""COMPUTED_VALUE"""),451)</f>
        <v>451</v>
      </c>
      <c r="AF117" s="1">
        <f ca="1">IFERROR(__xludf.DUMMYFUNCTION("""COMPUTED_VALUE"""),590)</f>
        <v>590</v>
      </c>
    </row>
    <row r="118" spans="1:32" ht="12.5" x14ac:dyDescent="0.25">
      <c r="A118" s="1" t="str">
        <f ca="1">IFERROR(__xludf.DUMMYFUNCTION("""COMPUTED_VALUE"""),"Georgia State")</f>
        <v>Georgia State</v>
      </c>
      <c r="B118" s="1">
        <f ca="1">IFERROR(__xludf.DUMMYFUNCTION("""COMPUTED_VALUE"""),34)</f>
        <v>34</v>
      </c>
      <c r="C118" s="1">
        <f ca="1">IFERROR(__xludf.DUMMYFUNCTION("""COMPUTED_VALUE"""),24)</f>
        <v>24</v>
      </c>
      <c r="D118" s="1">
        <f ca="1">IFERROR(__xludf.DUMMYFUNCTION("""COMPUTED_VALUE"""),10)</f>
        <v>10</v>
      </c>
      <c r="E118" s="1">
        <f ca="1">IFERROR(__xludf.DUMMYFUNCTION("""COMPUTED_VALUE"""),0.706)</f>
        <v>0.70599999999999996</v>
      </c>
      <c r="F118" s="1">
        <f ca="1">IFERROR(__xludf.DUMMYFUNCTION("""COMPUTED_VALUE"""),2.44)</f>
        <v>2.44</v>
      </c>
      <c r="G118" s="1">
        <f ca="1">IFERROR(__xludf.DUMMYFUNCTION("""COMPUTED_VALUE"""),0.65)</f>
        <v>0.65</v>
      </c>
      <c r="H118" s="1">
        <f ca="1">IFERROR(__xludf.DUMMYFUNCTION("""COMPUTED_VALUE"""),13)</f>
        <v>13</v>
      </c>
      <c r="I118" s="1">
        <f ca="1">IFERROR(__xludf.DUMMYFUNCTION("""COMPUTED_VALUE"""),5)</f>
        <v>5</v>
      </c>
      <c r="J118" s="1">
        <f ca="1">IFERROR(__xludf.DUMMYFUNCTION("""COMPUTED_VALUE"""),13)</f>
        <v>13</v>
      </c>
      <c r="K118" s="1">
        <f ca="1">IFERROR(__xludf.DUMMYFUNCTION("""COMPUTED_VALUE"""),1)</f>
        <v>1</v>
      </c>
      <c r="L118" s="1">
        <f ca="1">IFERROR(__xludf.DUMMYFUNCTION("""COMPUTED_VALUE"""),7)</f>
        <v>7</v>
      </c>
      <c r="M118" s="1">
        <f ca="1">IFERROR(__xludf.DUMMYFUNCTION("""COMPUTED_VALUE"""),7)</f>
        <v>7</v>
      </c>
      <c r="N118" s="1">
        <f ca="1">IFERROR(__xludf.DUMMYFUNCTION("""COMPUTED_VALUE"""),2598)</f>
        <v>2598</v>
      </c>
      <c r="O118" s="1">
        <f ca="1">IFERROR(__xludf.DUMMYFUNCTION("""COMPUTED_VALUE"""),2491)</f>
        <v>2491</v>
      </c>
      <c r="P118" s="1">
        <f ca="1">IFERROR(__xludf.DUMMYFUNCTION("""COMPUTED_VALUE"""),1360)</f>
        <v>1360</v>
      </c>
      <c r="Q118" s="1">
        <f ca="1">IFERROR(__xludf.DUMMYFUNCTION("""COMPUTED_VALUE"""),903)</f>
        <v>903</v>
      </c>
      <c r="R118" s="1">
        <f ca="1">IFERROR(__xludf.DUMMYFUNCTION("""COMPUTED_VALUE"""),1968)</f>
        <v>1968</v>
      </c>
      <c r="S118" s="1">
        <f ca="1">IFERROR(__xludf.DUMMYFUNCTION("""COMPUTED_VALUE"""),0.459)</f>
        <v>0.45900000000000002</v>
      </c>
      <c r="T118" s="1">
        <f ca="1">IFERROR(__xludf.DUMMYFUNCTION("""COMPUTED_VALUE"""),330)</f>
        <v>330</v>
      </c>
      <c r="U118" s="1">
        <f ca="1">IFERROR(__xludf.DUMMYFUNCTION("""COMPUTED_VALUE"""),859)</f>
        <v>859</v>
      </c>
      <c r="V118" s="1">
        <f ca="1">IFERROR(__xludf.DUMMYFUNCTION("""COMPUTED_VALUE"""),0.384)</f>
        <v>0.38400000000000001</v>
      </c>
      <c r="W118" s="1">
        <f ca="1">IFERROR(__xludf.DUMMYFUNCTION("""COMPUTED_VALUE"""),462)</f>
        <v>462</v>
      </c>
      <c r="X118" s="1">
        <f ca="1">IFERROR(__xludf.DUMMYFUNCTION("""COMPUTED_VALUE"""),694)</f>
        <v>694</v>
      </c>
      <c r="Y118" s="1">
        <f ca="1">IFERROR(__xludf.DUMMYFUNCTION("""COMPUTED_VALUE"""),0.666)</f>
        <v>0.66600000000000004</v>
      </c>
      <c r="Z118" s="1">
        <f ca="1">IFERROR(__xludf.DUMMYFUNCTION("""COMPUTED_VALUE"""),273)</f>
        <v>273</v>
      </c>
      <c r="AA118" s="1">
        <f ca="1">IFERROR(__xludf.DUMMYFUNCTION("""COMPUTED_VALUE"""),1110)</f>
        <v>1110</v>
      </c>
      <c r="AB118" s="1">
        <f ca="1">IFERROR(__xludf.DUMMYFUNCTION("""COMPUTED_VALUE"""),415)</f>
        <v>415</v>
      </c>
      <c r="AC118" s="1">
        <f ca="1">IFERROR(__xludf.DUMMYFUNCTION("""COMPUTED_VALUE"""),269)</f>
        <v>269</v>
      </c>
      <c r="AD118" s="1">
        <f ca="1">IFERROR(__xludf.DUMMYFUNCTION("""COMPUTED_VALUE"""),158)</f>
        <v>158</v>
      </c>
      <c r="AE118" s="1">
        <f ca="1">IFERROR(__xludf.DUMMYFUNCTION("""COMPUTED_VALUE"""),391)</f>
        <v>391</v>
      </c>
      <c r="AF118" s="1">
        <f ca="1">IFERROR(__xludf.DUMMYFUNCTION("""COMPUTED_VALUE"""),583)</f>
        <v>583</v>
      </c>
    </row>
    <row r="119" spans="1:32" ht="12.5" x14ac:dyDescent="0.25">
      <c r="A119" s="1" t="str">
        <f ca="1">IFERROR(__xludf.DUMMYFUNCTION("""COMPUTED_VALUE"""),"Georgia Tech")</f>
        <v>Georgia Tech</v>
      </c>
      <c r="B119" s="1">
        <f ca="1">IFERROR(__xludf.DUMMYFUNCTION("""COMPUTED_VALUE"""),32)</f>
        <v>32</v>
      </c>
      <c r="C119" s="1">
        <f ca="1">IFERROR(__xludf.DUMMYFUNCTION("""COMPUTED_VALUE"""),14)</f>
        <v>14</v>
      </c>
      <c r="D119" s="1">
        <f ca="1">IFERROR(__xludf.DUMMYFUNCTION("""COMPUTED_VALUE"""),18)</f>
        <v>18</v>
      </c>
      <c r="E119" s="1">
        <f ca="1">IFERROR(__xludf.DUMMYFUNCTION("""COMPUTED_VALUE"""),0.438)</f>
        <v>0.438</v>
      </c>
      <c r="F119" s="1">
        <f ca="1">IFERROR(__xludf.DUMMYFUNCTION("""COMPUTED_VALUE"""),6.93)</f>
        <v>6.93</v>
      </c>
      <c r="G119" s="1">
        <f ca="1">IFERROR(__xludf.DUMMYFUNCTION("""COMPUTED_VALUE"""),8.15)</f>
        <v>8.15</v>
      </c>
      <c r="H119" s="1">
        <f ca="1">IFERROR(__xludf.DUMMYFUNCTION("""COMPUTED_VALUE"""),6)</f>
        <v>6</v>
      </c>
      <c r="I119" s="1">
        <f ca="1">IFERROR(__xludf.DUMMYFUNCTION("""COMPUTED_VALUE"""),12)</f>
        <v>12</v>
      </c>
      <c r="J119" s="1">
        <f ca="1">IFERROR(__xludf.DUMMYFUNCTION("""COMPUTED_VALUE"""),11)</f>
        <v>11</v>
      </c>
      <c r="K119" s="1">
        <f ca="1">IFERROR(__xludf.DUMMYFUNCTION("""COMPUTED_VALUE"""),7)</f>
        <v>7</v>
      </c>
      <c r="L119" s="1">
        <f ca="1">IFERROR(__xludf.DUMMYFUNCTION("""COMPUTED_VALUE"""),3)</f>
        <v>3</v>
      </c>
      <c r="M119" s="1">
        <f ca="1">IFERROR(__xludf.DUMMYFUNCTION("""COMPUTED_VALUE"""),9)</f>
        <v>9</v>
      </c>
      <c r="N119" s="1">
        <f ca="1">IFERROR(__xludf.DUMMYFUNCTION("""COMPUTED_VALUE"""),2091)</f>
        <v>2091</v>
      </c>
      <c r="O119" s="1">
        <f ca="1">IFERROR(__xludf.DUMMYFUNCTION("""COMPUTED_VALUE"""),2130)</f>
        <v>2130</v>
      </c>
      <c r="P119" s="1">
        <f ca="1">IFERROR(__xludf.DUMMYFUNCTION("""COMPUTED_VALUE"""),1285)</f>
        <v>1285</v>
      </c>
      <c r="Q119" s="1">
        <f ca="1">IFERROR(__xludf.DUMMYFUNCTION("""COMPUTED_VALUE"""),755)</f>
        <v>755</v>
      </c>
      <c r="R119" s="1">
        <f ca="1">IFERROR(__xludf.DUMMYFUNCTION("""COMPUTED_VALUE"""),1714)</f>
        <v>1714</v>
      </c>
      <c r="S119" s="1">
        <f ca="1">IFERROR(__xludf.DUMMYFUNCTION("""COMPUTED_VALUE"""),0.44)</f>
        <v>0.44</v>
      </c>
      <c r="T119" s="1">
        <f ca="1">IFERROR(__xludf.DUMMYFUNCTION("""COMPUTED_VALUE"""),176)</f>
        <v>176</v>
      </c>
      <c r="U119" s="1">
        <f ca="1">IFERROR(__xludf.DUMMYFUNCTION("""COMPUTED_VALUE"""),573)</f>
        <v>573</v>
      </c>
      <c r="V119" s="1">
        <f ca="1">IFERROR(__xludf.DUMMYFUNCTION("""COMPUTED_VALUE"""),0.307)</f>
        <v>0.307</v>
      </c>
      <c r="W119" s="1">
        <f ca="1">IFERROR(__xludf.DUMMYFUNCTION("""COMPUTED_VALUE"""),405)</f>
        <v>405</v>
      </c>
      <c r="X119" s="1">
        <f ca="1">IFERROR(__xludf.DUMMYFUNCTION("""COMPUTED_VALUE"""),588)</f>
        <v>588</v>
      </c>
      <c r="Y119" s="1">
        <f ca="1">IFERROR(__xludf.DUMMYFUNCTION("""COMPUTED_VALUE"""),0.689)</f>
        <v>0.68899999999999995</v>
      </c>
      <c r="Z119" s="1">
        <f ca="1">IFERROR(__xludf.DUMMYFUNCTION("""COMPUTED_VALUE"""),262)</f>
        <v>262</v>
      </c>
      <c r="AA119" s="1">
        <f ca="1">IFERROR(__xludf.DUMMYFUNCTION("""COMPUTED_VALUE"""),1074)</f>
        <v>1074</v>
      </c>
      <c r="AB119" s="1">
        <f ca="1">IFERROR(__xludf.DUMMYFUNCTION("""COMPUTED_VALUE"""),433)</f>
        <v>433</v>
      </c>
      <c r="AC119" s="1">
        <f ca="1">IFERROR(__xludf.DUMMYFUNCTION("""COMPUTED_VALUE"""),221)</f>
        <v>221</v>
      </c>
      <c r="AD119" s="1">
        <f ca="1">IFERROR(__xludf.DUMMYFUNCTION("""COMPUTED_VALUE"""),166)</f>
        <v>166</v>
      </c>
      <c r="AE119" s="1">
        <f ca="1">IFERROR(__xludf.DUMMYFUNCTION("""COMPUTED_VALUE"""),459)</f>
        <v>459</v>
      </c>
      <c r="AF119" s="1">
        <f ca="1">IFERROR(__xludf.DUMMYFUNCTION("""COMPUTED_VALUE"""),560)</f>
        <v>560</v>
      </c>
    </row>
    <row r="120" spans="1:32" ht="12.5" x14ac:dyDescent="0.25">
      <c r="A120" s="1" t="str">
        <f ca="1">IFERROR(__xludf.DUMMYFUNCTION("""COMPUTED_VALUE"""),"Georgia")</f>
        <v>Georgia</v>
      </c>
      <c r="B120" s="1">
        <f ca="1">IFERROR(__xludf.DUMMYFUNCTION("""COMPUTED_VALUE"""),32)</f>
        <v>32</v>
      </c>
      <c r="C120" s="1">
        <f ca="1">IFERROR(__xludf.DUMMYFUNCTION("""COMPUTED_VALUE"""),11)</f>
        <v>11</v>
      </c>
      <c r="D120" s="1">
        <f ca="1">IFERROR(__xludf.DUMMYFUNCTION("""COMPUTED_VALUE"""),21)</f>
        <v>21</v>
      </c>
      <c r="E120" s="1">
        <f ca="1">IFERROR(__xludf.DUMMYFUNCTION("""COMPUTED_VALUE"""),0.344)</f>
        <v>0.34399999999999997</v>
      </c>
      <c r="F120" s="1">
        <f ca="1">IFERROR(__xludf.DUMMYFUNCTION("""COMPUTED_VALUE"""),5.31)</f>
        <v>5.31</v>
      </c>
      <c r="G120" s="1">
        <f ca="1">IFERROR(__xludf.DUMMYFUNCTION("""COMPUTED_VALUE"""),8.12)</f>
        <v>8.1199999999999992</v>
      </c>
      <c r="H120" s="1">
        <f ca="1">IFERROR(__xludf.DUMMYFUNCTION("""COMPUTED_VALUE"""),2)</f>
        <v>2</v>
      </c>
      <c r="I120" s="1">
        <f ca="1">IFERROR(__xludf.DUMMYFUNCTION("""COMPUTED_VALUE"""),16)</f>
        <v>16</v>
      </c>
      <c r="J120" s="1">
        <f ca="1">IFERROR(__xludf.DUMMYFUNCTION("""COMPUTED_VALUE"""),8)</f>
        <v>8</v>
      </c>
      <c r="K120" s="1">
        <f ca="1">IFERROR(__xludf.DUMMYFUNCTION("""COMPUTED_VALUE"""),9)</f>
        <v>9</v>
      </c>
      <c r="L120" s="1">
        <f ca="1">IFERROR(__xludf.DUMMYFUNCTION("""COMPUTED_VALUE"""),2)</f>
        <v>2</v>
      </c>
      <c r="M120" s="1">
        <f ca="1">IFERROR(__xludf.DUMMYFUNCTION("""COMPUTED_VALUE"""),9)</f>
        <v>9</v>
      </c>
      <c r="N120" s="1">
        <f ca="1">IFERROR(__xludf.DUMMYFUNCTION("""COMPUTED_VALUE"""),2274)</f>
        <v>2274</v>
      </c>
      <c r="O120" s="1">
        <f ca="1">IFERROR(__xludf.DUMMYFUNCTION("""COMPUTED_VALUE"""),2364)</f>
        <v>2364</v>
      </c>
      <c r="P120" s="1">
        <f ca="1">IFERROR(__xludf.DUMMYFUNCTION("""COMPUTED_VALUE"""),1280)</f>
        <v>1280</v>
      </c>
      <c r="Q120" s="1">
        <f ca="1">IFERROR(__xludf.DUMMYFUNCTION("""COMPUTED_VALUE"""),776)</f>
        <v>776</v>
      </c>
      <c r="R120" s="1">
        <f ca="1">IFERROR(__xludf.DUMMYFUNCTION("""COMPUTED_VALUE"""),1761)</f>
        <v>1761</v>
      </c>
      <c r="S120" s="1">
        <f ca="1">IFERROR(__xludf.DUMMYFUNCTION("""COMPUTED_VALUE"""),0.441)</f>
        <v>0.441</v>
      </c>
      <c r="T120" s="1">
        <f ca="1">IFERROR(__xludf.DUMMYFUNCTION("""COMPUTED_VALUE"""),210)</f>
        <v>210</v>
      </c>
      <c r="U120" s="1">
        <f ca="1">IFERROR(__xludf.DUMMYFUNCTION("""COMPUTED_VALUE"""),653)</f>
        <v>653</v>
      </c>
      <c r="V120" s="1">
        <f ca="1">IFERROR(__xludf.DUMMYFUNCTION("""COMPUTED_VALUE"""),0.322)</f>
        <v>0.32200000000000001</v>
      </c>
      <c r="W120" s="1">
        <f ca="1">IFERROR(__xludf.DUMMYFUNCTION("""COMPUTED_VALUE"""),512)</f>
        <v>512</v>
      </c>
      <c r="X120" s="1">
        <f ca="1">IFERROR(__xludf.DUMMYFUNCTION("""COMPUTED_VALUE"""),726)</f>
        <v>726</v>
      </c>
      <c r="Y120" s="1">
        <f ca="1">IFERROR(__xludf.DUMMYFUNCTION("""COMPUTED_VALUE"""),0.705)</f>
        <v>0.70499999999999996</v>
      </c>
      <c r="Z120" s="1">
        <f ca="1">IFERROR(__xludf.DUMMYFUNCTION("""COMPUTED_VALUE"""),357)</f>
        <v>357</v>
      </c>
      <c r="AA120" s="1">
        <f ca="1">IFERROR(__xludf.DUMMYFUNCTION("""COMPUTED_VALUE"""),1215)</f>
        <v>1215</v>
      </c>
      <c r="AB120" s="1">
        <f ca="1">IFERROR(__xludf.DUMMYFUNCTION("""COMPUTED_VALUE"""),423)</f>
        <v>423</v>
      </c>
      <c r="AC120" s="1">
        <f ca="1">IFERROR(__xludf.DUMMYFUNCTION("""COMPUTED_VALUE"""),185)</f>
        <v>185</v>
      </c>
      <c r="AD120" s="1">
        <f ca="1">IFERROR(__xludf.DUMMYFUNCTION("""COMPUTED_VALUE"""),163)</f>
        <v>163</v>
      </c>
      <c r="AE120" s="1">
        <f ca="1">IFERROR(__xludf.DUMMYFUNCTION("""COMPUTED_VALUE"""),506)</f>
        <v>506</v>
      </c>
      <c r="AF120" s="1">
        <f ca="1">IFERROR(__xludf.DUMMYFUNCTION("""COMPUTED_VALUE"""),565)</f>
        <v>565</v>
      </c>
    </row>
    <row r="121" spans="1:32" ht="12.5" x14ac:dyDescent="0.25">
      <c r="A121" s="1" t="str">
        <f ca="1">IFERROR(__xludf.DUMMYFUNCTION("""COMPUTED_VALUE"""),"Gonzaga")</f>
        <v>Gonzaga</v>
      </c>
      <c r="B121" s="1">
        <f ca="1">IFERROR(__xludf.DUMMYFUNCTION("""COMPUTED_VALUE"""),37)</f>
        <v>37</v>
      </c>
      <c r="C121" s="1">
        <f ca="1">IFERROR(__xludf.DUMMYFUNCTION("""COMPUTED_VALUE"""),33)</f>
        <v>33</v>
      </c>
      <c r="D121" s="1">
        <f ca="1">IFERROR(__xludf.DUMMYFUNCTION("""COMPUTED_VALUE"""),4)</f>
        <v>4</v>
      </c>
      <c r="E121" s="1">
        <f ca="1">IFERROR(__xludf.DUMMYFUNCTION("""COMPUTED_VALUE"""),0.892)</f>
        <v>0.89200000000000002</v>
      </c>
      <c r="F121" s="1">
        <f ca="1">IFERROR(__xludf.DUMMYFUNCTION("""COMPUTED_VALUE"""),27.79)</f>
        <v>27.79</v>
      </c>
      <c r="G121" s="1">
        <f ca="1">IFERROR(__xludf.DUMMYFUNCTION("""COMPUTED_VALUE"""),5.01)</f>
        <v>5.01</v>
      </c>
      <c r="H121" s="1">
        <f ca="1">IFERROR(__xludf.DUMMYFUNCTION("""COMPUTED_VALUE"""),16)</f>
        <v>16</v>
      </c>
      <c r="I121" s="1">
        <f ca="1">IFERROR(__xludf.DUMMYFUNCTION("""COMPUTED_VALUE"""),0)</f>
        <v>0</v>
      </c>
      <c r="J121" s="1">
        <f ca="1">IFERROR(__xludf.DUMMYFUNCTION("""COMPUTED_VALUE"""),17)</f>
        <v>17</v>
      </c>
      <c r="K121" s="1">
        <f ca="1">IFERROR(__xludf.DUMMYFUNCTION("""COMPUTED_VALUE"""),0)</f>
        <v>0</v>
      </c>
      <c r="L121" s="1">
        <f ca="1">IFERROR(__xludf.DUMMYFUNCTION("""COMPUTED_VALUE"""),9)</f>
        <v>9</v>
      </c>
      <c r="M121" s="1">
        <f ca="1">IFERROR(__xludf.DUMMYFUNCTION("""COMPUTED_VALUE"""),1)</f>
        <v>1</v>
      </c>
      <c r="N121" s="1">
        <f ca="1">IFERROR(__xludf.DUMMYFUNCTION("""COMPUTED_VALUE"""),3243)</f>
        <v>3243</v>
      </c>
      <c r="O121" s="1">
        <f ca="1">IFERROR(__xludf.DUMMYFUNCTION("""COMPUTED_VALUE"""),2400)</f>
        <v>2400</v>
      </c>
      <c r="P121" s="1">
        <f ca="1">IFERROR(__xludf.DUMMYFUNCTION("""COMPUTED_VALUE"""),1480)</f>
        <v>1480</v>
      </c>
      <c r="Q121" s="1">
        <f ca="1">IFERROR(__xludf.DUMMYFUNCTION("""COMPUTED_VALUE"""),1177)</f>
        <v>1177</v>
      </c>
      <c r="R121" s="1">
        <f ca="1">IFERROR(__xludf.DUMMYFUNCTION("""COMPUTED_VALUE"""),2239)</f>
        <v>2239</v>
      </c>
      <c r="S121" s="1">
        <f ca="1">IFERROR(__xludf.DUMMYFUNCTION("""COMPUTED_VALUE"""),0.526)</f>
        <v>0.52600000000000002</v>
      </c>
      <c r="T121" s="1">
        <f ca="1">IFERROR(__xludf.DUMMYFUNCTION("""COMPUTED_VALUE"""),287)</f>
        <v>287</v>
      </c>
      <c r="U121" s="1">
        <f ca="1">IFERROR(__xludf.DUMMYFUNCTION("""COMPUTED_VALUE"""),790)</f>
        <v>790</v>
      </c>
      <c r="V121" s="1">
        <f ca="1">IFERROR(__xludf.DUMMYFUNCTION("""COMPUTED_VALUE"""),0.363)</f>
        <v>0.36299999999999999</v>
      </c>
      <c r="W121" s="1">
        <f ca="1">IFERROR(__xludf.DUMMYFUNCTION("""COMPUTED_VALUE"""),602)</f>
        <v>602</v>
      </c>
      <c r="X121" s="1">
        <f ca="1">IFERROR(__xludf.DUMMYFUNCTION("""COMPUTED_VALUE"""),791)</f>
        <v>791</v>
      </c>
      <c r="Y121" s="1">
        <f ca="1">IFERROR(__xludf.DUMMYFUNCTION("""COMPUTED_VALUE"""),0.761)</f>
        <v>0.76100000000000001</v>
      </c>
      <c r="Z121" s="1">
        <f ca="1">IFERROR(__xludf.DUMMYFUNCTION("""COMPUTED_VALUE"""),354)</f>
        <v>354</v>
      </c>
      <c r="AA121" s="1">
        <f ca="1">IFERROR(__xludf.DUMMYFUNCTION("""COMPUTED_VALUE"""),1443)</f>
        <v>1443</v>
      </c>
      <c r="AB121" s="1">
        <f ca="1">IFERROR(__xludf.DUMMYFUNCTION("""COMPUTED_VALUE"""),668)</f>
        <v>668</v>
      </c>
      <c r="AC121" s="1">
        <f ca="1">IFERROR(__xludf.DUMMYFUNCTION("""COMPUTED_VALUE"""),278)</f>
        <v>278</v>
      </c>
      <c r="AD121" s="1">
        <f ca="1">IFERROR(__xludf.DUMMYFUNCTION("""COMPUTED_VALUE"""),204)</f>
        <v>204</v>
      </c>
      <c r="AE121" s="1">
        <f ca="1">IFERROR(__xludf.DUMMYFUNCTION("""COMPUTED_VALUE"""),394)</f>
        <v>394</v>
      </c>
      <c r="AF121" s="1">
        <f ca="1">IFERROR(__xludf.DUMMYFUNCTION("""COMPUTED_VALUE"""),603)</f>
        <v>603</v>
      </c>
    </row>
    <row r="122" spans="1:32" ht="12.5" x14ac:dyDescent="0.25">
      <c r="A122" s="1" t="str">
        <f ca="1">IFERROR(__xludf.DUMMYFUNCTION("""COMPUTED_VALUE"""),"Grambling")</f>
        <v>Grambling</v>
      </c>
      <c r="B122" s="1">
        <f ca="1">IFERROR(__xludf.DUMMYFUNCTION("""COMPUTED_VALUE"""),34)</f>
        <v>34</v>
      </c>
      <c r="C122" s="1">
        <f ca="1">IFERROR(__xludf.DUMMYFUNCTION("""COMPUTED_VALUE"""),17)</f>
        <v>17</v>
      </c>
      <c r="D122" s="1">
        <f ca="1">IFERROR(__xludf.DUMMYFUNCTION("""COMPUTED_VALUE"""),17)</f>
        <v>17</v>
      </c>
      <c r="E122" s="1">
        <f ca="1">IFERROR(__xludf.DUMMYFUNCTION("""COMPUTED_VALUE"""),0.5)</f>
        <v>0.5</v>
      </c>
      <c r="F122" s="1">
        <f ca="1">IFERROR(__xludf.DUMMYFUNCTION("""COMPUTED_VALUE"""),-9.73)</f>
        <v>-9.73</v>
      </c>
      <c r="G122" s="1">
        <f ca="1">IFERROR(__xludf.DUMMYFUNCTION("""COMPUTED_VALUE"""),-9.34)</f>
        <v>-9.34</v>
      </c>
      <c r="H122" s="1">
        <f ca="1">IFERROR(__xludf.DUMMYFUNCTION("""COMPUTED_VALUE"""),10)</f>
        <v>10</v>
      </c>
      <c r="I122" s="1">
        <f ca="1">IFERROR(__xludf.DUMMYFUNCTION("""COMPUTED_VALUE"""),8)</f>
        <v>8</v>
      </c>
      <c r="J122" s="1">
        <f ca="1">IFERROR(__xludf.DUMMYFUNCTION("""COMPUTED_VALUE"""),11)</f>
        <v>11</v>
      </c>
      <c r="K122" s="1">
        <f ca="1">IFERROR(__xludf.DUMMYFUNCTION("""COMPUTED_VALUE"""),3)</f>
        <v>3</v>
      </c>
      <c r="L122" s="1">
        <f ca="1">IFERROR(__xludf.DUMMYFUNCTION("""COMPUTED_VALUE"""),6)</f>
        <v>6</v>
      </c>
      <c r="M122" s="1">
        <f ca="1">IFERROR(__xludf.DUMMYFUNCTION("""COMPUTED_VALUE"""),12)</f>
        <v>12</v>
      </c>
      <c r="N122" s="1">
        <f ca="1">IFERROR(__xludf.DUMMYFUNCTION("""COMPUTED_VALUE"""),2426)</f>
        <v>2426</v>
      </c>
      <c r="O122" s="1">
        <f ca="1">IFERROR(__xludf.DUMMYFUNCTION("""COMPUTED_VALUE"""),2336)</f>
        <v>2336</v>
      </c>
      <c r="P122" s="1">
        <f ca="1">IFERROR(__xludf.DUMMYFUNCTION("""COMPUTED_VALUE"""),1370)</f>
        <v>1370</v>
      </c>
      <c r="Q122" s="1">
        <f ca="1">IFERROR(__xludf.DUMMYFUNCTION("""COMPUTED_VALUE"""),834)</f>
        <v>834</v>
      </c>
      <c r="R122" s="1">
        <f ca="1">IFERROR(__xludf.DUMMYFUNCTION("""COMPUTED_VALUE"""),1846)</f>
        <v>1846</v>
      </c>
      <c r="S122" s="1">
        <f ca="1">IFERROR(__xludf.DUMMYFUNCTION("""COMPUTED_VALUE"""),0.452)</f>
        <v>0.45200000000000001</v>
      </c>
      <c r="T122" s="1">
        <f ca="1">IFERROR(__xludf.DUMMYFUNCTION("""COMPUTED_VALUE"""),223)</f>
        <v>223</v>
      </c>
      <c r="U122" s="1">
        <f ca="1">IFERROR(__xludf.DUMMYFUNCTION("""COMPUTED_VALUE"""),553)</f>
        <v>553</v>
      </c>
      <c r="V122" s="1">
        <f ca="1">IFERROR(__xludf.DUMMYFUNCTION("""COMPUTED_VALUE"""),0.403)</f>
        <v>0.40300000000000002</v>
      </c>
      <c r="W122" s="1">
        <f ca="1">IFERROR(__xludf.DUMMYFUNCTION("""COMPUTED_VALUE"""),535)</f>
        <v>535</v>
      </c>
      <c r="X122" s="1">
        <f ca="1">IFERROR(__xludf.DUMMYFUNCTION("""COMPUTED_VALUE"""),781)</f>
        <v>781</v>
      </c>
      <c r="Y122" s="1">
        <f ca="1">IFERROR(__xludf.DUMMYFUNCTION("""COMPUTED_VALUE"""),0.685)</f>
        <v>0.68500000000000005</v>
      </c>
      <c r="Z122" s="1">
        <f ca="1">IFERROR(__xludf.DUMMYFUNCTION("""COMPUTED_VALUE"""),307)</f>
        <v>307</v>
      </c>
      <c r="AA122" s="1">
        <f ca="1">IFERROR(__xludf.DUMMYFUNCTION("""COMPUTED_VALUE"""),1287)</f>
        <v>1287</v>
      </c>
      <c r="AB122" s="1">
        <f ca="1">IFERROR(__xludf.DUMMYFUNCTION("""COMPUTED_VALUE"""),420)</f>
        <v>420</v>
      </c>
      <c r="AC122" s="1">
        <f ca="1">IFERROR(__xludf.DUMMYFUNCTION("""COMPUTED_VALUE"""),193)</f>
        <v>193</v>
      </c>
      <c r="AD122" s="1">
        <f ca="1">IFERROR(__xludf.DUMMYFUNCTION("""COMPUTED_VALUE"""),147)</f>
        <v>147</v>
      </c>
      <c r="AE122" s="1">
        <f ca="1">IFERROR(__xludf.DUMMYFUNCTION("""COMPUTED_VALUE"""),536)</f>
        <v>536</v>
      </c>
      <c r="AF122" s="1">
        <f ca="1">IFERROR(__xludf.DUMMYFUNCTION("""COMPUTED_VALUE"""),699)</f>
        <v>699</v>
      </c>
    </row>
    <row r="123" spans="1:32" ht="12.5" x14ac:dyDescent="0.25">
      <c r="A123" s="1" t="str">
        <f ca="1">IFERROR(__xludf.DUMMYFUNCTION("""COMPUTED_VALUE"""),"Grand Canyon")</f>
        <v>Grand Canyon</v>
      </c>
      <c r="B123" s="1">
        <f ca="1">IFERROR(__xludf.DUMMYFUNCTION("""COMPUTED_VALUE"""),34)</f>
        <v>34</v>
      </c>
      <c r="C123" s="1">
        <f ca="1">IFERROR(__xludf.DUMMYFUNCTION("""COMPUTED_VALUE"""),20)</f>
        <v>20</v>
      </c>
      <c r="D123" s="1">
        <f ca="1">IFERROR(__xludf.DUMMYFUNCTION("""COMPUTED_VALUE"""),14)</f>
        <v>14</v>
      </c>
      <c r="E123" s="1">
        <f ca="1">IFERROR(__xludf.DUMMYFUNCTION("""COMPUTED_VALUE"""),0.588)</f>
        <v>0.58799999999999997</v>
      </c>
      <c r="F123" s="1">
        <f ca="1">IFERROR(__xludf.DUMMYFUNCTION("""COMPUTED_VALUE"""),3.85)</f>
        <v>3.85</v>
      </c>
      <c r="G123" s="1">
        <f ca="1">IFERROR(__xludf.DUMMYFUNCTION("""COMPUTED_VALUE"""),-1.49)</f>
        <v>-1.49</v>
      </c>
      <c r="H123" s="1">
        <f ca="1">IFERROR(__xludf.DUMMYFUNCTION("""COMPUTED_VALUE"""),10)</f>
        <v>10</v>
      </c>
      <c r="I123" s="1">
        <f ca="1">IFERROR(__xludf.DUMMYFUNCTION("""COMPUTED_VALUE"""),6)</f>
        <v>6</v>
      </c>
      <c r="J123" s="1">
        <f ca="1">IFERROR(__xludf.DUMMYFUNCTION("""COMPUTED_VALUE"""),12)</f>
        <v>12</v>
      </c>
      <c r="K123" s="1">
        <f ca="1">IFERROR(__xludf.DUMMYFUNCTION("""COMPUTED_VALUE"""),2)</f>
        <v>2</v>
      </c>
      <c r="L123" s="1">
        <f ca="1">IFERROR(__xludf.DUMMYFUNCTION("""COMPUTED_VALUE"""),5)</f>
        <v>5</v>
      </c>
      <c r="M123" s="1">
        <f ca="1">IFERROR(__xludf.DUMMYFUNCTION("""COMPUTED_VALUE"""),8)</f>
        <v>8</v>
      </c>
      <c r="N123" s="1">
        <f ca="1">IFERROR(__xludf.DUMMYFUNCTION("""COMPUTED_VALUE"""),2560)</f>
        <v>2560</v>
      </c>
      <c r="O123" s="1">
        <f ca="1">IFERROR(__xludf.DUMMYFUNCTION("""COMPUTED_VALUE"""),2353)</f>
        <v>2353</v>
      </c>
      <c r="P123" s="1">
        <f ca="1">IFERROR(__xludf.DUMMYFUNCTION("""COMPUTED_VALUE"""),1370)</f>
        <v>1370</v>
      </c>
      <c r="Q123" s="1">
        <f ca="1">IFERROR(__xludf.DUMMYFUNCTION("""COMPUTED_VALUE"""),907)</f>
        <v>907</v>
      </c>
      <c r="R123" s="1">
        <f ca="1">IFERROR(__xludf.DUMMYFUNCTION("""COMPUTED_VALUE"""),2006)</f>
        <v>2006</v>
      </c>
      <c r="S123" s="1">
        <f ca="1">IFERROR(__xludf.DUMMYFUNCTION("""COMPUTED_VALUE"""),0.452)</f>
        <v>0.45200000000000001</v>
      </c>
      <c r="T123" s="1">
        <f ca="1">IFERROR(__xludf.DUMMYFUNCTION("""COMPUTED_VALUE"""),257)</f>
        <v>257</v>
      </c>
      <c r="U123" s="1">
        <f ca="1">IFERROR(__xludf.DUMMYFUNCTION("""COMPUTED_VALUE"""),777)</f>
        <v>777</v>
      </c>
      <c r="V123" s="1">
        <f ca="1">IFERROR(__xludf.DUMMYFUNCTION("""COMPUTED_VALUE"""),0.331)</f>
        <v>0.33100000000000002</v>
      </c>
      <c r="W123" s="1">
        <f ca="1">IFERROR(__xludf.DUMMYFUNCTION("""COMPUTED_VALUE"""),487)</f>
        <v>487</v>
      </c>
      <c r="X123" s="1">
        <f ca="1">IFERROR(__xludf.DUMMYFUNCTION("""COMPUTED_VALUE"""),666)</f>
        <v>666</v>
      </c>
      <c r="Y123" s="1">
        <f ca="1">IFERROR(__xludf.DUMMYFUNCTION("""COMPUTED_VALUE"""),0.731)</f>
        <v>0.73099999999999998</v>
      </c>
      <c r="Z123" s="1">
        <f ca="1">IFERROR(__xludf.DUMMYFUNCTION("""COMPUTED_VALUE"""),350)</f>
        <v>350</v>
      </c>
      <c r="AA123" s="1">
        <f ca="1">IFERROR(__xludf.DUMMYFUNCTION("""COMPUTED_VALUE"""),1238)</f>
        <v>1238</v>
      </c>
      <c r="AB123" s="1">
        <f ca="1">IFERROR(__xludf.DUMMYFUNCTION("""COMPUTED_VALUE"""),478)</f>
        <v>478</v>
      </c>
      <c r="AC123" s="1">
        <f ca="1">IFERROR(__xludf.DUMMYFUNCTION("""COMPUTED_VALUE"""),207)</f>
        <v>207</v>
      </c>
      <c r="AD123" s="1">
        <f ca="1">IFERROR(__xludf.DUMMYFUNCTION("""COMPUTED_VALUE"""),75)</f>
        <v>75</v>
      </c>
      <c r="AE123" s="1">
        <f ca="1">IFERROR(__xludf.DUMMYFUNCTION("""COMPUTED_VALUE"""),411)</f>
        <v>411</v>
      </c>
      <c r="AF123" s="1">
        <f ca="1">IFERROR(__xludf.DUMMYFUNCTION("""COMPUTED_VALUE"""),598)</f>
        <v>598</v>
      </c>
    </row>
    <row r="124" spans="1:32" ht="12.5" x14ac:dyDescent="0.25">
      <c r="A124" s="1" t="str">
        <f ca="1">IFERROR(__xludf.DUMMYFUNCTION("""COMPUTED_VALUE"""),"Green Bay")</f>
        <v>Green Bay</v>
      </c>
      <c r="B124" s="1">
        <f ca="1">IFERROR(__xludf.DUMMYFUNCTION("""COMPUTED_VALUE"""),38)</f>
        <v>38</v>
      </c>
      <c r="C124" s="1">
        <f ca="1">IFERROR(__xludf.DUMMYFUNCTION("""COMPUTED_VALUE"""),21)</f>
        <v>21</v>
      </c>
      <c r="D124" s="1">
        <f ca="1">IFERROR(__xludf.DUMMYFUNCTION("""COMPUTED_VALUE"""),17)</f>
        <v>17</v>
      </c>
      <c r="E124" s="1">
        <f ca="1">IFERROR(__xludf.DUMMYFUNCTION("""COMPUTED_VALUE"""),0.553)</f>
        <v>0.55300000000000005</v>
      </c>
      <c r="F124" s="1">
        <f ca="1">IFERROR(__xludf.DUMMYFUNCTION("""COMPUTED_VALUE"""),-2.24)</f>
        <v>-2.2400000000000002</v>
      </c>
      <c r="G124" s="1">
        <f ca="1">IFERROR(__xludf.DUMMYFUNCTION("""COMPUTED_VALUE"""),-0.36)</f>
        <v>-0.36</v>
      </c>
      <c r="H124" s="1">
        <f ca="1">IFERROR(__xludf.DUMMYFUNCTION("""COMPUTED_VALUE"""),10)</f>
        <v>10</v>
      </c>
      <c r="I124" s="1">
        <f ca="1">IFERROR(__xludf.DUMMYFUNCTION("""COMPUTED_VALUE"""),8)</f>
        <v>8</v>
      </c>
      <c r="J124" s="1">
        <f ca="1">IFERROR(__xludf.DUMMYFUNCTION("""COMPUTED_VALUE"""),15)</f>
        <v>15</v>
      </c>
      <c r="K124" s="1">
        <f ca="1">IFERROR(__xludf.DUMMYFUNCTION("""COMPUTED_VALUE"""),3)</f>
        <v>3</v>
      </c>
      <c r="L124" s="1">
        <f ca="1">IFERROR(__xludf.DUMMYFUNCTION("""COMPUTED_VALUE"""),5)</f>
        <v>5</v>
      </c>
      <c r="M124" s="1">
        <f ca="1">IFERROR(__xludf.DUMMYFUNCTION("""COMPUTED_VALUE"""),13)</f>
        <v>13</v>
      </c>
      <c r="N124" s="1">
        <f ca="1">IFERROR(__xludf.DUMMYFUNCTION("""COMPUTED_VALUE"""),3090)</f>
        <v>3090</v>
      </c>
      <c r="O124" s="1">
        <f ca="1">IFERROR(__xludf.DUMMYFUNCTION("""COMPUTED_VALUE"""),3036)</f>
        <v>3036</v>
      </c>
      <c r="P124" s="1">
        <f ca="1">IFERROR(__xludf.DUMMYFUNCTION("""COMPUTED_VALUE"""),1535)</f>
        <v>1535</v>
      </c>
      <c r="Q124" s="1">
        <f ca="1">IFERROR(__xludf.DUMMYFUNCTION("""COMPUTED_VALUE"""),1106)</f>
        <v>1106</v>
      </c>
      <c r="R124" s="1">
        <f ca="1">IFERROR(__xludf.DUMMYFUNCTION("""COMPUTED_VALUE"""),2413)</f>
        <v>2413</v>
      </c>
      <c r="S124" s="1">
        <f ca="1">IFERROR(__xludf.DUMMYFUNCTION("""COMPUTED_VALUE"""),0.458)</f>
        <v>0.45800000000000002</v>
      </c>
      <c r="T124" s="1">
        <f ca="1">IFERROR(__xludf.DUMMYFUNCTION("""COMPUTED_VALUE"""),303)</f>
        <v>303</v>
      </c>
      <c r="U124" s="1">
        <f ca="1">IFERROR(__xludf.DUMMYFUNCTION("""COMPUTED_VALUE"""),879)</f>
        <v>879</v>
      </c>
      <c r="V124" s="1">
        <f ca="1">IFERROR(__xludf.DUMMYFUNCTION("""COMPUTED_VALUE"""),0.345)</f>
        <v>0.34499999999999997</v>
      </c>
      <c r="W124" s="1">
        <f ca="1">IFERROR(__xludf.DUMMYFUNCTION("""COMPUTED_VALUE"""),575)</f>
        <v>575</v>
      </c>
      <c r="X124" s="1">
        <f ca="1">IFERROR(__xludf.DUMMYFUNCTION("""COMPUTED_VALUE"""),818)</f>
        <v>818</v>
      </c>
      <c r="Y124" s="1">
        <f ca="1">IFERROR(__xludf.DUMMYFUNCTION("""COMPUTED_VALUE"""),0.703)</f>
        <v>0.70299999999999996</v>
      </c>
      <c r="Z124" s="1">
        <f ca="1">IFERROR(__xludf.DUMMYFUNCTION("""COMPUTED_VALUE"""),376)</f>
        <v>376</v>
      </c>
      <c r="AA124" s="1">
        <f ca="1">IFERROR(__xludf.DUMMYFUNCTION("""COMPUTED_VALUE"""),1406)</f>
        <v>1406</v>
      </c>
      <c r="AB124" s="1">
        <f ca="1">IFERROR(__xludf.DUMMYFUNCTION("""COMPUTED_VALUE"""),578)</f>
        <v>578</v>
      </c>
      <c r="AC124" s="1">
        <f ca="1">IFERROR(__xludf.DUMMYFUNCTION("""COMPUTED_VALUE"""),291)</f>
        <v>291</v>
      </c>
      <c r="AD124" s="1">
        <f ca="1">IFERROR(__xludf.DUMMYFUNCTION("""COMPUTED_VALUE"""),154)</f>
        <v>154</v>
      </c>
      <c r="AE124" s="1">
        <f ca="1">IFERROR(__xludf.DUMMYFUNCTION("""COMPUTED_VALUE"""),500)</f>
        <v>500</v>
      </c>
      <c r="AF124" s="1">
        <f ca="1">IFERROR(__xludf.DUMMYFUNCTION("""COMPUTED_VALUE"""),730)</f>
        <v>730</v>
      </c>
    </row>
    <row r="125" spans="1:32" ht="12.5" x14ac:dyDescent="0.25">
      <c r="A125" s="1" t="str">
        <f ca="1">IFERROR(__xludf.DUMMYFUNCTION("""COMPUTED_VALUE"""),"Hampton")</f>
        <v>Hampton</v>
      </c>
      <c r="B125" s="1">
        <f ca="1">IFERROR(__xludf.DUMMYFUNCTION("""COMPUTED_VALUE"""),35)</f>
        <v>35</v>
      </c>
      <c r="C125" s="1">
        <f ca="1">IFERROR(__xludf.DUMMYFUNCTION("""COMPUTED_VALUE"""),18)</f>
        <v>18</v>
      </c>
      <c r="D125" s="1">
        <f ca="1">IFERROR(__xludf.DUMMYFUNCTION("""COMPUTED_VALUE"""),17)</f>
        <v>17</v>
      </c>
      <c r="E125" s="1">
        <f ca="1">IFERROR(__xludf.DUMMYFUNCTION("""COMPUTED_VALUE"""),0.514)</f>
        <v>0.51400000000000001</v>
      </c>
      <c r="F125" s="1">
        <f ca="1">IFERROR(__xludf.DUMMYFUNCTION("""COMPUTED_VALUE"""),-3.34)</f>
        <v>-3.34</v>
      </c>
      <c r="G125" s="1">
        <f ca="1">IFERROR(__xludf.DUMMYFUNCTION("""COMPUTED_VALUE"""),-5.06)</f>
        <v>-5.0599999999999996</v>
      </c>
      <c r="H125" s="1">
        <f ca="1">IFERROR(__xludf.DUMMYFUNCTION("""COMPUTED_VALUE"""),9)</f>
        <v>9</v>
      </c>
      <c r="I125" s="1">
        <f ca="1">IFERROR(__xludf.DUMMYFUNCTION("""COMPUTED_VALUE"""),7)</f>
        <v>7</v>
      </c>
      <c r="J125" s="1">
        <f ca="1">IFERROR(__xludf.DUMMYFUNCTION("""COMPUTED_VALUE"""),12)</f>
        <v>12</v>
      </c>
      <c r="K125" s="1">
        <f ca="1">IFERROR(__xludf.DUMMYFUNCTION("""COMPUTED_VALUE"""),3)</f>
        <v>3</v>
      </c>
      <c r="L125" s="1">
        <f ca="1">IFERROR(__xludf.DUMMYFUNCTION("""COMPUTED_VALUE"""),6)</f>
        <v>6</v>
      </c>
      <c r="M125" s="1">
        <f ca="1">IFERROR(__xludf.DUMMYFUNCTION("""COMPUTED_VALUE"""),12)</f>
        <v>12</v>
      </c>
      <c r="N125" s="1">
        <f ca="1">IFERROR(__xludf.DUMMYFUNCTION("""COMPUTED_VALUE"""),2847)</f>
        <v>2847</v>
      </c>
      <c r="O125" s="1">
        <f ca="1">IFERROR(__xludf.DUMMYFUNCTION("""COMPUTED_VALUE"""),2669)</f>
        <v>2669</v>
      </c>
      <c r="P125" s="1">
        <f ca="1">IFERROR(__xludf.DUMMYFUNCTION("""COMPUTED_VALUE"""),1430)</f>
        <v>1430</v>
      </c>
      <c r="Q125" s="1">
        <f ca="1">IFERROR(__xludf.DUMMYFUNCTION("""COMPUTED_VALUE"""),966)</f>
        <v>966</v>
      </c>
      <c r="R125" s="1">
        <f ca="1">IFERROR(__xludf.DUMMYFUNCTION("""COMPUTED_VALUE"""),2236)</f>
        <v>2236</v>
      </c>
      <c r="S125" s="1">
        <f ca="1">IFERROR(__xludf.DUMMYFUNCTION("""COMPUTED_VALUE"""),0.432)</f>
        <v>0.432</v>
      </c>
      <c r="T125" s="1">
        <f ca="1">IFERROR(__xludf.DUMMYFUNCTION("""COMPUTED_VALUE"""),291)</f>
        <v>291</v>
      </c>
      <c r="U125" s="1">
        <f ca="1">IFERROR(__xludf.DUMMYFUNCTION("""COMPUTED_VALUE"""),844)</f>
        <v>844</v>
      </c>
      <c r="V125" s="1">
        <f ca="1">IFERROR(__xludf.DUMMYFUNCTION("""COMPUTED_VALUE"""),0.345)</f>
        <v>0.34499999999999997</v>
      </c>
      <c r="W125" s="1">
        <f ca="1">IFERROR(__xludf.DUMMYFUNCTION("""COMPUTED_VALUE"""),622)</f>
        <v>622</v>
      </c>
      <c r="X125" s="1">
        <f ca="1">IFERROR(__xludf.DUMMYFUNCTION("""COMPUTED_VALUE"""),790)</f>
        <v>790</v>
      </c>
      <c r="Y125" s="1">
        <f ca="1">IFERROR(__xludf.DUMMYFUNCTION("""COMPUTED_VALUE"""),0.787)</f>
        <v>0.78700000000000003</v>
      </c>
      <c r="Z125" s="1">
        <f ca="1">IFERROR(__xludf.DUMMYFUNCTION("""COMPUTED_VALUE"""),363)</f>
        <v>363</v>
      </c>
      <c r="AA125" s="1">
        <f ca="1">IFERROR(__xludf.DUMMYFUNCTION("""COMPUTED_VALUE"""),1370)</f>
        <v>1370</v>
      </c>
      <c r="AB125" s="1">
        <f ca="1">IFERROR(__xludf.DUMMYFUNCTION("""COMPUTED_VALUE"""),487)</f>
        <v>487</v>
      </c>
      <c r="AC125" s="1">
        <f ca="1">IFERROR(__xludf.DUMMYFUNCTION("""COMPUTED_VALUE"""),215)</f>
        <v>215</v>
      </c>
      <c r="AD125" s="1">
        <f ca="1">IFERROR(__xludf.DUMMYFUNCTION("""COMPUTED_VALUE"""),121)</f>
        <v>121</v>
      </c>
      <c r="AE125" s="1">
        <f ca="1">IFERROR(__xludf.DUMMYFUNCTION("""COMPUTED_VALUE"""),379)</f>
        <v>379</v>
      </c>
      <c r="AF125" s="1">
        <f ca="1">IFERROR(__xludf.DUMMYFUNCTION("""COMPUTED_VALUE"""),649)</f>
        <v>649</v>
      </c>
    </row>
    <row r="126" spans="1:32" ht="12.5" x14ac:dyDescent="0.25">
      <c r="A126" s="1" t="str">
        <f ca="1">IFERROR(__xludf.DUMMYFUNCTION("""COMPUTED_VALUE"""),"Hartford")</f>
        <v>Hartford</v>
      </c>
      <c r="B126" s="1">
        <f ca="1">IFERROR(__xludf.DUMMYFUNCTION("""COMPUTED_VALUE"""),33)</f>
        <v>33</v>
      </c>
      <c r="C126" s="1">
        <f ca="1">IFERROR(__xludf.DUMMYFUNCTION("""COMPUTED_VALUE"""),18)</f>
        <v>18</v>
      </c>
      <c r="D126" s="1">
        <f ca="1">IFERROR(__xludf.DUMMYFUNCTION("""COMPUTED_VALUE"""),15)</f>
        <v>15</v>
      </c>
      <c r="E126" s="1">
        <f ca="1">IFERROR(__xludf.DUMMYFUNCTION("""COMPUTED_VALUE"""),0.545)</f>
        <v>0.54500000000000004</v>
      </c>
      <c r="F126" s="1">
        <f ca="1">IFERROR(__xludf.DUMMYFUNCTION("""COMPUTED_VALUE"""),-3.95)</f>
        <v>-3.95</v>
      </c>
      <c r="G126" s="1">
        <f ca="1">IFERROR(__xludf.DUMMYFUNCTION("""COMPUTED_VALUE"""),-4.89)</f>
        <v>-4.8899999999999997</v>
      </c>
      <c r="H126" s="1">
        <f ca="1">IFERROR(__xludf.DUMMYFUNCTION("""COMPUTED_VALUE"""),10)</f>
        <v>10</v>
      </c>
      <c r="I126" s="1">
        <f ca="1">IFERROR(__xludf.DUMMYFUNCTION("""COMPUTED_VALUE"""),6)</f>
        <v>6</v>
      </c>
      <c r="J126" s="1">
        <f ca="1">IFERROR(__xludf.DUMMYFUNCTION("""COMPUTED_VALUE"""),10)</f>
        <v>10</v>
      </c>
      <c r="K126" s="1">
        <f ca="1">IFERROR(__xludf.DUMMYFUNCTION("""COMPUTED_VALUE"""),4)</f>
        <v>4</v>
      </c>
      <c r="L126" s="1">
        <f ca="1">IFERROR(__xludf.DUMMYFUNCTION("""COMPUTED_VALUE"""),8)</f>
        <v>8</v>
      </c>
      <c r="M126" s="1">
        <f ca="1">IFERROR(__xludf.DUMMYFUNCTION("""COMPUTED_VALUE"""),9)</f>
        <v>9</v>
      </c>
      <c r="N126" s="1">
        <f ca="1">IFERROR(__xludf.DUMMYFUNCTION("""COMPUTED_VALUE"""),2477)</f>
        <v>2477</v>
      </c>
      <c r="O126" s="1">
        <f ca="1">IFERROR(__xludf.DUMMYFUNCTION("""COMPUTED_VALUE"""),2407)</f>
        <v>2407</v>
      </c>
      <c r="P126" s="1">
        <f ca="1">IFERROR(__xludf.DUMMYFUNCTION("""COMPUTED_VALUE"""),1345)</f>
        <v>1345</v>
      </c>
      <c r="Q126" s="1">
        <f ca="1">IFERROR(__xludf.DUMMYFUNCTION("""COMPUTED_VALUE"""),848)</f>
        <v>848</v>
      </c>
      <c r="R126" s="1">
        <f ca="1">IFERROR(__xludf.DUMMYFUNCTION("""COMPUTED_VALUE"""),1862)</f>
        <v>1862</v>
      </c>
      <c r="S126" s="1">
        <f ca="1">IFERROR(__xludf.DUMMYFUNCTION("""COMPUTED_VALUE"""),0.455)</f>
        <v>0.45500000000000002</v>
      </c>
      <c r="T126" s="1">
        <f ca="1">IFERROR(__xludf.DUMMYFUNCTION("""COMPUTED_VALUE"""),322)</f>
        <v>322</v>
      </c>
      <c r="U126" s="1">
        <f ca="1">IFERROR(__xludf.DUMMYFUNCTION("""COMPUTED_VALUE"""),846)</f>
        <v>846</v>
      </c>
      <c r="V126" s="1">
        <f ca="1">IFERROR(__xludf.DUMMYFUNCTION("""COMPUTED_VALUE"""),0.381)</f>
        <v>0.38100000000000001</v>
      </c>
      <c r="W126" s="1">
        <f ca="1">IFERROR(__xludf.DUMMYFUNCTION("""COMPUTED_VALUE"""),459)</f>
        <v>459</v>
      </c>
      <c r="X126" s="1">
        <f ca="1">IFERROR(__xludf.DUMMYFUNCTION("""COMPUTED_VALUE"""),619)</f>
        <v>619</v>
      </c>
      <c r="Y126" s="1">
        <f ca="1">IFERROR(__xludf.DUMMYFUNCTION("""COMPUTED_VALUE"""),0.742)</f>
        <v>0.74199999999999999</v>
      </c>
      <c r="Z126" s="1">
        <f ca="1">IFERROR(__xludf.DUMMYFUNCTION("""COMPUTED_VALUE"""),278)</f>
        <v>278</v>
      </c>
      <c r="AA126" s="1">
        <f ca="1">IFERROR(__xludf.DUMMYFUNCTION("""COMPUTED_VALUE"""),1050)</f>
        <v>1050</v>
      </c>
      <c r="AB126" s="1">
        <f ca="1">IFERROR(__xludf.DUMMYFUNCTION("""COMPUTED_VALUE"""),462)</f>
        <v>462</v>
      </c>
      <c r="AC126" s="1">
        <f ca="1">IFERROR(__xludf.DUMMYFUNCTION("""COMPUTED_VALUE"""),228)</f>
        <v>228</v>
      </c>
      <c r="AD126" s="1">
        <f ca="1">IFERROR(__xludf.DUMMYFUNCTION("""COMPUTED_VALUE"""),69)</f>
        <v>69</v>
      </c>
      <c r="AE126" s="1">
        <f ca="1">IFERROR(__xludf.DUMMYFUNCTION("""COMPUTED_VALUE"""),401)</f>
        <v>401</v>
      </c>
      <c r="AF126" s="1">
        <f ca="1">IFERROR(__xludf.DUMMYFUNCTION("""COMPUTED_VALUE"""),556)</f>
        <v>556</v>
      </c>
    </row>
    <row r="127" spans="1:32" ht="12.5" x14ac:dyDescent="0.25">
      <c r="A127" s="1" t="str">
        <f ca="1">IFERROR(__xludf.DUMMYFUNCTION("""COMPUTED_VALUE"""),"Harvard")</f>
        <v>Harvard</v>
      </c>
      <c r="B127" s="1">
        <f ca="1">IFERROR(__xludf.DUMMYFUNCTION("""COMPUTED_VALUE"""),31)</f>
        <v>31</v>
      </c>
      <c r="C127" s="1">
        <f ca="1">IFERROR(__xludf.DUMMYFUNCTION("""COMPUTED_VALUE"""),19)</f>
        <v>19</v>
      </c>
      <c r="D127" s="1">
        <f ca="1">IFERROR(__xludf.DUMMYFUNCTION("""COMPUTED_VALUE"""),12)</f>
        <v>12</v>
      </c>
      <c r="E127" s="1">
        <f ca="1">IFERROR(__xludf.DUMMYFUNCTION("""COMPUTED_VALUE"""),0.613)</f>
        <v>0.61299999999999999</v>
      </c>
      <c r="F127" s="1">
        <f ca="1">IFERROR(__xludf.DUMMYFUNCTION("""COMPUTED_VALUE"""),1.86)</f>
        <v>1.86</v>
      </c>
      <c r="G127" s="1">
        <f ca="1">IFERROR(__xludf.DUMMYFUNCTION("""COMPUTED_VALUE"""),0.66)</f>
        <v>0.66</v>
      </c>
      <c r="H127" s="1">
        <f ca="1">IFERROR(__xludf.DUMMYFUNCTION("""COMPUTED_VALUE"""),10)</f>
        <v>10</v>
      </c>
      <c r="I127" s="1">
        <f ca="1">IFERROR(__xludf.DUMMYFUNCTION("""COMPUTED_VALUE"""),4)</f>
        <v>4</v>
      </c>
      <c r="J127" s="1">
        <f ca="1">IFERROR(__xludf.DUMMYFUNCTION("""COMPUTED_VALUE"""),9)</f>
        <v>9</v>
      </c>
      <c r="K127" s="1">
        <f ca="1">IFERROR(__xludf.DUMMYFUNCTION("""COMPUTED_VALUE"""),2)</f>
        <v>2</v>
      </c>
      <c r="L127" s="1">
        <f ca="1">IFERROR(__xludf.DUMMYFUNCTION("""COMPUTED_VALUE"""),8)</f>
        <v>8</v>
      </c>
      <c r="M127" s="1">
        <f ca="1">IFERROR(__xludf.DUMMYFUNCTION("""COMPUTED_VALUE"""),9)</f>
        <v>9</v>
      </c>
      <c r="N127" s="1">
        <f ca="1">IFERROR(__xludf.DUMMYFUNCTION("""COMPUTED_VALUE"""),2222)</f>
        <v>2222</v>
      </c>
      <c r="O127" s="1">
        <f ca="1">IFERROR(__xludf.DUMMYFUNCTION("""COMPUTED_VALUE"""),2174)</f>
        <v>2174</v>
      </c>
      <c r="P127" s="1">
        <f ca="1">IFERROR(__xludf.DUMMYFUNCTION("""COMPUTED_VALUE"""),1265)</f>
        <v>1265</v>
      </c>
      <c r="Q127" s="1">
        <f ca="1">IFERROR(__xludf.DUMMYFUNCTION("""COMPUTED_VALUE"""),787)</f>
        <v>787</v>
      </c>
      <c r="R127" s="1">
        <f ca="1">IFERROR(__xludf.DUMMYFUNCTION("""COMPUTED_VALUE"""),1711)</f>
        <v>1711</v>
      </c>
      <c r="S127" s="1">
        <f ca="1">IFERROR(__xludf.DUMMYFUNCTION("""COMPUTED_VALUE"""),0.46)</f>
        <v>0.46</v>
      </c>
      <c r="T127" s="1">
        <f ca="1">IFERROR(__xludf.DUMMYFUNCTION("""COMPUTED_VALUE"""),260)</f>
        <v>260</v>
      </c>
      <c r="U127" s="1">
        <f ca="1">IFERROR(__xludf.DUMMYFUNCTION("""COMPUTED_VALUE"""),722)</f>
        <v>722</v>
      </c>
      <c r="V127" s="1">
        <f ca="1">IFERROR(__xludf.DUMMYFUNCTION("""COMPUTED_VALUE"""),0.36)</f>
        <v>0.36</v>
      </c>
      <c r="W127" s="1">
        <f ca="1">IFERROR(__xludf.DUMMYFUNCTION("""COMPUTED_VALUE"""),388)</f>
        <v>388</v>
      </c>
      <c r="X127" s="1">
        <f ca="1">IFERROR(__xludf.DUMMYFUNCTION("""COMPUTED_VALUE"""),538)</f>
        <v>538</v>
      </c>
      <c r="Y127" s="1">
        <f ca="1">IFERROR(__xludf.DUMMYFUNCTION("""COMPUTED_VALUE"""),0.721)</f>
        <v>0.72099999999999997</v>
      </c>
      <c r="Z127" s="1">
        <f ca="1">IFERROR(__xludf.DUMMYFUNCTION("""COMPUTED_VALUE"""),288)</f>
        <v>288</v>
      </c>
      <c r="AA127" s="1">
        <f ca="1">IFERROR(__xludf.DUMMYFUNCTION("""COMPUTED_VALUE"""),1119)</f>
        <v>1119</v>
      </c>
      <c r="AB127" s="1">
        <f ca="1">IFERROR(__xludf.DUMMYFUNCTION("""COMPUTED_VALUE"""),369)</f>
        <v>369</v>
      </c>
      <c r="AC127" s="1">
        <f ca="1">IFERROR(__xludf.DUMMYFUNCTION("""COMPUTED_VALUE"""),174)</f>
        <v>174</v>
      </c>
      <c r="AD127" s="1">
        <f ca="1">IFERROR(__xludf.DUMMYFUNCTION("""COMPUTED_VALUE"""),123)</f>
        <v>123</v>
      </c>
      <c r="AE127" s="1">
        <f ca="1">IFERROR(__xludf.DUMMYFUNCTION("""COMPUTED_VALUE"""),491)</f>
        <v>491</v>
      </c>
      <c r="AF127" s="1">
        <f ca="1">IFERROR(__xludf.DUMMYFUNCTION("""COMPUTED_VALUE"""),554)</f>
        <v>554</v>
      </c>
    </row>
    <row r="128" spans="1:32" ht="12.5" x14ac:dyDescent="0.25">
      <c r="A128" s="1" t="str">
        <f ca="1">IFERROR(__xludf.DUMMYFUNCTION("""COMPUTED_VALUE"""),"Hawaii")</f>
        <v>Hawaii</v>
      </c>
      <c r="B128" s="1">
        <f ca="1">IFERROR(__xludf.DUMMYFUNCTION("""COMPUTED_VALUE"""),31)</f>
        <v>31</v>
      </c>
      <c r="C128" s="1">
        <f ca="1">IFERROR(__xludf.DUMMYFUNCTION("""COMPUTED_VALUE"""),18)</f>
        <v>18</v>
      </c>
      <c r="D128" s="1">
        <f ca="1">IFERROR(__xludf.DUMMYFUNCTION("""COMPUTED_VALUE"""),13)</f>
        <v>13</v>
      </c>
      <c r="E128" s="1">
        <f ca="1">IFERROR(__xludf.DUMMYFUNCTION("""COMPUTED_VALUE"""),0.581)</f>
        <v>0.58099999999999996</v>
      </c>
      <c r="F128" s="1">
        <f ca="1">IFERROR(__xludf.DUMMYFUNCTION("""COMPUTED_VALUE"""),-1.3)</f>
        <v>-1.3</v>
      </c>
      <c r="G128" s="1">
        <f ca="1">IFERROR(__xludf.DUMMYFUNCTION("""COMPUTED_VALUE"""),-3.61)</f>
        <v>-3.61</v>
      </c>
      <c r="H128" s="1">
        <f ca="1">IFERROR(__xludf.DUMMYFUNCTION("""COMPUTED_VALUE"""),9)</f>
        <v>9</v>
      </c>
      <c r="I128" s="1">
        <f ca="1">IFERROR(__xludf.DUMMYFUNCTION("""COMPUTED_VALUE"""),7)</f>
        <v>7</v>
      </c>
      <c r="J128" s="1">
        <f ca="1">IFERROR(__xludf.DUMMYFUNCTION("""COMPUTED_VALUE"""),12)</f>
        <v>12</v>
      </c>
      <c r="K128" s="1">
        <f ca="1">IFERROR(__xludf.DUMMYFUNCTION("""COMPUTED_VALUE"""),5)</f>
        <v>5</v>
      </c>
      <c r="L128" s="1">
        <f ca="1">IFERROR(__xludf.DUMMYFUNCTION("""COMPUTED_VALUE"""),4)</f>
        <v>4</v>
      </c>
      <c r="M128" s="1">
        <f ca="1">IFERROR(__xludf.DUMMYFUNCTION("""COMPUTED_VALUE"""),5)</f>
        <v>5</v>
      </c>
      <c r="N128" s="1">
        <f ca="1">IFERROR(__xludf.DUMMYFUNCTION("""COMPUTED_VALUE"""),2241)</f>
        <v>2241</v>
      </c>
      <c r="O128" s="1">
        <f ca="1">IFERROR(__xludf.DUMMYFUNCTION("""COMPUTED_VALUE"""),2131)</f>
        <v>2131</v>
      </c>
      <c r="P128" s="1">
        <f ca="1">IFERROR(__xludf.DUMMYFUNCTION("""COMPUTED_VALUE"""),1250)</f>
        <v>1250</v>
      </c>
      <c r="Q128" s="1">
        <f ca="1">IFERROR(__xludf.DUMMYFUNCTION("""COMPUTED_VALUE"""),788)</f>
        <v>788</v>
      </c>
      <c r="R128" s="1">
        <f ca="1">IFERROR(__xludf.DUMMYFUNCTION("""COMPUTED_VALUE"""),1746)</f>
        <v>1746</v>
      </c>
      <c r="S128" s="1">
        <f ca="1">IFERROR(__xludf.DUMMYFUNCTION("""COMPUTED_VALUE"""),0.451)</f>
        <v>0.45100000000000001</v>
      </c>
      <c r="T128" s="1">
        <f ca="1">IFERROR(__xludf.DUMMYFUNCTION("""COMPUTED_VALUE"""),266)</f>
        <v>266</v>
      </c>
      <c r="U128" s="1">
        <f ca="1">IFERROR(__xludf.DUMMYFUNCTION("""COMPUTED_VALUE"""),751)</f>
        <v>751</v>
      </c>
      <c r="V128" s="1">
        <f ca="1">IFERROR(__xludf.DUMMYFUNCTION("""COMPUTED_VALUE"""),0.354)</f>
        <v>0.35399999999999998</v>
      </c>
      <c r="W128" s="1">
        <f ca="1">IFERROR(__xludf.DUMMYFUNCTION("""COMPUTED_VALUE"""),399)</f>
        <v>399</v>
      </c>
      <c r="X128" s="1">
        <f ca="1">IFERROR(__xludf.DUMMYFUNCTION("""COMPUTED_VALUE"""),576)</f>
        <v>576</v>
      </c>
      <c r="Y128" s="1">
        <f ca="1">IFERROR(__xludf.DUMMYFUNCTION("""COMPUTED_VALUE"""),0.693)</f>
        <v>0.69299999999999995</v>
      </c>
      <c r="Z128" s="1">
        <f ca="1">IFERROR(__xludf.DUMMYFUNCTION("""COMPUTED_VALUE"""),278)</f>
        <v>278</v>
      </c>
      <c r="AA128" s="1">
        <f ca="1">IFERROR(__xludf.DUMMYFUNCTION("""COMPUTED_VALUE"""),1054)</f>
        <v>1054</v>
      </c>
      <c r="AB128" s="1">
        <f ca="1">IFERROR(__xludf.DUMMYFUNCTION("""COMPUTED_VALUE"""),478)</f>
        <v>478</v>
      </c>
      <c r="AC128" s="1">
        <f ca="1">IFERROR(__xludf.DUMMYFUNCTION("""COMPUTED_VALUE"""),156)</f>
        <v>156</v>
      </c>
      <c r="AD128" s="1">
        <f ca="1">IFERROR(__xludf.DUMMYFUNCTION("""COMPUTED_VALUE"""),66)</f>
        <v>66</v>
      </c>
      <c r="AE128" s="1">
        <f ca="1">IFERROR(__xludf.DUMMYFUNCTION("""COMPUTED_VALUE"""),368)</f>
        <v>368</v>
      </c>
      <c r="AF128" s="1">
        <f ca="1">IFERROR(__xludf.DUMMYFUNCTION("""COMPUTED_VALUE"""),556)</f>
        <v>556</v>
      </c>
    </row>
    <row r="129" spans="1:32" ht="12.5" x14ac:dyDescent="0.25">
      <c r="A129" s="1" t="str">
        <f ca="1">IFERROR(__xludf.DUMMYFUNCTION("""COMPUTED_VALUE"""),"High Point")</f>
        <v>High Point</v>
      </c>
      <c r="B129" s="1">
        <f ca="1">IFERROR(__xludf.DUMMYFUNCTION("""COMPUTED_VALUE"""),31)</f>
        <v>31</v>
      </c>
      <c r="C129" s="1">
        <f ca="1">IFERROR(__xludf.DUMMYFUNCTION("""COMPUTED_VALUE"""),16)</f>
        <v>16</v>
      </c>
      <c r="D129" s="1">
        <f ca="1">IFERROR(__xludf.DUMMYFUNCTION("""COMPUTED_VALUE"""),15)</f>
        <v>15</v>
      </c>
      <c r="E129" s="1">
        <f ca="1">IFERROR(__xludf.DUMMYFUNCTION("""COMPUTED_VALUE"""),0.516)</f>
        <v>0.51600000000000001</v>
      </c>
      <c r="F129" s="1">
        <f ca="1">IFERROR(__xludf.DUMMYFUNCTION("""COMPUTED_VALUE"""),-5.63)</f>
        <v>-5.63</v>
      </c>
      <c r="G129" s="1">
        <f ca="1">IFERROR(__xludf.DUMMYFUNCTION("""COMPUTED_VALUE"""),-4.39)</f>
        <v>-4.3899999999999997</v>
      </c>
      <c r="H129" s="1">
        <f ca="1">IFERROR(__xludf.DUMMYFUNCTION("""COMPUTED_VALUE"""),9)</f>
        <v>9</v>
      </c>
      <c r="I129" s="1">
        <f ca="1">IFERROR(__xludf.DUMMYFUNCTION("""COMPUTED_VALUE"""),7)</f>
        <v>7</v>
      </c>
      <c r="J129" s="1">
        <f ca="1">IFERROR(__xludf.DUMMYFUNCTION("""COMPUTED_VALUE"""),9)</f>
        <v>9</v>
      </c>
      <c r="K129" s="1">
        <f ca="1">IFERROR(__xludf.DUMMYFUNCTION("""COMPUTED_VALUE"""),4)</f>
        <v>4</v>
      </c>
      <c r="L129" s="1">
        <f ca="1">IFERROR(__xludf.DUMMYFUNCTION("""COMPUTED_VALUE"""),5)</f>
        <v>5</v>
      </c>
      <c r="M129" s="1">
        <f ca="1">IFERROR(__xludf.DUMMYFUNCTION("""COMPUTED_VALUE"""),8)</f>
        <v>8</v>
      </c>
      <c r="N129" s="1">
        <f ca="1">IFERROR(__xludf.DUMMYFUNCTION("""COMPUTED_VALUE"""),2115)</f>
        <v>2115</v>
      </c>
      <c r="O129" s="1">
        <f ca="1">IFERROR(__xludf.DUMMYFUNCTION("""COMPUTED_VALUE"""),2105)</f>
        <v>2105</v>
      </c>
      <c r="P129" s="1">
        <f ca="1">IFERROR(__xludf.DUMMYFUNCTION("""COMPUTED_VALUE"""),1255)</f>
        <v>1255</v>
      </c>
      <c r="Q129" s="1">
        <f ca="1">IFERROR(__xludf.DUMMYFUNCTION("""COMPUTED_VALUE"""),763)</f>
        <v>763</v>
      </c>
      <c r="R129" s="1">
        <f ca="1">IFERROR(__xludf.DUMMYFUNCTION("""COMPUTED_VALUE"""),1719)</f>
        <v>1719</v>
      </c>
      <c r="S129" s="1">
        <f ca="1">IFERROR(__xludf.DUMMYFUNCTION("""COMPUTED_VALUE"""),0.444)</f>
        <v>0.44400000000000001</v>
      </c>
      <c r="T129" s="1">
        <f ca="1">IFERROR(__xludf.DUMMYFUNCTION("""COMPUTED_VALUE"""),180)</f>
        <v>180</v>
      </c>
      <c r="U129" s="1">
        <f ca="1">IFERROR(__xludf.DUMMYFUNCTION("""COMPUTED_VALUE"""),583)</f>
        <v>583</v>
      </c>
      <c r="V129" s="1">
        <f ca="1">IFERROR(__xludf.DUMMYFUNCTION("""COMPUTED_VALUE"""),0.309)</f>
        <v>0.309</v>
      </c>
      <c r="W129" s="1">
        <f ca="1">IFERROR(__xludf.DUMMYFUNCTION("""COMPUTED_VALUE"""),409)</f>
        <v>409</v>
      </c>
      <c r="X129" s="1">
        <f ca="1">IFERROR(__xludf.DUMMYFUNCTION("""COMPUTED_VALUE"""),605)</f>
        <v>605</v>
      </c>
      <c r="Y129" s="1">
        <f ca="1">IFERROR(__xludf.DUMMYFUNCTION("""COMPUTED_VALUE"""),0.676)</f>
        <v>0.67600000000000005</v>
      </c>
      <c r="Z129" s="1">
        <f ca="1">IFERROR(__xludf.DUMMYFUNCTION("""COMPUTED_VALUE"""),363)</f>
        <v>363</v>
      </c>
      <c r="AA129" s="1">
        <f ca="1">IFERROR(__xludf.DUMMYFUNCTION("""COMPUTED_VALUE"""),1183)</f>
        <v>1183</v>
      </c>
      <c r="AB129" s="1">
        <f ca="1">IFERROR(__xludf.DUMMYFUNCTION("""COMPUTED_VALUE"""),404)</f>
        <v>404</v>
      </c>
      <c r="AC129" s="1">
        <f ca="1">IFERROR(__xludf.DUMMYFUNCTION("""COMPUTED_VALUE"""),170)</f>
        <v>170</v>
      </c>
      <c r="AD129" s="1">
        <f ca="1">IFERROR(__xludf.DUMMYFUNCTION("""COMPUTED_VALUE"""),91)</f>
        <v>91</v>
      </c>
      <c r="AE129" s="1">
        <f ca="1">IFERROR(__xludf.DUMMYFUNCTION("""COMPUTED_VALUE"""),406)</f>
        <v>406</v>
      </c>
      <c r="AF129" s="1">
        <f ca="1">IFERROR(__xludf.DUMMYFUNCTION("""COMPUTED_VALUE"""),502)</f>
        <v>502</v>
      </c>
    </row>
    <row r="130" spans="1:32" ht="12.5" x14ac:dyDescent="0.25">
      <c r="A130" s="1" t="str">
        <f ca="1">IFERROR(__xludf.DUMMYFUNCTION("""COMPUTED_VALUE"""),"Hofstra")</f>
        <v>Hofstra</v>
      </c>
      <c r="B130" s="1">
        <f ca="1">IFERROR(__xludf.DUMMYFUNCTION("""COMPUTED_VALUE"""),35)</f>
        <v>35</v>
      </c>
      <c r="C130" s="1">
        <f ca="1">IFERROR(__xludf.DUMMYFUNCTION("""COMPUTED_VALUE"""),27)</f>
        <v>27</v>
      </c>
      <c r="D130" s="1">
        <f ca="1">IFERROR(__xludf.DUMMYFUNCTION("""COMPUTED_VALUE"""),8)</f>
        <v>8</v>
      </c>
      <c r="E130" s="1">
        <f ca="1">IFERROR(__xludf.DUMMYFUNCTION("""COMPUTED_VALUE"""),0.771)</f>
        <v>0.77100000000000002</v>
      </c>
      <c r="F130" s="1">
        <f ca="1">IFERROR(__xludf.DUMMYFUNCTION("""COMPUTED_VALUE"""),4.68)</f>
        <v>4.68</v>
      </c>
      <c r="G130" s="1">
        <f ca="1">IFERROR(__xludf.DUMMYFUNCTION("""COMPUTED_VALUE"""),-4.53)</f>
        <v>-4.53</v>
      </c>
      <c r="H130" s="1">
        <f ca="1">IFERROR(__xludf.DUMMYFUNCTION("""COMPUTED_VALUE"""),15)</f>
        <v>15</v>
      </c>
      <c r="I130" s="1">
        <f ca="1">IFERROR(__xludf.DUMMYFUNCTION("""COMPUTED_VALUE"""),3)</f>
        <v>3</v>
      </c>
      <c r="J130" s="1">
        <f ca="1">IFERROR(__xludf.DUMMYFUNCTION("""COMPUTED_VALUE"""),15)</f>
        <v>15</v>
      </c>
      <c r="K130" s="1">
        <f ca="1">IFERROR(__xludf.DUMMYFUNCTION("""COMPUTED_VALUE"""),1)</f>
        <v>1</v>
      </c>
      <c r="L130" s="1">
        <f ca="1">IFERROR(__xludf.DUMMYFUNCTION("""COMPUTED_VALUE"""),10)</f>
        <v>10</v>
      </c>
      <c r="M130" s="1">
        <f ca="1">IFERROR(__xludf.DUMMYFUNCTION("""COMPUTED_VALUE"""),6)</f>
        <v>6</v>
      </c>
      <c r="N130" s="1">
        <f ca="1">IFERROR(__xludf.DUMMYFUNCTION("""COMPUTED_VALUE"""),2919)</f>
        <v>2919</v>
      </c>
      <c r="O130" s="1">
        <f ca="1">IFERROR(__xludf.DUMMYFUNCTION("""COMPUTED_VALUE"""),2553)</f>
        <v>2553</v>
      </c>
      <c r="P130" s="1">
        <f ca="1">IFERROR(__xludf.DUMMYFUNCTION("""COMPUTED_VALUE"""),1440)</f>
        <v>1440</v>
      </c>
      <c r="Q130" s="1">
        <f ca="1">IFERROR(__xludf.DUMMYFUNCTION("""COMPUTED_VALUE"""),998)</f>
        <v>998</v>
      </c>
      <c r="R130" s="1">
        <f ca="1">IFERROR(__xludf.DUMMYFUNCTION("""COMPUTED_VALUE"""),2055)</f>
        <v>2055</v>
      </c>
      <c r="S130" s="1">
        <f ca="1">IFERROR(__xludf.DUMMYFUNCTION("""COMPUTED_VALUE"""),0.486)</f>
        <v>0.48599999999999999</v>
      </c>
      <c r="T130" s="1">
        <f ca="1">IFERROR(__xludf.DUMMYFUNCTION("""COMPUTED_VALUE"""),308)</f>
        <v>308</v>
      </c>
      <c r="U130" s="1">
        <f ca="1">IFERROR(__xludf.DUMMYFUNCTION("""COMPUTED_VALUE"""),800)</f>
        <v>800</v>
      </c>
      <c r="V130" s="1">
        <f ca="1">IFERROR(__xludf.DUMMYFUNCTION("""COMPUTED_VALUE"""),0.385)</f>
        <v>0.38500000000000001</v>
      </c>
      <c r="W130" s="1">
        <f ca="1">IFERROR(__xludf.DUMMYFUNCTION("""COMPUTED_VALUE"""),615)</f>
        <v>615</v>
      </c>
      <c r="X130" s="1">
        <f ca="1">IFERROR(__xludf.DUMMYFUNCTION("""COMPUTED_VALUE"""),767)</f>
        <v>767</v>
      </c>
      <c r="Y130" s="1">
        <f ca="1">IFERROR(__xludf.DUMMYFUNCTION("""COMPUTED_VALUE"""),0.802)</f>
        <v>0.80200000000000005</v>
      </c>
      <c r="Z130" s="1">
        <f ca="1">IFERROR(__xludf.DUMMYFUNCTION("""COMPUTED_VALUE"""),305)</f>
        <v>305</v>
      </c>
      <c r="AA130" s="1">
        <f ca="1">IFERROR(__xludf.DUMMYFUNCTION("""COMPUTED_VALUE"""),1170)</f>
        <v>1170</v>
      </c>
      <c r="AB130" s="1">
        <f ca="1">IFERROR(__xludf.DUMMYFUNCTION("""COMPUTED_VALUE"""),492)</f>
        <v>492</v>
      </c>
      <c r="AC130" s="1">
        <f ca="1">IFERROR(__xludf.DUMMYFUNCTION("""COMPUTED_VALUE"""),228)</f>
        <v>228</v>
      </c>
      <c r="AD130" s="1">
        <f ca="1">IFERROR(__xludf.DUMMYFUNCTION("""COMPUTED_VALUE"""),122)</f>
        <v>122</v>
      </c>
      <c r="AE130" s="1">
        <f ca="1">IFERROR(__xludf.DUMMYFUNCTION("""COMPUTED_VALUE"""),342)</f>
        <v>342</v>
      </c>
      <c r="AF130" s="1">
        <f ca="1">IFERROR(__xludf.DUMMYFUNCTION("""COMPUTED_VALUE"""),526)</f>
        <v>526</v>
      </c>
    </row>
    <row r="131" spans="1:32" ht="12.5" x14ac:dyDescent="0.25">
      <c r="A131" s="1" t="str">
        <f ca="1">IFERROR(__xludf.DUMMYFUNCTION("""COMPUTED_VALUE"""),"Holy Cross")</f>
        <v>Holy Cross</v>
      </c>
      <c r="B131" s="1">
        <f ca="1">IFERROR(__xludf.DUMMYFUNCTION("""COMPUTED_VALUE"""),33)</f>
        <v>33</v>
      </c>
      <c r="C131" s="1">
        <f ca="1">IFERROR(__xludf.DUMMYFUNCTION("""COMPUTED_VALUE"""),16)</f>
        <v>16</v>
      </c>
      <c r="D131" s="1">
        <f ca="1">IFERROR(__xludf.DUMMYFUNCTION("""COMPUTED_VALUE"""),17)</f>
        <v>17</v>
      </c>
      <c r="E131" s="1">
        <f ca="1">IFERROR(__xludf.DUMMYFUNCTION("""COMPUTED_VALUE"""),0.485)</f>
        <v>0.48499999999999999</v>
      </c>
      <c r="F131" s="1">
        <f ca="1">IFERROR(__xludf.DUMMYFUNCTION("""COMPUTED_VALUE"""),-6.43)</f>
        <v>-6.43</v>
      </c>
      <c r="G131" s="1">
        <f ca="1">IFERROR(__xludf.DUMMYFUNCTION("""COMPUTED_VALUE"""),-4.01)</f>
        <v>-4.01</v>
      </c>
      <c r="H131" s="1">
        <f ca="1">IFERROR(__xludf.DUMMYFUNCTION("""COMPUTED_VALUE"""),6)</f>
        <v>6</v>
      </c>
      <c r="I131" s="1">
        <f ca="1">IFERROR(__xludf.DUMMYFUNCTION("""COMPUTED_VALUE"""),12)</f>
        <v>12</v>
      </c>
      <c r="J131" s="1">
        <f ca="1">IFERROR(__xludf.DUMMYFUNCTION("""COMPUTED_VALUE"""),8)</f>
        <v>8</v>
      </c>
      <c r="K131" s="1">
        <f ca="1">IFERROR(__xludf.DUMMYFUNCTION("""COMPUTED_VALUE"""),6)</f>
        <v>6</v>
      </c>
      <c r="L131" s="1">
        <f ca="1">IFERROR(__xludf.DUMMYFUNCTION("""COMPUTED_VALUE"""),6)</f>
        <v>6</v>
      </c>
      <c r="M131" s="1">
        <f ca="1">IFERROR(__xludf.DUMMYFUNCTION("""COMPUTED_VALUE"""),11)</f>
        <v>11</v>
      </c>
      <c r="N131" s="1">
        <f ca="1">IFERROR(__xludf.DUMMYFUNCTION("""COMPUTED_VALUE"""),2216)</f>
        <v>2216</v>
      </c>
      <c r="O131" s="1">
        <f ca="1">IFERROR(__xludf.DUMMYFUNCTION("""COMPUTED_VALUE"""),2296)</f>
        <v>2296</v>
      </c>
      <c r="P131" s="1">
        <f ca="1">IFERROR(__xludf.DUMMYFUNCTION("""COMPUTED_VALUE"""),1335)</f>
        <v>1335</v>
      </c>
      <c r="Q131" s="1">
        <f ca="1">IFERROR(__xludf.DUMMYFUNCTION("""COMPUTED_VALUE"""),848)</f>
        <v>848</v>
      </c>
      <c r="R131" s="1">
        <f ca="1">IFERROR(__xludf.DUMMYFUNCTION("""COMPUTED_VALUE"""),1834)</f>
        <v>1834</v>
      </c>
      <c r="S131" s="1">
        <f ca="1">IFERROR(__xludf.DUMMYFUNCTION("""COMPUTED_VALUE"""),0.462)</f>
        <v>0.46200000000000002</v>
      </c>
      <c r="T131" s="1">
        <f ca="1">IFERROR(__xludf.DUMMYFUNCTION("""COMPUTED_VALUE"""),237)</f>
        <v>237</v>
      </c>
      <c r="U131" s="1">
        <f ca="1">IFERROR(__xludf.DUMMYFUNCTION("""COMPUTED_VALUE"""),670)</f>
        <v>670</v>
      </c>
      <c r="V131" s="1">
        <f ca="1">IFERROR(__xludf.DUMMYFUNCTION("""COMPUTED_VALUE"""),0.354)</f>
        <v>0.35399999999999998</v>
      </c>
      <c r="W131" s="1">
        <f ca="1">IFERROR(__xludf.DUMMYFUNCTION("""COMPUTED_VALUE"""),283)</f>
        <v>283</v>
      </c>
      <c r="X131" s="1">
        <f ca="1">IFERROR(__xludf.DUMMYFUNCTION("""COMPUTED_VALUE"""),424)</f>
        <v>424</v>
      </c>
      <c r="Y131" s="1">
        <f ca="1">IFERROR(__xludf.DUMMYFUNCTION("""COMPUTED_VALUE"""),0.667)</f>
        <v>0.66700000000000004</v>
      </c>
      <c r="Z131" s="1">
        <f ca="1">IFERROR(__xludf.DUMMYFUNCTION("""COMPUTED_VALUE"""),220)</f>
        <v>220</v>
      </c>
      <c r="AA131" s="1">
        <f ca="1">IFERROR(__xludf.DUMMYFUNCTION("""COMPUTED_VALUE"""),916)</f>
        <v>916</v>
      </c>
      <c r="AB131" s="1">
        <f ca="1">IFERROR(__xludf.DUMMYFUNCTION("""COMPUTED_VALUE"""),513)</f>
        <v>513</v>
      </c>
      <c r="AC131" s="1">
        <f ca="1">IFERROR(__xludf.DUMMYFUNCTION("""COMPUTED_VALUE"""),241)</f>
        <v>241</v>
      </c>
      <c r="AD131" s="1">
        <f ca="1">IFERROR(__xludf.DUMMYFUNCTION("""COMPUTED_VALUE"""),127)</f>
        <v>127</v>
      </c>
      <c r="AE131" s="1">
        <f ca="1">IFERROR(__xludf.DUMMYFUNCTION("""COMPUTED_VALUE"""),350)</f>
        <v>350</v>
      </c>
      <c r="AF131" s="1">
        <f ca="1">IFERROR(__xludf.DUMMYFUNCTION("""COMPUTED_VALUE"""),482)</f>
        <v>482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IFERROR(__xludf.DUMMYFUNCTION("""COMPUTED_VALUE"""),"Houston Baptist")</f>
        <v>Houston Baptist</v>
      </c>
      <c r="B134" s="1">
        <f ca="1">IFERROR(__xludf.DUMMYFUNCTION("""COMPUTED_VALUE"""),30)</f>
        <v>30</v>
      </c>
      <c r="C134" s="1">
        <f ca="1">IFERROR(__xludf.DUMMYFUNCTION("""COMPUTED_VALUE"""),12)</f>
        <v>12</v>
      </c>
      <c r="D134" s="1">
        <f ca="1">IFERROR(__xludf.DUMMYFUNCTION("""COMPUTED_VALUE"""),18)</f>
        <v>18</v>
      </c>
      <c r="E134" s="1">
        <f ca="1">IFERROR(__xludf.DUMMYFUNCTION("""COMPUTED_VALUE"""),0.4)</f>
        <v>0.4</v>
      </c>
      <c r="F134" s="1">
        <f ca="1">IFERROR(__xludf.DUMMYFUNCTION("""COMPUTED_VALUE"""),-9.36)</f>
        <v>-9.36</v>
      </c>
      <c r="G134" s="1">
        <f ca="1">IFERROR(__xludf.DUMMYFUNCTION("""COMPUTED_VALUE"""),-5.53)</f>
        <v>-5.53</v>
      </c>
      <c r="H134" s="1">
        <f ca="1">IFERROR(__xludf.DUMMYFUNCTION("""COMPUTED_VALUE"""),8)</f>
        <v>8</v>
      </c>
      <c r="I134" s="1">
        <f ca="1">IFERROR(__xludf.DUMMYFUNCTION("""COMPUTED_VALUE"""),10)</f>
        <v>10</v>
      </c>
      <c r="J134" s="1">
        <f ca="1">IFERROR(__xludf.DUMMYFUNCTION("""COMPUTED_VALUE"""),9)</f>
        <v>9</v>
      </c>
      <c r="K134" s="1">
        <f ca="1">IFERROR(__xludf.DUMMYFUNCTION("""COMPUTED_VALUE"""),4)</f>
        <v>4</v>
      </c>
      <c r="L134" s="1">
        <f ca="1">IFERROR(__xludf.DUMMYFUNCTION("""COMPUTED_VALUE"""),3)</f>
        <v>3</v>
      </c>
      <c r="M134" s="1">
        <f ca="1">IFERROR(__xludf.DUMMYFUNCTION("""COMPUTED_VALUE"""),13)</f>
        <v>13</v>
      </c>
      <c r="N134" s="1">
        <f ca="1">IFERROR(__xludf.DUMMYFUNCTION("""COMPUTED_VALUE"""),2465)</f>
        <v>2465</v>
      </c>
      <c r="O134" s="1">
        <f ca="1">IFERROR(__xludf.DUMMYFUNCTION("""COMPUTED_VALUE"""),2484)</f>
        <v>2484</v>
      </c>
      <c r="P134" s="1">
        <f ca="1">IFERROR(__xludf.DUMMYFUNCTION("""COMPUTED_VALUE"""),1225)</f>
        <v>1225</v>
      </c>
      <c r="Q134" s="1">
        <f ca="1">IFERROR(__xludf.DUMMYFUNCTION("""COMPUTED_VALUE"""),865)</f>
        <v>865</v>
      </c>
      <c r="R134" s="1">
        <f ca="1">IFERROR(__xludf.DUMMYFUNCTION("""COMPUTED_VALUE"""),1896)</f>
        <v>1896</v>
      </c>
      <c r="S134" s="1">
        <f ca="1">IFERROR(__xludf.DUMMYFUNCTION("""COMPUTED_VALUE"""),0.456)</f>
        <v>0.45600000000000002</v>
      </c>
      <c r="T134" s="1">
        <f ca="1">IFERROR(__xludf.DUMMYFUNCTION("""COMPUTED_VALUE"""),200)</f>
        <v>200</v>
      </c>
      <c r="U134" s="1">
        <f ca="1">IFERROR(__xludf.DUMMYFUNCTION("""COMPUTED_VALUE"""),588)</f>
        <v>588</v>
      </c>
      <c r="V134" s="1">
        <f ca="1">IFERROR(__xludf.DUMMYFUNCTION("""COMPUTED_VALUE"""),0.34)</f>
        <v>0.34</v>
      </c>
      <c r="W134" s="1">
        <f ca="1">IFERROR(__xludf.DUMMYFUNCTION("""COMPUTED_VALUE"""),535)</f>
        <v>535</v>
      </c>
      <c r="X134" s="1">
        <f ca="1">IFERROR(__xludf.DUMMYFUNCTION("""COMPUTED_VALUE"""),793)</f>
        <v>793</v>
      </c>
      <c r="Y134" s="1">
        <f ca="1">IFERROR(__xludf.DUMMYFUNCTION("""COMPUTED_VALUE"""),0.675)</f>
        <v>0.67500000000000004</v>
      </c>
      <c r="Z134" s="1">
        <f ca="1">IFERROR(__xludf.DUMMYFUNCTION("""COMPUTED_VALUE"""),409)</f>
        <v>409</v>
      </c>
      <c r="AA134" s="1">
        <f ca="1">IFERROR(__xludf.DUMMYFUNCTION("""COMPUTED_VALUE"""),1142)</f>
        <v>1142</v>
      </c>
      <c r="AB134" s="1">
        <f ca="1">IFERROR(__xludf.DUMMYFUNCTION("""COMPUTED_VALUE"""),449)</f>
        <v>449</v>
      </c>
      <c r="AC134" s="1">
        <f ca="1">IFERROR(__xludf.DUMMYFUNCTION("""COMPUTED_VALUE"""),234)</f>
        <v>234</v>
      </c>
      <c r="AD134" s="1">
        <f ca="1">IFERROR(__xludf.DUMMYFUNCTION("""COMPUTED_VALUE"""),54)</f>
        <v>54</v>
      </c>
      <c r="AE134" s="1">
        <f ca="1">IFERROR(__xludf.DUMMYFUNCTION("""COMPUTED_VALUE"""),442)</f>
        <v>442</v>
      </c>
      <c r="AF134" s="1">
        <f ca="1">IFERROR(__xludf.DUMMYFUNCTION("""COMPUTED_VALUE"""),593)</f>
        <v>593</v>
      </c>
    </row>
    <row r="135" spans="1:32" ht="12.5" x14ac:dyDescent="0.25">
      <c r="A135" s="1" t="str">
        <f ca="1">IFERROR(__xludf.DUMMYFUNCTION("""COMPUTED_VALUE"""),"Houston")</f>
        <v>Houston</v>
      </c>
      <c r="B135" s="1">
        <f ca="1">IFERROR(__xludf.DUMMYFUNCTION("""COMPUTED_VALUE"""),37)</f>
        <v>37</v>
      </c>
      <c r="C135" s="1">
        <f ca="1">IFERROR(__xludf.DUMMYFUNCTION("""COMPUTED_VALUE"""),33)</f>
        <v>33</v>
      </c>
      <c r="D135" s="1">
        <f ca="1">IFERROR(__xludf.DUMMYFUNCTION("""COMPUTED_VALUE"""),4)</f>
        <v>4</v>
      </c>
      <c r="E135" s="1">
        <f ca="1">IFERROR(__xludf.DUMMYFUNCTION("""COMPUTED_VALUE"""),0.892)</f>
        <v>0.89200000000000002</v>
      </c>
      <c r="F135" s="1">
        <f ca="1">IFERROR(__xludf.DUMMYFUNCTION("""COMPUTED_VALUE"""),18.91)</f>
        <v>18.91</v>
      </c>
      <c r="G135" s="1">
        <f ca="1">IFERROR(__xludf.DUMMYFUNCTION("""COMPUTED_VALUE"""),4.61)</f>
        <v>4.6100000000000003</v>
      </c>
      <c r="H135" s="1">
        <f ca="1">IFERROR(__xludf.DUMMYFUNCTION("""COMPUTED_VALUE"""),16)</f>
        <v>16</v>
      </c>
      <c r="I135" s="1">
        <f ca="1">IFERROR(__xludf.DUMMYFUNCTION("""COMPUTED_VALUE"""),2)</f>
        <v>2</v>
      </c>
      <c r="J135" s="1">
        <f ca="1">IFERROR(__xludf.DUMMYFUNCTION("""COMPUTED_VALUE"""),19)</f>
        <v>19</v>
      </c>
      <c r="K135" s="1">
        <f ca="1">IFERROR(__xludf.DUMMYFUNCTION("""COMPUTED_VALUE"""),1)</f>
        <v>1</v>
      </c>
      <c r="L135" s="1">
        <f ca="1">IFERROR(__xludf.DUMMYFUNCTION("""COMPUTED_VALUE"""),10)</f>
        <v>10</v>
      </c>
      <c r="M135" s="1">
        <f ca="1">IFERROR(__xludf.DUMMYFUNCTION("""COMPUTED_VALUE"""),1)</f>
        <v>1</v>
      </c>
      <c r="N135" s="1">
        <f ca="1">IFERROR(__xludf.DUMMYFUNCTION("""COMPUTED_VALUE"""),2787)</f>
        <v>2787</v>
      </c>
      <c r="O135" s="1">
        <f ca="1">IFERROR(__xludf.DUMMYFUNCTION("""COMPUTED_VALUE"""),2258)</f>
        <v>2258</v>
      </c>
      <c r="P135" s="1">
        <f ca="1">IFERROR(__xludf.DUMMYFUNCTION("""COMPUTED_VALUE"""),1480)</f>
        <v>1480</v>
      </c>
      <c r="Q135" s="1">
        <f ca="1">IFERROR(__xludf.DUMMYFUNCTION("""COMPUTED_VALUE"""),982)</f>
        <v>982</v>
      </c>
      <c r="R135" s="1">
        <f ca="1">IFERROR(__xludf.DUMMYFUNCTION("""COMPUTED_VALUE"""),2203)</f>
        <v>2203</v>
      </c>
      <c r="S135" s="1">
        <f ca="1">IFERROR(__xludf.DUMMYFUNCTION("""COMPUTED_VALUE"""),0.446)</f>
        <v>0.44600000000000001</v>
      </c>
      <c r="T135" s="1">
        <f ca="1">IFERROR(__xludf.DUMMYFUNCTION("""COMPUTED_VALUE"""),333)</f>
        <v>333</v>
      </c>
      <c r="U135" s="1">
        <f ca="1">IFERROR(__xludf.DUMMYFUNCTION("""COMPUTED_VALUE"""),939)</f>
        <v>939</v>
      </c>
      <c r="V135" s="1">
        <f ca="1">IFERROR(__xludf.DUMMYFUNCTION("""COMPUTED_VALUE"""),0.355)</f>
        <v>0.35499999999999998</v>
      </c>
      <c r="W135" s="1">
        <f ca="1">IFERROR(__xludf.DUMMYFUNCTION("""COMPUTED_VALUE"""),490)</f>
        <v>490</v>
      </c>
      <c r="X135" s="1">
        <f ca="1">IFERROR(__xludf.DUMMYFUNCTION("""COMPUTED_VALUE"""),697)</f>
        <v>697</v>
      </c>
      <c r="Y135" s="1">
        <f ca="1">IFERROR(__xludf.DUMMYFUNCTION("""COMPUTED_VALUE"""),0.703)</f>
        <v>0.70299999999999996</v>
      </c>
      <c r="Z135" s="1">
        <f ca="1">IFERROR(__xludf.DUMMYFUNCTION("""COMPUTED_VALUE"""),448)</f>
        <v>448</v>
      </c>
      <c r="AA135" s="1">
        <f ca="1">IFERROR(__xludf.DUMMYFUNCTION("""COMPUTED_VALUE"""),1502)</f>
        <v>1502</v>
      </c>
      <c r="AB135" s="1">
        <f ca="1">IFERROR(__xludf.DUMMYFUNCTION("""COMPUTED_VALUE"""),548)</f>
        <v>548</v>
      </c>
      <c r="AC135" s="1">
        <f ca="1">IFERROR(__xludf.DUMMYFUNCTION("""COMPUTED_VALUE"""),240)</f>
        <v>240</v>
      </c>
      <c r="AD135" s="1">
        <f ca="1">IFERROR(__xludf.DUMMYFUNCTION("""COMPUTED_VALUE"""),161)</f>
        <v>161</v>
      </c>
      <c r="AE135" s="1">
        <f ca="1">IFERROR(__xludf.DUMMYFUNCTION("""COMPUTED_VALUE"""),410)</f>
        <v>410</v>
      </c>
      <c r="AF135" s="1">
        <f ca="1">IFERROR(__xludf.DUMMYFUNCTION("""COMPUTED_VALUE"""),705)</f>
        <v>705</v>
      </c>
    </row>
    <row r="136" spans="1:32" ht="12.5" x14ac:dyDescent="0.25">
      <c r="A136" s="1" t="str">
        <f ca="1">IFERROR(__xludf.DUMMYFUNCTION("""COMPUTED_VALUE"""),"Howard")</f>
        <v>Howard</v>
      </c>
      <c r="B136" s="1">
        <f ca="1">IFERROR(__xludf.DUMMYFUNCTION("""COMPUTED_VALUE"""),34)</f>
        <v>34</v>
      </c>
      <c r="C136" s="1">
        <f ca="1">IFERROR(__xludf.DUMMYFUNCTION("""COMPUTED_VALUE"""),17)</f>
        <v>17</v>
      </c>
      <c r="D136" s="1">
        <f ca="1">IFERROR(__xludf.DUMMYFUNCTION("""COMPUTED_VALUE"""),17)</f>
        <v>17</v>
      </c>
      <c r="E136" s="1">
        <f ca="1">IFERROR(__xludf.DUMMYFUNCTION("""COMPUTED_VALUE"""),0.5)</f>
        <v>0.5</v>
      </c>
      <c r="F136" s="1">
        <f ca="1">IFERROR(__xludf.DUMMYFUNCTION("""COMPUTED_VALUE"""),-12.3)</f>
        <v>-12.3</v>
      </c>
      <c r="G136" s="1">
        <f ca="1">IFERROR(__xludf.DUMMYFUNCTION("""COMPUTED_VALUE"""),-9.52)</f>
        <v>-9.52</v>
      </c>
      <c r="H136" s="1">
        <f ca="1">IFERROR(__xludf.DUMMYFUNCTION("""COMPUTED_VALUE"""),10)</f>
        <v>10</v>
      </c>
      <c r="I136" s="1">
        <f ca="1">IFERROR(__xludf.DUMMYFUNCTION("""COMPUTED_VALUE"""),6)</f>
        <v>6</v>
      </c>
      <c r="J136" s="1">
        <f ca="1">IFERROR(__xludf.DUMMYFUNCTION("""COMPUTED_VALUE"""),6)</f>
        <v>6</v>
      </c>
      <c r="K136" s="1">
        <f ca="1">IFERROR(__xludf.DUMMYFUNCTION("""COMPUTED_VALUE"""),8)</f>
        <v>8</v>
      </c>
      <c r="L136" s="1">
        <f ca="1">IFERROR(__xludf.DUMMYFUNCTION("""COMPUTED_VALUE"""),9)</f>
        <v>9</v>
      </c>
      <c r="M136" s="1">
        <f ca="1">IFERROR(__xludf.DUMMYFUNCTION("""COMPUTED_VALUE"""),8)</f>
        <v>8</v>
      </c>
      <c r="N136" s="1">
        <f ca="1">IFERROR(__xludf.DUMMYFUNCTION("""COMPUTED_VALUE"""),2684)</f>
        <v>2684</v>
      </c>
      <c r="O136" s="1">
        <f ca="1">IFERROR(__xludf.DUMMYFUNCTION("""COMPUTED_VALUE"""),2661)</f>
        <v>2661</v>
      </c>
      <c r="P136" s="1">
        <f ca="1">IFERROR(__xludf.DUMMYFUNCTION("""COMPUTED_VALUE"""),1370)</f>
        <v>1370</v>
      </c>
      <c r="Q136" s="1">
        <f ca="1">IFERROR(__xludf.DUMMYFUNCTION("""COMPUTED_VALUE"""),937)</f>
        <v>937</v>
      </c>
      <c r="R136" s="1">
        <f ca="1">IFERROR(__xludf.DUMMYFUNCTION("""COMPUTED_VALUE"""),2163)</f>
        <v>2163</v>
      </c>
      <c r="S136" s="1">
        <f ca="1">IFERROR(__xludf.DUMMYFUNCTION("""COMPUTED_VALUE"""),0.433)</f>
        <v>0.433</v>
      </c>
      <c r="T136" s="1">
        <f ca="1">IFERROR(__xludf.DUMMYFUNCTION("""COMPUTED_VALUE"""),244)</f>
        <v>244</v>
      </c>
      <c r="U136" s="1">
        <f ca="1">IFERROR(__xludf.DUMMYFUNCTION("""COMPUTED_VALUE"""),669)</f>
        <v>669</v>
      </c>
      <c r="V136" s="1">
        <f ca="1">IFERROR(__xludf.DUMMYFUNCTION("""COMPUTED_VALUE"""),0.365)</f>
        <v>0.36499999999999999</v>
      </c>
      <c r="W136" s="1">
        <f ca="1">IFERROR(__xludf.DUMMYFUNCTION("""COMPUTED_VALUE"""),566)</f>
        <v>566</v>
      </c>
      <c r="X136" s="1">
        <f ca="1">IFERROR(__xludf.DUMMYFUNCTION("""COMPUTED_VALUE"""),780)</f>
        <v>780</v>
      </c>
      <c r="Y136" s="1">
        <f ca="1">IFERROR(__xludf.DUMMYFUNCTION("""COMPUTED_VALUE"""),0.726)</f>
        <v>0.72599999999999998</v>
      </c>
      <c r="Z136" s="1">
        <f ca="1">IFERROR(__xludf.DUMMYFUNCTION("""COMPUTED_VALUE"""),396)</f>
        <v>396</v>
      </c>
      <c r="AA136" s="1">
        <f ca="1">IFERROR(__xludf.DUMMYFUNCTION("""COMPUTED_VALUE"""),1253)</f>
        <v>1253</v>
      </c>
      <c r="AB136" s="1">
        <f ca="1">IFERROR(__xludf.DUMMYFUNCTION("""COMPUTED_VALUE"""),463)</f>
        <v>463</v>
      </c>
      <c r="AC136" s="1">
        <f ca="1">IFERROR(__xludf.DUMMYFUNCTION("""COMPUTED_VALUE"""),198)</f>
        <v>198</v>
      </c>
      <c r="AD136" s="1">
        <f ca="1">IFERROR(__xludf.DUMMYFUNCTION("""COMPUTED_VALUE"""),144)</f>
        <v>144</v>
      </c>
      <c r="AE136" s="1">
        <f ca="1">IFERROR(__xludf.DUMMYFUNCTION("""COMPUTED_VALUE"""),427)</f>
        <v>427</v>
      </c>
      <c r="AF136" s="1">
        <f ca="1">IFERROR(__xludf.DUMMYFUNCTION("""COMPUTED_VALUE"""),652)</f>
        <v>652</v>
      </c>
    </row>
    <row r="137" spans="1:32" ht="12.5" x14ac:dyDescent="0.25">
      <c r="A137" s="1" t="str">
        <f ca="1">IFERROR(__xludf.DUMMYFUNCTION("""COMPUTED_VALUE"""),"Idaho State")</f>
        <v>Idaho State</v>
      </c>
      <c r="B137" s="1">
        <f ca="1">IFERROR(__xludf.DUMMYFUNCTION("""COMPUTED_VALUE"""),30)</f>
        <v>30</v>
      </c>
      <c r="C137" s="1">
        <f ca="1">IFERROR(__xludf.DUMMYFUNCTION("""COMPUTED_VALUE"""),11)</f>
        <v>11</v>
      </c>
      <c r="D137" s="1">
        <f ca="1">IFERROR(__xludf.DUMMYFUNCTION("""COMPUTED_VALUE"""),19)</f>
        <v>19</v>
      </c>
      <c r="E137" s="1">
        <f ca="1">IFERROR(__xludf.DUMMYFUNCTION("""COMPUTED_VALUE"""),0.367)</f>
        <v>0.36699999999999999</v>
      </c>
      <c r="F137" s="1">
        <f ca="1">IFERROR(__xludf.DUMMYFUNCTION("""COMPUTED_VALUE"""),-13.17)</f>
        <v>-13.17</v>
      </c>
      <c r="G137" s="1">
        <f ca="1">IFERROR(__xludf.DUMMYFUNCTION("""COMPUTED_VALUE"""),-4.81)</f>
        <v>-4.8099999999999996</v>
      </c>
      <c r="H137" s="1">
        <f ca="1">IFERROR(__xludf.DUMMYFUNCTION("""COMPUTED_VALUE"""),7)</f>
        <v>7</v>
      </c>
      <c r="I137" s="1">
        <f ca="1">IFERROR(__xludf.DUMMYFUNCTION("""COMPUTED_VALUE"""),13)</f>
        <v>13</v>
      </c>
      <c r="J137" s="1">
        <f ca="1">IFERROR(__xludf.DUMMYFUNCTION("""COMPUTED_VALUE"""),6)</f>
        <v>6</v>
      </c>
      <c r="K137" s="1">
        <f ca="1">IFERROR(__xludf.DUMMYFUNCTION("""COMPUTED_VALUE"""),7)</f>
        <v>7</v>
      </c>
      <c r="L137" s="1">
        <f ca="1">IFERROR(__xludf.DUMMYFUNCTION("""COMPUTED_VALUE"""),5)</f>
        <v>5</v>
      </c>
      <c r="M137" s="1">
        <f ca="1">IFERROR(__xludf.DUMMYFUNCTION("""COMPUTED_VALUE"""),11)</f>
        <v>11</v>
      </c>
      <c r="N137" s="1">
        <f ca="1">IFERROR(__xludf.DUMMYFUNCTION("""COMPUTED_VALUE"""),2198)</f>
        <v>2198</v>
      </c>
      <c r="O137" s="1">
        <f ca="1">IFERROR(__xludf.DUMMYFUNCTION("""COMPUTED_VALUE"""),2369)</f>
        <v>2369</v>
      </c>
      <c r="P137" s="1">
        <f ca="1">IFERROR(__xludf.DUMMYFUNCTION("""COMPUTED_VALUE"""),1200)</f>
        <v>1200</v>
      </c>
      <c r="Q137" s="1">
        <f ca="1">IFERROR(__xludf.DUMMYFUNCTION("""COMPUTED_VALUE"""),779)</f>
        <v>779</v>
      </c>
      <c r="R137" s="1">
        <f ca="1">IFERROR(__xludf.DUMMYFUNCTION("""COMPUTED_VALUE"""),1742)</f>
        <v>1742</v>
      </c>
      <c r="S137" s="1">
        <f ca="1">IFERROR(__xludf.DUMMYFUNCTION("""COMPUTED_VALUE"""),0.447)</f>
        <v>0.44700000000000001</v>
      </c>
      <c r="T137" s="1">
        <f ca="1">IFERROR(__xludf.DUMMYFUNCTION("""COMPUTED_VALUE"""),274)</f>
        <v>274</v>
      </c>
      <c r="U137" s="1">
        <f ca="1">IFERROR(__xludf.DUMMYFUNCTION("""COMPUTED_VALUE"""),752)</f>
        <v>752</v>
      </c>
      <c r="V137" s="1">
        <f ca="1">IFERROR(__xludf.DUMMYFUNCTION("""COMPUTED_VALUE"""),0.364)</f>
        <v>0.36399999999999999</v>
      </c>
      <c r="W137" s="1">
        <f ca="1">IFERROR(__xludf.DUMMYFUNCTION("""COMPUTED_VALUE"""),366)</f>
        <v>366</v>
      </c>
      <c r="X137" s="1">
        <f ca="1">IFERROR(__xludf.DUMMYFUNCTION("""COMPUTED_VALUE"""),498)</f>
        <v>498</v>
      </c>
      <c r="Y137" s="1">
        <f ca="1">IFERROR(__xludf.DUMMYFUNCTION("""COMPUTED_VALUE"""),0.735)</f>
        <v>0.73499999999999999</v>
      </c>
      <c r="Z137" s="1">
        <f ca="1">IFERROR(__xludf.DUMMYFUNCTION("""COMPUTED_VALUE"""),275)</f>
        <v>275</v>
      </c>
      <c r="AA137" s="1">
        <f ca="1">IFERROR(__xludf.DUMMYFUNCTION("""COMPUTED_VALUE"""),975)</f>
        <v>975</v>
      </c>
      <c r="AB137" s="1">
        <f ca="1">IFERROR(__xludf.DUMMYFUNCTION("""COMPUTED_VALUE"""),383)</f>
        <v>383</v>
      </c>
      <c r="AC137" s="1">
        <f ca="1">IFERROR(__xludf.DUMMYFUNCTION("""COMPUTED_VALUE"""),154)</f>
        <v>154</v>
      </c>
      <c r="AD137" s="1">
        <f ca="1">IFERROR(__xludf.DUMMYFUNCTION("""COMPUTED_VALUE"""),88)</f>
        <v>88</v>
      </c>
      <c r="AE137" s="1">
        <f ca="1">IFERROR(__xludf.DUMMYFUNCTION("""COMPUTED_VALUE"""),360)</f>
        <v>360</v>
      </c>
      <c r="AF137" s="1">
        <f ca="1">IFERROR(__xludf.DUMMYFUNCTION("""COMPUTED_VALUE"""),497)</f>
        <v>497</v>
      </c>
    </row>
    <row r="138" spans="1:32" ht="12.5" x14ac:dyDescent="0.25">
      <c r="A138" s="1" t="str">
        <f ca="1">IFERROR(__xludf.DUMMYFUNCTION("""COMPUTED_VALUE"""),"Idaho")</f>
        <v>Idaho</v>
      </c>
      <c r="B138" s="1">
        <f ca="1">IFERROR(__xludf.DUMMYFUNCTION("""COMPUTED_VALUE"""),32)</f>
        <v>32</v>
      </c>
      <c r="C138" s="1">
        <f ca="1">IFERROR(__xludf.DUMMYFUNCTION("""COMPUTED_VALUE"""),5)</f>
        <v>5</v>
      </c>
      <c r="D138" s="1">
        <f ca="1">IFERROR(__xludf.DUMMYFUNCTION("""COMPUTED_VALUE"""),27)</f>
        <v>27</v>
      </c>
      <c r="E138" s="1">
        <f ca="1">IFERROR(__xludf.DUMMYFUNCTION("""COMPUTED_VALUE"""),0.156)</f>
        <v>0.156</v>
      </c>
      <c r="F138" s="1">
        <f ca="1">IFERROR(__xludf.DUMMYFUNCTION("""COMPUTED_VALUE"""),-18.74)</f>
        <v>-18.739999999999998</v>
      </c>
      <c r="G138" s="1">
        <f ca="1">IFERROR(__xludf.DUMMYFUNCTION("""COMPUTED_VALUE"""),-6.19)</f>
        <v>-6.19</v>
      </c>
      <c r="H138" s="1">
        <f ca="1">IFERROR(__xludf.DUMMYFUNCTION("""COMPUTED_VALUE"""),2)</f>
        <v>2</v>
      </c>
      <c r="I138" s="1">
        <f ca="1">IFERROR(__xludf.DUMMYFUNCTION("""COMPUTED_VALUE"""),18)</f>
        <v>18</v>
      </c>
      <c r="J138" s="1">
        <f ca="1">IFERROR(__xludf.DUMMYFUNCTION("""COMPUTED_VALUE"""),4)</f>
        <v>4</v>
      </c>
      <c r="K138" s="1">
        <f ca="1">IFERROR(__xludf.DUMMYFUNCTION("""COMPUTED_VALUE"""),11)</f>
        <v>11</v>
      </c>
      <c r="L138" s="1">
        <f ca="1">IFERROR(__xludf.DUMMYFUNCTION("""COMPUTED_VALUE"""),1)</f>
        <v>1</v>
      </c>
      <c r="M138" s="1">
        <f ca="1">IFERROR(__xludf.DUMMYFUNCTION("""COMPUTED_VALUE"""),13)</f>
        <v>13</v>
      </c>
      <c r="N138" s="1">
        <f ca="1">IFERROR(__xludf.DUMMYFUNCTION("""COMPUTED_VALUE"""),2174)</f>
        <v>2174</v>
      </c>
      <c r="O138" s="1">
        <f ca="1">IFERROR(__xludf.DUMMYFUNCTION("""COMPUTED_VALUE"""),2460)</f>
        <v>2460</v>
      </c>
      <c r="P138" s="1">
        <f ca="1">IFERROR(__xludf.DUMMYFUNCTION("""COMPUTED_VALUE"""),1285)</f>
        <v>1285</v>
      </c>
      <c r="Q138" s="1">
        <f ca="1">IFERROR(__xludf.DUMMYFUNCTION("""COMPUTED_VALUE"""),778)</f>
        <v>778</v>
      </c>
      <c r="R138" s="1">
        <f ca="1">IFERROR(__xludf.DUMMYFUNCTION("""COMPUTED_VALUE"""),1764)</f>
        <v>1764</v>
      </c>
      <c r="S138" s="1">
        <f ca="1">IFERROR(__xludf.DUMMYFUNCTION("""COMPUTED_VALUE"""),0.441)</f>
        <v>0.441</v>
      </c>
      <c r="T138" s="1">
        <f ca="1">IFERROR(__xludf.DUMMYFUNCTION("""COMPUTED_VALUE"""),251)</f>
        <v>251</v>
      </c>
      <c r="U138" s="1">
        <f ca="1">IFERROR(__xludf.DUMMYFUNCTION("""COMPUTED_VALUE"""),678)</f>
        <v>678</v>
      </c>
      <c r="V138" s="1">
        <f ca="1">IFERROR(__xludf.DUMMYFUNCTION("""COMPUTED_VALUE"""),0.37)</f>
        <v>0.37</v>
      </c>
      <c r="W138" s="1">
        <f ca="1">IFERROR(__xludf.DUMMYFUNCTION("""COMPUTED_VALUE"""),367)</f>
        <v>367</v>
      </c>
      <c r="X138" s="1">
        <f ca="1">IFERROR(__xludf.DUMMYFUNCTION("""COMPUTED_VALUE"""),507)</f>
        <v>507</v>
      </c>
      <c r="Y138" s="1">
        <f ca="1">IFERROR(__xludf.DUMMYFUNCTION("""COMPUTED_VALUE"""),0.724)</f>
        <v>0.72399999999999998</v>
      </c>
      <c r="Z138" s="1">
        <f ca="1">IFERROR(__xludf.DUMMYFUNCTION("""COMPUTED_VALUE"""),258)</f>
        <v>258</v>
      </c>
      <c r="AA138" s="1">
        <f ca="1">IFERROR(__xludf.DUMMYFUNCTION("""COMPUTED_VALUE"""),1061)</f>
        <v>1061</v>
      </c>
      <c r="AB138" s="1">
        <f ca="1">IFERROR(__xludf.DUMMYFUNCTION("""COMPUTED_VALUE"""),399)</f>
        <v>399</v>
      </c>
      <c r="AC138" s="1">
        <f ca="1">IFERROR(__xludf.DUMMYFUNCTION("""COMPUTED_VALUE"""),130)</f>
        <v>130</v>
      </c>
      <c r="AD138" s="1">
        <f ca="1">IFERROR(__xludf.DUMMYFUNCTION("""COMPUTED_VALUE"""),53)</f>
        <v>53</v>
      </c>
      <c r="AE138" s="1">
        <f ca="1">IFERROR(__xludf.DUMMYFUNCTION("""COMPUTED_VALUE"""),433)</f>
        <v>433</v>
      </c>
      <c r="AF138" s="1">
        <f ca="1">IFERROR(__xludf.DUMMYFUNCTION("""COMPUTED_VALUE"""),582)</f>
        <v>582</v>
      </c>
    </row>
    <row r="139" spans="1:32" ht="12.5" x14ac:dyDescent="0.25">
      <c r="A139" s="1" t="str">
        <f ca="1">IFERROR(__xludf.DUMMYFUNCTION("""COMPUTED_VALUE"""),"Illinois-Chicago")</f>
        <v>Illinois-Chicago</v>
      </c>
      <c r="B139" s="1">
        <f ca="1">IFERROR(__xludf.DUMMYFUNCTION("""COMPUTED_VALUE"""),32)</f>
        <v>32</v>
      </c>
      <c r="C139" s="1">
        <f ca="1">IFERROR(__xludf.DUMMYFUNCTION("""COMPUTED_VALUE"""),16)</f>
        <v>16</v>
      </c>
      <c r="D139" s="1">
        <f ca="1">IFERROR(__xludf.DUMMYFUNCTION("""COMPUTED_VALUE"""),16)</f>
        <v>16</v>
      </c>
      <c r="E139" s="1">
        <f ca="1">IFERROR(__xludf.DUMMYFUNCTION("""COMPUTED_VALUE"""),0.5)</f>
        <v>0.5</v>
      </c>
      <c r="F139" s="1">
        <f ca="1">IFERROR(__xludf.DUMMYFUNCTION("""COMPUTED_VALUE"""),-3.15)</f>
        <v>-3.15</v>
      </c>
      <c r="G139" s="1">
        <f ca="1">IFERROR(__xludf.DUMMYFUNCTION("""COMPUTED_VALUE"""),-1.99)</f>
        <v>-1.99</v>
      </c>
      <c r="H139" s="1">
        <f ca="1">IFERROR(__xludf.DUMMYFUNCTION("""COMPUTED_VALUE"""),10)</f>
        <v>10</v>
      </c>
      <c r="I139" s="1">
        <f ca="1">IFERROR(__xludf.DUMMYFUNCTION("""COMPUTED_VALUE"""),8)</f>
        <v>8</v>
      </c>
      <c r="J139" s="1">
        <f ca="1">IFERROR(__xludf.DUMMYFUNCTION("""COMPUTED_VALUE"""),12)</f>
        <v>12</v>
      </c>
      <c r="K139" s="1">
        <f ca="1">IFERROR(__xludf.DUMMYFUNCTION("""COMPUTED_VALUE"""),4)</f>
        <v>4</v>
      </c>
      <c r="L139" s="1">
        <f ca="1">IFERROR(__xludf.DUMMYFUNCTION("""COMPUTED_VALUE"""),4)</f>
        <v>4</v>
      </c>
      <c r="M139" s="1">
        <f ca="1">IFERROR(__xludf.DUMMYFUNCTION("""COMPUTED_VALUE"""),12)</f>
        <v>12</v>
      </c>
      <c r="N139" s="1">
        <f ca="1">IFERROR(__xludf.DUMMYFUNCTION("""COMPUTED_VALUE"""),2391)</f>
        <v>2391</v>
      </c>
      <c r="O139" s="1">
        <f ca="1">IFERROR(__xludf.DUMMYFUNCTION("""COMPUTED_VALUE"""),2385)</f>
        <v>2385</v>
      </c>
      <c r="P139" s="1">
        <f ca="1">IFERROR(__xludf.DUMMYFUNCTION("""COMPUTED_VALUE"""),1295)</f>
        <v>1295</v>
      </c>
      <c r="Q139" s="1">
        <f ca="1">IFERROR(__xludf.DUMMYFUNCTION("""COMPUTED_VALUE"""),865)</f>
        <v>865</v>
      </c>
      <c r="R139" s="1">
        <f ca="1">IFERROR(__xludf.DUMMYFUNCTION("""COMPUTED_VALUE"""),1883)</f>
        <v>1883</v>
      </c>
      <c r="S139" s="1">
        <f ca="1">IFERROR(__xludf.DUMMYFUNCTION("""COMPUTED_VALUE"""),0.459)</f>
        <v>0.45900000000000002</v>
      </c>
      <c r="T139" s="1">
        <f ca="1">IFERROR(__xludf.DUMMYFUNCTION("""COMPUTED_VALUE"""),303)</f>
        <v>303</v>
      </c>
      <c r="U139" s="1">
        <f ca="1">IFERROR(__xludf.DUMMYFUNCTION("""COMPUTED_VALUE"""),856)</f>
        <v>856</v>
      </c>
      <c r="V139" s="1">
        <f ca="1">IFERROR(__xludf.DUMMYFUNCTION("""COMPUTED_VALUE"""),0.354)</f>
        <v>0.35399999999999998</v>
      </c>
      <c r="W139" s="1">
        <f ca="1">IFERROR(__xludf.DUMMYFUNCTION("""COMPUTED_VALUE"""),358)</f>
        <v>358</v>
      </c>
      <c r="X139" s="1">
        <f ca="1">IFERROR(__xludf.DUMMYFUNCTION("""COMPUTED_VALUE"""),525)</f>
        <v>525</v>
      </c>
      <c r="Y139" s="1">
        <f ca="1">IFERROR(__xludf.DUMMYFUNCTION("""COMPUTED_VALUE"""),0.682)</f>
        <v>0.68200000000000005</v>
      </c>
      <c r="Z139" s="1">
        <f ca="1">IFERROR(__xludf.DUMMYFUNCTION("""COMPUTED_VALUE"""),271)</f>
        <v>271</v>
      </c>
      <c r="AA139" s="1">
        <f ca="1">IFERROR(__xludf.DUMMYFUNCTION("""COMPUTED_VALUE"""),1106)</f>
        <v>1106</v>
      </c>
      <c r="AB139" s="1">
        <f ca="1">IFERROR(__xludf.DUMMYFUNCTION("""COMPUTED_VALUE"""),478)</f>
        <v>478</v>
      </c>
      <c r="AC139" s="1">
        <f ca="1">IFERROR(__xludf.DUMMYFUNCTION("""COMPUTED_VALUE"""),210)</f>
        <v>210</v>
      </c>
      <c r="AD139" s="1">
        <f ca="1">IFERROR(__xludf.DUMMYFUNCTION("""COMPUTED_VALUE"""),124)</f>
        <v>124</v>
      </c>
      <c r="AE139" s="1">
        <f ca="1">IFERROR(__xludf.DUMMYFUNCTION("""COMPUTED_VALUE"""),457)</f>
        <v>457</v>
      </c>
      <c r="AF139" s="1">
        <f ca="1">IFERROR(__xludf.DUMMYFUNCTION("""COMPUTED_VALUE"""),684)</f>
        <v>684</v>
      </c>
    </row>
    <row r="140" spans="1:32" ht="12.5" x14ac:dyDescent="0.25">
      <c r="A140" s="1" t="str">
        <f ca="1">IFERROR(__xludf.DUMMYFUNCTION("""COMPUTED_VALUE"""),"Illinois State")</f>
        <v>Illinois State</v>
      </c>
      <c r="B140" s="1">
        <f ca="1">IFERROR(__xludf.DUMMYFUNCTION("""COMPUTED_VALUE"""),33)</f>
        <v>33</v>
      </c>
      <c r="C140" s="1">
        <f ca="1">IFERROR(__xludf.DUMMYFUNCTION("""COMPUTED_VALUE"""),17)</f>
        <v>17</v>
      </c>
      <c r="D140" s="1">
        <f ca="1">IFERROR(__xludf.DUMMYFUNCTION("""COMPUTED_VALUE"""),16)</f>
        <v>16</v>
      </c>
      <c r="E140" s="1">
        <f ca="1">IFERROR(__xludf.DUMMYFUNCTION("""COMPUTED_VALUE"""),0.515)</f>
        <v>0.51500000000000001</v>
      </c>
      <c r="F140" s="1">
        <f ca="1">IFERROR(__xludf.DUMMYFUNCTION("""COMPUTED_VALUE"""),-2.06)</f>
        <v>-2.06</v>
      </c>
      <c r="G140" s="1">
        <f ca="1">IFERROR(__xludf.DUMMYFUNCTION("""COMPUTED_VALUE"""),0.25)</f>
        <v>0.25</v>
      </c>
      <c r="H140" s="1">
        <f ca="1">IFERROR(__xludf.DUMMYFUNCTION("""COMPUTED_VALUE"""),9)</f>
        <v>9</v>
      </c>
      <c r="I140" s="1">
        <f ca="1">IFERROR(__xludf.DUMMYFUNCTION("""COMPUTED_VALUE"""),9)</f>
        <v>9</v>
      </c>
      <c r="J140" s="1">
        <f ca="1">IFERROR(__xludf.DUMMYFUNCTION("""COMPUTED_VALUE"""),12)</f>
        <v>12</v>
      </c>
      <c r="K140" s="1">
        <f ca="1">IFERROR(__xludf.DUMMYFUNCTION("""COMPUTED_VALUE"""),4)</f>
        <v>4</v>
      </c>
      <c r="L140" s="1">
        <f ca="1">IFERROR(__xludf.DUMMYFUNCTION("""COMPUTED_VALUE"""),2)</f>
        <v>2</v>
      </c>
      <c r="M140" s="1">
        <f ca="1">IFERROR(__xludf.DUMMYFUNCTION("""COMPUTED_VALUE"""),10)</f>
        <v>10</v>
      </c>
      <c r="N140" s="1">
        <f ca="1">IFERROR(__xludf.DUMMYFUNCTION("""COMPUTED_VALUE"""),2257)</f>
        <v>2257</v>
      </c>
      <c r="O140" s="1">
        <f ca="1">IFERROR(__xludf.DUMMYFUNCTION("""COMPUTED_VALUE"""),2314)</f>
        <v>2314</v>
      </c>
      <c r="P140" s="1">
        <f ca="1">IFERROR(__xludf.DUMMYFUNCTION("""COMPUTED_VALUE"""),1330)</f>
        <v>1330</v>
      </c>
      <c r="Q140" s="1">
        <f ca="1">IFERROR(__xludf.DUMMYFUNCTION("""COMPUTED_VALUE"""),813)</f>
        <v>813</v>
      </c>
      <c r="R140" s="1">
        <f ca="1">IFERROR(__xludf.DUMMYFUNCTION("""COMPUTED_VALUE"""),1887)</f>
        <v>1887</v>
      </c>
      <c r="S140" s="1">
        <f ca="1">IFERROR(__xludf.DUMMYFUNCTION("""COMPUTED_VALUE"""),0.431)</f>
        <v>0.43099999999999999</v>
      </c>
      <c r="T140" s="1">
        <f ca="1">IFERROR(__xludf.DUMMYFUNCTION("""COMPUTED_VALUE"""),244)</f>
        <v>244</v>
      </c>
      <c r="U140" s="1">
        <f ca="1">IFERROR(__xludf.DUMMYFUNCTION("""COMPUTED_VALUE"""),734)</f>
        <v>734</v>
      </c>
      <c r="V140" s="1">
        <f ca="1">IFERROR(__xludf.DUMMYFUNCTION("""COMPUTED_VALUE"""),0.332)</f>
        <v>0.33200000000000002</v>
      </c>
      <c r="W140" s="1">
        <f ca="1">IFERROR(__xludf.DUMMYFUNCTION("""COMPUTED_VALUE"""),387)</f>
        <v>387</v>
      </c>
      <c r="X140" s="1">
        <f ca="1">IFERROR(__xludf.DUMMYFUNCTION("""COMPUTED_VALUE"""),540)</f>
        <v>540</v>
      </c>
      <c r="Y140" s="1">
        <f ca="1">IFERROR(__xludf.DUMMYFUNCTION("""COMPUTED_VALUE"""),0.717)</f>
        <v>0.71699999999999997</v>
      </c>
      <c r="Z140" s="1">
        <f ca="1">IFERROR(__xludf.DUMMYFUNCTION("""COMPUTED_VALUE"""),298)</f>
        <v>298</v>
      </c>
      <c r="AA140" s="1">
        <f ca="1">IFERROR(__xludf.DUMMYFUNCTION("""COMPUTED_VALUE"""),1139)</f>
        <v>1139</v>
      </c>
      <c r="AB140" s="1">
        <f ca="1">IFERROR(__xludf.DUMMYFUNCTION("""COMPUTED_VALUE"""),421)</f>
        <v>421</v>
      </c>
      <c r="AC140" s="1">
        <f ca="1">IFERROR(__xludf.DUMMYFUNCTION("""COMPUTED_VALUE"""),162)</f>
        <v>162</v>
      </c>
      <c r="AD140" s="1">
        <f ca="1">IFERROR(__xludf.DUMMYFUNCTION("""COMPUTED_VALUE"""),106)</f>
        <v>106</v>
      </c>
      <c r="AE140" s="1">
        <f ca="1">IFERROR(__xludf.DUMMYFUNCTION("""COMPUTED_VALUE"""),417)</f>
        <v>417</v>
      </c>
      <c r="AF140" s="1">
        <f ca="1">IFERROR(__xludf.DUMMYFUNCTION("""COMPUTED_VALUE"""),577)</f>
        <v>577</v>
      </c>
    </row>
    <row r="141" spans="1:32" ht="12.5" x14ac:dyDescent="0.25">
      <c r="A141" s="1" t="str">
        <f ca="1">IFERROR(__xludf.DUMMYFUNCTION("""COMPUTED_VALUE"""),"Illinois")</f>
        <v>Illinois</v>
      </c>
      <c r="B141" s="1">
        <f ca="1">IFERROR(__xludf.DUMMYFUNCTION("""COMPUTED_VALUE"""),33)</f>
        <v>33</v>
      </c>
      <c r="C141" s="1">
        <f ca="1">IFERROR(__xludf.DUMMYFUNCTION("""COMPUTED_VALUE"""),12)</f>
        <v>12</v>
      </c>
      <c r="D141" s="1">
        <f ca="1">IFERROR(__xludf.DUMMYFUNCTION("""COMPUTED_VALUE"""),21)</f>
        <v>21</v>
      </c>
      <c r="E141" s="1">
        <f ca="1">IFERROR(__xludf.DUMMYFUNCTION("""COMPUTED_VALUE"""),0.364)</f>
        <v>0.36399999999999999</v>
      </c>
      <c r="F141" s="1">
        <f ca="1">IFERROR(__xludf.DUMMYFUNCTION("""COMPUTED_VALUE"""),8.95)</f>
        <v>8.9499999999999993</v>
      </c>
      <c r="G141" s="1">
        <f ca="1">IFERROR(__xludf.DUMMYFUNCTION("""COMPUTED_VALUE"""),11.53)</f>
        <v>11.53</v>
      </c>
      <c r="H141" s="1">
        <f ca="1">IFERROR(__xludf.DUMMYFUNCTION("""COMPUTED_VALUE"""),7)</f>
        <v>7</v>
      </c>
      <c r="I141" s="1">
        <f ca="1">IFERROR(__xludf.DUMMYFUNCTION("""COMPUTED_VALUE"""),13)</f>
        <v>13</v>
      </c>
      <c r="J141" s="1">
        <f ca="1">IFERROR(__xludf.DUMMYFUNCTION("""COMPUTED_VALUE"""),9)</f>
        <v>9</v>
      </c>
      <c r="K141" s="1">
        <f ca="1">IFERROR(__xludf.DUMMYFUNCTION("""COMPUTED_VALUE"""),6)</f>
        <v>6</v>
      </c>
      <c r="L141" s="1">
        <f ca="1">IFERROR(__xludf.DUMMYFUNCTION("""COMPUTED_VALUE"""),1)</f>
        <v>1</v>
      </c>
      <c r="M141" s="1">
        <f ca="1">IFERROR(__xludf.DUMMYFUNCTION("""COMPUTED_VALUE"""),9)</f>
        <v>9</v>
      </c>
      <c r="N141" s="1">
        <f ca="1">IFERROR(__xludf.DUMMYFUNCTION("""COMPUTED_VALUE"""),2398)</f>
        <v>2398</v>
      </c>
      <c r="O141" s="1">
        <f ca="1">IFERROR(__xludf.DUMMYFUNCTION("""COMPUTED_VALUE"""),2483)</f>
        <v>2483</v>
      </c>
      <c r="P141" s="1">
        <f ca="1">IFERROR(__xludf.DUMMYFUNCTION("""COMPUTED_VALUE"""),1335)</f>
        <v>1335</v>
      </c>
      <c r="Q141" s="1">
        <f ca="1">IFERROR(__xludf.DUMMYFUNCTION("""COMPUTED_VALUE"""),862)</f>
        <v>862</v>
      </c>
      <c r="R141" s="1">
        <f ca="1">IFERROR(__xludf.DUMMYFUNCTION("""COMPUTED_VALUE"""),2001)</f>
        <v>2001</v>
      </c>
      <c r="S141" s="1">
        <f ca="1">IFERROR(__xludf.DUMMYFUNCTION("""COMPUTED_VALUE"""),0.431)</f>
        <v>0.43099999999999999</v>
      </c>
      <c r="T141" s="1">
        <f ca="1">IFERROR(__xludf.DUMMYFUNCTION("""COMPUTED_VALUE"""),259)</f>
        <v>259</v>
      </c>
      <c r="U141" s="1">
        <f ca="1">IFERROR(__xludf.DUMMYFUNCTION("""COMPUTED_VALUE"""),751)</f>
        <v>751</v>
      </c>
      <c r="V141" s="1">
        <f ca="1">IFERROR(__xludf.DUMMYFUNCTION("""COMPUTED_VALUE"""),0.345)</f>
        <v>0.34499999999999997</v>
      </c>
      <c r="W141" s="1">
        <f ca="1">IFERROR(__xludf.DUMMYFUNCTION("""COMPUTED_VALUE"""),415)</f>
        <v>415</v>
      </c>
      <c r="X141" s="1">
        <f ca="1">IFERROR(__xludf.DUMMYFUNCTION("""COMPUTED_VALUE"""),591)</f>
        <v>591</v>
      </c>
      <c r="Y141" s="1">
        <f ca="1">IFERROR(__xludf.DUMMYFUNCTION("""COMPUTED_VALUE"""),0.702)</f>
        <v>0.70199999999999996</v>
      </c>
      <c r="Z141" s="1">
        <f ca="1">IFERROR(__xludf.DUMMYFUNCTION("""COMPUTED_VALUE"""),351)</f>
        <v>351</v>
      </c>
      <c r="AA141" s="1">
        <f ca="1">IFERROR(__xludf.DUMMYFUNCTION("""COMPUTED_VALUE"""),1091)</f>
        <v>1091</v>
      </c>
      <c r="AB141" s="1">
        <f ca="1">IFERROR(__xludf.DUMMYFUNCTION("""COMPUTED_VALUE"""),446)</f>
        <v>446</v>
      </c>
      <c r="AC141" s="1">
        <f ca="1">IFERROR(__xludf.DUMMYFUNCTION("""COMPUTED_VALUE"""),245)</f>
        <v>245</v>
      </c>
      <c r="AD141" s="1">
        <f ca="1">IFERROR(__xludf.DUMMYFUNCTION("""COMPUTED_VALUE"""),86)</f>
        <v>86</v>
      </c>
      <c r="AE141" s="1">
        <f ca="1">IFERROR(__xludf.DUMMYFUNCTION("""COMPUTED_VALUE"""),435)</f>
        <v>435</v>
      </c>
      <c r="AF141" s="1">
        <f ca="1">IFERROR(__xludf.DUMMYFUNCTION("""COMPUTED_VALUE"""),700)</f>
        <v>700</v>
      </c>
    </row>
    <row r="142" spans="1:32" ht="12.5" x14ac:dyDescent="0.25">
      <c r="A142" s="1" t="str">
        <f ca="1">IFERROR(__xludf.DUMMYFUNCTION("""COMPUTED_VALUE"""),"Incarnate Word")</f>
        <v>Incarnate Word</v>
      </c>
      <c r="B142" s="1">
        <f ca="1">IFERROR(__xludf.DUMMYFUNCTION("""COMPUTED_VALUE"""),31)</f>
        <v>31</v>
      </c>
      <c r="C142" s="1">
        <f ca="1">IFERROR(__xludf.DUMMYFUNCTION("""COMPUTED_VALUE"""),6)</f>
        <v>6</v>
      </c>
      <c r="D142" s="1">
        <f ca="1">IFERROR(__xludf.DUMMYFUNCTION("""COMPUTED_VALUE"""),25)</f>
        <v>25</v>
      </c>
      <c r="E142" s="1">
        <f ca="1">IFERROR(__xludf.DUMMYFUNCTION("""COMPUTED_VALUE"""),0.194)</f>
        <v>0.19400000000000001</v>
      </c>
      <c r="F142" s="1">
        <f ca="1">IFERROR(__xludf.DUMMYFUNCTION("""COMPUTED_VALUE"""),-18.93)</f>
        <v>-18.93</v>
      </c>
      <c r="G142" s="1">
        <f ca="1">IFERROR(__xludf.DUMMYFUNCTION("""COMPUTED_VALUE"""),-5.11)</f>
        <v>-5.1100000000000003</v>
      </c>
      <c r="H142" s="1">
        <f ca="1">IFERROR(__xludf.DUMMYFUNCTION("""COMPUTED_VALUE"""),1)</f>
        <v>1</v>
      </c>
      <c r="I142" s="1">
        <f ca="1">IFERROR(__xludf.DUMMYFUNCTION("""COMPUTED_VALUE"""),17)</f>
        <v>17</v>
      </c>
      <c r="J142" s="1">
        <f ca="1">IFERROR(__xludf.DUMMYFUNCTION("""COMPUTED_VALUE"""),5)</f>
        <v>5</v>
      </c>
      <c r="K142" s="1">
        <f ca="1">IFERROR(__xludf.DUMMYFUNCTION("""COMPUTED_VALUE"""),9)</f>
        <v>9</v>
      </c>
      <c r="L142" s="1">
        <f ca="1">IFERROR(__xludf.DUMMYFUNCTION("""COMPUTED_VALUE"""),0)</f>
        <v>0</v>
      </c>
      <c r="M142" s="1">
        <f ca="1">IFERROR(__xludf.DUMMYFUNCTION("""COMPUTED_VALUE"""),14)</f>
        <v>14</v>
      </c>
      <c r="N142" s="1">
        <f ca="1">IFERROR(__xludf.DUMMYFUNCTION("""COMPUTED_VALUE"""),2044)</f>
        <v>2044</v>
      </c>
      <c r="O142" s="1">
        <f ca="1">IFERROR(__xludf.DUMMYFUNCTION("""COMPUTED_VALUE"""),2355)</f>
        <v>2355</v>
      </c>
      <c r="P142" s="1">
        <f ca="1">IFERROR(__xludf.DUMMYFUNCTION("""COMPUTED_VALUE"""),1255)</f>
        <v>1255</v>
      </c>
      <c r="Q142" s="1">
        <f ca="1">IFERROR(__xludf.DUMMYFUNCTION("""COMPUTED_VALUE"""),711)</f>
        <v>711</v>
      </c>
      <c r="R142" s="1">
        <f ca="1">IFERROR(__xludf.DUMMYFUNCTION("""COMPUTED_VALUE"""),1527)</f>
        <v>1527</v>
      </c>
      <c r="S142" s="1">
        <f ca="1">IFERROR(__xludf.DUMMYFUNCTION("""COMPUTED_VALUE"""),0.466)</f>
        <v>0.46600000000000003</v>
      </c>
      <c r="T142" s="1">
        <f ca="1">IFERROR(__xludf.DUMMYFUNCTION("""COMPUTED_VALUE"""),174)</f>
        <v>174</v>
      </c>
      <c r="U142" s="1">
        <f ca="1">IFERROR(__xludf.DUMMYFUNCTION("""COMPUTED_VALUE"""),508)</f>
        <v>508</v>
      </c>
      <c r="V142" s="1">
        <f ca="1">IFERROR(__xludf.DUMMYFUNCTION("""COMPUTED_VALUE"""),0.343)</f>
        <v>0.34300000000000003</v>
      </c>
      <c r="W142" s="1">
        <f ca="1">IFERROR(__xludf.DUMMYFUNCTION("""COMPUTED_VALUE"""),448)</f>
        <v>448</v>
      </c>
      <c r="X142" s="1">
        <f ca="1">IFERROR(__xludf.DUMMYFUNCTION("""COMPUTED_VALUE"""),553)</f>
        <v>553</v>
      </c>
      <c r="Y142" s="1">
        <f ca="1">IFERROR(__xludf.DUMMYFUNCTION("""COMPUTED_VALUE"""),0.81)</f>
        <v>0.81</v>
      </c>
      <c r="Z142" s="1">
        <f ca="1">IFERROR(__xludf.DUMMYFUNCTION("""COMPUTED_VALUE"""),204)</f>
        <v>204</v>
      </c>
      <c r="AA142" s="1">
        <f ca="1">IFERROR(__xludf.DUMMYFUNCTION("""COMPUTED_VALUE"""),845)</f>
        <v>845</v>
      </c>
      <c r="AB142" s="1">
        <f ca="1">IFERROR(__xludf.DUMMYFUNCTION("""COMPUTED_VALUE"""),354)</f>
        <v>354</v>
      </c>
      <c r="AC142" s="1">
        <f ca="1">IFERROR(__xludf.DUMMYFUNCTION("""COMPUTED_VALUE"""),184)</f>
        <v>184</v>
      </c>
      <c r="AD142" s="1">
        <f ca="1">IFERROR(__xludf.DUMMYFUNCTION("""COMPUTED_VALUE"""),53)</f>
        <v>53</v>
      </c>
      <c r="AE142" s="1">
        <f ca="1">IFERROR(__xludf.DUMMYFUNCTION("""COMPUTED_VALUE"""),504)</f>
        <v>504</v>
      </c>
      <c r="AF142" s="1">
        <f ca="1">IFERROR(__xludf.DUMMYFUNCTION("""COMPUTED_VALUE"""),592)</f>
        <v>592</v>
      </c>
    </row>
    <row r="143" spans="1:32" ht="12.5" x14ac:dyDescent="0.25">
      <c r="A143" s="1" t="str">
        <f ca="1">IFERROR(__xludf.DUMMYFUNCTION("""COMPUTED_VALUE"""),"Indiana State")</f>
        <v>Indiana State</v>
      </c>
      <c r="B143" s="1">
        <f ca="1">IFERROR(__xludf.DUMMYFUNCTION("""COMPUTED_VALUE"""),31)</f>
        <v>31</v>
      </c>
      <c r="C143" s="1">
        <f ca="1">IFERROR(__xludf.DUMMYFUNCTION("""COMPUTED_VALUE"""),15)</f>
        <v>15</v>
      </c>
      <c r="D143" s="1">
        <f ca="1">IFERROR(__xludf.DUMMYFUNCTION("""COMPUTED_VALUE"""),16)</f>
        <v>16</v>
      </c>
      <c r="E143" s="1">
        <f ca="1">IFERROR(__xludf.DUMMYFUNCTION("""COMPUTED_VALUE"""),0.484)</f>
        <v>0.48399999999999999</v>
      </c>
      <c r="F143" s="1">
        <f ca="1">IFERROR(__xludf.DUMMYFUNCTION("""COMPUTED_VALUE"""),-2.72)</f>
        <v>-2.72</v>
      </c>
      <c r="G143" s="1">
        <f ca="1">IFERROR(__xludf.DUMMYFUNCTION("""COMPUTED_VALUE"""),0.62)</f>
        <v>0.62</v>
      </c>
      <c r="H143" s="1">
        <f ca="1">IFERROR(__xludf.DUMMYFUNCTION("""COMPUTED_VALUE"""),7)</f>
        <v>7</v>
      </c>
      <c r="I143" s="1">
        <f ca="1">IFERROR(__xludf.DUMMYFUNCTION("""COMPUTED_VALUE"""),11)</f>
        <v>11</v>
      </c>
      <c r="J143" s="1">
        <f ca="1">IFERROR(__xludf.DUMMYFUNCTION("""COMPUTED_VALUE"""),9)</f>
        <v>9</v>
      </c>
      <c r="K143" s="1">
        <f ca="1">IFERROR(__xludf.DUMMYFUNCTION("""COMPUTED_VALUE"""),5)</f>
        <v>5</v>
      </c>
      <c r="L143" s="1">
        <f ca="1">IFERROR(__xludf.DUMMYFUNCTION("""COMPUTED_VALUE"""),4)</f>
        <v>4</v>
      </c>
      <c r="M143" s="1">
        <f ca="1">IFERROR(__xludf.DUMMYFUNCTION("""COMPUTED_VALUE"""),9)</f>
        <v>9</v>
      </c>
      <c r="N143" s="1">
        <f ca="1">IFERROR(__xludf.DUMMYFUNCTION("""COMPUTED_VALUE"""),2146)</f>
        <v>2146</v>
      </c>
      <c r="O143" s="1">
        <f ca="1">IFERROR(__xludf.DUMMYFUNCTION("""COMPUTED_VALUE"""),2218)</f>
        <v>2218</v>
      </c>
      <c r="P143" s="1">
        <f ca="1">IFERROR(__xludf.DUMMYFUNCTION("""COMPUTED_VALUE"""),1250)</f>
        <v>1250</v>
      </c>
      <c r="Q143" s="1">
        <f ca="1">IFERROR(__xludf.DUMMYFUNCTION("""COMPUTED_VALUE"""),757)</f>
        <v>757</v>
      </c>
      <c r="R143" s="1">
        <f ca="1">IFERROR(__xludf.DUMMYFUNCTION("""COMPUTED_VALUE"""),1719)</f>
        <v>1719</v>
      </c>
      <c r="S143" s="1">
        <f ca="1">IFERROR(__xludf.DUMMYFUNCTION("""COMPUTED_VALUE"""),0.44)</f>
        <v>0.44</v>
      </c>
      <c r="T143" s="1">
        <f ca="1">IFERROR(__xludf.DUMMYFUNCTION("""COMPUTED_VALUE"""),178)</f>
        <v>178</v>
      </c>
      <c r="U143" s="1">
        <f ca="1">IFERROR(__xludf.DUMMYFUNCTION("""COMPUTED_VALUE"""),491)</f>
        <v>491</v>
      </c>
      <c r="V143" s="1">
        <f ca="1">IFERROR(__xludf.DUMMYFUNCTION("""COMPUTED_VALUE"""),0.363)</f>
        <v>0.36299999999999999</v>
      </c>
      <c r="W143" s="1">
        <f ca="1">IFERROR(__xludf.DUMMYFUNCTION("""COMPUTED_VALUE"""),454)</f>
        <v>454</v>
      </c>
      <c r="X143" s="1">
        <f ca="1">IFERROR(__xludf.DUMMYFUNCTION("""COMPUTED_VALUE"""),621)</f>
        <v>621</v>
      </c>
      <c r="Y143" s="1">
        <f ca="1">IFERROR(__xludf.DUMMYFUNCTION("""COMPUTED_VALUE"""),0.731)</f>
        <v>0.73099999999999998</v>
      </c>
      <c r="Z143" s="1">
        <f ca="1">IFERROR(__xludf.DUMMYFUNCTION("""COMPUTED_VALUE"""),250)</f>
        <v>250</v>
      </c>
      <c r="AA143" s="1">
        <f ca="1">IFERROR(__xludf.DUMMYFUNCTION("""COMPUTED_VALUE"""),1007)</f>
        <v>1007</v>
      </c>
      <c r="AB143" s="1">
        <f ca="1">IFERROR(__xludf.DUMMYFUNCTION("""COMPUTED_VALUE"""),342)</f>
        <v>342</v>
      </c>
      <c r="AC143" s="1">
        <f ca="1">IFERROR(__xludf.DUMMYFUNCTION("""COMPUTED_VALUE"""),207)</f>
        <v>207</v>
      </c>
      <c r="AD143" s="1">
        <f ca="1">IFERROR(__xludf.DUMMYFUNCTION("""COMPUTED_VALUE"""),73)</f>
        <v>73</v>
      </c>
      <c r="AE143" s="1">
        <f ca="1">IFERROR(__xludf.DUMMYFUNCTION("""COMPUTED_VALUE"""),402)</f>
        <v>402</v>
      </c>
      <c r="AF143" s="1">
        <f ca="1">IFERROR(__xludf.DUMMYFUNCTION("""COMPUTED_VALUE"""),586)</f>
        <v>586</v>
      </c>
    </row>
    <row r="144" spans="1:32" ht="12.5" x14ac:dyDescent="0.25">
      <c r="A144" s="1" t="str">
        <f ca="1">IFERROR(__xludf.DUMMYFUNCTION("""COMPUTED_VALUE"""),"Indiana")</f>
        <v>Indiana</v>
      </c>
      <c r="B144" s="1">
        <f ca="1">IFERROR(__xludf.DUMMYFUNCTION("""COMPUTED_VALUE"""),35)</f>
        <v>35</v>
      </c>
      <c r="C144" s="1">
        <f ca="1">IFERROR(__xludf.DUMMYFUNCTION("""COMPUTED_VALUE"""),19)</f>
        <v>19</v>
      </c>
      <c r="D144" s="1">
        <f ca="1">IFERROR(__xludf.DUMMYFUNCTION("""COMPUTED_VALUE"""),16)</f>
        <v>16</v>
      </c>
      <c r="E144" s="1">
        <f ca="1">IFERROR(__xludf.DUMMYFUNCTION("""COMPUTED_VALUE"""),0.543)</f>
        <v>0.54300000000000004</v>
      </c>
      <c r="F144" s="1">
        <f ca="1">IFERROR(__xludf.DUMMYFUNCTION("""COMPUTED_VALUE"""),13.82)</f>
        <v>13.82</v>
      </c>
      <c r="G144" s="1">
        <f ca="1">IFERROR(__xludf.DUMMYFUNCTION("""COMPUTED_VALUE"""),10.1)</f>
        <v>10.1</v>
      </c>
      <c r="H144" s="1">
        <f ca="1">IFERROR(__xludf.DUMMYFUNCTION("""COMPUTED_VALUE"""),8)</f>
        <v>8</v>
      </c>
      <c r="I144" s="1">
        <f ca="1">IFERROR(__xludf.DUMMYFUNCTION("""COMPUTED_VALUE"""),12)</f>
        <v>12</v>
      </c>
      <c r="J144" s="1">
        <f ca="1">IFERROR(__xludf.DUMMYFUNCTION("""COMPUTED_VALUE"""),15)</f>
        <v>15</v>
      </c>
      <c r="K144" s="1">
        <f ca="1">IFERROR(__xludf.DUMMYFUNCTION("""COMPUTED_VALUE"""),6)</f>
        <v>6</v>
      </c>
      <c r="L144" s="1">
        <f ca="1">IFERROR(__xludf.DUMMYFUNCTION("""COMPUTED_VALUE"""),3)</f>
        <v>3</v>
      </c>
      <c r="M144" s="1">
        <f ca="1">IFERROR(__xludf.DUMMYFUNCTION("""COMPUTED_VALUE"""),9)</f>
        <v>9</v>
      </c>
      <c r="N144" s="1">
        <f ca="1">IFERROR(__xludf.DUMMYFUNCTION("""COMPUTED_VALUE"""),2504)</f>
        <v>2504</v>
      </c>
      <c r="O144" s="1">
        <f ca="1">IFERROR(__xludf.DUMMYFUNCTION("""COMPUTED_VALUE"""),2374)</f>
        <v>2374</v>
      </c>
      <c r="P144" s="1">
        <f ca="1">IFERROR(__xludf.DUMMYFUNCTION("""COMPUTED_VALUE"""),1420)</f>
        <v>1420</v>
      </c>
      <c r="Q144" s="1">
        <f ca="1">IFERROR(__xludf.DUMMYFUNCTION("""COMPUTED_VALUE"""),919)</f>
        <v>919</v>
      </c>
      <c r="R144" s="1">
        <f ca="1">IFERROR(__xludf.DUMMYFUNCTION("""COMPUTED_VALUE"""),2009)</f>
        <v>2009</v>
      </c>
      <c r="S144" s="1">
        <f ca="1">IFERROR(__xludf.DUMMYFUNCTION("""COMPUTED_VALUE"""),0.457)</f>
        <v>0.45700000000000002</v>
      </c>
      <c r="T144" s="1">
        <f ca="1">IFERROR(__xludf.DUMMYFUNCTION("""COMPUTED_VALUE"""),211)</f>
        <v>211</v>
      </c>
      <c r="U144" s="1">
        <f ca="1">IFERROR(__xludf.DUMMYFUNCTION("""COMPUTED_VALUE"""),676)</f>
        <v>676</v>
      </c>
      <c r="V144" s="1">
        <f ca="1">IFERROR(__xludf.DUMMYFUNCTION("""COMPUTED_VALUE"""),0.312)</f>
        <v>0.312</v>
      </c>
      <c r="W144" s="1">
        <f ca="1">IFERROR(__xludf.DUMMYFUNCTION("""COMPUTED_VALUE"""),455)</f>
        <v>455</v>
      </c>
      <c r="X144" s="1">
        <f ca="1">IFERROR(__xludf.DUMMYFUNCTION("""COMPUTED_VALUE"""),695)</f>
        <v>695</v>
      </c>
      <c r="Y144" s="1">
        <f ca="1">IFERROR(__xludf.DUMMYFUNCTION("""COMPUTED_VALUE"""),0.655)</f>
        <v>0.65500000000000003</v>
      </c>
      <c r="Z144" s="1">
        <f ca="1">IFERROR(__xludf.DUMMYFUNCTION("""COMPUTED_VALUE"""),341)</f>
        <v>341</v>
      </c>
      <c r="AA144" s="1">
        <f ca="1">IFERROR(__xludf.DUMMYFUNCTION("""COMPUTED_VALUE"""),1272)</f>
        <v>1272</v>
      </c>
      <c r="AB144" s="1">
        <f ca="1">IFERROR(__xludf.DUMMYFUNCTION("""COMPUTED_VALUE"""),469)</f>
        <v>469</v>
      </c>
      <c r="AC144" s="1">
        <f ca="1">IFERROR(__xludf.DUMMYFUNCTION("""COMPUTED_VALUE"""),226)</f>
        <v>226</v>
      </c>
      <c r="AD144" s="1">
        <f ca="1">IFERROR(__xludf.DUMMYFUNCTION("""COMPUTED_VALUE"""),154)</f>
        <v>154</v>
      </c>
      <c r="AE144" s="1">
        <f ca="1">IFERROR(__xludf.DUMMYFUNCTION("""COMPUTED_VALUE"""),433)</f>
        <v>433</v>
      </c>
      <c r="AF144" s="1">
        <f ca="1">IFERROR(__xludf.DUMMYFUNCTION("""COMPUTED_VALUE"""),596)</f>
        <v>596</v>
      </c>
    </row>
    <row r="145" spans="1:32" ht="12.5" x14ac:dyDescent="0.25">
      <c r="A145" s="1" t="str">
        <f ca="1">IFERROR(__xludf.DUMMYFUNCTION("""COMPUTED_VALUE"""),"Iona")</f>
        <v>Iona</v>
      </c>
      <c r="B145" s="1">
        <f ca="1">IFERROR(__xludf.DUMMYFUNCTION("""COMPUTED_VALUE"""),33)</f>
        <v>33</v>
      </c>
      <c r="C145" s="1">
        <f ca="1">IFERROR(__xludf.DUMMYFUNCTION("""COMPUTED_VALUE"""),17)</f>
        <v>17</v>
      </c>
      <c r="D145" s="1">
        <f ca="1">IFERROR(__xludf.DUMMYFUNCTION("""COMPUTED_VALUE"""),16)</f>
        <v>16</v>
      </c>
      <c r="E145" s="1">
        <f ca="1">IFERROR(__xludf.DUMMYFUNCTION("""COMPUTED_VALUE"""),0.515)</f>
        <v>0.51500000000000001</v>
      </c>
      <c r="F145" s="1">
        <f ca="1">IFERROR(__xludf.DUMMYFUNCTION("""COMPUTED_VALUE"""),-4.78)</f>
        <v>-4.78</v>
      </c>
      <c r="G145" s="1">
        <f ca="1">IFERROR(__xludf.DUMMYFUNCTION("""COMPUTED_VALUE"""),-5.5)</f>
        <v>-5.5</v>
      </c>
      <c r="H145" s="1">
        <f ca="1">IFERROR(__xludf.DUMMYFUNCTION("""COMPUTED_VALUE"""),12)</f>
        <v>12</v>
      </c>
      <c r="I145" s="1">
        <f ca="1">IFERROR(__xludf.DUMMYFUNCTION("""COMPUTED_VALUE"""),6)</f>
        <v>6</v>
      </c>
      <c r="J145" s="1">
        <f ca="1">IFERROR(__xludf.DUMMYFUNCTION("""COMPUTED_VALUE"""),8)</f>
        <v>8</v>
      </c>
      <c r="K145" s="1">
        <f ca="1">IFERROR(__xludf.DUMMYFUNCTION("""COMPUTED_VALUE"""),3)</f>
        <v>3</v>
      </c>
      <c r="L145" s="1">
        <f ca="1">IFERROR(__xludf.DUMMYFUNCTION("""COMPUTED_VALUE"""),5)</f>
        <v>5</v>
      </c>
      <c r="M145" s="1">
        <f ca="1">IFERROR(__xludf.DUMMYFUNCTION("""COMPUTED_VALUE"""),9)</f>
        <v>9</v>
      </c>
      <c r="N145" s="1">
        <f ca="1">IFERROR(__xludf.DUMMYFUNCTION("""COMPUTED_VALUE"""),2532)</f>
        <v>2532</v>
      </c>
      <c r="O145" s="1">
        <f ca="1">IFERROR(__xludf.DUMMYFUNCTION("""COMPUTED_VALUE"""),2508)</f>
        <v>2508</v>
      </c>
      <c r="P145" s="1">
        <f ca="1">IFERROR(__xludf.DUMMYFUNCTION("""COMPUTED_VALUE"""),1320)</f>
        <v>1320</v>
      </c>
      <c r="Q145" s="1">
        <f ca="1">IFERROR(__xludf.DUMMYFUNCTION("""COMPUTED_VALUE"""),857)</f>
        <v>857</v>
      </c>
      <c r="R145" s="1">
        <f ca="1">IFERROR(__xludf.DUMMYFUNCTION("""COMPUTED_VALUE"""),1897)</f>
        <v>1897</v>
      </c>
      <c r="S145" s="1">
        <f ca="1">IFERROR(__xludf.DUMMYFUNCTION("""COMPUTED_VALUE"""),0.452)</f>
        <v>0.45200000000000001</v>
      </c>
      <c r="T145" s="1">
        <f ca="1">IFERROR(__xludf.DUMMYFUNCTION("""COMPUTED_VALUE"""),297)</f>
        <v>297</v>
      </c>
      <c r="U145" s="1">
        <f ca="1">IFERROR(__xludf.DUMMYFUNCTION("""COMPUTED_VALUE"""),845)</f>
        <v>845</v>
      </c>
      <c r="V145" s="1">
        <f ca="1">IFERROR(__xludf.DUMMYFUNCTION("""COMPUTED_VALUE"""),0.351)</f>
        <v>0.35099999999999998</v>
      </c>
      <c r="W145" s="1">
        <f ca="1">IFERROR(__xludf.DUMMYFUNCTION("""COMPUTED_VALUE"""),521)</f>
        <v>521</v>
      </c>
      <c r="X145" s="1">
        <f ca="1">IFERROR(__xludf.DUMMYFUNCTION("""COMPUTED_VALUE"""),699)</f>
        <v>699</v>
      </c>
      <c r="Y145" s="1">
        <f ca="1">IFERROR(__xludf.DUMMYFUNCTION("""COMPUTED_VALUE"""),0.745)</f>
        <v>0.745</v>
      </c>
      <c r="Z145" s="1">
        <f ca="1">IFERROR(__xludf.DUMMYFUNCTION("""COMPUTED_VALUE"""),283)</f>
        <v>283</v>
      </c>
      <c r="AA145" s="1">
        <f ca="1">IFERROR(__xludf.DUMMYFUNCTION("""COMPUTED_VALUE"""),1152)</f>
        <v>1152</v>
      </c>
      <c r="AB145" s="1">
        <f ca="1">IFERROR(__xludf.DUMMYFUNCTION("""COMPUTED_VALUE"""),432)</f>
        <v>432</v>
      </c>
      <c r="AC145" s="1">
        <f ca="1">IFERROR(__xludf.DUMMYFUNCTION("""COMPUTED_VALUE"""),223)</f>
        <v>223</v>
      </c>
      <c r="AD145" s="1">
        <f ca="1">IFERROR(__xludf.DUMMYFUNCTION("""COMPUTED_VALUE"""),90)</f>
        <v>90</v>
      </c>
      <c r="AE145" s="1">
        <f ca="1">IFERROR(__xludf.DUMMYFUNCTION("""COMPUTED_VALUE"""),406)</f>
        <v>406</v>
      </c>
      <c r="AF145" s="1">
        <f ca="1">IFERROR(__xludf.DUMMYFUNCTION("""COMPUTED_VALUE"""),564)</f>
        <v>564</v>
      </c>
    </row>
    <row r="146" spans="1:32" ht="12.5" x14ac:dyDescent="0.25">
      <c r="A146" s="1" t="str">
        <f ca="1">IFERROR(__xludf.DUMMYFUNCTION("""COMPUTED_VALUE"""),"Iowa State")</f>
        <v>Iowa State</v>
      </c>
      <c r="B146" s="1">
        <f ca="1">IFERROR(__xludf.DUMMYFUNCTION("""COMPUTED_VALUE"""),35)</f>
        <v>35</v>
      </c>
      <c r="C146" s="1">
        <f ca="1">IFERROR(__xludf.DUMMYFUNCTION("""COMPUTED_VALUE"""),23)</f>
        <v>23</v>
      </c>
      <c r="D146" s="1">
        <f ca="1">IFERROR(__xludf.DUMMYFUNCTION("""COMPUTED_VALUE"""),12)</f>
        <v>12</v>
      </c>
      <c r="E146" s="1">
        <f ca="1">IFERROR(__xludf.DUMMYFUNCTION("""COMPUTED_VALUE"""),0.657)</f>
        <v>0.65700000000000003</v>
      </c>
      <c r="F146" s="1">
        <f ca="1">IFERROR(__xludf.DUMMYFUNCTION("""COMPUTED_VALUE"""),18.07)</f>
        <v>18.07</v>
      </c>
      <c r="G146" s="1">
        <f ca="1">IFERROR(__xludf.DUMMYFUNCTION("""COMPUTED_VALUE"""),9.3)</f>
        <v>9.3000000000000007</v>
      </c>
      <c r="H146" s="1">
        <f ca="1">IFERROR(__xludf.DUMMYFUNCTION("""COMPUTED_VALUE"""),9)</f>
        <v>9</v>
      </c>
      <c r="I146" s="1">
        <f ca="1">IFERROR(__xludf.DUMMYFUNCTION("""COMPUTED_VALUE"""),9)</f>
        <v>9</v>
      </c>
      <c r="J146" s="1">
        <f ca="1">IFERROR(__xludf.DUMMYFUNCTION("""COMPUTED_VALUE"""),12)</f>
        <v>12</v>
      </c>
      <c r="K146" s="1">
        <f ca="1">IFERROR(__xludf.DUMMYFUNCTION("""COMPUTED_VALUE"""),4)</f>
        <v>4</v>
      </c>
      <c r="L146" s="1">
        <f ca="1">IFERROR(__xludf.DUMMYFUNCTION("""COMPUTED_VALUE"""),5)</f>
        <v>5</v>
      </c>
      <c r="M146" s="1">
        <f ca="1">IFERROR(__xludf.DUMMYFUNCTION("""COMPUTED_VALUE"""),6)</f>
        <v>6</v>
      </c>
      <c r="N146" s="1">
        <f ca="1">IFERROR(__xludf.DUMMYFUNCTION("""COMPUTED_VALUE"""),2692)</f>
        <v>2692</v>
      </c>
      <c r="O146" s="1">
        <f ca="1">IFERROR(__xludf.DUMMYFUNCTION("""COMPUTED_VALUE"""),2385)</f>
        <v>2385</v>
      </c>
      <c r="P146" s="1">
        <f ca="1">IFERROR(__xludf.DUMMYFUNCTION("""COMPUTED_VALUE"""),1400)</f>
        <v>1400</v>
      </c>
      <c r="Q146" s="1">
        <f ca="1">IFERROR(__xludf.DUMMYFUNCTION("""COMPUTED_VALUE"""),974)</f>
        <v>974</v>
      </c>
      <c r="R146" s="1">
        <f ca="1">IFERROR(__xludf.DUMMYFUNCTION("""COMPUTED_VALUE"""),2047)</f>
        <v>2047</v>
      </c>
      <c r="S146" s="1">
        <f ca="1">IFERROR(__xludf.DUMMYFUNCTION("""COMPUTED_VALUE"""),0.476)</f>
        <v>0.47599999999999998</v>
      </c>
      <c r="T146" s="1">
        <f ca="1">IFERROR(__xludf.DUMMYFUNCTION("""COMPUTED_VALUE"""),294)</f>
        <v>294</v>
      </c>
      <c r="U146" s="1">
        <f ca="1">IFERROR(__xludf.DUMMYFUNCTION("""COMPUTED_VALUE"""),811)</f>
        <v>811</v>
      </c>
      <c r="V146" s="1">
        <f ca="1">IFERROR(__xludf.DUMMYFUNCTION("""COMPUTED_VALUE"""),0.363)</f>
        <v>0.36299999999999999</v>
      </c>
      <c r="W146" s="1">
        <f ca="1">IFERROR(__xludf.DUMMYFUNCTION("""COMPUTED_VALUE"""),450)</f>
        <v>450</v>
      </c>
      <c r="X146" s="1">
        <f ca="1">IFERROR(__xludf.DUMMYFUNCTION("""COMPUTED_VALUE"""),615)</f>
        <v>615</v>
      </c>
      <c r="Y146" s="1">
        <f ca="1">IFERROR(__xludf.DUMMYFUNCTION("""COMPUTED_VALUE"""),0.732)</f>
        <v>0.73199999999999998</v>
      </c>
      <c r="Z146" s="1">
        <f ca="1">IFERROR(__xludf.DUMMYFUNCTION("""COMPUTED_VALUE"""),327)</f>
        <v>327</v>
      </c>
      <c r="AA146" s="1">
        <f ca="1">IFERROR(__xludf.DUMMYFUNCTION("""COMPUTED_VALUE"""),1230)</f>
        <v>1230</v>
      </c>
      <c r="AB146" s="1">
        <f ca="1">IFERROR(__xludf.DUMMYFUNCTION("""COMPUTED_VALUE"""),527)</f>
        <v>527</v>
      </c>
      <c r="AC146" s="1">
        <f ca="1">IFERROR(__xludf.DUMMYFUNCTION("""COMPUTED_VALUE"""),247)</f>
        <v>247</v>
      </c>
      <c r="AD146" s="1">
        <f ca="1">IFERROR(__xludf.DUMMYFUNCTION("""COMPUTED_VALUE"""),160)</f>
        <v>160</v>
      </c>
      <c r="AE146" s="1">
        <f ca="1">IFERROR(__xludf.DUMMYFUNCTION("""COMPUTED_VALUE"""),379)</f>
        <v>379</v>
      </c>
      <c r="AF146" s="1">
        <f ca="1">IFERROR(__xludf.DUMMYFUNCTION("""COMPUTED_VALUE"""),517)</f>
        <v>517</v>
      </c>
    </row>
    <row r="147" spans="1:32" ht="12.5" x14ac:dyDescent="0.25">
      <c r="A147" s="1" t="str">
        <f ca="1">IFERROR(__xludf.DUMMYFUNCTION("""COMPUTED_VALUE"""),"Iowa")</f>
        <v>Iowa</v>
      </c>
      <c r="B147" s="1">
        <f ca="1">IFERROR(__xludf.DUMMYFUNCTION("""COMPUTED_VALUE"""),35)</f>
        <v>35</v>
      </c>
      <c r="C147" s="1">
        <f ca="1">IFERROR(__xludf.DUMMYFUNCTION("""COMPUTED_VALUE"""),23)</f>
        <v>23</v>
      </c>
      <c r="D147" s="1">
        <f ca="1">IFERROR(__xludf.DUMMYFUNCTION("""COMPUTED_VALUE"""),12)</f>
        <v>12</v>
      </c>
      <c r="E147" s="1">
        <f ca="1">IFERROR(__xludf.DUMMYFUNCTION("""COMPUTED_VALUE"""),0.657)</f>
        <v>0.65700000000000003</v>
      </c>
      <c r="F147" s="1">
        <f ca="1">IFERROR(__xludf.DUMMYFUNCTION("""COMPUTED_VALUE"""),14.27)</f>
        <v>14.27</v>
      </c>
      <c r="G147" s="1">
        <f ca="1">IFERROR(__xludf.DUMMYFUNCTION("""COMPUTED_VALUE"""),9.84)</f>
        <v>9.84</v>
      </c>
      <c r="H147" s="1">
        <f ca="1">IFERROR(__xludf.DUMMYFUNCTION("""COMPUTED_VALUE"""),10)</f>
        <v>10</v>
      </c>
      <c r="I147" s="1">
        <f ca="1">IFERROR(__xludf.DUMMYFUNCTION("""COMPUTED_VALUE"""),10)</f>
        <v>10</v>
      </c>
      <c r="J147" s="1">
        <f ca="1">IFERROR(__xludf.DUMMYFUNCTION("""COMPUTED_VALUE"""),14)</f>
        <v>14</v>
      </c>
      <c r="K147" s="1">
        <f ca="1">IFERROR(__xludf.DUMMYFUNCTION("""COMPUTED_VALUE"""),4)</f>
        <v>4</v>
      </c>
      <c r="L147" s="1">
        <f ca="1">IFERROR(__xludf.DUMMYFUNCTION("""COMPUTED_VALUE"""),4)</f>
        <v>4</v>
      </c>
      <c r="M147" s="1">
        <f ca="1">IFERROR(__xludf.DUMMYFUNCTION("""COMPUTED_VALUE"""),6)</f>
        <v>6</v>
      </c>
      <c r="N147" s="1">
        <f ca="1">IFERROR(__xludf.DUMMYFUNCTION("""COMPUTED_VALUE"""),2740)</f>
        <v>2740</v>
      </c>
      <c r="O147" s="1">
        <f ca="1">IFERROR(__xludf.DUMMYFUNCTION("""COMPUTED_VALUE"""),2585)</f>
        <v>2585</v>
      </c>
      <c r="P147" s="1">
        <f ca="1">IFERROR(__xludf.DUMMYFUNCTION("""COMPUTED_VALUE"""),1415)</f>
        <v>1415</v>
      </c>
      <c r="Q147" s="1">
        <f ca="1">IFERROR(__xludf.DUMMYFUNCTION("""COMPUTED_VALUE"""),914)</f>
        <v>914</v>
      </c>
      <c r="R147" s="1">
        <f ca="1">IFERROR(__xludf.DUMMYFUNCTION("""COMPUTED_VALUE"""),2006)</f>
        <v>2006</v>
      </c>
      <c r="S147" s="1">
        <f ca="1">IFERROR(__xludf.DUMMYFUNCTION("""COMPUTED_VALUE"""),0.456)</f>
        <v>0.45600000000000002</v>
      </c>
      <c r="T147" s="1">
        <f ca="1">IFERROR(__xludf.DUMMYFUNCTION("""COMPUTED_VALUE"""),285)</f>
        <v>285</v>
      </c>
      <c r="U147" s="1">
        <f ca="1">IFERROR(__xludf.DUMMYFUNCTION("""COMPUTED_VALUE"""),782)</f>
        <v>782</v>
      </c>
      <c r="V147" s="1">
        <f ca="1">IFERROR(__xludf.DUMMYFUNCTION("""COMPUTED_VALUE"""),0.364)</f>
        <v>0.36399999999999999</v>
      </c>
      <c r="W147" s="1">
        <f ca="1">IFERROR(__xludf.DUMMYFUNCTION("""COMPUTED_VALUE"""),627)</f>
        <v>627</v>
      </c>
      <c r="X147" s="1">
        <f ca="1">IFERROR(__xludf.DUMMYFUNCTION("""COMPUTED_VALUE"""),849)</f>
        <v>849</v>
      </c>
      <c r="Y147" s="1">
        <f ca="1">IFERROR(__xludf.DUMMYFUNCTION("""COMPUTED_VALUE"""),0.739)</f>
        <v>0.73899999999999999</v>
      </c>
      <c r="Z147" s="1">
        <f ca="1">IFERROR(__xludf.DUMMYFUNCTION("""COMPUTED_VALUE"""),357)</f>
        <v>357</v>
      </c>
      <c r="AA147" s="1">
        <f ca="1">IFERROR(__xludf.DUMMYFUNCTION("""COMPUTED_VALUE"""),1246)</f>
        <v>1246</v>
      </c>
      <c r="AB147" s="1">
        <f ca="1">IFERROR(__xludf.DUMMYFUNCTION("""COMPUTED_VALUE"""),542)</f>
        <v>542</v>
      </c>
      <c r="AC147" s="1">
        <f ca="1">IFERROR(__xludf.DUMMYFUNCTION("""COMPUTED_VALUE"""),211)</f>
        <v>211</v>
      </c>
      <c r="AD147" s="1">
        <f ca="1">IFERROR(__xludf.DUMMYFUNCTION("""COMPUTED_VALUE"""),112)</f>
        <v>112</v>
      </c>
      <c r="AE147" s="1">
        <f ca="1">IFERROR(__xludf.DUMMYFUNCTION("""COMPUTED_VALUE"""),427)</f>
        <v>427</v>
      </c>
      <c r="AF147" s="1">
        <f ca="1">IFERROR(__xludf.DUMMYFUNCTION("""COMPUTED_VALUE"""),565)</f>
        <v>565</v>
      </c>
    </row>
    <row r="148" spans="1:32" ht="12.5" x14ac:dyDescent="0.25">
      <c r="A148" s="1" t="str">
        <f ca="1">IFERROR(__xludf.DUMMYFUNCTION("""COMPUTED_VALUE"""),"Purdue-Fort Wayne")</f>
        <v>Purdue-Fort Wayne</v>
      </c>
      <c r="B148" s="1">
        <f ca="1">IFERROR(__xludf.DUMMYFUNCTION("""COMPUTED_VALUE"""),33)</f>
        <v>33</v>
      </c>
      <c r="C148" s="1">
        <f ca="1">IFERROR(__xludf.DUMMYFUNCTION("""COMPUTED_VALUE"""),18)</f>
        <v>18</v>
      </c>
      <c r="D148" s="1">
        <f ca="1">IFERROR(__xludf.DUMMYFUNCTION("""COMPUTED_VALUE"""),15)</f>
        <v>15</v>
      </c>
      <c r="E148" s="1">
        <f ca="1">IFERROR(__xludf.DUMMYFUNCTION("""COMPUTED_VALUE"""),0.545)</f>
        <v>0.54500000000000004</v>
      </c>
      <c r="F148" s="1">
        <f ca="1">IFERROR(__xludf.DUMMYFUNCTION("""COMPUTED_VALUE"""),-3.47)</f>
        <v>-3.47</v>
      </c>
      <c r="G148" s="1">
        <f ca="1">IFERROR(__xludf.DUMMYFUNCTION("""COMPUTED_VALUE"""),-3.6)</f>
        <v>-3.6</v>
      </c>
      <c r="H148" s="1">
        <f ca="1">IFERROR(__xludf.DUMMYFUNCTION("""COMPUTED_VALUE"""),9)</f>
        <v>9</v>
      </c>
      <c r="I148" s="1">
        <f ca="1">IFERROR(__xludf.DUMMYFUNCTION("""COMPUTED_VALUE"""),7)</f>
        <v>7</v>
      </c>
      <c r="J148" s="1">
        <f ca="1">IFERROR(__xludf.DUMMYFUNCTION("""COMPUTED_VALUE"""),11)</f>
        <v>11</v>
      </c>
      <c r="K148" s="1">
        <f ca="1">IFERROR(__xludf.DUMMYFUNCTION("""COMPUTED_VALUE"""),5)</f>
        <v>5</v>
      </c>
      <c r="L148" s="1">
        <f ca="1">IFERROR(__xludf.DUMMYFUNCTION("""COMPUTED_VALUE"""),6)</f>
        <v>6</v>
      </c>
      <c r="M148" s="1">
        <f ca="1">IFERROR(__xludf.DUMMYFUNCTION("""COMPUTED_VALUE"""),9)</f>
        <v>9</v>
      </c>
      <c r="N148" s="1">
        <f ca="1">IFERROR(__xludf.DUMMYFUNCTION("""COMPUTED_VALUE"""),2728)</f>
        <v>2728</v>
      </c>
      <c r="O148" s="1">
        <f ca="1">IFERROR(__xludf.DUMMYFUNCTION("""COMPUTED_VALUE"""),2556)</f>
        <v>2556</v>
      </c>
      <c r="P148" s="1">
        <f ca="1">IFERROR(__xludf.DUMMYFUNCTION("""COMPUTED_VALUE"""),1330)</f>
        <v>1330</v>
      </c>
      <c r="Q148" s="1">
        <f ca="1">IFERROR(__xludf.DUMMYFUNCTION("""COMPUTED_VALUE"""),991)</f>
        <v>991</v>
      </c>
      <c r="R148" s="1">
        <f ca="1">IFERROR(__xludf.DUMMYFUNCTION("""COMPUTED_VALUE"""),2059)</f>
        <v>2059</v>
      </c>
      <c r="S148" s="1">
        <f ca="1">IFERROR(__xludf.DUMMYFUNCTION("""COMPUTED_VALUE"""),0.481)</f>
        <v>0.48099999999999998</v>
      </c>
      <c r="T148" s="1">
        <f ca="1">IFERROR(__xludf.DUMMYFUNCTION("""COMPUTED_VALUE"""),360)</f>
        <v>360</v>
      </c>
      <c r="U148" s="1">
        <f ca="1">IFERROR(__xludf.DUMMYFUNCTION("""COMPUTED_VALUE"""),949)</f>
        <v>949</v>
      </c>
      <c r="V148" s="1">
        <f ca="1">IFERROR(__xludf.DUMMYFUNCTION("""COMPUTED_VALUE"""),0.379)</f>
        <v>0.379</v>
      </c>
      <c r="W148" s="1">
        <f ca="1">IFERROR(__xludf.DUMMYFUNCTION("""COMPUTED_VALUE"""),386)</f>
        <v>386</v>
      </c>
      <c r="X148" s="1">
        <f ca="1">IFERROR(__xludf.DUMMYFUNCTION("""COMPUTED_VALUE"""),557)</f>
        <v>557</v>
      </c>
      <c r="Y148" s="1">
        <f ca="1">IFERROR(__xludf.DUMMYFUNCTION("""COMPUTED_VALUE"""),0.693)</f>
        <v>0.69299999999999995</v>
      </c>
      <c r="Z148" s="1">
        <f ca="1">IFERROR(__xludf.DUMMYFUNCTION("""COMPUTED_VALUE"""),271)</f>
        <v>271</v>
      </c>
      <c r="AA148" s="1">
        <f ca="1">IFERROR(__xludf.DUMMYFUNCTION("""COMPUTED_VALUE"""),1140)</f>
        <v>1140</v>
      </c>
      <c r="AB148" s="1">
        <f ca="1">IFERROR(__xludf.DUMMYFUNCTION("""COMPUTED_VALUE"""),525)</f>
        <v>525</v>
      </c>
      <c r="AC148" s="1">
        <f ca="1">IFERROR(__xludf.DUMMYFUNCTION("""COMPUTED_VALUE"""),247)</f>
        <v>247</v>
      </c>
      <c r="AD148" s="1">
        <f ca="1">IFERROR(__xludf.DUMMYFUNCTION("""COMPUTED_VALUE"""),158)</f>
        <v>158</v>
      </c>
      <c r="AE148" s="1">
        <f ca="1">IFERROR(__xludf.DUMMYFUNCTION("""COMPUTED_VALUE"""),395)</f>
        <v>395</v>
      </c>
      <c r="AF148" s="1">
        <f ca="1">IFERROR(__xludf.DUMMYFUNCTION("""COMPUTED_VALUE"""),495)</f>
        <v>495</v>
      </c>
    </row>
    <row r="149" spans="1:32" ht="12.5" x14ac:dyDescent="0.25">
      <c r="A149" s="1" t="str">
        <f ca="1">IFERROR(__xludf.DUMMYFUNCTION("""COMPUTED_VALUE"""),"IUPUI")</f>
        <v>IUPUI</v>
      </c>
      <c r="B149" s="1">
        <f ca="1">IFERROR(__xludf.DUMMYFUNCTION("""COMPUTED_VALUE"""),33)</f>
        <v>33</v>
      </c>
      <c r="C149" s="1">
        <f ca="1">IFERROR(__xludf.DUMMYFUNCTION("""COMPUTED_VALUE"""),16)</f>
        <v>16</v>
      </c>
      <c r="D149" s="1">
        <f ca="1">IFERROR(__xludf.DUMMYFUNCTION("""COMPUTED_VALUE"""),17)</f>
        <v>17</v>
      </c>
      <c r="E149" s="1">
        <f ca="1">IFERROR(__xludf.DUMMYFUNCTION("""COMPUTED_VALUE"""),0.485)</f>
        <v>0.48499999999999999</v>
      </c>
      <c r="F149" s="1">
        <f ca="1">IFERROR(__xludf.DUMMYFUNCTION("""COMPUTED_VALUE"""),-2.72)</f>
        <v>-2.72</v>
      </c>
      <c r="G149" s="1">
        <f ca="1">IFERROR(__xludf.DUMMYFUNCTION("""COMPUTED_VALUE"""),-3.04)</f>
        <v>-3.04</v>
      </c>
      <c r="H149" s="1">
        <f ca="1">IFERROR(__xludf.DUMMYFUNCTION("""COMPUTED_VALUE"""),8)</f>
        <v>8</v>
      </c>
      <c r="I149" s="1">
        <f ca="1">IFERROR(__xludf.DUMMYFUNCTION("""COMPUTED_VALUE"""),10)</f>
        <v>10</v>
      </c>
      <c r="J149" s="1">
        <f ca="1">IFERROR(__xludf.DUMMYFUNCTION("""COMPUTED_VALUE"""),11)</f>
        <v>11</v>
      </c>
      <c r="K149" s="1">
        <f ca="1">IFERROR(__xludf.DUMMYFUNCTION("""COMPUTED_VALUE"""),4)</f>
        <v>4</v>
      </c>
      <c r="L149" s="1">
        <f ca="1">IFERROR(__xludf.DUMMYFUNCTION("""COMPUTED_VALUE"""),3)</f>
        <v>3</v>
      </c>
      <c r="M149" s="1">
        <f ca="1">IFERROR(__xludf.DUMMYFUNCTION("""COMPUTED_VALUE"""),13)</f>
        <v>13</v>
      </c>
      <c r="N149" s="1">
        <f ca="1">IFERROR(__xludf.DUMMYFUNCTION("""COMPUTED_VALUE"""),2507)</f>
        <v>2507</v>
      </c>
      <c r="O149" s="1">
        <f ca="1">IFERROR(__xludf.DUMMYFUNCTION("""COMPUTED_VALUE"""),2429)</f>
        <v>2429</v>
      </c>
      <c r="P149" s="1">
        <f ca="1">IFERROR(__xludf.DUMMYFUNCTION("""COMPUTED_VALUE"""),1320)</f>
        <v>1320</v>
      </c>
      <c r="Q149" s="1">
        <f ca="1">IFERROR(__xludf.DUMMYFUNCTION("""COMPUTED_VALUE"""),891)</f>
        <v>891</v>
      </c>
      <c r="R149" s="1">
        <f ca="1">IFERROR(__xludf.DUMMYFUNCTION("""COMPUTED_VALUE"""),1969)</f>
        <v>1969</v>
      </c>
      <c r="S149" s="1">
        <f ca="1">IFERROR(__xludf.DUMMYFUNCTION("""COMPUTED_VALUE"""),0.453)</f>
        <v>0.45300000000000001</v>
      </c>
      <c r="T149" s="1">
        <f ca="1">IFERROR(__xludf.DUMMYFUNCTION("""COMPUTED_VALUE"""),234)</f>
        <v>234</v>
      </c>
      <c r="U149" s="1">
        <f ca="1">IFERROR(__xludf.DUMMYFUNCTION("""COMPUTED_VALUE"""),695)</f>
        <v>695</v>
      </c>
      <c r="V149" s="1">
        <f ca="1">IFERROR(__xludf.DUMMYFUNCTION("""COMPUTED_VALUE"""),0.337)</f>
        <v>0.33700000000000002</v>
      </c>
      <c r="W149" s="1">
        <f ca="1">IFERROR(__xludf.DUMMYFUNCTION("""COMPUTED_VALUE"""),491)</f>
        <v>491</v>
      </c>
      <c r="X149" s="1">
        <f ca="1">IFERROR(__xludf.DUMMYFUNCTION("""COMPUTED_VALUE"""),699)</f>
        <v>699</v>
      </c>
      <c r="Y149" s="1">
        <f ca="1">IFERROR(__xludf.DUMMYFUNCTION("""COMPUTED_VALUE"""),0.702)</f>
        <v>0.70199999999999996</v>
      </c>
      <c r="Z149" s="1">
        <f ca="1">IFERROR(__xludf.DUMMYFUNCTION("""COMPUTED_VALUE"""),403)</f>
        <v>403</v>
      </c>
      <c r="AA149" s="1">
        <f ca="1">IFERROR(__xludf.DUMMYFUNCTION("""COMPUTED_VALUE"""),1233)</f>
        <v>1233</v>
      </c>
      <c r="AB149" s="1">
        <f ca="1">IFERROR(__xludf.DUMMYFUNCTION("""COMPUTED_VALUE"""),471)</f>
        <v>471</v>
      </c>
      <c r="AC149" s="1">
        <f ca="1">IFERROR(__xludf.DUMMYFUNCTION("""COMPUTED_VALUE"""),228)</f>
        <v>228</v>
      </c>
      <c r="AD149" s="1">
        <f ca="1">IFERROR(__xludf.DUMMYFUNCTION("""COMPUTED_VALUE"""),103)</f>
        <v>103</v>
      </c>
      <c r="AE149" s="1">
        <f ca="1">IFERROR(__xludf.DUMMYFUNCTION("""COMPUTED_VALUE"""),462)</f>
        <v>462</v>
      </c>
      <c r="AF149" s="1">
        <f ca="1">IFERROR(__xludf.DUMMYFUNCTION("""COMPUTED_VALUE"""),578)</f>
        <v>578</v>
      </c>
    </row>
    <row r="150" spans="1:32" ht="12.5" x14ac:dyDescent="0.25">
      <c r="A150" s="1" t="str">
        <f ca="1">IFERROR(__xludf.DUMMYFUNCTION("""COMPUTED_VALUE"""),"Jackson State")</f>
        <v>Jackson State</v>
      </c>
      <c r="B150" s="1">
        <f ca="1">IFERROR(__xludf.DUMMYFUNCTION("""COMPUTED_VALUE"""),32)</f>
        <v>32</v>
      </c>
      <c r="C150" s="1">
        <f ca="1">IFERROR(__xludf.DUMMYFUNCTION("""COMPUTED_VALUE"""),13)</f>
        <v>13</v>
      </c>
      <c r="D150" s="1">
        <f ca="1">IFERROR(__xludf.DUMMYFUNCTION("""COMPUTED_VALUE"""),19)</f>
        <v>19</v>
      </c>
      <c r="E150" s="1">
        <f ca="1">IFERROR(__xludf.DUMMYFUNCTION("""COMPUTED_VALUE"""),0.406)</f>
        <v>0.40600000000000003</v>
      </c>
      <c r="F150" s="1">
        <f ca="1">IFERROR(__xludf.DUMMYFUNCTION("""COMPUTED_VALUE"""),-14.6)</f>
        <v>-14.6</v>
      </c>
      <c r="G150" s="1">
        <f ca="1">IFERROR(__xludf.DUMMYFUNCTION("""COMPUTED_VALUE"""),-9.33)</f>
        <v>-9.33</v>
      </c>
      <c r="H150" s="1">
        <f ca="1">IFERROR(__xludf.DUMMYFUNCTION("""COMPUTED_VALUE"""),10)</f>
        <v>10</v>
      </c>
      <c r="I150" s="1">
        <f ca="1">IFERROR(__xludf.DUMMYFUNCTION("""COMPUTED_VALUE"""),8)</f>
        <v>8</v>
      </c>
      <c r="J150" s="1">
        <f ca="1">IFERROR(__xludf.DUMMYFUNCTION("""COMPUTED_VALUE"""),9)</f>
        <v>9</v>
      </c>
      <c r="K150" s="1">
        <f ca="1">IFERROR(__xludf.DUMMYFUNCTION("""COMPUTED_VALUE"""),4)</f>
        <v>4</v>
      </c>
      <c r="L150" s="1">
        <f ca="1">IFERROR(__xludf.DUMMYFUNCTION("""COMPUTED_VALUE"""),3)</f>
        <v>3</v>
      </c>
      <c r="M150" s="1">
        <f ca="1">IFERROR(__xludf.DUMMYFUNCTION("""COMPUTED_VALUE"""),14)</f>
        <v>14</v>
      </c>
      <c r="N150" s="1">
        <f ca="1">IFERROR(__xludf.DUMMYFUNCTION("""COMPUTED_VALUE"""),1974)</f>
        <v>1974</v>
      </c>
      <c r="O150" s="1">
        <f ca="1">IFERROR(__xludf.DUMMYFUNCTION("""COMPUTED_VALUE"""),2107)</f>
        <v>2107</v>
      </c>
      <c r="P150" s="1">
        <f ca="1">IFERROR(__xludf.DUMMYFUNCTION("""COMPUTED_VALUE"""),1285)</f>
        <v>1285</v>
      </c>
      <c r="Q150" s="1">
        <f ca="1">IFERROR(__xludf.DUMMYFUNCTION("""COMPUTED_VALUE"""),717)</f>
        <v>717</v>
      </c>
      <c r="R150" s="1">
        <f ca="1">IFERROR(__xludf.DUMMYFUNCTION("""COMPUTED_VALUE"""),1774)</f>
        <v>1774</v>
      </c>
      <c r="S150" s="1">
        <f ca="1">IFERROR(__xludf.DUMMYFUNCTION("""COMPUTED_VALUE"""),0.404)</f>
        <v>0.40400000000000003</v>
      </c>
      <c r="T150" s="1">
        <f ca="1">IFERROR(__xludf.DUMMYFUNCTION("""COMPUTED_VALUE"""),155)</f>
        <v>155</v>
      </c>
      <c r="U150" s="1">
        <f ca="1">IFERROR(__xludf.DUMMYFUNCTION("""COMPUTED_VALUE"""),554)</f>
        <v>554</v>
      </c>
      <c r="V150" s="1">
        <f ca="1">IFERROR(__xludf.DUMMYFUNCTION("""COMPUTED_VALUE"""),0.28)</f>
        <v>0.28000000000000003</v>
      </c>
      <c r="W150" s="1">
        <f ca="1">IFERROR(__xludf.DUMMYFUNCTION("""COMPUTED_VALUE"""),385)</f>
        <v>385</v>
      </c>
      <c r="X150" s="1">
        <f ca="1">IFERROR(__xludf.DUMMYFUNCTION("""COMPUTED_VALUE"""),607)</f>
        <v>607</v>
      </c>
      <c r="Y150" s="1">
        <f ca="1">IFERROR(__xludf.DUMMYFUNCTION("""COMPUTED_VALUE"""),0.634)</f>
        <v>0.63400000000000001</v>
      </c>
      <c r="Z150" s="1">
        <f ca="1">IFERROR(__xludf.DUMMYFUNCTION("""COMPUTED_VALUE"""),331)</f>
        <v>331</v>
      </c>
      <c r="AA150" s="1">
        <f ca="1">IFERROR(__xludf.DUMMYFUNCTION("""COMPUTED_VALUE"""),1125)</f>
        <v>1125</v>
      </c>
      <c r="AB150" s="1">
        <f ca="1">IFERROR(__xludf.DUMMYFUNCTION("""COMPUTED_VALUE"""),359)</f>
        <v>359</v>
      </c>
      <c r="AC150" s="1">
        <f ca="1">IFERROR(__xludf.DUMMYFUNCTION("""COMPUTED_VALUE"""),209)</f>
        <v>209</v>
      </c>
      <c r="AD150" s="1">
        <f ca="1">IFERROR(__xludf.DUMMYFUNCTION("""COMPUTED_VALUE"""),124)</f>
        <v>124</v>
      </c>
      <c r="AE150" s="1">
        <f ca="1">IFERROR(__xludf.DUMMYFUNCTION("""COMPUTED_VALUE"""),436)</f>
        <v>436</v>
      </c>
      <c r="AF150" s="1">
        <f ca="1">IFERROR(__xludf.DUMMYFUNCTION("""COMPUTED_VALUE"""),643)</f>
        <v>643</v>
      </c>
    </row>
    <row r="151" spans="1:32" ht="12.5" x14ac:dyDescent="0.25">
      <c r="A151" s="1" t="str">
        <f ca="1">IFERROR(__xludf.DUMMYFUNCTION("""COMPUTED_VALUE"""),"Jacksonville State")</f>
        <v>Jacksonville State</v>
      </c>
      <c r="B151" s="1">
        <f ca="1">IFERROR(__xludf.DUMMYFUNCTION("""COMPUTED_VALUE"""),33)</f>
        <v>33</v>
      </c>
      <c r="C151" s="1">
        <f ca="1">IFERROR(__xludf.DUMMYFUNCTION("""COMPUTED_VALUE"""),24)</f>
        <v>24</v>
      </c>
      <c r="D151" s="1">
        <f ca="1">IFERROR(__xludf.DUMMYFUNCTION("""COMPUTED_VALUE"""),9)</f>
        <v>9</v>
      </c>
      <c r="E151" s="1">
        <f ca="1">IFERROR(__xludf.DUMMYFUNCTION("""COMPUTED_VALUE"""),0.727)</f>
        <v>0.72699999999999998</v>
      </c>
      <c r="F151" s="1">
        <f ca="1">IFERROR(__xludf.DUMMYFUNCTION("""COMPUTED_VALUE"""),1.59)</f>
        <v>1.59</v>
      </c>
      <c r="G151" s="1">
        <f ca="1">IFERROR(__xludf.DUMMYFUNCTION("""COMPUTED_VALUE"""),-5.47)</f>
        <v>-5.47</v>
      </c>
      <c r="H151" s="1">
        <f ca="1">IFERROR(__xludf.DUMMYFUNCTION("""COMPUTED_VALUE"""),15)</f>
        <v>15</v>
      </c>
      <c r="I151" s="1">
        <f ca="1">IFERROR(__xludf.DUMMYFUNCTION("""COMPUTED_VALUE"""),3)</f>
        <v>3</v>
      </c>
      <c r="J151" s="1">
        <f ca="1">IFERROR(__xludf.DUMMYFUNCTION("""COMPUTED_VALUE"""),11)</f>
        <v>11</v>
      </c>
      <c r="K151" s="1">
        <f ca="1">IFERROR(__xludf.DUMMYFUNCTION("""COMPUTED_VALUE"""),1)</f>
        <v>1</v>
      </c>
      <c r="L151" s="1">
        <f ca="1">IFERROR(__xludf.DUMMYFUNCTION("""COMPUTED_VALUE"""),10)</f>
        <v>10</v>
      </c>
      <c r="M151" s="1">
        <f ca="1">IFERROR(__xludf.DUMMYFUNCTION("""COMPUTED_VALUE"""),7)</f>
        <v>7</v>
      </c>
      <c r="N151" s="1">
        <f ca="1">IFERROR(__xludf.DUMMYFUNCTION("""COMPUTED_VALUE"""),2574)</f>
        <v>2574</v>
      </c>
      <c r="O151" s="1">
        <f ca="1">IFERROR(__xludf.DUMMYFUNCTION("""COMPUTED_VALUE"""),2283)</f>
        <v>2283</v>
      </c>
      <c r="P151" s="1">
        <f ca="1">IFERROR(__xludf.DUMMYFUNCTION("""COMPUTED_VALUE"""),1345)</f>
        <v>1345</v>
      </c>
      <c r="Q151" s="1">
        <f ca="1">IFERROR(__xludf.DUMMYFUNCTION("""COMPUTED_VALUE"""),953)</f>
        <v>953</v>
      </c>
      <c r="R151" s="1">
        <f ca="1">IFERROR(__xludf.DUMMYFUNCTION("""COMPUTED_VALUE"""),2063)</f>
        <v>2063</v>
      </c>
      <c r="S151" s="1">
        <f ca="1">IFERROR(__xludf.DUMMYFUNCTION("""COMPUTED_VALUE"""),0.462)</f>
        <v>0.46200000000000002</v>
      </c>
      <c r="T151" s="1">
        <f ca="1">IFERROR(__xludf.DUMMYFUNCTION("""COMPUTED_VALUE"""),200)</f>
        <v>200</v>
      </c>
      <c r="U151" s="1">
        <f ca="1">IFERROR(__xludf.DUMMYFUNCTION("""COMPUTED_VALUE"""),634)</f>
        <v>634</v>
      </c>
      <c r="V151" s="1">
        <f ca="1">IFERROR(__xludf.DUMMYFUNCTION("""COMPUTED_VALUE"""),0.315)</f>
        <v>0.315</v>
      </c>
      <c r="W151" s="1">
        <f ca="1">IFERROR(__xludf.DUMMYFUNCTION("""COMPUTED_VALUE"""),468)</f>
        <v>468</v>
      </c>
      <c r="X151" s="1">
        <f ca="1">IFERROR(__xludf.DUMMYFUNCTION("""COMPUTED_VALUE"""),630)</f>
        <v>630</v>
      </c>
      <c r="Y151" s="1">
        <f ca="1">IFERROR(__xludf.DUMMYFUNCTION("""COMPUTED_VALUE"""),0.743)</f>
        <v>0.74299999999999999</v>
      </c>
      <c r="Z151" s="1">
        <f ca="1">IFERROR(__xludf.DUMMYFUNCTION("""COMPUTED_VALUE"""),400)</f>
        <v>400</v>
      </c>
      <c r="AA151" s="1">
        <f ca="1">IFERROR(__xludf.DUMMYFUNCTION("""COMPUTED_VALUE"""),1310)</f>
        <v>1310</v>
      </c>
      <c r="AB151" s="1">
        <f ca="1">IFERROR(__xludf.DUMMYFUNCTION("""COMPUTED_VALUE"""),451)</f>
        <v>451</v>
      </c>
      <c r="AC151" s="1">
        <f ca="1">IFERROR(__xludf.DUMMYFUNCTION("""COMPUTED_VALUE"""),245)</f>
        <v>245</v>
      </c>
      <c r="AD151" s="1">
        <f ca="1">IFERROR(__xludf.DUMMYFUNCTION("""COMPUTED_VALUE"""),138)</f>
        <v>138</v>
      </c>
      <c r="AE151" s="1">
        <f ca="1">IFERROR(__xludf.DUMMYFUNCTION("""COMPUTED_VALUE"""),440)</f>
        <v>440</v>
      </c>
      <c r="AF151" s="1">
        <f ca="1">IFERROR(__xludf.DUMMYFUNCTION("""COMPUTED_VALUE"""),553)</f>
        <v>553</v>
      </c>
    </row>
    <row r="152" spans="1:32" ht="12.5" x14ac:dyDescent="0.25">
      <c r="A152" s="1" t="str">
        <f ca="1">IFERROR(__xludf.DUMMYFUNCTION("""COMPUTED_VALUE"""),"Jacksonville")</f>
        <v>Jacksonville</v>
      </c>
      <c r="B152" s="1">
        <f ca="1">IFERROR(__xludf.DUMMYFUNCTION("""COMPUTED_VALUE"""),32)</f>
        <v>32</v>
      </c>
      <c r="C152" s="1">
        <f ca="1">IFERROR(__xludf.DUMMYFUNCTION("""COMPUTED_VALUE"""),12)</f>
        <v>12</v>
      </c>
      <c r="D152" s="1">
        <f ca="1">IFERROR(__xludf.DUMMYFUNCTION("""COMPUTED_VALUE"""),20)</f>
        <v>20</v>
      </c>
      <c r="E152" s="1">
        <f ca="1">IFERROR(__xludf.DUMMYFUNCTION("""COMPUTED_VALUE"""),0.375)</f>
        <v>0.375</v>
      </c>
      <c r="F152" s="1">
        <f ca="1">IFERROR(__xludf.DUMMYFUNCTION("""COMPUTED_VALUE"""),-8.27)</f>
        <v>-8.27</v>
      </c>
      <c r="G152" s="1">
        <f ca="1">IFERROR(__xludf.DUMMYFUNCTION("""COMPUTED_VALUE"""),-4.74)</f>
        <v>-4.74</v>
      </c>
      <c r="H152" s="1">
        <f ca="1">IFERROR(__xludf.DUMMYFUNCTION("""COMPUTED_VALUE"""),5)</f>
        <v>5</v>
      </c>
      <c r="I152" s="1">
        <f ca="1">IFERROR(__xludf.DUMMYFUNCTION("""COMPUTED_VALUE"""),11)</f>
        <v>11</v>
      </c>
      <c r="J152" s="1">
        <f ca="1">IFERROR(__xludf.DUMMYFUNCTION("""COMPUTED_VALUE"""),5)</f>
        <v>5</v>
      </c>
      <c r="K152" s="1">
        <f ca="1">IFERROR(__xludf.DUMMYFUNCTION("""COMPUTED_VALUE"""),8)</f>
        <v>8</v>
      </c>
      <c r="L152" s="1">
        <f ca="1">IFERROR(__xludf.DUMMYFUNCTION("""COMPUTED_VALUE"""),6)</f>
        <v>6</v>
      </c>
      <c r="M152" s="1">
        <f ca="1">IFERROR(__xludf.DUMMYFUNCTION("""COMPUTED_VALUE"""),11)</f>
        <v>11</v>
      </c>
      <c r="N152" s="1">
        <f ca="1">IFERROR(__xludf.DUMMYFUNCTION("""COMPUTED_VALUE"""),2385)</f>
        <v>2385</v>
      </c>
      <c r="O152" s="1">
        <f ca="1">IFERROR(__xludf.DUMMYFUNCTION("""COMPUTED_VALUE"""),2402)</f>
        <v>2402</v>
      </c>
      <c r="P152" s="1">
        <f ca="1">IFERROR(__xludf.DUMMYFUNCTION("""COMPUTED_VALUE"""),1285)</f>
        <v>1285</v>
      </c>
      <c r="Q152" s="1">
        <f ca="1">IFERROR(__xludf.DUMMYFUNCTION("""COMPUTED_VALUE"""),889)</f>
        <v>889</v>
      </c>
      <c r="R152" s="1">
        <f ca="1">IFERROR(__xludf.DUMMYFUNCTION("""COMPUTED_VALUE"""),1953)</f>
        <v>1953</v>
      </c>
      <c r="S152" s="1">
        <f ca="1">IFERROR(__xludf.DUMMYFUNCTION("""COMPUTED_VALUE"""),0.455)</f>
        <v>0.45500000000000002</v>
      </c>
      <c r="T152" s="1">
        <f ca="1">IFERROR(__xludf.DUMMYFUNCTION("""COMPUTED_VALUE"""),213)</f>
        <v>213</v>
      </c>
      <c r="U152" s="1">
        <f ca="1">IFERROR(__xludf.DUMMYFUNCTION("""COMPUTED_VALUE"""),645)</f>
        <v>645</v>
      </c>
      <c r="V152" s="1">
        <f ca="1">IFERROR(__xludf.DUMMYFUNCTION("""COMPUTED_VALUE"""),0.33)</f>
        <v>0.33</v>
      </c>
      <c r="W152" s="1">
        <f ca="1">IFERROR(__xludf.DUMMYFUNCTION("""COMPUTED_VALUE"""),394)</f>
        <v>394</v>
      </c>
      <c r="X152" s="1">
        <f ca="1">IFERROR(__xludf.DUMMYFUNCTION("""COMPUTED_VALUE"""),582)</f>
        <v>582</v>
      </c>
      <c r="Y152" s="1">
        <f ca="1">IFERROR(__xludf.DUMMYFUNCTION("""COMPUTED_VALUE"""),0.677)</f>
        <v>0.67700000000000005</v>
      </c>
      <c r="Z152" s="1">
        <f ca="1">IFERROR(__xludf.DUMMYFUNCTION("""COMPUTED_VALUE"""),330)</f>
        <v>330</v>
      </c>
      <c r="AA152" s="1">
        <f ca="1">IFERROR(__xludf.DUMMYFUNCTION("""COMPUTED_VALUE"""),1163)</f>
        <v>1163</v>
      </c>
      <c r="AB152" s="1">
        <f ca="1">IFERROR(__xludf.DUMMYFUNCTION("""COMPUTED_VALUE"""),457)</f>
        <v>457</v>
      </c>
      <c r="AC152" s="1">
        <f ca="1">IFERROR(__xludf.DUMMYFUNCTION("""COMPUTED_VALUE"""),213)</f>
        <v>213</v>
      </c>
      <c r="AD152" s="1">
        <f ca="1">IFERROR(__xludf.DUMMYFUNCTION("""COMPUTED_VALUE"""),166)</f>
        <v>166</v>
      </c>
      <c r="AE152" s="1">
        <f ca="1">IFERROR(__xludf.DUMMYFUNCTION("""COMPUTED_VALUE"""),463)</f>
        <v>463</v>
      </c>
      <c r="AF152" s="1">
        <f ca="1">IFERROR(__xludf.DUMMYFUNCTION("""COMPUTED_VALUE"""),523)</f>
        <v>523</v>
      </c>
    </row>
    <row r="153" spans="1:32" ht="12.5" x14ac:dyDescent="0.25">
      <c r="A153" s="1" t="str">
        <f ca="1">IFERROR(__xludf.DUMMYFUNCTION("""COMPUTED_VALUE"""),"James Madison")</f>
        <v>James Madison</v>
      </c>
      <c r="B153" s="1">
        <f ca="1">IFERROR(__xludf.DUMMYFUNCTION("""COMPUTED_VALUE"""),33)</f>
        <v>33</v>
      </c>
      <c r="C153" s="1">
        <f ca="1">IFERROR(__xludf.DUMMYFUNCTION("""COMPUTED_VALUE"""),14)</f>
        <v>14</v>
      </c>
      <c r="D153" s="1">
        <f ca="1">IFERROR(__xludf.DUMMYFUNCTION("""COMPUTED_VALUE"""),19)</f>
        <v>19</v>
      </c>
      <c r="E153" s="1">
        <f ca="1">IFERROR(__xludf.DUMMYFUNCTION("""COMPUTED_VALUE"""),0.424)</f>
        <v>0.42399999999999999</v>
      </c>
      <c r="F153" s="1">
        <f ca="1">IFERROR(__xludf.DUMMYFUNCTION("""COMPUTED_VALUE"""),-8.52)</f>
        <v>-8.52</v>
      </c>
      <c r="G153" s="1">
        <f ca="1">IFERROR(__xludf.DUMMYFUNCTION("""COMPUTED_VALUE"""),-4.07)</f>
        <v>-4.07</v>
      </c>
      <c r="H153" s="1">
        <f ca="1">IFERROR(__xludf.DUMMYFUNCTION("""COMPUTED_VALUE"""),6)</f>
        <v>6</v>
      </c>
      <c r="I153" s="1">
        <f ca="1">IFERROR(__xludf.DUMMYFUNCTION("""COMPUTED_VALUE"""),12)</f>
        <v>12</v>
      </c>
      <c r="J153" s="1">
        <f ca="1">IFERROR(__xludf.DUMMYFUNCTION("""COMPUTED_VALUE"""),8)</f>
        <v>8</v>
      </c>
      <c r="K153" s="1">
        <f ca="1">IFERROR(__xludf.DUMMYFUNCTION("""COMPUTED_VALUE"""),6)</f>
        <v>6</v>
      </c>
      <c r="L153" s="1">
        <f ca="1">IFERROR(__xludf.DUMMYFUNCTION("""COMPUTED_VALUE"""),4)</f>
        <v>4</v>
      </c>
      <c r="M153" s="1">
        <f ca="1">IFERROR(__xludf.DUMMYFUNCTION("""COMPUTED_VALUE"""),11)</f>
        <v>11</v>
      </c>
      <c r="N153" s="1">
        <f ca="1">IFERROR(__xludf.DUMMYFUNCTION("""COMPUTED_VALUE"""),2322)</f>
        <v>2322</v>
      </c>
      <c r="O153" s="1">
        <f ca="1">IFERROR(__xludf.DUMMYFUNCTION("""COMPUTED_VALUE"""),2409)</f>
        <v>2409</v>
      </c>
      <c r="P153" s="1">
        <f ca="1">IFERROR(__xludf.DUMMYFUNCTION("""COMPUTED_VALUE"""),1350)</f>
        <v>1350</v>
      </c>
      <c r="Q153" s="1">
        <f ca="1">IFERROR(__xludf.DUMMYFUNCTION("""COMPUTED_VALUE"""),821)</f>
        <v>821</v>
      </c>
      <c r="R153" s="1">
        <f ca="1">IFERROR(__xludf.DUMMYFUNCTION("""COMPUTED_VALUE"""),1859)</f>
        <v>1859</v>
      </c>
      <c r="S153" s="1">
        <f ca="1">IFERROR(__xludf.DUMMYFUNCTION("""COMPUTED_VALUE"""),0.442)</f>
        <v>0.442</v>
      </c>
      <c r="T153" s="1">
        <f ca="1">IFERROR(__xludf.DUMMYFUNCTION("""COMPUTED_VALUE"""),243)</f>
        <v>243</v>
      </c>
      <c r="U153" s="1">
        <f ca="1">IFERROR(__xludf.DUMMYFUNCTION("""COMPUTED_VALUE"""),670)</f>
        <v>670</v>
      </c>
      <c r="V153" s="1">
        <f ca="1">IFERROR(__xludf.DUMMYFUNCTION("""COMPUTED_VALUE"""),0.363)</f>
        <v>0.36299999999999999</v>
      </c>
      <c r="W153" s="1">
        <f ca="1">IFERROR(__xludf.DUMMYFUNCTION("""COMPUTED_VALUE"""),437)</f>
        <v>437</v>
      </c>
      <c r="X153" s="1">
        <f ca="1">IFERROR(__xludf.DUMMYFUNCTION("""COMPUTED_VALUE"""),607)</f>
        <v>607</v>
      </c>
      <c r="Y153" s="1">
        <f ca="1">IFERROR(__xludf.DUMMYFUNCTION("""COMPUTED_VALUE"""),0.72)</f>
        <v>0.72</v>
      </c>
      <c r="Z153" s="1">
        <f ca="1">IFERROR(__xludf.DUMMYFUNCTION("""COMPUTED_VALUE"""),345)</f>
        <v>345</v>
      </c>
      <c r="AA153" s="1">
        <f ca="1">IFERROR(__xludf.DUMMYFUNCTION("""COMPUTED_VALUE"""),1123)</f>
        <v>1123</v>
      </c>
      <c r="AB153" s="1">
        <f ca="1">IFERROR(__xludf.DUMMYFUNCTION("""COMPUTED_VALUE"""),403)</f>
        <v>403</v>
      </c>
      <c r="AC153" s="1">
        <f ca="1">IFERROR(__xludf.DUMMYFUNCTION("""COMPUTED_VALUE"""),211)</f>
        <v>211</v>
      </c>
      <c r="AD153" s="1">
        <f ca="1">IFERROR(__xludf.DUMMYFUNCTION("""COMPUTED_VALUE"""),101)</f>
        <v>101</v>
      </c>
      <c r="AE153" s="1">
        <f ca="1">IFERROR(__xludf.DUMMYFUNCTION("""COMPUTED_VALUE"""),420)</f>
        <v>420</v>
      </c>
      <c r="AF153" s="1">
        <f ca="1">IFERROR(__xludf.DUMMYFUNCTION("""COMPUTED_VALUE"""),612)</f>
        <v>612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IFERROR(__xludf.DUMMYFUNCTION("""COMPUTED_VALUE"""),"Kansas State")</f>
        <v>Kansas State</v>
      </c>
      <c r="B156" s="1">
        <f ca="1">IFERROR(__xludf.DUMMYFUNCTION("""COMPUTED_VALUE"""),34)</f>
        <v>34</v>
      </c>
      <c r="C156" s="1">
        <f ca="1">IFERROR(__xludf.DUMMYFUNCTION("""COMPUTED_VALUE"""),25)</f>
        <v>25</v>
      </c>
      <c r="D156" s="1">
        <f ca="1">IFERROR(__xludf.DUMMYFUNCTION("""COMPUTED_VALUE"""),9)</f>
        <v>9</v>
      </c>
      <c r="E156" s="1">
        <f ca="1">IFERROR(__xludf.DUMMYFUNCTION("""COMPUTED_VALUE"""),0.735)</f>
        <v>0.73499999999999999</v>
      </c>
      <c r="F156" s="1">
        <f ca="1">IFERROR(__xludf.DUMMYFUNCTION("""COMPUTED_VALUE"""),15.39)</f>
        <v>15.39</v>
      </c>
      <c r="G156" s="1">
        <f ca="1">IFERROR(__xludf.DUMMYFUNCTION("""COMPUTED_VALUE"""),9.18)</f>
        <v>9.18</v>
      </c>
      <c r="H156" s="1">
        <f ca="1">IFERROR(__xludf.DUMMYFUNCTION("""COMPUTED_VALUE"""),14)</f>
        <v>14</v>
      </c>
      <c r="I156" s="1">
        <f ca="1">IFERROR(__xludf.DUMMYFUNCTION("""COMPUTED_VALUE"""),4)</f>
        <v>4</v>
      </c>
      <c r="J156" s="1">
        <f ca="1">IFERROR(__xludf.DUMMYFUNCTION("""COMPUTED_VALUE"""),13)</f>
        <v>13</v>
      </c>
      <c r="K156" s="1">
        <f ca="1">IFERROR(__xludf.DUMMYFUNCTION("""COMPUTED_VALUE"""),2)</f>
        <v>2</v>
      </c>
      <c r="L156" s="1">
        <f ca="1">IFERROR(__xludf.DUMMYFUNCTION("""COMPUTED_VALUE"""),7)</f>
        <v>7</v>
      </c>
      <c r="M156" s="1">
        <f ca="1">IFERROR(__xludf.DUMMYFUNCTION("""COMPUTED_VALUE"""),5)</f>
        <v>5</v>
      </c>
      <c r="N156" s="1">
        <f ca="1">IFERROR(__xludf.DUMMYFUNCTION("""COMPUTED_VALUE"""),2236)</f>
        <v>2236</v>
      </c>
      <c r="O156" s="1">
        <f ca="1">IFERROR(__xludf.DUMMYFUNCTION("""COMPUTED_VALUE"""),2025)</f>
        <v>2025</v>
      </c>
      <c r="P156" s="1">
        <f ca="1">IFERROR(__xludf.DUMMYFUNCTION("""COMPUTED_VALUE"""),1360)</f>
        <v>1360</v>
      </c>
      <c r="Q156" s="1">
        <f ca="1">IFERROR(__xludf.DUMMYFUNCTION("""COMPUTED_VALUE"""),806)</f>
        <v>806</v>
      </c>
      <c r="R156" s="1">
        <f ca="1">IFERROR(__xludf.DUMMYFUNCTION("""COMPUTED_VALUE"""),1878)</f>
        <v>1878</v>
      </c>
      <c r="S156" s="1">
        <f ca="1">IFERROR(__xludf.DUMMYFUNCTION("""COMPUTED_VALUE"""),0.429)</f>
        <v>0.42899999999999999</v>
      </c>
      <c r="T156" s="1">
        <f ca="1">IFERROR(__xludf.DUMMYFUNCTION("""COMPUTED_VALUE"""),241)</f>
        <v>241</v>
      </c>
      <c r="U156" s="1">
        <f ca="1">IFERROR(__xludf.DUMMYFUNCTION("""COMPUTED_VALUE"""),721)</f>
        <v>721</v>
      </c>
      <c r="V156" s="1">
        <f ca="1">IFERROR(__xludf.DUMMYFUNCTION("""COMPUTED_VALUE"""),0.334)</f>
        <v>0.33400000000000002</v>
      </c>
      <c r="W156" s="1">
        <f ca="1">IFERROR(__xludf.DUMMYFUNCTION("""COMPUTED_VALUE"""),383)</f>
        <v>383</v>
      </c>
      <c r="X156" s="1">
        <f ca="1">IFERROR(__xludf.DUMMYFUNCTION("""COMPUTED_VALUE"""),574)</f>
        <v>574</v>
      </c>
      <c r="Y156" s="1">
        <f ca="1">IFERROR(__xludf.DUMMYFUNCTION("""COMPUTED_VALUE"""),0.667)</f>
        <v>0.66700000000000004</v>
      </c>
      <c r="Z156" s="1">
        <f ca="1">IFERROR(__xludf.DUMMYFUNCTION("""COMPUTED_VALUE"""),325)</f>
        <v>325</v>
      </c>
      <c r="AA156" s="1">
        <f ca="1">IFERROR(__xludf.DUMMYFUNCTION("""COMPUTED_VALUE"""),1137)</f>
        <v>1137</v>
      </c>
      <c r="AB156" s="1">
        <f ca="1">IFERROR(__xludf.DUMMYFUNCTION("""COMPUTED_VALUE"""),464)</f>
        <v>464</v>
      </c>
      <c r="AC156" s="1">
        <f ca="1">IFERROR(__xludf.DUMMYFUNCTION("""COMPUTED_VALUE"""),256)</f>
        <v>256</v>
      </c>
      <c r="AD156" s="1">
        <f ca="1">IFERROR(__xludf.DUMMYFUNCTION("""COMPUTED_VALUE"""),76)</f>
        <v>76</v>
      </c>
      <c r="AE156" s="1">
        <f ca="1">IFERROR(__xludf.DUMMYFUNCTION("""COMPUTED_VALUE"""),385)</f>
        <v>385</v>
      </c>
      <c r="AF156" s="1">
        <f ca="1">IFERROR(__xludf.DUMMYFUNCTION("""COMPUTED_VALUE"""),550)</f>
        <v>550</v>
      </c>
    </row>
    <row r="157" spans="1:32" ht="12.5" x14ac:dyDescent="0.25">
      <c r="A157" s="1" t="str">
        <f ca="1">IFERROR(__xludf.DUMMYFUNCTION("""COMPUTED_VALUE"""),"Kansas")</f>
        <v>Kansas</v>
      </c>
      <c r="B157" s="1">
        <f ca="1">IFERROR(__xludf.DUMMYFUNCTION("""COMPUTED_VALUE"""),36)</f>
        <v>36</v>
      </c>
      <c r="C157" s="1">
        <f ca="1">IFERROR(__xludf.DUMMYFUNCTION("""COMPUTED_VALUE"""),26)</f>
        <v>26</v>
      </c>
      <c r="D157" s="1">
        <f ca="1">IFERROR(__xludf.DUMMYFUNCTION("""COMPUTED_VALUE"""),10)</f>
        <v>10</v>
      </c>
      <c r="E157" s="1">
        <f ca="1">IFERROR(__xludf.DUMMYFUNCTION("""COMPUTED_VALUE"""),0.722)</f>
        <v>0.72199999999999998</v>
      </c>
      <c r="F157" s="1">
        <f ca="1">IFERROR(__xludf.DUMMYFUNCTION("""COMPUTED_VALUE"""),18.35)</f>
        <v>18.350000000000001</v>
      </c>
      <c r="G157" s="1">
        <f ca="1">IFERROR(__xludf.DUMMYFUNCTION("""COMPUTED_VALUE"""),12.79)</f>
        <v>12.79</v>
      </c>
      <c r="H157" s="1">
        <f ca="1">IFERROR(__xludf.DUMMYFUNCTION("""COMPUTED_VALUE"""),12)</f>
        <v>12</v>
      </c>
      <c r="I157" s="1">
        <f ca="1">IFERROR(__xludf.DUMMYFUNCTION("""COMPUTED_VALUE"""),6)</f>
        <v>6</v>
      </c>
      <c r="J157" s="1">
        <f ca="1">IFERROR(__xludf.DUMMYFUNCTION("""COMPUTED_VALUE"""),16)</f>
        <v>16</v>
      </c>
      <c r="K157" s="1">
        <f ca="1">IFERROR(__xludf.DUMMYFUNCTION("""COMPUTED_VALUE"""),0)</f>
        <v>0</v>
      </c>
      <c r="L157" s="1">
        <f ca="1">IFERROR(__xludf.DUMMYFUNCTION("""COMPUTED_VALUE"""),3)</f>
        <v>3</v>
      </c>
      <c r="M157" s="1">
        <f ca="1">IFERROR(__xludf.DUMMYFUNCTION("""COMPUTED_VALUE"""),8)</f>
        <v>8</v>
      </c>
      <c r="N157" s="1">
        <f ca="1">IFERROR(__xludf.DUMMYFUNCTION("""COMPUTED_VALUE"""),2725)</f>
        <v>2725</v>
      </c>
      <c r="O157" s="1">
        <f ca="1">IFERROR(__xludf.DUMMYFUNCTION("""COMPUTED_VALUE"""),2525)</f>
        <v>2525</v>
      </c>
      <c r="P157" s="1">
        <f ca="1">IFERROR(__xludf.DUMMYFUNCTION("""COMPUTED_VALUE"""),1455)</f>
        <v>1455</v>
      </c>
      <c r="Q157" s="1">
        <f ca="1">IFERROR(__xludf.DUMMYFUNCTION("""COMPUTED_VALUE"""),989)</f>
        <v>989</v>
      </c>
      <c r="R157" s="1">
        <f ca="1">IFERROR(__xludf.DUMMYFUNCTION("""COMPUTED_VALUE"""),2128)</f>
        <v>2128</v>
      </c>
      <c r="S157" s="1">
        <f ca="1">IFERROR(__xludf.DUMMYFUNCTION("""COMPUTED_VALUE"""),0.465)</f>
        <v>0.46500000000000002</v>
      </c>
      <c r="T157" s="1">
        <f ca="1">IFERROR(__xludf.DUMMYFUNCTION("""COMPUTED_VALUE"""),260)</f>
        <v>260</v>
      </c>
      <c r="U157" s="1">
        <f ca="1">IFERROR(__xludf.DUMMYFUNCTION("""COMPUTED_VALUE"""),743)</f>
        <v>743</v>
      </c>
      <c r="V157" s="1">
        <f ca="1">IFERROR(__xludf.DUMMYFUNCTION("""COMPUTED_VALUE"""),0.35)</f>
        <v>0.35</v>
      </c>
      <c r="W157" s="1">
        <f ca="1">IFERROR(__xludf.DUMMYFUNCTION("""COMPUTED_VALUE"""),487)</f>
        <v>487</v>
      </c>
      <c r="X157" s="1">
        <f ca="1">IFERROR(__xludf.DUMMYFUNCTION("""COMPUTED_VALUE"""),691)</f>
        <v>691</v>
      </c>
      <c r="Y157" s="1">
        <f ca="1">IFERROR(__xludf.DUMMYFUNCTION("""COMPUTED_VALUE"""),0.705)</f>
        <v>0.70499999999999996</v>
      </c>
      <c r="Z157" s="1">
        <f ca="1">IFERROR(__xludf.DUMMYFUNCTION("""COMPUTED_VALUE"""),374)</f>
        <v>374</v>
      </c>
      <c r="AA157" s="1">
        <f ca="1">IFERROR(__xludf.DUMMYFUNCTION("""COMPUTED_VALUE"""),1376)</f>
        <v>1376</v>
      </c>
      <c r="AB157" s="1">
        <f ca="1">IFERROR(__xludf.DUMMYFUNCTION("""COMPUTED_VALUE"""),478)</f>
        <v>478</v>
      </c>
      <c r="AC157" s="1">
        <f ca="1">IFERROR(__xludf.DUMMYFUNCTION("""COMPUTED_VALUE"""),243)</f>
        <v>243</v>
      </c>
      <c r="AD157" s="1">
        <f ca="1">IFERROR(__xludf.DUMMYFUNCTION("""COMPUTED_VALUE"""),139)</f>
        <v>139</v>
      </c>
      <c r="AE157" s="1">
        <f ca="1">IFERROR(__xludf.DUMMYFUNCTION("""COMPUTED_VALUE"""),472)</f>
        <v>472</v>
      </c>
      <c r="AF157" s="1">
        <f ca="1">IFERROR(__xludf.DUMMYFUNCTION("""COMPUTED_VALUE"""),610)</f>
        <v>610</v>
      </c>
    </row>
    <row r="158" spans="1:32" ht="12.5" x14ac:dyDescent="0.25">
      <c r="A158" s="1" t="str">
        <f ca="1">IFERROR(__xludf.DUMMYFUNCTION("""COMPUTED_VALUE"""),"Kennesaw State")</f>
        <v>Kennesaw State</v>
      </c>
      <c r="B158" s="1">
        <f ca="1">IFERROR(__xludf.DUMMYFUNCTION("""COMPUTED_VALUE"""),32)</f>
        <v>32</v>
      </c>
      <c r="C158" s="1">
        <f ca="1">IFERROR(__xludf.DUMMYFUNCTION("""COMPUTED_VALUE"""),6)</f>
        <v>6</v>
      </c>
      <c r="D158" s="1">
        <f ca="1">IFERROR(__xludf.DUMMYFUNCTION("""COMPUTED_VALUE"""),26)</f>
        <v>26</v>
      </c>
      <c r="E158" s="1">
        <f ca="1">IFERROR(__xludf.DUMMYFUNCTION("""COMPUTED_VALUE"""),0.188)</f>
        <v>0.188</v>
      </c>
      <c r="F158" s="1">
        <f ca="1">IFERROR(__xludf.DUMMYFUNCTION("""COMPUTED_VALUE"""),-16.17)</f>
        <v>-16.170000000000002</v>
      </c>
      <c r="G158" s="1">
        <f ca="1">IFERROR(__xludf.DUMMYFUNCTION("""COMPUTED_VALUE"""),-1.04)</f>
        <v>-1.04</v>
      </c>
      <c r="H158" s="1">
        <f ca="1">IFERROR(__xludf.DUMMYFUNCTION("""COMPUTED_VALUE"""),3)</f>
        <v>3</v>
      </c>
      <c r="I158" s="1">
        <f ca="1">IFERROR(__xludf.DUMMYFUNCTION("""COMPUTED_VALUE"""),13)</f>
        <v>13</v>
      </c>
      <c r="J158" s="1">
        <f ca="1">IFERROR(__xludf.DUMMYFUNCTION("""COMPUTED_VALUE"""),6)</f>
        <v>6</v>
      </c>
      <c r="K158" s="1">
        <f ca="1">IFERROR(__xludf.DUMMYFUNCTION("""COMPUTED_VALUE"""),8)</f>
        <v>8</v>
      </c>
      <c r="L158" s="1">
        <f ca="1">IFERROR(__xludf.DUMMYFUNCTION("""COMPUTED_VALUE"""),0)</f>
        <v>0</v>
      </c>
      <c r="M158" s="1">
        <f ca="1">IFERROR(__xludf.DUMMYFUNCTION("""COMPUTED_VALUE"""),15)</f>
        <v>15</v>
      </c>
      <c r="N158" s="1">
        <f ca="1">IFERROR(__xludf.DUMMYFUNCTION("""COMPUTED_VALUE"""),2030)</f>
        <v>2030</v>
      </c>
      <c r="O158" s="1">
        <f ca="1">IFERROR(__xludf.DUMMYFUNCTION("""COMPUTED_VALUE"""),2455)</f>
        <v>2455</v>
      </c>
      <c r="P158" s="1">
        <f ca="1">IFERROR(__xludf.DUMMYFUNCTION("""COMPUTED_VALUE"""),1285)</f>
        <v>1285</v>
      </c>
      <c r="Q158" s="1">
        <f ca="1">IFERROR(__xludf.DUMMYFUNCTION("""COMPUTED_VALUE"""),742)</f>
        <v>742</v>
      </c>
      <c r="R158" s="1">
        <f ca="1">IFERROR(__xludf.DUMMYFUNCTION("""COMPUTED_VALUE"""),1945)</f>
        <v>1945</v>
      </c>
      <c r="S158" s="1">
        <f ca="1">IFERROR(__xludf.DUMMYFUNCTION("""COMPUTED_VALUE"""),0.381)</f>
        <v>0.38100000000000001</v>
      </c>
      <c r="T158" s="1">
        <f ca="1">IFERROR(__xludf.DUMMYFUNCTION("""COMPUTED_VALUE"""),136)</f>
        <v>136</v>
      </c>
      <c r="U158" s="1">
        <f ca="1">IFERROR(__xludf.DUMMYFUNCTION("""COMPUTED_VALUE"""),438)</f>
        <v>438</v>
      </c>
      <c r="V158" s="1">
        <f ca="1">IFERROR(__xludf.DUMMYFUNCTION("""COMPUTED_VALUE"""),0.311)</f>
        <v>0.311</v>
      </c>
      <c r="W158" s="1">
        <f ca="1">IFERROR(__xludf.DUMMYFUNCTION("""COMPUTED_VALUE"""),410)</f>
        <v>410</v>
      </c>
      <c r="X158" s="1">
        <f ca="1">IFERROR(__xludf.DUMMYFUNCTION("""COMPUTED_VALUE"""),590)</f>
        <v>590</v>
      </c>
      <c r="Y158" s="1">
        <f ca="1">IFERROR(__xludf.DUMMYFUNCTION("""COMPUTED_VALUE"""),0.695)</f>
        <v>0.69499999999999995</v>
      </c>
      <c r="Z158" s="1">
        <f ca="1">IFERROR(__xludf.DUMMYFUNCTION("""COMPUTED_VALUE"""),372)</f>
        <v>372</v>
      </c>
      <c r="AA158" s="1">
        <f ca="1">IFERROR(__xludf.DUMMYFUNCTION("""COMPUTED_VALUE"""),1163)</f>
        <v>1163</v>
      </c>
      <c r="AB158" s="1">
        <f ca="1">IFERROR(__xludf.DUMMYFUNCTION("""COMPUTED_VALUE"""),362)</f>
        <v>362</v>
      </c>
      <c r="AC158" s="1">
        <f ca="1">IFERROR(__xludf.DUMMYFUNCTION("""COMPUTED_VALUE"""),185)</f>
        <v>185</v>
      </c>
      <c r="AD158" s="1">
        <f ca="1">IFERROR(__xludf.DUMMYFUNCTION("""COMPUTED_VALUE"""),106)</f>
        <v>106</v>
      </c>
      <c r="AE158" s="1">
        <f ca="1">IFERROR(__xludf.DUMMYFUNCTION("""COMPUTED_VALUE"""),437)</f>
        <v>437</v>
      </c>
      <c r="AF158" s="1">
        <f ca="1">IFERROR(__xludf.DUMMYFUNCTION("""COMPUTED_VALUE"""),525)</f>
        <v>525</v>
      </c>
    </row>
    <row r="159" spans="1:32" ht="12.5" x14ac:dyDescent="0.25">
      <c r="A159" s="1" t="str">
        <f ca="1">IFERROR(__xludf.DUMMYFUNCTION("""COMPUTED_VALUE"""),"Kent State")</f>
        <v>Kent State</v>
      </c>
      <c r="B159" s="1">
        <f ca="1">IFERROR(__xludf.DUMMYFUNCTION("""COMPUTED_VALUE"""),33)</f>
        <v>33</v>
      </c>
      <c r="C159" s="1">
        <f ca="1">IFERROR(__xludf.DUMMYFUNCTION("""COMPUTED_VALUE"""),22)</f>
        <v>22</v>
      </c>
      <c r="D159" s="1">
        <f ca="1">IFERROR(__xludf.DUMMYFUNCTION("""COMPUTED_VALUE"""),11)</f>
        <v>11</v>
      </c>
      <c r="E159" s="1">
        <f ca="1">IFERROR(__xludf.DUMMYFUNCTION("""COMPUTED_VALUE"""),0.667)</f>
        <v>0.66700000000000004</v>
      </c>
      <c r="F159" s="1">
        <f ca="1">IFERROR(__xludf.DUMMYFUNCTION("""COMPUTED_VALUE"""),1.26)</f>
        <v>1.26</v>
      </c>
      <c r="G159" s="1">
        <f ca="1">IFERROR(__xludf.DUMMYFUNCTION("""COMPUTED_VALUE"""),0.61)</f>
        <v>0.61</v>
      </c>
      <c r="H159" s="1">
        <f ca="1">IFERROR(__xludf.DUMMYFUNCTION("""COMPUTED_VALUE"""),11)</f>
        <v>11</v>
      </c>
      <c r="I159" s="1">
        <f ca="1">IFERROR(__xludf.DUMMYFUNCTION("""COMPUTED_VALUE"""),7)</f>
        <v>7</v>
      </c>
      <c r="J159" s="1">
        <f ca="1">IFERROR(__xludf.DUMMYFUNCTION("""COMPUTED_VALUE"""),14)</f>
        <v>14</v>
      </c>
      <c r="K159" s="1">
        <f ca="1">IFERROR(__xludf.DUMMYFUNCTION("""COMPUTED_VALUE"""),3)</f>
        <v>3</v>
      </c>
      <c r="L159" s="1">
        <f ca="1">IFERROR(__xludf.DUMMYFUNCTION("""COMPUTED_VALUE"""),8)</f>
        <v>8</v>
      </c>
      <c r="M159" s="1">
        <f ca="1">IFERROR(__xludf.DUMMYFUNCTION("""COMPUTED_VALUE"""),7)</f>
        <v>7</v>
      </c>
      <c r="N159" s="1">
        <f ca="1">IFERROR(__xludf.DUMMYFUNCTION("""COMPUTED_VALUE"""),2481)</f>
        <v>2481</v>
      </c>
      <c r="O159" s="1">
        <f ca="1">IFERROR(__xludf.DUMMYFUNCTION("""COMPUTED_VALUE"""),2417)</f>
        <v>2417</v>
      </c>
      <c r="P159" s="1">
        <f ca="1">IFERROR(__xludf.DUMMYFUNCTION("""COMPUTED_VALUE"""),1330)</f>
        <v>1330</v>
      </c>
      <c r="Q159" s="1">
        <f ca="1">IFERROR(__xludf.DUMMYFUNCTION("""COMPUTED_VALUE"""),878)</f>
        <v>878</v>
      </c>
      <c r="R159" s="1">
        <f ca="1">IFERROR(__xludf.DUMMYFUNCTION("""COMPUTED_VALUE"""),2032)</f>
        <v>2032</v>
      </c>
      <c r="S159" s="1">
        <f ca="1">IFERROR(__xludf.DUMMYFUNCTION("""COMPUTED_VALUE"""),0.432)</f>
        <v>0.432</v>
      </c>
      <c r="T159" s="1">
        <f ca="1">IFERROR(__xludf.DUMMYFUNCTION("""COMPUTED_VALUE"""),261)</f>
        <v>261</v>
      </c>
      <c r="U159" s="1">
        <f ca="1">IFERROR(__xludf.DUMMYFUNCTION("""COMPUTED_VALUE"""),775)</f>
        <v>775</v>
      </c>
      <c r="V159" s="1">
        <f ca="1">IFERROR(__xludf.DUMMYFUNCTION("""COMPUTED_VALUE"""),0.337)</f>
        <v>0.33700000000000002</v>
      </c>
      <c r="W159" s="1">
        <f ca="1">IFERROR(__xludf.DUMMYFUNCTION("""COMPUTED_VALUE"""),464)</f>
        <v>464</v>
      </c>
      <c r="X159" s="1">
        <f ca="1">IFERROR(__xludf.DUMMYFUNCTION("""COMPUTED_VALUE"""),641)</f>
        <v>641</v>
      </c>
      <c r="Y159" s="1">
        <f ca="1">IFERROR(__xludf.DUMMYFUNCTION("""COMPUTED_VALUE"""),0.724)</f>
        <v>0.72399999999999998</v>
      </c>
      <c r="Z159" s="1">
        <f ca="1">IFERROR(__xludf.DUMMYFUNCTION("""COMPUTED_VALUE"""),412)</f>
        <v>412</v>
      </c>
      <c r="AA159" s="1">
        <f ca="1">IFERROR(__xludf.DUMMYFUNCTION("""COMPUTED_VALUE"""),1185)</f>
        <v>1185</v>
      </c>
      <c r="AB159" s="1">
        <f ca="1">IFERROR(__xludf.DUMMYFUNCTION("""COMPUTED_VALUE"""),430)</f>
        <v>430</v>
      </c>
      <c r="AC159" s="1">
        <f ca="1">IFERROR(__xludf.DUMMYFUNCTION("""COMPUTED_VALUE"""),226)</f>
        <v>226</v>
      </c>
      <c r="AD159" s="1">
        <f ca="1">IFERROR(__xludf.DUMMYFUNCTION("""COMPUTED_VALUE"""),119)</f>
        <v>119</v>
      </c>
      <c r="AE159" s="1">
        <f ca="1">IFERROR(__xludf.DUMMYFUNCTION("""COMPUTED_VALUE"""),378)</f>
        <v>378</v>
      </c>
      <c r="AF159" s="1">
        <f ca="1">IFERROR(__xludf.DUMMYFUNCTION("""COMPUTED_VALUE"""),601)</f>
        <v>601</v>
      </c>
    </row>
    <row r="160" spans="1:32" ht="12.5" x14ac:dyDescent="0.25">
      <c r="A160" s="1" t="str">
        <f ca="1">IFERROR(__xludf.DUMMYFUNCTION("""COMPUTED_VALUE"""),"Kentucky")</f>
        <v>Kentucky</v>
      </c>
      <c r="B160" s="1">
        <f ca="1">IFERROR(__xludf.DUMMYFUNCTION("""COMPUTED_VALUE"""),37)</f>
        <v>37</v>
      </c>
      <c r="C160" s="1">
        <f ca="1">IFERROR(__xludf.DUMMYFUNCTION("""COMPUTED_VALUE"""),30)</f>
        <v>30</v>
      </c>
      <c r="D160" s="1">
        <f ca="1">IFERROR(__xludf.DUMMYFUNCTION("""COMPUTED_VALUE"""),7)</f>
        <v>7</v>
      </c>
      <c r="E160" s="1">
        <f ca="1">IFERROR(__xludf.DUMMYFUNCTION("""COMPUTED_VALUE"""),0.811)</f>
        <v>0.81100000000000005</v>
      </c>
      <c r="F160" s="1">
        <f ca="1">IFERROR(__xludf.DUMMYFUNCTION("""COMPUTED_VALUE"""),21.43)</f>
        <v>21.43</v>
      </c>
      <c r="G160" s="1">
        <f ca="1">IFERROR(__xludf.DUMMYFUNCTION("""COMPUTED_VALUE"""),10.29)</f>
        <v>10.29</v>
      </c>
      <c r="H160" s="1">
        <f ca="1">IFERROR(__xludf.DUMMYFUNCTION("""COMPUTED_VALUE"""),15)</f>
        <v>15</v>
      </c>
      <c r="I160" s="1">
        <f ca="1">IFERROR(__xludf.DUMMYFUNCTION("""COMPUTED_VALUE"""),3)</f>
        <v>3</v>
      </c>
      <c r="J160" s="1">
        <f ca="1">IFERROR(__xludf.DUMMYFUNCTION("""COMPUTED_VALUE"""),17)</f>
        <v>17</v>
      </c>
      <c r="K160" s="1">
        <f ca="1">IFERROR(__xludf.DUMMYFUNCTION("""COMPUTED_VALUE"""),1)</f>
        <v>1</v>
      </c>
      <c r="L160" s="1">
        <f ca="1">IFERROR(__xludf.DUMMYFUNCTION("""COMPUTED_VALUE"""),8)</f>
        <v>8</v>
      </c>
      <c r="M160" s="1">
        <f ca="1">IFERROR(__xludf.DUMMYFUNCTION("""COMPUTED_VALUE"""),2)</f>
        <v>2</v>
      </c>
      <c r="N160" s="1">
        <f ca="1">IFERROR(__xludf.DUMMYFUNCTION("""COMPUTED_VALUE"""),2806)</f>
        <v>2806</v>
      </c>
      <c r="O160" s="1">
        <f ca="1">IFERROR(__xludf.DUMMYFUNCTION("""COMPUTED_VALUE"""),2394)</f>
        <v>2394</v>
      </c>
      <c r="P160" s="1">
        <f ca="1">IFERROR(__xludf.DUMMYFUNCTION("""COMPUTED_VALUE"""),1490)</f>
        <v>1490</v>
      </c>
      <c r="Q160" s="1">
        <f ca="1">IFERROR(__xludf.DUMMYFUNCTION("""COMPUTED_VALUE"""),978)</f>
        <v>978</v>
      </c>
      <c r="R160" s="1">
        <f ca="1">IFERROR(__xludf.DUMMYFUNCTION("""COMPUTED_VALUE"""),2050)</f>
        <v>2050</v>
      </c>
      <c r="S160" s="1">
        <f ca="1">IFERROR(__xludf.DUMMYFUNCTION("""COMPUTED_VALUE"""),0.477)</f>
        <v>0.47699999999999998</v>
      </c>
      <c r="T160" s="1">
        <f ca="1">IFERROR(__xludf.DUMMYFUNCTION("""COMPUTED_VALUE"""),215)</f>
        <v>215</v>
      </c>
      <c r="U160" s="1">
        <f ca="1">IFERROR(__xludf.DUMMYFUNCTION("""COMPUTED_VALUE"""),607)</f>
        <v>607</v>
      </c>
      <c r="V160" s="1">
        <f ca="1">IFERROR(__xludf.DUMMYFUNCTION("""COMPUTED_VALUE"""),0.354)</f>
        <v>0.35399999999999998</v>
      </c>
      <c r="W160" s="1">
        <f ca="1">IFERROR(__xludf.DUMMYFUNCTION("""COMPUTED_VALUE"""),635)</f>
        <v>635</v>
      </c>
      <c r="X160" s="1">
        <f ca="1">IFERROR(__xludf.DUMMYFUNCTION("""COMPUTED_VALUE"""),859)</f>
        <v>859</v>
      </c>
      <c r="Y160" s="1">
        <f ca="1">IFERROR(__xludf.DUMMYFUNCTION("""COMPUTED_VALUE"""),0.739)</f>
        <v>0.73899999999999999</v>
      </c>
      <c r="Z160" s="1">
        <f ca="1">IFERROR(__xludf.DUMMYFUNCTION("""COMPUTED_VALUE"""),427)</f>
        <v>427</v>
      </c>
      <c r="AA160" s="1">
        <f ca="1">IFERROR(__xludf.DUMMYFUNCTION("""COMPUTED_VALUE"""),1428)</f>
        <v>1428</v>
      </c>
      <c r="AB160" s="1">
        <f ca="1">IFERROR(__xludf.DUMMYFUNCTION("""COMPUTED_VALUE"""),501)</f>
        <v>501</v>
      </c>
      <c r="AC160" s="1">
        <f ca="1">IFERROR(__xludf.DUMMYFUNCTION("""COMPUTED_VALUE"""),220)</f>
        <v>220</v>
      </c>
      <c r="AD160" s="1">
        <f ca="1">IFERROR(__xludf.DUMMYFUNCTION("""COMPUTED_VALUE"""),176)</f>
        <v>176</v>
      </c>
      <c r="AE160" s="1">
        <f ca="1">IFERROR(__xludf.DUMMYFUNCTION("""COMPUTED_VALUE"""),466)</f>
        <v>466</v>
      </c>
      <c r="AF160" s="1">
        <f ca="1">IFERROR(__xludf.DUMMYFUNCTION("""COMPUTED_VALUE"""),600)</f>
        <v>600</v>
      </c>
    </row>
    <row r="161" spans="1:32" ht="12.5" x14ac:dyDescent="0.25">
      <c r="A161" s="1" t="str">
        <f ca="1">IFERROR(__xludf.DUMMYFUNCTION("""COMPUTED_VALUE"""),"La Salle")</f>
        <v>La Salle</v>
      </c>
      <c r="B161" s="1">
        <f ca="1">IFERROR(__xludf.DUMMYFUNCTION("""COMPUTED_VALUE"""),31)</f>
        <v>31</v>
      </c>
      <c r="C161" s="1">
        <f ca="1">IFERROR(__xludf.DUMMYFUNCTION("""COMPUTED_VALUE"""),10)</f>
        <v>10</v>
      </c>
      <c r="D161" s="1">
        <f ca="1">IFERROR(__xludf.DUMMYFUNCTION("""COMPUTED_VALUE"""),21)</f>
        <v>21</v>
      </c>
      <c r="E161" s="1">
        <f ca="1">IFERROR(__xludf.DUMMYFUNCTION("""COMPUTED_VALUE"""),0.323)</f>
        <v>0.32300000000000001</v>
      </c>
      <c r="F161" s="1">
        <f ca="1">IFERROR(__xludf.DUMMYFUNCTION("""COMPUTED_VALUE"""),-3.61)</f>
        <v>-3.61</v>
      </c>
      <c r="G161" s="1">
        <f ca="1">IFERROR(__xludf.DUMMYFUNCTION("""COMPUTED_VALUE"""),1.29)</f>
        <v>1.29</v>
      </c>
      <c r="H161" s="1">
        <f ca="1">IFERROR(__xludf.DUMMYFUNCTION("""COMPUTED_VALUE"""),8)</f>
        <v>8</v>
      </c>
      <c r="I161" s="1">
        <f ca="1">IFERROR(__xludf.DUMMYFUNCTION("""COMPUTED_VALUE"""),10)</f>
        <v>10</v>
      </c>
      <c r="J161" s="1">
        <f ca="1">IFERROR(__xludf.DUMMYFUNCTION("""COMPUTED_VALUE"""),5)</f>
        <v>5</v>
      </c>
      <c r="K161" s="1">
        <f ca="1">IFERROR(__xludf.DUMMYFUNCTION("""COMPUTED_VALUE"""),9)</f>
        <v>9</v>
      </c>
      <c r="L161" s="1">
        <f ca="1">IFERROR(__xludf.DUMMYFUNCTION("""COMPUTED_VALUE"""),3)</f>
        <v>3</v>
      </c>
      <c r="M161" s="1">
        <f ca="1">IFERROR(__xludf.DUMMYFUNCTION("""COMPUTED_VALUE"""),8)</f>
        <v>8</v>
      </c>
      <c r="N161" s="1">
        <f ca="1">IFERROR(__xludf.DUMMYFUNCTION("""COMPUTED_VALUE"""),2091)</f>
        <v>2091</v>
      </c>
      <c r="O161" s="1">
        <f ca="1">IFERROR(__xludf.DUMMYFUNCTION("""COMPUTED_VALUE"""),2243)</f>
        <v>2243</v>
      </c>
      <c r="P161" s="1">
        <f ca="1">IFERROR(__xludf.DUMMYFUNCTION("""COMPUTED_VALUE"""),1240)</f>
        <v>1240</v>
      </c>
      <c r="Q161" s="1">
        <f ca="1">IFERROR(__xludf.DUMMYFUNCTION("""COMPUTED_VALUE"""),719)</f>
        <v>719</v>
      </c>
      <c r="R161" s="1">
        <f ca="1">IFERROR(__xludf.DUMMYFUNCTION("""COMPUTED_VALUE"""),1798)</f>
        <v>1798</v>
      </c>
      <c r="S161" s="1">
        <f ca="1">IFERROR(__xludf.DUMMYFUNCTION("""COMPUTED_VALUE"""),0.4)</f>
        <v>0.4</v>
      </c>
      <c r="T161" s="1">
        <f ca="1">IFERROR(__xludf.DUMMYFUNCTION("""COMPUTED_VALUE"""),259)</f>
        <v>259</v>
      </c>
      <c r="U161" s="1">
        <f ca="1">IFERROR(__xludf.DUMMYFUNCTION("""COMPUTED_VALUE"""),783)</f>
        <v>783</v>
      </c>
      <c r="V161" s="1">
        <f ca="1">IFERROR(__xludf.DUMMYFUNCTION("""COMPUTED_VALUE"""),0.331)</f>
        <v>0.33100000000000002</v>
      </c>
      <c r="W161" s="1">
        <f ca="1">IFERROR(__xludf.DUMMYFUNCTION("""COMPUTED_VALUE"""),394)</f>
        <v>394</v>
      </c>
      <c r="X161" s="1">
        <f ca="1">IFERROR(__xludf.DUMMYFUNCTION("""COMPUTED_VALUE"""),512)</f>
        <v>512</v>
      </c>
      <c r="Y161" s="1">
        <f ca="1">IFERROR(__xludf.DUMMYFUNCTION("""COMPUTED_VALUE"""),0.77)</f>
        <v>0.77</v>
      </c>
      <c r="Z161" s="1">
        <f ca="1">IFERROR(__xludf.DUMMYFUNCTION("""COMPUTED_VALUE"""),328)</f>
        <v>328</v>
      </c>
      <c r="AA161" s="1">
        <f ca="1">IFERROR(__xludf.DUMMYFUNCTION("""COMPUTED_VALUE"""),1060)</f>
        <v>1060</v>
      </c>
      <c r="AB161" s="1">
        <f ca="1">IFERROR(__xludf.DUMMYFUNCTION("""COMPUTED_VALUE"""),391)</f>
        <v>391</v>
      </c>
      <c r="AC161" s="1">
        <f ca="1">IFERROR(__xludf.DUMMYFUNCTION("""COMPUTED_VALUE"""),230)</f>
        <v>230</v>
      </c>
      <c r="AD161" s="1">
        <f ca="1">IFERROR(__xludf.DUMMYFUNCTION("""COMPUTED_VALUE"""),98)</f>
        <v>98</v>
      </c>
      <c r="AE161" s="1">
        <f ca="1">IFERROR(__xludf.DUMMYFUNCTION("""COMPUTED_VALUE"""),435)</f>
        <v>435</v>
      </c>
      <c r="AF161" s="1">
        <f ca="1">IFERROR(__xludf.DUMMYFUNCTION("""COMPUTED_VALUE"""),630)</f>
        <v>630</v>
      </c>
    </row>
    <row r="162" spans="1:32" ht="12.5" x14ac:dyDescent="0.25">
      <c r="A162" s="1" t="str">
        <f ca="1">IFERROR(__xludf.DUMMYFUNCTION("""COMPUTED_VALUE"""),"Lafayette")</f>
        <v>Lafayette</v>
      </c>
      <c r="B162" s="1">
        <f ca="1">IFERROR(__xludf.DUMMYFUNCTION("""COMPUTED_VALUE"""),30)</f>
        <v>30</v>
      </c>
      <c r="C162" s="1">
        <f ca="1">IFERROR(__xludf.DUMMYFUNCTION("""COMPUTED_VALUE"""),10)</f>
        <v>10</v>
      </c>
      <c r="D162" s="1">
        <f ca="1">IFERROR(__xludf.DUMMYFUNCTION("""COMPUTED_VALUE"""),20)</f>
        <v>20</v>
      </c>
      <c r="E162" s="1">
        <f ca="1">IFERROR(__xludf.DUMMYFUNCTION("""COMPUTED_VALUE"""),0.333)</f>
        <v>0.33300000000000002</v>
      </c>
      <c r="F162" s="1">
        <f ca="1">IFERROR(__xludf.DUMMYFUNCTION("""COMPUTED_VALUE"""),-11.17)</f>
        <v>-11.17</v>
      </c>
      <c r="G162" s="1">
        <f ca="1">IFERROR(__xludf.DUMMYFUNCTION("""COMPUTED_VALUE"""),-4.93)</f>
        <v>-4.93</v>
      </c>
      <c r="H162" s="1">
        <f ca="1">IFERROR(__xludf.DUMMYFUNCTION("""COMPUTED_VALUE"""),7)</f>
        <v>7</v>
      </c>
      <c r="I162" s="1">
        <f ca="1">IFERROR(__xludf.DUMMYFUNCTION("""COMPUTED_VALUE"""),11)</f>
        <v>11</v>
      </c>
      <c r="J162" s="1">
        <f ca="1">IFERROR(__xludf.DUMMYFUNCTION("""COMPUTED_VALUE"""),4)</f>
        <v>4</v>
      </c>
      <c r="K162" s="1">
        <f ca="1">IFERROR(__xludf.DUMMYFUNCTION("""COMPUTED_VALUE"""),11)</f>
        <v>11</v>
      </c>
      <c r="L162" s="1">
        <f ca="1">IFERROR(__xludf.DUMMYFUNCTION("""COMPUTED_VALUE"""),6)</f>
        <v>6</v>
      </c>
      <c r="M162" s="1">
        <f ca="1">IFERROR(__xludf.DUMMYFUNCTION("""COMPUTED_VALUE"""),9)</f>
        <v>9</v>
      </c>
      <c r="N162" s="1">
        <f ca="1">IFERROR(__xludf.DUMMYFUNCTION("""COMPUTED_VALUE"""),2209)</f>
        <v>2209</v>
      </c>
      <c r="O162" s="1">
        <f ca="1">IFERROR(__xludf.DUMMYFUNCTION("""COMPUTED_VALUE"""),2349)</f>
        <v>2349</v>
      </c>
      <c r="P162" s="1">
        <f ca="1">IFERROR(__xludf.DUMMYFUNCTION("""COMPUTED_VALUE"""),1220)</f>
        <v>1220</v>
      </c>
      <c r="Q162" s="1">
        <f ca="1">IFERROR(__xludf.DUMMYFUNCTION("""COMPUTED_VALUE"""),802)</f>
        <v>802</v>
      </c>
      <c r="R162" s="1">
        <f ca="1">IFERROR(__xludf.DUMMYFUNCTION("""COMPUTED_VALUE"""),1786)</f>
        <v>1786</v>
      </c>
      <c r="S162" s="1">
        <f ca="1">IFERROR(__xludf.DUMMYFUNCTION("""COMPUTED_VALUE"""),0.449)</f>
        <v>0.44900000000000001</v>
      </c>
      <c r="T162" s="1">
        <f ca="1">IFERROR(__xludf.DUMMYFUNCTION("""COMPUTED_VALUE"""),280)</f>
        <v>280</v>
      </c>
      <c r="U162" s="1">
        <f ca="1">IFERROR(__xludf.DUMMYFUNCTION("""COMPUTED_VALUE"""),736)</f>
        <v>736</v>
      </c>
      <c r="V162" s="1">
        <f ca="1">IFERROR(__xludf.DUMMYFUNCTION("""COMPUTED_VALUE"""),0.38)</f>
        <v>0.38</v>
      </c>
      <c r="W162" s="1">
        <f ca="1">IFERROR(__xludf.DUMMYFUNCTION("""COMPUTED_VALUE"""),325)</f>
        <v>325</v>
      </c>
      <c r="X162" s="1">
        <f ca="1">IFERROR(__xludf.DUMMYFUNCTION("""COMPUTED_VALUE"""),437)</f>
        <v>437</v>
      </c>
      <c r="Y162" s="1">
        <f ca="1">IFERROR(__xludf.DUMMYFUNCTION("""COMPUTED_VALUE"""),0.744)</f>
        <v>0.74399999999999999</v>
      </c>
      <c r="Z162" s="1">
        <f ca="1">IFERROR(__xludf.DUMMYFUNCTION("""COMPUTED_VALUE"""),233)</f>
        <v>233</v>
      </c>
      <c r="AA162" s="1">
        <f ca="1">IFERROR(__xludf.DUMMYFUNCTION("""COMPUTED_VALUE"""),1004)</f>
        <v>1004</v>
      </c>
      <c r="AB162" s="1">
        <f ca="1">IFERROR(__xludf.DUMMYFUNCTION("""COMPUTED_VALUE"""),419)</f>
        <v>419</v>
      </c>
      <c r="AC162" s="1">
        <f ca="1">IFERROR(__xludf.DUMMYFUNCTION("""COMPUTED_VALUE"""),158)</f>
        <v>158</v>
      </c>
      <c r="AD162" s="1">
        <f ca="1">IFERROR(__xludf.DUMMYFUNCTION("""COMPUTED_VALUE"""),126)</f>
        <v>126</v>
      </c>
      <c r="AE162" s="1">
        <f ca="1">IFERROR(__xludf.DUMMYFUNCTION("""COMPUTED_VALUE"""),402)</f>
        <v>402</v>
      </c>
      <c r="AF162" s="1">
        <f ca="1">IFERROR(__xludf.DUMMYFUNCTION("""COMPUTED_VALUE"""),515)</f>
        <v>515</v>
      </c>
    </row>
    <row r="163" spans="1:32" ht="12.5" x14ac:dyDescent="0.25">
      <c r="A163" s="1" t="str">
        <f ca="1">IFERROR(__xludf.DUMMYFUNCTION("""COMPUTED_VALUE"""),"Lamar")</f>
        <v>Lamar</v>
      </c>
      <c r="B163" s="1">
        <f ca="1">IFERROR(__xludf.DUMMYFUNCTION("""COMPUTED_VALUE"""),33)</f>
        <v>33</v>
      </c>
      <c r="C163" s="1">
        <f ca="1">IFERROR(__xludf.DUMMYFUNCTION("""COMPUTED_VALUE"""),20)</f>
        <v>20</v>
      </c>
      <c r="D163" s="1">
        <f ca="1">IFERROR(__xludf.DUMMYFUNCTION("""COMPUTED_VALUE"""),13)</f>
        <v>13</v>
      </c>
      <c r="E163" s="1">
        <f ca="1">IFERROR(__xludf.DUMMYFUNCTION("""COMPUTED_VALUE"""),0.606)</f>
        <v>0.60599999999999998</v>
      </c>
      <c r="F163" s="1">
        <f ca="1">IFERROR(__xludf.DUMMYFUNCTION("""COMPUTED_VALUE"""),-5.94)</f>
        <v>-5.94</v>
      </c>
      <c r="G163" s="1">
        <f ca="1">IFERROR(__xludf.DUMMYFUNCTION("""COMPUTED_VALUE"""),-7.22)</f>
        <v>-7.22</v>
      </c>
      <c r="H163" s="1">
        <f ca="1">IFERROR(__xludf.DUMMYFUNCTION("""COMPUTED_VALUE"""),12)</f>
        <v>12</v>
      </c>
      <c r="I163" s="1">
        <f ca="1">IFERROR(__xludf.DUMMYFUNCTION("""COMPUTED_VALUE"""),6)</f>
        <v>6</v>
      </c>
      <c r="J163" s="1">
        <f ca="1">IFERROR(__xludf.DUMMYFUNCTION("""COMPUTED_VALUE"""),13)</f>
        <v>13</v>
      </c>
      <c r="K163" s="1">
        <f ca="1">IFERROR(__xludf.DUMMYFUNCTION("""COMPUTED_VALUE"""),2)</f>
        <v>2</v>
      </c>
      <c r="L163" s="1">
        <f ca="1">IFERROR(__xludf.DUMMYFUNCTION("""COMPUTED_VALUE"""),6)</f>
        <v>6</v>
      </c>
      <c r="M163" s="1">
        <f ca="1">IFERROR(__xludf.DUMMYFUNCTION("""COMPUTED_VALUE"""),10)</f>
        <v>10</v>
      </c>
      <c r="N163" s="1">
        <f ca="1">IFERROR(__xludf.DUMMYFUNCTION("""COMPUTED_VALUE"""),2597)</f>
        <v>2597</v>
      </c>
      <c r="O163" s="1">
        <f ca="1">IFERROR(__xludf.DUMMYFUNCTION("""COMPUTED_VALUE"""),2322)</f>
        <v>2322</v>
      </c>
      <c r="P163" s="1">
        <f ca="1">IFERROR(__xludf.DUMMYFUNCTION("""COMPUTED_VALUE"""),1340)</f>
        <v>1340</v>
      </c>
      <c r="Q163" s="1">
        <f ca="1">IFERROR(__xludf.DUMMYFUNCTION("""COMPUTED_VALUE"""),902)</f>
        <v>902</v>
      </c>
      <c r="R163" s="1">
        <f ca="1">IFERROR(__xludf.DUMMYFUNCTION("""COMPUTED_VALUE"""),1976)</f>
        <v>1976</v>
      </c>
      <c r="S163" s="1">
        <f ca="1">IFERROR(__xludf.DUMMYFUNCTION("""COMPUTED_VALUE"""),0.456)</f>
        <v>0.45600000000000002</v>
      </c>
      <c r="T163" s="1">
        <f ca="1">IFERROR(__xludf.DUMMYFUNCTION("""COMPUTED_VALUE"""),228)</f>
        <v>228</v>
      </c>
      <c r="U163" s="1">
        <f ca="1">IFERROR(__xludf.DUMMYFUNCTION("""COMPUTED_VALUE"""),664)</f>
        <v>664</v>
      </c>
      <c r="V163" s="1">
        <f ca="1">IFERROR(__xludf.DUMMYFUNCTION("""COMPUTED_VALUE"""),0.343)</f>
        <v>0.34300000000000003</v>
      </c>
      <c r="W163" s="1">
        <f ca="1">IFERROR(__xludf.DUMMYFUNCTION("""COMPUTED_VALUE"""),565)</f>
        <v>565</v>
      </c>
      <c r="X163" s="1">
        <f ca="1">IFERROR(__xludf.DUMMYFUNCTION("""COMPUTED_VALUE"""),823)</f>
        <v>823</v>
      </c>
      <c r="Y163" s="1">
        <f ca="1">IFERROR(__xludf.DUMMYFUNCTION("""COMPUTED_VALUE"""),0.687)</f>
        <v>0.68700000000000006</v>
      </c>
      <c r="Z163" s="1">
        <f ca="1">IFERROR(__xludf.DUMMYFUNCTION("""COMPUTED_VALUE"""),446)</f>
        <v>446</v>
      </c>
      <c r="AA163" s="1">
        <f ca="1">IFERROR(__xludf.DUMMYFUNCTION("""COMPUTED_VALUE"""),1282)</f>
        <v>1282</v>
      </c>
      <c r="AB163" s="1">
        <f ca="1">IFERROR(__xludf.DUMMYFUNCTION("""COMPUTED_VALUE"""),481)</f>
        <v>481</v>
      </c>
      <c r="AC163" s="1">
        <f ca="1">IFERROR(__xludf.DUMMYFUNCTION("""COMPUTED_VALUE"""),283)</f>
        <v>283</v>
      </c>
      <c r="AD163" s="1">
        <f ca="1">IFERROR(__xludf.DUMMYFUNCTION("""COMPUTED_VALUE"""),97)</f>
        <v>97</v>
      </c>
      <c r="AE163" s="1">
        <f ca="1">IFERROR(__xludf.DUMMYFUNCTION("""COMPUTED_VALUE"""),473)</f>
        <v>473</v>
      </c>
      <c r="AF163" s="1">
        <f ca="1">IFERROR(__xludf.DUMMYFUNCTION("""COMPUTED_VALUE"""),622)</f>
        <v>622</v>
      </c>
    </row>
    <row r="164" spans="1:32" ht="12.5" x14ac:dyDescent="0.25">
      <c r="A164" s="1" t="str">
        <f ca="1">IFERROR(__xludf.DUMMYFUNCTION("""COMPUTED_VALUE"""),"Lehigh")</f>
        <v>Lehigh</v>
      </c>
      <c r="B164" s="1">
        <f ca="1">IFERROR(__xludf.DUMMYFUNCTION("""COMPUTED_VALUE"""),31)</f>
        <v>31</v>
      </c>
      <c r="C164" s="1">
        <f ca="1">IFERROR(__xludf.DUMMYFUNCTION("""COMPUTED_VALUE"""),20)</f>
        <v>20</v>
      </c>
      <c r="D164" s="1">
        <f ca="1">IFERROR(__xludf.DUMMYFUNCTION("""COMPUTED_VALUE"""),11)</f>
        <v>11</v>
      </c>
      <c r="E164" s="1">
        <f ca="1">IFERROR(__xludf.DUMMYFUNCTION("""COMPUTED_VALUE"""),0.645)</f>
        <v>0.64500000000000002</v>
      </c>
      <c r="F164" s="1">
        <f ca="1">IFERROR(__xludf.DUMMYFUNCTION("""COMPUTED_VALUE"""),-2.34)</f>
        <v>-2.34</v>
      </c>
      <c r="G164" s="1">
        <f ca="1">IFERROR(__xludf.DUMMYFUNCTION("""COMPUTED_VALUE"""),-4.46)</f>
        <v>-4.46</v>
      </c>
      <c r="H164" s="1">
        <f ca="1">IFERROR(__xludf.DUMMYFUNCTION("""COMPUTED_VALUE"""),12)</f>
        <v>12</v>
      </c>
      <c r="I164" s="1">
        <f ca="1">IFERROR(__xludf.DUMMYFUNCTION("""COMPUTED_VALUE"""),6)</f>
        <v>6</v>
      </c>
      <c r="J164" s="1">
        <f ca="1">IFERROR(__xludf.DUMMYFUNCTION("""COMPUTED_VALUE"""),11)</f>
        <v>11</v>
      </c>
      <c r="K164" s="1">
        <f ca="1">IFERROR(__xludf.DUMMYFUNCTION("""COMPUTED_VALUE"""),3)</f>
        <v>3</v>
      </c>
      <c r="L164" s="1">
        <f ca="1">IFERROR(__xludf.DUMMYFUNCTION("""COMPUTED_VALUE"""),9)</f>
        <v>9</v>
      </c>
      <c r="M164" s="1">
        <f ca="1">IFERROR(__xludf.DUMMYFUNCTION("""COMPUTED_VALUE"""),8)</f>
        <v>8</v>
      </c>
      <c r="N164" s="1">
        <f ca="1">IFERROR(__xludf.DUMMYFUNCTION("""COMPUTED_VALUE"""),2479)</f>
        <v>2479</v>
      </c>
      <c r="O164" s="1">
        <f ca="1">IFERROR(__xludf.DUMMYFUNCTION("""COMPUTED_VALUE"""),2413)</f>
        <v>2413</v>
      </c>
      <c r="P164" s="1">
        <f ca="1">IFERROR(__xludf.DUMMYFUNCTION("""COMPUTED_VALUE"""),1250)</f>
        <v>1250</v>
      </c>
      <c r="Q164" s="1">
        <f ca="1">IFERROR(__xludf.DUMMYFUNCTION("""COMPUTED_VALUE"""),856)</f>
        <v>856</v>
      </c>
      <c r="R164" s="1">
        <f ca="1">IFERROR(__xludf.DUMMYFUNCTION("""COMPUTED_VALUE"""),1775)</f>
        <v>1775</v>
      </c>
      <c r="S164" s="1">
        <f ca="1">IFERROR(__xludf.DUMMYFUNCTION("""COMPUTED_VALUE"""),0.482)</f>
        <v>0.48199999999999998</v>
      </c>
      <c r="T164" s="1">
        <f ca="1">IFERROR(__xludf.DUMMYFUNCTION("""COMPUTED_VALUE"""),287)</f>
        <v>287</v>
      </c>
      <c r="U164" s="1">
        <f ca="1">IFERROR(__xludf.DUMMYFUNCTION("""COMPUTED_VALUE"""),679)</f>
        <v>679</v>
      </c>
      <c r="V164" s="1">
        <f ca="1">IFERROR(__xludf.DUMMYFUNCTION("""COMPUTED_VALUE"""),0.423)</f>
        <v>0.42299999999999999</v>
      </c>
      <c r="W164" s="1">
        <f ca="1">IFERROR(__xludf.DUMMYFUNCTION("""COMPUTED_VALUE"""),480)</f>
        <v>480</v>
      </c>
      <c r="X164" s="1">
        <f ca="1">IFERROR(__xludf.DUMMYFUNCTION("""COMPUTED_VALUE"""),620)</f>
        <v>620</v>
      </c>
      <c r="Y164" s="1">
        <f ca="1">IFERROR(__xludf.DUMMYFUNCTION("""COMPUTED_VALUE"""),0.774)</f>
        <v>0.77400000000000002</v>
      </c>
      <c r="Z164" s="1">
        <f ca="1">IFERROR(__xludf.DUMMYFUNCTION("""COMPUTED_VALUE"""),232)</f>
        <v>232</v>
      </c>
      <c r="AA164" s="1">
        <f ca="1">IFERROR(__xludf.DUMMYFUNCTION("""COMPUTED_VALUE"""),1105)</f>
        <v>1105</v>
      </c>
      <c r="AB164" s="1">
        <f ca="1">IFERROR(__xludf.DUMMYFUNCTION("""COMPUTED_VALUE"""),471)</f>
        <v>471</v>
      </c>
      <c r="AC164" s="1">
        <f ca="1">IFERROR(__xludf.DUMMYFUNCTION("""COMPUTED_VALUE"""),171)</f>
        <v>171</v>
      </c>
      <c r="AD164" s="1">
        <f ca="1">IFERROR(__xludf.DUMMYFUNCTION("""COMPUTED_VALUE"""),71)</f>
        <v>71</v>
      </c>
      <c r="AE164" s="1">
        <f ca="1">IFERROR(__xludf.DUMMYFUNCTION("""COMPUTED_VALUE"""),418)</f>
        <v>418</v>
      </c>
      <c r="AF164" s="1">
        <f ca="1">IFERROR(__xludf.DUMMYFUNCTION("""COMPUTED_VALUE"""),571)</f>
        <v>571</v>
      </c>
    </row>
    <row r="165" spans="1:32" ht="12.5" x14ac:dyDescent="0.25">
      <c r="A165" s="1" t="str">
        <f ca="1">IFERROR(__xludf.DUMMYFUNCTION("""COMPUTED_VALUE"""),"Liberty")</f>
        <v>Liberty</v>
      </c>
      <c r="B165" s="1">
        <f ca="1">IFERROR(__xludf.DUMMYFUNCTION("""COMPUTED_VALUE"""),36)</f>
        <v>36</v>
      </c>
      <c r="C165" s="1">
        <f ca="1">IFERROR(__xludf.DUMMYFUNCTION("""COMPUTED_VALUE"""),29)</f>
        <v>29</v>
      </c>
      <c r="D165" s="1">
        <f ca="1">IFERROR(__xludf.DUMMYFUNCTION("""COMPUTED_VALUE"""),7)</f>
        <v>7</v>
      </c>
      <c r="E165" s="1">
        <f ca="1">IFERROR(__xludf.DUMMYFUNCTION("""COMPUTED_VALUE"""),0.806)</f>
        <v>0.80600000000000005</v>
      </c>
      <c r="F165" s="1">
        <f ca="1">IFERROR(__xludf.DUMMYFUNCTION("""COMPUTED_VALUE"""),5.27)</f>
        <v>5.27</v>
      </c>
      <c r="G165" s="1">
        <f ca="1">IFERROR(__xludf.DUMMYFUNCTION("""COMPUTED_VALUE"""),-3.88)</f>
        <v>-3.88</v>
      </c>
      <c r="H165" s="1">
        <f ca="1">IFERROR(__xludf.DUMMYFUNCTION("""COMPUTED_VALUE"""),14)</f>
        <v>14</v>
      </c>
      <c r="I165" s="1">
        <f ca="1">IFERROR(__xludf.DUMMYFUNCTION("""COMPUTED_VALUE"""),2)</f>
        <v>2</v>
      </c>
      <c r="J165" s="1">
        <f ca="1">IFERROR(__xludf.DUMMYFUNCTION("""COMPUTED_VALUE"""),16)</f>
        <v>16</v>
      </c>
      <c r="K165" s="1">
        <f ca="1">IFERROR(__xludf.DUMMYFUNCTION("""COMPUTED_VALUE"""),1)</f>
        <v>1</v>
      </c>
      <c r="L165" s="1">
        <f ca="1">IFERROR(__xludf.DUMMYFUNCTION("""COMPUTED_VALUE"""),11)</f>
        <v>11</v>
      </c>
      <c r="M165" s="1">
        <f ca="1">IFERROR(__xludf.DUMMYFUNCTION("""COMPUTED_VALUE"""),3)</f>
        <v>3</v>
      </c>
      <c r="N165" s="1">
        <f ca="1">IFERROR(__xludf.DUMMYFUNCTION("""COMPUTED_VALUE"""),2654)</f>
        <v>2654</v>
      </c>
      <c r="O165" s="1">
        <f ca="1">IFERROR(__xludf.DUMMYFUNCTION("""COMPUTED_VALUE"""),2209)</f>
        <v>2209</v>
      </c>
      <c r="P165" s="1">
        <f ca="1">IFERROR(__xludf.DUMMYFUNCTION("""COMPUTED_VALUE"""),1440)</f>
        <v>1440</v>
      </c>
      <c r="Q165" s="1">
        <f ca="1">IFERROR(__xludf.DUMMYFUNCTION("""COMPUTED_VALUE"""),963)</f>
        <v>963</v>
      </c>
      <c r="R165" s="1">
        <f ca="1">IFERROR(__xludf.DUMMYFUNCTION("""COMPUTED_VALUE"""),1977)</f>
        <v>1977</v>
      </c>
      <c r="S165" s="1">
        <f ca="1">IFERROR(__xludf.DUMMYFUNCTION("""COMPUTED_VALUE"""),0.487)</f>
        <v>0.48699999999999999</v>
      </c>
      <c r="T165" s="1">
        <f ca="1">IFERROR(__xludf.DUMMYFUNCTION("""COMPUTED_VALUE"""),322)</f>
        <v>322</v>
      </c>
      <c r="U165" s="1">
        <f ca="1">IFERROR(__xludf.DUMMYFUNCTION("""COMPUTED_VALUE"""),873)</f>
        <v>873</v>
      </c>
      <c r="V165" s="1">
        <f ca="1">IFERROR(__xludf.DUMMYFUNCTION("""COMPUTED_VALUE"""),0.369)</f>
        <v>0.36899999999999999</v>
      </c>
      <c r="W165" s="1">
        <f ca="1">IFERROR(__xludf.DUMMYFUNCTION("""COMPUTED_VALUE"""),406)</f>
        <v>406</v>
      </c>
      <c r="X165" s="1">
        <f ca="1">IFERROR(__xludf.DUMMYFUNCTION("""COMPUTED_VALUE"""),524)</f>
        <v>524</v>
      </c>
      <c r="Y165" s="1">
        <f ca="1">IFERROR(__xludf.DUMMYFUNCTION("""COMPUTED_VALUE"""),0.775)</f>
        <v>0.77500000000000002</v>
      </c>
      <c r="Z165" s="1">
        <f ca="1">IFERROR(__xludf.DUMMYFUNCTION("""COMPUTED_VALUE"""),270)</f>
        <v>270</v>
      </c>
      <c r="AA165" s="1">
        <f ca="1">IFERROR(__xludf.DUMMYFUNCTION("""COMPUTED_VALUE"""),1174)</f>
        <v>1174</v>
      </c>
      <c r="AB165" s="1">
        <f ca="1">IFERROR(__xludf.DUMMYFUNCTION("""COMPUTED_VALUE"""),532)</f>
        <v>532</v>
      </c>
      <c r="AC165" s="1">
        <f ca="1">IFERROR(__xludf.DUMMYFUNCTION("""COMPUTED_VALUE"""),223)</f>
        <v>223</v>
      </c>
      <c r="AD165" s="1">
        <f ca="1">IFERROR(__xludf.DUMMYFUNCTION("""COMPUTED_VALUE"""),96)</f>
        <v>96</v>
      </c>
      <c r="AE165" s="1">
        <f ca="1">IFERROR(__xludf.DUMMYFUNCTION("""COMPUTED_VALUE"""),395)</f>
        <v>395</v>
      </c>
      <c r="AF165" s="1">
        <f ca="1">IFERROR(__xludf.DUMMYFUNCTION("""COMPUTED_VALUE"""),543)</f>
        <v>543</v>
      </c>
    </row>
    <row r="166" spans="1:32" ht="12.5" x14ac:dyDescent="0.25">
      <c r="A166" s="1" t="str">
        <f ca="1">IFERROR(__xludf.DUMMYFUNCTION("""COMPUTED_VALUE"""),"Lipscomb")</f>
        <v>Lipscomb</v>
      </c>
      <c r="B166" s="1">
        <f ca="1">IFERROR(__xludf.DUMMYFUNCTION("""COMPUTED_VALUE"""),37)</f>
        <v>37</v>
      </c>
      <c r="C166" s="1">
        <f ca="1">IFERROR(__xludf.DUMMYFUNCTION("""COMPUTED_VALUE"""),29)</f>
        <v>29</v>
      </c>
      <c r="D166" s="1">
        <f ca="1">IFERROR(__xludf.DUMMYFUNCTION("""COMPUTED_VALUE"""),8)</f>
        <v>8</v>
      </c>
      <c r="E166" s="1">
        <f ca="1">IFERROR(__xludf.DUMMYFUNCTION("""COMPUTED_VALUE"""),0.784)</f>
        <v>0.78400000000000003</v>
      </c>
      <c r="F166" s="1">
        <f ca="1">IFERROR(__xludf.DUMMYFUNCTION("""COMPUTED_VALUE"""),9.21)</f>
        <v>9.2100000000000009</v>
      </c>
      <c r="G166" s="1">
        <f ca="1">IFERROR(__xludf.DUMMYFUNCTION("""COMPUTED_VALUE"""),-1.2)</f>
        <v>-1.2</v>
      </c>
      <c r="H166" s="1">
        <f ca="1">IFERROR(__xludf.DUMMYFUNCTION("""COMPUTED_VALUE"""),14)</f>
        <v>14</v>
      </c>
      <c r="I166" s="1">
        <f ca="1">IFERROR(__xludf.DUMMYFUNCTION("""COMPUTED_VALUE"""),2)</f>
        <v>2</v>
      </c>
      <c r="J166" s="1">
        <f ca="1">IFERROR(__xludf.DUMMYFUNCTION("""COMPUTED_VALUE"""),14)</f>
        <v>14</v>
      </c>
      <c r="K166" s="1">
        <f ca="1">IFERROR(__xludf.DUMMYFUNCTION("""COMPUTED_VALUE"""),3)</f>
        <v>3</v>
      </c>
      <c r="L166" s="1">
        <f ca="1">IFERROR(__xludf.DUMMYFUNCTION("""COMPUTED_VALUE"""),14)</f>
        <v>14</v>
      </c>
      <c r="M166" s="1">
        <f ca="1">IFERROR(__xludf.DUMMYFUNCTION("""COMPUTED_VALUE"""),4)</f>
        <v>4</v>
      </c>
      <c r="N166" s="1">
        <f ca="1">IFERROR(__xludf.DUMMYFUNCTION("""COMPUTED_VALUE"""),3076)</f>
        <v>3076</v>
      </c>
      <c r="O166" s="1">
        <f ca="1">IFERROR(__xludf.DUMMYFUNCTION("""COMPUTED_VALUE"""),2597)</f>
        <v>2597</v>
      </c>
      <c r="P166" s="1">
        <f ca="1">IFERROR(__xludf.DUMMYFUNCTION("""COMPUTED_VALUE"""),1480)</f>
        <v>1480</v>
      </c>
      <c r="Q166" s="1">
        <f ca="1">IFERROR(__xludf.DUMMYFUNCTION("""COMPUTED_VALUE"""),1071)</f>
        <v>1071</v>
      </c>
      <c r="R166" s="1">
        <f ca="1">IFERROR(__xludf.DUMMYFUNCTION("""COMPUTED_VALUE"""),2230)</f>
        <v>2230</v>
      </c>
      <c r="S166" s="1">
        <f ca="1">IFERROR(__xludf.DUMMYFUNCTION("""COMPUTED_VALUE"""),0.48)</f>
        <v>0.48</v>
      </c>
      <c r="T166" s="1">
        <f ca="1">IFERROR(__xludf.DUMMYFUNCTION("""COMPUTED_VALUE"""),327)</f>
        <v>327</v>
      </c>
      <c r="U166" s="1">
        <f ca="1">IFERROR(__xludf.DUMMYFUNCTION("""COMPUTED_VALUE"""),876)</f>
        <v>876</v>
      </c>
      <c r="V166" s="1">
        <f ca="1">IFERROR(__xludf.DUMMYFUNCTION("""COMPUTED_VALUE"""),0.373)</f>
        <v>0.373</v>
      </c>
      <c r="W166" s="1">
        <f ca="1">IFERROR(__xludf.DUMMYFUNCTION("""COMPUTED_VALUE"""),607)</f>
        <v>607</v>
      </c>
      <c r="X166" s="1">
        <f ca="1">IFERROR(__xludf.DUMMYFUNCTION("""COMPUTED_VALUE"""),801)</f>
        <v>801</v>
      </c>
      <c r="Y166" s="1">
        <f ca="1">IFERROR(__xludf.DUMMYFUNCTION("""COMPUTED_VALUE"""),0.758)</f>
        <v>0.75800000000000001</v>
      </c>
      <c r="Z166" s="1">
        <f ca="1">IFERROR(__xludf.DUMMYFUNCTION("""COMPUTED_VALUE"""),329)</f>
        <v>329</v>
      </c>
      <c r="AA166" s="1">
        <f ca="1">IFERROR(__xludf.DUMMYFUNCTION("""COMPUTED_VALUE"""),1378)</f>
        <v>1378</v>
      </c>
      <c r="AB166" s="1">
        <f ca="1">IFERROR(__xludf.DUMMYFUNCTION("""COMPUTED_VALUE"""),654)</f>
        <v>654</v>
      </c>
      <c r="AC166" s="1">
        <f ca="1">IFERROR(__xludf.DUMMYFUNCTION("""COMPUTED_VALUE"""),268)</f>
        <v>268</v>
      </c>
      <c r="AD166" s="1">
        <f ca="1">IFERROR(__xludf.DUMMYFUNCTION("""COMPUTED_VALUE"""),108)</f>
        <v>108</v>
      </c>
      <c r="AE166" s="1">
        <f ca="1">IFERROR(__xludf.DUMMYFUNCTION("""COMPUTED_VALUE"""),489)</f>
        <v>489</v>
      </c>
      <c r="AF166" s="1">
        <f ca="1">IFERROR(__xludf.DUMMYFUNCTION("""COMPUTED_VALUE"""),633)</f>
        <v>633</v>
      </c>
    </row>
    <row r="167" spans="1:32" ht="12.5" x14ac:dyDescent="0.25">
      <c r="A167" s="1" t="str">
        <f ca="1">IFERROR(__xludf.DUMMYFUNCTION("""COMPUTED_VALUE"""),"Cal State Long Beach")</f>
        <v>Cal State Long Beach</v>
      </c>
      <c r="B167" s="1">
        <f ca="1">IFERROR(__xludf.DUMMYFUNCTION("""COMPUTED_VALUE"""),34)</f>
        <v>34</v>
      </c>
      <c r="C167" s="1">
        <f ca="1">IFERROR(__xludf.DUMMYFUNCTION("""COMPUTED_VALUE"""),15)</f>
        <v>15</v>
      </c>
      <c r="D167" s="1">
        <f ca="1">IFERROR(__xludf.DUMMYFUNCTION("""COMPUTED_VALUE"""),19)</f>
        <v>19</v>
      </c>
      <c r="E167" s="1">
        <f ca="1">IFERROR(__xludf.DUMMYFUNCTION("""COMPUTED_VALUE"""),0.441)</f>
        <v>0.441</v>
      </c>
      <c r="F167" s="1">
        <f ca="1">IFERROR(__xludf.DUMMYFUNCTION("""COMPUTED_VALUE"""),-4.57)</f>
        <v>-4.57</v>
      </c>
      <c r="G167" s="1">
        <f ca="1">IFERROR(__xludf.DUMMYFUNCTION("""COMPUTED_VALUE"""),-0.44)</f>
        <v>-0.44</v>
      </c>
      <c r="H167" s="1">
        <f ca="1">IFERROR(__xludf.DUMMYFUNCTION("""COMPUTED_VALUE"""),8)</f>
        <v>8</v>
      </c>
      <c r="I167" s="1">
        <f ca="1">IFERROR(__xludf.DUMMYFUNCTION("""COMPUTED_VALUE"""),8)</f>
        <v>8</v>
      </c>
      <c r="J167" s="1">
        <f ca="1">IFERROR(__xludf.DUMMYFUNCTION("""COMPUTED_VALUE"""),9)</f>
        <v>9</v>
      </c>
      <c r="K167" s="1">
        <f ca="1">IFERROR(__xludf.DUMMYFUNCTION("""COMPUTED_VALUE"""),5)</f>
        <v>5</v>
      </c>
      <c r="L167" s="1">
        <f ca="1">IFERROR(__xludf.DUMMYFUNCTION("""COMPUTED_VALUE"""),4)</f>
        <v>4</v>
      </c>
      <c r="M167" s="1">
        <f ca="1">IFERROR(__xludf.DUMMYFUNCTION("""COMPUTED_VALUE"""),12)</f>
        <v>12</v>
      </c>
      <c r="N167" s="1">
        <f ca="1">IFERROR(__xludf.DUMMYFUNCTION("""COMPUTED_VALUE"""),2545)</f>
        <v>2545</v>
      </c>
      <c r="O167" s="1">
        <f ca="1">IFERROR(__xludf.DUMMYFUNCTION("""COMPUTED_VALUE"""),2584)</f>
        <v>2584</v>
      </c>
      <c r="P167" s="1">
        <f ca="1">IFERROR(__xludf.DUMMYFUNCTION("""COMPUTED_VALUE"""),1375)</f>
        <v>1375</v>
      </c>
      <c r="Q167" s="1">
        <f ca="1">IFERROR(__xludf.DUMMYFUNCTION("""COMPUTED_VALUE"""),877)</f>
        <v>877</v>
      </c>
      <c r="R167" s="1">
        <f ca="1">IFERROR(__xludf.DUMMYFUNCTION("""COMPUTED_VALUE"""),2031)</f>
        <v>2031</v>
      </c>
      <c r="S167" s="1">
        <f ca="1">IFERROR(__xludf.DUMMYFUNCTION("""COMPUTED_VALUE"""),0.432)</f>
        <v>0.432</v>
      </c>
      <c r="T167" s="1">
        <f ca="1">IFERROR(__xludf.DUMMYFUNCTION("""COMPUTED_VALUE"""),217)</f>
        <v>217</v>
      </c>
      <c r="U167" s="1">
        <f ca="1">IFERROR(__xludf.DUMMYFUNCTION("""COMPUTED_VALUE"""),630)</f>
        <v>630</v>
      </c>
      <c r="V167" s="1">
        <f ca="1">IFERROR(__xludf.DUMMYFUNCTION("""COMPUTED_VALUE"""),0.344)</f>
        <v>0.34399999999999997</v>
      </c>
      <c r="W167" s="1">
        <f ca="1">IFERROR(__xludf.DUMMYFUNCTION("""COMPUTED_VALUE"""),574)</f>
        <v>574</v>
      </c>
      <c r="X167" s="1">
        <f ca="1">IFERROR(__xludf.DUMMYFUNCTION("""COMPUTED_VALUE"""),831)</f>
        <v>831</v>
      </c>
      <c r="Y167" s="1">
        <f ca="1">IFERROR(__xludf.DUMMYFUNCTION("""COMPUTED_VALUE"""),0.691)</f>
        <v>0.69099999999999995</v>
      </c>
      <c r="Z167" s="1">
        <f ca="1">IFERROR(__xludf.DUMMYFUNCTION("""COMPUTED_VALUE"""),377)</f>
        <v>377</v>
      </c>
      <c r="AA167" s="1">
        <f ca="1">IFERROR(__xludf.DUMMYFUNCTION("""COMPUTED_VALUE"""),1263)</f>
        <v>1263</v>
      </c>
      <c r="AB167" s="1">
        <f ca="1">IFERROR(__xludf.DUMMYFUNCTION("""COMPUTED_VALUE"""),399)</f>
        <v>399</v>
      </c>
      <c r="AC167" s="1">
        <f ca="1">IFERROR(__xludf.DUMMYFUNCTION("""COMPUTED_VALUE"""),219)</f>
        <v>219</v>
      </c>
      <c r="AD167" s="1">
        <f ca="1">IFERROR(__xludf.DUMMYFUNCTION("""COMPUTED_VALUE"""),105)</f>
        <v>105</v>
      </c>
      <c r="AE167" s="1">
        <f ca="1">IFERROR(__xludf.DUMMYFUNCTION("""COMPUTED_VALUE"""),479)</f>
        <v>479</v>
      </c>
      <c r="AF167" s="1">
        <f ca="1">IFERROR(__xludf.DUMMYFUNCTION("""COMPUTED_VALUE"""),620)</f>
        <v>620</v>
      </c>
    </row>
    <row r="168" spans="1:32" ht="12.5" x14ac:dyDescent="0.25">
      <c r="A168" s="1" t="str">
        <f ca="1">IFERROR(__xludf.DUMMYFUNCTION("""COMPUTED_VALUE"""),"Long Island University")</f>
        <v>Long Island University</v>
      </c>
      <c r="B168" s="1">
        <f ca="1">IFERROR(__xludf.DUMMYFUNCTION("""COMPUTED_VALUE"""),32)</f>
        <v>32</v>
      </c>
      <c r="C168" s="1">
        <f ca="1">IFERROR(__xludf.DUMMYFUNCTION("""COMPUTED_VALUE"""),16)</f>
        <v>16</v>
      </c>
      <c r="D168" s="1">
        <f ca="1">IFERROR(__xludf.DUMMYFUNCTION("""COMPUTED_VALUE"""),16)</f>
        <v>16</v>
      </c>
      <c r="E168" s="1">
        <f ca="1">IFERROR(__xludf.DUMMYFUNCTION("""COMPUTED_VALUE"""),0.5)</f>
        <v>0.5</v>
      </c>
      <c r="F168" s="1">
        <f ca="1">IFERROR(__xludf.DUMMYFUNCTION("""COMPUTED_VALUE"""),-8.99)</f>
        <v>-8.99</v>
      </c>
      <c r="G168" s="1">
        <f ca="1">IFERROR(__xludf.DUMMYFUNCTION("""COMPUTED_VALUE"""),-9.08)</f>
        <v>-9.08</v>
      </c>
      <c r="H168" s="1">
        <f ca="1">IFERROR(__xludf.DUMMYFUNCTION("""COMPUTED_VALUE"""),9)</f>
        <v>9</v>
      </c>
      <c r="I168" s="1">
        <f ca="1">IFERROR(__xludf.DUMMYFUNCTION("""COMPUTED_VALUE"""),9)</f>
        <v>9</v>
      </c>
      <c r="J168" s="1">
        <f ca="1">IFERROR(__xludf.DUMMYFUNCTION("""COMPUTED_VALUE"""),8)</f>
        <v>8</v>
      </c>
      <c r="K168" s="1">
        <f ca="1">IFERROR(__xludf.DUMMYFUNCTION("""COMPUTED_VALUE"""),5)</f>
        <v>5</v>
      </c>
      <c r="L168" s="1">
        <f ca="1">IFERROR(__xludf.DUMMYFUNCTION("""COMPUTED_VALUE"""),7)</f>
        <v>7</v>
      </c>
      <c r="M168" s="1">
        <f ca="1">IFERROR(__xludf.DUMMYFUNCTION("""COMPUTED_VALUE"""),9)</f>
        <v>9</v>
      </c>
      <c r="N168" s="1">
        <f ca="1">IFERROR(__xludf.DUMMYFUNCTION("""COMPUTED_VALUE"""),2373)</f>
        <v>2373</v>
      </c>
      <c r="O168" s="1">
        <f ca="1">IFERROR(__xludf.DUMMYFUNCTION("""COMPUTED_VALUE"""),2337)</f>
        <v>2337</v>
      </c>
      <c r="P168" s="1">
        <f ca="1">IFERROR(__xludf.DUMMYFUNCTION("""COMPUTED_VALUE"""),1285)</f>
        <v>1285</v>
      </c>
      <c r="Q168" s="1">
        <f ca="1">IFERROR(__xludf.DUMMYFUNCTION("""COMPUTED_VALUE"""),822)</f>
        <v>822</v>
      </c>
      <c r="R168" s="1">
        <f ca="1">IFERROR(__xludf.DUMMYFUNCTION("""COMPUTED_VALUE"""),1880)</f>
        <v>1880</v>
      </c>
      <c r="S168" s="1">
        <f ca="1">IFERROR(__xludf.DUMMYFUNCTION("""COMPUTED_VALUE"""),0.437)</f>
        <v>0.437</v>
      </c>
      <c r="T168" s="1">
        <f ca="1">IFERROR(__xludf.DUMMYFUNCTION("""COMPUTED_VALUE"""),277)</f>
        <v>277</v>
      </c>
      <c r="U168" s="1">
        <f ca="1">IFERROR(__xludf.DUMMYFUNCTION("""COMPUTED_VALUE"""),813)</f>
        <v>813</v>
      </c>
      <c r="V168" s="1">
        <f ca="1">IFERROR(__xludf.DUMMYFUNCTION("""COMPUTED_VALUE"""),0.341)</f>
        <v>0.34100000000000003</v>
      </c>
      <c r="W168" s="1">
        <f ca="1">IFERROR(__xludf.DUMMYFUNCTION("""COMPUTED_VALUE"""),452)</f>
        <v>452</v>
      </c>
      <c r="X168" s="1">
        <f ca="1">IFERROR(__xludf.DUMMYFUNCTION("""COMPUTED_VALUE"""),643)</f>
        <v>643</v>
      </c>
      <c r="Y168" s="1">
        <f ca="1">IFERROR(__xludf.DUMMYFUNCTION("""COMPUTED_VALUE"""),0.703)</f>
        <v>0.70299999999999996</v>
      </c>
      <c r="Z168" s="1">
        <f ca="1">IFERROR(__xludf.DUMMYFUNCTION("""COMPUTED_VALUE"""),321)</f>
        <v>321</v>
      </c>
      <c r="AA168" s="1">
        <f ca="1">IFERROR(__xludf.DUMMYFUNCTION("""COMPUTED_VALUE"""),1196)</f>
        <v>1196</v>
      </c>
      <c r="AB168" s="1">
        <f ca="1">IFERROR(__xludf.DUMMYFUNCTION("""COMPUTED_VALUE"""),430)</f>
        <v>430</v>
      </c>
      <c r="AC168" s="1">
        <f ca="1">IFERROR(__xludf.DUMMYFUNCTION("""COMPUTED_VALUE"""),218)</f>
        <v>218</v>
      </c>
      <c r="AD168" s="1">
        <f ca="1">IFERROR(__xludf.DUMMYFUNCTION("""COMPUTED_VALUE"""),157)</f>
        <v>157</v>
      </c>
      <c r="AE168" s="1">
        <f ca="1">IFERROR(__xludf.DUMMYFUNCTION("""COMPUTED_VALUE"""),471)</f>
        <v>471</v>
      </c>
      <c r="AF168" s="1">
        <f ca="1">IFERROR(__xludf.DUMMYFUNCTION("""COMPUTED_VALUE"""),610)</f>
        <v>610</v>
      </c>
    </row>
    <row r="169" spans="1:32" ht="12.5" x14ac:dyDescent="0.25">
      <c r="A169" s="1" t="str">
        <f ca="1">IFERROR(__xludf.DUMMYFUNCTION("""COMPUTED_VALUE"""),"Longwood")</f>
        <v>Longwood</v>
      </c>
      <c r="B169" s="1">
        <f ca="1">IFERROR(__xludf.DUMMYFUNCTION("""COMPUTED_VALUE"""),34)</f>
        <v>34</v>
      </c>
      <c r="C169" s="1">
        <f ca="1">IFERROR(__xludf.DUMMYFUNCTION("""COMPUTED_VALUE"""),16)</f>
        <v>16</v>
      </c>
      <c r="D169" s="1">
        <f ca="1">IFERROR(__xludf.DUMMYFUNCTION("""COMPUTED_VALUE"""),18)</f>
        <v>18</v>
      </c>
      <c r="E169" s="1">
        <f ca="1">IFERROR(__xludf.DUMMYFUNCTION("""COMPUTED_VALUE"""),0.471)</f>
        <v>0.47099999999999997</v>
      </c>
      <c r="F169" s="1">
        <f ca="1">IFERROR(__xludf.DUMMYFUNCTION("""COMPUTED_VALUE"""),-8.43)</f>
        <v>-8.43</v>
      </c>
      <c r="G169" s="1">
        <f ca="1">IFERROR(__xludf.DUMMYFUNCTION("""COMPUTED_VALUE"""),-6.62)</f>
        <v>-6.62</v>
      </c>
      <c r="H169" s="1">
        <f ca="1">IFERROR(__xludf.DUMMYFUNCTION("""COMPUTED_VALUE"""),5)</f>
        <v>5</v>
      </c>
      <c r="I169" s="1">
        <f ca="1">IFERROR(__xludf.DUMMYFUNCTION("""COMPUTED_VALUE"""),11)</f>
        <v>11</v>
      </c>
      <c r="J169" s="1">
        <f ca="1">IFERROR(__xludf.DUMMYFUNCTION("""COMPUTED_VALUE"""),10)</f>
        <v>10</v>
      </c>
      <c r="K169" s="1">
        <f ca="1">IFERROR(__xludf.DUMMYFUNCTION("""COMPUTED_VALUE"""),5)</f>
        <v>5</v>
      </c>
      <c r="L169" s="1">
        <f ca="1">IFERROR(__xludf.DUMMYFUNCTION("""COMPUTED_VALUE"""),5)</f>
        <v>5</v>
      </c>
      <c r="M169" s="1">
        <f ca="1">IFERROR(__xludf.DUMMYFUNCTION("""COMPUTED_VALUE"""),12)</f>
        <v>12</v>
      </c>
      <c r="N169" s="1">
        <f ca="1">IFERROR(__xludf.DUMMYFUNCTION("""COMPUTED_VALUE"""),2407)</f>
        <v>2407</v>
      </c>
      <c r="O169" s="1">
        <f ca="1">IFERROR(__xludf.DUMMYFUNCTION("""COMPUTED_VALUE"""),2408)</f>
        <v>2408</v>
      </c>
      <c r="P169" s="1">
        <f ca="1">IFERROR(__xludf.DUMMYFUNCTION("""COMPUTED_VALUE"""),1375)</f>
        <v>1375</v>
      </c>
      <c r="Q169" s="1">
        <f ca="1">IFERROR(__xludf.DUMMYFUNCTION("""COMPUTED_VALUE"""),803)</f>
        <v>803</v>
      </c>
      <c r="R169" s="1">
        <f ca="1">IFERROR(__xludf.DUMMYFUNCTION("""COMPUTED_VALUE"""),1875)</f>
        <v>1875</v>
      </c>
      <c r="S169" s="1">
        <f ca="1">IFERROR(__xludf.DUMMYFUNCTION("""COMPUTED_VALUE"""),0.428)</f>
        <v>0.42799999999999999</v>
      </c>
      <c r="T169" s="1">
        <f ca="1">IFERROR(__xludf.DUMMYFUNCTION("""COMPUTED_VALUE"""),333)</f>
        <v>333</v>
      </c>
      <c r="U169" s="1">
        <f ca="1">IFERROR(__xludf.DUMMYFUNCTION("""COMPUTED_VALUE"""),939)</f>
        <v>939</v>
      </c>
      <c r="V169" s="1">
        <f ca="1">IFERROR(__xludf.DUMMYFUNCTION("""COMPUTED_VALUE"""),0.355)</f>
        <v>0.35499999999999998</v>
      </c>
      <c r="W169" s="1">
        <f ca="1">IFERROR(__xludf.DUMMYFUNCTION("""COMPUTED_VALUE"""),468)</f>
        <v>468</v>
      </c>
      <c r="X169" s="1">
        <f ca="1">IFERROR(__xludf.DUMMYFUNCTION("""COMPUTED_VALUE"""),639)</f>
        <v>639</v>
      </c>
      <c r="Y169" s="1">
        <f ca="1">IFERROR(__xludf.DUMMYFUNCTION("""COMPUTED_VALUE"""),0.732)</f>
        <v>0.73199999999999998</v>
      </c>
      <c r="Z169" s="1">
        <f ca="1">IFERROR(__xludf.DUMMYFUNCTION("""COMPUTED_VALUE"""),284)</f>
        <v>284</v>
      </c>
      <c r="AA169" s="1">
        <f ca="1">IFERROR(__xludf.DUMMYFUNCTION("""COMPUTED_VALUE"""),1194)</f>
        <v>1194</v>
      </c>
      <c r="AB169" s="1">
        <f ca="1">IFERROR(__xludf.DUMMYFUNCTION("""COMPUTED_VALUE"""),401)</f>
        <v>401</v>
      </c>
      <c r="AC169" s="1">
        <f ca="1">IFERROR(__xludf.DUMMYFUNCTION("""COMPUTED_VALUE"""),210)</f>
        <v>210</v>
      </c>
      <c r="AD169" s="1">
        <f ca="1">IFERROR(__xludf.DUMMYFUNCTION("""COMPUTED_VALUE"""),71)</f>
        <v>71</v>
      </c>
      <c r="AE169" s="1">
        <f ca="1">IFERROR(__xludf.DUMMYFUNCTION("""COMPUTED_VALUE"""),477)</f>
        <v>477</v>
      </c>
      <c r="AF169" s="1">
        <f ca="1">IFERROR(__xludf.DUMMYFUNCTION("""COMPUTED_VALUE"""),624)</f>
        <v>624</v>
      </c>
    </row>
    <row r="170" spans="1:32" ht="12.5" x14ac:dyDescent="0.25">
      <c r="A170" s="1" t="str">
        <f ca="1">IFERROR(__xludf.DUMMYFUNCTION("""COMPUTED_VALUE"""),"Louisiana")</f>
        <v>Louisiana</v>
      </c>
      <c r="B170" s="1">
        <f ca="1">IFERROR(__xludf.DUMMYFUNCTION("""COMPUTED_VALUE"""),32)</f>
        <v>32</v>
      </c>
      <c r="C170" s="1">
        <f ca="1">IFERROR(__xludf.DUMMYFUNCTION("""COMPUTED_VALUE"""),19)</f>
        <v>19</v>
      </c>
      <c r="D170" s="1">
        <f ca="1">IFERROR(__xludf.DUMMYFUNCTION("""COMPUTED_VALUE"""),13)</f>
        <v>13</v>
      </c>
      <c r="E170" s="1">
        <f ca="1">IFERROR(__xludf.DUMMYFUNCTION("""COMPUTED_VALUE"""),0.594)</f>
        <v>0.59399999999999997</v>
      </c>
      <c r="F170" s="1">
        <f ca="1">IFERROR(__xludf.DUMMYFUNCTION("""COMPUTED_VALUE"""),-2.07)</f>
        <v>-2.0699999999999998</v>
      </c>
      <c r="G170" s="1">
        <f ca="1">IFERROR(__xludf.DUMMYFUNCTION("""COMPUTED_VALUE"""),-1.51)</f>
        <v>-1.51</v>
      </c>
      <c r="H170" s="1">
        <f ca="1">IFERROR(__xludf.DUMMYFUNCTION("""COMPUTED_VALUE"""),10)</f>
        <v>10</v>
      </c>
      <c r="I170" s="1">
        <f ca="1">IFERROR(__xludf.DUMMYFUNCTION("""COMPUTED_VALUE"""),8)</f>
        <v>8</v>
      </c>
      <c r="J170" s="1">
        <f ca="1">IFERROR(__xludf.DUMMYFUNCTION("""COMPUTED_VALUE"""),10)</f>
        <v>10</v>
      </c>
      <c r="K170" s="1">
        <f ca="1">IFERROR(__xludf.DUMMYFUNCTION("""COMPUTED_VALUE"""),4)</f>
        <v>4</v>
      </c>
      <c r="L170" s="1">
        <f ca="1">IFERROR(__xludf.DUMMYFUNCTION("""COMPUTED_VALUE"""),7)</f>
        <v>7</v>
      </c>
      <c r="M170" s="1">
        <f ca="1">IFERROR(__xludf.DUMMYFUNCTION("""COMPUTED_VALUE"""),7)</f>
        <v>7</v>
      </c>
      <c r="N170" s="1">
        <f ca="1">IFERROR(__xludf.DUMMYFUNCTION("""COMPUTED_VALUE"""),2612)</f>
        <v>2612</v>
      </c>
      <c r="O170" s="1">
        <f ca="1">IFERROR(__xludf.DUMMYFUNCTION("""COMPUTED_VALUE"""),2575)</f>
        <v>2575</v>
      </c>
      <c r="P170" s="1">
        <f ca="1">IFERROR(__xludf.DUMMYFUNCTION("""COMPUTED_VALUE"""),1290)</f>
        <v>1290</v>
      </c>
      <c r="Q170" s="1">
        <f ca="1">IFERROR(__xludf.DUMMYFUNCTION("""COMPUTED_VALUE"""),901)</f>
        <v>901</v>
      </c>
      <c r="R170" s="1">
        <f ca="1">IFERROR(__xludf.DUMMYFUNCTION("""COMPUTED_VALUE"""),2026)</f>
        <v>2026</v>
      </c>
      <c r="S170" s="1">
        <f ca="1">IFERROR(__xludf.DUMMYFUNCTION("""COMPUTED_VALUE"""),0.445)</f>
        <v>0.44500000000000001</v>
      </c>
      <c r="T170" s="1">
        <f ca="1">IFERROR(__xludf.DUMMYFUNCTION("""COMPUTED_VALUE"""),283)</f>
        <v>283</v>
      </c>
      <c r="U170" s="1">
        <f ca="1">IFERROR(__xludf.DUMMYFUNCTION("""COMPUTED_VALUE"""),821)</f>
        <v>821</v>
      </c>
      <c r="V170" s="1">
        <f ca="1">IFERROR(__xludf.DUMMYFUNCTION("""COMPUTED_VALUE"""),0.345)</f>
        <v>0.34499999999999997</v>
      </c>
      <c r="W170" s="1">
        <f ca="1">IFERROR(__xludf.DUMMYFUNCTION("""COMPUTED_VALUE"""),527)</f>
        <v>527</v>
      </c>
      <c r="X170" s="1">
        <f ca="1">IFERROR(__xludf.DUMMYFUNCTION("""COMPUTED_VALUE"""),710)</f>
        <v>710</v>
      </c>
      <c r="Y170" s="1">
        <f ca="1">IFERROR(__xludf.DUMMYFUNCTION("""COMPUTED_VALUE"""),0.742)</f>
        <v>0.74199999999999999</v>
      </c>
      <c r="Z170" s="1">
        <f ca="1">IFERROR(__xludf.DUMMYFUNCTION("""COMPUTED_VALUE"""),364)</f>
        <v>364</v>
      </c>
      <c r="AA170" s="1">
        <f ca="1">IFERROR(__xludf.DUMMYFUNCTION("""COMPUTED_VALUE"""),1142)</f>
        <v>1142</v>
      </c>
      <c r="AB170" s="1">
        <f ca="1">IFERROR(__xludf.DUMMYFUNCTION("""COMPUTED_VALUE"""),487)</f>
        <v>487</v>
      </c>
      <c r="AC170" s="1">
        <f ca="1">IFERROR(__xludf.DUMMYFUNCTION("""COMPUTED_VALUE"""),226)</f>
        <v>226</v>
      </c>
      <c r="AD170" s="1">
        <f ca="1">IFERROR(__xludf.DUMMYFUNCTION("""COMPUTED_VALUE"""),125)</f>
        <v>125</v>
      </c>
      <c r="AE170" s="1">
        <f ca="1">IFERROR(__xludf.DUMMYFUNCTION("""COMPUTED_VALUE"""),423)</f>
        <v>423</v>
      </c>
      <c r="AF170" s="1">
        <f ca="1">IFERROR(__xludf.DUMMYFUNCTION("""COMPUTED_VALUE"""),612)</f>
        <v>612</v>
      </c>
    </row>
    <row r="171" spans="1:32" ht="12.5" x14ac:dyDescent="0.25">
      <c r="A171" s="1" t="str">
        <f ca="1">IFERROR(__xludf.DUMMYFUNCTION("""COMPUTED_VALUE"""),"Louisiana-Monroe")</f>
        <v>Louisiana-Monroe</v>
      </c>
      <c r="B171" s="1">
        <f ca="1">IFERROR(__xludf.DUMMYFUNCTION("""COMPUTED_VALUE"""),35)</f>
        <v>35</v>
      </c>
      <c r="C171" s="1">
        <f ca="1">IFERROR(__xludf.DUMMYFUNCTION("""COMPUTED_VALUE"""),19)</f>
        <v>19</v>
      </c>
      <c r="D171" s="1">
        <f ca="1">IFERROR(__xludf.DUMMYFUNCTION("""COMPUTED_VALUE"""),16)</f>
        <v>16</v>
      </c>
      <c r="E171" s="1">
        <f ca="1">IFERROR(__xludf.DUMMYFUNCTION("""COMPUTED_VALUE"""),0.543)</f>
        <v>0.54300000000000004</v>
      </c>
      <c r="F171" s="1">
        <f ca="1">IFERROR(__xludf.DUMMYFUNCTION("""COMPUTED_VALUE"""),0.81)</f>
        <v>0.81</v>
      </c>
      <c r="G171" s="1">
        <f ca="1">IFERROR(__xludf.DUMMYFUNCTION("""COMPUTED_VALUE"""),-1.96)</f>
        <v>-1.96</v>
      </c>
      <c r="H171" s="1">
        <f ca="1">IFERROR(__xludf.DUMMYFUNCTION("""COMPUTED_VALUE"""),9)</f>
        <v>9</v>
      </c>
      <c r="I171" s="1">
        <f ca="1">IFERROR(__xludf.DUMMYFUNCTION("""COMPUTED_VALUE"""),9)</f>
        <v>9</v>
      </c>
      <c r="J171" s="1">
        <f ca="1">IFERROR(__xludf.DUMMYFUNCTION("""COMPUTED_VALUE"""),14)</f>
        <v>14</v>
      </c>
      <c r="K171" s="1">
        <f ca="1">IFERROR(__xludf.DUMMYFUNCTION("""COMPUTED_VALUE"""),3)</f>
        <v>3</v>
      </c>
      <c r="L171" s="1">
        <f ca="1">IFERROR(__xludf.DUMMYFUNCTION("""COMPUTED_VALUE"""),4)</f>
        <v>4</v>
      </c>
      <c r="M171" s="1">
        <f ca="1">IFERROR(__xludf.DUMMYFUNCTION("""COMPUTED_VALUE"""),12)</f>
        <v>12</v>
      </c>
      <c r="N171" s="1">
        <f ca="1">IFERROR(__xludf.DUMMYFUNCTION("""COMPUTED_VALUE"""),2773)</f>
        <v>2773</v>
      </c>
      <c r="O171" s="1">
        <f ca="1">IFERROR(__xludf.DUMMYFUNCTION("""COMPUTED_VALUE"""),2637)</f>
        <v>2637</v>
      </c>
      <c r="P171" s="1">
        <f ca="1">IFERROR(__xludf.DUMMYFUNCTION("""COMPUTED_VALUE"""),1425)</f>
        <v>1425</v>
      </c>
      <c r="Q171" s="1">
        <f ca="1">IFERROR(__xludf.DUMMYFUNCTION("""COMPUTED_VALUE"""),922)</f>
        <v>922</v>
      </c>
      <c r="R171" s="1">
        <f ca="1">IFERROR(__xludf.DUMMYFUNCTION("""COMPUTED_VALUE"""),2029)</f>
        <v>2029</v>
      </c>
      <c r="S171" s="1">
        <f ca="1">IFERROR(__xludf.DUMMYFUNCTION("""COMPUTED_VALUE"""),0.454)</f>
        <v>0.45400000000000001</v>
      </c>
      <c r="T171" s="1">
        <f ca="1">IFERROR(__xludf.DUMMYFUNCTION("""COMPUTED_VALUE"""),353)</f>
        <v>353</v>
      </c>
      <c r="U171" s="1">
        <f ca="1">IFERROR(__xludf.DUMMYFUNCTION("""COMPUTED_VALUE"""),891)</f>
        <v>891</v>
      </c>
      <c r="V171" s="1">
        <f ca="1">IFERROR(__xludf.DUMMYFUNCTION("""COMPUTED_VALUE"""),0.396)</f>
        <v>0.39600000000000002</v>
      </c>
      <c r="W171" s="1">
        <f ca="1">IFERROR(__xludf.DUMMYFUNCTION("""COMPUTED_VALUE"""),576)</f>
        <v>576</v>
      </c>
      <c r="X171" s="1">
        <f ca="1">IFERROR(__xludf.DUMMYFUNCTION("""COMPUTED_VALUE"""),737)</f>
        <v>737</v>
      </c>
      <c r="Y171" s="1">
        <f ca="1">IFERROR(__xludf.DUMMYFUNCTION("""COMPUTED_VALUE"""),0.782)</f>
        <v>0.78200000000000003</v>
      </c>
      <c r="Z171" s="1">
        <f ca="1">IFERROR(__xludf.DUMMYFUNCTION("""COMPUTED_VALUE"""),317)</f>
        <v>317</v>
      </c>
      <c r="AA171" s="1">
        <f ca="1">IFERROR(__xludf.DUMMYFUNCTION("""COMPUTED_VALUE"""),1176)</f>
        <v>1176</v>
      </c>
      <c r="AB171" s="1">
        <f ca="1">IFERROR(__xludf.DUMMYFUNCTION("""COMPUTED_VALUE"""),498)</f>
        <v>498</v>
      </c>
      <c r="AC171" s="1">
        <f ca="1">IFERROR(__xludf.DUMMYFUNCTION("""COMPUTED_VALUE"""),206)</f>
        <v>206</v>
      </c>
      <c r="AD171" s="1">
        <f ca="1">IFERROR(__xludf.DUMMYFUNCTION("""COMPUTED_VALUE"""),78)</f>
        <v>78</v>
      </c>
      <c r="AE171" s="1">
        <f ca="1">IFERROR(__xludf.DUMMYFUNCTION("""COMPUTED_VALUE"""),398)</f>
        <v>398</v>
      </c>
      <c r="AF171" s="1">
        <f ca="1">IFERROR(__xludf.DUMMYFUNCTION("""COMPUTED_VALUE"""),545)</f>
        <v>545</v>
      </c>
    </row>
    <row r="172" spans="1:32" ht="12.5" x14ac:dyDescent="0.25">
      <c r="A172" s="1" t="str">
        <f ca="1">IFERROR(__xludf.DUMMYFUNCTION("""COMPUTED_VALUE"""),"Louisiana State")</f>
        <v>Louisiana State</v>
      </c>
      <c r="B172" s="1">
        <f ca="1">IFERROR(__xludf.DUMMYFUNCTION("""COMPUTED_VALUE"""),35)</f>
        <v>35</v>
      </c>
      <c r="C172" s="1">
        <f ca="1">IFERROR(__xludf.DUMMYFUNCTION("""COMPUTED_VALUE"""),28)</f>
        <v>28</v>
      </c>
      <c r="D172" s="1">
        <f ca="1">IFERROR(__xludf.DUMMYFUNCTION("""COMPUTED_VALUE"""),7)</f>
        <v>7</v>
      </c>
      <c r="E172" s="1">
        <f ca="1">IFERROR(__xludf.DUMMYFUNCTION("""COMPUTED_VALUE"""),0.8)</f>
        <v>0.8</v>
      </c>
      <c r="F172" s="1">
        <f ca="1">IFERROR(__xludf.DUMMYFUNCTION("""COMPUTED_VALUE"""),16.5)</f>
        <v>16.5</v>
      </c>
      <c r="G172" s="1">
        <f ca="1">IFERROR(__xludf.DUMMYFUNCTION("""COMPUTED_VALUE"""),9.16)</f>
        <v>9.16</v>
      </c>
      <c r="H172" s="1">
        <f ca="1">IFERROR(__xludf.DUMMYFUNCTION("""COMPUTED_VALUE"""),16)</f>
        <v>16</v>
      </c>
      <c r="I172" s="1">
        <f ca="1">IFERROR(__xludf.DUMMYFUNCTION("""COMPUTED_VALUE"""),2)</f>
        <v>2</v>
      </c>
      <c r="J172" s="1">
        <f ca="1">IFERROR(__xludf.DUMMYFUNCTION("""COMPUTED_VALUE"""),15)</f>
        <v>15</v>
      </c>
      <c r="K172" s="1">
        <f ca="1">IFERROR(__xludf.DUMMYFUNCTION("""COMPUTED_VALUE"""),2)</f>
        <v>2</v>
      </c>
      <c r="L172" s="1">
        <f ca="1">IFERROR(__xludf.DUMMYFUNCTION("""COMPUTED_VALUE"""),9)</f>
        <v>9</v>
      </c>
      <c r="M172" s="1">
        <f ca="1">IFERROR(__xludf.DUMMYFUNCTION("""COMPUTED_VALUE"""),1)</f>
        <v>1</v>
      </c>
      <c r="N172" s="1">
        <f ca="1">IFERROR(__xludf.DUMMYFUNCTION("""COMPUTED_VALUE"""),2815)</f>
        <v>2815</v>
      </c>
      <c r="O172" s="1">
        <f ca="1">IFERROR(__xludf.DUMMYFUNCTION("""COMPUTED_VALUE"""),2558)</f>
        <v>2558</v>
      </c>
      <c r="P172" s="1">
        <f ca="1">IFERROR(__xludf.DUMMYFUNCTION("""COMPUTED_VALUE"""),1435)</f>
        <v>1435</v>
      </c>
      <c r="Q172" s="1">
        <f ca="1">IFERROR(__xludf.DUMMYFUNCTION("""COMPUTED_VALUE"""),988)</f>
        <v>988</v>
      </c>
      <c r="R172" s="1">
        <f ca="1">IFERROR(__xludf.DUMMYFUNCTION("""COMPUTED_VALUE"""),2162)</f>
        <v>2162</v>
      </c>
      <c r="S172" s="1">
        <f ca="1">IFERROR(__xludf.DUMMYFUNCTION("""COMPUTED_VALUE"""),0.457)</f>
        <v>0.45700000000000002</v>
      </c>
      <c r="T172" s="1">
        <f ca="1">IFERROR(__xludf.DUMMYFUNCTION("""COMPUTED_VALUE"""),236)</f>
        <v>236</v>
      </c>
      <c r="U172" s="1">
        <f ca="1">IFERROR(__xludf.DUMMYFUNCTION("""COMPUTED_VALUE"""),740)</f>
        <v>740</v>
      </c>
      <c r="V172" s="1">
        <f ca="1">IFERROR(__xludf.DUMMYFUNCTION("""COMPUTED_VALUE"""),0.319)</f>
        <v>0.31900000000000001</v>
      </c>
      <c r="W172" s="1">
        <f ca="1">IFERROR(__xludf.DUMMYFUNCTION("""COMPUTED_VALUE"""),603)</f>
        <v>603</v>
      </c>
      <c r="X172" s="1">
        <f ca="1">IFERROR(__xludf.DUMMYFUNCTION("""COMPUTED_VALUE"""),802)</f>
        <v>802</v>
      </c>
      <c r="Y172" s="1">
        <f ca="1">IFERROR(__xludf.DUMMYFUNCTION("""COMPUTED_VALUE"""),0.752)</f>
        <v>0.752</v>
      </c>
      <c r="Z172" s="1">
        <f ca="1">IFERROR(__xludf.DUMMYFUNCTION("""COMPUTED_VALUE"""),460)</f>
        <v>460</v>
      </c>
      <c r="AA172" s="1">
        <f ca="1">IFERROR(__xludf.DUMMYFUNCTION("""COMPUTED_VALUE"""),1355)</f>
        <v>1355</v>
      </c>
      <c r="AB172" s="1">
        <f ca="1">IFERROR(__xludf.DUMMYFUNCTION("""COMPUTED_VALUE"""),452)</f>
        <v>452</v>
      </c>
      <c r="AC172" s="1">
        <f ca="1">IFERROR(__xludf.DUMMYFUNCTION("""COMPUTED_VALUE"""),308)</f>
        <v>308</v>
      </c>
      <c r="AD172" s="1">
        <f ca="1">IFERROR(__xludf.DUMMYFUNCTION("""COMPUTED_VALUE"""),148)</f>
        <v>148</v>
      </c>
      <c r="AE172" s="1">
        <f ca="1">IFERROR(__xludf.DUMMYFUNCTION("""COMPUTED_VALUE"""),452)</f>
        <v>452</v>
      </c>
      <c r="AF172" s="1">
        <f ca="1">IFERROR(__xludf.DUMMYFUNCTION("""COMPUTED_VALUE"""),634)</f>
        <v>634</v>
      </c>
    </row>
    <row r="173" spans="1:32" ht="12.5" x14ac:dyDescent="0.25">
      <c r="A173" s="1" t="str">
        <f ca="1">IFERROR(__xludf.DUMMYFUNCTION("""COMPUTED_VALUE"""),"Louisiana Tech")</f>
        <v>Louisiana Tech</v>
      </c>
      <c r="B173" s="1">
        <f ca="1">IFERROR(__xludf.DUMMYFUNCTION("""COMPUTED_VALUE"""),33)</f>
        <v>33</v>
      </c>
      <c r="C173" s="1">
        <f ca="1">IFERROR(__xludf.DUMMYFUNCTION("""COMPUTED_VALUE"""),20)</f>
        <v>20</v>
      </c>
      <c r="D173" s="1">
        <f ca="1">IFERROR(__xludf.DUMMYFUNCTION("""COMPUTED_VALUE"""),13)</f>
        <v>13</v>
      </c>
      <c r="E173" s="1">
        <f ca="1">IFERROR(__xludf.DUMMYFUNCTION("""COMPUTED_VALUE"""),0.606)</f>
        <v>0.60599999999999998</v>
      </c>
      <c r="F173" s="1">
        <f ca="1">IFERROR(__xludf.DUMMYFUNCTION("""COMPUTED_VALUE"""),0.95)</f>
        <v>0.95</v>
      </c>
      <c r="G173" s="1">
        <f ca="1">IFERROR(__xludf.DUMMYFUNCTION("""COMPUTED_VALUE"""),-2.31)</f>
        <v>-2.31</v>
      </c>
      <c r="H173" s="1">
        <f ca="1">IFERROR(__xludf.DUMMYFUNCTION("""COMPUTED_VALUE"""),9)</f>
        <v>9</v>
      </c>
      <c r="I173" s="1">
        <f ca="1">IFERROR(__xludf.DUMMYFUNCTION("""COMPUTED_VALUE"""),9)</f>
        <v>9</v>
      </c>
      <c r="J173" s="1">
        <f ca="1">IFERROR(__xludf.DUMMYFUNCTION("""COMPUTED_VALUE"""),15)</f>
        <v>15</v>
      </c>
      <c r="K173" s="1">
        <f ca="1">IFERROR(__xludf.DUMMYFUNCTION("""COMPUTED_VALUE"""),1)</f>
        <v>1</v>
      </c>
      <c r="L173" s="1">
        <f ca="1">IFERROR(__xludf.DUMMYFUNCTION("""COMPUTED_VALUE"""),4)</f>
        <v>4</v>
      </c>
      <c r="M173" s="1">
        <f ca="1">IFERROR(__xludf.DUMMYFUNCTION("""COMPUTED_VALUE"""),10)</f>
        <v>10</v>
      </c>
      <c r="N173" s="1">
        <f ca="1">IFERROR(__xludf.DUMMYFUNCTION("""COMPUTED_VALUE"""),2386)</f>
        <v>2386</v>
      </c>
      <c r="O173" s="1">
        <f ca="1">IFERROR(__xludf.DUMMYFUNCTION("""COMPUTED_VALUE"""),2235)</f>
        <v>2235</v>
      </c>
      <c r="P173" s="1">
        <f ca="1">IFERROR(__xludf.DUMMYFUNCTION("""COMPUTED_VALUE"""),1335)</f>
        <v>1335</v>
      </c>
      <c r="Q173" s="1">
        <f ca="1">IFERROR(__xludf.DUMMYFUNCTION("""COMPUTED_VALUE"""),840)</f>
        <v>840</v>
      </c>
      <c r="R173" s="1">
        <f ca="1">IFERROR(__xludf.DUMMYFUNCTION("""COMPUTED_VALUE"""),1928)</f>
        <v>1928</v>
      </c>
      <c r="S173" s="1">
        <f ca="1">IFERROR(__xludf.DUMMYFUNCTION("""COMPUTED_VALUE"""),0.436)</f>
        <v>0.436</v>
      </c>
      <c r="T173" s="1">
        <f ca="1">IFERROR(__xludf.DUMMYFUNCTION("""COMPUTED_VALUE"""),253)</f>
        <v>253</v>
      </c>
      <c r="U173" s="1">
        <f ca="1">IFERROR(__xludf.DUMMYFUNCTION("""COMPUTED_VALUE"""),756)</f>
        <v>756</v>
      </c>
      <c r="V173" s="1">
        <f ca="1">IFERROR(__xludf.DUMMYFUNCTION("""COMPUTED_VALUE"""),0.335)</f>
        <v>0.33500000000000002</v>
      </c>
      <c r="W173" s="1">
        <f ca="1">IFERROR(__xludf.DUMMYFUNCTION("""COMPUTED_VALUE"""),453)</f>
        <v>453</v>
      </c>
      <c r="X173" s="1">
        <f ca="1">IFERROR(__xludf.DUMMYFUNCTION("""COMPUTED_VALUE"""),690)</f>
        <v>690</v>
      </c>
      <c r="Y173" s="1">
        <f ca="1">IFERROR(__xludf.DUMMYFUNCTION("""COMPUTED_VALUE"""),0.657)</f>
        <v>0.65700000000000003</v>
      </c>
      <c r="Z173" s="1">
        <f ca="1">IFERROR(__xludf.DUMMYFUNCTION("""COMPUTED_VALUE"""),368)</f>
        <v>368</v>
      </c>
      <c r="AA173" s="1">
        <f ca="1">IFERROR(__xludf.DUMMYFUNCTION("""COMPUTED_VALUE"""),1204)</f>
        <v>1204</v>
      </c>
      <c r="AB173" s="1">
        <f ca="1">IFERROR(__xludf.DUMMYFUNCTION("""COMPUTED_VALUE"""),440)</f>
        <v>440</v>
      </c>
      <c r="AC173" s="1">
        <f ca="1">IFERROR(__xludf.DUMMYFUNCTION("""COMPUTED_VALUE"""),190)</f>
        <v>190</v>
      </c>
      <c r="AD173" s="1">
        <f ca="1">IFERROR(__xludf.DUMMYFUNCTION("""COMPUTED_VALUE"""),115)</f>
        <v>115</v>
      </c>
      <c r="AE173" s="1">
        <f ca="1">IFERROR(__xludf.DUMMYFUNCTION("""COMPUTED_VALUE"""),386)</f>
        <v>386</v>
      </c>
      <c r="AF173" s="1">
        <f ca="1">IFERROR(__xludf.DUMMYFUNCTION("""COMPUTED_VALUE"""),535)</f>
        <v>535</v>
      </c>
    </row>
    <row r="174" spans="1:32" ht="12.5" x14ac:dyDescent="0.25">
      <c r="A174" s="1" t="str">
        <f ca="1">IFERROR(__xludf.DUMMYFUNCTION("""COMPUTED_VALUE"""),"Louisville")</f>
        <v>Louisville</v>
      </c>
      <c r="B174" s="1">
        <f ca="1">IFERROR(__xludf.DUMMYFUNCTION("""COMPUTED_VALUE"""),34)</f>
        <v>34</v>
      </c>
      <c r="C174" s="1">
        <f ca="1">IFERROR(__xludf.DUMMYFUNCTION("""COMPUTED_VALUE"""),20)</f>
        <v>20</v>
      </c>
      <c r="D174" s="1">
        <f ca="1">IFERROR(__xludf.DUMMYFUNCTION("""COMPUTED_VALUE"""),14)</f>
        <v>14</v>
      </c>
      <c r="E174" s="1">
        <f ca="1">IFERROR(__xludf.DUMMYFUNCTION("""COMPUTED_VALUE"""),0.588)</f>
        <v>0.58799999999999997</v>
      </c>
      <c r="F174" s="1">
        <f ca="1">IFERROR(__xludf.DUMMYFUNCTION("""COMPUTED_VALUE"""),17.28)</f>
        <v>17.28</v>
      </c>
      <c r="G174" s="1">
        <f ca="1">IFERROR(__xludf.DUMMYFUNCTION("""COMPUTED_VALUE"""),11.04)</f>
        <v>11.04</v>
      </c>
      <c r="H174" s="1">
        <f ca="1">IFERROR(__xludf.DUMMYFUNCTION("""COMPUTED_VALUE"""),10)</f>
        <v>10</v>
      </c>
      <c r="I174" s="1">
        <f ca="1">IFERROR(__xludf.DUMMYFUNCTION("""COMPUTED_VALUE"""),8)</f>
        <v>8</v>
      </c>
      <c r="J174" s="1">
        <f ca="1">IFERROR(__xludf.DUMMYFUNCTION("""COMPUTED_VALUE"""),14)</f>
        <v>14</v>
      </c>
      <c r="K174" s="1">
        <f ca="1">IFERROR(__xludf.DUMMYFUNCTION("""COMPUTED_VALUE"""),4)</f>
        <v>4</v>
      </c>
      <c r="L174" s="1">
        <f ca="1">IFERROR(__xludf.DUMMYFUNCTION("""COMPUTED_VALUE"""),5)</f>
        <v>5</v>
      </c>
      <c r="M174" s="1">
        <f ca="1">IFERROR(__xludf.DUMMYFUNCTION("""COMPUTED_VALUE"""),6)</f>
        <v>6</v>
      </c>
      <c r="N174" s="1">
        <f ca="1">IFERROR(__xludf.DUMMYFUNCTION("""COMPUTED_VALUE"""),2536)</f>
        <v>2536</v>
      </c>
      <c r="O174" s="1">
        <f ca="1">IFERROR(__xludf.DUMMYFUNCTION("""COMPUTED_VALUE"""),2324)</f>
        <v>2324</v>
      </c>
      <c r="P174" s="1">
        <f ca="1">IFERROR(__xludf.DUMMYFUNCTION("""COMPUTED_VALUE"""),1380)</f>
        <v>1380</v>
      </c>
      <c r="Q174" s="1">
        <f ca="1">IFERROR(__xludf.DUMMYFUNCTION("""COMPUTED_VALUE"""),854)</f>
        <v>854</v>
      </c>
      <c r="R174" s="1">
        <f ca="1">IFERROR(__xludf.DUMMYFUNCTION("""COMPUTED_VALUE"""),1967)</f>
        <v>1967</v>
      </c>
      <c r="S174" s="1">
        <f ca="1">IFERROR(__xludf.DUMMYFUNCTION("""COMPUTED_VALUE"""),0.434)</f>
        <v>0.434</v>
      </c>
      <c r="T174" s="1">
        <f ca="1">IFERROR(__xludf.DUMMYFUNCTION("""COMPUTED_VALUE"""),294)</f>
        <v>294</v>
      </c>
      <c r="U174" s="1">
        <f ca="1">IFERROR(__xludf.DUMMYFUNCTION("""COMPUTED_VALUE"""),860)</f>
        <v>860</v>
      </c>
      <c r="V174" s="1">
        <f ca="1">IFERROR(__xludf.DUMMYFUNCTION("""COMPUTED_VALUE"""),0.342)</f>
        <v>0.34200000000000003</v>
      </c>
      <c r="W174" s="1">
        <f ca="1">IFERROR(__xludf.DUMMYFUNCTION("""COMPUTED_VALUE"""),534)</f>
        <v>534</v>
      </c>
      <c r="X174" s="1">
        <f ca="1">IFERROR(__xludf.DUMMYFUNCTION("""COMPUTED_VALUE"""),687)</f>
        <v>687</v>
      </c>
      <c r="Y174" s="1">
        <f ca="1">IFERROR(__xludf.DUMMYFUNCTION("""COMPUTED_VALUE"""),0.777)</f>
        <v>0.77700000000000002</v>
      </c>
      <c r="Z174" s="1">
        <f ca="1">IFERROR(__xludf.DUMMYFUNCTION("""COMPUTED_VALUE"""),345)</f>
        <v>345</v>
      </c>
      <c r="AA174" s="1">
        <f ca="1">IFERROR(__xludf.DUMMYFUNCTION("""COMPUTED_VALUE"""),1297)</f>
        <v>1297</v>
      </c>
      <c r="AB174" s="1">
        <f ca="1">IFERROR(__xludf.DUMMYFUNCTION("""COMPUTED_VALUE"""),458)</f>
        <v>458</v>
      </c>
      <c r="AC174" s="1">
        <f ca="1">IFERROR(__xludf.DUMMYFUNCTION("""COMPUTED_VALUE"""),149)</f>
        <v>149</v>
      </c>
      <c r="AD174" s="1">
        <f ca="1">IFERROR(__xludf.DUMMYFUNCTION("""COMPUTED_VALUE"""),99)</f>
        <v>99</v>
      </c>
      <c r="AE174" s="1">
        <f ca="1">IFERROR(__xludf.DUMMYFUNCTION("""COMPUTED_VALUE"""),412)</f>
        <v>412</v>
      </c>
      <c r="AF174" s="1">
        <f ca="1">IFERROR(__xludf.DUMMYFUNCTION("""COMPUTED_VALUE"""),591)</f>
        <v>591</v>
      </c>
    </row>
    <row r="175" spans="1:32" ht="12.5" x14ac:dyDescent="0.25">
      <c r="A175" s="1" t="str">
        <f ca="1">IFERROR(__xludf.DUMMYFUNCTION("""COMPUTED_VALUE"""),"Loyola (IL)")</f>
        <v>Loyola (IL)</v>
      </c>
      <c r="B175" s="1">
        <f ca="1">IFERROR(__xludf.DUMMYFUNCTION("""COMPUTED_VALUE"""),34)</f>
        <v>34</v>
      </c>
      <c r="C175" s="1">
        <f ca="1">IFERROR(__xludf.DUMMYFUNCTION("""COMPUTED_VALUE"""),20)</f>
        <v>20</v>
      </c>
      <c r="D175" s="1">
        <f ca="1">IFERROR(__xludf.DUMMYFUNCTION("""COMPUTED_VALUE"""),14)</f>
        <v>14</v>
      </c>
      <c r="E175" s="1">
        <f ca="1">IFERROR(__xludf.DUMMYFUNCTION("""COMPUTED_VALUE"""),0.588)</f>
        <v>0.58799999999999997</v>
      </c>
      <c r="F175" s="1">
        <f ca="1">IFERROR(__xludf.DUMMYFUNCTION("""COMPUTED_VALUE"""),3.99)</f>
        <v>3.99</v>
      </c>
      <c r="G175" s="1">
        <f ca="1">IFERROR(__xludf.DUMMYFUNCTION("""COMPUTED_VALUE"""),-0.16)</f>
        <v>-0.16</v>
      </c>
      <c r="H175" s="1">
        <f ca="1">IFERROR(__xludf.DUMMYFUNCTION("""COMPUTED_VALUE"""),12)</f>
        <v>12</v>
      </c>
      <c r="I175" s="1">
        <f ca="1">IFERROR(__xludf.DUMMYFUNCTION("""COMPUTED_VALUE"""),6)</f>
        <v>6</v>
      </c>
      <c r="J175" s="1">
        <f ca="1">IFERROR(__xludf.DUMMYFUNCTION("""COMPUTED_VALUE"""),13)</f>
        <v>13</v>
      </c>
      <c r="K175" s="1">
        <f ca="1">IFERROR(__xludf.DUMMYFUNCTION("""COMPUTED_VALUE"""),4)</f>
        <v>4</v>
      </c>
      <c r="L175" s="1">
        <f ca="1">IFERROR(__xludf.DUMMYFUNCTION("""COMPUTED_VALUE"""),5)</f>
        <v>5</v>
      </c>
      <c r="M175" s="1">
        <f ca="1">IFERROR(__xludf.DUMMYFUNCTION("""COMPUTED_VALUE"""),7)</f>
        <v>7</v>
      </c>
      <c r="N175" s="1">
        <f ca="1">IFERROR(__xludf.DUMMYFUNCTION("""COMPUTED_VALUE"""),2231)</f>
        <v>2231</v>
      </c>
      <c r="O175" s="1">
        <f ca="1">IFERROR(__xludf.DUMMYFUNCTION("""COMPUTED_VALUE"""),2066)</f>
        <v>2066</v>
      </c>
      <c r="P175" s="1">
        <f ca="1">IFERROR(__xludf.DUMMYFUNCTION("""COMPUTED_VALUE"""),1360)</f>
        <v>1360</v>
      </c>
      <c r="Q175" s="1">
        <f ca="1">IFERROR(__xludf.DUMMYFUNCTION("""COMPUTED_VALUE"""),831)</f>
        <v>831</v>
      </c>
      <c r="R175" s="1">
        <f ca="1">IFERROR(__xludf.DUMMYFUNCTION("""COMPUTED_VALUE"""),1687)</f>
        <v>1687</v>
      </c>
      <c r="S175" s="1">
        <f ca="1">IFERROR(__xludf.DUMMYFUNCTION("""COMPUTED_VALUE"""),0.493)</f>
        <v>0.49299999999999999</v>
      </c>
      <c r="T175" s="1">
        <f ca="1">IFERROR(__xludf.DUMMYFUNCTION("""COMPUTED_VALUE"""),206)</f>
        <v>206</v>
      </c>
      <c r="U175" s="1">
        <f ca="1">IFERROR(__xludf.DUMMYFUNCTION("""COMPUTED_VALUE"""),563)</f>
        <v>563</v>
      </c>
      <c r="V175" s="1">
        <f ca="1">IFERROR(__xludf.DUMMYFUNCTION("""COMPUTED_VALUE"""),0.366)</f>
        <v>0.36599999999999999</v>
      </c>
      <c r="W175" s="1">
        <f ca="1">IFERROR(__xludf.DUMMYFUNCTION("""COMPUTED_VALUE"""),363)</f>
        <v>363</v>
      </c>
      <c r="X175" s="1">
        <f ca="1">IFERROR(__xludf.DUMMYFUNCTION("""COMPUTED_VALUE"""),545)</f>
        <v>545</v>
      </c>
      <c r="Y175" s="1">
        <f ca="1">IFERROR(__xludf.DUMMYFUNCTION("""COMPUTED_VALUE"""),0.666)</f>
        <v>0.66600000000000004</v>
      </c>
      <c r="Z175" s="1">
        <f ca="1">IFERROR(__xludf.DUMMYFUNCTION("""COMPUTED_VALUE"""),190)</f>
        <v>190</v>
      </c>
      <c r="AA175" s="1">
        <f ca="1">IFERROR(__xludf.DUMMYFUNCTION("""COMPUTED_VALUE"""),1013)</f>
        <v>1013</v>
      </c>
      <c r="AB175" s="1">
        <f ca="1">IFERROR(__xludf.DUMMYFUNCTION("""COMPUTED_VALUE"""),468)</f>
        <v>468</v>
      </c>
      <c r="AC175" s="1">
        <f ca="1">IFERROR(__xludf.DUMMYFUNCTION("""COMPUTED_VALUE"""),220)</f>
        <v>220</v>
      </c>
      <c r="AD175" s="1">
        <f ca="1">IFERROR(__xludf.DUMMYFUNCTION("""COMPUTED_VALUE"""),78)</f>
        <v>78</v>
      </c>
      <c r="AE175" s="1">
        <f ca="1">IFERROR(__xludf.DUMMYFUNCTION("""COMPUTED_VALUE"""),407)</f>
        <v>407</v>
      </c>
      <c r="AF175" s="1">
        <f ca="1">IFERROR(__xludf.DUMMYFUNCTION("""COMPUTED_VALUE"""),471)</f>
        <v>471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IFERROR(__xludf.DUMMYFUNCTION("""COMPUTED_VALUE"""),"Loyola Marymount")</f>
        <v>Loyola Marymount</v>
      </c>
      <c r="B178" s="1">
        <f ca="1">IFERROR(__xludf.DUMMYFUNCTION("""COMPUTED_VALUE"""),34)</f>
        <v>34</v>
      </c>
      <c r="C178" s="1">
        <f ca="1">IFERROR(__xludf.DUMMYFUNCTION("""COMPUTED_VALUE"""),22)</f>
        <v>22</v>
      </c>
      <c r="D178" s="1">
        <f ca="1">IFERROR(__xludf.DUMMYFUNCTION("""COMPUTED_VALUE"""),12)</f>
        <v>12</v>
      </c>
      <c r="E178" s="1">
        <f ca="1">IFERROR(__xludf.DUMMYFUNCTION("""COMPUTED_VALUE"""),0.647)</f>
        <v>0.64700000000000002</v>
      </c>
      <c r="F178" s="1">
        <f ca="1">IFERROR(__xludf.DUMMYFUNCTION("""COMPUTED_VALUE"""),2.93)</f>
        <v>2.93</v>
      </c>
      <c r="G178" s="1">
        <f ca="1">IFERROR(__xludf.DUMMYFUNCTION("""COMPUTED_VALUE"""),0.9)</f>
        <v>0.9</v>
      </c>
      <c r="H178" s="1">
        <f ca="1">IFERROR(__xludf.DUMMYFUNCTION("""COMPUTED_VALUE"""),8)</f>
        <v>8</v>
      </c>
      <c r="I178" s="1">
        <f ca="1">IFERROR(__xludf.DUMMYFUNCTION("""COMPUTED_VALUE"""),8)</f>
        <v>8</v>
      </c>
      <c r="J178" s="1">
        <f ca="1">IFERROR(__xludf.DUMMYFUNCTION("""COMPUTED_VALUE"""),12)</f>
        <v>12</v>
      </c>
      <c r="K178" s="1">
        <f ca="1">IFERROR(__xludf.DUMMYFUNCTION("""COMPUTED_VALUE"""),4)</f>
        <v>4</v>
      </c>
      <c r="L178" s="1">
        <f ca="1">IFERROR(__xludf.DUMMYFUNCTION("""COMPUTED_VALUE"""),8)</f>
        <v>8</v>
      </c>
      <c r="M178" s="1">
        <f ca="1">IFERROR(__xludf.DUMMYFUNCTION("""COMPUTED_VALUE"""),7)</f>
        <v>7</v>
      </c>
      <c r="N178" s="1">
        <f ca="1">IFERROR(__xludf.DUMMYFUNCTION("""COMPUTED_VALUE"""),2278)</f>
        <v>2278</v>
      </c>
      <c r="O178" s="1">
        <f ca="1">IFERROR(__xludf.DUMMYFUNCTION("""COMPUTED_VALUE"""),2125)</f>
        <v>2125</v>
      </c>
      <c r="P178" s="1">
        <f ca="1">IFERROR(__xludf.DUMMYFUNCTION("""COMPUTED_VALUE"""),1360)</f>
        <v>1360</v>
      </c>
      <c r="Q178" s="1">
        <f ca="1">IFERROR(__xludf.DUMMYFUNCTION("""COMPUTED_VALUE"""),817)</f>
        <v>817</v>
      </c>
      <c r="R178" s="1">
        <f ca="1">IFERROR(__xludf.DUMMYFUNCTION("""COMPUTED_VALUE"""),1800)</f>
        <v>1800</v>
      </c>
      <c r="S178" s="1">
        <f ca="1">IFERROR(__xludf.DUMMYFUNCTION("""COMPUTED_VALUE"""),0.454)</f>
        <v>0.45400000000000001</v>
      </c>
      <c r="T178" s="1">
        <f ca="1">IFERROR(__xludf.DUMMYFUNCTION("""COMPUTED_VALUE"""),163)</f>
        <v>163</v>
      </c>
      <c r="U178" s="1">
        <f ca="1">IFERROR(__xludf.DUMMYFUNCTION("""COMPUTED_VALUE"""),510)</f>
        <v>510</v>
      </c>
      <c r="V178" s="1">
        <f ca="1">IFERROR(__xludf.DUMMYFUNCTION("""COMPUTED_VALUE"""),0.32)</f>
        <v>0.32</v>
      </c>
      <c r="W178" s="1">
        <f ca="1">IFERROR(__xludf.DUMMYFUNCTION("""COMPUTED_VALUE"""),481)</f>
        <v>481</v>
      </c>
      <c r="X178" s="1">
        <f ca="1">IFERROR(__xludf.DUMMYFUNCTION("""COMPUTED_VALUE"""),645)</f>
        <v>645</v>
      </c>
      <c r="Y178" s="1">
        <f ca="1">IFERROR(__xludf.DUMMYFUNCTION("""COMPUTED_VALUE"""),0.746)</f>
        <v>0.746</v>
      </c>
      <c r="Z178" s="1">
        <f ca="1">IFERROR(__xludf.DUMMYFUNCTION("""COMPUTED_VALUE"""),314)</f>
        <v>314</v>
      </c>
      <c r="AA178" s="1">
        <f ca="1">IFERROR(__xludf.DUMMYFUNCTION("""COMPUTED_VALUE"""),1098)</f>
        <v>1098</v>
      </c>
      <c r="AB178" s="1">
        <f ca="1">IFERROR(__xludf.DUMMYFUNCTION("""COMPUTED_VALUE"""),460)</f>
        <v>460</v>
      </c>
      <c r="AC178" s="1">
        <f ca="1">IFERROR(__xludf.DUMMYFUNCTION("""COMPUTED_VALUE"""),250)</f>
        <v>250</v>
      </c>
      <c r="AD178" s="1">
        <f ca="1">IFERROR(__xludf.DUMMYFUNCTION("""COMPUTED_VALUE"""),102)</f>
        <v>102</v>
      </c>
      <c r="AE178" s="1">
        <f ca="1">IFERROR(__xludf.DUMMYFUNCTION("""COMPUTED_VALUE"""),425)</f>
        <v>425</v>
      </c>
      <c r="AF178" s="1">
        <f ca="1">IFERROR(__xludf.DUMMYFUNCTION("""COMPUTED_VALUE"""),602)</f>
        <v>602</v>
      </c>
    </row>
    <row r="179" spans="1:32" ht="12.5" x14ac:dyDescent="0.25">
      <c r="A179" s="1" t="str">
        <f ca="1">IFERROR(__xludf.DUMMYFUNCTION("""COMPUTED_VALUE"""),"Loyola (MD)")</f>
        <v>Loyola (MD)</v>
      </c>
      <c r="B179" s="1">
        <f ca="1">IFERROR(__xludf.DUMMYFUNCTION("""COMPUTED_VALUE"""),32)</f>
        <v>32</v>
      </c>
      <c r="C179" s="1">
        <f ca="1">IFERROR(__xludf.DUMMYFUNCTION("""COMPUTED_VALUE"""),11)</f>
        <v>11</v>
      </c>
      <c r="D179" s="1">
        <f ca="1">IFERROR(__xludf.DUMMYFUNCTION("""COMPUTED_VALUE"""),21)</f>
        <v>21</v>
      </c>
      <c r="E179" s="1">
        <f ca="1">IFERROR(__xludf.DUMMYFUNCTION("""COMPUTED_VALUE"""),0.344)</f>
        <v>0.34399999999999997</v>
      </c>
      <c r="F179" s="1">
        <f ca="1">IFERROR(__xludf.DUMMYFUNCTION("""COMPUTED_VALUE"""),-9.13)</f>
        <v>-9.1300000000000008</v>
      </c>
      <c r="G179" s="1">
        <f ca="1">IFERROR(__xludf.DUMMYFUNCTION("""COMPUTED_VALUE"""),-4.6)</f>
        <v>-4.5999999999999996</v>
      </c>
      <c r="H179" s="1">
        <f ca="1">IFERROR(__xludf.DUMMYFUNCTION("""COMPUTED_VALUE"""),7)</f>
        <v>7</v>
      </c>
      <c r="I179" s="1">
        <f ca="1">IFERROR(__xludf.DUMMYFUNCTION("""COMPUTED_VALUE"""),11)</f>
        <v>11</v>
      </c>
      <c r="J179" s="1">
        <f ca="1">IFERROR(__xludf.DUMMYFUNCTION("""COMPUTED_VALUE"""),7)</f>
        <v>7</v>
      </c>
      <c r="K179" s="1">
        <f ca="1">IFERROR(__xludf.DUMMYFUNCTION("""COMPUTED_VALUE"""),5)</f>
        <v>5</v>
      </c>
      <c r="L179" s="1">
        <f ca="1">IFERROR(__xludf.DUMMYFUNCTION("""COMPUTED_VALUE"""),3)</f>
        <v>3</v>
      </c>
      <c r="M179" s="1">
        <f ca="1">IFERROR(__xludf.DUMMYFUNCTION("""COMPUTED_VALUE"""),16)</f>
        <v>16</v>
      </c>
      <c r="N179" s="1">
        <f ca="1">IFERROR(__xludf.DUMMYFUNCTION("""COMPUTED_VALUE"""),2332)</f>
        <v>2332</v>
      </c>
      <c r="O179" s="1">
        <f ca="1">IFERROR(__xludf.DUMMYFUNCTION("""COMPUTED_VALUE"""),2477)</f>
        <v>2477</v>
      </c>
      <c r="P179" s="1">
        <f ca="1">IFERROR(__xludf.DUMMYFUNCTION("""COMPUTED_VALUE"""),1295)</f>
        <v>1295</v>
      </c>
      <c r="Q179" s="1">
        <f ca="1">IFERROR(__xludf.DUMMYFUNCTION("""COMPUTED_VALUE"""),842)</f>
        <v>842</v>
      </c>
      <c r="R179" s="1">
        <f ca="1">IFERROR(__xludf.DUMMYFUNCTION("""COMPUTED_VALUE"""),1836)</f>
        <v>1836</v>
      </c>
      <c r="S179" s="1">
        <f ca="1">IFERROR(__xludf.DUMMYFUNCTION("""COMPUTED_VALUE"""),0.459)</f>
        <v>0.45900000000000002</v>
      </c>
      <c r="T179" s="1">
        <f ca="1">IFERROR(__xludf.DUMMYFUNCTION("""COMPUTED_VALUE"""),210)</f>
        <v>210</v>
      </c>
      <c r="U179" s="1">
        <f ca="1">IFERROR(__xludf.DUMMYFUNCTION("""COMPUTED_VALUE"""),616)</f>
        <v>616</v>
      </c>
      <c r="V179" s="1">
        <f ca="1">IFERROR(__xludf.DUMMYFUNCTION("""COMPUTED_VALUE"""),0.341)</f>
        <v>0.34100000000000003</v>
      </c>
      <c r="W179" s="1">
        <f ca="1">IFERROR(__xludf.DUMMYFUNCTION("""COMPUTED_VALUE"""),438)</f>
        <v>438</v>
      </c>
      <c r="X179" s="1">
        <f ca="1">IFERROR(__xludf.DUMMYFUNCTION("""COMPUTED_VALUE"""),617)</f>
        <v>617</v>
      </c>
      <c r="Y179" s="1">
        <f ca="1">IFERROR(__xludf.DUMMYFUNCTION("""COMPUTED_VALUE"""),0.71)</f>
        <v>0.71</v>
      </c>
      <c r="Z179" s="1">
        <f ca="1">IFERROR(__xludf.DUMMYFUNCTION("""COMPUTED_VALUE"""),292)</f>
        <v>292</v>
      </c>
      <c r="AA179" s="1">
        <f ca="1">IFERROR(__xludf.DUMMYFUNCTION("""COMPUTED_VALUE"""),997)</f>
        <v>997</v>
      </c>
      <c r="AB179" s="1">
        <f ca="1">IFERROR(__xludf.DUMMYFUNCTION("""COMPUTED_VALUE"""),448)</f>
        <v>448</v>
      </c>
      <c r="AC179" s="1">
        <f ca="1">IFERROR(__xludf.DUMMYFUNCTION("""COMPUTED_VALUE"""),278)</f>
        <v>278</v>
      </c>
      <c r="AD179" s="1">
        <f ca="1">IFERROR(__xludf.DUMMYFUNCTION("""COMPUTED_VALUE"""),73)</f>
        <v>73</v>
      </c>
      <c r="AE179" s="1">
        <f ca="1">IFERROR(__xludf.DUMMYFUNCTION("""COMPUTED_VALUE"""),444)</f>
        <v>444</v>
      </c>
      <c r="AF179" s="1">
        <f ca="1">IFERROR(__xludf.DUMMYFUNCTION("""COMPUTED_VALUE"""),573)</f>
        <v>573</v>
      </c>
    </row>
    <row r="180" spans="1:32" ht="12.5" x14ac:dyDescent="0.25">
      <c r="A180" s="1" t="str">
        <f ca="1">IFERROR(__xludf.DUMMYFUNCTION("""COMPUTED_VALUE"""),"Maine")</f>
        <v>Maine</v>
      </c>
      <c r="B180" s="1">
        <f ca="1">IFERROR(__xludf.DUMMYFUNCTION("""COMPUTED_VALUE"""),32)</f>
        <v>32</v>
      </c>
      <c r="C180" s="1">
        <f ca="1">IFERROR(__xludf.DUMMYFUNCTION("""COMPUTED_VALUE"""),5)</f>
        <v>5</v>
      </c>
      <c r="D180" s="1">
        <f ca="1">IFERROR(__xludf.DUMMYFUNCTION("""COMPUTED_VALUE"""),27)</f>
        <v>27</v>
      </c>
      <c r="E180" s="1">
        <f ca="1">IFERROR(__xludf.DUMMYFUNCTION("""COMPUTED_VALUE"""),0.156)</f>
        <v>0.156</v>
      </c>
      <c r="F180" s="1">
        <f ca="1">IFERROR(__xludf.DUMMYFUNCTION("""COMPUTED_VALUE"""),-15.11)</f>
        <v>-15.11</v>
      </c>
      <c r="G180" s="1">
        <f ca="1">IFERROR(__xludf.DUMMYFUNCTION("""COMPUTED_VALUE"""),-4.21)</f>
        <v>-4.21</v>
      </c>
      <c r="H180" s="1">
        <f ca="1">IFERROR(__xludf.DUMMYFUNCTION("""COMPUTED_VALUE"""),3)</f>
        <v>3</v>
      </c>
      <c r="I180" s="1">
        <f ca="1">IFERROR(__xludf.DUMMYFUNCTION("""COMPUTED_VALUE"""),13)</f>
        <v>13</v>
      </c>
      <c r="J180" s="1">
        <f ca="1">IFERROR(__xludf.DUMMYFUNCTION("""COMPUTED_VALUE"""),3)</f>
        <v>3</v>
      </c>
      <c r="K180" s="1">
        <f ca="1">IFERROR(__xludf.DUMMYFUNCTION("""COMPUTED_VALUE"""),9)</f>
        <v>9</v>
      </c>
      <c r="L180" s="1">
        <f ca="1">IFERROR(__xludf.DUMMYFUNCTION("""COMPUTED_VALUE"""),2)</f>
        <v>2</v>
      </c>
      <c r="M180" s="1">
        <f ca="1">IFERROR(__xludf.DUMMYFUNCTION("""COMPUTED_VALUE"""),18)</f>
        <v>18</v>
      </c>
      <c r="N180" s="1">
        <f ca="1">IFERROR(__xludf.DUMMYFUNCTION("""COMPUTED_VALUE"""),1988)</f>
        <v>1988</v>
      </c>
      <c r="O180" s="1">
        <f ca="1">IFERROR(__xludf.DUMMYFUNCTION("""COMPUTED_VALUE"""),2271)</f>
        <v>2271</v>
      </c>
      <c r="P180" s="1">
        <f ca="1">IFERROR(__xludf.DUMMYFUNCTION("""COMPUTED_VALUE"""),1310)</f>
        <v>1310</v>
      </c>
      <c r="Q180" s="1">
        <f ca="1">IFERROR(__xludf.DUMMYFUNCTION("""COMPUTED_VALUE"""),747)</f>
        <v>747</v>
      </c>
      <c r="R180" s="1">
        <f ca="1">IFERROR(__xludf.DUMMYFUNCTION("""COMPUTED_VALUE"""),1728)</f>
        <v>1728</v>
      </c>
      <c r="S180" s="1">
        <f ca="1">IFERROR(__xludf.DUMMYFUNCTION("""COMPUTED_VALUE"""),0.432)</f>
        <v>0.432</v>
      </c>
      <c r="T180" s="1">
        <f ca="1">IFERROR(__xludf.DUMMYFUNCTION("""COMPUTED_VALUE"""),201)</f>
        <v>201</v>
      </c>
      <c r="U180" s="1">
        <f ca="1">IFERROR(__xludf.DUMMYFUNCTION("""COMPUTED_VALUE"""),647)</f>
        <v>647</v>
      </c>
      <c r="V180" s="1">
        <f ca="1">IFERROR(__xludf.DUMMYFUNCTION("""COMPUTED_VALUE"""),0.311)</f>
        <v>0.311</v>
      </c>
      <c r="W180" s="1">
        <f ca="1">IFERROR(__xludf.DUMMYFUNCTION("""COMPUTED_VALUE"""),293)</f>
        <v>293</v>
      </c>
      <c r="X180" s="1">
        <f ca="1">IFERROR(__xludf.DUMMYFUNCTION("""COMPUTED_VALUE"""),452)</f>
        <v>452</v>
      </c>
      <c r="Y180" s="1">
        <f ca="1">IFERROR(__xludf.DUMMYFUNCTION("""COMPUTED_VALUE"""),0.648)</f>
        <v>0.64800000000000002</v>
      </c>
      <c r="Z180" s="1">
        <f ca="1">IFERROR(__xludf.DUMMYFUNCTION("""COMPUTED_VALUE"""),280)</f>
        <v>280</v>
      </c>
      <c r="AA180" s="1">
        <f ca="1">IFERROR(__xludf.DUMMYFUNCTION("""COMPUTED_VALUE"""),1015)</f>
        <v>1015</v>
      </c>
      <c r="AB180" s="1">
        <f ca="1">IFERROR(__xludf.DUMMYFUNCTION("""COMPUTED_VALUE"""),471)</f>
        <v>471</v>
      </c>
      <c r="AC180" s="1">
        <f ca="1">IFERROR(__xludf.DUMMYFUNCTION("""COMPUTED_VALUE"""),239)</f>
        <v>239</v>
      </c>
      <c r="AD180" s="1">
        <f ca="1">IFERROR(__xludf.DUMMYFUNCTION("""COMPUTED_VALUE"""),94)</f>
        <v>94</v>
      </c>
      <c r="AE180" s="1">
        <f ca="1">IFERROR(__xludf.DUMMYFUNCTION("""COMPUTED_VALUE"""),460)</f>
        <v>460</v>
      </c>
      <c r="AF180" s="1">
        <f ca="1">IFERROR(__xludf.DUMMYFUNCTION("""COMPUTED_VALUE"""),566)</f>
        <v>566</v>
      </c>
    </row>
    <row r="181" spans="1:32" ht="12.5" x14ac:dyDescent="0.25">
      <c r="A181" s="1" t="str">
        <f ca="1">IFERROR(__xludf.DUMMYFUNCTION("""COMPUTED_VALUE"""),"Manhattan")</f>
        <v>Manhattan</v>
      </c>
      <c r="B181" s="1">
        <f ca="1">IFERROR(__xludf.DUMMYFUNCTION("""COMPUTED_VALUE"""),32)</f>
        <v>32</v>
      </c>
      <c r="C181" s="1">
        <f ca="1">IFERROR(__xludf.DUMMYFUNCTION("""COMPUTED_VALUE"""),11)</f>
        <v>11</v>
      </c>
      <c r="D181" s="1">
        <f ca="1">IFERROR(__xludf.DUMMYFUNCTION("""COMPUTED_VALUE"""),21)</f>
        <v>21</v>
      </c>
      <c r="E181" s="1">
        <f ca="1">IFERROR(__xludf.DUMMYFUNCTION("""COMPUTED_VALUE"""),0.344)</f>
        <v>0.34399999999999997</v>
      </c>
      <c r="F181" s="1">
        <f ca="1">IFERROR(__xludf.DUMMYFUNCTION("""COMPUTED_VALUE"""),-12.89)</f>
        <v>-12.89</v>
      </c>
      <c r="G181" s="1">
        <f ca="1">IFERROR(__xludf.DUMMYFUNCTION("""COMPUTED_VALUE"""),-7.32)</f>
        <v>-7.32</v>
      </c>
      <c r="H181" s="1">
        <f ca="1">IFERROR(__xludf.DUMMYFUNCTION("""COMPUTED_VALUE"""),8)</f>
        <v>8</v>
      </c>
      <c r="I181" s="1">
        <f ca="1">IFERROR(__xludf.DUMMYFUNCTION("""COMPUTED_VALUE"""),10)</f>
        <v>10</v>
      </c>
      <c r="J181" s="1">
        <f ca="1">IFERROR(__xludf.DUMMYFUNCTION("""COMPUTED_VALUE"""),4)</f>
        <v>4</v>
      </c>
      <c r="K181" s="1">
        <f ca="1">IFERROR(__xludf.DUMMYFUNCTION("""COMPUTED_VALUE"""),9)</f>
        <v>9</v>
      </c>
      <c r="L181" s="1">
        <f ca="1">IFERROR(__xludf.DUMMYFUNCTION("""COMPUTED_VALUE"""),4)</f>
        <v>4</v>
      </c>
      <c r="M181" s="1">
        <f ca="1">IFERROR(__xludf.DUMMYFUNCTION("""COMPUTED_VALUE"""),11)</f>
        <v>11</v>
      </c>
      <c r="N181" s="1">
        <f ca="1">IFERROR(__xludf.DUMMYFUNCTION("""COMPUTED_VALUE"""),1833)</f>
        <v>1833</v>
      </c>
      <c r="O181" s="1">
        <f ca="1">IFERROR(__xludf.DUMMYFUNCTION("""COMPUTED_VALUE"""),2011)</f>
        <v>2011</v>
      </c>
      <c r="P181" s="1">
        <f ca="1">IFERROR(__xludf.DUMMYFUNCTION("""COMPUTED_VALUE"""),1285)</f>
        <v>1285</v>
      </c>
      <c r="Q181" s="1">
        <f ca="1">IFERROR(__xludf.DUMMYFUNCTION("""COMPUTED_VALUE"""),651)</f>
        <v>651</v>
      </c>
      <c r="R181" s="1">
        <f ca="1">IFERROR(__xludf.DUMMYFUNCTION("""COMPUTED_VALUE"""),1608)</f>
        <v>1608</v>
      </c>
      <c r="S181" s="1">
        <f ca="1">IFERROR(__xludf.DUMMYFUNCTION("""COMPUTED_VALUE"""),0.405)</f>
        <v>0.40500000000000003</v>
      </c>
      <c r="T181" s="1">
        <f ca="1">IFERROR(__xludf.DUMMYFUNCTION("""COMPUTED_VALUE"""),219)</f>
        <v>219</v>
      </c>
      <c r="U181" s="1">
        <f ca="1">IFERROR(__xludf.DUMMYFUNCTION("""COMPUTED_VALUE"""),661)</f>
        <v>661</v>
      </c>
      <c r="V181" s="1">
        <f ca="1">IFERROR(__xludf.DUMMYFUNCTION("""COMPUTED_VALUE"""),0.331)</f>
        <v>0.33100000000000002</v>
      </c>
      <c r="W181" s="1">
        <f ca="1">IFERROR(__xludf.DUMMYFUNCTION("""COMPUTED_VALUE"""),312)</f>
        <v>312</v>
      </c>
      <c r="X181" s="1">
        <f ca="1">IFERROR(__xludf.DUMMYFUNCTION("""COMPUTED_VALUE"""),534)</f>
        <v>534</v>
      </c>
      <c r="Y181" s="1">
        <f ca="1">IFERROR(__xludf.DUMMYFUNCTION("""COMPUTED_VALUE"""),0.584)</f>
        <v>0.58399999999999996</v>
      </c>
      <c r="Z181" s="1">
        <f ca="1">IFERROR(__xludf.DUMMYFUNCTION("""COMPUTED_VALUE"""),326)</f>
        <v>326</v>
      </c>
      <c r="AA181" s="1">
        <f ca="1">IFERROR(__xludf.DUMMYFUNCTION("""COMPUTED_VALUE"""),1026)</f>
        <v>1026</v>
      </c>
      <c r="AB181" s="1">
        <f ca="1">IFERROR(__xludf.DUMMYFUNCTION("""COMPUTED_VALUE"""),360)</f>
        <v>360</v>
      </c>
      <c r="AC181" s="1">
        <f ca="1">IFERROR(__xludf.DUMMYFUNCTION("""COMPUTED_VALUE"""),221)</f>
        <v>221</v>
      </c>
      <c r="AD181" s="1">
        <f ca="1">IFERROR(__xludf.DUMMYFUNCTION("""COMPUTED_VALUE"""),78)</f>
        <v>78</v>
      </c>
      <c r="AE181" s="1">
        <f ca="1">IFERROR(__xludf.DUMMYFUNCTION("""COMPUTED_VALUE"""),487)</f>
        <v>487</v>
      </c>
      <c r="AF181" s="1">
        <f ca="1">IFERROR(__xludf.DUMMYFUNCTION("""COMPUTED_VALUE"""),672)</f>
        <v>672</v>
      </c>
    </row>
    <row r="182" spans="1:32" ht="12.5" x14ac:dyDescent="0.25">
      <c r="A182" s="1" t="str">
        <f ca="1">IFERROR(__xludf.DUMMYFUNCTION("""COMPUTED_VALUE"""),"Marist")</f>
        <v>Marist</v>
      </c>
      <c r="B182" s="1">
        <f ca="1">IFERROR(__xludf.DUMMYFUNCTION("""COMPUTED_VALUE"""),31)</f>
        <v>31</v>
      </c>
      <c r="C182" s="1">
        <f ca="1">IFERROR(__xludf.DUMMYFUNCTION("""COMPUTED_VALUE"""),12)</f>
        <v>12</v>
      </c>
      <c r="D182" s="1">
        <f ca="1">IFERROR(__xludf.DUMMYFUNCTION("""COMPUTED_VALUE"""),19)</f>
        <v>19</v>
      </c>
      <c r="E182" s="1">
        <f ca="1">IFERROR(__xludf.DUMMYFUNCTION("""COMPUTED_VALUE"""),0.387)</f>
        <v>0.38700000000000001</v>
      </c>
      <c r="F182" s="1">
        <f ca="1">IFERROR(__xludf.DUMMYFUNCTION("""COMPUTED_VALUE"""),-9.49)</f>
        <v>-9.49</v>
      </c>
      <c r="G182" s="1">
        <f ca="1">IFERROR(__xludf.DUMMYFUNCTION("""COMPUTED_VALUE"""),-7.53)</f>
        <v>-7.53</v>
      </c>
      <c r="H182" s="1">
        <f ca="1">IFERROR(__xludf.DUMMYFUNCTION("""COMPUTED_VALUE"""),7)</f>
        <v>7</v>
      </c>
      <c r="I182" s="1">
        <f ca="1">IFERROR(__xludf.DUMMYFUNCTION("""COMPUTED_VALUE"""),11)</f>
        <v>11</v>
      </c>
      <c r="J182" s="1">
        <f ca="1">IFERROR(__xludf.DUMMYFUNCTION("""COMPUTED_VALUE"""),4)</f>
        <v>4</v>
      </c>
      <c r="K182" s="1">
        <f ca="1">IFERROR(__xludf.DUMMYFUNCTION("""COMPUTED_VALUE"""),7)</f>
        <v>7</v>
      </c>
      <c r="L182" s="1">
        <f ca="1">IFERROR(__xludf.DUMMYFUNCTION("""COMPUTED_VALUE"""),6)</f>
        <v>6</v>
      </c>
      <c r="M182" s="1">
        <f ca="1">IFERROR(__xludf.DUMMYFUNCTION("""COMPUTED_VALUE"""),11)</f>
        <v>11</v>
      </c>
      <c r="N182" s="1">
        <f ca="1">IFERROR(__xludf.DUMMYFUNCTION("""COMPUTED_VALUE"""),2086)</f>
        <v>2086</v>
      </c>
      <c r="O182" s="1">
        <f ca="1">IFERROR(__xludf.DUMMYFUNCTION("""COMPUTED_VALUE"""),2147)</f>
        <v>2147</v>
      </c>
      <c r="P182" s="1">
        <f ca="1">IFERROR(__xludf.DUMMYFUNCTION("""COMPUTED_VALUE"""),1250)</f>
        <v>1250</v>
      </c>
      <c r="Q182" s="1">
        <f ca="1">IFERROR(__xludf.DUMMYFUNCTION("""COMPUTED_VALUE"""),739)</f>
        <v>739</v>
      </c>
      <c r="R182" s="1">
        <f ca="1">IFERROR(__xludf.DUMMYFUNCTION("""COMPUTED_VALUE"""),1647)</f>
        <v>1647</v>
      </c>
      <c r="S182" s="1">
        <f ca="1">IFERROR(__xludf.DUMMYFUNCTION("""COMPUTED_VALUE"""),0.449)</f>
        <v>0.44900000000000001</v>
      </c>
      <c r="T182" s="1">
        <f ca="1">IFERROR(__xludf.DUMMYFUNCTION("""COMPUTED_VALUE"""),245)</f>
        <v>245</v>
      </c>
      <c r="U182" s="1">
        <f ca="1">IFERROR(__xludf.DUMMYFUNCTION("""COMPUTED_VALUE"""),675)</f>
        <v>675</v>
      </c>
      <c r="V182" s="1">
        <f ca="1">IFERROR(__xludf.DUMMYFUNCTION("""COMPUTED_VALUE"""),0.363)</f>
        <v>0.36299999999999999</v>
      </c>
      <c r="W182" s="1">
        <f ca="1">IFERROR(__xludf.DUMMYFUNCTION("""COMPUTED_VALUE"""),363)</f>
        <v>363</v>
      </c>
      <c r="X182" s="1">
        <f ca="1">IFERROR(__xludf.DUMMYFUNCTION("""COMPUTED_VALUE"""),530)</f>
        <v>530</v>
      </c>
      <c r="Y182" s="1">
        <f ca="1">IFERROR(__xludf.DUMMYFUNCTION("""COMPUTED_VALUE"""),0.685)</f>
        <v>0.68500000000000005</v>
      </c>
      <c r="Z182" s="1">
        <f ca="1">IFERROR(__xludf.DUMMYFUNCTION("""COMPUTED_VALUE"""),241)</f>
        <v>241</v>
      </c>
      <c r="AA182" s="1">
        <f ca="1">IFERROR(__xludf.DUMMYFUNCTION("""COMPUTED_VALUE"""),967)</f>
        <v>967</v>
      </c>
      <c r="AB182" s="1">
        <f ca="1">IFERROR(__xludf.DUMMYFUNCTION("""COMPUTED_VALUE"""),377)</f>
        <v>377</v>
      </c>
      <c r="AC182" s="1">
        <f ca="1">IFERROR(__xludf.DUMMYFUNCTION("""COMPUTED_VALUE"""),172)</f>
        <v>172</v>
      </c>
      <c r="AD182" s="1">
        <f ca="1">IFERROR(__xludf.DUMMYFUNCTION("""COMPUTED_VALUE"""),53)</f>
        <v>53</v>
      </c>
      <c r="AE182" s="1">
        <f ca="1">IFERROR(__xludf.DUMMYFUNCTION("""COMPUTED_VALUE"""),387)</f>
        <v>387</v>
      </c>
      <c r="AF182" s="1">
        <f ca="1">IFERROR(__xludf.DUMMYFUNCTION("""COMPUTED_VALUE"""),583)</f>
        <v>583</v>
      </c>
    </row>
    <row r="183" spans="1:32" ht="12.5" x14ac:dyDescent="0.25">
      <c r="A183" s="1" t="str">
        <f ca="1">IFERROR(__xludf.DUMMYFUNCTION("""COMPUTED_VALUE"""),"Marquette")</f>
        <v>Marquette</v>
      </c>
      <c r="B183" s="1">
        <f ca="1">IFERROR(__xludf.DUMMYFUNCTION("""COMPUTED_VALUE"""),34)</f>
        <v>34</v>
      </c>
      <c r="C183" s="1">
        <f ca="1">IFERROR(__xludf.DUMMYFUNCTION("""COMPUTED_VALUE"""),24)</f>
        <v>24</v>
      </c>
      <c r="D183" s="1">
        <f ca="1">IFERROR(__xludf.DUMMYFUNCTION("""COMPUTED_VALUE"""),10)</f>
        <v>10</v>
      </c>
      <c r="E183" s="1">
        <f ca="1">IFERROR(__xludf.DUMMYFUNCTION("""COMPUTED_VALUE"""),0.706)</f>
        <v>0.70599999999999996</v>
      </c>
      <c r="F183" s="1">
        <f ca="1">IFERROR(__xludf.DUMMYFUNCTION("""COMPUTED_VALUE"""),14.78)</f>
        <v>14.78</v>
      </c>
      <c r="G183" s="1">
        <f ca="1">IFERROR(__xludf.DUMMYFUNCTION("""COMPUTED_VALUE"""),6.96)</f>
        <v>6.96</v>
      </c>
      <c r="H183" s="1">
        <f ca="1">IFERROR(__xludf.DUMMYFUNCTION("""COMPUTED_VALUE"""),12)</f>
        <v>12</v>
      </c>
      <c r="I183" s="1">
        <f ca="1">IFERROR(__xludf.DUMMYFUNCTION("""COMPUTED_VALUE"""),6)</f>
        <v>6</v>
      </c>
      <c r="J183" s="1">
        <f ca="1">IFERROR(__xludf.DUMMYFUNCTION("""COMPUTED_VALUE"""),16)</f>
        <v>16</v>
      </c>
      <c r="K183" s="1">
        <f ca="1">IFERROR(__xludf.DUMMYFUNCTION("""COMPUTED_VALUE"""),3)</f>
        <v>3</v>
      </c>
      <c r="L183" s="1">
        <f ca="1">IFERROR(__xludf.DUMMYFUNCTION("""COMPUTED_VALUE"""),6)</f>
        <v>6</v>
      </c>
      <c r="M183" s="1">
        <f ca="1">IFERROR(__xludf.DUMMYFUNCTION("""COMPUTED_VALUE"""),4)</f>
        <v>4</v>
      </c>
      <c r="N183" s="1">
        <f ca="1">IFERROR(__xludf.DUMMYFUNCTION("""COMPUTED_VALUE"""),2629)</f>
        <v>2629</v>
      </c>
      <c r="O183" s="1">
        <f ca="1">IFERROR(__xludf.DUMMYFUNCTION("""COMPUTED_VALUE"""),2363)</f>
        <v>2363</v>
      </c>
      <c r="P183" s="1">
        <f ca="1">IFERROR(__xludf.DUMMYFUNCTION("""COMPUTED_VALUE"""),1375)</f>
        <v>1375</v>
      </c>
      <c r="Q183" s="1">
        <f ca="1">IFERROR(__xludf.DUMMYFUNCTION("""COMPUTED_VALUE"""),893)</f>
        <v>893</v>
      </c>
      <c r="R183" s="1">
        <f ca="1">IFERROR(__xludf.DUMMYFUNCTION("""COMPUTED_VALUE"""),1969)</f>
        <v>1969</v>
      </c>
      <c r="S183" s="1">
        <f ca="1">IFERROR(__xludf.DUMMYFUNCTION("""COMPUTED_VALUE"""),0.454)</f>
        <v>0.45400000000000001</v>
      </c>
      <c r="T183" s="1">
        <f ca="1">IFERROR(__xludf.DUMMYFUNCTION("""COMPUTED_VALUE"""),319)</f>
        <v>319</v>
      </c>
      <c r="U183" s="1">
        <f ca="1">IFERROR(__xludf.DUMMYFUNCTION("""COMPUTED_VALUE"""),822)</f>
        <v>822</v>
      </c>
      <c r="V183" s="1">
        <f ca="1">IFERROR(__xludf.DUMMYFUNCTION("""COMPUTED_VALUE"""),0.388)</f>
        <v>0.38800000000000001</v>
      </c>
      <c r="W183" s="1">
        <f ca="1">IFERROR(__xludf.DUMMYFUNCTION("""COMPUTED_VALUE"""),524)</f>
        <v>524</v>
      </c>
      <c r="X183" s="1">
        <f ca="1">IFERROR(__xludf.DUMMYFUNCTION("""COMPUTED_VALUE"""),692)</f>
        <v>692</v>
      </c>
      <c r="Y183" s="1">
        <f ca="1">IFERROR(__xludf.DUMMYFUNCTION("""COMPUTED_VALUE"""),0.757)</f>
        <v>0.75700000000000001</v>
      </c>
      <c r="Z183" s="1">
        <f ca="1">IFERROR(__xludf.DUMMYFUNCTION("""COMPUTED_VALUE"""),331)</f>
        <v>331</v>
      </c>
      <c r="AA183" s="1">
        <f ca="1">IFERROR(__xludf.DUMMYFUNCTION("""COMPUTED_VALUE"""),1292)</f>
        <v>1292</v>
      </c>
      <c r="AB183" s="1">
        <f ca="1">IFERROR(__xludf.DUMMYFUNCTION("""COMPUTED_VALUE"""),456)</f>
        <v>456</v>
      </c>
      <c r="AC183" s="1">
        <f ca="1">IFERROR(__xludf.DUMMYFUNCTION("""COMPUTED_VALUE"""),168)</f>
        <v>168</v>
      </c>
      <c r="AD183" s="1">
        <f ca="1">IFERROR(__xludf.DUMMYFUNCTION("""COMPUTED_VALUE"""),145)</f>
        <v>145</v>
      </c>
      <c r="AE183" s="1">
        <f ca="1">IFERROR(__xludf.DUMMYFUNCTION("""COMPUTED_VALUE"""),467)</f>
        <v>467</v>
      </c>
      <c r="AF183" s="1">
        <f ca="1">IFERROR(__xludf.DUMMYFUNCTION("""COMPUTED_VALUE"""),635)</f>
        <v>635</v>
      </c>
    </row>
    <row r="184" spans="1:32" ht="12.5" x14ac:dyDescent="0.25">
      <c r="A184" s="1" t="str">
        <f ca="1">IFERROR(__xludf.DUMMYFUNCTION("""COMPUTED_VALUE"""),"Marshall")</f>
        <v>Marshall</v>
      </c>
      <c r="B184" s="1">
        <f ca="1">IFERROR(__xludf.DUMMYFUNCTION("""COMPUTED_VALUE"""),37)</f>
        <v>37</v>
      </c>
      <c r="C184" s="1">
        <f ca="1">IFERROR(__xludf.DUMMYFUNCTION("""COMPUTED_VALUE"""),23)</f>
        <v>23</v>
      </c>
      <c r="D184" s="1">
        <f ca="1">IFERROR(__xludf.DUMMYFUNCTION("""COMPUTED_VALUE"""),14)</f>
        <v>14</v>
      </c>
      <c r="E184" s="1">
        <f ca="1">IFERROR(__xludf.DUMMYFUNCTION("""COMPUTED_VALUE"""),0.622)</f>
        <v>0.622</v>
      </c>
      <c r="F184" s="1">
        <f ca="1">IFERROR(__xludf.DUMMYFUNCTION("""COMPUTED_VALUE"""),-0.64)</f>
        <v>-0.64</v>
      </c>
      <c r="G184" s="1">
        <f ca="1">IFERROR(__xludf.DUMMYFUNCTION("""COMPUTED_VALUE"""),-0.61)</f>
        <v>-0.61</v>
      </c>
      <c r="H184" s="1">
        <f ca="1">IFERROR(__xludf.DUMMYFUNCTION("""COMPUTED_VALUE"""),11)</f>
        <v>11</v>
      </c>
      <c r="I184" s="1">
        <f ca="1">IFERROR(__xludf.DUMMYFUNCTION("""COMPUTED_VALUE"""),7)</f>
        <v>7</v>
      </c>
      <c r="J184" s="1">
        <f ca="1">IFERROR(__xludf.DUMMYFUNCTION("""COMPUTED_VALUE"""),16)</f>
        <v>16</v>
      </c>
      <c r="K184" s="1">
        <f ca="1">IFERROR(__xludf.DUMMYFUNCTION("""COMPUTED_VALUE"""),3)</f>
        <v>3</v>
      </c>
      <c r="L184" s="1">
        <f ca="1">IFERROR(__xludf.DUMMYFUNCTION("""COMPUTED_VALUE"""),6)</f>
        <v>6</v>
      </c>
      <c r="M184" s="1">
        <f ca="1">IFERROR(__xludf.DUMMYFUNCTION("""COMPUTED_VALUE"""),10)</f>
        <v>10</v>
      </c>
      <c r="N184" s="1">
        <f ca="1">IFERROR(__xludf.DUMMYFUNCTION("""COMPUTED_VALUE"""),2978)</f>
        <v>2978</v>
      </c>
      <c r="O184" s="1">
        <f ca="1">IFERROR(__xludf.DUMMYFUNCTION("""COMPUTED_VALUE"""),2979)</f>
        <v>2979</v>
      </c>
      <c r="P184" s="1">
        <f ca="1">IFERROR(__xludf.DUMMYFUNCTION("""COMPUTED_VALUE"""),1495)</f>
        <v>1495</v>
      </c>
      <c r="Q184" s="1">
        <f ca="1">IFERROR(__xludf.DUMMYFUNCTION("""COMPUTED_VALUE"""),1047)</f>
        <v>1047</v>
      </c>
      <c r="R184" s="1">
        <f ca="1">IFERROR(__xludf.DUMMYFUNCTION("""COMPUTED_VALUE"""),2367)</f>
        <v>2367</v>
      </c>
      <c r="S184" s="1">
        <f ca="1">IFERROR(__xludf.DUMMYFUNCTION("""COMPUTED_VALUE"""),0.442)</f>
        <v>0.442</v>
      </c>
      <c r="T184" s="1">
        <f ca="1">IFERROR(__xludf.DUMMYFUNCTION("""COMPUTED_VALUE"""),362)</f>
        <v>362</v>
      </c>
      <c r="U184" s="1">
        <f ca="1">IFERROR(__xludf.DUMMYFUNCTION("""COMPUTED_VALUE"""),1058)</f>
        <v>1058</v>
      </c>
      <c r="V184" s="1">
        <f ca="1">IFERROR(__xludf.DUMMYFUNCTION("""COMPUTED_VALUE"""),0.342)</f>
        <v>0.34200000000000003</v>
      </c>
      <c r="W184" s="1">
        <f ca="1">IFERROR(__xludf.DUMMYFUNCTION("""COMPUTED_VALUE"""),522)</f>
        <v>522</v>
      </c>
      <c r="X184" s="1">
        <f ca="1">IFERROR(__xludf.DUMMYFUNCTION("""COMPUTED_VALUE"""),723)</f>
        <v>723</v>
      </c>
      <c r="Y184" s="1">
        <f ca="1">IFERROR(__xludf.DUMMYFUNCTION("""COMPUTED_VALUE"""),0.722)</f>
        <v>0.72199999999999998</v>
      </c>
      <c r="Z184" s="1">
        <f ca="1">IFERROR(__xludf.DUMMYFUNCTION("""COMPUTED_VALUE"""),319)</f>
        <v>319</v>
      </c>
      <c r="AA184" s="1">
        <f ca="1">IFERROR(__xludf.DUMMYFUNCTION("""COMPUTED_VALUE"""),1260)</f>
        <v>1260</v>
      </c>
      <c r="AB184" s="1">
        <f ca="1">IFERROR(__xludf.DUMMYFUNCTION("""COMPUTED_VALUE"""),527)</f>
        <v>527</v>
      </c>
      <c r="AC184" s="1">
        <f ca="1">IFERROR(__xludf.DUMMYFUNCTION("""COMPUTED_VALUE"""),334)</f>
        <v>334</v>
      </c>
      <c r="AD184" s="1">
        <f ca="1">IFERROR(__xludf.DUMMYFUNCTION("""COMPUTED_VALUE"""),170)</f>
        <v>170</v>
      </c>
      <c r="AE184" s="1">
        <f ca="1">IFERROR(__xludf.DUMMYFUNCTION("""COMPUTED_VALUE"""),453)</f>
        <v>453</v>
      </c>
      <c r="AF184" s="1">
        <f ca="1">IFERROR(__xludf.DUMMYFUNCTION("""COMPUTED_VALUE"""),664)</f>
        <v>664</v>
      </c>
    </row>
    <row r="185" spans="1:32" ht="12.5" x14ac:dyDescent="0.25">
      <c r="A185" s="1" t="str">
        <f ca="1">IFERROR(__xludf.DUMMYFUNCTION("""COMPUTED_VALUE"""),"Maryland-Baltimore County")</f>
        <v>Maryland-Baltimore County</v>
      </c>
      <c r="B185" s="1">
        <f ca="1">IFERROR(__xludf.DUMMYFUNCTION("""COMPUTED_VALUE"""),34)</f>
        <v>34</v>
      </c>
      <c r="C185" s="1">
        <f ca="1">IFERROR(__xludf.DUMMYFUNCTION("""COMPUTED_VALUE"""),21)</f>
        <v>21</v>
      </c>
      <c r="D185" s="1">
        <f ca="1">IFERROR(__xludf.DUMMYFUNCTION("""COMPUTED_VALUE"""),13)</f>
        <v>13</v>
      </c>
      <c r="E185" s="1">
        <f ca="1">IFERROR(__xludf.DUMMYFUNCTION("""COMPUTED_VALUE"""),0.618)</f>
        <v>0.61799999999999999</v>
      </c>
      <c r="F185" s="1">
        <f ca="1">IFERROR(__xludf.DUMMYFUNCTION("""COMPUTED_VALUE"""),-5.85)</f>
        <v>-5.85</v>
      </c>
      <c r="G185" s="1">
        <f ca="1">IFERROR(__xludf.DUMMYFUNCTION("""COMPUTED_VALUE"""),-5.85)</f>
        <v>-5.85</v>
      </c>
      <c r="H185" s="1">
        <f ca="1">IFERROR(__xludf.DUMMYFUNCTION("""COMPUTED_VALUE"""),11)</f>
        <v>11</v>
      </c>
      <c r="I185" s="1">
        <f ca="1">IFERROR(__xludf.DUMMYFUNCTION("""COMPUTED_VALUE"""),5)</f>
        <v>5</v>
      </c>
      <c r="J185" s="1">
        <f ca="1">IFERROR(__xludf.DUMMYFUNCTION("""COMPUTED_VALUE"""),13)</f>
        <v>13</v>
      </c>
      <c r="K185" s="1">
        <f ca="1">IFERROR(__xludf.DUMMYFUNCTION("""COMPUTED_VALUE"""),4)</f>
        <v>4</v>
      </c>
      <c r="L185" s="1">
        <f ca="1">IFERROR(__xludf.DUMMYFUNCTION("""COMPUTED_VALUE"""),6)</f>
        <v>6</v>
      </c>
      <c r="M185" s="1">
        <f ca="1">IFERROR(__xludf.DUMMYFUNCTION("""COMPUTED_VALUE"""),8)</f>
        <v>8</v>
      </c>
      <c r="N185" s="1">
        <f ca="1">IFERROR(__xludf.DUMMYFUNCTION("""COMPUTED_VALUE"""),2296)</f>
        <v>2296</v>
      </c>
      <c r="O185" s="1">
        <f ca="1">IFERROR(__xludf.DUMMYFUNCTION("""COMPUTED_VALUE"""),2177)</f>
        <v>2177</v>
      </c>
      <c r="P185" s="1">
        <f ca="1">IFERROR(__xludf.DUMMYFUNCTION("""COMPUTED_VALUE"""),1400)</f>
        <v>1400</v>
      </c>
      <c r="Q185" s="1">
        <f ca="1">IFERROR(__xludf.DUMMYFUNCTION("""COMPUTED_VALUE"""),820)</f>
        <v>820</v>
      </c>
      <c r="R185" s="1">
        <f ca="1">IFERROR(__xludf.DUMMYFUNCTION("""COMPUTED_VALUE"""),1893)</f>
        <v>1893</v>
      </c>
      <c r="S185" s="1">
        <f ca="1">IFERROR(__xludf.DUMMYFUNCTION("""COMPUTED_VALUE"""),0.433)</f>
        <v>0.433</v>
      </c>
      <c r="T185" s="1">
        <f ca="1">IFERROR(__xludf.DUMMYFUNCTION("""COMPUTED_VALUE"""),261)</f>
        <v>261</v>
      </c>
      <c r="U185" s="1">
        <f ca="1">IFERROR(__xludf.DUMMYFUNCTION("""COMPUTED_VALUE"""),807)</f>
        <v>807</v>
      </c>
      <c r="V185" s="1">
        <f ca="1">IFERROR(__xludf.DUMMYFUNCTION("""COMPUTED_VALUE"""),0.323)</f>
        <v>0.32300000000000001</v>
      </c>
      <c r="W185" s="1">
        <f ca="1">IFERROR(__xludf.DUMMYFUNCTION("""COMPUTED_VALUE"""),395)</f>
        <v>395</v>
      </c>
      <c r="X185" s="1">
        <f ca="1">IFERROR(__xludf.DUMMYFUNCTION("""COMPUTED_VALUE"""),573)</f>
        <v>573</v>
      </c>
      <c r="Y185" s="1">
        <f ca="1">IFERROR(__xludf.DUMMYFUNCTION("""COMPUTED_VALUE"""),0.689)</f>
        <v>0.68899999999999995</v>
      </c>
      <c r="Z185" s="1">
        <f ca="1">IFERROR(__xludf.DUMMYFUNCTION("""COMPUTED_VALUE"""),296)</f>
        <v>296</v>
      </c>
      <c r="AA185" s="1">
        <f ca="1">IFERROR(__xludf.DUMMYFUNCTION("""COMPUTED_VALUE"""),1145)</f>
        <v>1145</v>
      </c>
      <c r="AB185" s="1">
        <f ca="1">IFERROR(__xludf.DUMMYFUNCTION("""COMPUTED_VALUE"""),453)</f>
        <v>453</v>
      </c>
      <c r="AC185" s="1">
        <f ca="1">IFERROR(__xludf.DUMMYFUNCTION("""COMPUTED_VALUE"""),268)</f>
        <v>268</v>
      </c>
      <c r="AD185" s="1">
        <f ca="1">IFERROR(__xludf.DUMMYFUNCTION("""COMPUTED_VALUE"""),83)</f>
        <v>83</v>
      </c>
      <c r="AE185" s="1">
        <f ca="1">IFERROR(__xludf.DUMMYFUNCTION("""COMPUTED_VALUE"""),428)</f>
        <v>428</v>
      </c>
      <c r="AF185" s="1">
        <f ca="1">IFERROR(__xludf.DUMMYFUNCTION("""COMPUTED_VALUE"""),578)</f>
        <v>578</v>
      </c>
    </row>
    <row r="186" spans="1:32" ht="12.5" x14ac:dyDescent="0.25">
      <c r="A186" s="1" t="str">
        <f ca="1">IFERROR(__xludf.DUMMYFUNCTION("""COMPUTED_VALUE"""),"Maryland-Eastern Shore")</f>
        <v>Maryland-Eastern Shore</v>
      </c>
      <c r="B186" s="1">
        <f ca="1">IFERROR(__xludf.DUMMYFUNCTION("""COMPUTED_VALUE"""),32)</f>
        <v>32</v>
      </c>
      <c r="C186" s="1">
        <f ca="1">IFERROR(__xludf.DUMMYFUNCTION("""COMPUTED_VALUE"""),7)</f>
        <v>7</v>
      </c>
      <c r="D186" s="1">
        <f ca="1">IFERROR(__xludf.DUMMYFUNCTION("""COMPUTED_VALUE"""),25)</f>
        <v>25</v>
      </c>
      <c r="E186" s="1">
        <f ca="1">IFERROR(__xludf.DUMMYFUNCTION("""COMPUTED_VALUE"""),0.219)</f>
        <v>0.219</v>
      </c>
      <c r="F186" s="1">
        <f ca="1">IFERROR(__xludf.DUMMYFUNCTION("""COMPUTED_VALUE"""),-24.21)</f>
        <v>-24.21</v>
      </c>
      <c r="G186" s="1">
        <f ca="1">IFERROR(__xludf.DUMMYFUNCTION("""COMPUTED_VALUE"""),-7.91)</f>
        <v>-7.91</v>
      </c>
      <c r="H186" s="1">
        <f ca="1">IFERROR(__xludf.DUMMYFUNCTION("""COMPUTED_VALUE"""),5)</f>
        <v>5</v>
      </c>
      <c r="I186" s="1">
        <f ca="1">IFERROR(__xludf.DUMMYFUNCTION("""COMPUTED_VALUE"""),11)</f>
        <v>11</v>
      </c>
      <c r="J186" s="1">
        <f ca="1">IFERROR(__xludf.DUMMYFUNCTION("""COMPUTED_VALUE"""),5)</f>
        <v>5</v>
      </c>
      <c r="K186" s="1">
        <f ca="1">IFERROR(__xludf.DUMMYFUNCTION("""COMPUTED_VALUE"""),7)</f>
        <v>7</v>
      </c>
      <c r="L186" s="1">
        <f ca="1">IFERROR(__xludf.DUMMYFUNCTION("""COMPUTED_VALUE"""),2)</f>
        <v>2</v>
      </c>
      <c r="M186" s="1">
        <f ca="1">IFERROR(__xludf.DUMMYFUNCTION("""COMPUTED_VALUE"""),17)</f>
        <v>17</v>
      </c>
      <c r="N186" s="1">
        <f ca="1">IFERROR(__xludf.DUMMYFUNCTION("""COMPUTED_VALUE"""),1833)</f>
        <v>1833</v>
      </c>
      <c r="O186" s="1">
        <f ca="1">IFERROR(__xludf.DUMMYFUNCTION("""COMPUTED_VALUE"""),2291)</f>
        <v>2291</v>
      </c>
      <c r="P186" s="1">
        <f ca="1">IFERROR(__xludf.DUMMYFUNCTION("""COMPUTED_VALUE"""),1285)</f>
        <v>1285</v>
      </c>
      <c r="Q186" s="1">
        <f ca="1">IFERROR(__xludf.DUMMYFUNCTION("""COMPUTED_VALUE"""),666)</f>
        <v>666</v>
      </c>
      <c r="R186" s="1">
        <f ca="1">IFERROR(__xludf.DUMMYFUNCTION("""COMPUTED_VALUE"""),1705)</f>
        <v>1705</v>
      </c>
      <c r="S186" s="1">
        <f ca="1">IFERROR(__xludf.DUMMYFUNCTION("""COMPUTED_VALUE"""),0.391)</f>
        <v>0.39100000000000001</v>
      </c>
      <c r="T186" s="1">
        <f ca="1">IFERROR(__xludf.DUMMYFUNCTION("""COMPUTED_VALUE"""),172)</f>
        <v>172</v>
      </c>
      <c r="U186" s="1">
        <f ca="1">IFERROR(__xludf.DUMMYFUNCTION("""COMPUTED_VALUE"""),610)</f>
        <v>610</v>
      </c>
      <c r="V186" s="1">
        <f ca="1">IFERROR(__xludf.DUMMYFUNCTION("""COMPUTED_VALUE"""),0.282)</f>
        <v>0.28199999999999997</v>
      </c>
      <c r="W186" s="1">
        <f ca="1">IFERROR(__xludf.DUMMYFUNCTION("""COMPUTED_VALUE"""),329)</f>
        <v>329</v>
      </c>
      <c r="X186" s="1">
        <f ca="1">IFERROR(__xludf.DUMMYFUNCTION("""COMPUTED_VALUE"""),489)</f>
        <v>489</v>
      </c>
      <c r="Y186" s="1">
        <f ca="1">IFERROR(__xludf.DUMMYFUNCTION("""COMPUTED_VALUE"""),0.673)</f>
        <v>0.67300000000000004</v>
      </c>
      <c r="Z186" s="1">
        <f ca="1">IFERROR(__xludf.DUMMYFUNCTION("""COMPUTED_VALUE"""),264)</f>
        <v>264</v>
      </c>
      <c r="AA186" s="1">
        <f ca="1">IFERROR(__xludf.DUMMYFUNCTION("""COMPUTED_VALUE"""),989)</f>
        <v>989</v>
      </c>
      <c r="AB186" s="1">
        <f ca="1">IFERROR(__xludf.DUMMYFUNCTION("""COMPUTED_VALUE"""),361)</f>
        <v>361</v>
      </c>
      <c r="AC186" s="1">
        <f ca="1">IFERROR(__xludf.DUMMYFUNCTION("""COMPUTED_VALUE"""),186)</f>
        <v>186</v>
      </c>
      <c r="AD186" s="1">
        <f ca="1">IFERROR(__xludf.DUMMYFUNCTION("""COMPUTED_VALUE"""),70)</f>
        <v>70</v>
      </c>
      <c r="AE186" s="1">
        <f ca="1">IFERROR(__xludf.DUMMYFUNCTION("""COMPUTED_VALUE"""),431)</f>
        <v>431</v>
      </c>
      <c r="AF186" s="1">
        <f ca="1">IFERROR(__xludf.DUMMYFUNCTION("""COMPUTED_VALUE"""),575)</f>
        <v>575</v>
      </c>
    </row>
    <row r="187" spans="1:32" ht="12.5" x14ac:dyDescent="0.25">
      <c r="A187" s="1" t="str">
        <f ca="1">IFERROR(__xludf.DUMMYFUNCTION("""COMPUTED_VALUE"""),"Maryland")</f>
        <v>Maryland</v>
      </c>
      <c r="B187" s="1">
        <f ca="1">IFERROR(__xludf.DUMMYFUNCTION("""COMPUTED_VALUE"""),34)</f>
        <v>34</v>
      </c>
      <c r="C187" s="1">
        <f ca="1">IFERROR(__xludf.DUMMYFUNCTION("""COMPUTED_VALUE"""),23)</f>
        <v>23</v>
      </c>
      <c r="D187" s="1">
        <f ca="1">IFERROR(__xludf.DUMMYFUNCTION("""COMPUTED_VALUE"""),11)</f>
        <v>11</v>
      </c>
      <c r="E187" s="1">
        <f ca="1">IFERROR(__xludf.DUMMYFUNCTION("""COMPUTED_VALUE"""),0.676)</f>
        <v>0.67600000000000005</v>
      </c>
      <c r="F187" s="1">
        <f ca="1">IFERROR(__xludf.DUMMYFUNCTION("""COMPUTED_VALUE"""),16.01)</f>
        <v>16.010000000000002</v>
      </c>
      <c r="G187" s="1">
        <f ca="1">IFERROR(__xludf.DUMMYFUNCTION("""COMPUTED_VALUE"""),10.09)</f>
        <v>10.09</v>
      </c>
      <c r="H187" s="1">
        <f ca="1">IFERROR(__xludf.DUMMYFUNCTION("""COMPUTED_VALUE"""),13)</f>
        <v>13</v>
      </c>
      <c r="I187" s="1">
        <f ca="1">IFERROR(__xludf.DUMMYFUNCTION("""COMPUTED_VALUE"""),7)</f>
        <v>7</v>
      </c>
      <c r="J187" s="1">
        <f ca="1">IFERROR(__xludf.DUMMYFUNCTION("""COMPUTED_VALUE"""),15)</f>
        <v>15</v>
      </c>
      <c r="K187" s="1">
        <f ca="1">IFERROR(__xludf.DUMMYFUNCTION("""COMPUTED_VALUE"""),3)</f>
        <v>3</v>
      </c>
      <c r="L187" s="1">
        <f ca="1">IFERROR(__xludf.DUMMYFUNCTION("""COMPUTED_VALUE"""),6)</f>
        <v>6</v>
      </c>
      <c r="M187" s="1">
        <f ca="1">IFERROR(__xludf.DUMMYFUNCTION("""COMPUTED_VALUE"""),5)</f>
        <v>5</v>
      </c>
      <c r="N187" s="1">
        <f ca="1">IFERROR(__xludf.DUMMYFUNCTION("""COMPUTED_VALUE"""),2429)</f>
        <v>2429</v>
      </c>
      <c r="O187" s="1">
        <f ca="1">IFERROR(__xludf.DUMMYFUNCTION("""COMPUTED_VALUE"""),2228)</f>
        <v>2228</v>
      </c>
      <c r="P187" s="1">
        <f ca="1">IFERROR(__xludf.DUMMYFUNCTION("""COMPUTED_VALUE"""),1360)</f>
        <v>1360</v>
      </c>
      <c r="Q187" s="1">
        <f ca="1">IFERROR(__xludf.DUMMYFUNCTION("""COMPUTED_VALUE"""),858)</f>
        <v>858</v>
      </c>
      <c r="R187" s="1">
        <f ca="1">IFERROR(__xludf.DUMMYFUNCTION("""COMPUTED_VALUE"""),1909)</f>
        <v>1909</v>
      </c>
      <c r="S187" s="1">
        <f ca="1">IFERROR(__xludf.DUMMYFUNCTION("""COMPUTED_VALUE"""),0.449)</f>
        <v>0.44900000000000001</v>
      </c>
      <c r="T187" s="1">
        <f ca="1">IFERROR(__xludf.DUMMYFUNCTION("""COMPUTED_VALUE"""),247)</f>
        <v>247</v>
      </c>
      <c r="U187" s="1">
        <f ca="1">IFERROR(__xludf.DUMMYFUNCTION("""COMPUTED_VALUE"""),707)</f>
        <v>707</v>
      </c>
      <c r="V187" s="1">
        <f ca="1">IFERROR(__xludf.DUMMYFUNCTION("""COMPUTED_VALUE"""),0.349)</f>
        <v>0.34899999999999998</v>
      </c>
      <c r="W187" s="1">
        <f ca="1">IFERROR(__xludf.DUMMYFUNCTION("""COMPUTED_VALUE"""),466)</f>
        <v>466</v>
      </c>
      <c r="X187" s="1">
        <f ca="1">IFERROR(__xludf.DUMMYFUNCTION("""COMPUTED_VALUE"""),627)</f>
        <v>627</v>
      </c>
      <c r="Y187" s="1">
        <f ca="1">IFERROR(__xludf.DUMMYFUNCTION("""COMPUTED_VALUE"""),0.743)</f>
        <v>0.74299999999999999</v>
      </c>
      <c r="Z187" s="1">
        <f ca="1">IFERROR(__xludf.DUMMYFUNCTION("""COMPUTED_VALUE"""),378)</f>
        <v>378</v>
      </c>
      <c r="AA187" s="1">
        <f ca="1">IFERROR(__xludf.DUMMYFUNCTION("""COMPUTED_VALUE"""),1336)</f>
        <v>1336</v>
      </c>
      <c r="AB187" s="1">
        <f ca="1">IFERROR(__xludf.DUMMYFUNCTION("""COMPUTED_VALUE"""),447)</f>
        <v>447</v>
      </c>
      <c r="AC187" s="1">
        <f ca="1">IFERROR(__xludf.DUMMYFUNCTION("""COMPUTED_VALUE"""),148)</f>
        <v>148</v>
      </c>
      <c r="AD187" s="1">
        <f ca="1">IFERROR(__xludf.DUMMYFUNCTION("""COMPUTED_VALUE"""),163)</f>
        <v>163</v>
      </c>
      <c r="AE187" s="1">
        <f ca="1">IFERROR(__xludf.DUMMYFUNCTION("""COMPUTED_VALUE"""),437)</f>
        <v>437</v>
      </c>
      <c r="AF187" s="1">
        <f ca="1">IFERROR(__xludf.DUMMYFUNCTION("""COMPUTED_VALUE"""),526)</f>
        <v>526</v>
      </c>
    </row>
    <row r="188" spans="1:32" ht="12.5" x14ac:dyDescent="0.25">
      <c r="A188" s="1" t="str">
        <f ca="1">IFERROR(__xludf.DUMMYFUNCTION("""COMPUTED_VALUE"""),"Massachusetts-Lowell")</f>
        <v>Massachusetts-Lowell</v>
      </c>
      <c r="B188" s="1">
        <f ca="1">IFERROR(__xludf.DUMMYFUNCTION("""COMPUTED_VALUE"""),32)</f>
        <v>32</v>
      </c>
      <c r="C188" s="1">
        <f ca="1">IFERROR(__xludf.DUMMYFUNCTION("""COMPUTED_VALUE"""),15)</f>
        <v>15</v>
      </c>
      <c r="D188" s="1">
        <f ca="1">IFERROR(__xludf.DUMMYFUNCTION("""COMPUTED_VALUE"""),17)</f>
        <v>17</v>
      </c>
      <c r="E188" s="1">
        <f ca="1">IFERROR(__xludf.DUMMYFUNCTION("""COMPUTED_VALUE"""),0.469)</f>
        <v>0.46899999999999997</v>
      </c>
      <c r="F188" s="1">
        <f ca="1">IFERROR(__xludf.DUMMYFUNCTION("""COMPUTED_VALUE"""),-8.28)</f>
        <v>-8.2799999999999994</v>
      </c>
      <c r="G188" s="1">
        <f ca="1">IFERROR(__xludf.DUMMYFUNCTION("""COMPUTED_VALUE"""),-6.95)</f>
        <v>-6.95</v>
      </c>
      <c r="H188" s="1">
        <f ca="1">IFERROR(__xludf.DUMMYFUNCTION("""COMPUTED_VALUE"""),7)</f>
        <v>7</v>
      </c>
      <c r="I188" s="1">
        <f ca="1">IFERROR(__xludf.DUMMYFUNCTION("""COMPUTED_VALUE"""),9)</f>
        <v>9</v>
      </c>
      <c r="J188" s="1">
        <f ca="1">IFERROR(__xludf.DUMMYFUNCTION("""COMPUTED_VALUE"""),8)</f>
        <v>8</v>
      </c>
      <c r="K188" s="1">
        <f ca="1">IFERROR(__xludf.DUMMYFUNCTION("""COMPUTED_VALUE"""),5)</f>
        <v>5</v>
      </c>
      <c r="L188" s="1">
        <f ca="1">IFERROR(__xludf.DUMMYFUNCTION("""COMPUTED_VALUE"""),5)</f>
        <v>5</v>
      </c>
      <c r="M188" s="1">
        <f ca="1">IFERROR(__xludf.DUMMYFUNCTION("""COMPUTED_VALUE"""),12)</f>
        <v>12</v>
      </c>
      <c r="N188" s="1">
        <f ca="1">IFERROR(__xludf.DUMMYFUNCTION("""COMPUTED_VALUE"""),2456)</f>
        <v>2456</v>
      </c>
      <c r="O188" s="1">
        <f ca="1">IFERROR(__xludf.DUMMYFUNCTION("""COMPUTED_VALUE"""),2420)</f>
        <v>2420</v>
      </c>
      <c r="P188" s="1">
        <f ca="1">IFERROR(__xludf.DUMMYFUNCTION("""COMPUTED_VALUE"""),1290)</f>
        <v>1290</v>
      </c>
      <c r="Q188" s="1">
        <f ca="1">IFERROR(__xludf.DUMMYFUNCTION("""COMPUTED_VALUE"""),875)</f>
        <v>875</v>
      </c>
      <c r="R188" s="1">
        <f ca="1">IFERROR(__xludf.DUMMYFUNCTION("""COMPUTED_VALUE"""),1852)</f>
        <v>1852</v>
      </c>
      <c r="S188" s="1">
        <f ca="1">IFERROR(__xludf.DUMMYFUNCTION("""COMPUTED_VALUE"""),0.472)</f>
        <v>0.47199999999999998</v>
      </c>
      <c r="T188" s="1">
        <f ca="1">IFERROR(__xludf.DUMMYFUNCTION("""COMPUTED_VALUE"""),246)</f>
        <v>246</v>
      </c>
      <c r="U188" s="1">
        <f ca="1">IFERROR(__xludf.DUMMYFUNCTION("""COMPUTED_VALUE"""),721)</f>
        <v>721</v>
      </c>
      <c r="V188" s="1">
        <f ca="1">IFERROR(__xludf.DUMMYFUNCTION("""COMPUTED_VALUE"""),0.341)</f>
        <v>0.34100000000000003</v>
      </c>
      <c r="W188" s="1">
        <f ca="1">IFERROR(__xludf.DUMMYFUNCTION("""COMPUTED_VALUE"""),460)</f>
        <v>460</v>
      </c>
      <c r="X188" s="1">
        <f ca="1">IFERROR(__xludf.DUMMYFUNCTION("""COMPUTED_VALUE"""),639)</f>
        <v>639</v>
      </c>
      <c r="Y188" s="1">
        <f ca="1">IFERROR(__xludf.DUMMYFUNCTION("""COMPUTED_VALUE"""),0.72)</f>
        <v>0.72</v>
      </c>
      <c r="Z188" s="1">
        <f ca="1">IFERROR(__xludf.DUMMYFUNCTION("""COMPUTED_VALUE"""),293)</f>
        <v>293</v>
      </c>
      <c r="AA188" s="1">
        <f ca="1">IFERROR(__xludf.DUMMYFUNCTION("""COMPUTED_VALUE"""),1115)</f>
        <v>1115</v>
      </c>
      <c r="AB188" s="1">
        <f ca="1">IFERROR(__xludf.DUMMYFUNCTION("""COMPUTED_VALUE"""),500)</f>
        <v>500</v>
      </c>
      <c r="AC188" s="1">
        <f ca="1">IFERROR(__xludf.DUMMYFUNCTION("""COMPUTED_VALUE"""),181)</f>
        <v>181</v>
      </c>
      <c r="AD188" s="1">
        <f ca="1">IFERROR(__xludf.DUMMYFUNCTION("""COMPUTED_VALUE"""),85)</f>
        <v>85</v>
      </c>
      <c r="AE188" s="1">
        <f ca="1">IFERROR(__xludf.DUMMYFUNCTION("""COMPUTED_VALUE"""),447)</f>
        <v>447</v>
      </c>
      <c r="AF188" s="1">
        <f ca="1">IFERROR(__xludf.DUMMYFUNCTION("""COMPUTED_VALUE"""),589)</f>
        <v>589</v>
      </c>
    </row>
    <row r="189" spans="1:32" ht="12.5" x14ac:dyDescent="0.25">
      <c r="A189" s="1" t="str">
        <f ca="1">IFERROR(__xludf.DUMMYFUNCTION("""COMPUTED_VALUE"""),"Massachusetts")</f>
        <v>Massachusetts</v>
      </c>
      <c r="B189" s="1">
        <f ca="1">IFERROR(__xludf.DUMMYFUNCTION("""COMPUTED_VALUE"""),32)</f>
        <v>32</v>
      </c>
      <c r="C189" s="1">
        <f ca="1">IFERROR(__xludf.DUMMYFUNCTION("""COMPUTED_VALUE"""),11)</f>
        <v>11</v>
      </c>
      <c r="D189" s="1">
        <f ca="1">IFERROR(__xludf.DUMMYFUNCTION("""COMPUTED_VALUE"""),21)</f>
        <v>21</v>
      </c>
      <c r="E189" s="1">
        <f ca="1">IFERROR(__xludf.DUMMYFUNCTION("""COMPUTED_VALUE"""),0.344)</f>
        <v>0.34399999999999997</v>
      </c>
      <c r="F189" s="1">
        <f ca="1">IFERROR(__xludf.DUMMYFUNCTION("""COMPUTED_VALUE"""),-3.02)</f>
        <v>-3.02</v>
      </c>
      <c r="G189" s="1">
        <f ca="1">IFERROR(__xludf.DUMMYFUNCTION("""COMPUTED_VALUE"""),-0.18)</f>
        <v>-0.18</v>
      </c>
      <c r="H189" s="1">
        <f ca="1">IFERROR(__xludf.DUMMYFUNCTION("""COMPUTED_VALUE"""),4)</f>
        <v>4</v>
      </c>
      <c r="I189" s="1">
        <f ca="1">IFERROR(__xludf.DUMMYFUNCTION("""COMPUTED_VALUE"""),14)</f>
        <v>14</v>
      </c>
      <c r="J189" s="1">
        <f ca="1">IFERROR(__xludf.DUMMYFUNCTION("""COMPUTED_VALUE"""),9)</f>
        <v>9</v>
      </c>
      <c r="K189" s="1">
        <f ca="1">IFERROR(__xludf.DUMMYFUNCTION("""COMPUTED_VALUE"""),8)</f>
        <v>8</v>
      </c>
      <c r="L189" s="1">
        <f ca="1">IFERROR(__xludf.DUMMYFUNCTION("""COMPUTED_VALUE"""),1)</f>
        <v>1</v>
      </c>
      <c r="M189" s="1">
        <f ca="1">IFERROR(__xludf.DUMMYFUNCTION("""COMPUTED_VALUE"""),11)</f>
        <v>11</v>
      </c>
      <c r="N189" s="1">
        <f ca="1">IFERROR(__xludf.DUMMYFUNCTION("""COMPUTED_VALUE"""),2263)</f>
        <v>2263</v>
      </c>
      <c r="O189" s="1">
        <f ca="1">IFERROR(__xludf.DUMMYFUNCTION("""COMPUTED_VALUE"""),2354)</f>
        <v>2354</v>
      </c>
      <c r="P189" s="1">
        <f ca="1">IFERROR(__xludf.DUMMYFUNCTION("""COMPUTED_VALUE"""),1290)</f>
        <v>1290</v>
      </c>
      <c r="Q189" s="1">
        <f ca="1">IFERROR(__xludf.DUMMYFUNCTION("""COMPUTED_VALUE"""),808)</f>
        <v>808</v>
      </c>
      <c r="R189" s="1">
        <f ca="1">IFERROR(__xludf.DUMMYFUNCTION("""COMPUTED_VALUE"""),1831)</f>
        <v>1831</v>
      </c>
      <c r="S189" s="1">
        <f ca="1">IFERROR(__xludf.DUMMYFUNCTION("""COMPUTED_VALUE"""),0.441)</f>
        <v>0.441</v>
      </c>
      <c r="T189" s="1">
        <f ca="1">IFERROR(__xludf.DUMMYFUNCTION("""COMPUTED_VALUE"""),256)</f>
        <v>256</v>
      </c>
      <c r="U189" s="1">
        <f ca="1">IFERROR(__xludf.DUMMYFUNCTION("""COMPUTED_VALUE"""),732)</f>
        <v>732</v>
      </c>
      <c r="V189" s="1">
        <f ca="1">IFERROR(__xludf.DUMMYFUNCTION("""COMPUTED_VALUE"""),0.35)</f>
        <v>0.35</v>
      </c>
      <c r="W189" s="1">
        <f ca="1">IFERROR(__xludf.DUMMYFUNCTION("""COMPUTED_VALUE"""),391)</f>
        <v>391</v>
      </c>
      <c r="X189" s="1">
        <f ca="1">IFERROR(__xludf.DUMMYFUNCTION("""COMPUTED_VALUE"""),574)</f>
        <v>574</v>
      </c>
      <c r="Y189" s="1">
        <f ca="1">IFERROR(__xludf.DUMMYFUNCTION("""COMPUTED_VALUE"""),0.681)</f>
        <v>0.68100000000000005</v>
      </c>
      <c r="Z189" s="1">
        <f ca="1">IFERROR(__xludf.DUMMYFUNCTION("""COMPUTED_VALUE"""),342)</f>
        <v>342</v>
      </c>
      <c r="AA189" s="1">
        <f ca="1">IFERROR(__xludf.DUMMYFUNCTION("""COMPUTED_VALUE"""),1123)</f>
        <v>1123</v>
      </c>
      <c r="AB189" s="1">
        <f ca="1">IFERROR(__xludf.DUMMYFUNCTION("""COMPUTED_VALUE"""),468)</f>
        <v>468</v>
      </c>
      <c r="AC189" s="1">
        <f ca="1">IFERROR(__xludf.DUMMYFUNCTION("""COMPUTED_VALUE"""),154)</f>
        <v>154</v>
      </c>
      <c r="AD189" s="1">
        <f ca="1">IFERROR(__xludf.DUMMYFUNCTION("""COMPUTED_VALUE"""),93)</f>
        <v>93</v>
      </c>
      <c r="AE189" s="1">
        <f ca="1">IFERROR(__xludf.DUMMYFUNCTION("""COMPUTED_VALUE"""),445)</f>
        <v>445</v>
      </c>
      <c r="AF189" s="1">
        <f ca="1">IFERROR(__xludf.DUMMYFUNCTION("""COMPUTED_VALUE"""),643)</f>
        <v>643</v>
      </c>
    </row>
    <row r="190" spans="1:32" ht="12.5" x14ac:dyDescent="0.25">
      <c r="A190" s="1" t="str">
        <f ca="1">IFERROR(__xludf.DUMMYFUNCTION("""COMPUTED_VALUE"""),"McNeese State")</f>
        <v>McNeese State</v>
      </c>
      <c r="B190" s="1">
        <f ca="1">IFERROR(__xludf.DUMMYFUNCTION("""COMPUTED_VALUE"""),31)</f>
        <v>31</v>
      </c>
      <c r="C190" s="1">
        <f ca="1">IFERROR(__xludf.DUMMYFUNCTION("""COMPUTED_VALUE"""),9)</f>
        <v>9</v>
      </c>
      <c r="D190" s="1">
        <f ca="1">IFERROR(__xludf.DUMMYFUNCTION("""COMPUTED_VALUE"""),22)</f>
        <v>22</v>
      </c>
      <c r="E190" s="1">
        <f ca="1">IFERROR(__xludf.DUMMYFUNCTION("""COMPUTED_VALUE"""),0.29)</f>
        <v>0.28999999999999998</v>
      </c>
      <c r="F190" s="1">
        <f ca="1">IFERROR(__xludf.DUMMYFUNCTION("""COMPUTED_VALUE"""),-14.41)</f>
        <v>-14.41</v>
      </c>
      <c r="G190" s="1">
        <f ca="1">IFERROR(__xludf.DUMMYFUNCTION("""COMPUTED_VALUE"""),-6.15)</f>
        <v>-6.15</v>
      </c>
      <c r="H190" s="1">
        <f ca="1">IFERROR(__xludf.DUMMYFUNCTION("""COMPUTED_VALUE"""),5)</f>
        <v>5</v>
      </c>
      <c r="I190" s="1">
        <f ca="1">IFERROR(__xludf.DUMMYFUNCTION("""COMPUTED_VALUE"""),13)</f>
        <v>13</v>
      </c>
      <c r="J190" s="1">
        <f ca="1">IFERROR(__xludf.DUMMYFUNCTION("""COMPUTED_VALUE"""),7)</f>
        <v>7</v>
      </c>
      <c r="K190" s="1">
        <f ca="1">IFERROR(__xludf.DUMMYFUNCTION("""COMPUTED_VALUE"""),8)</f>
        <v>8</v>
      </c>
      <c r="L190" s="1">
        <f ca="1">IFERROR(__xludf.DUMMYFUNCTION("""COMPUTED_VALUE"""),2)</f>
        <v>2</v>
      </c>
      <c r="M190" s="1">
        <f ca="1">IFERROR(__xludf.DUMMYFUNCTION("""COMPUTED_VALUE"""),14)</f>
        <v>14</v>
      </c>
      <c r="N190" s="1">
        <f ca="1">IFERROR(__xludf.DUMMYFUNCTION("""COMPUTED_VALUE"""),2149)</f>
        <v>2149</v>
      </c>
      <c r="O190" s="1">
        <f ca="1">IFERROR(__xludf.DUMMYFUNCTION("""COMPUTED_VALUE"""),2303)</f>
        <v>2303</v>
      </c>
      <c r="P190" s="1">
        <f ca="1">IFERROR(__xludf.DUMMYFUNCTION("""COMPUTED_VALUE"""),1245)</f>
        <v>1245</v>
      </c>
      <c r="Q190" s="1">
        <f ca="1">IFERROR(__xludf.DUMMYFUNCTION("""COMPUTED_VALUE"""),760)</f>
        <v>760</v>
      </c>
      <c r="R190" s="1">
        <f ca="1">IFERROR(__xludf.DUMMYFUNCTION("""COMPUTED_VALUE"""),1676)</f>
        <v>1676</v>
      </c>
      <c r="S190" s="1">
        <f ca="1">IFERROR(__xludf.DUMMYFUNCTION("""COMPUTED_VALUE"""),0.453)</f>
        <v>0.45300000000000001</v>
      </c>
      <c r="T190" s="1">
        <f ca="1">IFERROR(__xludf.DUMMYFUNCTION("""COMPUTED_VALUE"""),168)</f>
        <v>168</v>
      </c>
      <c r="U190" s="1">
        <f ca="1">IFERROR(__xludf.DUMMYFUNCTION("""COMPUTED_VALUE"""),548)</f>
        <v>548</v>
      </c>
      <c r="V190" s="1">
        <f ca="1">IFERROR(__xludf.DUMMYFUNCTION("""COMPUTED_VALUE"""),0.307)</f>
        <v>0.307</v>
      </c>
      <c r="W190" s="1">
        <f ca="1">IFERROR(__xludf.DUMMYFUNCTION("""COMPUTED_VALUE"""),461)</f>
        <v>461</v>
      </c>
      <c r="X190" s="1">
        <f ca="1">IFERROR(__xludf.DUMMYFUNCTION("""COMPUTED_VALUE"""),647)</f>
        <v>647</v>
      </c>
      <c r="Y190" s="1">
        <f ca="1">IFERROR(__xludf.DUMMYFUNCTION("""COMPUTED_VALUE"""),0.713)</f>
        <v>0.71299999999999997</v>
      </c>
      <c r="Z190" s="1">
        <f ca="1">IFERROR(__xludf.DUMMYFUNCTION("""COMPUTED_VALUE"""),310)</f>
        <v>310</v>
      </c>
      <c r="AA190" s="1">
        <f ca="1">IFERROR(__xludf.DUMMYFUNCTION("""COMPUTED_VALUE"""),1054)</f>
        <v>1054</v>
      </c>
      <c r="AB190" s="1">
        <f ca="1">IFERROR(__xludf.DUMMYFUNCTION("""COMPUTED_VALUE"""),429)</f>
        <v>429</v>
      </c>
      <c r="AC190" s="1">
        <f ca="1">IFERROR(__xludf.DUMMYFUNCTION("""COMPUTED_VALUE"""),147)</f>
        <v>147</v>
      </c>
      <c r="AD190" s="1">
        <f ca="1">IFERROR(__xludf.DUMMYFUNCTION("""COMPUTED_VALUE"""),97)</f>
        <v>97</v>
      </c>
      <c r="AE190" s="1">
        <f ca="1">IFERROR(__xludf.DUMMYFUNCTION("""COMPUTED_VALUE"""),450)</f>
        <v>450</v>
      </c>
      <c r="AF190" s="1">
        <f ca="1">IFERROR(__xludf.DUMMYFUNCTION("""COMPUTED_VALUE"""),467)</f>
        <v>467</v>
      </c>
    </row>
    <row r="191" spans="1:32" ht="12.5" x14ac:dyDescent="0.25">
      <c r="A191" s="1" t="str">
        <f ca="1">IFERROR(__xludf.DUMMYFUNCTION("""COMPUTED_VALUE"""),"Memphis")</f>
        <v>Memphis</v>
      </c>
      <c r="B191" s="1">
        <f ca="1">IFERROR(__xludf.DUMMYFUNCTION("""COMPUTED_VALUE"""),36)</f>
        <v>36</v>
      </c>
      <c r="C191" s="1">
        <f ca="1">IFERROR(__xludf.DUMMYFUNCTION("""COMPUTED_VALUE"""),22)</f>
        <v>22</v>
      </c>
      <c r="D191" s="1">
        <f ca="1">IFERROR(__xludf.DUMMYFUNCTION("""COMPUTED_VALUE"""),14)</f>
        <v>14</v>
      </c>
      <c r="E191" s="1">
        <f ca="1">IFERROR(__xludf.DUMMYFUNCTION("""COMPUTED_VALUE"""),0.611)</f>
        <v>0.61099999999999999</v>
      </c>
      <c r="F191" s="1">
        <f ca="1">IFERROR(__xludf.DUMMYFUNCTION("""COMPUTED_VALUE"""),10.7)</f>
        <v>10.7</v>
      </c>
      <c r="G191" s="1">
        <f ca="1">IFERROR(__xludf.DUMMYFUNCTION("""COMPUTED_VALUE"""),5.09)</f>
        <v>5.09</v>
      </c>
      <c r="H191" s="1">
        <f ca="1">IFERROR(__xludf.DUMMYFUNCTION("""COMPUTED_VALUE"""),11)</f>
        <v>11</v>
      </c>
      <c r="I191" s="1">
        <f ca="1">IFERROR(__xludf.DUMMYFUNCTION("""COMPUTED_VALUE"""),7)</f>
        <v>7</v>
      </c>
      <c r="J191" s="1">
        <f ca="1">IFERROR(__xludf.DUMMYFUNCTION("""COMPUTED_VALUE"""),17)</f>
        <v>17</v>
      </c>
      <c r="K191" s="1">
        <f ca="1">IFERROR(__xludf.DUMMYFUNCTION("""COMPUTED_VALUE"""),2)</f>
        <v>2</v>
      </c>
      <c r="L191" s="1">
        <f ca="1">IFERROR(__xludf.DUMMYFUNCTION("""COMPUTED_VALUE"""),3)</f>
        <v>3</v>
      </c>
      <c r="M191" s="1">
        <f ca="1">IFERROR(__xludf.DUMMYFUNCTION("""COMPUTED_VALUE"""),8)</f>
        <v>8</v>
      </c>
      <c r="N191" s="1">
        <f ca="1">IFERROR(__xludf.DUMMYFUNCTION("""COMPUTED_VALUE"""),2882)</f>
        <v>2882</v>
      </c>
      <c r="O191" s="1">
        <f ca="1">IFERROR(__xludf.DUMMYFUNCTION("""COMPUTED_VALUE"""),2680)</f>
        <v>2680</v>
      </c>
      <c r="P191" s="1">
        <f ca="1">IFERROR(__xludf.DUMMYFUNCTION("""COMPUTED_VALUE"""),1450)</f>
        <v>1450</v>
      </c>
      <c r="Q191" s="1">
        <f ca="1">IFERROR(__xludf.DUMMYFUNCTION("""COMPUTED_VALUE"""),1013)</f>
        <v>1013</v>
      </c>
      <c r="R191" s="1">
        <f ca="1">IFERROR(__xludf.DUMMYFUNCTION("""COMPUTED_VALUE"""),2238)</f>
        <v>2238</v>
      </c>
      <c r="S191" s="1">
        <f ca="1">IFERROR(__xludf.DUMMYFUNCTION("""COMPUTED_VALUE"""),0.453)</f>
        <v>0.45300000000000001</v>
      </c>
      <c r="T191" s="1">
        <f ca="1">IFERROR(__xludf.DUMMYFUNCTION("""COMPUTED_VALUE"""),260)</f>
        <v>260</v>
      </c>
      <c r="U191" s="1">
        <f ca="1">IFERROR(__xludf.DUMMYFUNCTION("""COMPUTED_VALUE"""),807)</f>
        <v>807</v>
      </c>
      <c r="V191" s="1">
        <f ca="1">IFERROR(__xludf.DUMMYFUNCTION("""COMPUTED_VALUE"""),0.322)</f>
        <v>0.32200000000000001</v>
      </c>
      <c r="W191" s="1">
        <f ca="1">IFERROR(__xludf.DUMMYFUNCTION("""COMPUTED_VALUE"""),596)</f>
        <v>596</v>
      </c>
      <c r="X191" s="1">
        <f ca="1">IFERROR(__xludf.DUMMYFUNCTION("""COMPUTED_VALUE"""),835)</f>
        <v>835</v>
      </c>
      <c r="Y191" s="1">
        <f ca="1">IFERROR(__xludf.DUMMYFUNCTION("""COMPUTED_VALUE"""),0.714)</f>
        <v>0.71399999999999997</v>
      </c>
      <c r="Z191" s="1">
        <f ca="1">IFERROR(__xludf.DUMMYFUNCTION("""COMPUTED_VALUE"""),436)</f>
        <v>436</v>
      </c>
      <c r="AA191" s="1">
        <f ca="1">IFERROR(__xludf.DUMMYFUNCTION("""COMPUTED_VALUE"""),1358)</f>
        <v>1358</v>
      </c>
      <c r="AB191" s="1">
        <f ca="1">IFERROR(__xludf.DUMMYFUNCTION("""COMPUTED_VALUE"""),553)</f>
        <v>553</v>
      </c>
      <c r="AC191" s="1">
        <f ca="1">IFERROR(__xludf.DUMMYFUNCTION("""COMPUTED_VALUE"""),288)</f>
        <v>288</v>
      </c>
      <c r="AD191" s="1">
        <f ca="1">IFERROR(__xludf.DUMMYFUNCTION("""COMPUTED_VALUE"""),144)</f>
        <v>144</v>
      </c>
      <c r="AE191" s="1">
        <f ca="1">IFERROR(__xludf.DUMMYFUNCTION("""COMPUTED_VALUE"""),538)</f>
        <v>538</v>
      </c>
      <c r="AF191" s="1">
        <f ca="1">IFERROR(__xludf.DUMMYFUNCTION("""COMPUTED_VALUE"""),739)</f>
        <v>739</v>
      </c>
    </row>
    <row r="192" spans="1:32" ht="12.5" x14ac:dyDescent="0.25">
      <c r="A192" s="1" t="str">
        <f ca="1">IFERROR(__xludf.DUMMYFUNCTION("""COMPUTED_VALUE"""),"Mercer")</f>
        <v>Mercer</v>
      </c>
      <c r="B192" s="1">
        <f ca="1">IFERROR(__xludf.DUMMYFUNCTION("""COMPUTED_VALUE"""),31)</f>
        <v>31</v>
      </c>
      <c r="C192" s="1">
        <f ca="1">IFERROR(__xludf.DUMMYFUNCTION("""COMPUTED_VALUE"""),11)</f>
        <v>11</v>
      </c>
      <c r="D192" s="1">
        <f ca="1">IFERROR(__xludf.DUMMYFUNCTION("""COMPUTED_VALUE"""),20)</f>
        <v>20</v>
      </c>
      <c r="E192" s="1">
        <f ca="1">IFERROR(__xludf.DUMMYFUNCTION("""COMPUTED_VALUE"""),0.355)</f>
        <v>0.35499999999999998</v>
      </c>
      <c r="F192" s="1">
        <f ca="1">IFERROR(__xludf.DUMMYFUNCTION("""COMPUTED_VALUE"""),-2.86)</f>
        <v>-2.86</v>
      </c>
      <c r="G192" s="1">
        <f ca="1">IFERROR(__xludf.DUMMYFUNCTION("""COMPUTED_VALUE"""),-0.24)</f>
        <v>-0.24</v>
      </c>
      <c r="H192" s="1">
        <f ca="1">IFERROR(__xludf.DUMMYFUNCTION("""COMPUTED_VALUE"""),6)</f>
        <v>6</v>
      </c>
      <c r="I192" s="1">
        <f ca="1">IFERROR(__xludf.DUMMYFUNCTION("""COMPUTED_VALUE"""),12)</f>
        <v>12</v>
      </c>
      <c r="J192" s="1">
        <f ca="1">IFERROR(__xludf.DUMMYFUNCTION("""COMPUTED_VALUE"""),9)</f>
        <v>9</v>
      </c>
      <c r="K192" s="1">
        <f ca="1">IFERROR(__xludf.DUMMYFUNCTION("""COMPUTED_VALUE"""),6)</f>
        <v>6</v>
      </c>
      <c r="L192" s="1">
        <f ca="1">IFERROR(__xludf.DUMMYFUNCTION("""COMPUTED_VALUE"""),2)</f>
        <v>2</v>
      </c>
      <c r="M192" s="1">
        <f ca="1">IFERROR(__xludf.DUMMYFUNCTION("""COMPUTED_VALUE"""),12)</f>
        <v>12</v>
      </c>
      <c r="N192" s="1">
        <f ca="1">IFERROR(__xludf.DUMMYFUNCTION("""COMPUTED_VALUE"""),2248)</f>
        <v>2248</v>
      </c>
      <c r="O192" s="1">
        <f ca="1">IFERROR(__xludf.DUMMYFUNCTION("""COMPUTED_VALUE"""),2246)</f>
        <v>2246</v>
      </c>
      <c r="P192" s="1">
        <f ca="1">IFERROR(__xludf.DUMMYFUNCTION("""COMPUTED_VALUE"""),1245)</f>
        <v>1245</v>
      </c>
      <c r="Q192" s="1">
        <f ca="1">IFERROR(__xludf.DUMMYFUNCTION("""COMPUTED_VALUE"""),787)</f>
        <v>787</v>
      </c>
      <c r="R192" s="1">
        <f ca="1">IFERROR(__xludf.DUMMYFUNCTION("""COMPUTED_VALUE"""),1746)</f>
        <v>1746</v>
      </c>
      <c r="S192" s="1">
        <f ca="1">IFERROR(__xludf.DUMMYFUNCTION("""COMPUTED_VALUE"""),0.451)</f>
        <v>0.45100000000000001</v>
      </c>
      <c r="T192" s="1">
        <f ca="1">IFERROR(__xludf.DUMMYFUNCTION("""COMPUTED_VALUE"""),228)</f>
        <v>228</v>
      </c>
      <c r="U192" s="1">
        <f ca="1">IFERROR(__xludf.DUMMYFUNCTION("""COMPUTED_VALUE"""),663)</f>
        <v>663</v>
      </c>
      <c r="V192" s="1">
        <f ca="1">IFERROR(__xludf.DUMMYFUNCTION("""COMPUTED_VALUE"""),0.344)</f>
        <v>0.34399999999999997</v>
      </c>
      <c r="W192" s="1">
        <f ca="1">IFERROR(__xludf.DUMMYFUNCTION("""COMPUTED_VALUE"""),446)</f>
        <v>446</v>
      </c>
      <c r="X192" s="1">
        <f ca="1">IFERROR(__xludf.DUMMYFUNCTION("""COMPUTED_VALUE"""),648)</f>
        <v>648</v>
      </c>
      <c r="Y192" s="1">
        <f ca="1">IFERROR(__xludf.DUMMYFUNCTION("""COMPUTED_VALUE"""),0.688)</f>
        <v>0.68799999999999994</v>
      </c>
      <c r="Z192" s="1">
        <f ca="1">IFERROR(__xludf.DUMMYFUNCTION("""COMPUTED_VALUE"""),307)</f>
        <v>307</v>
      </c>
      <c r="AA192" s="1">
        <f ca="1">IFERROR(__xludf.DUMMYFUNCTION("""COMPUTED_VALUE"""),1057)</f>
        <v>1057</v>
      </c>
      <c r="AB192" s="1">
        <f ca="1">IFERROR(__xludf.DUMMYFUNCTION("""COMPUTED_VALUE"""),393)</f>
        <v>393</v>
      </c>
      <c r="AC192" s="1">
        <f ca="1">IFERROR(__xludf.DUMMYFUNCTION("""COMPUTED_VALUE"""),207)</f>
        <v>207</v>
      </c>
      <c r="AD192" s="1">
        <f ca="1">IFERROR(__xludf.DUMMYFUNCTION("""COMPUTED_VALUE"""),80)</f>
        <v>80</v>
      </c>
      <c r="AE192" s="1">
        <f ca="1">IFERROR(__xludf.DUMMYFUNCTION("""COMPUTED_VALUE"""),407)</f>
        <v>407</v>
      </c>
      <c r="AF192" s="1">
        <f ca="1">IFERROR(__xludf.DUMMYFUNCTION("""COMPUTED_VALUE"""),557)</f>
        <v>557</v>
      </c>
    </row>
    <row r="193" spans="1:32" ht="12.5" x14ac:dyDescent="0.25">
      <c r="A193" s="1" t="str">
        <f ca="1">IFERROR(__xludf.DUMMYFUNCTION("""COMPUTED_VALUE"""),"Miami (FL)")</f>
        <v>Miami (FL)</v>
      </c>
      <c r="B193" s="1">
        <f ca="1">IFERROR(__xludf.DUMMYFUNCTION("""COMPUTED_VALUE"""),32)</f>
        <v>32</v>
      </c>
      <c r="C193" s="1">
        <f ca="1">IFERROR(__xludf.DUMMYFUNCTION("""COMPUTED_VALUE"""),14)</f>
        <v>14</v>
      </c>
      <c r="D193" s="1">
        <f ca="1">IFERROR(__xludf.DUMMYFUNCTION("""COMPUTED_VALUE"""),18)</f>
        <v>18</v>
      </c>
      <c r="E193" s="1">
        <f ca="1">IFERROR(__xludf.DUMMYFUNCTION("""COMPUTED_VALUE"""),0.438)</f>
        <v>0.438</v>
      </c>
      <c r="F193" s="1">
        <f ca="1">IFERROR(__xludf.DUMMYFUNCTION("""COMPUTED_VALUE"""),9.39)</f>
        <v>9.39</v>
      </c>
      <c r="G193" s="1">
        <f ca="1">IFERROR(__xludf.DUMMYFUNCTION("""COMPUTED_VALUE"""),8.7)</f>
        <v>8.6999999999999993</v>
      </c>
      <c r="H193" s="1">
        <f ca="1">IFERROR(__xludf.DUMMYFUNCTION("""COMPUTED_VALUE"""),5)</f>
        <v>5</v>
      </c>
      <c r="I193" s="1">
        <f ca="1">IFERROR(__xludf.DUMMYFUNCTION("""COMPUTED_VALUE"""),13)</f>
        <v>13</v>
      </c>
      <c r="J193" s="1">
        <f ca="1">IFERROR(__xludf.DUMMYFUNCTION("""COMPUTED_VALUE"""),11)</f>
        <v>11</v>
      </c>
      <c r="K193" s="1">
        <f ca="1">IFERROR(__xludf.DUMMYFUNCTION("""COMPUTED_VALUE"""),5)</f>
        <v>5</v>
      </c>
      <c r="L193" s="1">
        <f ca="1">IFERROR(__xludf.DUMMYFUNCTION("""COMPUTED_VALUE"""),0)</f>
        <v>0</v>
      </c>
      <c r="M193" s="1">
        <f ca="1">IFERROR(__xludf.DUMMYFUNCTION("""COMPUTED_VALUE"""),10)</f>
        <v>10</v>
      </c>
      <c r="N193" s="1">
        <f ca="1">IFERROR(__xludf.DUMMYFUNCTION("""COMPUTED_VALUE"""),2297)</f>
        <v>2297</v>
      </c>
      <c r="O193" s="1">
        <f ca="1">IFERROR(__xludf.DUMMYFUNCTION("""COMPUTED_VALUE"""),2275)</f>
        <v>2275</v>
      </c>
      <c r="P193" s="1">
        <f ca="1">IFERROR(__xludf.DUMMYFUNCTION("""COMPUTED_VALUE"""),1285)</f>
        <v>1285</v>
      </c>
      <c r="Q193" s="1">
        <f ca="1">IFERROR(__xludf.DUMMYFUNCTION("""COMPUTED_VALUE"""),805)</f>
        <v>805</v>
      </c>
      <c r="R193" s="1">
        <f ca="1">IFERROR(__xludf.DUMMYFUNCTION("""COMPUTED_VALUE"""),1851)</f>
        <v>1851</v>
      </c>
      <c r="S193" s="1">
        <f ca="1">IFERROR(__xludf.DUMMYFUNCTION("""COMPUTED_VALUE"""),0.435)</f>
        <v>0.435</v>
      </c>
      <c r="T193" s="1">
        <f ca="1">IFERROR(__xludf.DUMMYFUNCTION("""COMPUTED_VALUE"""),268)</f>
        <v>268</v>
      </c>
      <c r="U193" s="1">
        <f ca="1">IFERROR(__xludf.DUMMYFUNCTION("""COMPUTED_VALUE"""),805)</f>
        <v>805</v>
      </c>
      <c r="V193" s="1">
        <f ca="1">IFERROR(__xludf.DUMMYFUNCTION("""COMPUTED_VALUE"""),0.333)</f>
        <v>0.33300000000000002</v>
      </c>
      <c r="W193" s="1">
        <f ca="1">IFERROR(__xludf.DUMMYFUNCTION("""COMPUTED_VALUE"""),419)</f>
        <v>419</v>
      </c>
      <c r="X193" s="1">
        <f ca="1">IFERROR(__xludf.DUMMYFUNCTION("""COMPUTED_VALUE"""),570)</f>
        <v>570</v>
      </c>
      <c r="Y193" s="1">
        <f ca="1">IFERROR(__xludf.DUMMYFUNCTION("""COMPUTED_VALUE"""),0.735)</f>
        <v>0.73499999999999999</v>
      </c>
      <c r="Z193" s="1">
        <f ca="1">IFERROR(__xludf.DUMMYFUNCTION("""COMPUTED_VALUE"""),291)</f>
        <v>291</v>
      </c>
      <c r="AA193" s="1">
        <f ca="1">IFERROR(__xludf.DUMMYFUNCTION("""COMPUTED_VALUE"""),1061)</f>
        <v>1061</v>
      </c>
      <c r="AB193" s="1">
        <f ca="1">IFERROR(__xludf.DUMMYFUNCTION("""COMPUTED_VALUE"""),413)</f>
        <v>413</v>
      </c>
      <c r="AC193" s="1">
        <f ca="1">IFERROR(__xludf.DUMMYFUNCTION("""COMPUTED_VALUE"""),212)</f>
        <v>212</v>
      </c>
      <c r="AD193" s="1">
        <f ca="1">IFERROR(__xludf.DUMMYFUNCTION("""COMPUTED_VALUE"""),100)</f>
        <v>100</v>
      </c>
      <c r="AE193" s="1">
        <f ca="1">IFERROR(__xludf.DUMMYFUNCTION("""COMPUTED_VALUE"""),372)</f>
        <v>372</v>
      </c>
      <c r="AF193" s="1">
        <f ca="1">IFERROR(__xludf.DUMMYFUNCTION("""COMPUTED_VALUE"""),465)</f>
        <v>465</v>
      </c>
    </row>
    <row r="194" spans="1:32" ht="12.5" x14ac:dyDescent="0.25">
      <c r="A194" s="1" t="str">
        <f ca="1">IFERROR(__xludf.DUMMYFUNCTION("""COMPUTED_VALUE"""),"Miami (OH)")</f>
        <v>Miami (OH)</v>
      </c>
      <c r="B194" s="1">
        <f ca="1">IFERROR(__xludf.DUMMYFUNCTION("""COMPUTED_VALUE"""),32)</f>
        <v>32</v>
      </c>
      <c r="C194" s="1">
        <f ca="1">IFERROR(__xludf.DUMMYFUNCTION("""COMPUTED_VALUE"""),15)</f>
        <v>15</v>
      </c>
      <c r="D194" s="1">
        <f ca="1">IFERROR(__xludf.DUMMYFUNCTION("""COMPUTED_VALUE"""),17)</f>
        <v>17</v>
      </c>
      <c r="E194" s="1">
        <f ca="1">IFERROR(__xludf.DUMMYFUNCTION("""COMPUTED_VALUE"""),0.469)</f>
        <v>0.46899999999999997</v>
      </c>
      <c r="F194" s="1">
        <f ca="1">IFERROR(__xludf.DUMMYFUNCTION("""COMPUTED_VALUE"""),0.77)</f>
        <v>0.77</v>
      </c>
      <c r="G194" s="1">
        <f ca="1">IFERROR(__xludf.DUMMYFUNCTION("""COMPUTED_VALUE"""),2.31)</f>
        <v>2.31</v>
      </c>
      <c r="H194" s="1">
        <f ca="1">IFERROR(__xludf.DUMMYFUNCTION("""COMPUTED_VALUE"""),7)</f>
        <v>7</v>
      </c>
      <c r="I194" s="1">
        <f ca="1">IFERROR(__xludf.DUMMYFUNCTION("""COMPUTED_VALUE"""),11)</f>
        <v>11</v>
      </c>
      <c r="J194" s="1">
        <f ca="1">IFERROR(__xludf.DUMMYFUNCTION("""COMPUTED_VALUE"""),10)</f>
        <v>10</v>
      </c>
      <c r="K194" s="1">
        <f ca="1">IFERROR(__xludf.DUMMYFUNCTION("""COMPUTED_VALUE"""),5)</f>
        <v>5</v>
      </c>
      <c r="L194" s="1">
        <f ca="1">IFERROR(__xludf.DUMMYFUNCTION("""COMPUTED_VALUE"""),4)</f>
        <v>4</v>
      </c>
      <c r="M194" s="1">
        <f ca="1">IFERROR(__xludf.DUMMYFUNCTION("""COMPUTED_VALUE"""),10)</f>
        <v>10</v>
      </c>
      <c r="N194" s="1">
        <f ca="1">IFERROR(__xludf.DUMMYFUNCTION("""COMPUTED_VALUE"""),2267)</f>
        <v>2267</v>
      </c>
      <c r="O194" s="1">
        <f ca="1">IFERROR(__xludf.DUMMYFUNCTION("""COMPUTED_VALUE"""),2233)</f>
        <v>2233</v>
      </c>
      <c r="P194" s="1">
        <f ca="1">IFERROR(__xludf.DUMMYFUNCTION("""COMPUTED_VALUE"""),1285)</f>
        <v>1285</v>
      </c>
      <c r="Q194" s="1">
        <f ca="1">IFERROR(__xludf.DUMMYFUNCTION("""COMPUTED_VALUE"""),777)</f>
        <v>777</v>
      </c>
      <c r="R194" s="1">
        <f ca="1">IFERROR(__xludf.DUMMYFUNCTION("""COMPUTED_VALUE"""),1847)</f>
        <v>1847</v>
      </c>
      <c r="S194" s="1">
        <f ca="1">IFERROR(__xludf.DUMMYFUNCTION("""COMPUTED_VALUE"""),0.421)</f>
        <v>0.42099999999999999</v>
      </c>
      <c r="T194" s="1">
        <f ca="1">IFERROR(__xludf.DUMMYFUNCTION("""COMPUTED_VALUE"""),269)</f>
        <v>269</v>
      </c>
      <c r="U194" s="1">
        <f ca="1">IFERROR(__xludf.DUMMYFUNCTION("""COMPUTED_VALUE"""),832)</f>
        <v>832</v>
      </c>
      <c r="V194" s="1">
        <f ca="1">IFERROR(__xludf.DUMMYFUNCTION("""COMPUTED_VALUE"""),0.323)</f>
        <v>0.32300000000000001</v>
      </c>
      <c r="W194" s="1">
        <f ca="1">IFERROR(__xludf.DUMMYFUNCTION("""COMPUTED_VALUE"""),444)</f>
        <v>444</v>
      </c>
      <c r="X194" s="1">
        <f ca="1">IFERROR(__xludf.DUMMYFUNCTION("""COMPUTED_VALUE"""),626)</f>
        <v>626</v>
      </c>
      <c r="Y194" s="1">
        <f ca="1">IFERROR(__xludf.DUMMYFUNCTION("""COMPUTED_VALUE"""),0.709)</f>
        <v>0.70899999999999996</v>
      </c>
      <c r="Z194" s="1">
        <f ca="1">IFERROR(__xludf.DUMMYFUNCTION("""COMPUTED_VALUE"""),353)</f>
        <v>353</v>
      </c>
      <c r="AA194" s="1">
        <f ca="1">IFERROR(__xludf.DUMMYFUNCTION("""COMPUTED_VALUE"""),1190)</f>
        <v>1190</v>
      </c>
      <c r="AB194" s="1">
        <f ca="1">IFERROR(__xludf.DUMMYFUNCTION("""COMPUTED_VALUE"""),349)</f>
        <v>349</v>
      </c>
      <c r="AC194" s="1">
        <f ca="1">IFERROR(__xludf.DUMMYFUNCTION("""COMPUTED_VALUE"""),194)</f>
        <v>194</v>
      </c>
      <c r="AD194" s="1">
        <f ca="1">IFERROR(__xludf.DUMMYFUNCTION("""COMPUTED_VALUE"""),87)</f>
        <v>87</v>
      </c>
      <c r="AE194" s="1">
        <f ca="1">IFERROR(__xludf.DUMMYFUNCTION("""COMPUTED_VALUE"""),413)</f>
        <v>413</v>
      </c>
      <c r="AF194" s="1">
        <f ca="1">IFERROR(__xludf.DUMMYFUNCTION("""COMPUTED_VALUE"""),581)</f>
        <v>581</v>
      </c>
    </row>
    <row r="195" spans="1:32" ht="12.5" x14ac:dyDescent="0.25">
      <c r="A195" s="1" t="str">
        <f ca="1">IFERROR(__xludf.DUMMYFUNCTION("""COMPUTED_VALUE"""),"Michigan State")</f>
        <v>Michigan State</v>
      </c>
      <c r="B195" s="1">
        <f ca="1">IFERROR(__xludf.DUMMYFUNCTION("""COMPUTED_VALUE"""),39)</f>
        <v>39</v>
      </c>
      <c r="C195" s="1">
        <f ca="1">IFERROR(__xludf.DUMMYFUNCTION("""COMPUTED_VALUE"""),32)</f>
        <v>32</v>
      </c>
      <c r="D195" s="1">
        <f ca="1">IFERROR(__xludf.DUMMYFUNCTION("""COMPUTED_VALUE"""),7)</f>
        <v>7</v>
      </c>
      <c r="E195" s="1">
        <f ca="1">IFERROR(__xludf.DUMMYFUNCTION("""COMPUTED_VALUE"""),0.821)</f>
        <v>0.82099999999999995</v>
      </c>
      <c r="F195" s="1">
        <f ca="1">IFERROR(__xludf.DUMMYFUNCTION("""COMPUTED_VALUE"""),24.93)</f>
        <v>24.93</v>
      </c>
      <c r="G195" s="1">
        <f ca="1">IFERROR(__xludf.DUMMYFUNCTION("""COMPUTED_VALUE"""),12.34)</f>
        <v>12.34</v>
      </c>
      <c r="H195" s="1">
        <f ca="1">IFERROR(__xludf.DUMMYFUNCTION("""COMPUTED_VALUE"""),16)</f>
        <v>16</v>
      </c>
      <c r="I195" s="1">
        <f ca="1">IFERROR(__xludf.DUMMYFUNCTION("""COMPUTED_VALUE"""),4)</f>
        <v>4</v>
      </c>
      <c r="J195" s="1">
        <f ca="1">IFERROR(__xludf.DUMMYFUNCTION("""COMPUTED_VALUE"""),15)</f>
        <v>15</v>
      </c>
      <c r="K195" s="1">
        <f ca="1">IFERROR(__xludf.DUMMYFUNCTION("""COMPUTED_VALUE"""),1)</f>
        <v>1</v>
      </c>
      <c r="L195" s="1">
        <f ca="1">IFERROR(__xludf.DUMMYFUNCTION("""COMPUTED_VALUE"""),8)</f>
        <v>8</v>
      </c>
      <c r="M195" s="1">
        <f ca="1">IFERROR(__xludf.DUMMYFUNCTION("""COMPUTED_VALUE"""),4)</f>
        <v>4</v>
      </c>
      <c r="N195" s="1">
        <f ca="1">IFERROR(__xludf.DUMMYFUNCTION("""COMPUTED_VALUE"""),3025)</f>
        <v>3025</v>
      </c>
      <c r="O195" s="1">
        <f ca="1">IFERROR(__xludf.DUMMYFUNCTION("""COMPUTED_VALUE"""),2534)</f>
        <v>2534</v>
      </c>
      <c r="P195" s="1">
        <f ca="1">IFERROR(__xludf.DUMMYFUNCTION("""COMPUTED_VALUE"""),1570)</f>
        <v>1570</v>
      </c>
      <c r="Q195" s="1">
        <f ca="1">IFERROR(__xludf.DUMMYFUNCTION("""COMPUTED_VALUE"""),1071)</f>
        <v>1071</v>
      </c>
      <c r="R195" s="1">
        <f ca="1">IFERROR(__xludf.DUMMYFUNCTION("""COMPUTED_VALUE"""),2230)</f>
        <v>2230</v>
      </c>
      <c r="S195" s="1">
        <f ca="1">IFERROR(__xludf.DUMMYFUNCTION("""COMPUTED_VALUE"""),0.48)</f>
        <v>0.48</v>
      </c>
      <c r="T195" s="1">
        <f ca="1">IFERROR(__xludf.DUMMYFUNCTION("""COMPUTED_VALUE"""),319)</f>
        <v>319</v>
      </c>
      <c r="U195" s="1">
        <f ca="1">IFERROR(__xludf.DUMMYFUNCTION("""COMPUTED_VALUE"""),844)</f>
        <v>844</v>
      </c>
      <c r="V195" s="1">
        <f ca="1">IFERROR(__xludf.DUMMYFUNCTION("""COMPUTED_VALUE"""),0.378)</f>
        <v>0.378</v>
      </c>
      <c r="W195" s="1">
        <f ca="1">IFERROR(__xludf.DUMMYFUNCTION("""COMPUTED_VALUE"""),564)</f>
        <v>564</v>
      </c>
      <c r="X195" s="1">
        <f ca="1">IFERROR(__xludf.DUMMYFUNCTION("""COMPUTED_VALUE"""),749)</f>
        <v>749</v>
      </c>
      <c r="Y195" s="1">
        <f ca="1">IFERROR(__xludf.DUMMYFUNCTION("""COMPUTED_VALUE"""),0.753)</f>
        <v>0.753</v>
      </c>
      <c r="Z195" s="1">
        <f ca="1">IFERROR(__xludf.DUMMYFUNCTION("""COMPUTED_VALUE"""),414)</f>
        <v>414</v>
      </c>
      <c r="AA195" s="1">
        <f ca="1">IFERROR(__xludf.DUMMYFUNCTION("""COMPUTED_VALUE"""),1579)</f>
        <v>1579</v>
      </c>
      <c r="AB195" s="1">
        <f ca="1">IFERROR(__xludf.DUMMYFUNCTION("""COMPUTED_VALUE"""),715)</f>
        <v>715</v>
      </c>
      <c r="AC195" s="1">
        <f ca="1">IFERROR(__xludf.DUMMYFUNCTION("""COMPUTED_VALUE"""),201)</f>
        <v>201</v>
      </c>
      <c r="AD195" s="1">
        <f ca="1">IFERROR(__xludf.DUMMYFUNCTION("""COMPUTED_VALUE"""),205)</f>
        <v>205</v>
      </c>
      <c r="AE195" s="1">
        <f ca="1">IFERROR(__xludf.DUMMYFUNCTION("""COMPUTED_VALUE"""),493)</f>
        <v>493</v>
      </c>
      <c r="AF195" s="1">
        <f ca="1">IFERROR(__xludf.DUMMYFUNCTION("""COMPUTED_VALUE"""),647)</f>
        <v>647</v>
      </c>
    </row>
    <row r="196" spans="1:32" ht="12.5" x14ac:dyDescent="0.25">
      <c r="A196" s="1" t="str">
        <f ca="1">IFERROR(__xludf.DUMMYFUNCTION("""COMPUTED_VALUE"""),"Michigan")</f>
        <v>Michigan</v>
      </c>
      <c r="B196" s="1">
        <f ca="1">IFERROR(__xludf.DUMMYFUNCTION("""COMPUTED_VALUE"""),37)</f>
        <v>37</v>
      </c>
      <c r="C196" s="1">
        <f ca="1">IFERROR(__xludf.DUMMYFUNCTION("""COMPUTED_VALUE"""),30)</f>
        <v>30</v>
      </c>
      <c r="D196" s="1">
        <f ca="1">IFERROR(__xludf.DUMMYFUNCTION("""COMPUTED_VALUE"""),7)</f>
        <v>7</v>
      </c>
      <c r="E196" s="1">
        <f ca="1">IFERROR(__xludf.DUMMYFUNCTION("""COMPUTED_VALUE"""),0.811)</f>
        <v>0.81100000000000005</v>
      </c>
      <c r="F196" s="1">
        <f ca="1">IFERROR(__xludf.DUMMYFUNCTION("""COMPUTED_VALUE"""),21.82)</f>
        <v>21.82</v>
      </c>
      <c r="G196" s="1">
        <f ca="1">IFERROR(__xludf.DUMMYFUNCTION("""COMPUTED_VALUE"""),10.55)</f>
        <v>10.55</v>
      </c>
      <c r="H196" s="1">
        <f ca="1">IFERROR(__xludf.DUMMYFUNCTION("""COMPUTED_VALUE"""),15)</f>
        <v>15</v>
      </c>
      <c r="I196" s="1">
        <f ca="1">IFERROR(__xludf.DUMMYFUNCTION("""COMPUTED_VALUE"""),5)</f>
        <v>5</v>
      </c>
      <c r="J196" s="1">
        <f ca="1">IFERROR(__xludf.DUMMYFUNCTION("""COMPUTED_VALUE"""),17)</f>
        <v>17</v>
      </c>
      <c r="K196" s="1">
        <f ca="1">IFERROR(__xludf.DUMMYFUNCTION("""COMPUTED_VALUE"""),1)</f>
        <v>1</v>
      </c>
      <c r="L196" s="1">
        <f ca="1">IFERROR(__xludf.DUMMYFUNCTION("""COMPUTED_VALUE"""),7)</f>
        <v>7</v>
      </c>
      <c r="M196" s="1">
        <f ca="1">IFERROR(__xludf.DUMMYFUNCTION("""COMPUTED_VALUE"""),4)</f>
        <v>4</v>
      </c>
      <c r="N196" s="1">
        <f ca="1">IFERROR(__xludf.DUMMYFUNCTION("""COMPUTED_VALUE"""),2575)</f>
        <v>2575</v>
      </c>
      <c r="O196" s="1">
        <f ca="1">IFERROR(__xludf.DUMMYFUNCTION("""COMPUTED_VALUE"""),2158)</f>
        <v>2158</v>
      </c>
      <c r="P196" s="1">
        <f ca="1">IFERROR(__xludf.DUMMYFUNCTION("""COMPUTED_VALUE"""),1480)</f>
        <v>1480</v>
      </c>
      <c r="Q196" s="1">
        <f ca="1">IFERROR(__xludf.DUMMYFUNCTION("""COMPUTED_VALUE"""),941)</f>
        <v>941</v>
      </c>
      <c r="R196" s="1">
        <f ca="1">IFERROR(__xludf.DUMMYFUNCTION("""COMPUTED_VALUE"""),2102)</f>
        <v>2102</v>
      </c>
      <c r="S196" s="1">
        <f ca="1">IFERROR(__xludf.DUMMYFUNCTION("""COMPUTED_VALUE"""),0.448)</f>
        <v>0.44800000000000001</v>
      </c>
      <c r="T196" s="1">
        <f ca="1">IFERROR(__xludf.DUMMYFUNCTION("""COMPUTED_VALUE"""),287)</f>
        <v>287</v>
      </c>
      <c r="U196" s="1">
        <f ca="1">IFERROR(__xludf.DUMMYFUNCTION("""COMPUTED_VALUE"""),839)</f>
        <v>839</v>
      </c>
      <c r="V196" s="1">
        <f ca="1">IFERROR(__xludf.DUMMYFUNCTION("""COMPUTED_VALUE"""),0.342)</f>
        <v>0.34200000000000003</v>
      </c>
      <c r="W196" s="1">
        <f ca="1">IFERROR(__xludf.DUMMYFUNCTION("""COMPUTED_VALUE"""),406)</f>
        <v>406</v>
      </c>
      <c r="X196" s="1">
        <f ca="1">IFERROR(__xludf.DUMMYFUNCTION("""COMPUTED_VALUE"""),579)</f>
        <v>579</v>
      </c>
      <c r="Y196" s="1">
        <f ca="1">IFERROR(__xludf.DUMMYFUNCTION("""COMPUTED_VALUE"""),0.701)</f>
        <v>0.70099999999999996</v>
      </c>
      <c r="Z196" s="1">
        <f ca="1">IFERROR(__xludf.DUMMYFUNCTION("""COMPUTED_VALUE"""),299)</f>
        <v>299</v>
      </c>
      <c r="AA196" s="1">
        <f ca="1">IFERROR(__xludf.DUMMYFUNCTION("""COMPUTED_VALUE"""),1307)</f>
        <v>1307</v>
      </c>
      <c r="AB196" s="1">
        <f ca="1">IFERROR(__xludf.DUMMYFUNCTION("""COMPUTED_VALUE"""),512)</f>
        <v>512</v>
      </c>
      <c r="AC196" s="1">
        <f ca="1">IFERROR(__xludf.DUMMYFUNCTION("""COMPUTED_VALUE"""),225)</f>
        <v>225</v>
      </c>
      <c r="AD196" s="1">
        <f ca="1">IFERROR(__xludf.DUMMYFUNCTION("""COMPUTED_VALUE"""),149)</f>
        <v>149</v>
      </c>
      <c r="AE196" s="1">
        <f ca="1">IFERROR(__xludf.DUMMYFUNCTION("""COMPUTED_VALUE"""),334)</f>
        <v>334</v>
      </c>
      <c r="AF196" s="1">
        <f ca="1">IFERROR(__xludf.DUMMYFUNCTION("""COMPUTED_VALUE"""),514)</f>
        <v>514</v>
      </c>
    </row>
    <row r="197" spans="1:32" ht="12.5" x14ac:dyDescent="0.25">
      <c r="A197" s="1" t="str">
        <f ca="1">IFERROR(__xludf.DUMMYFUNCTION("""COMPUTED_VALUE"""),"Middle Tennessee")</f>
        <v>Middle Tennessee</v>
      </c>
      <c r="B197" s="1">
        <f ca="1">IFERROR(__xludf.DUMMYFUNCTION("""COMPUTED_VALUE"""),32)</f>
        <v>32</v>
      </c>
      <c r="C197" s="1">
        <f ca="1">IFERROR(__xludf.DUMMYFUNCTION("""COMPUTED_VALUE"""),11)</f>
        <v>11</v>
      </c>
      <c r="D197" s="1">
        <f ca="1">IFERROR(__xludf.DUMMYFUNCTION("""COMPUTED_VALUE"""),21)</f>
        <v>21</v>
      </c>
      <c r="E197" s="1">
        <f ca="1">IFERROR(__xludf.DUMMYFUNCTION("""COMPUTED_VALUE"""),0.344)</f>
        <v>0.34399999999999997</v>
      </c>
      <c r="F197" s="1">
        <f ca="1">IFERROR(__xludf.DUMMYFUNCTION("""COMPUTED_VALUE"""),-6.09)</f>
        <v>-6.09</v>
      </c>
      <c r="G197" s="1">
        <f ca="1">IFERROR(__xludf.DUMMYFUNCTION("""COMPUTED_VALUE"""),1.44)</f>
        <v>1.44</v>
      </c>
      <c r="H197" s="1">
        <f ca="1">IFERROR(__xludf.DUMMYFUNCTION("""COMPUTED_VALUE"""),8)</f>
        <v>8</v>
      </c>
      <c r="I197" s="1">
        <f ca="1">IFERROR(__xludf.DUMMYFUNCTION("""COMPUTED_VALUE"""),10)</f>
        <v>10</v>
      </c>
      <c r="J197" s="1">
        <f ca="1">IFERROR(__xludf.DUMMYFUNCTION("""COMPUTED_VALUE"""),9)</f>
        <v>9</v>
      </c>
      <c r="K197" s="1">
        <f ca="1">IFERROR(__xludf.DUMMYFUNCTION("""COMPUTED_VALUE"""),5)</f>
        <v>5</v>
      </c>
      <c r="L197" s="1">
        <f ca="1">IFERROR(__xludf.DUMMYFUNCTION("""COMPUTED_VALUE"""),2)</f>
        <v>2</v>
      </c>
      <c r="M197" s="1">
        <f ca="1">IFERROR(__xludf.DUMMYFUNCTION("""COMPUTED_VALUE"""),11)</f>
        <v>11</v>
      </c>
      <c r="N197" s="1">
        <f ca="1">IFERROR(__xludf.DUMMYFUNCTION("""COMPUTED_VALUE"""),2141)</f>
        <v>2141</v>
      </c>
      <c r="O197" s="1">
        <f ca="1">IFERROR(__xludf.DUMMYFUNCTION("""COMPUTED_VALUE"""),2313)</f>
        <v>2313</v>
      </c>
      <c r="P197" s="1">
        <f ca="1">IFERROR(__xludf.DUMMYFUNCTION("""COMPUTED_VALUE"""),1280)</f>
        <v>1280</v>
      </c>
      <c r="Q197" s="1">
        <f ca="1">IFERROR(__xludf.DUMMYFUNCTION("""COMPUTED_VALUE"""),778)</f>
        <v>778</v>
      </c>
      <c r="R197" s="1">
        <f ca="1">IFERROR(__xludf.DUMMYFUNCTION("""COMPUTED_VALUE"""),1858)</f>
        <v>1858</v>
      </c>
      <c r="S197" s="1">
        <f ca="1">IFERROR(__xludf.DUMMYFUNCTION("""COMPUTED_VALUE"""),0.419)</f>
        <v>0.41899999999999998</v>
      </c>
      <c r="T197" s="1">
        <f ca="1">IFERROR(__xludf.DUMMYFUNCTION("""COMPUTED_VALUE"""),212)</f>
        <v>212</v>
      </c>
      <c r="U197" s="1">
        <f ca="1">IFERROR(__xludf.DUMMYFUNCTION("""COMPUTED_VALUE"""),650)</f>
        <v>650</v>
      </c>
      <c r="V197" s="1">
        <f ca="1">IFERROR(__xludf.DUMMYFUNCTION("""COMPUTED_VALUE"""),0.326)</f>
        <v>0.32600000000000001</v>
      </c>
      <c r="W197" s="1">
        <f ca="1">IFERROR(__xludf.DUMMYFUNCTION("""COMPUTED_VALUE"""),373)</f>
        <v>373</v>
      </c>
      <c r="X197" s="1">
        <f ca="1">IFERROR(__xludf.DUMMYFUNCTION("""COMPUTED_VALUE"""),551)</f>
        <v>551</v>
      </c>
      <c r="Y197" s="1">
        <f ca="1">IFERROR(__xludf.DUMMYFUNCTION("""COMPUTED_VALUE"""),0.677)</f>
        <v>0.67700000000000005</v>
      </c>
      <c r="Z197" s="1">
        <f ca="1">IFERROR(__xludf.DUMMYFUNCTION("""COMPUTED_VALUE"""),382)</f>
        <v>382</v>
      </c>
      <c r="AA197" s="1">
        <f ca="1">IFERROR(__xludf.DUMMYFUNCTION("""COMPUTED_VALUE"""),1228)</f>
        <v>1228</v>
      </c>
      <c r="AB197" s="1">
        <f ca="1">IFERROR(__xludf.DUMMYFUNCTION("""COMPUTED_VALUE"""),352)</f>
        <v>352</v>
      </c>
      <c r="AC197" s="1">
        <f ca="1">IFERROR(__xludf.DUMMYFUNCTION("""COMPUTED_VALUE"""),190)</f>
        <v>190</v>
      </c>
      <c r="AD197" s="1">
        <f ca="1">IFERROR(__xludf.DUMMYFUNCTION("""COMPUTED_VALUE"""),85)</f>
        <v>85</v>
      </c>
      <c r="AE197" s="1">
        <f ca="1">IFERROR(__xludf.DUMMYFUNCTION("""COMPUTED_VALUE"""),512)</f>
        <v>512</v>
      </c>
      <c r="AF197" s="1">
        <f ca="1">IFERROR(__xludf.DUMMYFUNCTION("""COMPUTED_VALUE"""),583)</f>
        <v>583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IFERROR(__xludf.DUMMYFUNCTION("""COMPUTED_VALUE"""),"Milwaukee")</f>
        <v>Milwaukee</v>
      </c>
      <c r="B200" s="1">
        <f ca="1">IFERROR(__xludf.DUMMYFUNCTION("""COMPUTED_VALUE"""),31)</f>
        <v>31</v>
      </c>
      <c r="C200" s="1">
        <f ca="1">IFERROR(__xludf.DUMMYFUNCTION("""COMPUTED_VALUE"""),9)</f>
        <v>9</v>
      </c>
      <c r="D200" s="1">
        <f ca="1">IFERROR(__xludf.DUMMYFUNCTION("""COMPUTED_VALUE"""),22)</f>
        <v>22</v>
      </c>
      <c r="E200" s="1">
        <f ca="1">IFERROR(__xludf.DUMMYFUNCTION("""COMPUTED_VALUE"""),0.29)</f>
        <v>0.28999999999999998</v>
      </c>
      <c r="F200" s="1">
        <f ca="1">IFERROR(__xludf.DUMMYFUNCTION("""COMPUTED_VALUE"""),-8.9)</f>
        <v>-8.9</v>
      </c>
      <c r="G200" s="1">
        <f ca="1">IFERROR(__xludf.DUMMYFUNCTION("""COMPUTED_VALUE"""),-2.5)</f>
        <v>-2.5</v>
      </c>
      <c r="H200" s="1">
        <f ca="1">IFERROR(__xludf.DUMMYFUNCTION("""COMPUTED_VALUE"""),4)</f>
        <v>4</v>
      </c>
      <c r="I200" s="1">
        <f ca="1">IFERROR(__xludf.DUMMYFUNCTION("""COMPUTED_VALUE"""),14)</f>
        <v>14</v>
      </c>
      <c r="J200" s="1">
        <f ca="1">IFERROR(__xludf.DUMMYFUNCTION("""COMPUTED_VALUE"""),6)</f>
        <v>6</v>
      </c>
      <c r="K200" s="1">
        <f ca="1">IFERROR(__xludf.DUMMYFUNCTION("""COMPUTED_VALUE"""),8)</f>
        <v>8</v>
      </c>
      <c r="L200" s="1">
        <f ca="1">IFERROR(__xludf.DUMMYFUNCTION("""COMPUTED_VALUE"""),3)</f>
        <v>3</v>
      </c>
      <c r="M200" s="1">
        <f ca="1">IFERROR(__xludf.DUMMYFUNCTION("""COMPUTED_VALUE"""),12)</f>
        <v>12</v>
      </c>
      <c r="N200" s="1">
        <f ca="1">IFERROR(__xludf.DUMMYFUNCTION("""COMPUTED_VALUE"""),2146)</f>
        <v>2146</v>
      </c>
      <c r="O200" s="1">
        <f ca="1">IFERROR(__xludf.DUMMYFUNCTION("""COMPUTED_VALUE"""),2315)</f>
        <v>2315</v>
      </c>
      <c r="P200" s="1">
        <f ca="1">IFERROR(__xludf.DUMMYFUNCTION("""COMPUTED_VALUE"""),1245)</f>
        <v>1245</v>
      </c>
      <c r="Q200" s="1">
        <f ca="1">IFERROR(__xludf.DUMMYFUNCTION("""COMPUTED_VALUE"""),765)</f>
        <v>765</v>
      </c>
      <c r="R200" s="1">
        <f ca="1">IFERROR(__xludf.DUMMYFUNCTION("""COMPUTED_VALUE"""),1820)</f>
        <v>1820</v>
      </c>
      <c r="S200" s="1">
        <f ca="1">IFERROR(__xludf.DUMMYFUNCTION("""COMPUTED_VALUE"""),0.42)</f>
        <v>0.42</v>
      </c>
      <c r="T200" s="1">
        <f ca="1">IFERROR(__xludf.DUMMYFUNCTION("""COMPUTED_VALUE"""),237)</f>
        <v>237</v>
      </c>
      <c r="U200" s="1">
        <f ca="1">IFERROR(__xludf.DUMMYFUNCTION("""COMPUTED_VALUE"""),692)</f>
        <v>692</v>
      </c>
      <c r="V200" s="1">
        <f ca="1">IFERROR(__xludf.DUMMYFUNCTION("""COMPUTED_VALUE"""),0.342)</f>
        <v>0.34200000000000003</v>
      </c>
      <c r="W200" s="1">
        <f ca="1">IFERROR(__xludf.DUMMYFUNCTION("""COMPUTED_VALUE"""),379)</f>
        <v>379</v>
      </c>
      <c r="X200" s="1">
        <f ca="1">IFERROR(__xludf.DUMMYFUNCTION("""COMPUTED_VALUE"""),508)</f>
        <v>508</v>
      </c>
      <c r="Y200" s="1">
        <f ca="1">IFERROR(__xludf.DUMMYFUNCTION("""COMPUTED_VALUE"""),0.746)</f>
        <v>0.746</v>
      </c>
      <c r="Z200" s="1">
        <f ca="1">IFERROR(__xludf.DUMMYFUNCTION("""COMPUTED_VALUE"""),288)</f>
        <v>288</v>
      </c>
      <c r="AA200" s="1">
        <f ca="1">IFERROR(__xludf.DUMMYFUNCTION("""COMPUTED_VALUE"""),1094)</f>
        <v>1094</v>
      </c>
      <c r="AB200" s="1">
        <f ca="1">IFERROR(__xludf.DUMMYFUNCTION("""COMPUTED_VALUE"""),356)</f>
        <v>356</v>
      </c>
      <c r="AC200" s="1">
        <f ca="1">IFERROR(__xludf.DUMMYFUNCTION("""COMPUTED_VALUE"""),145)</f>
        <v>145</v>
      </c>
      <c r="AD200" s="1">
        <f ca="1">IFERROR(__xludf.DUMMYFUNCTION("""COMPUTED_VALUE"""),94)</f>
        <v>94</v>
      </c>
      <c r="AE200" s="1">
        <f ca="1">IFERROR(__xludf.DUMMYFUNCTION("""COMPUTED_VALUE"""),382)</f>
        <v>382</v>
      </c>
      <c r="AF200" s="1">
        <f ca="1">IFERROR(__xludf.DUMMYFUNCTION("""COMPUTED_VALUE"""),579)</f>
        <v>579</v>
      </c>
    </row>
    <row r="201" spans="1:32" ht="12.5" x14ac:dyDescent="0.25">
      <c r="A201" s="1" t="str">
        <f ca="1">IFERROR(__xludf.DUMMYFUNCTION("""COMPUTED_VALUE"""),"Minnesota")</f>
        <v>Minnesota</v>
      </c>
      <c r="B201" s="1">
        <f ca="1">IFERROR(__xludf.DUMMYFUNCTION("""COMPUTED_VALUE"""),36)</f>
        <v>36</v>
      </c>
      <c r="C201" s="1">
        <f ca="1">IFERROR(__xludf.DUMMYFUNCTION("""COMPUTED_VALUE"""),22)</f>
        <v>22</v>
      </c>
      <c r="D201" s="1">
        <f ca="1">IFERROR(__xludf.DUMMYFUNCTION("""COMPUTED_VALUE"""),14)</f>
        <v>14</v>
      </c>
      <c r="E201" s="1">
        <f ca="1">IFERROR(__xludf.DUMMYFUNCTION("""COMPUTED_VALUE"""),0.611)</f>
        <v>0.61099999999999999</v>
      </c>
      <c r="F201" s="1">
        <f ca="1">IFERROR(__xludf.DUMMYFUNCTION("""COMPUTED_VALUE"""),12.52)</f>
        <v>12.52</v>
      </c>
      <c r="G201" s="1">
        <f ca="1">IFERROR(__xludf.DUMMYFUNCTION("""COMPUTED_VALUE"""),11.27)</f>
        <v>11.27</v>
      </c>
      <c r="H201" s="1">
        <f ca="1">IFERROR(__xludf.DUMMYFUNCTION("""COMPUTED_VALUE"""),9)</f>
        <v>9</v>
      </c>
      <c r="I201" s="1">
        <f ca="1">IFERROR(__xludf.DUMMYFUNCTION("""COMPUTED_VALUE"""),11)</f>
        <v>11</v>
      </c>
      <c r="J201" s="1">
        <f ca="1">IFERROR(__xludf.DUMMYFUNCTION("""COMPUTED_VALUE"""),14)</f>
        <v>14</v>
      </c>
      <c r="K201" s="1">
        <f ca="1">IFERROR(__xludf.DUMMYFUNCTION("""COMPUTED_VALUE"""),3)</f>
        <v>3</v>
      </c>
      <c r="L201" s="1">
        <f ca="1">IFERROR(__xludf.DUMMYFUNCTION("""COMPUTED_VALUE"""),2)</f>
        <v>2</v>
      </c>
      <c r="M201" s="1">
        <f ca="1">IFERROR(__xludf.DUMMYFUNCTION("""COMPUTED_VALUE"""),9)</f>
        <v>9</v>
      </c>
      <c r="N201" s="1">
        <f ca="1">IFERROR(__xludf.DUMMYFUNCTION("""COMPUTED_VALUE"""),2543)</f>
        <v>2543</v>
      </c>
      <c r="O201" s="1">
        <f ca="1">IFERROR(__xludf.DUMMYFUNCTION("""COMPUTED_VALUE"""),2498)</f>
        <v>2498</v>
      </c>
      <c r="P201" s="1">
        <f ca="1">IFERROR(__xludf.DUMMYFUNCTION("""COMPUTED_VALUE"""),1445)</f>
        <v>1445</v>
      </c>
      <c r="Q201" s="1">
        <f ca="1">IFERROR(__xludf.DUMMYFUNCTION("""COMPUTED_VALUE"""),887)</f>
        <v>887</v>
      </c>
      <c r="R201" s="1">
        <f ca="1">IFERROR(__xludf.DUMMYFUNCTION("""COMPUTED_VALUE"""),2039)</f>
        <v>2039</v>
      </c>
      <c r="S201" s="1">
        <f ca="1">IFERROR(__xludf.DUMMYFUNCTION("""COMPUTED_VALUE"""),0.435)</f>
        <v>0.435</v>
      </c>
      <c r="T201" s="1">
        <f ca="1">IFERROR(__xludf.DUMMYFUNCTION("""COMPUTED_VALUE"""),191)</f>
        <v>191</v>
      </c>
      <c r="U201" s="1">
        <f ca="1">IFERROR(__xludf.DUMMYFUNCTION("""COMPUTED_VALUE"""),603)</f>
        <v>603</v>
      </c>
      <c r="V201" s="1">
        <f ca="1">IFERROR(__xludf.DUMMYFUNCTION("""COMPUTED_VALUE"""),0.317)</f>
        <v>0.317</v>
      </c>
      <c r="W201" s="1">
        <f ca="1">IFERROR(__xludf.DUMMYFUNCTION("""COMPUTED_VALUE"""),578)</f>
        <v>578</v>
      </c>
      <c r="X201" s="1">
        <f ca="1">IFERROR(__xludf.DUMMYFUNCTION("""COMPUTED_VALUE"""),848)</f>
        <v>848</v>
      </c>
      <c r="Y201" s="1">
        <f ca="1">IFERROR(__xludf.DUMMYFUNCTION("""COMPUTED_VALUE"""),0.682)</f>
        <v>0.68200000000000005</v>
      </c>
      <c r="Z201" s="1">
        <f ca="1">IFERROR(__xludf.DUMMYFUNCTION("""COMPUTED_VALUE"""),402)</f>
        <v>402</v>
      </c>
      <c r="AA201" s="1">
        <f ca="1">IFERROR(__xludf.DUMMYFUNCTION("""COMPUTED_VALUE"""),1314)</f>
        <v>1314</v>
      </c>
      <c r="AB201" s="1">
        <f ca="1">IFERROR(__xludf.DUMMYFUNCTION("""COMPUTED_VALUE"""),523)</f>
        <v>523</v>
      </c>
      <c r="AC201" s="1">
        <f ca="1">IFERROR(__xludf.DUMMYFUNCTION("""COMPUTED_VALUE"""),175)</f>
        <v>175</v>
      </c>
      <c r="AD201" s="1">
        <f ca="1">IFERROR(__xludf.DUMMYFUNCTION("""COMPUTED_VALUE"""),140)</f>
        <v>140</v>
      </c>
      <c r="AE201" s="1">
        <f ca="1">IFERROR(__xludf.DUMMYFUNCTION("""COMPUTED_VALUE"""),418)</f>
        <v>418</v>
      </c>
      <c r="AF201" s="1">
        <f ca="1">IFERROR(__xludf.DUMMYFUNCTION("""COMPUTED_VALUE"""),578)</f>
        <v>578</v>
      </c>
    </row>
    <row r="202" spans="1:32" ht="12.5" x14ac:dyDescent="0.25">
      <c r="A202" s="1" t="str">
        <f ca="1">IFERROR(__xludf.DUMMYFUNCTION("""COMPUTED_VALUE"""),"Mississippi State")</f>
        <v>Mississippi State</v>
      </c>
      <c r="B202" s="1">
        <f ca="1">IFERROR(__xludf.DUMMYFUNCTION("""COMPUTED_VALUE"""),34)</f>
        <v>34</v>
      </c>
      <c r="C202" s="1">
        <f ca="1">IFERROR(__xludf.DUMMYFUNCTION("""COMPUTED_VALUE"""),23)</f>
        <v>23</v>
      </c>
      <c r="D202" s="1">
        <f ca="1">IFERROR(__xludf.DUMMYFUNCTION("""COMPUTED_VALUE"""),11)</f>
        <v>11</v>
      </c>
      <c r="E202" s="1">
        <f ca="1">IFERROR(__xludf.DUMMYFUNCTION("""COMPUTED_VALUE"""),0.676)</f>
        <v>0.67600000000000005</v>
      </c>
      <c r="F202" s="1">
        <f ca="1">IFERROR(__xludf.DUMMYFUNCTION("""COMPUTED_VALUE"""),15.96)</f>
        <v>15.96</v>
      </c>
      <c r="G202" s="1">
        <f ca="1">IFERROR(__xludf.DUMMYFUNCTION("""COMPUTED_VALUE"""),9.07)</f>
        <v>9.07</v>
      </c>
      <c r="H202" s="1">
        <f ca="1">IFERROR(__xludf.DUMMYFUNCTION("""COMPUTED_VALUE"""),10)</f>
        <v>10</v>
      </c>
      <c r="I202" s="1">
        <f ca="1">IFERROR(__xludf.DUMMYFUNCTION("""COMPUTED_VALUE"""),8)</f>
        <v>8</v>
      </c>
      <c r="J202" s="1">
        <f ca="1">IFERROR(__xludf.DUMMYFUNCTION("""COMPUTED_VALUE"""),14)</f>
        <v>14</v>
      </c>
      <c r="K202" s="1">
        <f ca="1">IFERROR(__xludf.DUMMYFUNCTION("""COMPUTED_VALUE"""),3)</f>
        <v>3</v>
      </c>
      <c r="L202" s="1">
        <f ca="1">IFERROR(__xludf.DUMMYFUNCTION("""COMPUTED_VALUE"""),5)</f>
        <v>5</v>
      </c>
      <c r="M202" s="1">
        <f ca="1">IFERROR(__xludf.DUMMYFUNCTION("""COMPUTED_VALUE"""),5)</f>
        <v>5</v>
      </c>
      <c r="N202" s="1">
        <f ca="1">IFERROR(__xludf.DUMMYFUNCTION("""COMPUTED_VALUE"""),2628)</f>
        <v>2628</v>
      </c>
      <c r="O202" s="1">
        <f ca="1">IFERROR(__xludf.DUMMYFUNCTION("""COMPUTED_VALUE"""),2394)</f>
        <v>2394</v>
      </c>
      <c r="P202" s="1">
        <f ca="1">IFERROR(__xludf.DUMMYFUNCTION("""COMPUTED_VALUE"""),1370)</f>
        <v>1370</v>
      </c>
      <c r="Q202" s="1">
        <f ca="1">IFERROR(__xludf.DUMMYFUNCTION("""COMPUTED_VALUE"""),936)</f>
        <v>936</v>
      </c>
      <c r="R202" s="1">
        <f ca="1">IFERROR(__xludf.DUMMYFUNCTION("""COMPUTED_VALUE"""),1982)</f>
        <v>1982</v>
      </c>
      <c r="S202" s="1">
        <f ca="1">IFERROR(__xludf.DUMMYFUNCTION("""COMPUTED_VALUE"""),0.472)</f>
        <v>0.47199999999999998</v>
      </c>
      <c r="T202" s="1">
        <f ca="1">IFERROR(__xludf.DUMMYFUNCTION("""COMPUTED_VALUE"""),292)</f>
        <v>292</v>
      </c>
      <c r="U202" s="1">
        <f ca="1">IFERROR(__xludf.DUMMYFUNCTION("""COMPUTED_VALUE"""),774)</f>
        <v>774</v>
      </c>
      <c r="V202" s="1">
        <f ca="1">IFERROR(__xludf.DUMMYFUNCTION("""COMPUTED_VALUE"""),0.377)</f>
        <v>0.377</v>
      </c>
      <c r="W202" s="1">
        <f ca="1">IFERROR(__xludf.DUMMYFUNCTION("""COMPUTED_VALUE"""),464)</f>
        <v>464</v>
      </c>
      <c r="X202" s="1">
        <f ca="1">IFERROR(__xludf.DUMMYFUNCTION("""COMPUTED_VALUE"""),647)</f>
        <v>647</v>
      </c>
      <c r="Y202" s="1">
        <f ca="1">IFERROR(__xludf.DUMMYFUNCTION("""COMPUTED_VALUE"""),0.717)</f>
        <v>0.71699999999999997</v>
      </c>
      <c r="Z202" s="1">
        <f ca="1">IFERROR(__xludf.DUMMYFUNCTION("""COMPUTED_VALUE"""),393)</f>
        <v>393</v>
      </c>
      <c r="AA202" s="1">
        <f ca="1">IFERROR(__xludf.DUMMYFUNCTION("""COMPUTED_VALUE"""),1215)</f>
        <v>1215</v>
      </c>
      <c r="AB202" s="1">
        <f ca="1">IFERROR(__xludf.DUMMYFUNCTION("""COMPUTED_VALUE"""),481)</f>
        <v>481</v>
      </c>
      <c r="AC202" s="1">
        <f ca="1">IFERROR(__xludf.DUMMYFUNCTION("""COMPUTED_VALUE"""),274)</f>
        <v>274</v>
      </c>
      <c r="AD202" s="1">
        <f ca="1">IFERROR(__xludf.DUMMYFUNCTION("""COMPUTED_VALUE"""),172)</f>
        <v>172</v>
      </c>
      <c r="AE202" s="1">
        <f ca="1">IFERROR(__xludf.DUMMYFUNCTION("""COMPUTED_VALUE"""),451)</f>
        <v>451</v>
      </c>
      <c r="AF202" s="1">
        <f ca="1">IFERROR(__xludf.DUMMYFUNCTION("""COMPUTED_VALUE"""),586)</f>
        <v>586</v>
      </c>
    </row>
    <row r="203" spans="1:32" ht="12.5" x14ac:dyDescent="0.25">
      <c r="A203" s="1" t="str">
        <f ca="1">IFERROR(__xludf.DUMMYFUNCTION("""COMPUTED_VALUE"""),"Mississippi Valley State")</f>
        <v>Mississippi Valley State</v>
      </c>
      <c r="B203" s="1">
        <f ca="1">IFERROR(__xludf.DUMMYFUNCTION("""COMPUTED_VALUE"""),32)</f>
        <v>32</v>
      </c>
      <c r="C203" s="1">
        <f ca="1">IFERROR(__xludf.DUMMYFUNCTION("""COMPUTED_VALUE"""),6)</f>
        <v>6</v>
      </c>
      <c r="D203" s="1">
        <f ca="1">IFERROR(__xludf.DUMMYFUNCTION("""COMPUTED_VALUE"""),26)</f>
        <v>26</v>
      </c>
      <c r="E203" s="1">
        <f ca="1">IFERROR(__xludf.DUMMYFUNCTION("""COMPUTED_VALUE"""),0.188)</f>
        <v>0.188</v>
      </c>
      <c r="F203" s="1">
        <f ca="1">IFERROR(__xludf.DUMMYFUNCTION("""COMPUTED_VALUE"""),-22.47)</f>
        <v>-22.47</v>
      </c>
      <c r="G203" s="1">
        <f ca="1">IFERROR(__xludf.DUMMYFUNCTION("""COMPUTED_VALUE"""),-6.99)</f>
        <v>-6.99</v>
      </c>
      <c r="H203" s="1">
        <f ca="1">IFERROR(__xludf.DUMMYFUNCTION("""COMPUTED_VALUE"""),4)</f>
        <v>4</v>
      </c>
      <c r="I203" s="1">
        <f ca="1">IFERROR(__xludf.DUMMYFUNCTION("""COMPUTED_VALUE"""),14)</f>
        <v>14</v>
      </c>
      <c r="J203" s="1">
        <f ca="1">IFERROR(__xludf.DUMMYFUNCTION("""COMPUTED_VALUE"""),6)</f>
        <v>6</v>
      </c>
      <c r="K203" s="1">
        <f ca="1">IFERROR(__xludf.DUMMYFUNCTION("""COMPUTED_VALUE"""),6)</f>
        <v>6</v>
      </c>
      <c r="L203" s="1">
        <f ca="1">IFERROR(__xludf.DUMMYFUNCTION("""COMPUTED_VALUE"""),0)</f>
        <v>0</v>
      </c>
      <c r="M203" s="1">
        <f ca="1">IFERROR(__xludf.DUMMYFUNCTION("""COMPUTED_VALUE"""),20)</f>
        <v>20</v>
      </c>
      <c r="N203" s="1">
        <f ca="1">IFERROR(__xludf.DUMMYFUNCTION("""COMPUTED_VALUE"""),2058)</f>
        <v>2058</v>
      </c>
      <c r="O203" s="1">
        <f ca="1">IFERROR(__xludf.DUMMYFUNCTION("""COMPUTED_VALUE"""),2498)</f>
        <v>2498</v>
      </c>
      <c r="P203" s="1">
        <f ca="1">IFERROR(__xludf.DUMMYFUNCTION("""COMPUTED_VALUE"""),1285)</f>
        <v>1285</v>
      </c>
      <c r="Q203" s="1">
        <f ca="1">IFERROR(__xludf.DUMMYFUNCTION("""COMPUTED_VALUE"""),730)</f>
        <v>730</v>
      </c>
      <c r="R203" s="1">
        <f ca="1">IFERROR(__xludf.DUMMYFUNCTION("""COMPUTED_VALUE"""),1923)</f>
        <v>1923</v>
      </c>
      <c r="S203" s="1">
        <f ca="1">IFERROR(__xludf.DUMMYFUNCTION("""COMPUTED_VALUE"""),0.38)</f>
        <v>0.38</v>
      </c>
      <c r="T203" s="1">
        <f ca="1">IFERROR(__xludf.DUMMYFUNCTION("""COMPUTED_VALUE"""),172)</f>
        <v>172</v>
      </c>
      <c r="U203" s="1">
        <f ca="1">IFERROR(__xludf.DUMMYFUNCTION("""COMPUTED_VALUE"""),554)</f>
        <v>554</v>
      </c>
      <c r="V203" s="1">
        <f ca="1">IFERROR(__xludf.DUMMYFUNCTION("""COMPUTED_VALUE"""),0.31)</f>
        <v>0.31</v>
      </c>
      <c r="W203" s="1">
        <f ca="1">IFERROR(__xludf.DUMMYFUNCTION("""COMPUTED_VALUE"""),426)</f>
        <v>426</v>
      </c>
      <c r="X203" s="1">
        <f ca="1">IFERROR(__xludf.DUMMYFUNCTION("""COMPUTED_VALUE"""),647)</f>
        <v>647</v>
      </c>
      <c r="Y203" s="1">
        <f ca="1">IFERROR(__xludf.DUMMYFUNCTION("""COMPUTED_VALUE"""),0.658)</f>
        <v>0.65800000000000003</v>
      </c>
      <c r="Z203" s="1">
        <f ca="1">IFERROR(__xludf.DUMMYFUNCTION("""COMPUTED_VALUE"""),378)</f>
        <v>378</v>
      </c>
      <c r="AA203" s="1">
        <f ca="1">IFERROR(__xludf.DUMMYFUNCTION("""COMPUTED_VALUE"""),1165)</f>
        <v>1165</v>
      </c>
      <c r="AB203" s="1">
        <f ca="1">IFERROR(__xludf.DUMMYFUNCTION("""COMPUTED_VALUE"""),361)</f>
        <v>361</v>
      </c>
      <c r="AC203" s="1">
        <f ca="1">IFERROR(__xludf.DUMMYFUNCTION("""COMPUTED_VALUE"""),176)</f>
        <v>176</v>
      </c>
      <c r="AD203" s="1">
        <f ca="1">IFERROR(__xludf.DUMMYFUNCTION("""COMPUTED_VALUE"""),70)</f>
        <v>70</v>
      </c>
      <c r="AE203" s="1">
        <f ca="1">IFERROR(__xludf.DUMMYFUNCTION("""COMPUTED_VALUE"""),415)</f>
        <v>415</v>
      </c>
      <c r="AF203" s="1">
        <f ca="1">IFERROR(__xludf.DUMMYFUNCTION("""COMPUTED_VALUE"""),570)</f>
        <v>570</v>
      </c>
    </row>
    <row r="204" spans="1:32" ht="12.5" x14ac:dyDescent="0.25">
      <c r="A204" s="1" t="str">
        <f ca="1">IFERROR(__xludf.DUMMYFUNCTION("""COMPUTED_VALUE"""),"Mississippi")</f>
        <v>Mississippi</v>
      </c>
      <c r="B204" s="1">
        <f ca="1">IFERROR(__xludf.DUMMYFUNCTION("""COMPUTED_VALUE"""),33)</f>
        <v>33</v>
      </c>
      <c r="C204" s="1">
        <f ca="1">IFERROR(__xludf.DUMMYFUNCTION("""COMPUTED_VALUE"""),20)</f>
        <v>20</v>
      </c>
      <c r="D204" s="1">
        <f ca="1">IFERROR(__xludf.DUMMYFUNCTION("""COMPUTED_VALUE"""),13)</f>
        <v>13</v>
      </c>
      <c r="E204" s="1">
        <f ca="1">IFERROR(__xludf.DUMMYFUNCTION("""COMPUTED_VALUE"""),0.606)</f>
        <v>0.60599999999999998</v>
      </c>
      <c r="F204" s="1">
        <f ca="1">IFERROR(__xludf.DUMMYFUNCTION("""COMPUTED_VALUE"""),12.32)</f>
        <v>12.32</v>
      </c>
      <c r="G204" s="1">
        <f ca="1">IFERROR(__xludf.DUMMYFUNCTION("""COMPUTED_VALUE"""),8.13)</f>
        <v>8.1300000000000008</v>
      </c>
      <c r="H204" s="1">
        <f ca="1">IFERROR(__xludf.DUMMYFUNCTION("""COMPUTED_VALUE"""),10)</f>
        <v>10</v>
      </c>
      <c r="I204" s="1">
        <f ca="1">IFERROR(__xludf.DUMMYFUNCTION("""COMPUTED_VALUE"""),8)</f>
        <v>8</v>
      </c>
      <c r="J204" s="1">
        <f ca="1">IFERROR(__xludf.DUMMYFUNCTION("""COMPUTED_VALUE"""),11)</f>
        <v>11</v>
      </c>
      <c r="K204" s="1">
        <f ca="1">IFERROR(__xludf.DUMMYFUNCTION("""COMPUTED_VALUE"""),5)</f>
        <v>5</v>
      </c>
      <c r="L204" s="1">
        <f ca="1">IFERROR(__xludf.DUMMYFUNCTION("""COMPUTED_VALUE"""),6)</f>
        <v>6</v>
      </c>
      <c r="M204" s="1">
        <f ca="1">IFERROR(__xludf.DUMMYFUNCTION("""COMPUTED_VALUE"""),5)</f>
        <v>5</v>
      </c>
      <c r="N204" s="1">
        <f ca="1">IFERROR(__xludf.DUMMYFUNCTION("""COMPUTED_VALUE"""),2485)</f>
        <v>2485</v>
      </c>
      <c r="O204" s="1">
        <f ca="1">IFERROR(__xludf.DUMMYFUNCTION("""COMPUTED_VALUE"""),2347)</f>
        <v>2347</v>
      </c>
      <c r="P204" s="1">
        <f ca="1">IFERROR(__xludf.DUMMYFUNCTION("""COMPUTED_VALUE"""),1325)</f>
        <v>1325</v>
      </c>
      <c r="Q204" s="1">
        <f ca="1">IFERROR(__xludf.DUMMYFUNCTION("""COMPUTED_VALUE"""),876)</f>
        <v>876</v>
      </c>
      <c r="R204" s="1">
        <f ca="1">IFERROR(__xludf.DUMMYFUNCTION("""COMPUTED_VALUE"""),1906)</f>
        <v>1906</v>
      </c>
      <c r="S204" s="1">
        <f ca="1">IFERROR(__xludf.DUMMYFUNCTION("""COMPUTED_VALUE"""),0.46)</f>
        <v>0.46</v>
      </c>
      <c r="T204" s="1">
        <f ca="1">IFERROR(__xludf.DUMMYFUNCTION("""COMPUTED_VALUE"""),272)</f>
        <v>272</v>
      </c>
      <c r="U204" s="1">
        <f ca="1">IFERROR(__xludf.DUMMYFUNCTION("""COMPUTED_VALUE"""),760)</f>
        <v>760</v>
      </c>
      <c r="V204" s="1">
        <f ca="1">IFERROR(__xludf.DUMMYFUNCTION("""COMPUTED_VALUE"""),0.358)</f>
        <v>0.35799999999999998</v>
      </c>
      <c r="W204" s="1">
        <f ca="1">IFERROR(__xludf.DUMMYFUNCTION("""COMPUTED_VALUE"""),461)</f>
        <v>461</v>
      </c>
      <c r="X204" s="1">
        <f ca="1">IFERROR(__xludf.DUMMYFUNCTION("""COMPUTED_VALUE"""),589)</f>
        <v>589</v>
      </c>
      <c r="Y204" s="1">
        <f ca="1">IFERROR(__xludf.DUMMYFUNCTION("""COMPUTED_VALUE"""),0.783)</f>
        <v>0.78300000000000003</v>
      </c>
      <c r="Z204" s="1">
        <f ca="1">IFERROR(__xludf.DUMMYFUNCTION("""COMPUTED_VALUE"""),322)</f>
        <v>322</v>
      </c>
      <c r="AA204" s="1">
        <f ca="1">IFERROR(__xludf.DUMMYFUNCTION("""COMPUTED_VALUE"""),1128)</f>
        <v>1128</v>
      </c>
      <c r="AB204" s="1">
        <f ca="1">IFERROR(__xludf.DUMMYFUNCTION("""COMPUTED_VALUE"""),475)</f>
        <v>475</v>
      </c>
      <c r="AC204" s="1">
        <f ca="1">IFERROR(__xludf.DUMMYFUNCTION("""COMPUTED_VALUE"""),235)</f>
        <v>235</v>
      </c>
      <c r="AD204" s="1">
        <f ca="1">IFERROR(__xludf.DUMMYFUNCTION("""COMPUTED_VALUE"""),118)</f>
        <v>118</v>
      </c>
      <c r="AE204" s="1">
        <f ca="1">IFERROR(__xludf.DUMMYFUNCTION("""COMPUTED_VALUE"""),416)</f>
        <v>416</v>
      </c>
      <c r="AF204" s="1">
        <f ca="1">IFERROR(__xludf.DUMMYFUNCTION("""COMPUTED_VALUE"""),603)</f>
        <v>603</v>
      </c>
    </row>
    <row r="205" spans="1:32" ht="12.5" x14ac:dyDescent="0.25">
      <c r="A205" s="1" t="str">
        <f ca="1">IFERROR(__xludf.DUMMYFUNCTION("""COMPUTED_VALUE"""),"Missouri-Kansas City")</f>
        <v>Missouri-Kansas City</v>
      </c>
      <c r="B205" s="1">
        <f ca="1">IFERROR(__xludf.DUMMYFUNCTION("""COMPUTED_VALUE"""),32)</f>
        <v>32</v>
      </c>
      <c r="C205" s="1">
        <f ca="1">IFERROR(__xludf.DUMMYFUNCTION("""COMPUTED_VALUE"""),11)</f>
        <v>11</v>
      </c>
      <c r="D205" s="1">
        <f ca="1">IFERROR(__xludf.DUMMYFUNCTION("""COMPUTED_VALUE"""),21)</f>
        <v>21</v>
      </c>
      <c r="E205" s="1">
        <f ca="1">IFERROR(__xludf.DUMMYFUNCTION("""COMPUTED_VALUE"""),0.344)</f>
        <v>0.34399999999999997</v>
      </c>
      <c r="F205" s="1">
        <f ca="1">IFERROR(__xludf.DUMMYFUNCTION("""COMPUTED_VALUE"""),-6.61)</f>
        <v>-6.61</v>
      </c>
      <c r="G205" s="1">
        <f ca="1">IFERROR(__xludf.DUMMYFUNCTION("""COMPUTED_VALUE"""),-1.55)</f>
        <v>-1.55</v>
      </c>
      <c r="H205" s="1">
        <f ca="1">IFERROR(__xludf.DUMMYFUNCTION("""COMPUTED_VALUE"""),6)</f>
        <v>6</v>
      </c>
      <c r="I205" s="1">
        <f ca="1">IFERROR(__xludf.DUMMYFUNCTION("""COMPUTED_VALUE"""),10)</f>
        <v>10</v>
      </c>
      <c r="J205" s="1">
        <f ca="1">IFERROR(__xludf.DUMMYFUNCTION("""COMPUTED_VALUE"""),8)</f>
        <v>8</v>
      </c>
      <c r="K205" s="1">
        <f ca="1">IFERROR(__xludf.DUMMYFUNCTION("""COMPUTED_VALUE"""),5)</f>
        <v>5</v>
      </c>
      <c r="L205" s="1">
        <f ca="1">IFERROR(__xludf.DUMMYFUNCTION("""COMPUTED_VALUE"""),3)</f>
        <v>3</v>
      </c>
      <c r="M205" s="1">
        <f ca="1">IFERROR(__xludf.DUMMYFUNCTION("""COMPUTED_VALUE"""),13)</f>
        <v>13</v>
      </c>
      <c r="N205" s="1">
        <f ca="1">IFERROR(__xludf.DUMMYFUNCTION("""COMPUTED_VALUE"""),2220)</f>
        <v>2220</v>
      </c>
      <c r="O205" s="1">
        <f ca="1">IFERROR(__xludf.DUMMYFUNCTION("""COMPUTED_VALUE"""),2341)</f>
        <v>2341</v>
      </c>
      <c r="P205" s="1">
        <f ca="1">IFERROR(__xludf.DUMMYFUNCTION("""COMPUTED_VALUE"""),1290)</f>
        <v>1290</v>
      </c>
      <c r="Q205" s="1">
        <f ca="1">IFERROR(__xludf.DUMMYFUNCTION("""COMPUTED_VALUE"""),774)</f>
        <v>774</v>
      </c>
      <c r="R205" s="1">
        <f ca="1">IFERROR(__xludf.DUMMYFUNCTION("""COMPUTED_VALUE"""),1794)</f>
        <v>1794</v>
      </c>
      <c r="S205" s="1">
        <f ca="1">IFERROR(__xludf.DUMMYFUNCTION("""COMPUTED_VALUE"""),0.431)</f>
        <v>0.43099999999999999</v>
      </c>
      <c r="T205" s="1">
        <f ca="1">IFERROR(__xludf.DUMMYFUNCTION("""COMPUTED_VALUE"""),259)</f>
        <v>259</v>
      </c>
      <c r="U205" s="1">
        <f ca="1">IFERROR(__xludf.DUMMYFUNCTION("""COMPUTED_VALUE"""),728)</f>
        <v>728</v>
      </c>
      <c r="V205" s="1">
        <f ca="1">IFERROR(__xludf.DUMMYFUNCTION("""COMPUTED_VALUE"""),0.356)</f>
        <v>0.35599999999999998</v>
      </c>
      <c r="W205" s="1">
        <f ca="1">IFERROR(__xludf.DUMMYFUNCTION("""COMPUTED_VALUE"""),413)</f>
        <v>413</v>
      </c>
      <c r="X205" s="1">
        <f ca="1">IFERROR(__xludf.DUMMYFUNCTION("""COMPUTED_VALUE"""),590)</f>
        <v>590</v>
      </c>
      <c r="Y205" s="1">
        <f ca="1">IFERROR(__xludf.DUMMYFUNCTION("""COMPUTED_VALUE"""),0.7)</f>
        <v>0.7</v>
      </c>
      <c r="Z205" s="1">
        <f ca="1">IFERROR(__xludf.DUMMYFUNCTION("""COMPUTED_VALUE"""),261)</f>
        <v>261</v>
      </c>
      <c r="AA205" s="1">
        <f ca="1">IFERROR(__xludf.DUMMYFUNCTION("""COMPUTED_VALUE"""),966)</f>
        <v>966</v>
      </c>
      <c r="AB205" s="1">
        <f ca="1">IFERROR(__xludf.DUMMYFUNCTION("""COMPUTED_VALUE"""),351)</f>
        <v>351</v>
      </c>
      <c r="AC205" s="1">
        <f ca="1">IFERROR(__xludf.DUMMYFUNCTION("""COMPUTED_VALUE"""),233)</f>
        <v>233</v>
      </c>
      <c r="AD205" s="1">
        <f ca="1">IFERROR(__xludf.DUMMYFUNCTION("""COMPUTED_VALUE"""),90)</f>
        <v>90</v>
      </c>
      <c r="AE205" s="1">
        <f ca="1">IFERROR(__xludf.DUMMYFUNCTION("""COMPUTED_VALUE"""),391)</f>
        <v>391</v>
      </c>
      <c r="AF205" s="1">
        <f ca="1">IFERROR(__xludf.DUMMYFUNCTION("""COMPUTED_VALUE"""),647)</f>
        <v>647</v>
      </c>
    </row>
    <row r="206" spans="1:32" ht="12.5" x14ac:dyDescent="0.25">
      <c r="A206" s="1" t="str">
        <f ca="1">IFERROR(__xludf.DUMMYFUNCTION("""COMPUTED_VALUE"""),"Missouri State")</f>
        <v>Missouri State</v>
      </c>
      <c r="B206" s="1">
        <f ca="1">IFERROR(__xludf.DUMMYFUNCTION("""COMPUTED_VALUE"""),32)</f>
        <v>32</v>
      </c>
      <c r="C206" s="1">
        <f ca="1">IFERROR(__xludf.DUMMYFUNCTION("""COMPUTED_VALUE"""),16)</f>
        <v>16</v>
      </c>
      <c r="D206" s="1">
        <f ca="1">IFERROR(__xludf.DUMMYFUNCTION("""COMPUTED_VALUE"""),16)</f>
        <v>16</v>
      </c>
      <c r="E206" s="1">
        <f ca="1">IFERROR(__xludf.DUMMYFUNCTION("""COMPUTED_VALUE"""),0.5)</f>
        <v>0.5</v>
      </c>
      <c r="F206" s="1">
        <f ca="1">IFERROR(__xludf.DUMMYFUNCTION("""COMPUTED_VALUE"""),-1.2)</f>
        <v>-1.2</v>
      </c>
      <c r="G206" s="1">
        <f ca="1">IFERROR(__xludf.DUMMYFUNCTION("""COMPUTED_VALUE"""),-1.03)</f>
        <v>-1.03</v>
      </c>
      <c r="H206" s="1">
        <f ca="1">IFERROR(__xludf.DUMMYFUNCTION("""COMPUTED_VALUE"""),10)</f>
        <v>10</v>
      </c>
      <c r="I206" s="1">
        <f ca="1">IFERROR(__xludf.DUMMYFUNCTION("""COMPUTED_VALUE"""),8)</f>
        <v>8</v>
      </c>
      <c r="J206" s="1">
        <f ca="1">IFERROR(__xludf.DUMMYFUNCTION("""COMPUTED_VALUE"""),11)</f>
        <v>11</v>
      </c>
      <c r="K206" s="1">
        <f ca="1">IFERROR(__xludf.DUMMYFUNCTION("""COMPUTED_VALUE"""),4)</f>
        <v>4</v>
      </c>
      <c r="L206" s="1">
        <f ca="1">IFERROR(__xludf.DUMMYFUNCTION("""COMPUTED_VALUE"""),5)</f>
        <v>5</v>
      </c>
      <c r="M206" s="1">
        <f ca="1">IFERROR(__xludf.DUMMYFUNCTION("""COMPUTED_VALUE"""),9)</f>
        <v>9</v>
      </c>
      <c r="N206" s="1">
        <f ca="1">IFERROR(__xludf.DUMMYFUNCTION("""COMPUTED_VALUE"""),2206)</f>
        <v>2206</v>
      </c>
      <c r="O206" s="1">
        <f ca="1">IFERROR(__xludf.DUMMYFUNCTION("""COMPUTED_VALUE"""),2157)</f>
        <v>2157</v>
      </c>
      <c r="P206" s="1">
        <f ca="1">IFERROR(__xludf.DUMMYFUNCTION("""COMPUTED_VALUE"""),1285)</f>
        <v>1285</v>
      </c>
      <c r="Q206" s="1">
        <f ca="1">IFERROR(__xludf.DUMMYFUNCTION("""COMPUTED_VALUE"""),774)</f>
        <v>774</v>
      </c>
      <c r="R206" s="1">
        <f ca="1">IFERROR(__xludf.DUMMYFUNCTION("""COMPUTED_VALUE"""),1714)</f>
        <v>1714</v>
      </c>
      <c r="S206" s="1">
        <f ca="1">IFERROR(__xludf.DUMMYFUNCTION("""COMPUTED_VALUE"""),0.452)</f>
        <v>0.45200000000000001</v>
      </c>
      <c r="T206" s="1">
        <f ca="1">IFERROR(__xludf.DUMMYFUNCTION("""COMPUTED_VALUE"""),224)</f>
        <v>224</v>
      </c>
      <c r="U206" s="1">
        <f ca="1">IFERROR(__xludf.DUMMYFUNCTION("""COMPUTED_VALUE"""),649)</f>
        <v>649</v>
      </c>
      <c r="V206" s="1">
        <f ca="1">IFERROR(__xludf.DUMMYFUNCTION("""COMPUTED_VALUE"""),0.345)</f>
        <v>0.34499999999999997</v>
      </c>
      <c r="W206" s="1">
        <f ca="1">IFERROR(__xludf.DUMMYFUNCTION("""COMPUTED_VALUE"""),434)</f>
        <v>434</v>
      </c>
      <c r="X206" s="1">
        <f ca="1">IFERROR(__xludf.DUMMYFUNCTION("""COMPUTED_VALUE"""),627)</f>
        <v>627</v>
      </c>
      <c r="Y206" s="1">
        <f ca="1">IFERROR(__xludf.DUMMYFUNCTION("""COMPUTED_VALUE"""),0.692)</f>
        <v>0.69199999999999995</v>
      </c>
      <c r="Z206" s="1">
        <f ca="1">IFERROR(__xludf.DUMMYFUNCTION("""COMPUTED_VALUE"""),270)</f>
        <v>270</v>
      </c>
      <c r="AA206" s="1">
        <f ca="1">IFERROR(__xludf.DUMMYFUNCTION("""COMPUTED_VALUE"""),1000)</f>
        <v>1000</v>
      </c>
      <c r="AB206" s="1">
        <f ca="1">IFERROR(__xludf.DUMMYFUNCTION("""COMPUTED_VALUE"""),354)</f>
        <v>354</v>
      </c>
      <c r="AC206" s="1">
        <f ca="1">IFERROR(__xludf.DUMMYFUNCTION("""COMPUTED_VALUE"""),221)</f>
        <v>221</v>
      </c>
      <c r="AD206" s="1">
        <f ca="1">IFERROR(__xludf.DUMMYFUNCTION("""COMPUTED_VALUE"""),127)</f>
        <v>127</v>
      </c>
      <c r="AE206" s="1">
        <f ca="1">IFERROR(__xludf.DUMMYFUNCTION("""COMPUTED_VALUE"""),385)</f>
        <v>385</v>
      </c>
      <c r="AF206" s="1">
        <f ca="1">IFERROR(__xludf.DUMMYFUNCTION("""COMPUTED_VALUE"""),540)</f>
        <v>540</v>
      </c>
    </row>
    <row r="207" spans="1:32" ht="12.5" x14ac:dyDescent="0.25">
      <c r="A207" s="1" t="str">
        <f ca="1">IFERROR(__xludf.DUMMYFUNCTION("""COMPUTED_VALUE"""),"Missouri")</f>
        <v>Missouri</v>
      </c>
      <c r="B207" s="1">
        <f ca="1">IFERROR(__xludf.DUMMYFUNCTION("""COMPUTED_VALUE"""),32)</f>
        <v>32</v>
      </c>
      <c r="C207" s="1">
        <f ca="1">IFERROR(__xludf.DUMMYFUNCTION("""COMPUTED_VALUE"""),15)</f>
        <v>15</v>
      </c>
      <c r="D207" s="1">
        <f ca="1">IFERROR(__xludf.DUMMYFUNCTION("""COMPUTED_VALUE"""),17)</f>
        <v>17</v>
      </c>
      <c r="E207" s="1">
        <f ca="1">IFERROR(__xludf.DUMMYFUNCTION("""COMPUTED_VALUE"""),0.469)</f>
        <v>0.46899999999999997</v>
      </c>
      <c r="F207" s="1">
        <f ca="1">IFERROR(__xludf.DUMMYFUNCTION("""COMPUTED_VALUE"""),8.6)</f>
        <v>8.6</v>
      </c>
      <c r="G207" s="1">
        <f ca="1">IFERROR(__xludf.DUMMYFUNCTION("""COMPUTED_VALUE"""),9.16)</f>
        <v>9.16</v>
      </c>
      <c r="H207" s="1">
        <f ca="1">IFERROR(__xludf.DUMMYFUNCTION("""COMPUTED_VALUE"""),5)</f>
        <v>5</v>
      </c>
      <c r="I207" s="1">
        <f ca="1">IFERROR(__xludf.DUMMYFUNCTION("""COMPUTED_VALUE"""),13)</f>
        <v>13</v>
      </c>
      <c r="J207" s="1">
        <f ca="1">IFERROR(__xludf.DUMMYFUNCTION("""COMPUTED_VALUE"""),9)</f>
        <v>9</v>
      </c>
      <c r="K207" s="1">
        <f ca="1">IFERROR(__xludf.DUMMYFUNCTION("""COMPUTED_VALUE"""),7)</f>
        <v>7</v>
      </c>
      <c r="L207" s="1">
        <f ca="1">IFERROR(__xludf.DUMMYFUNCTION("""COMPUTED_VALUE"""),2)</f>
        <v>2</v>
      </c>
      <c r="M207" s="1">
        <f ca="1">IFERROR(__xludf.DUMMYFUNCTION("""COMPUTED_VALUE"""),8)</f>
        <v>8</v>
      </c>
      <c r="N207" s="1">
        <f ca="1">IFERROR(__xludf.DUMMYFUNCTION("""COMPUTED_VALUE"""),2150)</f>
        <v>2150</v>
      </c>
      <c r="O207" s="1">
        <f ca="1">IFERROR(__xludf.DUMMYFUNCTION("""COMPUTED_VALUE"""),2168)</f>
        <v>2168</v>
      </c>
      <c r="P207" s="1">
        <f ca="1">IFERROR(__xludf.DUMMYFUNCTION("""COMPUTED_VALUE"""),1290)</f>
        <v>1290</v>
      </c>
      <c r="Q207" s="1">
        <f ca="1">IFERROR(__xludf.DUMMYFUNCTION("""COMPUTED_VALUE"""),758)</f>
        <v>758</v>
      </c>
      <c r="R207" s="1">
        <f ca="1">IFERROR(__xludf.DUMMYFUNCTION("""COMPUTED_VALUE"""),1764)</f>
        <v>1764</v>
      </c>
      <c r="S207" s="1">
        <f ca="1">IFERROR(__xludf.DUMMYFUNCTION("""COMPUTED_VALUE"""),0.43)</f>
        <v>0.43</v>
      </c>
      <c r="T207" s="1">
        <f ca="1">IFERROR(__xludf.DUMMYFUNCTION("""COMPUTED_VALUE"""),264)</f>
        <v>264</v>
      </c>
      <c r="U207" s="1">
        <f ca="1">IFERROR(__xludf.DUMMYFUNCTION("""COMPUTED_VALUE"""),727)</f>
        <v>727</v>
      </c>
      <c r="V207" s="1">
        <f ca="1">IFERROR(__xludf.DUMMYFUNCTION("""COMPUTED_VALUE"""),0.363)</f>
        <v>0.36299999999999999</v>
      </c>
      <c r="W207" s="1">
        <f ca="1">IFERROR(__xludf.DUMMYFUNCTION("""COMPUTED_VALUE"""),370)</f>
        <v>370</v>
      </c>
      <c r="X207" s="1">
        <f ca="1">IFERROR(__xludf.DUMMYFUNCTION("""COMPUTED_VALUE"""),526)</f>
        <v>526</v>
      </c>
      <c r="Y207" s="1">
        <f ca="1">IFERROR(__xludf.DUMMYFUNCTION("""COMPUTED_VALUE"""),0.703)</f>
        <v>0.70299999999999996</v>
      </c>
      <c r="Z207" s="1">
        <f ca="1">IFERROR(__xludf.DUMMYFUNCTION("""COMPUTED_VALUE"""),345)</f>
        <v>345</v>
      </c>
      <c r="AA207" s="1">
        <f ca="1">IFERROR(__xludf.DUMMYFUNCTION("""COMPUTED_VALUE"""),1130)</f>
        <v>1130</v>
      </c>
      <c r="AB207" s="1">
        <f ca="1">IFERROR(__xludf.DUMMYFUNCTION("""COMPUTED_VALUE"""),354)</f>
        <v>354</v>
      </c>
      <c r="AC207" s="1">
        <f ca="1">IFERROR(__xludf.DUMMYFUNCTION("""COMPUTED_VALUE"""),149)</f>
        <v>149</v>
      </c>
      <c r="AD207" s="1">
        <f ca="1">IFERROR(__xludf.DUMMYFUNCTION("""COMPUTED_VALUE"""),53)</f>
        <v>53</v>
      </c>
      <c r="AE207" s="1">
        <f ca="1">IFERROR(__xludf.DUMMYFUNCTION("""COMPUTED_VALUE"""),448)</f>
        <v>448</v>
      </c>
      <c r="AF207" s="1">
        <f ca="1">IFERROR(__xludf.DUMMYFUNCTION("""COMPUTED_VALUE"""),625)</f>
        <v>625</v>
      </c>
    </row>
    <row r="208" spans="1:32" ht="12.5" x14ac:dyDescent="0.25">
      <c r="A208" s="1" t="str">
        <f ca="1">IFERROR(__xludf.DUMMYFUNCTION("""COMPUTED_VALUE"""),"Monmouth")</f>
        <v>Monmouth</v>
      </c>
      <c r="B208" s="1">
        <f ca="1">IFERROR(__xludf.DUMMYFUNCTION("""COMPUTED_VALUE"""),35)</f>
        <v>35</v>
      </c>
      <c r="C208" s="1">
        <f ca="1">IFERROR(__xludf.DUMMYFUNCTION("""COMPUTED_VALUE"""),14)</f>
        <v>14</v>
      </c>
      <c r="D208" s="1">
        <f ca="1">IFERROR(__xludf.DUMMYFUNCTION("""COMPUTED_VALUE"""),21)</f>
        <v>21</v>
      </c>
      <c r="E208" s="1">
        <f ca="1">IFERROR(__xludf.DUMMYFUNCTION("""COMPUTED_VALUE"""),0.4)</f>
        <v>0.4</v>
      </c>
      <c r="F208" s="1">
        <f ca="1">IFERROR(__xludf.DUMMYFUNCTION("""COMPUTED_VALUE"""),-10.66)</f>
        <v>-10.66</v>
      </c>
      <c r="G208" s="1">
        <f ca="1">IFERROR(__xludf.DUMMYFUNCTION("""COMPUTED_VALUE"""),-4.83)</f>
        <v>-4.83</v>
      </c>
      <c r="H208" s="1">
        <f ca="1">IFERROR(__xludf.DUMMYFUNCTION("""COMPUTED_VALUE"""),10)</f>
        <v>10</v>
      </c>
      <c r="I208" s="1">
        <f ca="1">IFERROR(__xludf.DUMMYFUNCTION("""COMPUTED_VALUE"""),8)</f>
        <v>8</v>
      </c>
      <c r="J208" s="1">
        <f ca="1">IFERROR(__xludf.DUMMYFUNCTION("""COMPUTED_VALUE"""),6)</f>
        <v>6</v>
      </c>
      <c r="K208" s="1">
        <f ca="1">IFERROR(__xludf.DUMMYFUNCTION("""COMPUTED_VALUE"""),6)</f>
        <v>6</v>
      </c>
      <c r="L208" s="1">
        <f ca="1">IFERROR(__xludf.DUMMYFUNCTION("""COMPUTED_VALUE"""),5)</f>
        <v>5</v>
      </c>
      <c r="M208" s="1">
        <f ca="1">IFERROR(__xludf.DUMMYFUNCTION("""COMPUTED_VALUE"""),11)</f>
        <v>11</v>
      </c>
      <c r="N208" s="1">
        <f ca="1">IFERROR(__xludf.DUMMYFUNCTION("""COMPUTED_VALUE"""),2286)</f>
        <v>2286</v>
      </c>
      <c r="O208" s="1">
        <f ca="1">IFERROR(__xludf.DUMMYFUNCTION("""COMPUTED_VALUE"""),2490)</f>
        <v>2490</v>
      </c>
      <c r="P208" s="1">
        <f ca="1">IFERROR(__xludf.DUMMYFUNCTION("""COMPUTED_VALUE"""),1420)</f>
        <v>1420</v>
      </c>
      <c r="Q208" s="1">
        <f ca="1">IFERROR(__xludf.DUMMYFUNCTION("""COMPUTED_VALUE"""),794)</f>
        <v>794</v>
      </c>
      <c r="R208" s="1">
        <f ca="1">IFERROR(__xludf.DUMMYFUNCTION("""COMPUTED_VALUE"""),1915)</f>
        <v>1915</v>
      </c>
      <c r="S208" s="1">
        <f ca="1">IFERROR(__xludf.DUMMYFUNCTION("""COMPUTED_VALUE"""),0.415)</f>
        <v>0.41499999999999998</v>
      </c>
      <c r="T208" s="1">
        <f ca="1">IFERROR(__xludf.DUMMYFUNCTION("""COMPUTED_VALUE"""),168)</f>
        <v>168</v>
      </c>
      <c r="U208" s="1">
        <f ca="1">IFERROR(__xludf.DUMMYFUNCTION("""COMPUTED_VALUE"""),565)</f>
        <v>565</v>
      </c>
      <c r="V208" s="1">
        <f ca="1">IFERROR(__xludf.DUMMYFUNCTION("""COMPUTED_VALUE"""),0.297)</f>
        <v>0.29699999999999999</v>
      </c>
      <c r="W208" s="1">
        <f ca="1">IFERROR(__xludf.DUMMYFUNCTION("""COMPUTED_VALUE"""),530)</f>
        <v>530</v>
      </c>
      <c r="X208" s="1">
        <f ca="1">IFERROR(__xludf.DUMMYFUNCTION("""COMPUTED_VALUE"""),773)</f>
        <v>773</v>
      </c>
      <c r="Y208" s="1">
        <f ca="1">IFERROR(__xludf.DUMMYFUNCTION("""COMPUTED_VALUE"""),0.686)</f>
        <v>0.68600000000000005</v>
      </c>
      <c r="Z208" s="1">
        <f ca="1">IFERROR(__xludf.DUMMYFUNCTION("""COMPUTED_VALUE"""),360)</f>
        <v>360</v>
      </c>
      <c r="AA208" s="1">
        <f ca="1">IFERROR(__xludf.DUMMYFUNCTION("""COMPUTED_VALUE"""),1224)</f>
        <v>1224</v>
      </c>
      <c r="AB208" s="1">
        <f ca="1">IFERROR(__xludf.DUMMYFUNCTION("""COMPUTED_VALUE"""),379)</f>
        <v>379</v>
      </c>
      <c r="AC208" s="1">
        <f ca="1">IFERROR(__xludf.DUMMYFUNCTION("""COMPUTED_VALUE"""),237)</f>
        <v>237</v>
      </c>
      <c r="AD208" s="1">
        <f ca="1">IFERROR(__xludf.DUMMYFUNCTION("""COMPUTED_VALUE"""),101)</f>
        <v>101</v>
      </c>
      <c r="AE208" s="1">
        <f ca="1">IFERROR(__xludf.DUMMYFUNCTION("""COMPUTED_VALUE"""),502)</f>
        <v>502</v>
      </c>
      <c r="AF208" s="1">
        <f ca="1">IFERROR(__xludf.DUMMYFUNCTION("""COMPUTED_VALUE"""),698)</f>
        <v>698</v>
      </c>
    </row>
    <row r="209" spans="1:32" ht="12.5" x14ac:dyDescent="0.25">
      <c r="A209" s="1" t="str">
        <f ca="1">IFERROR(__xludf.DUMMYFUNCTION("""COMPUTED_VALUE"""),"Montana State")</f>
        <v>Montana State</v>
      </c>
      <c r="B209" s="1">
        <f ca="1">IFERROR(__xludf.DUMMYFUNCTION("""COMPUTED_VALUE"""),32)</f>
        <v>32</v>
      </c>
      <c r="C209" s="1">
        <f ca="1">IFERROR(__xludf.DUMMYFUNCTION("""COMPUTED_VALUE"""),15)</f>
        <v>15</v>
      </c>
      <c r="D209" s="1">
        <f ca="1">IFERROR(__xludf.DUMMYFUNCTION("""COMPUTED_VALUE"""),17)</f>
        <v>17</v>
      </c>
      <c r="E209" s="1">
        <f ca="1">IFERROR(__xludf.DUMMYFUNCTION("""COMPUTED_VALUE"""),0.469)</f>
        <v>0.46899999999999997</v>
      </c>
      <c r="F209" s="1">
        <f ca="1">IFERROR(__xludf.DUMMYFUNCTION("""COMPUTED_VALUE"""),-7.91)</f>
        <v>-7.91</v>
      </c>
      <c r="G209" s="1">
        <f ca="1">IFERROR(__xludf.DUMMYFUNCTION("""COMPUTED_VALUE"""),-5.81)</f>
        <v>-5.81</v>
      </c>
      <c r="H209" s="1">
        <f ca="1">IFERROR(__xludf.DUMMYFUNCTION("""COMPUTED_VALUE"""),11)</f>
        <v>11</v>
      </c>
      <c r="I209" s="1">
        <f ca="1">IFERROR(__xludf.DUMMYFUNCTION("""COMPUTED_VALUE"""),9)</f>
        <v>9</v>
      </c>
      <c r="J209" s="1">
        <f ca="1">IFERROR(__xludf.DUMMYFUNCTION("""COMPUTED_VALUE"""),9)</f>
        <v>9</v>
      </c>
      <c r="K209" s="1">
        <f ca="1">IFERROR(__xludf.DUMMYFUNCTION("""COMPUTED_VALUE"""),4)</f>
        <v>4</v>
      </c>
      <c r="L209" s="1">
        <f ca="1">IFERROR(__xludf.DUMMYFUNCTION("""COMPUTED_VALUE"""),4)</f>
        <v>4</v>
      </c>
      <c r="M209" s="1">
        <f ca="1">IFERROR(__xludf.DUMMYFUNCTION("""COMPUTED_VALUE"""),12)</f>
        <v>12</v>
      </c>
      <c r="N209" s="1">
        <f ca="1">IFERROR(__xludf.DUMMYFUNCTION("""COMPUTED_VALUE"""),2502)</f>
        <v>2502</v>
      </c>
      <c r="O209" s="1">
        <f ca="1">IFERROR(__xludf.DUMMYFUNCTION("""COMPUTED_VALUE"""),2552)</f>
        <v>2552</v>
      </c>
      <c r="P209" s="1">
        <f ca="1">IFERROR(__xludf.DUMMYFUNCTION("""COMPUTED_VALUE"""),1280)</f>
        <v>1280</v>
      </c>
      <c r="Q209" s="1">
        <f ca="1">IFERROR(__xludf.DUMMYFUNCTION("""COMPUTED_VALUE"""),858)</f>
        <v>858</v>
      </c>
      <c r="R209" s="1">
        <f ca="1">IFERROR(__xludf.DUMMYFUNCTION("""COMPUTED_VALUE"""),1882)</f>
        <v>1882</v>
      </c>
      <c r="S209" s="1">
        <f ca="1">IFERROR(__xludf.DUMMYFUNCTION("""COMPUTED_VALUE"""),0.456)</f>
        <v>0.45600000000000002</v>
      </c>
      <c r="T209" s="1">
        <f ca="1">IFERROR(__xludf.DUMMYFUNCTION("""COMPUTED_VALUE"""),306)</f>
        <v>306</v>
      </c>
      <c r="U209" s="1">
        <f ca="1">IFERROR(__xludf.DUMMYFUNCTION("""COMPUTED_VALUE"""),818)</f>
        <v>818</v>
      </c>
      <c r="V209" s="1">
        <f ca="1">IFERROR(__xludf.DUMMYFUNCTION("""COMPUTED_VALUE"""),0.374)</f>
        <v>0.374</v>
      </c>
      <c r="W209" s="1">
        <f ca="1">IFERROR(__xludf.DUMMYFUNCTION("""COMPUTED_VALUE"""),480)</f>
        <v>480</v>
      </c>
      <c r="X209" s="1">
        <f ca="1">IFERROR(__xludf.DUMMYFUNCTION("""COMPUTED_VALUE"""),651)</f>
        <v>651</v>
      </c>
      <c r="Y209" s="1">
        <f ca="1">IFERROR(__xludf.DUMMYFUNCTION("""COMPUTED_VALUE"""),0.737)</f>
        <v>0.73699999999999999</v>
      </c>
      <c r="Z209" s="1">
        <f ca="1">IFERROR(__xludf.DUMMYFUNCTION("""COMPUTED_VALUE"""),292)</f>
        <v>292</v>
      </c>
      <c r="AA209" s="1">
        <f ca="1">IFERROR(__xludf.DUMMYFUNCTION("""COMPUTED_VALUE"""),1083)</f>
        <v>1083</v>
      </c>
      <c r="AB209" s="1">
        <f ca="1">IFERROR(__xludf.DUMMYFUNCTION("""COMPUTED_VALUE"""),491)</f>
        <v>491</v>
      </c>
      <c r="AC209" s="1">
        <f ca="1">IFERROR(__xludf.DUMMYFUNCTION("""COMPUTED_VALUE"""),169)</f>
        <v>169</v>
      </c>
      <c r="AD209" s="1">
        <f ca="1">IFERROR(__xludf.DUMMYFUNCTION("""COMPUTED_VALUE"""),46)</f>
        <v>46</v>
      </c>
      <c r="AE209" s="1">
        <f ca="1">IFERROR(__xludf.DUMMYFUNCTION("""COMPUTED_VALUE"""),394)</f>
        <v>394</v>
      </c>
      <c r="AF209" s="1">
        <f ca="1">IFERROR(__xludf.DUMMYFUNCTION("""COMPUTED_VALUE"""),567)</f>
        <v>567</v>
      </c>
    </row>
    <row r="210" spans="1:32" ht="12.5" x14ac:dyDescent="0.25">
      <c r="A210" s="1" t="str">
        <f ca="1">IFERROR(__xludf.DUMMYFUNCTION("""COMPUTED_VALUE"""),"Montana")</f>
        <v>Montana</v>
      </c>
      <c r="B210" s="1">
        <f ca="1">IFERROR(__xludf.DUMMYFUNCTION("""COMPUTED_VALUE"""),35)</f>
        <v>35</v>
      </c>
      <c r="C210" s="1">
        <f ca="1">IFERROR(__xludf.DUMMYFUNCTION("""COMPUTED_VALUE"""),26)</f>
        <v>26</v>
      </c>
      <c r="D210" s="1">
        <f ca="1">IFERROR(__xludf.DUMMYFUNCTION("""COMPUTED_VALUE"""),9)</f>
        <v>9</v>
      </c>
      <c r="E210" s="1">
        <f ca="1">IFERROR(__xludf.DUMMYFUNCTION("""COMPUTED_VALUE"""),0.743)</f>
        <v>0.74299999999999999</v>
      </c>
      <c r="F210" s="1">
        <f ca="1">IFERROR(__xludf.DUMMYFUNCTION("""COMPUTED_VALUE"""),1.5)</f>
        <v>1.5</v>
      </c>
      <c r="G210" s="1">
        <f ca="1">IFERROR(__xludf.DUMMYFUNCTION("""COMPUTED_VALUE"""),-5.05)</f>
        <v>-5.05</v>
      </c>
      <c r="H210" s="1">
        <f ca="1">IFERROR(__xludf.DUMMYFUNCTION("""COMPUTED_VALUE"""),16)</f>
        <v>16</v>
      </c>
      <c r="I210" s="1">
        <f ca="1">IFERROR(__xludf.DUMMYFUNCTION("""COMPUTED_VALUE"""),4)</f>
        <v>4</v>
      </c>
      <c r="J210" s="1">
        <f ca="1">IFERROR(__xludf.DUMMYFUNCTION("""COMPUTED_VALUE"""),12)</f>
        <v>12</v>
      </c>
      <c r="K210" s="1">
        <f ca="1">IFERROR(__xludf.DUMMYFUNCTION("""COMPUTED_VALUE"""),2)</f>
        <v>2</v>
      </c>
      <c r="L210" s="1">
        <f ca="1">IFERROR(__xludf.DUMMYFUNCTION("""COMPUTED_VALUE"""),9)</f>
        <v>9</v>
      </c>
      <c r="M210" s="1">
        <f ca="1">IFERROR(__xludf.DUMMYFUNCTION("""COMPUTED_VALUE"""),5)</f>
        <v>5</v>
      </c>
      <c r="N210" s="1">
        <f ca="1">IFERROR(__xludf.DUMMYFUNCTION("""COMPUTED_VALUE"""),2665)</f>
        <v>2665</v>
      </c>
      <c r="O210" s="1">
        <f ca="1">IFERROR(__xludf.DUMMYFUNCTION("""COMPUTED_VALUE"""),2397)</f>
        <v>2397</v>
      </c>
      <c r="P210" s="1">
        <f ca="1">IFERROR(__xludf.DUMMYFUNCTION("""COMPUTED_VALUE"""),1405)</f>
        <v>1405</v>
      </c>
      <c r="Q210" s="1">
        <f ca="1">IFERROR(__xludf.DUMMYFUNCTION("""COMPUTED_VALUE"""),975)</f>
        <v>975</v>
      </c>
      <c r="R210" s="1">
        <f ca="1">IFERROR(__xludf.DUMMYFUNCTION("""COMPUTED_VALUE"""),1983)</f>
        <v>1983</v>
      </c>
      <c r="S210" s="1">
        <f ca="1">IFERROR(__xludf.DUMMYFUNCTION("""COMPUTED_VALUE"""),0.492)</f>
        <v>0.49199999999999999</v>
      </c>
      <c r="T210" s="1">
        <f ca="1">IFERROR(__xludf.DUMMYFUNCTION("""COMPUTED_VALUE"""),287)</f>
        <v>287</v>
      </c>
      <c r="U210" s="1">
        <f ca="1">IFERROR(__xludf.DUMMYFUNCTION("""COMPUTED_VALUE"""),763)</f>
        <v>763</v>
      </c>
      <c r="V210" s="1">
        <f ca="1">IFERROR(__xludf.DUMMYFUNCTION("""COMPUTED_VALUE"""),0.376)</f>
        <v>0.376</v>
      </c>
      <c r="W210" s="1">
        <f ca="1">IFERROR(__xludf.DUMMYFUNCTION("""COMPUTED_VALUE"""),428)</f>
        <v>428</v>
      </c>
      <c r="X210" s="1">
        <f ca="1">IFERROR(__xludf.DUMMYFUNCTION("""COMPUTED_VALUE"""),621)</f>
        <v>621</v>
      </c>
      <c r="Y210" s="1">
        <f ca="1">IFERROR(__xludf.DUMMYFUNCTION("""COMPUTED_VALUE"""),0.689)</f>
        <v>0.68899999999999995</v>
      </c>
      <c r="Z210" s="1">
        <f ca="1">IFERROR(__xludf.DUMMYFUNCTION("""COMPUTED_VALUE"""),293)</f>
        <v>293</v>
      </c>
      <c r="AA210" s="1">
        <f ca="1">IFERROR(__xludf.DUMMYFUNCTION("""COMPUTED_VALUE"""),1176)</f>
        <v>1176</v>
      </c>
      <c r="AB210" s="1">
        <f ca="1">IFERROR(__xludf.DUMMYFUNCTION("""COMPUTED_VALUE"""),510)</f>
        <v>510</v>
      </c>
      <c r="AC210" s="1">
        <f ca="1">IFERROR(__xludf.DUMMYFUNCTION("""COMPUTED_VALUE"""),229)</f>
        <v>229</v>
      </c>
      <c r="AD210" s="1">
        <f ca="1">IFERROR(__xludf.DUMMYFUNCTION("""COMPUTED_VALUE"""),106)</f>
        <v>106</v>
      </c>
      <c r="AE210" s="1">
        <f ca="1">IFERROR(__xludf.DUMMYFUNCTION("""COMPUTED_VALUE"""),416)</f>
        <v>416</v>
      </c>
      <c r="AF210" s="1">
        <f ca="1">IFERROR(__xludf.DUMMYFUNCTION("""COMPUTED_VALUE"""),655)</f>
        <v>655</v>
      </c>
    </row>
    <row r="211" spans="1:32" ht="12.5" x14ac:dyDescent="0.25">
      <c r="A211" s="1" t="str">
        <f ca="1">IFERROR(__xludf.DUMMYFUNCTION("""COMPUTED_VALUE"""),"Morehead State")</f>
        <v>Morehead State</v>
      </c>
      <c r="B211" s="1">
        <f ca="1">IFERROR(__xludf.DUMMYFUNCTION("""COMPUTED_VALUE"""),33)</f>
        <v>33</v>
      </c>
      <c r="C211" s="1">
        <f ca="1">IFERROR(__xludf.DUMMYFUNCTION("""COMPUTED_VALUE"""),13)</f>
        <v>13</v>
      </c>
      <c r="D211" s="1">
        <f ca="1">IFERROR(__xludf.DUMMYFUNCTION("""COMPUTED_VALUE"""),20)</f>
        <v>20</v>
      </c>
      <c r="E211" s="1">
        <f ca="1">IFERROR(__xludf.DUMMYFUNCTION("""COMPUTED_VALUE"""),0.394)</f>
        <v>0.39400000000000002</v>
      </c>
      <c r="F211" s="1">
        <f ca="1">IFERROR(__xludf.DUMMYFUNCTION("""COMPUTED_VALUE"""),-7.73)</f>
        <v>-7.73</v>
      </c>
      <c r="G211" s="1">
        <f ca="1">IFERROR(__xludf.DUMMYFUNCTION("""COMPUTED_VALUE"""),-1.76)</f>
        <v>-1.76</v>
      </c>
      <c r="H211" s="1">
        <f ca="1">IFERROR(__xludf.DUMMYFUNCTION("""COMPUTED_VALUE"""),8)</f>
        <v>8</v>
      </c>
      <c r="I211" s="1">
        <f ca="1">IFERROR(__xludf.DUMMYFUNCTION("""COMPUTED_VALUE"""),10)</f>
        <v>10</v>
      </c>
      <c r="J211" s="1">
        <f ca="1">IFERROR(__xludf.DUMMYFUNCTION("""COMPUTED_VALUE"""),7)</f>
        <v>7</v>
      </c>
      <c r="K211" s="1">
        <f ca="1">IFERROR(__xludf.DUMMYFUNCTION("""COMPUTED_VALUE"""),7)</f>
        <v>7</v>
      </c>
      <c r="L211" s="1">
        <f ca="1">IFERROR(__xludf.DUMMYFUNCTION("""COMPUTED_VALUE"""),4)</f>
        <v>4</v>
      </c>
      <c r="M211" s="1">
        <f ca="1">IFERROR(__xludf.DUMMYFUNCTION("""COMPUTED_VALUE"""),11)</f>
        <v>11</v>
      </c>
      <c r="N211" s="1">
        <f ca="1">IFERROR(__xludf.DUMMYFUNCTION("""COMPUTED_VALUE"""),2431)</f>
        <v>2431</v>
      </c>
      <c r="O211" s="1">
        <f ca="1">IFERROR(__xludf.DUMMYFUNCTION("""COMPUTED_VALUE"""),2543)</f>
        <v>2543</v>
      </c>
      <c r="P211" s="1">
        <f ca="1">IFERROR(__xludf.DUMMYFUNCTION("""COMPUTED_VALUE"""),1335)</f>
        <v>1335</v>
      </c>
      <c r="Q211" s="1">
        <f ca="1">IFERROR(__xludf.DUMMYFUNCTION("""COMPUTED_VALUE"""),855)</f>
        <v>855</v>
      </c>
      <c r="R211" s="1">
        <f ca="1">IFERROR(__xludf.DUMMYFUNCTION("""COMPUTED_VALUE"""),1993)</f>
        <v>1993</v>
      </c>
      <c r="S211" s="1">
        <f ca="1">IFERROR(__xludf.DUMMYFUNCTION("""COMPUTED_VALUE"""),0.429)</f>
        <v>0.42899999999999999</v>
      </c>
      <c r="T211" s="1">
        <f ca="1">IFERROR(__xludf.DUMMYFUNCTION("""COMPUTED_VALUE"""),260)</f>
        <v>260</v>
      </c>
      <c r="U211" s="1">
        <f ca="1">IFERROR(__xludf.DUMMYFUNCTION("""COMPUTED_VALUE"""),762)</f>
        <v>762</v>
      </c>
      <c r="V211" s="1">
        <f ca="1">IFERROR(__xludf.DUMMYFUNCTION("""COMPUTED_VALUE"""),0.341)</f>
        <v>0.34100000000000003</v>
      </c>
      <c r="W211" s="1">
        <f ca="1">IFERROR(__xludf.DUMMYFUNCTION("""COMPUTED_VALUE"""),461)</f>
        <v>461</v>
      </c>
      <c r="X211" s="1">
        <f ca="1">IFERROR(__xludf.DUMMYFUNCTION("""COMPUTED_VALUE"""),654)</f>
        <v>654</v>
      </c>
      <c r="Y211" s="1">
        <f ca="1">IFERROR(__xludf.DUMMYFUNCTION("""COMPUTED_VALUE"""),0.705)</f>
        <v>0.70499999999999996</v>
      </c>
      <c r="Z211" s="1">
        <f ca="1">IFERROR(__xludf.DUMMYFUNCTION("""COMPUTED_VALUE"""),357)</f>
        <v>357</v>
      </c>
      <c r="AA211" s="1">
        <f ca="1">IFERROR(__xludf.DUMMYFUNCTION("""COMPUTED_VALUE"""),1177)</f>
        <v>1177</v>
      </c>
      <c r="AB211" s="1">
        <f ca="1">IFERROR(__xludf.DUMMYFUNCTION("""COMPUTED_VALUE"""),440)</f>
        <v>440</v>
      </c>
      <c r="AC211" s="1">
        <f ca="1">IFERROR(__xludf.DUMMYFUNCTION("""COMPUTED_VALUE"""),186)</f>
        <v>186</v>
      </c>
      <c r="AD211" s="1">
        <f ca="1">IFERROR(__xludf.DUMMYFUNCTION("""COMPUTED_VALUE"""),137)</f>
        <v>137</v>
      </c>
      <c r="AE211" s="1">
        <f ca="1">IFERROR(__xludf.DUMMYFUNCTION("""COMPUTED_VALUE"""),402)</f>
        <v>402</v>
      </c>
      <c r="AF211" s="1">
        <f ca="1">IFERROR(__xludf.DUMMYFUNCTION("""COMPUTED_VALUE"""),561)</f>
        <v>561</v>
      </c>
    </row>
    <row r="212" spans="1:32" ht="12.5" x14ac:dyDescent="0.25">
      <c r="A212" s="1" t="str">
        <f ca="1">IFERROR(__xludf.DUMMYFUNCTION("""COMPUTED_VALUE"""),"Morgan State")</f>
        <v>Morgan State</v>
      </c>
      <c r="B212" s="1">
        <f ca="1">IFERROR(__xludf.DUMMYFUNCTION("""COMPUTED_VALUE"""),30)</f>
        <v>30</v>
      </c>
      <c r="C212" s="1">
        <f ca="1">IFERROR(__xludf.DUMMYFUNCTION("""COMPUTED_VALUE"""),9)</f>
        <v>9</v>
      </c>
      <c r="D212" s="1">
        <f ca="1">IFERROR(__xludf.DUMMYFUNCTION("""COMPUTED_VALUE"""),21)</f>
        <v>21</v>
      </c>
      <c r="E212" s="1">
        <f ca="1">IFERROR(__xludf.DUMMYFUNCTION("""COMPUTED_VALUE"""),0.3)</f>
        <v>0.3</v>
      </c>
      <c r="F212" s="1">
        <f ca="1">IFERROR(__xludf.DUMMYFUNCTION("""COMPUTED_VALUE"""),-15.98)</f>
        <v>-15.98</v>
      </c>
      <c r="G212" s="1">
        <f ca="1">IFERROR(__xludf.DUMMYFUNCTION("""COMPUTED_VALUE"""),-10.7)</f>
        <v>-10.7</v>
      </c>
      <c r="H212" s="1">
        <f ca="1">IFERROR(__xludf.DUMMYFUNCTION("""COMPUTED_VALUE"""),4)</f>
        <v>4</v>
      </c>
      <c r="I212" s="1">
        <f ca="1">IFERROR(__xludf.DUMMYFUNCTION("""COMPUTED_VALUE"""),12)</f>
        <v>12</v>
      </c>
      <c r="J212" s="1">
        <f ca="1">IFERROR(__xludf.DUMMYFUNCTION("""COMPUTED_VALUE"""),6)</f>
        <v>6</v>
      </c>
      <c r="K212" s="1">
        <f ca="1">IFERROR(__xludf.DUMMYFUNCTION("""COMPUTED_VALUE"""),7)</f>
        <v>7</v>
      </c>
      <c r="L212" s="1">
        <f ca="1">IFERROR(__xludf.DUMMYFUNCTION("""COMPUTED_VALUE"""),2)</f>
        <v>2</v>
      </c>
      <c r="M212" s="1">
        <f ca="1">IFERROR(__xludf.DUMMYFUNCTION("""COMPUTED_VALUE"""),13)</f>
        <v>13</v>
      </c>
      <c r="N212" s="1">
        <f ca="1">IFERROR(__xludf.DUMMYFUNCTION("""COMPUTED_VALUE"""),2161)</f>
        <v>2161</v>
      </c>
      <c r="O212" s="1">
        <f ca="1">IFERROR(__xludf.DUMMYFUNCTION("""COMPUTED_VALUE"""),2304)</f>
        <v>2304</v>
      </c>
      <c r="P212" s="1">
        <f ca="1">IFERROR(__xludf.DUMMYFUNCTION("""COMPUTED_VALUE"""),1210)</f>
        <v>1210</v>
      </c>
      <c r="Q212" s="1">
        <f ca="1">IFERROR(__xludf.DUMMYFUNCTION("""COMPUTED_VALUE"""),758)</f>
        <v>758</v>
      </c>
      <c r="R212" s="1">
        <f ca="1">IFERROR(__xludf.DUMMYFUNCTION("""COMPUTED_VALUE"""),1920)</f>
        <v>1920</v>
      </c>
      <c r="S212" s="1">
        <f ca="1">IFERROR(__xludf.DUMMYFUNCTION("""COMPUTED_VALUE"""),0.395)</f>
        <v>0.39500000000000002</v>
      </c>
      <c r="T212" s="1">
        <f ca="1">IFERROR(__xludf.DUMMYFUNCTION("""COMPUTED_VALUE"""),168)</f>
        <v>168</v>
      </c>
      <c r="U212" s="1">
        <f ca="1">IFERROR(__xludf.DUMMYFUNCTION("""COMPUTED_VALUE"""),521)</f>
        <v>521</v>
      </c>
      <c r="V212" s="1">
        <f ca="1">IFERROR(__xludf.DUMMYFUNCTION("""COMPUTED_VALUE"""),0.322)</f>
        <v>0.32200000000000001</v>
      </c>
      <c r="W212" s="1">
        <f ca="1">IFERROR(__xludf.DUMMYFUNCTION("""COMPUTED_VALUE"""),477)</f>
        <v>477</v>
      </c>
      <c r="X212" s="1">
        <f ca="1">IFERROR(__xludf.DUMMYFUNCTION("""COMPUTED_VALUE"""),669)</f>
        <v>669</v>
      </c>
      <c r="Y212" s="1">
        <f ca="1">IFERROR(__xludf.DUMMYFUNCTION("""COMPUTED_VALUE"""),0.713)</f>
        <v>0.71299999999999997</v>
      </c>
      <c r="Z212" s="1">
        <f ca="1">IFERROR(__xludf.DUMMYFUNCTION("""COMPUTED_VALUE"""),397)</f>
        <v>397</v>
      </c>
      <c r="AA212" s="1">
        <f ca="1">IFERROR(__xludf.DUMMYFUNCTION("""COMPUTED_VALUE"""),1078)</f>
        <v>1078</v>
      </c>
      <c r="AB212" s="1">
        <f ca="1">IFERROR(__xludf.DUMMYFUNCTION("""COMPUTED_VALUE"""),362)</f>
        <v>362</v>
      </c>
      <c r="AC212" s="1">
        <f ca="1">IFERROR(__xludf.DUMMYFUNCTION("""COMPUTED_VALUE"""),230)</f>
        <v>230</v>
      </c>
      <c r="AD212" s="1">
        <f ca="1">IFERROR(__xludf.DUMMYFUNCTION("""COMPUTED_VALUE"""),48)</f>
        <v>48</v>
      </c>
      <c r="AE212" s="1">
        <f ca="1">IFERROR(__xludf.DUMMYFUNCTION("""COMPUTED_VALUE"""),401)</f>
        <v>401</v>
      </c>
      <c r="AF212" s="1">
        <f ca="1">IFERROR(__xludf.DUMMYFUNCTION("""COMPUTED_VALUE"""),614)</f>
        <v>614</v>
      </c>
    </row>
    <row r="213" spans="1:32" ht="12.5" x14ac:dyDescent="0.25">
      <c r="A213" s="1" t="str">
        <f ca="1">IFERROR(__xludf.DUMMYFUNCTION("""COMPUTED_VALUE"""),"Mount St. Mary's")</f>
        <v>Mount St. Mary's</v>
      </c>
      <c r="B213" s="1">
        <f ca="1">IFERROR(__xludf.DUMMYFUNCTION("""COMPUTED_VALUE"""),31)</f>
        <v>31</v>
      </c>
      <c r="C213" s="1">
        <f ca="1">IFERROR(__xludf.DUMMYFUNCTION("""COMPUTED_VALUE"""),9)</f>
        <v>9</v>
      </c>
      <c r="D213" s="1">
        <f ca="1">IFERROR(__xludf.DUMMYFUNCTION("""COMPUTED_VALUE"""),22)</f>
        <v>22</v>
      </c>
      <c r="E213" s="1">
        <f ca="1">IFERROR(__xludf.DUMMYFUNCTION("""COMPUTED_VALUE"""),0.29)</f>
        <v>0.28999999999999998</v>
      </c>
      <c r="F213" s="1">
        <f ca="1">IFERROR(__xludf.DUMMYFUNCTION("""COMPUTED_VALUE"""),-14.57)</f>
        <v>-14.57</v>
      </c>
      <c r="G213" s="1">
        <f ca="1">IFERROR(__xludf.DUMMYFUNCTION("""COMPUTED_VALUE"""),-6.02)</f>
        <v>-6.02</v>
      </c>
      <c r="H213" s="1">
        <f ca="1">IFERROR(__xludf.DUMMYFUNCTION("""COMPUTED_VALUE"""),6)</f>
        <v>6</v>
      </c>
      <c r="I213" s="1">
        <f ca="1">IFERROR(__xludf.DUMMYFUNCTION("""COMPUTED_VALUE"""),12)</f>
        <v>12</v>
      </c>
      <c r="J213" s="1">
        <f ca="1">IFERROR(__xludf.DUMMYFUNCTION("""COMPUTED_VALUE"""),4)</f>
        <v>4</v>
      </c>
      <c r="K213" s="1">
        <f ca="1">IFERROR(__xludf.DUMMYFUNCTION("""COMPUTED_VALUE"""),9)</f>
        <v>9</v>
      </c>
      <c r="L213" s="1">
        <f ca="1">IFERROR(__xludf.DUMMYFUNCTION("""COMPUTED_VALUE"""),5)</f>
        <v>5</v>
      </c>
      <c r="M213" s="1">
        <f ca="1">IFERROR(__xludf.DUMMYFUNCTION("""COMPUTED_VALUE"""),13)</f>
        <v>13</v>
      </c>
      <c r="N213" s="1">
        <f ca="1">IFERROR(__xludf.DUMMYFUNCTION("""COMPUTED_VALUE"""),2092)</f>
        <v>2092</v>
      </c>
      <c r="O213" s="1">
        <f ca="1">IFERROR(__xludf.DUMMYFUNCTION("""COMPUTED_VALUE"""),2286)</f>
        <v>2286</v>
      </c>
      <c r="P213" s="1">
        <f ca="1">IFERROR(__xludf.DUMMYFUNCTION("""COMPUTED_VALUE"""),1240)</f>
        <v>1240</v>
      </c>
      <c r="Q213" s="1">
        <f ca="1">IFERROR(__xludf.DUMMYFUNCTION("""COMPUTED_VALUE"""),733)</f>
        <v>733</v>
      </c>
      <c r="R213" s="1">
        <f ca="1">IFERROR(__xludf.DUMMYFUNCTION("""COMPUTED_VALUE"""),1755)</f>
        <v>1755</v>
      </c>
      <c r="S213" s="1">
        <f ca="1">IFERROR(__xludf.DUMMYFUNCTION("""COMPUTED_VALUE"""),0.418)</f>
        <v>0.41799999999999998</v>
      </c>
      <c r="T213" s="1">
        <f ca="1">IFERROR(__xludf.DUMMYFUNCTION("""COMPUTED_VALUE"""),223)</f>
        <v>223</v>
      </c>
      <c r="U213" s="1">
        <f ca="1">IFERROR(__xludf.DUMMYFUNCTION("""COMPUTED_VALUE"""),723)</f>
        <v>723</v>
      </c>
      <c r="V213" s="1">
        <f ca="1">IFERROR(__xludf.DUMMYFUNCTION("""COMPUTED_VALUE"""),0.308)</f>
        <v>0.308</v>
      </c>
      <c r="W213" s="1">
        <f ca="1">IFERROR(__xludf.DUMMYFUNCTION("""COMPUTED_VALUE"""),403)</f>
        <v>403</v>
      </c>
      <c r="X213" s="1">
        <f ca="1">IFERROR(__xludf.DUMMYFUNCTION("""COMPUTED_VALUE"""),594)</f>
        <v>594</v>
      </c>
      <c r="Y213" s="1">
        <f ca="1">IFERROR(__xludf.DUMMYFUNCTION("""COMPUTED_VALUE"""),0.678)</f>
        <v>0.67800000000000005</v>
      </c>
      <c r="Z213" s="1">
        <f ca="1">IFERROR(__xludf.DUMMYFUNCTION("""COMPUTED_VALUE"""),293)</f>
        <v>293</v>
      </c>
      <c r="AA213" s="1">
        <f ca="1">IFERROR(__xludf.DUMMYFUNCTION("""COMPUTED_VALUE"""),1036)</f>
        <v>1036</v>
      </c>
      <c r="AB213" s="1">
        <f ca="1">IFERROR(__xludf.DUMMYFUNCTION("""COMPUTED_VALUE"""),354)</f>
        <v>354</v>
      </c>
      <c r="AC213" s="1">
        <f ca="1">IFERROR(__xludf.DUMMYFUNCTION("""COMPUTED_VALUE"""),146)</f>
        <v>146</v>
      </c>
      <c r="AD213" s="1">
        <f ca="1">IFERROR(__xludf.DUMMYFUNCTION("""COMPUTED_VALUE"""),107)</f>
        <v>107</v>
      </c>
      <c r="AE213" s="1">
        <f ca="1">IFERROR(__xludf.DUMMYFUNCTION("""COMPUTED_VALUE"""),410)</f>
        <v>410</v>
      </c>
      <c r="AF213" s="1">
        <f ca="1">IFERROR(__xludf.DUMMYFUNCTION("""COMPUTED_VALUE"""),576)</f>
        <v>576</v>
      </c>
    </row>
    <row r="214" spans="1:32" ht="12.5" x14ac:dyDescent="0.25">
      <c r="A214" s="1" t="str">
        <f ca="1">IFERROR(__xludf.DUMMYFUNCTION("""COMPUTED_VALUE"""),"Murray State")</f>
        <v>Murray State</v>
      </c>
      <c r="B214" s="1">
        <f ca="1">IFERROR(__xludf.DUMMYFUNCTION("""COMPUTED_VALUE"""),33)</f>
        <v>33</v>
      </c>
      <c r="C214" s="1">
        <f ca="1">IFERROR(__xludf.DUMMYFUNCTION("""COMPUTED_VALUE"""),28)</f>
        <v>28</v>
      </c>
      <c r="D214" s="1">
        <f ca="1">IFERROR(__xludf.DUMMYFUNCTION("""COMPUTED_VALUE"""),5)</f>
        <v>5</v>
      </c>
      <c r="E214" s="1">
        <f ca="1">IFERROR(__xludf.DUMMYFUNCTION("""COMPUTED_VALUE"""),0.848)</f>
        <v>0.84799999999999998</v>
      </c>
      <c r="F214" s="1">
        <f ca="1">IFERROR(__xludf.DUMMYFUNCTION("""COMPUTED_VALUE"""),8.96)</f>
        <v>8.9600000000000009</v>
      </c>
      <c r="G214" s="1">
        <f ca="1">IFERROR(__xludf.DUMMYFUNCTION("""COMPUTED_VALUE"""),-3.11)</f>
        <v>-3.11</v>
      </c>
      <c r="H214" s="1">
        <f ca="1">IFERROR(__xludf.DUMMYFUNCTION("""COMPUTED_VALUE"""),16)</f>
        <v>16</v>
      </c>
      <c r="I214" s="1">
        <f ca="1">IFERROR(__xludf.DUMMYFUNCTION("""COMPUTED_VALUE"""),2)</f>
        <v>2</v>
      </c>
      <c r="J214" s="1">
        <f ca="1">IFERROR(__xludf.DUMMYFUNCTION("""COMPUTED_VALUE"""),15)</f>
        <v>15</v>
      </c>
      <c r="K214" s="1">
        <f ca="1">IFERROR(__xludf.DUMMYFUNCTION("""COMPUTED_VALUE"""),1)</f>
        <v>1</v>
      </c>
      <c r="L214" s="1">
        <f ca="1">IFERROR(__xludf.DUMMYFUNCTION("""COMPUTED_VALUE"""),10)</f>
        <v>10</v>
      </c>
      <c r="M214" s="1">
        <f ca="1">IFERROR(__xludf.DUMMYFUNCTION("""COMPUTED_VALUE"""),3)</f>
        <v>3</v>
      </c>
      <c r="N214" s="1">
        <f ca="1">IFERROR(__xludf.DUMMYFUNCTION("""COMPUTED_VALUE"""),2727)</f>
        <v>2727</v>
      </c>
      <c r="O214" s="1">
        <f ca="1">IFERROR(__xludf.DUMMYFUNCTION("""COMPUTED_VALUE"""),2255)</f>
        <v>2255</v>
      </c>
      <c r="P214" s="1">
        <f ca="1">IFERROR(__xludf.DUMMYFUNCTION("""COMPUTED_VALUE"""),1320)</f>
        <v>1320</v>
      </c>
      <c r="Q214" s="1">
        <f ca="1">IFERROR(__xludf.DUMMYFUNCTION("""COMPUTED_VALUE"""),988)</f>
        <v>988</v>
      </c>
      <c r="R214" s="1">
        <f ca="1">IFERROR(__xludf.DUMMYFUNCTION("""COMPUTED_VALUE"""),2007)</f>
        <v>2007</v>
      </c>
      <c r="S214" s="1">
        <f ca="1">IFERROR(__xludf.DUMMYFUNCTION("""COMPUTED_VALUE"""),0.492)</f>
        <v>0.49199999999999999</v>
      </c>
      <c r="T214" s="1">
        <f ca="1">IFERROR(__xludf.DUMMYFUNCTION("""COMPUTED_VALUE"""),258)</f>
        <v>258</v>
      </c>
      <c r="U214" s="1">
        <f ca="1">IFERROR(__xludf.DUMMYFUNCTION("""COMPUTED_VALUE"""),731)</f>
        <v>731</v>
      </c>
      <c r="V214" s="1">
        <f ca="1">IFERROR(__xludf.DUMMYFUNCTION("""COMPUTED_VALUE"""),0.353)</f>
        <v>0.35299999999999998</v>
      </c>
      <c r="W214" s="1">
        <f ca="1">IFERROR(__xludf.DUMMYFUNCTION("""COMPUTED_VALUE"""),493)</f>
        <v>493</v>
      </c>
      <c r="X214" s="1">
        <f ca="1">IFERROR(__xludf.DUMMYFUNCTION("""COMPUTED_VALUE"""),673)</f>
        <v>673</v>
      </c>
      <c r="Y214" s="1">
        <f ca="1">IFERROR(__xludf.DUMMYFUNCTION("""COMPUTED_VALUE"""),0.733)</f>
        <v>0.73299999999999998</v>
      </c>
      <c r="Z214" s="1">
        <f ca="1">IFERROR(__xludf.DUMMYFUNCTION("""COMPUTED_VALUE"""),351)</f>
        <v>351</v>
      </c>
      <c r="AA214" s="1">
        <f ca="1">IFERROR(__xludf.DUMMYFUNCTION("""COMPUTED_VALUE"""),1247)</f>
        <v>1247</v>
      </c>
      <c r="AB214" s="1">
        <f ca="1">IFERROR(__xludf.DUMMYFUNCTION("""COMPUTED_VALUE"""),591)</f>
        <v>591</v>
      </c>
      <c r="AC214" s="1">
        <f ca="1">IFERROR(__xludf.DUMMYFUNCTION("""COMPUTED_VALUE"""),249)</f>
        <v>249</v>
      </c>
      <c r="AD214" s="1">
        <f ca="1">IFERROR(__xludf.DUMMYFUNCTION("""COMPUTED_VALUE"""),149)</f>
        <v>149</v>
      </c>
      <c r="AE214" s="1">
        <f ca="1">IFERROR(__xludf.DUMMYFUNCTION("""COMPUTED_VALUE"""),401)</f>
        <v>401</v>
      </c>
      <c r="AF214" s="1">
        <f ca="1">IFERROR(__xludf.DUMMYFUNCTION("""COMPUTED_VALUE"""),527)</f>
        <v>527</v>
      </c>
    </row>
    <row r="215" spans="1:32" ht="12.5" x14ac:dyDescent="0.25">
      <c r="A215" s="1" t="str">
        <f ca="1">IFERROR(__xludf.DUMMYFUNCTION("""COMPUTED_VALUE"""),"Navy")</f>
        <v>Navy</v>
      </c>
      <c r="B215" s="1">
        <f ca="1">IFERROR(__xludf.DUMMYFUNCTION("""COMPUTED_VALUE"""),31)</f>
        <v>31</v>
      </c>
      <c r="C215" s="1">
        <f ca="1">IFERROR(__xludf.DUMMYFUNCTION("""COMPUTED_VALUE"""),12)</f>
        <v>12</v>
      </c>
      <c r="D215" s="1">
        <f ca="1">IFERROR(__xludf.DUMMYFUNCTION("""COMPUTED_VALUE"""),19)</f>
        <v>19</v>
      </c>
      <c r="E215" s="1">
        <f ca="1">IFERROR(__xludf.DUMMYFUNCTION("""COMPUTED_VALUE"""),0.387)</f>
        <v>0.38700000000000001</v>
      </c>
      <c r="F215" s="1">
        <f ca="1">IFERROR(__xludf.DUMMYFUNCTION("""COMPUTED_VALUE"""),-10.09)</f>
        <v>-10.09</v>
      </c>
      <c r="G215" s="1">
        <f ca="1">IFERROR(__xludf.DUMMYFUNCTION("""COMPUTED_VALUE"""),-4)</f>
        <v>-4</v>
      </c>
      <c r="H215" s="1">
        <f ca="1">IFERROR(__xludf.DUMMYFUNCTION("""COMPUTED_VALUE"""),8)</f>
        <v>8</v>
      </c>
      <c r="I215" s="1">
        <f ca="1">IFERROR(__xludf.DUMMYFUNCTION("""COMPUTED_VALUE"""),10)</f>
        <v>10</v>
      </c>
      <c r="J215" s="1">
        <f ca="1">IFERROR(__xludf.DUMMYFUNCTION("""COMPUTED_VALUE"""),8)</f>
        <v>8</v>
      </c>
      <c r="K215" s="1">
        <f ca="1">IFERROR(__xludf.DUMMYFUNCTION("""COMPUTED_VALUE"""),6)</f>
        <v>6</v>
      </c>
      <c r="L215" s="1">
        <f ca="1">IFERROR(__xludf.DUMMYFUNCTION("""COMPUTED_VALUE"""),4)</f>
        <v>4</v>
      </c>
      <c r="M215" s="1">
        <f ca="1">IFERROR(__xludf.DUMMYFUNCTION("""COMPUTED_VALUE"""),13)</f>
        <v>13</v>
      </c>
      <c r="N215" s="1">
        <f ca="1">IFERROR(__xludf.DUMMYFUNCTION("""COMPUTED_VALUE"""),2061)</f>
        <v>2061</v>
      </c>
      <c r="O215" s="1">
        <f ca="1">IFERROR(__xludf.DUMMYFUNCTION("""COMPUTED_VALUE"""),2250)</f>
        <v>2250</v>
      </c>
      <c r="P215" s="1">
        <f ca="1">IFERROR(__xludf.DUMMYFUNCTION("""COMPUTED_VALUE"""),1240)</f>
        <v>1240</v>
      </c>
      <c r="Q215" s="1">
        <f ca="1">IFERROR(__xludf.DUMMYFUNCTION("""COMPUTED_VALUE"""),732)</f>
        <v>732</v>
      </c>
      <c r="R215" s="1">
        <f ca="1">IFERROR(__xludf.DUMMYFUNCTION("""COMPUTED_VALUE"""),1785)</f>
        <v>1785</v>
      </c>
      <c r="S215" s="1">
        <f ca="1">IFERROR(__xludf.DUMMYFUNCTION("""COMPUTED_VALUE"""),0.41)</f>
        <v>0.41</v>
      </c>
      <c r="T215" s="1">
        <f ca="1">IFERROR(__xludf.DUMMYFUNCTION("""COMPUTED_VALUE"""),208)</f>
        <v>208</v>
      </c>
      <c r="U215" s="1">
        <f ca="1">IFERROR(__xludf.DUMMYFUNCTION("""COMPUTED_VALUE"""),656)</f>
        <v>656</v>
      </c>
      <c r="V215" s="1">
        <f ca="1">IFERROR(__xludf.DUMMYFUNCTION("""COMPUTED_VALUE"""),0.317)</f>
        <v>0.317</v>
      </c>
      <c r="W215" s="1">
        <f ca="1">IFERROR(__xludf.DUMMYFUNCTION("""COMPUTED_VALUE"""),389)</f>
        <v>389</v>
      </c>
      <c r="X215" s="1">
        <f ca="1">IFERROR(__xludf.DUMMYFUNCTION("""COMPUTED_VALUE"""),544)</f>
        <v>544</v>
      </c>
      <c r="Y215" s="1">
        <f ca="1">IFERROR(__xludf.DUMMYFUNCTION("""COMPUTED_VALUE"""),0.715)</f>
        <v>0.71499999999999997</v>
      </c>
      <c r="Z215" s="1">
        <f ca="1">IFERROR(__xludf.DUMMYFUNCTION("""COMPUTED_VALUE"""),359)</f>
        <v>359</v>
      </c>
      <c r="AA215" s="1">
        <f ca="1">IFERROR(__xludf.DUMMYFUNCTION("""COMPUTED_VALUE"""),1160)</f>
        <v>1160</v>
      </c>
      <c r="AB215" s="1">
        <f ca="1">IFERROR(__xludf.DUMMYFUNCTION("""COMPUTED_VALUE"""),399)</f>
        <v>399</v>
      </c>
      <c r="AC215" s="1">
        <f ca="1">IFERROR(__xludf.DUMMYFUNCTION("""COMPUTED_VALUE"""),167)</f>
        <v>167</v>
      </c>
      <c r="AD215" s="1">
        <f ca="1">IFERROR(__xludf.DUMMYFUNCTION("""COMPUTED_VALUE"""),58)</f>
        <v>58</v>
      </c>
      <c r="AE215" s="1">
        <f ca="1">IFERROR(__xludf.DUMMYFUNCTION("""COMPUTED_VALUE"""),437)</f>
        <v>437</v>
      </c>
      <c r="AF215" s="1">
        <f ca="1">IFERROR(__xludf.DUMMYFUNCTION("""COMPUTED_VALUE"""),534)</f>
        <v>534</v>
      </c>
    </row>
    <row r="216" spans="1:32" ht="12.5" x14ac:dyDescent="0.25">
      <c r="A216" s="1" t="str">
        <f ca="1">IFERROR(__xludf.DUMMYFUNCTION("""COMPUTED_VALUE"""),"Omaha")</f>
        <v>Omaha</v>
      </c>
      <c r="B216" s="1">
        <f ca="1">IFERROR(__xludf.DUMMYFUNCTION("""COMPUTED_VALUE"""),32)</f>
        <v>32</v>
      </c>
      <c r="C216" s="1">
        <f ca="1">IFERROR(__xludf.DUMMYFUNCTION("""COMPUTED_VALUE"""),21)</f>
        <v>21</v>
      </c>
      <c r="D216" s="1">
        <f ca="1">IFERROR(__xludf.DUMMYFUNCTION("""COMPUTED_VALUE"""),11)</f>
        <v>11</v>
      </c>
      <c r="E216" s="1">
        <f ca="1">IFERROR(__xludf.DUMMYFUNCTION("""COMPUTED_VALUE"""),0.656)</f>
        <v>0.65600000000000003</v>
      </c>
      <c r="F216" s="1">
        <f ca="1">IFERROR(__xludf.DUMMYFUNCTION("""COMPUTED_VALUE"""),-2.32)</f>
        <v>-2.3199999999999998</v>
      </c>
      <c r="G216" s="1">
        <f ca="1">IFERROR(__xludf.DUMMYFUNCTION("""COMPUTED_VALUE"""),-3.39)</f>
        <v>-3.39</v>
      </c>
      <c r="H216" s="1">
        <f ca="1">IFERROR(__xludf.DUMMYFUNCTION("""COMPUTED_VALUE"""),13)</f>
        <v>13</v>
      </c>
      <c r="I216" s="1">
        <f ca="1">IFERROR(__xludf.DUMMYFUNCTION("""COMPUTED_VALUE"""),3)</f>
        <v>3</v>
      </c>
      <c r="J216" s="1">
        <f ca="1">IFERROR(__xludf.DUMMYFUNCTION("""COMPUTED_VALUE"""),10)</f>
        <v>10</v>
      </c>
      <c r="K216" s="1">
        <f ca="1">IFERROR(__xludf.DUMMYFUNCTION("""COMPUTED_VALUE"""),2)</f>
        <v>2</v>
      </c>
      <c r="L216" s="1">
        <f ca="1">IFERROR(__xludf.DUMMYFUNCTION("""COMPUTED_VALUE"""),9)</f>
        <v>9</v>
      </c>
      <c r="M216" s="1">
        <f ca="1">IFERROR(__xludf.DUMMYFUNCTION("""COMPUTED_VALUE"""),8)</f>
        <v>8</v>
      </c>
      <c r="N216" s="1">
        <f ca="1">IFERROR(__xludf.DUMMYFUNCTION("""COMPUTED_VALUE"""),2523)</f>
        <v>2523</v>
      </c>
      <c r="O216" s="1">
        <f ca="1">IFERROR(__xludf.DUMMYFUNCTION("""COMPUTED_VALUE"""),2454)</f>
        <v>2454</v>
      </c>
      <c r="P216" s="1">
        <f ca="1">IFERROR(__xludf.DUMMYFUNCTION("""COMPUTED_VALUE"""),1290)</f>
        <v>1290</v>
      </c>
      <c r="Q216" s="1">
        <f ca="1">IFERROR(__xludf.DUMMYFUNCTION("""COMPUTED_VALUE"""),950)</f>
        <v>950</v>
      </c>
      <c r="R216" s="1">
        <f ca="1">IFERROR(__xludf.DUMMYFUNCTION("""COMPUTED_VALUE"""),1998)</f>
        <v>1998</v>
      </c>
      <c r="S216" s="1">
        <f ca="1">IFERROR(__xludf.DUMMYFUNCTION("""COMPUTED_VALUE"""),0.475)</f>
        <v>0.47499999999999998</v>
      </c>
      <c r="T216" s="1">
        <f ca="1">IFERROR(__xludf.DUMMYFUNCTION("""COMPUTED_VALUE"""),282)</f>
        <v>282</v>
      </c>
      <c r="U216" s="1">
        <f ca="1">IFERROR(__xludf.DUMMYFUNCTION("""COMPUTED_VALUE"""),719)</f>
        <v>719</v>
      </c>
      <c r="V216" s="1">
        <f ca="1">IFERROR(__xludf.DUMMYFUNCTION("""COMPUTED_VALUE"""),0.392)</f>
        <v>0.39200000000000002</v>
      </c>
      <c r="W216" s="1">
        <f ca="1">IFERROR(__xludf.DUMMYFUNCTION("""COMPUTED_VALUE"""),341)</f>
        <v>341</v>
      </c>
      <c r="X216" s="1">
        <f ca="1">IFERROR(__xludf.DUMMYFUNCTION("""COMPUTED_VALUE"""),473)</f>
        <v>473</v>
      </c>
      <c r="Y216" s="1">
        <f ca="1">IFERROR(__xludf.DUMMYFUNCTION("""COMPUTED_VALUE"""),0.721)</f>
        <v>0.72099999999999997</v>
      </c>
      <c r="Z216" s="1">
        <f ca="1">IFERROR(__xludf.DUMMYFUNCTION("""COMPUTED_VALUE"""),273)</f>
        <v>273</v>
      </c>
      <c r="AA216" s="1">
        <f ca="1">IFERROR(__xludf.DUMMYFUNCTION("""COMPUTED_VALUE"""),1047)</f>
        <v>1047</v>
      </c>
      <c r="AB216" s="1">
        <f ca="1">IFERROR(__xludf.DUMMYFUNCTION("""COMPUTED_VALUE"""),409)</f>
        <v>409</v>
      </c>
      <c r="AC216" s="1">
        <f ca="1">IFERROR(__xludf.DUMMYFUNCTION("""COMPUTED_VALUE"""),180)</f>
        <v>180</v>
      </c>
      <c r="AD216" s="1">
        <f ca="1">IFERROR(__xludf.DUMMYFUNCTION("""COMPUTED_VALUE"""),61)</f>
        <v>61</v>
      </c>
      <c r="AE216" s="1">
        <f ca="1">IFERROR(__xludf.DUMMYFUNCTION("""COMPUTED_VALUE"""),304)</f>
        <v>304</v>
      </c>
      <c r="AF216" s="1">
        <f ca="1">IFERROR(__xludf.DUMMYFUNCTION("""COMPUTED_VALUE"""),486)</f>
        <v>486</v>
      </c>
    </row>
    <row r="217" spans="1:32" ht="12.5" x14ac:dyDescent="0.25">
      <c r="A217" s="1" t="str">
        <f ca="1">IFERROR(__xludf.DUMMYFUNCTION("""COMPUTED_VALUE"""),"Nebraska")</f>
        <v>Nebraska</v>
      </c>
      <c r="B217" s="1">
        <f ca="1">IFERROR(__xludf.DUMMYFUNCTION("""COMPUTED_VALUE"""),36)</f>
        <v>36</v>
      </c>
      <c r="C217" s="1">
        <f ca="1">IFERROR(__xludf.DUMMYFUNCTION("""COMPUTED_VALUE"""),19)</f>
        <v>19</v>
      </c>
      <c r="D217" s="1">
        <f ca="1">IFERROR(__xludf.DUMMYFUNCTION("""COMPUTED_VALUE"""),17)</f>
        <v>17</v>
      </c>
      <c r="E217" s="1">
        <f ca="1">IFERROR(__xludf.DUMMYFUNCTION("""COMPUTED_VALUE"""),0.528)</f>
        <v>0.52800000000000002</v>
      </c>
      <c r="F217" s="1">
        <f ca="1">IFERROR(__xludf.DUMMYFUNCTION("""COMPUTED_VALUE"""),14.85)</f>
        <v>14.85</v>
      </c>
      <c r="G217" s="1">
        <f ca="1">IFERROR(__xludf.DUMMYFUNCTION("""COMPUTED_VALUE"""),11.31)</f>
        <v>11.31</v>
      </c>
      <c r="H217" s="1">
        <f ca="1">IFERROR(__xludf.DUMMYFUNCTION("""COMPUTED_VALUE"""),6)</f>
        <v>6</v>
      </c>
      <c r="I217" s="1">
        <f ca="1">IFERROR(__xludf.DUMMYFUNCTION("""COMPUTED_VALUE"""),14)</f>
        <v>14</v>
      </c>
      <c r="J217" s="1">
        <f ca="1">IFERROR(__xludf.DUMMYFUNCTION("""COMPUTED_VALUE"""),13)</f>
        <v>13</v>
      </c>
      <c r="K217" s="1">
        <f ca="1">IFERROR(__xludf.DUMMYFUNCTION("""COMPUTED_VALUE"""),5)</f>
        <v>5</v>
      </c>
      <c r="L217" s="1">
        <f ca="1">IFERROR(__xludf.DUMMYFUNCTION("""COMPUTED_VALUE"""),2)</f>
        <v>2</v>
      </c>
      <c r="M217" s="1">
        <f ca="1">IFERROR(__xludf.DUMMYFUNCTION("""COMPUTED_VALUE"""),10)</f>
        <v>10</v>
      </c>
      <c r="N217" s="1">
        <f ca="1">IFERROR(__xludf.DUMMYFUNCTION("""COMPUTED_VALUE"""),2586)</f>
        <v>2586</v>
      </c>
      <c r="O217" s="1">
        <f ca="1">IFERROR(__xludf.DUMMYFUNCTION("""COMPUTED_VALUE"""),2421)</f>
        <v>2421</v>
      </c>
      <c r="P217" s="1">
        <f ca="1">IFERROR(__xludf.DUMMYFUNCTION("""COMPUTED_VALUE"""),1445)</f>
        <v>1445</v>
      </c>
      <c r="Q217" s="1">
        <f ca="1">IFERROR(__xludf.DUMMYFUNCTION("""COMPUTED_VALUE"""),916)</f>
        <v>916</v>
      </c>
      <c r="R217" s="1">
        <f ca="1">IFERROR(__xludf.DUMMYFUNCTION("""COMPUTED_VALUE"""),2133)</f>
        <v>2133</v>
      </c>
      <c r="S217" s="1">
        <f ca="1">IFERROR(__xludf.DUMMYFUNCTION("""COMPUTED_VALUE"""),0.429)</f>
        <v>0.42899999999999999</v>
      </c>
      <c r="T217" s="1">
        <f ca="1">IFERROR(__xludf.DUMMYFUNCTION("""COMPUTED_VALUE"""),270)</f>
        <v>270</v>
      </c>
      <c r="U217" s="1">
        <f ca="1">IFERROR(__xludf.DUMMYFUNCTION("""COMPUTED_VALUE"""),800)</f>
        <v>800</v>
      </c>
      <c r="V217" s="1">
        <f ca="1">IFERROR(__xludf.DUMMYFUNCTION("""COMPUTED_VALUE"""),0.338)</f>
        <v>0.33800000000000002</v>
      </c>
      <c r="W217" s="1">
        <f ca="1">IFERROR(__xludf.DUMMYFUNCTION("""COMPUTED_VALUE"""),484)</f>
        <v>484</v>
      </c>
      <c r="X217" s="1">
        <f ca="1">IFERROR(__xludf.DUMMYFUNCTION("""COMPUTED_VALUE"""),694)</f>
        <v>694</v>
      </c>
      <c r="Y217" s="1">
        <f ca="1">IFERROR(__xludf.DUMMYFUNCTION("""COMPUTED_VALUE"""),0.697)</f>
        <v>0.69699999999999995</v>
      </c>
      <c r="Z217" s="1">
        <f ca="1">IFERROR(__xludf.DUMMYFUNCTION("""COMPUTED_VALUE"""),379)</f>
        <v>379</v>
      </c>
      <c r="AA217" s="1">
        <f ca="1">IFERROR(__xludf.DUMMYFUNCTION("""COMPUTED_VALUE"""),1278)</f>
        <v>1278</v>
      </c>
      <c r="AB217" s="1">
        <f ca="1">IFERROR(__xludf.DUMMYFUNCTION("""COMPUTED_VALUE"""),466)</f>
        <v>466</v>
      </c>
      <c r="AC217" s="1">
        <f ca="1">IFERROR(__xludf.DUMMYFUNCTION("""COMPUTED_VALUE"""),260)</f>
        <v>260</v>
      </c>
      <c r="AD217" s="1">
        <f ca="1">IFERROR(__xludf.DUMMYFUNCTION("""COMPUTED_VALUE"""),151)</f>
        <v>151</v>
      </c>
      <c r="AE217" s="1">
        <f ca="1">IFERROR(__xludf.DUMMYFUNCTION("""COMPUTED_VALUE"""),345)</f>
        <v>345</v>
      </c>
      <c r="AF217" s="1">
        <f ca="1">IFERROR(__xludf.DUMMYFUNCTION("""COMPUTED_VALUE"""),580)</f>
        <v>580</v>
      </c>
    </row>
    <row r="218" spans="1:32" ht="12.5" x14ac:dyDescent="0.25">
      <c r="A218" s="1" t="str">
        <f ca="1">IFERROR(__xludf.DUMMYFUNCTION("""COMPUTED_VALUE"""),"Nevada-Las Vegas")</f>
        <v>Nevada-Las Vegas</v>
      </c>
      <c r="B218" s="1">
        <f ca="1">IFERROR(__xludf.DUMMYFUNCTION("""COMPUTED_VALUE"""),31)</f>
        <v>31</v>
      </c>
      <c r="C218" s="1">
        <f ca="1">IFERROR(__xludf.DUMMYFUNCTION("""COMPUTED_VALUE"""),17)</f>
        <v>17</v>
      </c>
      <c r="D218" s="1">
        <f ca="1">IFERROR(__xludf.DUMMYFUNCTION("""COMPUTED_VALUE"""),14)</f>
        <v>14</v>
      </c>
      <c r="E218" s="1">
        <f ca="1">IFERROR(__xludf.DUMMYFUNCTION("""COMPUTED_VALUE"""),0.548)</f>
        <v>0.54800000000000004</v>
      </c>
      <c r="F218" s="1">
        <f ca="1">IFERROR(__xludf.DUMMYFUNCTION("""COMPUTED_VALUE"""),1.58)</f>
        <v>1.58</v>
      </c>
      <c r="G218" s="1">
        <f ca="1">IFERROR(__xludf.DUMMYFUNCTION("""COMPUTED_VALUE"""),0.48)</f>
        <v>0.48</v>
      </c>
      <c r="H218" s="1">
        <f ca="1">IFERROR(__xludf.DUMMYFUNCTION("""COMPUTED_VALUE"""),11)</f>
        <v>11</v>
      </c>
      <c r="I218" s="1">
        <f ca="1">IFERROR(__xludf.DUMMYFUNCTION("""COMPUTED_VALUE"""),7)</f>
        <v>7</v>
      </c>
      <c r="J218" s="1">
        <f ca="1">IFERROR(__xludf.DUMMYFUNCTION("""COMPUTED_VALUE"""),10)</f>
        <v>10</v>
      </c>
      <c r="K218" s="1">
        <f ca="1">IFERROR(__xludf.DUMMYFUNCTION("""COMPUTED_VALUE"""),6)</f>
        <v>6</v>
      </c>
      <c r="L218" s="1">
        <f ca="1">IFERROR(__xludf.DUMMYFUNCTION("""COMPUTED_VALUE"""),6)</f>
        <v>6</v>
      </c>
      <c r="M218" s="1">
        <f ca="1">IFERROR(__xludf.DUMMYFUNCTION("""COMPUTED_VALUE"""),5)</f>
        <v>5</v>
      </c>
      <c r="N218" s="1">
        <f ca="1">IFERROR(__xludf.DUMMYFUNCTION("""COMPUTED_VALUE"""),2276)</f>
        <v>2276</v>
      </c>
      <c r="O218" s="1">
        <f ca="1">IFERROR(__xludf.DUMMYFUNCTION("""COMPUTED_VALUE"""),2242)</f>
        <v>2242</v>
      </c>
      <c r="P218" s="1">
        <f ca="1">IFERROR(__xludf.DUMMYFUNCTION("""COMPUTED_VALUE"""),1250)</f>
        <v>1250</v>
      </c>
      <c r="Q218" s="1">
        <f ca="1">IFERROR(__xludf.DUMMYFUNCTION("""COMPUTED_VALUE"""),791)</f>
        <v>791</v>
      </c>
      <c r="R218" s="1">
        <f ca="1">IFERROR(__xludf.DUMMYFUNCTION("""COMPUTED_VALUE"""),1852)</f>
        <v>1852</v>
      </c>
      <c r="S218" s="1">
        <f ca="1">IFERROR(__xludf.DUMMYFUNCTION("""COMPUTED_VALUE"""),0.427)</f>
        <v>0.42699999999999999</v>
      </c>
      <c r="T218" s="1">
        <f ca="1">IFERROR(__xludf.DUMMYFUNCTION("""COMPUTED_VALUE"""),251)</f>
        <v>251</v>
      </c>
      <c r="U218" s="1">
        <f ca="1">IFERROR(__xludf.DUMMYFUNCTION("""COMPUTED_VALUE"""),745)</f>
        <v>745</v>
      </c>
      <c r="V218" s="1">
        <f ca="1">IFERROR(__xludf.DUMMYFUNCTION("""COMPUTED_VALUE"""),0.337)</f>
        <v>0.33700000000000002</v>
      </c>
      <c r="W218" s="1">
        <f ca="1">IFERROR(__xludf.DUMMYFUNCTION("""COMPUTED_VALUE"""),443)</f>
        <v>443</v>
      </c>
      <c r="X218" s="1">
        <f ca="1">IFERROR(__xludf.DUMMYFUNCTION("""COMPUTED_VALUE"""),647)</f>
        <v>647</v>
      </c>
      <c r="Y218" s="1">
        <f ca="1">IFERROR(__xludf.DUMMYFUNCTION("""COMPUTED_VALUE"""),0.685)</f>
        <v>0.68500000000000005</v>
      </c>
      <c r="Z218" s="1">
        <f ca="1">IFERROR(__xludf.DUMMYFUNCTION("""COMPUTED_VALUE"""),408)</f>
        <v>408</v>
      </c>
      <c r="AA218" s="1">
        <f ca="1">IFERROR(__xludf.DUMMYFUNCTION("""COMPUTED_VALUE"""),1204)</f>
        <v>1204</v>
      </c>
      <c r="AB218" s="1">
        <f ca="1">IFERROR(__xludf.DUMMYFUNCTION("""COMPUTED_VALUE"""),401)</f>
        <v>401</v>
      </c>
      <c r="AC218" s="1">
        <f ca="1">IFERROR(__xludf.DUMMYFUNCTION("""COMPUTED_VALUE"""),184)</f>
        <v>184</v>
      </c>
      <c r="AD218" s="1">
        <f ca="1">IFERROR(__xludf.DUMMYFUNCTION("""COMPUTED_VALUE"""),115)</f>
        <v>115</v>
      </c>
      <c r="AE218" s="1">
        <f ca="1">IFERROR(__xludf.DUMMYFUNCTION("""COMPUTED_VALUE"""),401)</f>
        <v>401</v>
      </c>
      <c r="AF218" s="1">
        <f ca="1">IFERROR(__xludf.DUMMYFUNCTION("""COMPUTED_VALUE"""),556)</f>
        <v>556</v>
      </c>
    </row>
    <row r="219" spans="1:32" ht="12.5" x14ac:dyDescent="0.25">
      <c r="A219" s="1" t="str">
        <f ca="1">IFERROR(__xludf.DUMMYFUNCTION("""COMPUTED_VALUE"""),"Nevada")</f>
        <v>Nevada</v>
      </c>
      <c r="B219" s="1">
        <f ca="1">IFERROR(__xludf.DUMMYFUNCTION("""COMPUTED_VALUE"""),34)</f>
        <v>34</v>
      </c>
      <c r="C219" s="1">
        <f ca="1">IFERROR(__xludf.DUMMYFUNCTION("""COMPUTED_VALUE"""),29)</f>
        <v>29</v>
      </c>
      <c r="D219" s="1">
        <f ca="1">IFERROR(__xludf.DUMMYFUNCTION("""COMPUTED_VALUE"""),5)</f>
        <v>5</v>
      </c>
      <c r="E219" s="1">
        <f ca="1">IFERROR(__xludf.DUMMYFUNCTION("""COMPUTED_VALUE"""),0.853)</f>
        <v>0.85299999999999998</v>
      </c>
      <c r="F219" s="1">
        <f ca="1">IFERROR(__xludf.DUMMYFUNCTION("""COMPUTED_VALUE"""),16)</f>
        <v>16</v>
      </c>
      <c r="G219" s="1">
        <f ca="1">IFERROR(__xludf.DUMMYFUNCTION("""COMPUTED_VALUE"""),2.68)</f>
        <v>2.68</v>
      </c>
      <c r="H219" s="1">
        <f ca="1">IFERROR(__xludf.DUMMYFUNCTION("""COMPUTED_VALUE"""),15)</f>
        <v>15</v>
      </c>
      <c r="I219" s="1">
        <f ca="1">IFERROR(__xludf.DUMMYFUNCTION("""COMPUTED_VALUE"""),3)</f>
        <v>3</v>
      </c>
      <c r="J219" s="1">
        <f ca="1">IFERROR(__xludf.DUMMYFUNCTION("""COMPUTED_VALUE"""),15)</f>
        <v>15</v>
      </c>
      <c r="K219" s="1">
        <f ca="1">IFERROR(__xludf.DUMMYFUNCTION("""COMPUTED_VALUE"""),0)</f>
        <v>0</v>
      </c>
      <c r="L219" s="1">
        <f ca="1">IFERROR(__xludf.DUMMYFUNCTION("""COMPUTED_VALUE"""),9)</f>
        <v>9</v>
      </c>
      <c r="M219" s="1">
        <f ca="1">IFERROR(__xludf.DUMMYFUNCTION("""COMPUTED_VALUE"""),3)</f>
        <v>3</v>
      </c>
      <c r="N219" s="1">
        <f ca="1">IFERROR(__xludf.DUMMYFUNCTION("""COMPUTED_VALUE"""),2723)</f>
        <v>2723</v>
      </c>
      <c r="O219" s="1">
        <f ca="1">IFERROR(__xludf.DUMMYFUNCTION("""COMPUTED_VALUE"""),2270)</f>
        <v>2270</v>
      </c>
      <c r="P219" s="1">
        <f ca="1">IFERROR(__xludf.DUMMYFUNCTION("""COMPUTED_VALUE"""),1360)</f>
        <v>1360</v>
      </c>
      <c r="Q219" s="1">
        <f ca="1">IFERROR(__xludf.DUMMYFUNCTION("""COMPUTED_VALUE"""),924)</f>
        <v>924</v>
      </c>
      <c r="R219" s="1">
        <f ca="1">IFERROR(__xludf.DUMMYFUNCTION("""COMPUTED_VALUE"""),1999)</f>
        <v>1999</v>
      </c>
      <c r="S219" s="1">
        <f ca="1">IFERROR(__xludf.DUMMYFUNCTION("""COMPUTED_VALUE"""),0.462)</f>
        <v>0.46200000000000002</v>
      </c>
      <c r="T219" s="1">
        <f ca="1">IFERROR(__xludf.DUMMYFUNCTION("""COMPUTED_VALUE"""),297)</f>
        <v>297</v>
      </c>
      <c r="U219" s="1">
        <f ca="1">IFERROR(__xludf.DUMMYFUNCTION("""COMPUTED_VALUE"""),855)</f>
        <v>855</v>
      </c>
      <c r="V219" s="1">
        <f ca="1">IFERROR(__xludf.DUMMYFUNCTION("""COMPUTED_VALUE"""),0.347)</f>
        <v>0.34699999999999998</v>
      </c>
      <c r="W219" s="1">
        <f ca="1">IFERROR(__xludf.DUMMYFUNCTION("""COMPUTED_VALUE"""),578)</f>
        <v>578</v>
      </c>
      <c r="X219" s="1">
        <f ca="1">IFERROR(__xludf.DUMMYFUNCTION("""COMPUTED_VALUE"""),816)</f>
        <v>816</v>
      </c>
      <c r="Y219" s="1">
        <f ca="1">IFERROR(__xludf.DUMMYFUNCTION("""COMPUTED_VALUE"""),0.708)</f>
        <v>0.70799999999999996</v>
      </c>
      <c r="Z219" s="1">
        <f ca="1">IFERROR(__xludf.DUMMYFUNCTION("""COMPUTED_VALUE"""),325)</f>
        <v>325</v>
      </c>
      <c r="AA219" s="1">
        <f ca="1">IFERROR(__xludf.DUMMYFUNCTION("""COMPUTED_VALUE"""),1274)</f>
        <v>1274</v>
      </c>
      <c r="AB219" s="1">
        <f ca="1">IFERROR(__xludf.DUMMYFUNCTION("""COMPUTED_VALUE"""),498)</f>
        <v>498</v>
      </c>
      <c r="AC219" s="1">
        <f ca="1">IFERROR(__xludf.DUMMYFUNCTION("""COMPUTED_VALUE"""),211)</f>
        <v>211</v>
      </c>
      <c r="AD219" s="1">
        <f ca="1">IFERROR(__xludf.DUMMYFUNCTION("""COMPUTED_VALUE"""),134)</f>
        <v>134</v>
      </c>
      <c r="AE219" s="1">
        <f ca="1">IFERROR(__xludf.DUMMYFUNCTION("""COMPUTED_VALUE"""),352)</f>
        <v>352</v>
      </c>
      <c r="AF219" s="1">
        <f ca="1">IFERROR(__xludf.DUMMYFUNCTION("""COMPUTED_VALUE"""),584)</f>
        <v>584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IFERROR(__xludf.DUMMYFUNCTION("""COMPUTED_VALUE"""),"New Hampshire")</f>
        <v>New Hampshire</v>
      </c>
      <c r="B222" s="1">
        <f ca="1">IFERROR(__xludf.DUMMYFUNCTION("""COMPUTED_VALUE"""),29)</f>
        <v>29</v>
      </c>
      <c r="C222" s="1">
        <f ca="1">IFERROR(__xludf.DUMMYFUNCTION("""COMPUTED_VALUE"""),5)</f>
        <v>5</v>
      </c>
      <c r="D222" s="1">
        <f ca="1">IFERROR(__xludf.DUMMYFUNCTION("""COMPUTED_VALUE"""),24)</f>
        <v>24</v>
      </c>
      <c r="E222" s="1">
        <f ca="1">IFERROR(__xludf.DUMMYFUNCTION("""COMPUTED_VALUE"""),0.172)</f>
        <v>0.17199999999999999</v>
      </c>
      <c r="F222" s="1">
        <f ca="1">IFERROR(__xludf.DUMMYFUNCTION("""COMPUTED_VALUE"""),-18.66)</f>
        <v>-18.66</v>
      </c>
      <c r="G222" s="1">
        <f ca="1">IFERROR(__xludf.DUMMYFUNCTION("""COMPUTED_VALUE"""),-6.03)</f>
        <v>-6.03</v>
      </c>
      <c r="H222" s="1">
        <f ca="1">IFERROR(__xludf.DUMMYFUNCTION("""COMPUTED_VALUE"""),3)</f>
        <v>3</v>
      </c>
      <c r="I222" s="1">
        <f ca="1">IFERROR(__xludf.DUMMYFUNCTION("""COMPUTED_VALUE"""),13)</f>
        <v>13</v>
      </c>
      <c r="J222" s="1">
        <f ca="1">IFERROR(__xludf.DUMMYFUNCTION("""COMPUTED_VALUE"""),4)</f>
        <v>4</v>
      </c>
      <c r="K222" s="1">
        <f ca="1">IFERROR(__xludf.DUMMYFUNCTION("""COMPUTED_VALUE"""),10)</f>
        <v>10</v>
      </c>
      <c r="L222" s="1">
        <f ca="1">IFERROR(__xludf.DUMMYFUNCTION("""COMPUTED_VALUE"""),1)</f>
        <v>1</v>
      </c>
      <c r="M222" s="1">
        <f ca="1">IFERROR(__xludf.DUMMYFUNCTION("""COMPUTED_VALUE"""),14)</f>
        <v>14</v>
      </c>
      <c r="N222" s="1">
        <f ca="1">IFERROR(__xludf.DUMMYFUNCTION("""COMPUTED_VALUE"""),1742)</f>
        <v>1742</v>
      </c>
      <c r="O222" s="1">
        <f ca="1">IFERROR(__xludf.DUMMYFUNCTION("""COMPUTED_VALUE"""),1990)</f>
        <v>1990</v>
      </c>
      <c r="P222" s="1">
        <f ca="1">IFERROR(__xludf.DUMMYFUNCTION("""COMPUTED_VALUE"""),1160)</f>
        <v>1160</v>
      </c>
      <c r="Q222" s="1">
        <f ca="1">IFERROR(__xludf.DUMMYFUNCTION("""COMPUTED_VALUE"""),623)</f>
        <v>623</v>
      </c>
      <c r="R222" s="1">
        <f ca="1">IFERROR(__xludf.DUMMYFUNCTION("""COMPUTED_VALUE"""),1656)</f>
        <v>1656</v>
      </c>
      <c r="S222" s="1">
        <f ca="1">IFERROR(__xludf.DUMMYFUNCTION("""COMPUTED_VALUE"""),0.376)</f>
        <v>0.376</v>
      </c>
      <c r="T222" s="1">
        <f ca="1">IFERROR(__xludf.DUMMYFUNCTION("""COMPUTED_VALUE"""),261)</f>
        <v>261</v>
      </c>
      <c r="U222" s="1">
        <f ca="1">IFERROR(__xludf.DUMMYFUNCTION("""COMPUTED_VALUE"""),787)</f>
        <v>787</v>
      </c>
      <c r="V222" s="1">
        <f ca="1">IFERROR(__xludf.DUMMYFUNCTION("""COMPUTED_VALUE"""),0.332)</f>
        <v>0.33200000000000002</v>
      </c>
      <c r="W222" s="1">
        <f ca="1">IFERROR(__xludf.DUMMYFUNCTION("""COMPUTED_VALUE"""),235)</f>
        <v>235</v>
      </c>
      <c r="X222" s="1">
        <f ca="1">IFERROR(__xludf.DUMMYFUNCTION("""COMPUTED_VALUE"""),385)</f>
        <v>385</v>
      </c>
      <c r="Y222" s="1">
        <f ca="1">IFERROR(__xludf.DUMMYFUNCTION("""COMPUTED_VALUE"""),0.61)</f>
        <v>0.61</v>
      </c>
      <c r="Z222" s="1">
        <f ca="1">IFERROR(__xludf.DUMMYFUNCTION("""COMPUTED_VALUE"""),260)</f>
        <v>260</v>
      </c>
      <c r="AA222" s="1">
        <f ca="1">IFERROR(__xludf.DUMMYFUNCTION("""COMPUTED_VALUE"""),986)</f>
        <v>986</v>
      </c>
      <c r="AB222" s="1">
        <f ca="1">IFERROR(__xludf.DUMMYFUNCTION("""COMPUTED_VALUE"""),325)</f>
        <v>325</v>
      </c>
      <c r="AC222" s="1">
        <f ca="1">IFERROR(__xludf.DUMMYFUNCTION("""COMPUTED_VALUE"""),116)</f>
        <v>116</v>
      </c>
      <c r="AD222" s="1">
        <f ca="1">IFERROR(__xludf.DUMMYFUNCTION("""COMPUTED_VALUE"""),53)</f>
        <v>53</v>
      </c>
      <c r="AE222" s="1">
        <f ca="1">IFERROR(__xludf.DUMMYFUNCTION("""COMPUTED_VALUE"""),356)</f>
        <v>356</v>
      </c>
      <c r="AF222" s="1">
        <f ca="1">IFERROR(__xludf.DUMMYFUNCTION("""COMPUTED_VALUE"""),533)</f>
        <v>533</v>
      </c>
    </row>
    <row r="223" spans="1:32" ht="12.5" x14ac:dyDescent="0.25">
      <c r="A223" s="1" t="str">
        <f ca="1">IFERROR(__xludf.DUMMYFUNCTION("""COMPUTED_VALUE"""),"New Mexico State")</f>
        <v>New Mexico State</v>
      </c>
      <c r="B223" s="1">
        <f ca="1">IFERROR(__xludf.DUMMYFUNCTION("""COMPUTED_VALUE"""),35)</f>
        <v>35</v>
      </c>
      <c r="C223" s="1">
        <f ca="1">IFERROR(__xludf.DUMMYFUNCTION("""COMPUTED_VALUE"""),30)</f>
        <v>30</v>
      </c>
      <c r="D223" s="1">
        <f ca="1">IFERROR(__xludf.DUMMYFUNCTION("""COMPUTED_VALUE"""),5)</f>
        <v>5</v>
      </c>
      <c r="E223" s="1">
        <f ca="1">IFERROR(__xludf.DUMMYFUNCTION("""COMPUTED_VALUE"""),0.857)</f>
        <v>0.85699999999999998</v>
      </c>
      <c r="F223" s="1">
        <f ca="1">IFERROR(__xludf.DUMMYFUNCTION("""COMPUTED_VALUE"""),10.05)</f>
        <v>10.050000000000001</v>
      </c>
      <c r="G223" s="1">
        <f ca="1">IFERROR(__xludf.DUMMYFUNCTION("""COMPUTED_VALUE"""),-2.38)</f>
        <v>-2.38</v>
      </c>
      <c r="H223" s="1">
        <f ca="1">IFERROR(__xludf.DUMMYFUNCTION("""COMPUTED_VALUE"""),15)</f>
        <v>15</v>
      </c>
      <c r="I223" s="1">
        <f ca="1">IFERROR(__xludf.DUMMYFUNCTION("""COMPUTED_VALUE"""),1)</f>
        <v>1</v>
      </c>
      <c r="J223" s="1">
        <f ca="1">IFERROR(__xludf.DUMMYFUNCTION("""COMPUTED_VALUE"""),16)</f>
        <v>16</v>
      </c>
      <c r="K223" s="1">
        <f ca="1">IFERROR(__xludf.DUMMYFUNCTION("""COMPUTED_VALUE"""),1)</f>
        <v>1</v>
      </c>
      <c r="L223" s="1">
        <f ca="1">IFERROR(__xludf.DUMMYFUNCTION("""COMPUTED_VALUE"""),10)</f>
        <v>10</v>
      </c>
      <c r="M223" s="1">
        <f ca="1">IFERROR(__xludf.DUMMYFUNCTION("""COMPUTED_VALUE"""),1)</f>
        <v>1</v>
      </c>
      <c r="N223" s="1">
        <f ca="1">IFERROR(__xludf.DUMMYFUNCTION("""COMPUTED_VALUE"""),2734)</f>
        <v>2734</v>
      </c>
      <c r="O223" s="1">
        <f ca="1">IFERROR(__xludf.DUMMYFUNCTION("""COMPUTED_VALUE"""),2259)</f>
        <v>2259</v>
      </c>
      <c r="P223" s="1">
        <f ca="1">IFERROR(__xludf.DUMMYFUNCTION("""COMPUTED_VALUE"""),1405)</f>
        <v>1405</v>
      </c>
      <c r="Q223" s="1">
        <f ca="1">IFERROR(__xludf.DUMMYFUNCTION("""COMPUTED_VALUE"""),962)</f>
        <v>962</v>
      </c>
      <c r="R223" s="1">
        <f ca="1">IFERROR(__xludf.DUMMYFUNCTION("""COMPUTED_VALUE"""),2092)</f>
        <v>2092</v>
      </c>
      <c r="S223" s="1">
        <f ca="1">IFERROR(__xludf.DUMMYFUNCTION("""COMPUTED_VALUE"""),0.46)</f>
        <v>0.46</v>
      </c>
      <c r="T223" s="1">
        <f ca="1">IFERROR(__xludf.DUMMYFUNCTION("""COMPUTED_VALUE"""),326)</f>
        <v>326</v>
      </c>
      <c r="U223" s="1">
        <f ca="1">IFERROR(__xludf.DUMMYFUNCTION("""COMPUTED_VALUE"""),977)</f>
        <v>977</v>
      </c>
      <c r="V223" s="1">
        <f ca="1">IFERROR(__xludf.DUMMYFUNCTION("""COMPUTED_VALUE"""),0.334)</f>
        <v>0.33400000000000002</v>
      </c>
      <c r="W223" s="1">
        <f ca="1">IFERROR(__xludf.DUMMYFUNCTION("""COMPUTED_VALUE"""),484)</f>
        <v>484</v>
      </c>
      <c r="X223" s="1">
        <f ca="1">IFERROR(__xludf.DUMMYFUNCTION("""COMPUTED_VALUE"""),714)</f>
        <v>714</v>
      </c>
      <c r="Y223" s="1">
        <f ca="1">IFERROR(__xludf.DUMMYFUNCTION("""COMPUTED_VALUE"""),0.678)</f>
        <v>0.67800000000000005</v>
      </c>
      <c r="Z223" s="1">
        <f ca="1">IFERROR(__xludf.DUMMYFUNCTION("""COMPUTED_VALUE"""),445)</f>
        <v>445</v>
      </c>
      <c r="AA223" s="1">
        <f ca="1">IFERROR(__xludf.DUMMYFUNCTION("""COMPUTED_VALUE"""),1343)</f>
        <v>1343</v>
      </c>
      <c r="AB223" s="1">
        <f ca="1">IFERROR(__xludf.DUMMYFUNCTION("""COMPUTED_VALUE"""),514)</f>
        <v>514</v>
      </c>
      <c r="AC223" s="1">
        <f ca="1">IFERROR(__xludf.DUMMYFUNCTION("""COMPUTED_VALUE"""),197)</f>
        <v>197</v>
      </c>
      <c r="AD223" s="1">
        <f ca="1">IFERROR(__xludf.DUMMYFUNCTION("""COMPUTED_VALUE"""),91)</f>
        <v>91</v>
      </c>
      <c r="AE223" s="1">
        <f ca="1">IFERROR(__xludf.DUMMYFUNCTION("""COMPUTED_VALUE"""),419)</f>
        <v>419</v>
      </c>
      <c r="AF223" s="1">
        <f ca="1">IFERROR(__xludf.DUMMYFUNCTION("""COMPUTED_VALUE"""),632)</f>
        <v>632</v>
      </c>
    </row>
    <row r="224" spans="1:32" ht="12.5" x14ac:dyDescent="0.25">
      <c r="A224" s="1" t="str">
        <f ca="1">IFERROR(__xludf.DUMMYFUNCTION("""COMPUTED_VALUE"""),"New Mexico")</f>
        <v>New Mexico</v>
      </c>
      <c r="B224" s="1">
        <f ca="1">IFERROR(__xludf.DUMMYFUNCTION("""COMPUTED_VALUE"""),32)</f>
        <v>32</v>
      </c>
      <c r="C224" s="1">
        <f ca="1">IFERROR(__xludf.DUMMYFUNCTION("""COMPUTED_VALUE"""),14)</f>
        <v>14</v>
      </c>
      <c r="D224" s="1">
        <f ca="1">IFERROR(__xludf.DUMMYFUNCTION("""COMPUTED_VALUE"""),18)</f>
        <v>18</v>
      </c>
      <c r="E224" s="1">
        <f ca="1">IFERROR(__xludf.DUMMYFUNCTION("""COMPUTED_VALUE"""),0.438)</f>
        <v>0.438</v>
      </c>
      <c r="F224" s="1">
        <f ca="1">IFERROR(__xludf.DUMMYFUNCTION("""COMPUTED_VALUE"""),-0.55)</f>
        <v>-0.55000000000000004</v>
      </c>
      <c r="G224" s="1">
        <f ca="1">IFERROR(__xludf.DUMMYFUNCTION("""COMPUTED_VALUE"""),1.61)</f>
        <v>1.61</v>
      </c>
      <c r="H224" s="1">
        <f ca="1">IFERROR(__xludf.DUMMYFUNCTION("""COMPUTED_VALUE"""),7)</f>
        <v>7</v>
      </c>
      <c r="I224" s="1">
        <f ca="1">IFERROR(__xludf.DUMMYFUNCTION("""COMPUTED_VALUE"""),11)</f>
        <v>11</v>
      </c>
      <c r="J224" s="1">
        <f ca="1">IFERROR(__xludf.DUMMYFUNCTION("""COMPUTED_VALUE"""),9)</f>
        <v>9</v>
      </c>
      <c r="K224" s="1">
        <f ca="1">IFERROR(__xludf.DUMMYFUNCTION("""COMPUTED_VALUE"""),7)</f>
        <v>7</v>
      </c>
      <c r="L224" s="1">
        <f ca="1">IFERROR(__xludf.DUMMYFUNCTION("""COMPUTED_VALUE"""),4)</f>
        <v>4</v>
      </c>
      <c r="M224" s="1">
        <f ca="1">IFERROR(__xludf.DUMMYFUNCTION("""COMPUTED_VALUE"""),9)</f>
        <v>9</v>
      </c>
      <c r="N224" s="1">
        <f ca="1">IFERROR(__xludf.DUMMYFUNCTION("""COMPUTED_VALUE"""),2443)</f>
        <v>2443</v>
      </c>
      <c r="O224" s="1">
        <f ca="1">IFERROR(__xludf.DUMMYFUNCTION("""COMPUTED_VALUE"""),2454)</f>
        <v>2454</v>
      </c>
      <c r="P224" s="1">
        <f ca="1">IFERROR(__xludf.DUMMYFUNCTION("""COMPUTED_VALUE"""),1280)</f>
        <v>1280</v>
      </c>
      <c r="Q224" s="1">
        <f ca="1">IFERROR(__xludf.DUMMYFUNCTION("""COMPUTED_VALUE"""),814)</f>
        <v>814</v>
      </c>
      <c r="R224" s="1">
        <f ca="1">IFERROR(__xludf.DUMMYFUNCTION("""COMPUTED_VALUE"""),1927)</f>
        <v>1927</v>
      </c>
      <c r="S224" s="1">
        <f ca="1">IFERROR(__xludf.DUMMYFUNCTION("""COMPUTED_VALUE"""),0.422)</f>
        <v>0.42199999999999999</v>
      </c>
      <c r="T224" s="1">
        <f ca="1">IFERROR(__xludf.DUMMYFUNCTION("""COMPUTED_VALUE"""),292)</f>
        <v>292</v>
      </c>
      <c r="U224" s="1">
        <f ca="1">IFERROR(__xludf.DUMMYFUNCTION("""COMPUTED_VALUE"""),844)</f>
        <v>844</v>
      </c>
      <c r="V224" s="1">
        <f ca="1">IFERROR(__xludf.DUMMYFUNCTION("""COMPUTED_VALUE"""),0.346)</f>
        <v>0.34599999999999997</v>
      </c>
      <c r="W224" s="1">
        <f ca="1">IFERROR(__xludf.DUMMYFUNCTION("""COMPUTED_VALUE"""),523)</f>
        <v>523</v>
      </c>
      <c r="X224" s="1">
        <f ca="1">IFERROR(__xludf.DUMMYFUNCTION("""COMPUTED_VALUE"""),745)</f>
        <v>745</v>
      </c>
      <c r="Y224" s="1">
        <f ca="1">IFERROR(__xludf.DUMMYFUNCTION("""COMPUTED_VALUE"""),0.702)</f>
        <v>0.70199999999999996</v>
      </c>
      <c r="Z224" s="1">
        <f ca="1">IFERROR(__xludf.DUMMYFUNCTION("""COMPUTED_VALUE"""),351)</f>
        <v>351</v>
      </c>
      <c r="AA224" s="1">
        <f ca="1">IFERROR(__xludf.DUMMYFUNCTION("""COMPUTED_VALUE"""),1199)</f>
        <v>1199</v>
      </c>
      <c r="AB224" s="1">
        <f ca="1">IFERROR(__xludf.DUMMYFUNCTION("""COMPUTED_VALUE"""),446)</f>
        <v>446</v>
      </c>
      <c r="AC224" s="1">
        <f ca="1">IFERROR(__xludf.DUMMYFUNCTION("""COMPUTED_VALUE"""),220)</f>
        <v>220</v>
      </c>
      <c r="AD224" s="1">
        <f ca="1">IFERROR(__xludf.DUMMYFUNCTION("""COMPUTED_VALUE"""),107)</f>
        <v>107</v>
      </c>
      <c r="AE224" s="1">
        <f ca="1">IFERROR(__xludf.DUMMYFUNCTION("""COMPUTED_VALUE"""),455)</f>
        <v>455</v>
      </c>
      <c r="AF224" s="1">
        <f ca="1">IFERROR(__xludf.DUMMYFUNCTION("""COMPUTED_VALUE"""),627)</f>
        <v>627</v>
      </c>
    </row>
    <row r="225" spans="1:32" ht="12.5" x14ac:dyDescent="0.25">
      <c r="A225" s="1" t="str">
        <f ca="1">IFERROR(__xludf.DUMMYFUNCTION("""COMPUTED_VALUE"""),"New Orleans")</f>
        <v>New Orleans</v>
      </c>
      <c r="B225" s="1">
        <f ca="1">IFERROR(__xludf.DUMMYFUNCTION("""COMPUTED_VALUE"""),33)</f>
        <v>33</v>
      </c>
      <c r="C225" s="1">
        <f ca="1">IFERROR(__xludf.DUMMYFUNCTION("""COMPUTED_VALUE"""),19)</f>
        <v>19</v>
      </c>
      <c r="D225" s="1">
        <f ca="1">IFERROR(__xludf.DUMMYFUNCTION("""COMPUTED_VALUE"""),14)</f>
        <v>14</v>
      </c>
      <c r="E225" s="1">
        <f ca="1">IFERROR(__xludf.DUMMYFUNCTION("""COMPUTED_VALUE"""),0.576)</f>
        <v>0.57599999999999996</v>
      </c>
      <c r="F225" s="1">
        <f ca="1">IFERROR(__xludf.DUMMYFUNCTION("""COMPUTED_VALUE"""),-8.88)</f>
        <v>-8.8800000000000008</v>
      </c>
      <c r="G225" s="1">
        <f ca="1">IFERROR(__xludf.DUMMYFUNCTION("""COMPUTED_VALUE"""),-6.47)</f>
        <v>-6.47</v>
      </c>
      <c r="H225" s="1">
        <f ca="1">IFERROR(__xludf.DUMMYFUNCTION("""COMPUTED_VALUE"""),12)</f>
        <v>12</v>
      </c>
      <c r="I225" s="1">
        <f ca="1">IFERROR(__xludf.DUMMYFUNCTION("""COMPUTED_VALUE"""),6)</f>
        <v>6</v>
      </c>
      <c r="J225" s="1">
        <f ca="1">IFERROR(__xludf.DUMMYFUNCTION("""COMPUTED_VALUE"""),12)</f>
        <v>12</v>
      </c>
      <c r="K225" s="1">
        <f ca="1">IFERROR(__xludf.DUMMYFUNCTION("""COMPUTED_VALUE"""),4)</f>
        <v>4</v>
      </c>
      <c r="L225" s="1">
        <f ca="1">IFERROR(__xludf.DUMMYFUNCTION("""COMPUTED_VALUE"""),5)</f>
        <v>5</v>
      </c>
      <c r="M225" s="1">
        <f ca="1">IFERROR(__xludf.DUMMYFUNCTION("""COMPUTED_VALUE"""),9)</f>
        <v>9</v>
      </c>
      <c r="N225" s="1">
        <f ca="1">IFERROR(__xludf.DUMMYFUNCTION("""COMPUTED_VALUE"""),2384)</f>
        <v>2384</v>
      </c>
      <c r="O225" s="1">
        <f ca="1">IFERROR(__xludf.DUMMYFUNCTION("""COMPUTED_VALUE"""),2325)</f>
        <v>2325</v>
      </c>
      <c r="P225" s="1">
        <f ca="1">IFERROR(__xludf.DUMMYFUNCTION("""COMPUTED_VALUE"""),1345)</f>
        <v>1345</v>
      </c>
      <c r="Q225" s="1">
        <f ca="1">IFERROR(__xludf.DUMMYFUNCTION("""COMPUTED_VALUE"""),862)</f>
        <v>862</v>
      </c>
      <c r="R225" s="1">
        <f ca="1">IFERROR(__xludf.DUMMYFUNCTION("""COMPUTED_VALUE"""),1941)</f>
        <v>1941</v>
      </c>
      <c r="S225" s="1">
        <f ca="1">IFERROR(__xludf.DUMMYFUNCTION("""COMPUTED_VALUE"""),0.444)</f>
        <v>0.44400000000000001</v>
      </c>
      <c r="T225" s="1">
        <f ca="1">IFERROR(__xludf.DUMMYFUNCTION("""COMPUTED_VALUE"""),189)</f>
        <v>189</v>
      </c>
      <c r="U225" s="1">
        <f ca="1">IFERROR(__xludf.DUMMYFUNCTION("""COMPUTED_VALUE"""),566)</f>
        <v>566</v>
      </c>
      <c r="V225" s="1">
        <f ca="1">IFERROR(__xludf.DUMMYFUNCTION("""COMPUTED_VALUE"""),0.334)</f>
        <v>0.33400000000000002</v>
      </c>
      <c r="W225" s="1">
        <f ca="1">IFERROR(__xludf.DUMMYFUNCTION("""COMPUTED_VALUE"""),471)</f>
        <v>471</v>
      </c>
      <c r="X225" s="1">
        <f ca="1">IFERROR(__xludf.DUMMYFUNCTION("""COMPUTED_VALUE"""),681)</f>
        <v>681</v>
      </c>
      <c r="Y225" s="1">
        <f ca="1">IFERROR(__xludf.DUMMYFUNCTION("""COMPUTED_VALUE"""),0.692)</f>
        <v>0.69199999999999995</v>
      </c>
      <c r="Z225" s="1">
        <f ca="1">IFERROR(__xludf.DUMMYFUNCTION("""COMPUTED_VALUE"""),393)</f>
        <v>393</v>
      </c>
      <c r="AA225" s="1">
        <f ca="1">IFERROR(__xludf.DUMMYFUNCTION("""COMPUTED_VALUE"""),1166)</f>
        <v>1166</v>
      </c>
      <c r="AB225" s="1">
        <f ca="1">IFERROR(__xludf.DUMMYFUNCTION("""COMPUTED_VALUE"""),497)</f>
        <v>497</v>
      </c>
      <c r="AC225" s="1">
        <f ca="1">IFERROR(__xludf.DUMMYFUNCTION("""COMPUTED_VALUE"""),285)</f>
        <v>285</v>
      </c>
      <c r="AD225" s="1">
        <f ca="1">IFERROR(__xludf.DUMMYFUNCTION("""COMPUTED_VALUE"""),134)</f>
        <v>134</v>
      </c>
      <c r="AE225" s="1">
        <f ca="1">IFERROR(__xludf.DUMMYFUNCTION("""COMPUTED_VALUE"""),517)</f>
        <v>517</v>
      </c>
      <c r="AF225" s="1">
        <f ca="1">IFERROR(__xludf.DUMMYFUNCTION("""COMPUTED_VALUE"""),631)</f>
        <v>631</v>
      </c>
    </row>
    <row r="226" spans="1:32" ht="12.5" x14ac:dyDescent="0.25">
      <c r="A226" s="1" t="str">
        <f ca="1">IFERROR(__xludf.DUMMYFUNCTION("""COMPUTED_VALUE"""),"Niagara")</f>
        <v>Niagara</v>
      </c>
      <c r="B226" s="1">
        <f ca="1">IFERROR(__xludf.DUMMYFUNCTION("""COMPUTED_VALUE"""),32)</f>
        <v>32</v>
      </c>
      <c r="C226" s="1">
        <f ca="1">IFERROR(__xludf.DUMMYFUNCTION("""COMPUTED_VALUE"""),13)</f>
        <v>13</v>
      </c>
      <c r="D226" s="1">
        <f ca="1">IFERROR(__xludf.DUMMYFUNCTION("""COMPUTED_VALUE"""),19)</f>
        <v>19</v>
      </c>
      <c r="E226" s="1">
        <f ca="1">IFERROR(__xludf.DUMMYFUNCTION("""COMPUTED_VALUE"""),0.406)</f>
        <v>0.40600000000000003</v>
      </c>
      <c r="F226" s="1">
        <f ca="1">IFERROR(__xludf.DUMMYFUNCTION("""COMPUTED_VALUE"""),-11.33)</f>
        <v>-11.33</v>
      </c>
      <c r="G226" s="1">
        <f ca="1">IFERROR(__xludf.DUMMYFUNCTION("""COMPUTED_VALUE"""),-7.77)</f>
        <v>-7.77</v>
      </c>
      <c r="H226" s="1">
        <f ca="1">IFERROR(__xludf.DUMMYFUNCTION("""COMPUTED_VALUE"""),6)</f>
        <v>6</v>
      </c>
      <c r="I226" s="1">
        <f ca="1">IFERROR(__xludf.DUMMYFUNCTION("""COMPUTED_VALUE"""),12)</f>
        <v>12</v>
      </c>
      <c r="J226" s="1">
        <f ca="1">IFERROR(__xludf.DUMMYFUNCTION("""COMPUTED_VALUE"""),8)</f>
        <v>8</v>
      </c>
      <c r="K226" s="1">
        <f ca="1">IFERROR(__xludf.DUMMYFUNCTION("""COMPUTED_VALUE"""),8)</f>
        <v>8</v>
      </c>
      <c r="L226" s="1">
        <f ca="1">IFERROR(__xludf.DUMMYFUNCTION("""COMPUTED_VALUE"""),5)</f>
        <v>5</v>
      </c>
      <c r="M226" s="1">
        <f ca="1">IFERROR(__xludf.DUMMYFUNCTION("""COMPUTED_VALUE"""),10)</f>
        <v>10</v>
      </c>
      <c r="N226" s="1">
        <f ca="1">IFERROR(__xludf.DUMMYFUNCTION("""COMPUTED_VALUE"""),2318)</f>
        <v>2318</v>
      </c>
      <c r="O226" s="1">
        <f ca="1">IFERROR(__xludf.DUMMYFUNCTION("""COMPUTED_VALUE"""),2432)</f>
        <v>2432</v>
      </c>
      <c r="P226" s="1">
        <f ca="1">IFERROR(__xludf.DUMMYFUNCTION("""COMPUTED_VALUE"""),1285)</f>
        <v>1285</v>
      </c>
      <c r="Q226" s="1">
        <f ca="1">IFERROR(__xludf.DUMMYFUNCTION("""COMPUTED_VALUE"""),795)</f>
        <v>795</v>
      </c>
      <c r="R226" s="1">
        <f ca="1">IFERROR(__xludf.DUMMYFUNCTION("""COMPUTED_VALUE"""),1887)</f>
        <v>1887</v>
      </c>
      <c r="S226" s="1">
        <f ca="1">IFERROR(__xludf.DUMMYFUNCTION("""COMPUTED_VALUE"""),0.421)</f>
        <v>0.42099999999999999</v>
      </c>
      <c r="T226" s="1">
        <f ca="1">IFERROR(__xludf.DUMMYFUNCTION("""COMPUTED_VALUE"""),265)</f>
        <v>265</v>
      </c>
      <c r="U226" s="1">
        <f ca="1">IFERROR(__xludf.DUMMYFUNCTION("""COMPUTED_VALUE"""),738)</f>
        <v>738</v>
      </c>
      <c r="V226" s="1">
        <f ca="1">IFERROR(__xludf.DUMMYFUNCTION("""COMPUTED_VALUE"""),0.359)</f>
        <v>0.35899999999999999</v>
      </c>
      <c r="W226" s="1">
        <f ca="1">IFERROR(__xludf.DUMMYFUNCTION("""COMPUTED_VALUE"""),463)</f>
        <v>463</v>
      </c>
      <c r="X226" s="1">
        <f ca="1">IFERROR(__xludf.DUMMYFUNCTION("""COMPUTED_VALUE"""),629)</f>
        <v>629</v>
      </c>
      <c r="Y226" s="1">
        <f ca="1">IFERROR(__xludf.DUMMYFUNCTION("""COMPUTED_VALUE"""),0.736)</f>
        <v>0.73599999999999999</v>
      </c>
      <c r="Z226" s="1">
        <f ca="1">IFERROR(__xludf.DUMMYFUNCTION("""COMPUTED_VALUE"""),315)</f>
        <v>315</v>
      </c>
      <c r="AA226" s="1">
        <f ca="1">IFERROR(__xludf.DUMMYFUNCTION("""COMPUTED_VALUE"""),1143)</f>
        <v>1143</v>
      </c>
      <c r="AB226" s="1">
        <f ca="1">IFERROR(__xludf.DUMMYFUNCTION("""COMPUTED_VALUE"""),343)</f>
        <v>343</v>
      </c>
      <c r="AC226" s="1">
        <f ca="1">IFERROR(__xludf.DUMMYFUNCTION("""COMPUTED_VALUE"""),128)</f>
        <v>128</v>
      </c>
      <c r="AD226" s="1">
        <f ca="1">IFERROR(__xludf.DUMMYFUNCTION("""COMPUTED_VALUE"""),127)</f>
        <v>127</v>
      </c>
      <c r="AE226" s="1">
        <f ca="1">IFERROR(__xludf.DUMMYFUNCTION("""COMPUTED_VALUE"""),390)</f>
        <v>390</v>
      </c>
      <c r="AF226" s="1">
        <f ca="1">IFERROR(__xludf.DUMMYFUNCTION("""COMPUTED_VALUE"""),511)</f>
        <v>511</v>
      </c>
    </row>
    <row r="227" spans="1:32" ht="12.5" x14ac:dyDescent="0.25">
      <c r="A227" s="1" t="str">
        <f ca="1">IFERROR(__xludf.DUMMYFUNCTION("""COMPUTED_VALUE"""),"Nicholls State")</f>
        <v>Nicholls State</v>
      </c>
      <c r="B227" s="1">
        <f ca="1">IFERROR(__xludf.DUMMYFUNCTION("""COMPUTED_VALUE"""),31)</f>
        <v>31</v>
      </c>
      <c r="C227" s="1">
        <f ca="1">IFERROR(__xludf.DUMMYFUNCTION("""COMPUTED_VALUE"""),14)</f>
        <v>14</v>
      </c>
      <c r="D227" s="1">
        <f ca="1">IFERROR(__xludf.DUMMYFUNCTION("""COMPUTED_VALUE"""),17)</f>
        <v>17</v>
      </c>
      <c r="E227" s="1">
        <f ca="1">IFERROR(__xludf.DUMMYFUNCTION("""COMPUTED_VALUE"""),0.452)</f>
        <v>0.45200000000000001</v>
      </c>
      <c r="F227" s="1">
        <f ca="1">IFERROR(__xludf.DUMMYFUNCTION("""COMPUTED_VALUE"""),-11.87)</f>
        <v>-11.87</v>
      </c>
      <c r="G227" s="1">
        <f ca="1">IFERROR(__xludf.DUMMYFUNCTION("""COMPUTED_VALUE"""),-6.98)</f>
        <v>-6.98</v>
      </c>
      <c r="H227" s="1">
        <f ca="1">IFERROR(__xludf.DUMMYFUNCTION("""COMPUTED_VALUE"""),7)</f>
        <v>7</v>
      </c>
      <c r="I227" s="1">
        <f ca="1">IFERROR(__xludf.DUMMYFUNCTION("""COMPUTED_VALUE"""),11)</f>
        <v>11</v>
      </c>
      <c r="J227" s="1">
        <f ca="1">IFERROR(__xludf.DUMMYFUNCTION("""COMPUTED_VALUE"""),9)</f>
        <v>9</v>
      </c>
      <c r="K227" s="1">
        <f ca="1">IFERROR(__xludf.DUMMYFUNCTION("""COMPUTED_VALUE"""),4)</f>
        <v>4</v>
      </c>
      <c r="L227" s="1">
        <f ca="1">IFERROR(__xludf.DUMMYFUNCTION("""COMPUTED_VALUE"""),3)</f>
        <v>3</v>
      </c>
      <c r="M227" s="1">
        <f ca="1">IFERROR(__xludf.DUMMYFUNCTION("""COMPUTED_VALUE"""),13)</f>
        <v>13</v>
      </c>
      <c r="N227" s="1">
        <f ca="1">IFERROR(__xludf.DUMMYFUNCTION("""COMPUTED_VALUE"""),2260)</f>
        <v>2260</v>
      </c>
      <c r="O227" s="1">
        <f ca="1">IFERROR(__xludf.DUMMYFUNCTION("""COMPUTED_VALUE"""),2302)</f>
        <v>2302</v>
      </c>
      <c r="P227" s="1">
        <f ca="1">IFERROR(__xludf.DUMMYFUNCTION("""COMPUTED_VALUE"""),1250)</f>
        <v>1250</v>
      </c>
      <c r="Q227" s="1">
        <f ca="1">IFERROR(__xludf.DUMMYFUNCTION("""COMPUTED_VALUE"""),807)</f>
        <v>807</v>
      </c>
      <c r="R227" s="1">
        <f ca="1">IFERROR(__xludf.DUMMYFUNCTION("""COMPUTED_VALUE"""),1914)</f>
        <v>1914</v>
      </c>
      <c r="S227" s="1">
        <f ca="1">IFERROR(__xludf.DUMMYFUNCTION("""COMPUTED_VALUE"""),0.422)</f>
        <v>0.42199999999999999</v>
      </c>
      <c r="T227" s="1">
        <f ca="1">IFERROR(__xludf.DUMMYFUNCTION("""COMPUTED_VALUE"""),324)</f>
        <v>324</v>
      </c>
      <c r="U227" s="1">
        <f ca="1">IFERROR(__xludf.DUMMYFUNCTION("""COMPUTED_VALUE"""),883)</f>
        <v>883</v>
      </c>
      <c r="V227" s="1">
        <f ca="1">IFERROR(__xludf.DUMMYFUNCTION("""COMPUTED_VALUE"""),0.367)</f>
        <v>0.36699999999999999</v>
      </c>
      <c r="W227" s="1">
        <f ca="1">IFERROR(__xludf.DUMMYFUNCTION("""COMPUTED_VALUE"""),322)</f>
        <v>322</v>
      </c>
      <c r="X227" s="1">
        <f ca="1">IFERROR(__xludf.DUMMYFUNCTION("""COMPUTED_VALUE"""),418)</f>
        <v>418</v>
      </c>
      <c r="Y227" s="1">
        <f ca="1">IFERROR(__xludf.DUMMYFUNCTION("""COMPUTED_VALUE"""),0.77)</f>
        <v>0.77</v>
      </c>
      <c r="Z227" s="1">
        <f ca="1">IFERROR(__xludf.DUMMYFUNCTION("""COMPUTED_VALUE"""),280)</f>
        <v>280</v>
      </c>
      <c r="AA227" s="1">
        <f ca="1">IFERROR(__xludf.DUMMYFUNCTION("""COMPUTED_VALUE"""),1041)</f>
        <v>1041</v>
      </c>
      <c r="AB227" s="1">
        <f ca="1">IFERROR(__xludf.DUMMYFUNCTION("""COMPUTED_VALUE"""),428)</f>
        <v>428</v>
      </c>
      <c r="AC227" s="1">
        <f ca="1">IFERROR(__xludf.DUMMYFUNCTION("""COMPUTED_VALUE"""),208)</f>
        <v>208</v>
      </c>
      <c r="AD227" s="1">
        <f ca="1">IFERROR(__xludf.DUMMYFUNCTION("""COMPUTED_VALUE"""),128)</f>
        <v>128</v>
      </c>
      <c r="AE227" s="1">
        <f ca="1">IFERROR(__xludf.DUMMYFUNCTION("""COMPUTED_VALUE"""),386)</f>
        <v>386</v>
      </c>
      <c r="AF227" s="1">
        <f ca="1">IFERROR(__xludf.DUMMYFUNCTION("""COMPUTED_VALUE"""),587)</f>
        <v>587</v>
      </c>
    </row>
    <row r="228" spans="1:32" ht="12.5" x14ac:dyDescent="0.25">
      <c r="A228" s="1" t="str">
        <f ca="1">IFERROR(__xludf.DUMMYFUNCTION("""COMPUTED_VALUE"""),"NJIT")</f>
        <v>NJIT</v>
      </c>
      <c r="B228" s="1">
        <f ca="1">IFERROR(__xludf.DUMMYFUNCTION("""COMPUTED_VALUE"""),35)</f>
        <v>35</v>
      </c>
      <c r="C228" s="1">
        <f ca="1">IFERROR(__xludf.DUMMYFUNCTION("""COMPUTED_VALUE"""),22)</f>
        <v>22</v>
      </c>
      <c r="D228" s="1">
        <f ca="1">IFERROR(__xludf.DUMMYFUNCTION("""COMPUTED_VALUE"""),13)</f>
        <v>13</v>
      </c>
      <c r="E228" s="1">
        <f ca="1">IFERROR(__xludf.DUMMYFUNCTION("""COMPUTED_VALUE"""),0.629)</f>
        <v>0.629</v>
      </c>
      <c r="F228" s="1">
        <f ca="1">IFERROR(__xludf.DUMMYFUNCTION("""COMPUTED_VALUE"""),-3.63)</f>
        <v>-3.63</v>
      </c>
      <c r="G228" s="1">
        <f ca="1">IFERROR(__xludf.DUMMYFUNCTION("""COMPUTED_VALUE"""),-4.74)</f>
        <v>-4.74</v>
      </c>
      <c r="H228" s="1">
        <f ca="1">IFERROR(__xludf.DUMMYFUNCTION("""COMPUTED_VALUE"""),8)</f>
        <v>8</v>
      </c>
      <c r="I228" s="1">
        <f ca="1">IFERROR(__xludf.DUMMYFUNCTION("""COMPUTED_VALUE"""),8)</f>
        <v>8</v>
      </c>
      <c r="J228" s="1">
        <f ca="1">IFERROR(__xludf.DUMMYFUNCTION("""COMPUTED_VALUE"""),11)</f>
        <v>11</v>
      </c>
      <c r="K228" s="1">
        <f ca="1">IFERROR(__xludf.DUMMYFUNCTION("""COMPUTED_VALUE"""),5)</f>
        <v>5</v>
      </c>
      <c r="L228" s="1">
        <f ca="1">IFERROR(__xludf.DUMMYFUNCTION("""COMPUTED_VALUE"""),11)</f>
        <v>11</v>
      </c>
      <c r="M228" s="1">
        <f ca="1">IFERROR(__xludf.DUMMYFUNCTION("""COMPUTED_VALUE"""),8)</f>
        <v>8</v>
      </c>
      <c r="N228" s="1">
        <f ca="1">IFERROR(__xludf.DUMMYFUNCTION("""COMPUTED_VALUE"""),2472)</f>
        <v>2472</v>
      </c>
      <c r="O228" s="1">
        <f ca="1">IFERROR(__xludf.DUMMYFUNCTION("""COMPUTED_VALUE"""),2401)</f>
        <v>2401</v>
      </c>
      <c r="P228" s="1">
        <f ca="1">IFERROR(__xludf.DUMMYFUNCTION("""COMPUTED_VALUE"""),1410)</f>
        <v>1410</v>
      </c>
      <c r="Q228" s="1">
        <f ca="1">IFERROR(__xludf.DUMMYFUNCTION("""COMPUTED_VALUE"""),849)</f>
        <v>849</v>
      </c>
      <c r="R228" s="1">
        <f ca="1">IFERROR(__xludf.DUMMYFUNCTION("""COMPUTED_VALUE"""),1913)</f>
        <v>1913</v>
      </c>
      <c r="S228" s="1">
        <f ca="1">IFERROR(__xludf.DUMMYFUNCTION("""COMPUTED_VALUE"""),0.444)</f>
        <v>0.44400000000000001</v>
      </c>
      <c r="T228" s="1">
        <f ca="1">IFERROR(__xludf.DUMMYFUNCTION("""COMPUTED_VALUE"""),246)</f>
        <v>246</v>
      </c>
      <c r="U228" s="1">
        <f ca="1">IFERROR(__xludf.DUMMYFUNCTION("""COMPUTED_VALUE"""),713)</f>
        <v>713</v>
      </c>
      <c r="V228" s="1">
        <f ca="1">IFERROR(__xludf.DUMMYFUNCTION("""COMPUTED_VALUE"""),0.345)</f>
        <v>0.34499999999999997</v>
      </c>
      <c r="W228" s="1">
        <f ca="1">IFERROR(__xludf.DUMMYFUNCTION("""COMPUTED_VALUE"""),528)</f>
        <v>528</v>
      </c>
      <c r="X228" s="1">
        <f ca="1">IFERROR(__xludf.DUMMYFUNCTION("""COMPUTED_VALUE"""),732)</f>
        <v>732</v>
      </c>
      <c r="Y228" s="1">
        <f ca="1">IFERROR(__xludf.DUMMYFUNCTION("""COMPUTED_VALUE"""),0.721)</f>
        <v>0.72099999999999997</v>
      </c>
      <c r="Z228" s="1">
        <f ca="1">IFERROR(__xludf.DUMMYFUNCTION("""COMPUTED_VALUE"""),250)</f>
        <v>250</v>
      </c>
      <c r="AA228" s="1">
        <f ca="1">IFERROR(__xludf.DUMMYFUNCTION("""COMPUTED_VALUE"""),1178)</f>
        <v>1178</v>
      </c>
      <c r="AB228" s="1">
        <f ca="1">IFERROR(__xludf.DUMMYFUNCTION("""COMPUTED_VALUE"""),376)</f>
        <v>376</v>
      </c>
      <c r="AC228" s="1">
        <f ca="1">IFERROR(__xludf.DUMMYFUNCTION("""COMPUTED_VALUE"""),223)</f>
        <v>223</v>
      </c>
      <c r="AD228" s="1">
        <f ca="1">IFERROR(__xludf.DUMMYFUNCTION("""COMPUTED_VALUE"""),94)</f>
        <v>94</v>
      </c>
      <c r="AE228" s="1">
        <f ca="1">IFERROR(__xludf.DUMMYFUNCTION("""COMPUTED_VALUE"""),421)</f>
        <v>421</v>
      </c>
      <c r="AF228" s="1">
        <f ca="1">IFERROR(__xludf.DUMMYFUNCTION("""COMPUTED_VALUE"""),582)</f>
        <v>582</v>
      </c>
    </row>
    <row r="229" spans="1:32" ht="12.5" x14ac:dyDescent="0.25">
      <c r="A229" s="1" t="str">
        <f ca="1">IFERROR(__xludf.DUMMYFUNCTION("""COMPUTED_VALUE"""),"Norfolk State")</f>
        <v>Norfolk State</v>
      </c>
      <c r="B229" s="1">
        <f ca="1">IFERROR(__xludf.DUMMYFUNCTION("""COMPUTED_VALUE"""),36)</f>
        <v>36</v>
      </c>
      <c r="C229" s="1">
        <f ca="1">IFERROR(__xludf.DUMMYFUNCTION("""COMPUTED_VALUE"""),22)</f>
        <v>22</v>
      </c>
      <c r="D229" s="1">
        <f ca="1">IFERROR(__xludf.DUMMYFUNCTION("""COMPUTED_VALUE"""),14)</f>
        <v>14</v>
      </c>
      <c r="E229" s="1">
        <f ca="1">IFERROR(__xludf.DUMMYFUNCTION("""COMPUTED_VALUE"""),0.611)</f>
        <v>0.61099999999999999</v>
      </c>
      <c r="F229" s="1">
        <f ca="1">IFERROR(__xludf.DUMMYFUNCTION("""COMPUTED_VALUE"""),-8.04)</f>
        <v>-8.0399999999999991</v>
      </c>
      <c r="G229" s="1">
        <f ca="1">IFERROR(__xludf.DUMMYFUNCTION("""COMPUTED_VALUE"""),-8.74)</f>
        <v>-8.74</v>
      </c>
      <c r="H229" s="1">
        <f ca="1">IFERROR(__xludf.DUMMYFUNCTION("""COMPUTED_VALUE"""),14)</f>
        <v>14</v>
      </c>
      <c r="I229" s="1">
        <f ca="1">IFERROR(__xludf.DUMMYFUNCTION("""COMPUTED_VALUE"""),2)</f>
        <v>2</v>
      </c>
      <c r="J229" s="1">
        <f ca="1">IFERROR(__xludf.DUMMYFUNCTION("""COMPUTED_VALUE"""),11)</f>
        <v>11</v>
      </c>
      <c r="K229" s="1">
        <f ca="1">IFERROR(__xludf.DUMMYFUNCTION("""COMPUTED_VALUE"""),2)</f>
        <v>2</v>
      </c>
      <c r="L229" s="1">
        <f ca="1">IFERROR(__xludf.DUMMYFUNCTION("""COMPUTED_VALUE"""),9)</f>
        <v>9</v>
      </c>
      <c r="M229" s="1">
        <f ca="1">IFERROR(__xludf.DUMMYFUNCTION("""COMPUTED_VALUE"""),8)</f>
        <v>8</v>
      </c>
      <c r="N229" s="1">
        <f ca="1">IFERROR(__xludf.DUMMYFUNCTION("""COMPUTED_VALUE"""),2652)</f>
        <v>2652</v>
      </c>
      <c r="O229" s="1">
        <f ca="1">IFERROR(__xludf.DUMMYFUNCTION("""COMPUTED_VALUE"""),2503)</f>
        <v>2503</v>
      </c>
      <c r="P229" s="1">
        <f ca="1">IFERROR(__xludf.DUMMYFUNCTION("""COMPUTED_VALUE"""),1460)</f>
        <v>1460</v>
      </c>
      <c r="Q229" s="1">
        <f ca="1">IFERROR(__xludf.DUMMYFUNCTION("""COMPUTED_VALUE"""),900)</f>
        <v>900</v>
      </c>
      <c r="R229" s="1">
        <f ca="1">IFERROR(__xludf.DUMMYFUNCTION("""COMPUTED_VALUE"""),2079)</f>
        <v>2079</v>
      </c>
      <c r="S229" s="1">
        <f ca="1">IFERROR(__xludf.DUMMYFUNCTION("""COMPUTED_VALUE"""),0.433)</f>
        <v>0.433</v>
      </c>
      <c r="T229" s="1">
        <f ca="1">IFERROR(__xludf.DUMMYFUNCTION("""COMPUTED_VALUE"""),282)</f>
        <v>282</v>
      </c>
      <c r="U229" s="1">
        <f ca="1">IFERROR(__xludf.DUMMYFUNCTION("""COMPUTED_VALUE"""),770)</f>
        <v>770</v>
      </c>
      <c r="V229" s="1">
        <f ca="1">IFERROR(__xludf.DUMMYFUNCTION("""COMPUTED_VALUE"""),0.366)</f>
        <v>0.36599999999999999</v>
      </c>
      <c r="W229" s="1">
        <f ca="1">IFERROR(__xludf.DUMMYFUNCTION("""COMPUTED_VALUE"""),570)</f>
        <v>570</v>
      </c>
      <c r="X229" s="1">
        <f ca="1">IFERROR(__xludf.DUMMYFUNCTION("""COMPUTED_VALUE"""),803)</f>
        <v>803</v>
      </c>
      <c r="Y229" s="1">
        <f ca="1">IFERROR(__xludf.DUMMYFUNCTION("""COMPUTED_VALUE"""),0.71)</f>
        <v>0.71</v>
      </c>
      <c r="Z229" s="1">
        <f ca="1">IFERROR(__xludf.DUMMYFUNCTION("""COMPUTED_VALUE"""),366)</f>
        <v>366</v>
      </c>
      <c r="AA229" s="1">
        <f ca="1">IFERROR(__xludf.DUMMYFUNCTION("""COMPUTED_VALUE"""),1318)</f>
        <v>1318</v>
      </c>
      <c r="AB229" s="1">
        <f ca="1">IFERROR(__xludf.DUMMYFUNCTION("""COMPUTED_VALUE"""),457)</f>
        <v>457</v>
      </c>
      <c r="AC229" s="1">
        <f ca="1">IFERROR(__xludf.DUMMYFUNCTION("""COMPUTED_VALUE"""),219)</f>
        <v>219</v>
      </c>
      <c r="AD229" s="1">
        <f ca="1">IFERROR(__xludf.DUMMYFUNCTION("""COMPUTED_VALUE"""),154)</f>
        <v>154</v>
      </c>
      <c r="AE229" s="1">
        <f ca="1">IFERROR(__xludf.DUMMYFUNCTION("""COMPUTED_VALUE"""),523)</f>
        <v>523</v>
      </c>
      <c r="AF229" s="1">
        <f ca="1">IFERROR(__xludf.DUMMYFUNCTION("""COMPUTED_VALUE"""),763)</f>
        <v>763</v>
      </c>
    </row>
    <row r="230" spans="1:32" ht="12.5" x14ac:dyDescent="0.25">
      <c r="A230" s="1" t="str">
        <f ca="1">IFERROR(__xludf.DUMMYFUNCTION("""COMPUTED_VALUE"""),"North Alabama")</f>
        <v>North Alabama</v>
      </c>
      <c r="B230" s="1">
        <f ca="1">IFERROR(__xludf.DUMMYFUNCTION("""COMPUTED_VALUE"""),32)</f>
        <v>32</v>
      </c>
      <c r="C230" s="1">
        <f ca="1">IFERROR(__xludf.DUMMYFUNCTION("""COMPUTED_VALUE"""),10)</f>
        <v>10</v>
      </c>
      <c r="D230" s="1">
        <f ca="1">IFERROR(__xludf.DUMMYFUNCTION("""COMPUTED_VALUE"""),22)</f>
        <v>22</v>
      </c>
      <c r="E230" s="1">
        <f ca="1">IFERROR(__xludf.DUMMYFUNCTION("""COMPUTED_VALUE"""),0.313)</f>
        <v>0.313</v>
      </c>
      <c r="F230" s="1">
        <f ca="1">IFERROR(__xludf.DUMMYFUNCTION("""COMPUTED_VALUE"""),-11)</f>
        <v>-11</v>
      </c>
      <c r="G230" s="1">
        <f ca="1">IFERROR(__xludf.DUMMYFUNCTION("""COMPUTED_VALUE"""),-1.69)</f>
        <v>-1.69</v>
      </c>
      <c r="H230" s="1">
        <f ca="1">IFERROR(__xludf.DUMMYFUNCTION("""COMPUTED_VALUE"""),7)</f>
        <v>7</v>
      </c>
      <c r="I230" s="1">
        <f ca="1">IFERROR(__xludf.DUMMYFUNCTION("""COMPUTED_VALUE"""),9)</f>
        <v>9</v>
      </c>
      <c r="J230" s="1">
        <f ca="1">IFERROR(__xludf.DUMMYFUNCTION("""COMPUTED_VALUE"""),8)</f>
        <v>8</v>
      </c>
      <c r="K230" s="1">
        <f ca="1">IFERROR(__xludf.DUMMYFUNCTION("""COMPUTED_VALUE"""),4)</f>
        <v>4</v>
      </c>
      <c r="L230" s="1">
        <f ca="1">IFERROR(__xludf.DUMMYFUNCTION("""COMPUTED_VALUE"""),2)</f>
        <v>2</v>
      </c>
      <c r="M230" s="1">
        <f ca="1">IFERROR(__xludf.DUMMYFUNCTION("""COMPUTED_VALUE"""),18)</f>
        <v>18</v>
      </c>
      <c r="N230" s="1">
        <f ca="1">IFERROR(__xludf.DUMMYFUNCTION("""COMPUTED_VALUE"""),2145)</f>
        <v>2145</v>
      </c>
      <c r="O230" s="1">
        <f ca="1">IFERROR(__xludf.DUMMYFUNCTION("""COMPUTED_VALUE"""),2358)</f>
        <v>2358</v>
      </c>
      <c r="P230" s="1">
        <f ca="1">IFERROR(__xludf.DUMMYFUNCTION("""COMPUTED_VALUE"""),1285)</f>
        <v>1285</v>
      </c>
      <c r="Q230" s="1">
        <f ca="1">IFERROR(__xludf.DUMMYFUNCTION("""COMPUTED_VALUE"""),744)</f>
        <v>744</v>
      </c>
      <c r="R230" s="1">
        <f ca="1">IFERROR(__xludf.DUMMYFUNCTION("""COMPUTED_VALUE"""),1914)</f>
        <v>1914</v>
      </c>
      <c r="S230" s="1">
        <f ca="1">IFERROR(__xludf.DUMMYFUNCTION("""COMPUTED_VALUE"""),0.389)</f>
        <v>0.38900000000000001</v>
      </c>
      <c r="T230" s="1">
        <f ca="1">IFERROR(__xludf.DUMMYFUNCTION("""COMPUTED_VALUE"""),240)</f>
        <v>240</v>
      </c>
      <c r="U230" s="1">
        <f ca="1">IFERROR(__xludf.DUMMYFUNCTION("""COMPUTED_VALUE"""),805)</f>
        <v>805</v>
      </c>
      <c r="V230" s="1">
        <f ca="1">IFERROR(__xludf.DUMMYFUNCTION("""COMPUTED_VALUE"""),0.298)</f>
        <v>0.29799999999999999</v>
      </c>
      <c r="W230" s="1">
        <f ca="1">IFERROR(__xludf.DUMMYFUNCTION("""COMPUTED_VALUE"""),417)</f>
        <v>417</v>
      </c>
      <c r="X230" s="1">
        <f ca="1">IFERROR(__xludf.DUMMYFUNCTION("""COMPUTED_VALUE"""),619)</f>
        <v>619</v>
      </c>
      <c r="Y230" s="1">
        <f ca="1">IFERROR(__xludf.DUMMYFUNCTION("""COMPUTED_VALUE"""),0.674)</f>
        <v>0.67400000000000004</v>
      </c>
      <c r="Z230" s="1">
        <f ca="1">IFERROR(__xludf.DUMMYFUNCTION("""COMPUTED_VALUE"""),351)</f>
        <v>351</v>
      </c>
      <c r="AA230" s="1">
        <f ca="1">IFERROR(__xludf.DUMMYFUNCTION("""COMPUTED_VALUE"""),1170)</f>
        <v>1170</v>
      </c>
      <c r="AB230" s="1">
        <f ca="1">IFERROR(__xludf.DUMMYFUNCTION("""COMPUTED_VALUE"""),334)</f>
        <v>334</v>
      </c>
      <c r="AC230" s="1">
        <f ca="1">IFERROR(__xludf.DUMMYFUNCTION("""COMPUTED_VALUE"""),209)</f>
        <v>209</v>
      </c>
      <c r="AD230" s="1">
        <f ca="1">IFERROR(__xludf.DUMMYFUNCTION("""COMPUTED_VALUE"""),74)</f>
        <v>74</v>
      </c>
      <c r="AE230" s="1">
        <f ca="1">IFERROR(__xludf.DUMMYFUNCTION("""COMPUTED_VALUE"""),435)</f>
        <v>435</v>
      </c>
      <c r="AF230" s="1">
        <f ca="1">IFERROR(__xludf.DUMMYFUNCTION("""COMPUTED_VALUE"""),614)</f>
        <v>614</v>
      </c>
    </row>
    <row r="231" spans="1:32" ht="12.5" x14ac:dyDescent="0.25">
      <c r="A231" s="1" t="str">
        <f ca="1">IFERROR(__xludf.DUMMYFUNCTION("""COMPUTED_VALUE"""),"North Carolina-Asheville")</f>
        <v>North Carolina-Asheville</v>
      </c>
      <c r="B231" s="1">
        <f ca="1">IFERROR(__xludf.DUMMYFUNCTION("""COMPUTED_VALUE"""),31)</f>
        <v>31</v>
      </c>
      <c r="C231" s="1">
        <f ca="1">IFERROR(__xludf.DUMMYFUNCTION("""COMPUTED_VALUE"""),4)</f>
        <v>4</v>
      </c>
      <c r="D231" s="1">
        <f ca="1">IFERROR(__xludf.DUMMYFUNCTION("""COMPUTED_VALUE"""),27)</f>
        <v>27</v>
      </c>
      <c r="E231" s="1">
        <f ca="1">IFERROR(__xludf.DUMMYFUNCTION("""COMPUTED_VALUE"""),0.129)</f>
        <v>0.129</v>
      </c>
      <c r="F231" s="1">
        <f ca="1">IFERROR(__xludf.DUMMYFUNCTION("""COMPUTED_VALUE"""),-19.81)</f>
        <v>-19.809999999999999</v>
      </c>
      <c r="G231" s="1">
        <f ca="1">IFERROR(__xludf.DUMMYFUNCTION("""COMPUTED_VALUE"""),-2.35)</f>
        <v>-2.35</v>
      </c>
      <c r="H231" s="1">
        <f ca="1">IFERROR(__xludf.DUMMYFUNCTION("""COMPUTED_VALUE"""),2)</f>
        <v>2</v>
      </c>
      <c r="I231" s="1">
        <f ca="1">IFERROR(__xludf.DUMMYFUNCTION("""COMPUTED_VALUE"""),14)</f>
        <v>14</v>
      </c>
      <c r="J231" s="1">
        <f ca="1">IFERROR(__xludf.DUMMYFUNCTION("""COMPUTED_VALUE"""),3)</f>
        <v>3</v>
      </c>
      <c r="K231" s="1">
        <f ca="1">IFERROR(__xludf.DUMMYFUNCTION("""COMPUTED_VALUE"""),10)</f>
        <v>10</v>
      </c>
      <c r="L231" s="1">
        <f ca="1">IFERROR(__xludf.DUMMYFUNCTION("""COMPUTED_VALUE"""),1)</f>
        <v>1</v>
      </c>
      <c r="M231" s="1">
        <f ca="1">IFERROR(__xludf.DUMMYFUNCTION("""COMPUTED_VALUE"""),15)</f>
        <v>15</v>
      </c>
      <c r="N231" s="1">
        <f ca="1">IFERROR(__xludf.DUMMYFUNCTION("""COMPUTED_VALUE"""),1857)</f>
        <v>1857</v>
      </c>
      <c r="O231" s="1">
        <f ca="1">IFERROR(__xludf.DUMMYFUNCTION("""COMPUTED_VALUE"""),2313)</f>
        <v>2313</v>
      </c>
      <c r="P231" s="1">
        <f ca="1">IFERROR(__xludf.DUMMYFUNCTION("""COMPUTED_VALUE"""),1245)</f>
        <v>1245</v>
      </c>
      <c r="Q231" s="1">
        <f ca="1">IFERROR(__xludf.DUMMYFUNCTION("""COMPUTED_VALUE"""),655)</f>
        <v>655</v>
      </c>
      <c r="R231" s="1">
        <f ca="1">IFERROR(__xludf.DUMMYFUNCTION("""COMPUTED_VALUE"""),1627)</f>
        <v>1627</v>
      </c>
      <c r="S231" s="1">
        <f ca="1">IFERROR(__xludf.DUMMYFUNCTION("""COMPUTED_VALUE"""),0.403)</f>
        <v>0.40300000000000002</v>
      </c>
      <c r="T231" s="1">
        <f ca="1">IFERROR(__xludf.DUMMYFUNCTION("""COMPUTED_VALUE"""),223)</f>
        <v>223</v>
      </c>
      <c r="U231" s="1">
        <f ca="1">IFERROR(__xludf.DUMMYFUNCTION("""COMPUTED_VALUE"""),687)</f>
        <v>687</v>
      </c>
      <c r="V231" s="1">
        <f ca="1">IFERROR(__xludf.DUMMYFUNCTION("""COMPUTED_VALUE"""),0.325)</f>
        <v>0.32500000000000001</v>
      </c>
      <c r="W231" s="1">
        <f ca="1">IFERROR(__xludf.DUMMYFUNCTION("""COMPUTED_VALUE"""),324)</f>
        <v>324</v>
      </c>
      <c r="X231" s="1">
        <f ca="1">IFERROR(__xludf.DUMMYFUNCTION("""COMPUTED_VALUE"""),437)</f>
        <v>437</v>
      </c>
      <c r="Y231" s="1">
        <f ca="1">IFERROR(__xludf.DUMMYFUNCTION("""COMPUTED_VALUE"""),0.741)</f>
        <v>0.74099999999999999</v>
      </c>
      <c r="Z231" s="1">
        <f ca="1">IFERROR(__xludf.DUMMYFUNCTION("""COMPUTED_VALUE"""),298)</f>
        <v>298</v>
      </c>
      <c r="AA231" s="1">
        <f ca="1">IFERROR(__xludf.DUMMYFUNCTION("""COMPUTED_VALUE"""),931)</f>
        <v>931</v>
      </c>
      <c r="AB231" s="1">
        <f ca="1">IFERROR(__xludf.DUMMYFUNCTION("""COMPUTED_VALUE"""),331)</f>
        <v>331</v>
      </c>
      <c r="AC231" s="1">
        <f ca="1">IFERROR(__xludf.DUMMYFUNCTION("""COMPUTED_VALUE"""),196)</f>
        <v>196</v>
      </c>
      <c r="AD231" s="1">
        <f ca="1">IFERROR(__xludf.DUMMYFUNCTION("""COMPUTED_VALUE"""),86)</f>
        <v>86</v>
      </c>
      <c r="AE231" s="1">
        <f ca="1">IFERROR(__xludf.DUMMYFUNCTION("""COMPUTED_VALUE"""),456)</f>
        <v>456</v>
      </c>
      <c r="AF231" s="1">
        <f ca="1">IFERROR(__xludf.DUMMYFUNCTION("""COMPUTED_VALUE"""),533)</f>
        <v>533</v>
      </c>
    </row>
    <row r="232" spans="1:32" ht="12.5" x14ac:dyDescent="0.25">
      <c r="A232" s="1" t="str">
        <f ca="1">IFERROR(__xludf.DUMMYFUNCTION("""COMPUTED_VALUE"""),"North Carolina A&amp;T")</f>
        <v>North Carolina A&amp;T</v>
      </c>
      <c r="B232" s="1">
        <f ca="1">IFERROR(__xludf.DUMMYFUNCTION("""COMPUTED_VALUE"""),32)</f>
        <v>32</v>
      </c>
      <c r="C232" s="1">
        <f ca="1">IFERROR(__xludf.DUMMYFUNCTION("""COMPUTED_VALUE"""),19)</f>
        <v>19</v>
      </c>
      <c r="D232" s="1">
        <f ca="1">IFERROR(__xludf.DUMMYFUNCTION("""COMPUTED_VALUE"""),13)</f>
        <v>13</v>
      </c>
      <c r="E232" s="1">
        <f ca="1">IFERROR(__xludf.DUMMYFUNCTION("""COMPUTED_VALUE"""),0.594)</f>
        <v>0.59399999999999997</v>
      </c>
      <c r="F232" s="1">
        <f ca="1">IFERROR(__xludf.DUMMYFUNCTION("""COMPUTED_VALUE"""),-11.24)</f>
        <v>-11.24</v>
      </c>
      <c r="G232" s="1">
        <f ca="1">IFERROR(__xludf.DUMMYFUNCTION("""COMPUTED_VALUE"""),-9.88)</f>
        <v>-9.8800000000000008</v>
      </c>
      <c r="H232" s="1">
        <f ca="1">IFERROR(__xludf.DUMMYFUNCTION("""COMPUTED_VALUE"""),13)</f>
        <v>13</v>
      </c>
      <c r="I232" s="1">
        <f ca="1">IFERROR(__xludf.DUMMYFUNCTION("""COMPUTED_VALUE"""),3)</f>
        <v>3</v>
      </c>
      <c r="J232" s="1">
        <f ca="1">IFERROR(__xludf.DUMMYFUNCTION("""COMPUTED_VALUE"""),11)</f>
        <v>11</v>
      </c>
      <c r="K232" s="1">
        <f ca="1">IFERROR(__xludf.DUMMYFUNCTION("""COMPUTED_VALUE"""),2)</f>
        <v>2</v>
      </c>
      <c r="L232" s="1">
        <f ca="1">IFERROR(__xludf.DUMMYFUNCTION("""COMPUTED_VALUE"""),7)</f>
        <v>7</v>
      </c>
      <c r="M232" s="1">
        <f ca="1">IFERROR(__xludf.DUMMYFUNCTION("""COMPUTED_VALUE"""),10)</f>
        <v>10</v>
      </c>
      <c r="N232" s="1">
        <f ca="1">IFERROR(__xludf.DUMMYFUNCTION("""COMPUTED_VALUE"""),2241)</f>
        <v>2241</v>
      </c>
      <c r="O232" s="1">
        <f ca="1">IFERROR(__xludf.DUMMYFUNCTION("""COMPUTED_VALUE"""),2209)</f>
        <v>2209</v>
      </c>
      <c r="P232" s="1">
        <f ca="1">IFERROR(__xludf.DUMMYFUNCTION("""COMPUTED_VALUE"""),1290)</f>
        <v>1290</v>
      </c>
      <c r="Q232" s="1">
        <f ca="1">IFERROR(__xludf.DUMMYFUNCTION("""COMPUTED_VALUE"""),825)</f>
        <v>825</v>
      </c>
      <c r="R232" s="1">
        <f ca="1">IFERROR(__xludf.DUMMYFUNCTION("""COMPUTED_VALUE"""),1797)</f>
        <v>1797</v>
      </c>
      <c r="S232" s="1">
        <f ca="1">IFERROR(__xludf.DUMMYFUNCTION("""COMPUTED_VALUE"""),0.459)</f>
        <v>0.45900000000000002</v>
      </c>
      <c r="T232" s="1">
        <f ca="1">IFERROR(__xludf.DUMMYFUNCTION("""COMPUTED_VALUE"""),227)</f>
        <v>227</v>
      </c>
      <c r="U232" s="1">
        <f ca="1">IFERROR(__xludf.DUMMYFUNCTION("""COMPUTED_VALUE"""),649)</f>
        <v>649</v>
      </c>
      <c r="V232" s="1">
        <f ca="1">IFERROR(__xludf.DUMMYFUNCTION("""COMPUTED_VALUE"""),0.35)</f>
        <v>0.35</v>
      </c>
      <c r="W232" s="1">
        <f ca="1">IFERROR(__xludf.DUMMYFUNCTION("""COMPUTED_VALUE"""),364)</f>
        <v>364</v>
      </c>
      <c r="X232" s="1">
        <f ca="1">IFERROR(__xludf.DUMMYFUNCTION("""COMPUTED_VALUE"""),548)</f>
        <v>548</v>
      </c>
      <c r="Y232" s="1">
        <f ca="1">IFERROR(__xludf.DUMMYFUNCTION("""COMPUTED_VALUE"""),0.664)</f>
        <v>0.66400000000000003</v>
      </c>
      <c r="Z232" s="1">
        <f ca="1">IFERROR(__xludf.DUMMYFUNCTION("""COMPUTED_VALUE"""),291)</f>
        <v>291</v>
      </c>
      <c r="AA232" s="1">
        <f ca="1">IFERROR(__xludf.DUMMYFUNCTION("""COMPUTED_VALUE"""),1059)</f>
        <v>1059</v>
      </c>
      <c r="AB232" s="1">
        <f ca="1">IFERROR(__xludf.DUMMYFUNCTION("""COMPUTED_VALUE"""),452)</f>
        <v>452</v>
      </c>
      <c r="AC232" s="1">
        <f ca="1">IFERROR(__xludf.DUMMYFUNCTION("""COMPUTED_VALUE"""),215)</f>
        <v>215</v>
      </c>
      <c r="AD232" s="1">
        <f ca="1">IFERROR(__xludf.DUMMYFUNCTION("""COMPUTED_VALUE"""),108)</f>
        <v>108</v>
      </c>
      <c r="AE232" s="1">
        <f ca="1">IFERROR(__xludf.DUMMYFUNCTION("""COMPUTED_VALUE"""),417)</f>
        <v>417</v>
      </c>
      <c r="AF232" s="1">
        <f ca="1">IFERROR(__xludf.DUMMYFUNCTION("""COMPUTED_VALUE"""),514)</f>
        <v>514</v>
      </c>
    </row>
    <row r="233" spans="1:32" ht="12.5" x14ac:dyDescent="0.25">
      <c r="A233" s="1" t="str">
        <f ca="1">IFERROR(__xludf.DUMMYFUNCTION("""COMPUTED_VALUE"""),"North Carolina Central")</f>
        <v>North Carolina Central</v>
      </c>
      <c r="B233" s="1">
        <f ca="1">IFERROR(__xludf.DUMMYFUNCTION("""COMPUTED_VALUE"""),34)</f>
        <v>34</v>
      </c>
      <c r="C233" s="1">
        <f ca="1">IFERROR(__xludf.DUMMYFUNCTION("""COMPUTED_VALUE"""),18)</f>
        <v>18</v>
      </c>
      <c r="D233" s="1">
        <f ca="1">IFERROR(__xludf.DUMMYFUNCTION("""COMPUTED_VALUE"""),16)</f>
        <v>16</v>
      </c>
      <c r="E233" s="1">
        <f ca="1">IFERROR(__xludf.DUMMYFUNCTION("""COMPUTED_VALUE"""),0.529)</f>
        <v>0.52900000000000003</v>
      </c>
      <c r="F233" s="1">
        <f ca="1">IFERROR(__xludf.DUMMYFUNCTION("""COMPUTED_VALUE"""),-11.53)</f>
        <v>-11.53</v>
      </c>
      <c r="G233" s="1">
        <f ca="1">IFERROR(__xludf.DUMMYFUNCTION("""COMPUTED_VALUE"""),-11.24)</f>
        <v>-11.24</v>
      </c>
      <c r="H233" s="1">
        <f ca="1">IFERROR(__xludf.DUMMYFUNCTION("""COMPUTED_VALUE"""),10)</f>
        <v>10</v>
      </c>
      <c r="I233" s="1">
        <f ca="1">IFERROR(__xludf.DUMMYFUNCTION("""COMPUTED_VALUE"""),6)</f>
        <v>6</v>
      </c>
      <c r="J233" s="1">
        <f ca="1">IFERROR(__xludf.DUMMYFUNCTION("""COMPUTED_VALUE"""),10)</f>
        <v>10</v>
      </c>
      <c r="K233" s="1">
        <f ca="1">IFERROR(__xludf.DUMMYFUNCTION("""COMPUTED_VALUE"""),2)</f>
        <v>2</v>
      </c>
      <c r="L233" s="1">
        <f ca="1">IFERROR(__xludf.DUMMYFUNCTION("""COMPUTED_VALUE"""),4)</f>
        <v>4</v>
      </c>
      <c r="M233" s="1">
        <f ca="1">IFERROR(__xludf.DUMMYFUNCTION("""COMPUTED_VALUE"""),12)</f>
        <v>12</v>
      </c>
      <c r="N233" s="1">
        <f ca="1">IFERROR(__xludf.DUMMYFUNCTION("""COMPUTED_VALUE"""),2429)</f>
        <v>2429</v>
      </c>
      <c r="O233" s="1">
        <f ca="1">IFERROR(__xludf.DUMMYFUNCTION("""COMPUTED_VALUE"""),2266)</f>
        <v>2266</v>
      </c>
      <c r="P233" s="1">
        <f ca="1">IFERROR(__xludf.DUMMYFUNCTION("""COMPUTED_VALUE"""),1365)</f>
        <v>1365</v>
      </c>
      <c r="Q233" s="1">
        <f ca="1">IFERROR(__xludf.DUMMYFUNCTION("""COMPUTED_VALUE"""),874)</f>
        <v>874</v>
      </c>
      <c r="R233" s="1">
        <f ca="1">IFERROR(__xludf.DUMMYFUNCTION("""COMPUTED_VALUE"""),1922)</f>
        <v>1922</v>
      </c>
      <c r="S233" s="1">
        <f ca="1">IFERROR(__xludf.DUMMYFUNCTION("""COMPUTED_VALUE"""),0.455)</f>
        <v>0.45500000000000002</v>
      </c>
      <c r="T233" s="1">
        <f ca="1">IFERROR(__xludf.DUMMYFUNCTION("""COMPUTED_VALUE"""),221)</f>
        <v>221</v>
      </c>
      <c r="U233" s="1">
        <f ca="1">IFERROR(__xludf.DUMMYFUNCTION("""COMPUTED_VALUE"""),693)</f>
        <v>693</v>
      </c>
      <c r="V233" s="1">
        <f ca="1">IFERROR(__xludf.DUMMYFUNCTION("""COMPUTED_VALUE"""),0.319)</f>
        <v>0.31900000000000001</v>
      </c>
      <c r="W233" s="1">
        <f ca="1">IFERROR(__xludf.DUMMYFUNCTION("""COMPUTED_VALUE"""),460)</f>
        <v>460</v>
      </c>
      <c r="X233" s="1">
        <f ca="1">IFERROR(__xludf.DUMMYFUNCTION("""COMPUTED_VALUE"""),641)</f>
        <v>641</v>
      </c>
      <c r="Y233" s="1">
        <f ca="1">IFERROR(__xludf.DUMMYFUNCTION("""COMPUTED_VALUE"""),0.718)</f>
        <v>0.71799999999999997</v>
      </c>
      <c r="Z233" s="1">
        <f ca="1">IFERROR(__xludf.DUMMYFUNCTION("""COMPUTED_VALUE"""),399)</f>
        <v>399</v>
      </c>
      <c r="AA233" s="1">
        <f ca="1">IFERROR(__xludf.DUMMYFUNCTION("""COMPUTED_VALUE"""),1265)</f>
        <v>1265</v>
      </c>
      <c r="AB233" s="1">
        <f ca="1">IFERROR(__xludf.DUMMYFUNCTION("""COMPUTED_VALUE"""),526)</f>
        <v>526</v>
      </c>
      <c r="AC233" s="1">
        <f ca="1">IFERROR(__xludf.DUMMYFUNCTION("""COMPUTED_VALUE"""),207)</f>
        <v>207</v>
      </c>
      <c r="AD233" s="1">
        <f ca="1">IFERROR(__xludf.DUMMYFUNCTION("""COMPUTED_VALUE"""),93)</f>
        <v>93</v>
      </c>
      <c r="AE233" s="1">
        <f ca="1">IFERROR(__xludf.DUMMYFUNCTION("""COMPUTED_VALUE"""),515)</f>
        <v>515</v>
      </c>
      <c r="AF233" s="1">
        <f ca="1">IFERROR(__xludf.DUMMYFUNCTION("""COMPUTED_VALUE"""),610)</f>
        <v>610</v>
      </c>
    </row>
    <row r="234" spans="1:32" ht="12.5" x14ac:dyDescent="0.25">
      <c r="A234" s="1" t="str">
        <f ca="1">IFERROR(__xludf.DUMMYFUNCTION("""COMPUTED_VALUE"""),"North Carolina-Greensboro")</f>
        <v>North Carolina-Greensboro</v>
      </c>
      <c r="B234" s="1">
        <f ca="1">IFERROR(__xludf.DUMMYFUNCTION("""COMPUTED_VALUE"""),36)</f>
        <v>36</v>
      </c>
      <c r="C234" s="1">
        <f ca="1">IFERROR(__xludf.DUMMYFUNCTION("""COMPUTED_VALUE"""),29)</f>
        <v>29</v>
      </c>
      <c r="D234" s="1">
        <f ca="1">IFERROR(__xludf.DUMMYFUNCTION("""COMPUTED_VALUE"""),7)</f>
        <v>7</v>
      </c>
      <c r="E234" s="1">
        <f ca="1">IFERROR(__xludf.DUMMYFUNCTION("""COMPUTED_VALUE"""),0.806)</f>
        <v>0.80600000000000005</v>
      </c>
      <c r="F234" s="1">
        <f ca="1">IFERROR(__xludf.DUMMYFUNCTION("""COMPUTED_VALUE"""),4.08)</f>
        <v>4.08</v>
      </c>
      <c r="G234" s="1">
        <f ca="1">IFERROR(__xludf.DUMMYFUNCTION("""COMPUTED_VALUE"""),-0.9)</f>
        <v>-0.9</v>
      </c>
      <c r="H234" s="1">
        <f ca="1">IFERROR(__xludf.DUMMYFUNCTION("""COMPUTED_VALUE"""),15)</f>
        <v>15</v>
      </c>
      <c r="I234" s="1">
        <f ca="1">IFERROR(__xludf.DUMMYFUNCTION("""COMPUTED_VALUE"""),3)</f>
        <v>3</v>
      </c>
      <c r="J234" s="1">
        <f ca="1">IFERROR(__xludf.DUMMYFUNCTION("""COMPUTED_VALUE"""),15)</f>
        <v>15</v>
      </c>
      <c r="K234" s="1">
        <f ca="1">IFERROR(__xludf.DUMMYFUNCTION("""COMPUTED_VALUE"""),2)</f>
        <v>2</v>
      </c>
      <c r="L234" s="1">
        <f ca="1">IFERROR(__xludf.DUMMYFUNCTION("""COMPUTED_VALUE"""),11)</f>
        <v>11</v>
      </c>
      <c r="M234" s="1">
        <f ca="1">IFERROR(__xludf.DUMMYFUNCTION("""COMPUTED_VALUE"""),4)</f>
        <v>4</v>
      </c>
      <c r="N234" s="1">
        <f ca="1">IFERROR(__xludf.DUMMYFUNCTION("""COMPUTED_VALUE"""),2738)</f>
        <v>2738</v>
      </c>
      <c r="O234" s="1">
        <f ca="1">IFERROR(__xludf.DUMMYFUNCTION("""COMPUTED_VALUE"""),2443)</f>
        <v>2443</v>
      </c>
      <c r="P234" s="1">
        <f ca="1">IFERROR(__xludf.DUMMYFUNCTION("""COMPUTED_VALUE"""),1445)</f>
        <v>1445</v>
      </c>
      <c r="Q234" s="1">
        <f ca="1">IFERROR(__xludf.DUMMYFUNCTION("""COMPUTED_VALUE"""),997)</f>
        <v>997</v>
      </c>
      <c r="R234" s="1">
        <f ca="1">IFERROR(__xludf.DUMMYFUNCTION("""COMPUTED_VALUE"""),2184)</f>
        <v>2184</v>
      </c>
      <c r="S234" s="1">
        <f ca="1">IFERROR(__xludf.DUMMYFUNCTION("""COMPUTED_VALUE"""),0.457)</f>
        <v>0.45700000000000002</v>
      </c>
      <c r="T234" s="1">
        <f ca="1">IFERROR(__xludf.DUMMYFUNCTION("""COMPUTED_VALUE"""),280)</f>
        <v>280</v>
      </c>
      <c r="U234" s="1">
        <f ca="1">IFERROR(__xludf.DUMMYFUNCTION("""COMPUTED_VALUE"""),818)</f>
        <v>818</v>
      </c>
      <c r="V234" s="1">
        <f ca="1">IFERROR(__xludf.DUMMYFUNCTION("""COMPUTED_VALUE"""),0.342)</f>
        <v>0.34200000000000003</v>
      </c>
      <c r="W234" s="1">
        <f ca="1">IFERROR(__xludf.DUMMYFUNCTION("""COMPUTED_VALUE"""),464)</f>
        <v>464</v>
      </c>
      <c r="X234" s="1">
        <f ca="1">IFERROR(__xludf.DUMMYFUNCTION("""COMPUTED_VALUE"""),666)</f>
        <v>666</v>
      </c>
      <c r="Y234" s="1">
        <f ca="1">IFERROR(__xludf.DUMMYFUNCTION("""COMPUTED_VALUE"""),0.697)</f>
        <v>0.69699999999999995</v>
      </c>
      <c r="Z234" s="1">
        <f ca="1">IFERROR(__xludf.DUMMYFUNCTION("""COMPUTED_VALUE"""),399)</f>
        <v>399</v>
      </c>
      <c r="AA234" s="1">
        <f ca="1">IFERROR(__xludf.DUMMYFUNCTION("""COMPUTED_VALUE"""),1251)</f>
        <v>1251</v>
      </c>
      <c r="AB234" s="1">
        <f ca="1">IFERROR(__xludf.DUMMYFUNCTION("""COMPUTED_VALUE"""),453)</f>
        <v>453</v>
      </c>
      <c r="AC234" s="1">
        <f ca="1">IFERROR(__xludf.DUMMYFUNCTION("""COMPUTED_VALUE"""),315)</f>
        <v>315</v>
      </c>
      <c r="AD234" s="1">
        <f ca="1">IFERROR(__xludf.DUMMYFUNCTION("""COMPUTED_VALUE"""),140)</f>
        <v>140</v>
      </c>
      <c r="AE234" s="1">
        <f ca="1">IFERROR(__xludf.DUMMYFUNCTION("""COMPUTED_VALUE"""),423)</f>
        <v>423</v>
      </c>
      <c r="AF234" s="1">
        <f ca="1">IFERROR(__xludf.DUMMYFUNCTION("""COMPUTED_VALUE"""),631)</f>
        <v>631</v>
      </c>
    </row>
    <row r="235" spans="1:32" ht="12.5" x14ac:dyDescent="0.25">
      <c r="A235" s="1" t="str">
        <f ca="1">IFERROR(__xludf.DUMMYFUNCTION("""COMPUTED_VALUE"""),"North Carolina State")</f>
        <v>North Carolina State</v>
      </c>
      <c r="B235" s="1">
        <f ca="1">IFERROR(__xludf.DUMMYFUNCTION("""COMPUTED_VALUE"""),36)</f>
        <v>36</v>
      </c>
      <c r="C235" s="1">
        <f ca="1">IFERROR(__xludf.DUMMYFUNCTION("""COMPUTED_VALUE"""),24)</f>
        <v>24</v>
      </c>
      <c r="D235" s="1">
        <f ca="1">IFERROR(__xludf.DUMMYFUNCTION("""COMPUTED_VALUE"""),12)</f>
        <v>12</v>
      </c>
      <c r="E235" s="1">
        <f ca="1">IFERROR(__xludf.DUMMYFUNCTION("""COMPUTED_VALUE"""),0.667)</f>
        <v>0.66700000000000004</v>
      </c>
      <c r="F235" s="1">
        <f ca="1">IFERROR(__xludf.DUMMYFUNCTION("""COMPUTED_VALUE"""),14.94)</f>
        <v>14.94</v>
      </c>
      <c r="G235" s="1">
        <f ca="1">IFERROR(__xludf.DUMMYFUNCTION("""COMPUTED_VALUE"""),6.22)</f>
        <v>6.22</v>
      </c>
      <c r="H235" s="1">
        <f ca="1">IFERROR(__xludf.DUMMYFUNCTION("""COMPUTED_VALUE"""),9)</f>
        <v>9</v>
      </c>
      <c r="I235" s="1">
        <f ca="1">IFERROR(__xludf.DUMMYFUNCTION("""COMPUTED_VALUE"""),9)</f>
        <v>9</v>
      </c>
      <c r="J235" s="1">
        <f ca="1">IFERROR(__xludf.DUMMYFUNCTION("""COMPUTED_VALUE"""),17)</f>
        <v>17</v>
      </c>
      <c r="K235" s="1">
        <f ca="1">IFERROR(__xludf.DUMMYFUNCTION("""COMPUTED_VALUE"""),5)</f>
        <v>5</v>
      </c>
      <c r="L235" s="1">
        <f ca="1">IFERROR(__xludf.DUMMYFUNCTION("""COMPUTED_VALUE"""),4)</f>
        <v>4</v>
      </c>
      <c r="M235" s="1">
        <f ca="1">IFERROR(__xludf.DUMMYFUNCTION("""COMPUTED_VALUE"""),6)</f>
        <v>6</v>
      </c>
      <c r="N235" s="1">
        <f ca="1">IFERROR(__xludf.DUMMYFUNCTION("""COMPUTED_VALUE"""),2882)</f>
        <v>2882</v>
      </c>
      <c r="O235" s="1">
        <f ca="1">IFERROR(__xludf.DUMMYFUNCTION("""COMPUTED_VALUE"""),2568)</f>
        <v>2568</v>
      </c>
      <c r="P235" s="1">
        <f ca="1">IFERROR(__xludf.DUMMYFUNCTION("""COMPUTED_VALUE"""),1450)</f>
        <v>1450</v>
      </c>
      <c r="Q235" s="1">
        <f ca="1">IFERROR(__xludf.DUMMYFUNCTION("""COMPUTED_VALUE"""),1061)</f>
        <v>1061</v>
      </c>
      <c r="R235" s="1">
        <f ca="1">IFERROR(__xludf.DUMMYFUNCTION("""COMPUTED_VALUE"""),2319)</f>
        <v>2319</v>
      </c>
      <c r="S235" s="1">
        <f ca="1">IFERROR(__xludf.DUMMYFUNCTION("""COMPUTED_VALUE"""),0.458)</f>
        <v>0.45800000000000002</v>
      </c>
      <c r="T235" s="1">
        <f ca="1">IFERROR(__xludf.DUMMYFUNCTION("""COMPUTED_VALUE"""),292)</f>
        <v>292</v>
      </c>
      <c r="U235" s="1">
        <f ca="1">IFERROR(__xludf.DUMMYFUNCTION("""COMPUTED_VALUE"""),830)</f>
        <v>830</v>
      </c>
      <c r="V235" s="1">
        <f ca="1">IFERROR(__xludf.DUMMYFUNCTION("""COMPUTED_VALUE"""),0.352)</f>
        <v>0.35199999999999998</v>
      </c>
      <c r="W235" s="1">
        <f ca="1">IFERROR(__xludf.DUMMYFUNCTION("""COMPUTED_VALUE"""),468)</f>
        <v>468</v>
      </c>
      <c r="X235" s="1">
        <f ca="1">IFERROR(__xludf.DUMMYFUNCTION("""COMPUTED_VALUE"""),661)</f>
        <v>661</v>
      </c>
      <c r="Y235" s="1">
        <f ca="1">IFERROR(__xludf.DUMMYFUNCTION("""COMPUTED_VALUE"""),0.708)</f>
        <v>0.70799999999999996</v>
      </c>
      <c r="Z235" s="1">
        <f ca="1">IFERROR(__xludf.DUMMYFUNCTION("""COMPUTED_VALUE"""),486)</f>
        <v>486</v>
      </c>
      <c r="AA235" s="1">
        <f ca="1">IFERROR(__xludf.DUMMYFUNCTION("""COMPUTED_VALUE"""),1390)</f>
        <v>1390</v>
      </c>
      <c r="AB235" s="1">
        <f ca="1">IFERROR(__xludf.DUMMYFUNCTION("""COMPUTED_VALUE"""),539)</f>
        <v>539</v>
      </c>
      <c r="AC235" s="1">
        <f ca="1">IFERROR(__xludf.DUMMYFUNCTION("""COMPUTED_VALUE"""),257)</f>
        <v>257</v>
      </c>
      <c r="AD235" s="1">
        <f ca="1">IFERROR(__xludf.DUMMYFUNCTION("""COMPUTED_VALUE"""),138)</f>
        <v>138</v>
      </c>
      <c r="AE235" s="1">
        <f ca="1">IFERROR(__xludf.DUMMYFUNCTION("""COMPUTED_VALUE"""),449)</f>
        <v>449</v>
      </c>
      <c r="AF235" s="1">
        <f ca="1">IFERROR(__xludf.DUMMYFUNCTION("""COMPUTED_VALUE"""),691)</f>
        <v>691</v>
      </c>
    </row>
    <row r="236" spans="1:32" ht="12.5" x14ac:dyDescent="0.25">
      <c r="A236" s="1" t="str">
        <f ca="1">IFERROR(__xludf.DUMMYFUNCTION("""COMPUTED_VALUE"""),"North Carolina-Wilmington")</f>
        <v>North Carolina-Wilmington</v>
      </c>
      <c r="B236" s="1">
        <f ca="1">IFERROR(__xludf.DUMMYFUNCTION("""COMPUTED_VALUE"""),33)</f>
        <v>33</v>
      </c>
      <c r="C236" s="1">
        <f ca="1">IFERROR(__xludf.DUMMYFUNCTION("""COMPUTED_VALUE"""),10)</f>
        <v>10</v>
      </c>
      <c r="D236" s="1">
        <f ca="1">IFERROR(__xludf.DUMMYFUNCTION("""COMPUTED_VALUE"""),23)</f>
        <v>23</v>
      </c>
      <c r="E236" s="1">
        <f ca="1">IFERROR(__xludf.DUMMYFUNCTION("""COMPUTED_VALUE"""),0.303)</f>
        <v>0.30299999999999999</v>
      </c>
      <c r="F236" s="1">
        <f ca="1">IFERROR(__xludf.DUMMYFUNCTION("""COMPUTED_VALUE"""),-8.1)</f>
        <v>-8.1</v>
      </c>
      <c r="G236" s="1">
        <f ca="1">IFERROR(__xludf.DUMMYFUNCTION("""COMPUTED_VALUE"""),-2.04)</f>
        <v>-2.04</v>
      </c>
      <c r="H236" s="1">
        <f ca="1">IFERROR(__xludf.DUMMYFUNCTION("""COMPUTED_VALUE"""),5)</f>
        <v>5</v>
      </c>
      <c r="I236" s="1">
        <f ca="1">IFERROR(__xludf.DUMMYFUNCTION("""COMPUTED_VALUE"""),13)</f>
        <v>13</v>
      </c>
      <c r="J236" s="1">
        <f ca="1">IFERROR(__xludf.DUMMYFUNCTION("""COMPUTED_VALUE"""),5)</f>
        <v>5</v>
      </c>
      <c r="K236" s="1">
        <f ca="1">IFERROR(__xludf.DUMMYFUNCTION("""COMPUTED_VALUE"""),9)</f>
        <v>9</v>
      </c>
      <c r="L236" s="1">
        <f ca="1">IFERROR(__xludf.DUMMYFUNCTION("""COMPUTED_VALUE"""),2)</f>
        <v>2</v>
      </c>
      <c r="M236" s="1">
        <f ca="1">IFERROR(__xludf.DUMMYFUNCTION("""COMPUTED_VALUE"""),12)</f>
        <v>12</v>
      </c>
      <c r="N236" s="1">
        <f ca="1">IFERROR(__xludf.DUMMYFUNCTION("""COMPUTED_VALUE"""),2515)</f>
        <v>2515</v>
      </c>
      <c r="O236" s="1">
        <f ca="1">IFERROR(__xludf.DUMMYFUNCTION("""COMPUTED_VALUE"""),2670)</f>
        <v>2670</v>
      </c>
      <c r="P236" s="1">
        <f ca="1">IFERROR(__xludf.DUMMYFUNCTION("""COMPUTED_VALUE"""),1335)</f>
        <v>1335</v>
      </c>
      <c r="Q236" s="1">
        <f ca="1">IFERROR(__xludf.DUMMYFUNCTION("""COMPUTED_VALUE"""),880)</f>
        <v>880</v>
      </c>
      <c r="R236" s="1">
        <f ca="1">IFERROR(__xludf.DUMMYFUNCTION("""COMPUTED_VALUE"""),1986)</f>
        <v>1986</v>
      </c>
      <c r="S236" s="1">
        <f ca="1">IFERROR(__xludf.DUMMYFUNCTION("""COMPUTED_VALUE"""),0.443)</f>
        <v>0.443</v>
      </c>
      <c r="T236" s="1">
        <f ca="1">IFERROR(__xludf.DUMMYFUNCTION("""COMPUTED_VALUE"""),260)</f>
        <v>260</v>
      </c>
      <c r="U236" s="1">
        <f ca="1">IFERROR(__xludf.DUMMYFUNCTION("""COMPUTED_VALUE"""),744)</f>
        <v>744</v>
      </c>
      <c r="V236" s="1">
        <f ca="1">IFERROR(__xludf.DUMMYFUNCTION("""COMPUTED_VALUE"""),0.349)</f>
        <v>0.34899999999999998</v>
      </c>
      <c r="W236" s="1">
        <f ca="1">IFERROR(__xludf.DUMMYFUNCTION("""COMPUTED_VALUE"""),493)</f>
        <v>493</v>
      </c>
      <c r="X236" s="1">
        <f ca="1">IFERROR(__xludf.DUMMYFUNCTION("""COMPUTED_VALUE"""),673)</f>
        <v>673</v>
      </c>
      <c r="Y236" s="1">
        <f ca="1">IFERROR(__xludf.DUMMYFUNCTION("""COMPUTED_VALUE"""),0.733)</f>
        <v>0.73299999999999998</v>
      </c>
      <c r="Z236" s="1">
        <f ca="1">IFERROR(__xludf.DUMMYFUNCTION("""COMPUTED_VALUE"""),387)</f>
        <v>387</v>
      </c>
      <c r="AA236" s="1">
        <f ca="1">IFERROR(__xludf.DUMMYFUNCTION("""COMPUTED_VALUE"""),1221)</f>
        <v>1221</v>
      </c>
      <c r="AB236" s="1">
        <f ca="1">IFERROR(__xludf.DUMMYFUNCTION("""COMPUTED_VALUE"""),495)</f>
        <v>495</v>
      </c>
      <c r="AC236" s="1">
        <f ca="1">IFERROR(__xludf.DUMMYFUNCTION("""COMPUTED_VALUE"""),150)</f>
        <v>150</v>
      </c>
      <c r="AD236" s="1">
        <f ca="1">IFERROR(__xludf.DUMMYFUNCTION("""COMPUTED_VALUE"""),68)</f>
        <v>68</v>
      </c>
      <c r="AE236" s="1">
        <f ca="1">IFERROR(__xludf.DUMMYFUNCTION("""COMPUTED_VALUE"""),436)</f>
        <v>436</v>
      </c>
      <c r="AF236" s="1">
        <f ca="1">IFERROR(__xludf.DUMMYFUNCTION("""COMPUTED_VALUE"""),585)</f>
        <v>585</v>
      </c>
    </row>
    <row r="237" spans="1:32" ht="12.5" x14ac:dyDescent="0.25">
      <c r="A237" s="1" t="str">
        <f ca="1">IFERROR(__xludf.DUMMYFUNCTION("""COMPUTED_VALUE"""),"North Carolina")</f>
        <v>North Carolina</v>
      </c>
      <c r="B237" s="1">
        <f ca="1">IFERROR(__xludf.DUMMYFUNCTION("""COMPUTED_VALUE"""),36)</f>
        <v>36</v>
      </c>
      <c r="C237" s="1">
        <f ca="1">IFERROR(__xludf.DUMMYFUNCTION("""COMPUTED_VALUE"""),29)</f>
        <v>29</v>
      </c>
      <c r="D237" s="1">
        <f ca="1">IFERROR(__xludf.DUMMYFUNCTION("""COMPUTED_VALUE"""),7)</f>
        <v>7</v>
      </c>
      <c r="E237" s="1">
        <f ca="1">IFERROR(__xludf.DUMMYFUNCTION("""COMPUTED_VALUE"""),0.806)</f>
        <v>0.80600000000000005</v>
      </c>
      <c r="F237" s="1">
        <f ca="1">IFERROR(__xludf.DUMMYFUNCTION("""COMPUTED_VALUE"""),23.94)</f>
        <v>23.94</v>
      </c>
      <c r="G237" s="1">
        <f ca="1">IFERROR(__xludf.DUMMYFUNCTION("""COMPUTED_VALUE"""),11.35)</f>
        <v>11.35</v>
      </c>
      <c r="H237" s="1">
        <f ca="1">IFERROR(__xludf.DUMMYFUNCTION("""COMPUTED_VALUE"""),16)</f>
        <v>16</v>
      </c>
      <c r="I237" s="1">
        <f ca="1">IFERROR(__xludf.DUMMYFUNCTION("""COMPUTED_VALUE"""),2)</f>
        <v>2</v>
      </c>
      <c r="J237" s="1">
        <f ca="1">IFERROR(__xludf.DUMMYFUNCTION("""COMPUTED_VALUE"""),14)</f>
        <v>14</v>
      </c>
      <c r="K237" s="1">
        <f ca="1">IFERROR(__xludf.DUMMYFUNCTION("""COMPUTED_VALUE"""),2)</f>
        <v>2</v>
      </c>
      <c r="L237" s="1">
        <f ca="1">IFERROR(__xludf.DUMMYFUNCTION("""COMPUTED_VALUE"""),11)</f>
        <v>11</v>
      </c>
      <c r="M237" s="1">
        <f ca="1">IFERROR(__xludf.DUMMYFUNCTION("""COMPUTED_VALUE"""),1)</f>
        <v>1</v>
      </c>
      <c r="N237" s="1">
        <f ca="1">IFERROR(__xludf.DUMMYFUNCTION("""COMPUTED_VALUE"""),3089)</f>
        <v>3089</v>
      </c>
      <c r="O237" s="1">
        <f ca="1">IFERROR(__xludf.DUMMYFUNCTION("""COMPUTED_VALUE"""),2636)</f>
        <v>2636</v>
      </c>
      <c r="P237" s="1">
        <f ca="1">IFERROR(__xludf.DUMMYFUNCTION("""COMPUTED_VALUE"""),1445)</f>
        <v>1445</v>
      </c>
      <c r="Q237" s="1">
        <f ca="1">IFERROR(__xludf.DUMMYFUNCTION("""COMPUTED_VALUE"""),1118)</f>
        <v>1118</v>
      </c>
      <c r="R237" s="1">
        <f ca="1">IFERROR(__xludf.DUMMYFUNCTION("""COMPUTED_VALUE"""),2410)</f>
        <v>2410</v>
      </c>
      <c r="S237" s="1">
        <f ca="1">IFERROR(__xludf.DUMMYFUNCTION("""COMPUTED_VALUE"""),0.464)</f>
        <v>0.46400000000000002</v>
      </c>
      <c r="T237" s="1">
        <f ca="1">IFERROR(__xludf.DUMMYFUNCTION("""COMPUTED_VALUE"""),312)</f>
        <v>312</v>
      </c>
      <c r="U237" s="1">
        <f ca="1">IFERROR(__xludf.DUMMYFUNCTION("""COMPUTED_VALUE"""),862)</f>
        <v>862</v>
      </c>
      <c r="V237" s="1">
        <f ca="1">IFERROR(__xludf.DUMMYFUNCTION("""COMPUTED_VALUE"""),0.362)</f>
        <v>0.36199999999999999</v>
      </c>
      <c r="W237" s="1">
        <f ca="1">IFERROR(__xludf.DUMMYFUNCTION("""COMPUTED_VALUE"""),541)</f>
        <v>541</v>
      </c>
      <c r="X237" s="1">
        <f ca="1">IFERROR(__xludf.DUMMYFUNCTION("""COMPUTED_VALUE"""),728)</f>
        <v>728</v>
      </c>
      <c r="Y237" s="1">
        <f ca="1">IFERROR(__xludf.DUMMYFUNCTION("""COMPUTED_VALUE"""),0.743)</f>
        <v>0.74299999999999999</v>
      </c>
      <c r="Z237" s="1">
        <f ca="1">IFERROR(__xludf.DUMMYFUNCTION("""COMPUTED_VALUE"""),477)</f>
        <v>477</v>
      </c>
      <c r="AA237" s="1">
        <f ca="1">IFERROR(__xludf.DUMMYFUNCTION("""COMPUTED_VALUE"""),1589)</f>
        <v>1589</v>
      </c>
      <c r="AB237" s="1">
        <f ca="1">IFERROR(__xludf.DUMMYFUNCTION("""COMPUTED_VALUE"""),678)</f>
        <v>678</v>
      </c>
      <c r="AC237" s="1">
        <f ca="1">IFERROR(__xludf.DUMMYFUNCTION("""COMPUTED_VALUE"""),252)</f>
        <v>252</v>
      </c>
      <c r="AD237" s="1">
        <f ca="1">IFERROR(__xludf.DUMMYFUNCTION("""COMPUTED_VALUE"""),120)</f>
        <v>120</v>
      </c>
      <c r="AE237" s="1">
        <f ca="1">IFERROR(__xludf.DUMMYFUNCTION("""COMPUTED_VALUE"""),473)</f>
        <v>473</v>
      </c>
      <c r="AF237" s="1">
        <f ca="1">IFERROR(__xludf.DUMMYFUNCTION("""COMPUTED_VALUE"""),611)</f>
        <v>611</v>
      </c>
    </row>
    <row r="238" spans="1:32" ht="12.5" x14ac:dyDescent="0.25">
      <c r="A238" s="1" t="str">
        <f ca="1">IFERROR(__xludf.DUMMYFUNCTION("""COMPUTED_VALUE"""),"North Dakota State")</f>
        <v>North Dakota State</v>
      </c>
      <c r="B238" s="1">
        <f ca="1">IFERROR(__xludf.DUMMYFUNCTION("""COMPUTED_VALUE"""),35)</f>
        <v>35</v>
      </c>
      <c r="C238" s="1">
        <f ca="1">IFERROR(__xludf.DUMMYFUNCTION("""COMPUTED_VALUE"""),19)</f>
        <v>19</v>
      </c>
      <c r="D238" s="1">
        <f ca="1">IFERROR(__xludf.DUMMYFUNCTION("""COMPUTED_VALUE"""),16)</f>
        <v>16</v>
      </c>
      <c r="E238" s="1">
        <f ca="1">IFERROR(__xludf.DUMMYFUNCTION("""COMPUTED_VALUE"""),0.543)</f>
        <v>0.54300000000000004</v>
      </c>
      <c r="F238" s="1">
        <f ca="1">IFERROR(__xludf.DUMMYFUNCTION("""COMPUTED_VALUE"""),-4.01)</f>
        <v>-4.01</v>
      </c>
      <c r="G238" s="1">
        <f ca="1">IFERROR(__xludf.DUMMYFUNCTION("""COMPUTED_VALUE"""),-2.07)</f>
        <v>-2.0699999999999998</v>
      </c>
      <c r="H238" s="1">
        <f ca="1">IFERROR(__xludf.DUMMYFUNCTION("""COMPUTED_VALUE"""),9)</f>
        <v>9</v>
      </c>
      <c r="I238" s="1">
        <f ca="1">IFERROR(__xludf.DUMMYFUNCTION("""COMPUTED_VALUE"""),7)</f>
        <v>7</v>
      </c>
      <c r="J238" s="1">
        <f ca="1">IFERROR(__xludf.DUMMYFUNCTION("""COMPUTED_VALUE"""),10)</f>
        <v>10</v>
      </c>
      <c r="K238" s="1">
        <f ca="1">IFERROR(__xludf.DUMMYFUNCTION("""COMPUTED_VALUE"""),3)</f>
        <v>3</v>
      </c>
      <c r="L238" s="1">
        <f ca="1">IFERROR(__xludf.DUMMYFUNCTION("""COMPUTED_VALUE"""),4)</f>
        <v>4</v>
      </c>
      <c r="M238" s="1">
        <f ca="1">IFERROR(__xludf.DUMMYFUNCTION("""COMPUTED_VALUE"""),9)</f>
        <v>9</v>
      </c>
      <c r="N238" s="1">
        <f ca="1">IFERROR(__xludf.DUMMYFUNCTION("""COMPUTED_VALUE"""),2556)</f>
        <v>2556</v>
      </c>
      <c r="O238" s="1">
        <f ca="1">IFERROR(__xludf.DUMMYFUNCTION("""COMPUTED_VALUE"""),2541)</f>
        <v>2541</v>
      </c>
      <c r="P238" s="1">
        <f ca="1">IFERROR(__xludf.DUMMYFUNCTION("""COMPUTED_VALUE"""),1410)</f>
        <v>1410</v>
      </c>
      <c r="Q238" s="1">
        <f ca="1">IFERROR(__xludf.DUMMYFUNCTION("""COMPUTED_VALUE"""),874)</f>
        <v>874</v>
      </c>
      <c r="R238" s="1">
        <f ca="1">IFERROR(__xludf.DUMMYFUNCTION("""COMPUTED_VALUE"""),1926)</f>
        <v>1926</v>
      </c>
      <c r="S238" s="1">
        <f ca="1">IFERROR(__xludf.DUMMYFUNCTION("""COMPUTED_VALUE"""),0.454)</f>
        <v>0.45400000000000001</v>
      </c>
      <c r="T238" s="1">
        <f ca="1">IFERROR(__xludf.DUMMYFUNCTION("""COMPUTED_VALUE"""),332)</f>
        <v>332</v>
      </c>
      <c r="U238" s="1">
        <f ca="1">IFERROR(__xludf.DUMMYFUNCTION("""COMPUTED_VALUE"""),910)</f>
        <v>910</v>
      </c>
      <c r="V238" s="1">
        <f ca="1">IFERROR(__xludf.DUMMYFUNCTION("""COMPUTED_VALUE"""),0.365)</f>
        <v>0.36499999999999999</v>
      </c>
      <c r="W238" s="1">
        <f ca="1">IFERROR(__xludf.DUMMYFUNCTION("""COMPUTED_VALUE"""),476)</f>
        <v>476</v>
      </c>
      <c r="X238" s="1">
        <f ca="1">IFERROR(__xludf.DUMMYFUNCTION("""COMPUTED_VALUE"""),613)</f>
        <v>613</v>
      </c>
      <c r="Y238" s="1">
        <f ca="1">IFERROR(__xludf.DUMMYFUNCTION("""COMPUTED_VALUE"""),0.777)</f>
        <v>0.77700000000000002</v>
      </c>
      <c r="Z238" s="1">
        <f ca="1">IFERROR(__xludf.DUMMYFUNCTION("""COMPUTED_VALUE"""),229)</f>
        <v>229</v>
      </c>
      <c r="AA238" s="1">
        <f ca="1">IFERROR(__xludf.DUMMYFUNCTION("""COMPUTED_VALUE"""),1105)</f>
        <v>1105</v>
      </c>
      <c r="AB238" s="1">
        <f ca="1">IFERROR(__xludf.DUMMYFUNCTION("""COMPUTED_VALUE"""),402)</f>
        <v>402</v>
      </c>
      <c r="AC238" s="1">
        <f ca="1">IFERROR(__xludf.DUMMYFUNCTION("""COMPUTED_VALUE"""),160)</f>
        <v>160</v>
      </c>
      <c r="AD238" s="1">
        <f ca="1">IFERROR(__xludf.DUMMYFUNCTION("""COMPUTED_VALUE"""),87)</f>
        <v>87</v>
      </c>
      <c r="AE238" s="1">
        <f ca="1">IFERROR(__xludf.DUMMYFUNCTION("""COMPUTED_VALUE"""),368)</f>
        <v>368</v>
      </c>
      <c r="AF238" s="1">
        <f ca="1">IFERROR(__xludf.DUMMYFUNCTION("""COMPUTED_VALUE"""),523)</f>
        <v>523</v>
      </c>
    </row>
    <row r="239" spans="1:32" ht="12.5" x14ac:dyDescent="0.25">
      <c r="A239" s="1" t="str">
        <f ca="1">IFERROR(__xludf.DUMMYFUNCTION("""COMPUTED_VALUE"""),"North Dakota")</f>
        <v>North Dakota</v>
      </c>
      <c r="B239" s="1">
        <f ca="1">IFERROR(__xludf.DUMMYFUNCTION("""COMPUTED_VALUE"""),30)</f>
        <v>30</v>
      </c>
      <c r="C239" s="1">
        <f ca="1">IFERROR(__xludf.DUMMYFUNCTION("""COMPUTED_VALUE"""),12)</f>
        <v>12</v>
      </c>
      <c r="D239" s="1">
        <f ca="1">IFERROR(__xludf.DUMMYFUNCTION("""COMPUTED_VALUE"""),18)</f>
        <v>18</v>
      </c>
      <c r="E239" s="1">
        <f ca="1">IFERROR(__xludf.DUMMYFUNCTION("""COMPUTED_VALUE"""),0.4)</f>
        <v>0.4</v>
      </c>
      <c r="F239" s="1">
        <f ca="1">IFERROR(__xludf.DUMMYFUNCTION("""COMPUTED_VALUE"""),-8.78)</f>
        <v>-8.7799999999999994</v>
      </c>
      <c r="G239" s="1">
        <f ca="1">IFERROR(__xludf.DUMMYFUNCTION("""COMPUTED_VALUE"""),-3.55)</f>
        <v>-3.55</v>
      </c>
      <c r="H239" s="1">
        <f ca="1">IFERROR(__xludf.DUMMYFUNCTION("""COMPUTED_VALUE"""),6)</f>
        <v>6</v>
      </c>
      <c r="I239" s="1">
        <f ca="1">IFERROR(__xludf.DUMMYFUNCTION("""COMPUTED_VALUE"""),10)</f>
        <v>10</v>
      </c>
      <c r="J239" s="1">
        <f ca="1">IFERROR(__xludf.DUMMYFUNCTION("""COMPUTED_VALUE"""),8)</f>
        <v>8</v>
      </c>
      <c r="K239" s="1">
        <f ca="1">IFERROR(__xludf.DUMMYFUNCTION("""COMPUTED_VALUE"""),6)</f>
        <v>6</v>
      </c>
      <c r="L239" s="1">
        <f ca="1">IFERROR(__xludf.DUMMYFUNCTION("""COMPUTED_VALUE"""),4)</f>
        <v>4</v>
      </c>
      <c r="M239" s="1">
        <f ca="1">IFERROR(__xludf.DUMMYFUNCTION("""COMPUTED_VALUE"""),11)</f>
        <v>11</v>
      </c>
      <c r="N239" s="1">
        <f ca="1">IFERROR(__xludf.DUMMYFUNCTION("""COMPUTED_VALUE"""),2220)</f>
        <v>2220</v>
      </c>
      <c r="O239" s="1">
        <f ca="1">IFERROR(__xludf.DUMMYFUNCTION("""COMPUTED_VALUE"""),2196)</f>
        <v>2196</v>
      </c>
      <c r="P239" s="1">
        <f ca="1">IFERROR(__xludf.DUMMYFUNCTION("""COMPUTED_VALUE"""),1200)</f>
        <v>1200</v>
      </c>
      <c r="Q239" s="1">
        <f ca="1">IFERROR(__xludf.DUMMYFUNCTION("""COMPUTED_VALUE"""),822)</f>
        <v>822</v>
      </c>
      <c r="R239" s="1">
        <f ca="1">IFERROR(__xludf.DUMMYFUNCTION("""COMPUTED_VALUE"""),1771)</f>
        <v>1771</v>
      </c>
      <c r="S239" s="1">
        <f ca="1">IFERROR(__xludf.DUMMYFUNCTION("""COMPUTED_VALUE"""),0.464)</f>
        <v>0.46400000000000002</v>
      </c>
      <c r="T239" s="1">
        <f ca="1">IFERROR(__xludf.DUMMYFUNCTION("""COMPUTED_VALUE"""),241)</f>
        <v>241</v>
      </c>
      <c r="U239" s="1">
        <f ca="1">IFERROR(__xludf.DUMMYFUNCTION("""COMPUTED_VALUE"""),647)</f>
        <v>647</v>
      </c>
      <c r="V239" s="1">
        <f ca="1">IFERROR(__xludf.DUMMYFUNCTION("""COMPUTED_VALUE"""),0.372)</f>
        <v>0.372</v>
      </c>
      <c r="W239" s="1">
        <f ca="1">IFERROR(__xludf.DUMMYFUNCTION("""COMPUTED_VALUE"""),335)</f>
        <v>335</v>
      </c>
      <c r="X239" s="1">
        <f ca="1">IFERROR(__xludf.DUMMYFUNCTION("""COMPUTED_VALUE"""),482)</f>
        <v>482</v>
      </c>
      <c r="Y239" s="1">
        <f ca="1">IFERROR(__xludf.DUMMYFUNCTION("""COMPUTED_VALUE"""),0.695)</f>
        <v>0.69499999999999995</v>
      </c>
      <c r="Z239" s="1">
        <f ca="1">IFERROR(__xludf.DUMMYFUNCTION("""COMPUTED_VALUE"""),233)</f>
        <v>233</v>
      </c>
      <c r="AA239" s="1">
        <f ca="1">IFERROR(__xludf.DUMMYFUNCTION("""COMPUTED_VALUE"""),1009)</f>
        <v>1009</v>
      </c>
      <c r="AB239" s="1">
        <f ca="1">IFERROR(__xludf.DUMMYFUNCTION("""COMPUTED_VALUE"""),398)</f>
        <v>398</v>
      </c>
      <c r="AC239" s="1">
        <f ca="1">IFERROR(__xludf.DUMMYFUNCTION("""COMPUTED_VALUE"""),171)</f>
        <v>171</v>
      </c>
      <c r="AD239" s="1">
        <f ca="1">IFERROR(__xludf.DUMMYFUNCTION("""COMPUTED_VALUE"""),87)</f>
        <v>87</v>
      </c>
      <c r="AE239" s="1">
        <f ca="1">IFERROR(__xludf.DUMMYFUNCTION("""COMPUTED_VALUE"""),380)</f>
        <v>380</v>
      </c>
      <c r="AF239" s="1">
        <f ca="1">IFERROR(__xludf.DUMMYFUNCTION("""COMPUTED_VALUE"""),485)</f>
        <v>485</v>
      </c>
    </row>
    <row r="240" spans="1:32" ht="12.5" x14ac:dyDescent="0.25">
      <c r="A240" s="1" t="str">
        <f ca="1">IFERROR(__xludf.DUMMYFUNCTION("""COMPUTED_VALUE"""),"North Florida")</f>
        <v>North Florida</v>
      </c>
      <c r="B240" s="1">
        <f ca="1">IFERROR(__xludf.DUMMYFUNCTION("""COMPUTED_VALUE"""),33)</f>
        <v>33</v>
      </c>
      <c r="C240" s="1">
        <f ca="1">IFERROR(__xludf.DUMMYFUNCTION("""COMPUTED_VALUE"""),16)</f>
        <v>16</v>
      </c>
      <c r="D240" s="1">
        <f ca="1">IFERROR(__xludf.DUMMYFUNCTION("""COMPUTED_VALUE"""),17)</f>
        <v>17</v>
      </c>
      <c r="E240" s="1">
        <f ca="1">IFERROR(__xludf.DUMMYFUNCTION("""COMPUTED_VALUE"""),0.485)</f>
        <v>0.48499999999999999</v>
      </c>
      <c r="F240" s="1">
        <f ca="1">IFERROR(__xludf.DUMMYFUNCTION("""COMPUTED_VALUE"""),-3.47)</f>
        <v>-3.47</v>
      </c>
      <c r="G240" s="1">
        <f ca="1">IFERROR(__xludf.DUMMYFUNCTION("""COMPUTED_VALUE"""),-0.7)</f>
        <v>-0.7</v>
      </c>
      <c r="H240" s="1">
        <f ca="1">IFERROR(__xludf.DUMMYFUNCTION("""COMPUTED_VALUE"""),9)</f>
        <v>9</v>
      </c>
      <c r="I240" s="1">
        <f ca="1">IFERROR(__xludf.DUMMYFUNCTION("""COMPUTED_VALUE"""),7)</f>
        <v>7</v>
      </c>
      <c r="J240" s="1">
        <f ca="1">IFERROR(__xludf.DUMMYFUNCTION("""COMPUTED_VALUE"""),10)</f>
        <v>10</v>
      </c>
      <c r="K240" s="1">
        <f ca="1">IFERROR(__xludf.DUMMYFUNCTION("""COMPUTED_VALUE"""),3)</f>
        <v>3</v>
      </c>
      <c r="L240" s="1">
        <f ca="1">IFERROR(__xludf.DUMMYFUNCTION("""COMPUTED_VALUE"""),5)</f>
        <v>5</v>
      </c>
      <c r="M240" s="1">
        <f ca="1">IFERROR(__xludf.DUMMYFUNCTION("""COMPUTED_VALUE"""),13)</f>
        <v>13</v>
      </c>
      <c r="N240" s="1">
        <f ca="1">IFERROR(__xludf.DUMMYFUNCTION("""COMPUTED_VALUE"""),2485)</f>
        <v>2485</v>
      </c>
      <c r="O240" s="1">
        <f ca="1">IFERROR(__xludf.DUMMYFUNCTION("""COMPUTED_VALUE"""),2531)</f>
        <v>2531</v>
      </c>
      <c r="P240" s="1">
        <f ca="1">IFERROR(__xludf.DUMMYFUNCTION("""COMPUTED_VALUE"""),1325)</f>
        <v>1325</v>
      </c>
      <c r="Q240" s="1">
        <f ca="1">IFERROR(__xludf.DUMMYFUNCTION("""COMPUTED_VALUE"""),902)</f>
        <v>902</v>
      </c>
      <c r="R240" s="1">
        <f ca="1">IFERROR(__xludf.DUMMYFUNCTION("""COMPUTED_VALUE"""),2014)</f>
        <v>2014</v>
      </c>
      <c r="S240" s="1">
        <f ca="1">IFERROR(__xludf.DUMMYFUNCTION("""COMPUTED_VALUE"""),0.448)</f>
        <v>0.44800000000000001</v>
      </c>
      <c r="T240" s="1">
        <f ca="1">IFERROR(__xludf.DUMMYFUNCTION("""COMPUTED_VALUE"""),308)</f>
        <v>308</v>
      </c>
      <c r="U240" s="1">
        <f ca="1">IFERROR(__xludf.DUMMYFUNCTION("""COMPUTED_VALUE"""),897)</f>
        <v>897</v>
      </c>
      <c r="V240" s="1">
        <f ca="1">IFERROR(__xludf.DUMMYFUNCTION("""COMPUTED_VALUE"""),0.343)</f>
        <v>0.34300000000000003</v>
      </c>
      <c r="W240" s="1">
        <f ca="1">IFERROR(__xludf.DUMMYFUNCTION("""COMPUTED_VALUE"""),373)</f>
        <v>373</v>
      </c>
      <c r="X240" s="1">
        <f ca="1">IFERROR(__xludf.DUMMYFUNCTION("""COMPUTED_VALUE"""),539)</f>
        <v>539</v>
      </c>
      <c r="Y240" s="1">
        <f ca="1">IFERROR(__xludf.DUMMYFUNCTION("""COMPUTED_VALUE"""),0.692)</f>
        <v>0.69199999999999995</v>
      </c>
      <c r="Z240" s="1">
        <f ca="1">IFERROR(__xludf.DUMMYFUNCTION("""COMPUTED_VALUE"""),363)</f>
        <v>363</v>
      </c>
      <c r="AA240" s="1">
        <f ca="1">IFERROR(__xludf.DUMMYFUNCTION("""COMPUTED_VALUE"""),1252)</f>
        <v>1252</v>
      </c>
      <c r="AB240" s="1">
        <f ca="1">IFERROR(__xludf.DUMMYFUNCTION("""COMPUTED_VALUE"""),520)</f>
        <v>520</v>
      </c>
      <c r="AC240" s="1">
        <f ca="1">IFERROR(__xludf.DUMMYFUNCTION("""COMPUTED_VALUE"""),212)</f>
        <v>212</v>
      </c>
      <c r="AD240" s="1">
        <f ca="1">IFERROR(__xludf.DUMMYFUNCTION("""COMPUTED_VALUE"""),165)</f>
        <v>165</v>
      </c>
      <c r="AE240" s="1">
        <f ca="1">IFERROR(__xludf.DUMMYFUNCTION("""COMPUTED_VALUE"""),536)</f>
        <v>536</v>
      </c>
      <c r="AF240" s="1">
        <f ca="1">IFERROR(__xludf.DUMMYFUNCTION("""COMPUTED_VALUE"""),573)</f>
        <v>573</v>
      </c>
    </row>
    <row r="241" spans="1:32" ht="12.5" x14ac:dyDescent="0.25">
      <c r="A241" s="1" t="str">
        <f ca="1">IFERROR(__xludf.DUMMYFUNCTION("""COMPUTED_VALUE"""),"North Texas")</f>
        <v>North Texas</v>
      </c>
      <c r="B241" s="1">
        <f ca="1">IFERROR(__xludf.DUMMYFUNCTION("""COMPUTED_VALUE"""),33)</f>
        <v>33</v>
      </c>
      <c r="C241" s="1">
        <f ca="1">IFERROR(__xludf.DUMMYFUNCTION("""COMPUTED_VALUE"""),21)</f>
        <v>21</v>
      </c>
      <c r="D241" s="1">
        <f ca="1">IFERROR(__xludf.DUMMYFUNCTION("""COMPUTED_VALUE"""),12)</f>
        <v>12</v>
      </c>
      <c r="E241" s="1">
        <f ca="1">IFERROR(__xludf.DUMMYFUNCTION("""COMPUTED_VALUE"""),0.636)</f>
        <v>0.63600000000000001</v>
      </c>
      <c r="F241" s="1">
        <f ca="1">IFERROR(__xludf.DUMMYFUNCTION("""COMPUTED_VALUE"""),-0.25)</f>
        <v>-0.25</v>
      </c>
      <c r="G241" s="1">
        <f ca="1">IFERROR(__xludf.DUMMYFUNCTION("""COMPUTED_VALUE"""),-3.48)</f>
        <v>-3.48</v>
      </c>
      <c r="H241" s="1">
        <f ca="1">IFERROR(__xludf.DUMMYFUNCTION("""COMPUTED_VALUE"""),8)</f>
        <v>8</v>
      </c>
      <c r="I241" s="1">
        <f ca="1">IFERROR(__xludf.DUMMYFUNCTION("""COMPUTED_VALUE"""),10)</f>
        <v>10</v>
      </c>
      <c r="J241" s="1">
        <f ca="1">IFERROR(__xludf.DUMMYFUNCTION("""COMPUTED_VALUE"""),12)</f>
        <v>12</v>
      </c>
      <c r="K241" s="1">
        <f ca="1">IFERROR(__xludf.DUMMYFUNCTION("""COMPUTED_VALUE"""),4)</f>
        <v>4</v>
      </c>
      <c r="L241" s="1">
        <f ca="1">IFERROR(__xludf.DUMMYFUNCTION("""COMPUTED_VALUE"""),6)</f>
        <v>6</v>
      </c>
      <c r="M241" s="1">
        <f ca="1">IFERROR(__xludf.DUMMYFUNCTION("""COMPUTED_VALUE"""),7)</f>
        <v>7</v>
      </c>
      <c r="N241" s="1">
        <f ca="1">IFERROR(__xludf.DUMMYFUNCTION("""COMPUTED_VALUE"""),2302)</f>
        <v>2302</v>
      </c>
      <c r="O241" s="1">
        <f ca="1">IFERROR(__xludf.DUMMYFUNCTION("""COMPUTED_VALUE"""),2077)</f>
        <v>2077</v>
      </c>
      <c r="P241" s="1">
        <f ca="1">IFERROR(__xludf.DUMMYFUNCTION("""COMPUTED_VALUE"""),1325)</f>
        <v>1325</v>
      </c>
      <c r="Q241" s="1">
        <f ca="1">IFERROR(__xludf.DUMMYFUNCTION("""COMPUTED_VALUE"""),831)</f>
        <v>831</v>
      </c>
      <c r="R241" s="1">
        <f ca="1">IFERROR(__xludf.DUMMYFUNCTION("""COMPUTED_VALUE"""),1910)</f>
        <v>1910</v>
      </c>
      <c r="S241" s="1">
        <f ca="1">IFERROR(__xludf.DUMMYFUNCTION("""COMPUTED_VALUE"""),0.435)</f>
        <v>0.435</v>
      </c>
      <c r="T241" s="1">
        <f ca="1">IFERROR(__xludf.DUMMYFUNCTION("""COMPUTED_VALUE"""),284)</f>
        <v>284</v>
      </c>
      <c r="U241" s="1">
        <f ca="1">IFERROR(__xludf.DUMMYFUNCTION("""COMPUTED_VALUE"""),838)</f>
        <v>838</v>
      </c>
      <c r="V241" s="1">
        <f ca="1">IFERROR(__xludf.DUMMYFUNCTION("""COMPUTED_VALUE"""),0.339)</f>
        <v>0.33900000000000002</v>
      </c>
      <c r="W241" s="1">
        <f ca="1">IFERROR(__xludf.DUMMYFUNCTION("""COMPUTED_VALUE"""),356)</f>
        <v>356</v>
      </c>
      <c r="X241" s="1">
        <f ca="1">IFERROR(__xludf.DUMMYFUNCTION("""COMPUTED_VALUE"""),532)</f>
        <v>532</v>
      </c>
      <c r="Y241" s="1">
        <f ca="1">IFERROR(__xludf.DUMMYFUNCTION("""COMPUTED_VALUE"""),0.669)</f>
        <v>0.66900000000000004</v>
      </c>
      <c r="Z241" s="1">
        <f ca="1">IFERROR(__xludf.DUMMYFUNCTION("""COMPUTED_VALUE"""),368)</f>
        <v>368</v>
      </c>
      <c r="AA241" s="1">
        <f ca="1">IFERROR(__xludf.DUMMYFUNCTION("""COMPUTED_VALUE"""),1244)</f>
        <v>1244</v>
      </c>
      <c r="AB241" s="1">
        <f ca="1">IFERROR(__xludf.DUMMYFUNCTION("""COMPUTED_VALUE"""),428)</f>
        <v>428</v>
      </c>
      <c r="AC241" s="1">
        <f ca="1">IFERROR(__xludf.DUMMYFUNCTION("""COMPUTED_VALUE"""),210)</f>
        <v>210</v>
      </c>
      <c r="AD241" s="1">
        <f ca="1">IFERROR(__xludf.DUMMYFUNCTION("""COMPUTED_VALUE"""),88)</f>
        <v>88</v>
      </c>
      <c r="AE241" s="1">
        <f ca="1">IFERROR(__xludf.DUMMYFUNCTION("""COMPUTED_VALUE"""),443)</f>
        <v>443</v>
      </c>
      <c r="AF241" s="1">
        <f ca="1">IFERROR(__xludf.DUMMYFUNCTION("""COMPUTED_VALUE"""),589)</f>
        <v>589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IFERROR(__xludf.DUMMYFUNCTION("""COMPUTED_VALUE"""),"Northeastern")</f>
        <v>Northeastern</v>
      </c>
      <c r="B244" s="1">
        <f ca="1">IFERROR(__xludf.DUMMYFUNCTION("""COMPUTED_VALUE"""),34)</f>
        <v>34</v>
      </c>
      <c r="C244" s="1">
        <f ca="1">IFERROR(__xludf.DUMMYFUNCTION("""COMPUTED_VALUE"""),23)</f>
        <v>23</v>
      </c>
      <c r="D244" s="1">
        <f ca="1">IFERROR(__xludf.DUMMYFUNCTION("""COMPUTED_VALUE"""),11)</f>
        <v>11</v>
      </c>
      <c r="E244" s="1">
        <f ca="1">IFERROR(__xludf.DUMMYFUNCTION("""COMPUTED_VALUE"""),0.676)</f>
        <v>0.67600000000000005</v>
      </c>
      <c r="F244" s="1">
        <f ca="1">IFERROR(__xludf.DUMMYFUNCTION("""COMPUTED_VALUE"""),3.95)</f>
        <v>3.95</v>
      </c>
      <c r="G244" s="1">
        <f ca="1">IFERROR(__xludf.DUMMYFUNCTION("""COMPUTED_VALUE"""),-0.7)</f>
        <v>-0.7</v>
      </c>
      <c r="H244" s="1">
        <f ca="1">IFERROR(__xludf.DUMMYFUNCTION("""COMPUTED_VALUE"""),14)</f>
        <v>14</v>
      </c>
      <c r="I244" s="1">
        <f ca="1">IFERROR(__xludf.DUMMYFUNCTION("""COMPUTED_VALUE"""),4)</f>
        <v>4</v>
      </c>
      <c r="J244" s="1">
        <f ca="1">IFERROR(__xludf.DUMMYFUNCTION("""COMPUTED_VALUE"""),11)</f>
        <v>11</v>
      </c>
      <c r="K244" s="1">
        <f ca="1">IFERROR(__xludf.DUMMYFUNCTION("""COMPUTED_VALUE"""),2)</f>
        <v>2</v>
      </c>
      <c r="L244" s="1">
        <f ca="1">IFERROR(__xludf.DUMMYFUNCTION("""COMPUTED_VALUE"""),8)</f>
        <v>8</v>
      </c>
      <c r="M244" s="1">
        <f ca="1">IFERROR(__xludf.DUMMYFUNCTION("""COMPUTED_VALUE"""),6)</f>
        <v>6</v>
      </c>
      <c r="N244" s="1">
        <f ca="1">IFERROR(__xludf.DUMMYFUNCTION("""COMPUTED_VALUE"""),2564)</f>
        <v>2564</v>
      </c>
      <c r="O244" s="1">
        <f ca="1">IFERROR(__xludf.DUMMYFUNCTION("""COMPUTED_VALUE"""),2406)</f>
        <v>2406</v>
      </c>
      <c r="P244" s="1">
        <f ca="1">IFERROR(__xludf.DUMMYFUNCTION("""COMPUTED_VALUE"""),1385)</f>
        <v>1385</v>
      </c>
      <c r="Q244" s="1">
        <f ca="1">IFERROR(__xludf.DUMMYFUNCTION("""COMPUTED_VALUE"""),880)</f>
        <v>880</v>
      </c>
      <c r="R244" s="1">
        <f ca="1">IFERROR(__xludf.DUMMYFUNCTION("""COMPUTED_VALUE"""),1848)</f>
        <v>1848</v>
      </c>
      <c r="S244" s="1">
        <f ca="1">IFERROR(__xludf.DUMMYFUNCTION("""COMPUTED_VALUE"""),0.476)</f>
        <v>0.47599999999999998</v>
      </c>
      <c r="T244" s="1">
        <f ca="1">IFERROR(__xludf.DUMMYFUNCTION("""COMPUTED_VALUE"""),328)</f>
        <v>328</v>
      </c>
      <c r="U244" s="1">
        <f ca="1">IFERROR(__xludf.DUMMYFUNCTION("""COMPUTED_VALUE"""),858)</f>
        <v>858</v>
      </c>
      <c r="V244" s="1">
        <f ca="1">IFERROR(__xludf.DUMMYFUNCTION("""COMPUTED_VALUE"""),0.382)</f>
        <v>0.38200000000000001</v>
      </c>
      <c r="W244" s="1">
        <f ca="1">IFERROR(__xludf.DUMMYFUNCTION("""COMPUTED_VALUE"""),476)</f>
        <v>476</v>
      </c>
      <c r="X244" s="1">
        <f ca="1">IFERROR(__xludf.DUMMYFUNCTION("""COMPUTED_VALUE"""),634)</f>
        <v>634</v>
      </c>
      <c r="Y244" s="1">
        <f ca="1">IFERROR(__xludf.DUMMYFUNCTION("""COMPUTED_VALUE"""),0.751)</f>
        <v>0.751</v>
      </c>
      <c r="Z244" s="1">
        <f ca="1">IFERROR(__xludf.DUMMYFUNCTION("""COMPUTED_VALUE"""),237)</f>
        <v>237</v>
      </c>
      <c r="AA244" s="1">
        <f ca="1">IFERROR(__xludf.DUMMYFUNCTION("""COMPUTED_VALUE"""),1075)</f>
        <v>1075</v>
      </c>
      <c r="AB244" s="1">
        <f ca="1">IFERROR(__xludf.DUMMYFUNCTION("""COMPUTED_VALUE"""),480)</f>
        <v>480</v>
      </c>
      <c r="AC244" s="1">
        <f ca="1">IFERROR(__xludf.DUMMYFUNCTION("""COMPUTED_VALUE"""),211)</f>
        <v>211</v>
      </c>
      <c r="AD244" s="1">
        <f ca="1">IFERROR(__xludf.DUMMYFUNCTION("""COMPUTED_VALUE"""),74)</f>
        <v>74</v>
      </c>
      <c r="AE244" s="1">
        <f ca="1">IFERROR(__xludf.DUMMYFUNCTION("""COMPUTED_VALUE"""),381)</f>
        <v>381</v>
      </c>
      <c r="AF244" s="1">
        <f ca="1">IFERROR(__xludf.DUMMYFUNCTION("""COMPUTED_VALUE"""),539)</f>
        <v>539</v>
      </c>
    </row>
    <row r="245" spans="1:32" ht="12.5" x14ac:dyDescent="0.25">
      <c r="A245" s="1" t="str">
        <f ca="1">IFERROR(__xludf.DUMMYFUNCTION("""COMPUTED_VALUE"""),"Northern Arizona")</f>
        <v>Northern Arizona</v>
      </c>
      <c r="B245" s="1">
        <f ca="1">IFERROR(__xludf.DUMMYFUNCTION("""COMPUTED_VALUE"""),31)</f>
        <v>31</v>
      </c>
      <c r="C245" s="1">
        <f ca="1">IFERROR(__xludf.DUMMYFUNCTION("""COMPUTED_VALUE"""),10)</f>
        <v>10</v>
      </c>
      <c r="D245" s="1">
        <f ca="1">IFERROR(__xludf.DUMMYFUNCTION("""COMPUTED_VALUE"""),21)</f>
        <v>21</v>
      </c>
      <c r="E245" s="1">
        <f ca="1">IFERROR(__xludf.DUMMYFUNCTION("""COMPUTED_VALUE"""),0.323)</f>
        <v>0.32300000000000001</v>
      </c>
      <c r="F245" s="1">
        <f ca="1">IFERROR(__xludf.DUMMYFUNCTION("""COMPUTED_VALUE"""),-10.75)</f>
        <v>-10.75</v>
      </c>
      <c r="G245" s="1">
        <f ca="1">IFERROR(__xludf.DUMMYFUNCTION("""COMPUTED_VALUE"""),-6.23)</f>
        <v>-6.23</v>
      </c>
      <c r="H245" s="1">
        <f ca="1">IFERROR(__xludf.DUMMYFUNCTION("""COMPUTED_VALUE"""),8)</f>
        <v>8</v>
      </c>
      <c r="I245" s="1">
        <f ca="1">IFERROR(__xludf.DUMMYFUNCTION("""COMPUTED_VALUE"""),12)</f>
        <v>12</v>
      </c>
      <c r="J245" s="1">
        <f ca="1">IFERROR(__xludf.DUMMYFUNCTION("""COMPUTED_VALUE"""),5)</f>
        <v>5</v>
      </c>
      <c r="K245" s="1">
        <f ca="1">IFERROR(__xludf.DUMMYFUNCTION("""COMPUTED_VALUE"""),7)</f>
        <v>7</v>
      </c>
      <c r="L245" s="1">
        <f ca="1">IFERROR(__xludf.DUMMYFUNCTION("""COMPUTED_VALUE"""),5)</f>
        <v>5</v>
      </c>
      <c r="M245" s="1">
        <f ca="1">IFERROR(__xludf.DUMMYFUNCTION("""COMPUTED_VALUE"""),13)</f>
        <v>13</v>
      </c>
      <c r="N245" s="1">
        <f ca="1">IFERROR(__xludf.DUMMYFUNCTION("""COMPUTED_VALUE"""),2262)</f>
        <v>2262</v>
      </c>
      <c r="O245" s="1">
        <f ca="1">IFERROR(__xludf.DUMMYFUNCTION("""COMPUTED_VALUE"""),2402)</f>
        <v>2402</v>
      </c>
      <c r="P245" s="1">
        <f ca="1">IFERROR(__xludf.DUMMYFUNCTION("""COMPUTED_VALUE"""),1250)</f>
        <v>1250</v>
      </c>
      <c r="Q245" s="1">
        <f ca="1">IFERROR(__xludf.DUMMYFUNCTION("""COMPUTED_VALUE"""),785)</f>
        <v>785</v>
      </c>
      <c r="R245" s="1">
        <f ca="1">IFERROR(__xludf.DUMMYFUNCTION("""COMPUTED_VALUE"""),1819)</f>
        <v>1819</v>
      </c>
      <c r="S245" s="1">
        <f ca="1">IFERROR(__xludf.DUMMYFUNCTION("""COMPUTED_VALUE"""),0.432)</f>
        <v>0.432</v>
      </c>
      <c r="T245" s="1">
        <f ca="1">IFERROR(__xludf.DUMMYFUNCTION("""COMPUTED_VALUE"""),259)</f>
        <v>259</v>
      </c>
      <c r="U245" s="1">
        <f ca="1">IFERROR(__xludf.DUMMYFUNCTION("""COMPUTED_VALUE"""),749)</f>
        <v>749</v>
      </c>
      <c r="V245" s="1">
        <f ca="1">IFERROR(__xludf.DUMMYFUNCTION("""COMPUTED_VALUE"""),0.346)</f>
        <v>0.34599999999999997</v>
      </c>
      <c r="W245" s="1">
        <f ca="1">IFERROR(__xludf.DUMMYFUNCTION("""COMPUTED_VALUE"""),433)</f>
        <v>433</v>
      </c>
      <c r="X245" s="1">
        <f ca="1">IFERROR(__xludf.DUMMYFUNCTION("""COMPUTED_VALUE"""),614)</f>
        <v>614</v>
      </c>
      <c r="Y245" s="1">
        <f ca="1">IFERROR(__xludf.DUMMYFUNCTION("""COMPUTED_VALUE"""),0.705)</f>
        <v>0.70499999999999996</v>
      </c>
      <c r="Z245" s="1">
        <f ca="1">IFERROR(__xludf.DUMMYFUNCTION("""COMPUTED_VALUE"""),290)</f>
        <v>290</v>
      </c>
      <c r="AA245" s="1">
        <f ca="1">IFERROR(__xludf.DUMMYFUNCTION("""COMPUTED_VALUE"""),1055)</f>
        <v>1055</v>
      </c>
      <c r="AB245" s="1">
        <f ca="1">IFERROR(__xludf.DUMMYFUNCTION("""COMPUTED_VALUE"""),381)</f>
        <v>381</v>
      </c>
      <c r="AC245" s="1">
        <f ca="1">IFERROR(__xludf.DUMMYFUNCTION("""COMPUTED_VALUE"""),196)</f>
        <v>196</v>
      </c>
      <c r="AD245" s="1">
        <f ca="1">IFERROR(__xludf.DUMMYFUNCTION("""COMPUTED_VALUE"""),65)</f>
        <v>65</v>
      </c>
      <c r="AE245" s="1">
        <f ca="1">IFERROR(__xludf.DUMMYFUNCTION("""COMPUTED_VALUE"""),372)</f>
        <v>372</v>
      </c>
      <c r="AF245" s="1">
        <f ca="1">IFERROR(__xludf.DUMMYFUNCTION("""COMPUTED_VALUE"""),537)</f>
        <v>537</v>
      </c>
    </row>
    <row r="246" spans="1:32" ht="12.5" x14ac:dyDescent="0.25">
      <c r="A246" s="1" t="str">
        <f ca="1">IFERROR(__xludf.DUMMYFUNCTION("""COMPUTED_VALUE"""),"Northern Colorado")</f>
        <v>Northern Colorado</v>
      </c>
      <c r="B246" s="1">
        <f ca="1">IFERROR(__xludf.DUMMYFUNCTION("""COMPUTED_VALUE"""),32)</f>
        <v>32</v>
      </c>
      <c r="C246" s="1">
        <f ca="1">IFERROR(__xludf.DUMMYFUNCTION("""COMPUTED_VALUE"""),21)</f>
        <v>21</v>
      </c>
      <c r="D246" s="1">
        <f ca="1">IFERROR(__xludf.DUMMYFUNCTION("""COMPUTED_VALUE"""),11)</f>
        <v>11</v>
      </c>
      <c r="E246" s="1">
        <f ca="1">IFERROR(__xludf.DUMMYFUNCTION("""COMPUTED_VALUE"""),0.656)</f>
        <v>0.65600000000000003</v>
      </c>
      <c r="F246" s="1">
        <f ca="1">IFERROR(__xludf.DUMMYFUNCTION("""COMPUTED_VALUE"""),-3.92)</f>
        <v>-3.92</v>
      </c>
      <c r="G246" s="1">
        <f ca="1">IFERROR(__xludf.DUMMYFUNCTION("""COMPUTED_VALUE"""),-6.76)</f>
        <v>-6.76</v>
      </c>
      <c r="H246" s="1">
        <f ca="1">IFERROR(__xludf.DUMMYFUNCTION("""COMPUTED_VALUE"""),15)</f>
        <v>15</v>
      </c>
      <c r="I246" s="1">
        <f ca="1">IFERROR(__xludf.DUMMYFUNCTION("""COMPUTED_VALUE"""),5)</f>
        <v>5</v>
      </c>
      <c r="J246" s="1">
        <f ca="1">IFERROR(__xludf.DUMMYFUNCTION("""COMPUTED_VALUE"""),10)</f>
        <v>10</v>
      </c>
      <c r="K246" s="1">
        <f ca="1">IFERROR(__xludf.DUMMYFUNCTION("""COMPUTED_VALUE"""),3)</f>
        <v>3</v>
      </c>
      <c r="L246" s="1">
        <f ca="1">IFERROR(__xludf.DUMMYFUNCTION("""COMPUTED_VALUE"""),11)</f>
        <v>11</v>
      </c>
      <c r="M246" s="1">
        <f ca="1">IFERROR(__xludf.DUMMYFUNCTION("""COMPUTED_VALUE"""),5)</f>
        <v>5</v>
      </c>
      <c r="N246" s="1">
        <f ca="1">IFERROR(__xludf.DUMMYFUNCTION("""COMPUTED_VALUE"""),2450)</f>
        <v>2450</v>
      </c>
      <c r="O246" s="1">
        <f ca="1">IFERROR(__xludf.DUMMYFUNCTION("""COMPUTED_VALUE"""),2229)</f>
        <v>2229</v>
      </c>
      <c r="P246" s="1">
        <f ca="1">IFERROR(__xludf.DUMMYFUNCTION("""COMPUTED_VALUE"""),1295)</f>
        <v>1295</v>
      </c>
      <c r="Q246" s="1">
        <f ca="1">IFERROR(__xludf.DUMMYFUNCTION("""COMPUTED_VALUE"""),849)</f>
        <v>849</v>
      </c>
      <c r="R246" s="1">
        <f ca="1">IFERROR(__xludf.DUMMYFUNCTION("""COMPUTED_VALUE"""),1837)</f>
        <v>1837</v>
      </c>
      <c r="S246" s="1">
        <f ca="1">IFERROR(__xludf.DUMMYFUNCTION("""COMPUTED_VALUE"""),0.462)</f>
        <v>0.46200000000000002</v>
      </c>
      <c r="T246" s="1">
        <f ca="1">IFERROR(__xludf.DUMMYFUNCTION("""COMPUTED_VALUE"""),307)</f>
        <v>307</v>
      </c>
      <c r="U246" s="1">
        <f ca="1">IFERROR(__xludf.DUMMYFUNCTION("""COMPUTED_VALUE"""),849)</f>
        <v>849</v>
      </c>
      <c r="V246" s="1">
        <f ca="1">IFERROR(__xludf.DUMMYFUNCTION("""COMPUTED_VALUE"""),0.362)</f>
        <v>0.36199999999999999</v>
      </c>
      <c r="W246" s="1">
        <f ca="1">IFERROR(__xludf.DUMMYFUNCTION("""COMPUTED_VALUE"""),445)</f>
        <v>445</v>
      </c>
      <c r="X246" s="1">
        <f ca="1">IFERROR(__xludf.DUMMYFUNCTION("""COMPUTED_VALUE"""),633)</f>
        <v>633</v>
      </c>
      <c r="Y246" s="1">
        <f ca="1">IFERROR(__xludf.DUMMYFUNCTION("""COMPUTED_VALUE"""),0.703)</f>
        <v>0.70299999999999996</v>
      </c>
      <c r="Z246" s="1">
        <f ca="1">IFERROR(__xludf.DUMMYFUNCTION("""COMPUTED_VALUE"""),309)</f>
        <v>309</v>
      </c>
      <c r="AA246" s="1">
        <f ca="1">IFERROR(__xludf.DUMMYFUNCTION("""COMPUTED_VALUE"""),1128)</f>
        <v>1128</v>
      </c>
      <c r="AB246" s="1">
        <f ca="1">IFERROR(__xludf.DUMMYFUNCTION("""COMPUTED_VALUE"""),422)</f>
        <v>422</v>
      </c>
      <c r="AC246" s="1">
        <f ca="1">IFERROR(__xludf.DUMMYFUNCTION("""COMPUTED_VALUE"""),176)</f>
        <v>176</v>
      </c>
      <c r="AD246" s="1">
        <f ca="1">IFERROR(__xludf.DUMMYFUNCTION("""COMPUTED_VALUE"""),101)</f>
        <v>101</v>
      </c>
      <c r="AE246" s="1">
        <f ca="1">IFERROR(__xludf.DUMMYFUNCTION("""COMPUTED_VALUE"""),398)</f>
        <v>398</v>
      </c>
      <c r="AF246" s="1">
        <f ca="1">IFERROR(__xludf.DUMMYFUNCTION("""COMPUTED_VALUE"""),538)</f>
        <v>538</v>
      </c>
    </row>
    <row r="247" spans="1:32" ht="12.5" x14ac:dyDescent="0.25">
      <c r="A247" s="1" t="str">
        <f ca="1">IFERROR(__xludf.DUMMYFUNCTION("""COMPUTED_VALUE"""),"Northern Illinois")</f>
        <v>Northern Illinois</v>
      </c>
      <c r="B247" s="1">
        <f ca="1">IFERROR(__xludf.DUMMYFUNCTION("""COMPUTED_VALUE"""),34)</f>
        <v>34</v>
      </c>
      <c r="C247" s="1">
        <f ca="1">IFERROR(__xludf.DUMMYFUNCTION("""COMPUTED_VALUE"""),17)</f>
        <v>17</v>
      </c>
      <c r="D247" s="1">
        <f ca="1">IFERROR(__xludf.DUMMYFUNCTION("""COMPUTED_VALUE"""),17)</f>
        <v>17</v>
      </c>
      <c r="E247" s="1">
        <f ca="1">IFERROR(__xludf.DUMMYFUNCTION("""COMPUTED_VALUE"""),0.5)</f>
        <v>0.5</v>
      </c>
      <c r="F247" s="1">
        <f ca="1">IFERROR(__xludf.DUMMYFUNCTION("""COMPUTED_VALUE"""),2.58)</f>
        <v>2.58</v>
      </c>
      <c r="G247" s="1">
        <f ca="1">IFERROR(__xludf.DUMMYFUNCTION("""COMPUTED_VALUE"""),1.11)</f>
        <v>1.1100000000000001</v>
      </c>
      <c r="H247" s="1">
        <f ca="1">IFERROR(__xludf.DUMMYFUNCTION("""COMPUTED_VALUE"""),8)</f>
        <v>8</v>
      </c>
      <c r="I247" s="1">
        <f ca="1">IFERROR(__xludf.DUMMYFUNCTION("""COMPUTED_VALUE"""),10)</f>
        <v>10</v>
      </c>
      <c r="J247" s="1">
        <f ca="1">IFERROR(__xludf.DUMMYFUNCTION("""COMPUTED_VALUE"""),10)</f>
        <v>10</v>
      </c>
      <c r="K247" s="1">
        <f ca="1">IFERROR(__xludf.DUMMYFUNCTION("""COMPUTED_VALUE"""),6)</f>
        <v>6</v>
      </c>
      <c r="L247" s="1">
        <f ca="1">IFERROR(__xludf.DUMMYFUNCTION("""COMPUTED_VALUE"""),5)</f>
        <v>5</v>
      </c>
      <c r="M247" s="1">
        <f ca="1">IFERROR(__xludf.DUMMYFUNCTION("""COMPUTED_VALUE"""),9)</f>
        <v>9</v>
      </c>
      <c r="N247" s="1">
        <f ca="1">IFERROR(__xludf.DUMMYFUNCTION("""COMPUTED_VALUE"""),2506)</f>
        <v>2506</v>
      </c>
      <c r="O247" s="1">
        <f ca="1">IFERROR(__xludf.DUMMYFUNCTION("""COMPUTED_VALUE"""),2413)</f>
        <v>2413</v>
      </c>
      <c r="P247" s="1">
        <f ca="1">IFERROR(__xludf.DUMMYFUNCTION("""COMPUTED_VALUE"""),1375)</f>
        <v>1375</v>
      </c>
      <c r="Q247" s="1">
        <f ca="1">IFERROR(__xludf.DUMMYFUNCTION("""COMPUTED_VALUE"""),940)</f>
        <v>940</v>
      </c>
      <c r="R247" s="1">
        <f ca="1">IFERROR(__xludf.DUMMYFUNCTION("""COMPUTED_VALUE"""),1995)</f>
        <v>1995</v>
      </c>
      <c r="S247" s="1">
        <f ca="1">IFERROR(__xludf.DUMMYFUNCTION("""COMPUTED_VALUE"""),0.471)</f>
        <v>0.47099999999999997</v>
      </c>
      <c r="T247" s="1">
        <f ca="1">IFERROR(__xludf.DUMMYFUNCTION("""COMPUTED_VALUE"""),229)</f>
        <v>229</v>
      </c>
      <c r="U247" s="1">
        <f ca="1">IFERROR(__xludf.DUMMYFUNCTION("""COMPUTED_VALUE"""),642)</f>
        <v>642</v>
      </c>
      <c r="V247" s="1">
        <f ca="1">IFERROR(__xludf.DUMMYFUNCTION("""COMPUTED_VALUE"""),0.357)</f>
        <v>0.35699999999999998</v>
      </c>
      <c r="W247" s="1">
        <f ca="1">IFERROR(__xludf.DUMMYFUNCTION("""COMPUTED_VALUE"""),397)</f>
        <v>397</v>
      </c>
      <c r="X247" s="1">
        <f ca="1">IFERROR(__xludf.DUMMYFUNCTION("""COMPUTED_VALUE"""),543)</f>
        <v>543</v>
      </c>
      <c r="Y247" s="1">
        <f ca="1">IFERROR(__xludf.DUMMYFUNCTION("""COMPUTED_VALUE"""),0.731)</f>
        <v>0.73099999999999998</v>
      </c>
      <c r="Z247" s="1">
        <f ca="1">IFERROR(__xludf.DUMMYFUNCTION("""COMPUTED_VALUE"""),304)</f>
        <v>304</v>
      </c>
      <c r="AA247" s="1">
        <f ca="1">IFERROR(__xludf.DUMMYFUNCTION("""COMPUTED_VALUE"""),1179)</f>
        <v>1179</v>
      </c>
      <c r="AB247" s="1">
        <f ca="1">IFERROR(__xludf.DUMMYFUNCTION("""COMPUTED_VALUE"""),374)</f>
        <v>374</v>
      </c>
      <c r="AC247" s="1">
        <f ca="1">IFERROR(__xludf.DUMMYFUNCTION("""COMPUTED_VALUE"""),188)</f>
        <v>188</v>
      </c>
      <c r="AD247" s="1">
        <f ca="1">IFERROR(__xludf.DUMMYFUNCTION("""COMPUTED_VALUE"""),75)</f>
        <v>75</v>
      </c>
      <c r="AE247" s="1">
        <f ca="1">IFERROR(__xludf.DUMMYFUNCTION("""COMPUTED_VALUE"""),404)</f>
        <v>404</v>
      </c>
      <c r="AF247" s="1">
        <f ca="1">IFERROR(__xludf.DUMMYFUNCTION("""COMPUTED_VALUE"""),653)</f>
        <v>653</v>
      </c>
    </row>
    <row r="248" spans="1:32" ht="12.5" x14ac:dyDescent="0.25">
      <c r="A248" s="1" t="str">
        <f ca="1">IFERROR(__xludf.DUMMYFUNCTION("""COMPUTED_VALUE"""),"Northern Iowa")</f>
        <v>Northern Iowa</v>
      </c>
      <c r="B248" s="1">
        <f ca="1">IFERROR(__xludf.DUMMYFUNCTION("""COMPUTED_VALUE"""),34)</f>
        <v>34</v>
      </c>
      <c r="C248" s="1">
        <f ca="1">IFERROR(__xludf.DUMMYFUNCTION("""COMPUTED_VALUE"""),16)</f>
        <v>16</v>
      </c>
      <c r="D248" s="1">
        <f ca="1">IFERROR(__xludf.DUMMYFUNCTION("""COMPUTED_VALUE"""),18)</f>
        <v>18</v>
      </c>
      <c r="E248" s="1">
        <f ca="1">IFERROR(__xludf.DUMMYFUNCTION("""COMPUTED_VALUE"""),0.471)</f>
        <v>0.47099999999999997</v>
      </c>
      <c r="F248" s="1">
        <f ca="1">IFERROR(__xludf.DUMMYFUNCTION("""COMPUTED_VALUE"""),-1.54)</f>
        <v>-1.54</v>
      </c>
      <c r="G248" s="1">
        <f ca="1">IFERROR(__xludf.DUMMYFUNCTION("""COMPUTED_VALUE"""),0.62)</f>
        <v>0.62</v>
      </c>
      <c r="H248" s="1">
        <f ca="1">IFERROR(__xludf.DUMMYFUNCTION("""COMPUTED_VALUE"""),9)</f>
        <v>9</v>
      </c>
      <c r="I248" s="1">
        <f ca="1">IFERROR(__xludf.DUMMYFUNCTION("""COMPUTED_VALUE"""),9)</f>
        <v>9</v>
      </c>
      <c r="J248" s="1">
        <f ca="1">IFERROR(__xludf.DUMMYFUNCTION("""COMPUTED_VALUE"""),9)</f>
        <v>9</v>
      </c>
      <c r="K248" s="1">
        <f ca="1">IFERROR(__xludf.DUMMYFUNCTION("""COMPUTED_VALUE"""),5)</f>
        <v>5</v>
      </c>
      <c r="L248" s="1">
        <f ca="1">IFERROR(__xludf.DUMMYFUNCTION("""COMPUTED_VALUE"""),3)</f>
        <v>3</v>
      </c>
      <c r="M248" s="1">
        <f ca="1">IFERROR(__xludf.DUMMYFUNCTION("""COMPUTED_VALUE"""),9)</f>
        <v>9</v>
      </c>
      <c r="N248" s="1">
        <f ca="1">IFERROR(__xludf.DUMMYFUNCTION("""COMPUTED_VALUE"""),2215)</f>
        <v>2215</v>
      </c>
      <c r="O248" s="1">
        <f ca="1">IFERROR(__xludf.DUMMYFUNCTION("""COMPUTED_VALUE"""),2230)</f>
        <v>2230</v>
      </c>
      <c r="P248" s="1">
        <f ca="1">IFERROR(__xludf.DUMMYFUNCTION("""COMPUTED_VALUE"""),1360)</f>
        <v>1360</v>
      </c>
      <c r="Q248" s="1">
        <f ca="1">IFERROR(__xludf.DUMMYFUNCTION("""COMPUTED_VALUE"""),769)</f>
        <v>769</v>
      </c>
      <c r="R248" s="1">
        <f ca="1">IFERROR(__xludf.DUMMYFUNCTION("""COMPUTED_VALUE"""),1847)</f>
        <v>1847</v>
      </c>
      <c r="S248" s="1">
        <f ca="1">IFERROR(__xludf.DUMMYFUNCTION("""COMPUTED_VALUE"""),0.416)</f>
        <v>0.41599999999999998</v>
      </c>
      <c r="T248" s="1">
        <f ca="1">IFERROR(__xludf.DUMMYFUNCTION("""COMPUTED_VALUE"""),276)</f>
        <v>276</v>
      </c>
      <c r="U248" s="1">
        <f ca="1">IFERROR(__xludf.DUMMYFUNCTION("""COMPUTED_VALUE"""),792)</f>
        <v>792</v>
      </c>
      <c r="V248" s="1">
        <f ca="1">IFERROR(__xludf.DUMMYFUNCTION("""COMPUTED_VALUE"""),0.348)</f>
        <v>0.34799999999999998</v>
      </c>
      <c r="W248" s="1">
        <f ca="1">IFERROR(__xludf.DUMMYFUNCTION("""COMPUTED_VALUE"""),401)</f>
        <v>401</v>
      </c>
      <c r="X248" s="1">
        <f ca="1">IFERROR(__xludf.DUMMYFUNCTION("""COMPUTED_VALUE"""),537)</f>
        <v>537</v>
      </c>
      <c r="Y248" s="1">
        <f ca="1">IFERROR(__xludf.DUMMYFUNCTION("""COMPUTED_VALUE"""),0.747)</f>
        <v>0.747</v>
      </c>
      <c r="Z248" s="1">
        <f ca="1">IFERROR(__xludf.DUMMYFUNCTION("""COMPUTED_VALUE"""),262)</f>
        <v>262</v>
      </c>
      <c r="AA248" s="1">
        <f ca="1">IFERROR(__xludf.DUMMYFUNCTION("""COMPUTED_VALUE"""),1115)</f>
        <v>1115</v>
      </c>
      <c r="AB248" s="1">
        <f ca="1">IFERROR(__xludf.DUMMYFUNCTION("""COMPUTED_VALUE"""),370)</f>
        <v>370</v>
      </c>
      <c r="AC248" s="1">
        <f ca="1">IFERROR(__xludf.DUMMYFUNCTION("""COMPUTED_VALUE"""),165)</f>
        <v>165</v>
      </c>
      <c r="AD248" s="1">
        <f ca="1">IFERROR(__xludf.DUMMYFUNCTION("""COMPUTED_VALUE"""),75)</f>
        <v>75</v>
      </c>
      <c r="AE248" s="1">
        <f ca="1">IFERROR(__xludf.DUMMYFUNCTION("""COMPUTED_VALUE"""),393)</f>
        <v>393</v>
      </c>
      <c r="AF248" s="1">
        <f ca="1">IFERROR(__xludf.DUMMYFUNCTION("""COMPUTED_VALUE"""),554)</f>
        <v>554</v>
      </c>
    </row>
    <row r="249" spans="1:32" ht="12.5" x14ac:dyDescent="0.25">
      <c r="A249" s="1" t="str">
        <f ca="1">IFERROR(__xludf.DUMMYFUNCTION("""COMPUTED_VALUE"""),"Northern Kentucky")</f>
        <v>Northern Kentucky</v>
      </c>
      <c r="B249" s="1">
        <f ca="1">IFERROR(__xludf.DUMMYFUNCTION("""COMPUTED_VALUE"""),35)</f>
        <v>35</v>
      </c>
      <c r="C249" s="1">
        <f ca="1">IFERROR(__xludf.DUMMYFUNCTION("""COMPUTED_VALUE"""),26)</f>
        <v>26</v>
      </c>
      <c r="D249" s="1">
        <f ca="1">IFERROR(__xludf.DUMMYFUNCTION("""COMPUTED_VALUE"""),9)</f>
        <v>9</v>
      </c>
      <c r="E249" s="1">
        <f ca="1">IFERROR(__xludf.DUMMYFUNCTION("""COMPUTED_VALUE"""),0.743)</f>
        <v>0.74299999999999999</v>
      </c>
      <c r="F249" s="1">
        <f ca="1">IFERROR(__xludf.DUMMYFUNCTION("""COMPUTED_VALUE"""),4.67)</f>
        <v>4.67</v>
      </c>
      <c r="G249" s="1">
        <f ca="1">IFERROR(__xludf.DUMMYFUNCTION("""COMPUTED_VALUE"""),-2.39)</f>
        <v>-2.39</v>
      </c>
      <c r="H249" s="1">
        <f ca="1">IFERROR(__xludf.DUMMYFUNCTION("""COMPUTED_VALUE"""),13)</f>
        <v>13</v>
      </c>
      <c r="I249" s="1">
        <f ca="1">IFERROR(__xludf.DUMMYFUNCTION("""COMPUTED_VALUE"""),5)</f>
        <v>5</v>
      </c>
      <c r="J249" s="1">
        <f ca="1">IFERROR(__xludf.DUMMYFUNCTION("""COMPUTED_VALUE"""),17)</f>
        <v>17</v>
      </c>
      <c r="K249" s="1">
        <f ca="1">IFERROR(__xludf.DUMMYFUNCTION("""COMPUTED_VALUE"""),1)</f>
        <v>1</v>
      </c>
      <c r="L249" s="1">
        <f ca="1">IFERROR(__xludf.DUMMYFUNCTION("""COMPUTED_VALUE"""),7)</f>
        <v>7</v>
      </c>
      <c r="M249" s="1">
        <f ca="1">IFERROR(__xludf.DUMMYFUNCTION("""COMPUTED_VALUE"""),7)</f>
        <v>7</v>
      </c>
      <c r="N249" s="1">
        <f ca="1">IFERROR(__xludf.DUMMYFUNCTION("""COMPUTED_VALUE"""),2747)</f>
        <v>2747</v>
      </c>
      <c r="O249" s="1">
        <f ca="1">IFERROR(__xludf.DUMMYFUNCTION("""COMPUTED_VALUE"""),2410)</f>
        <v>2410</v>
      </c>
      <c r="P249" s="1">
        <f ca="1">IFERROR(__xludf.DUMMYFUNCTION("""COMPUTED_VALUE"""),1410)</f>
        <v>1410</v>
      </c>
      <c r="Q249" s="1">
        <f ca="1">IFERROR(__xludf.DUMMYFUNCTION("""COMPUTED_VALUE"""),979)</f>
        <v>979</v>
      </c>
      <c r="R249" s="1">
        <f ca="1">IFERROR(__xludf.DUMMYFUNCTION("""COMPUTED_VALUE"""),2047)</f>
        <v>2047</v>
      </c>
      <c r="S249" s="1">
        <f ca="1">IFERROR(__xludf.DUMMYFUNCTION("""COMPUTED_VALUE"""),0.478)</f>
        <v>0.47799999999999998</v>
      </c>
      <c r="T249" s="1">
        <f ca="1">IFERROR(__xludf.DUMMYFUNCTION("""COMPUTED_VALUE"""),306)</f>
        <v>306</v>
      </c>
      <c r="U249" s="1">
        <f ca="1">IFERROR(__xludf.DUMMYFUNCTION("""COMPUTED_VALUE"""),844)</f>
        <v>844</v>
      </c>
      <c r="V249" s="1">
        <f ca="1">IFERROR(__xludf.DUMMYFUNCTION("""COMPUTED_VALUE"""),0.363)</f>
        <v>0.36299999999999999</v>
      </c>
      <c r="W249" s="1">
        <f ca="1">IFERROR(__xludf.DUMMYFUNCTION("""COMPUTED_VALUE"""),483)</f>
        <v>483</v>
      </c>
      <c r="X249" s="1">
        <f ca="1">IFERROR(__xludf.DUMMYFUNCTION("""COMPUTED_VALUE"""),725)</f>
        <v>725</v>
      </c>
      <c r="Y249" s="1">
        <f ca="1">IFERROR(__xludf.DUMMYFUNCTION("""COMPUTED_VALUE"""),0.666)</f>
        <v>0.66600000000000004</v>
      </c>
      <c r="Z249" s="1">
        <f ca="1">IFERROR(__xludf.DUMMYFUNCTION("""COMPUTED_VALUE"""),364)</f>
        <v>364</v>
      </c>
      <c r="AA249" s="1">
        <f ca="1">IFERROR(__xludf.DUMMYFUNCTION("""COMPUTED_VALUE"""),1298)</f>
        <v>1298</v>
      </c>
      <c r="AB249" s="1">
        <f ca="1">IFERROR(__xludf.DUMMYFUNCTION("""COMPUTED_VALUE"""),592)</f>
        <v>592</v>
      </c>
      <c r="AC249" s="1">
        <f ca="1">IFERROR(__xludf.DUMMYFUNCTION("""COMPUTED_VALUE"""),218)</f>
        <v>218</v>
      </c>
      <c r="AD249" s="1">
        <f ca="1">IFERROR(__xludf.DUMMYFUNCTION("""COMPUTED_VALUE"""),139)</f>
        <v>139</v>
      </c>
      <c r="AE249" s="1">
        <f ca="1">IFERROR(__xludf.DUMMYFUNCTION("""COMPUTED_VALUE"""),441)</f>
        <v>441</v>
      </c>
      <c r="AF249" s="1">
        <f ca="1">IFERROR(__xludf.DUMMYFUNCTION("""COMPUTED_VALUE"""),664)</f>
        <v>664</v>
      </c>
    </row>
    <row r="250" spans="1:32" ht="12.5" x14ac:dyDescent="0.25">
      <c r="A250" s="1" t="str">
        <f ca="1">IFERROR(__xludf.DUMMYFUNCTION("""COMPUTED_VALUE"""),"Northwestern State")</f>
        <v>Northwestern State</v>
      </c>
      <c r="B250" s="1">
        <f ca="1">IFERROR(__xludf.DUMMYFUNCTION("""COMPUTED_VALUE"""),31)</f>
        <v>31</v>
      </c>
      <c r="C250" s="1">
        <f ca="1">IFERROR(__xludf.DUMMYFUNCTION("""COMPUTED_VALUE"""),11)</f>
        <v>11</v>
      </c>
      <c r="D250" s="1">
        <f ca="1">IFERROR(__xludf.DUMMYFUNCTION("""COMPUTED_VALUE"""),20)</f>
        <v>20</v>
      </c>
      <c r="E250" s="1">
        <f ca="1">IFERROR(__xludf.DUMMYFUNCTION("""COMPUTED_VALUE"""),0.355)</f>
        <v>0.35499999999999998</v>
      </c>
      <c r="F250" s="1">
        <f ca="1">IFERROR(__xludf.DUMMYFUNCTION("""COMPUTED_VALUE"""),-17.06)</f>
        <v>-17.059999999999999</v>
      </c>
      <c r="G250" s="1">
        <f ca="1">IFERROR(__xludf.DUMMYFUNCTION("""COMPUTED_VALUE"""),-5.99)</f>
        <v>-5.99</v>
      </c>
      <c r="H250" s="1">
        <f ca="1">IFERROR(__xludf.DUMMYFUNCTION("""COMPUTED_VALUE"""),6)</f>
        <v>6</v>
      </c>
      <c r="I250" s="1">
        <f ca="1">IFERROR(__xludf.DUMMYFUNCTION("""COMPUTED_VALUE"""),12)</f>
        <v>12</v>
      </c>
      <c r="J250" s="1">
        <f ca="1">IFERROR(__xludf.DUMMYFUNCTION("""COMPUTED_VALUE"""),8)</f>
        <v>8</v>
      </c>
      <c r="K250" s="1">
        <f ca="1">IFERROR(__xludf.DUMMYFUNCTION("""COMPUTED_VALUE"""),7)</f>
        <v>7</v>
      </c>
      <c r="L250" s="1">
        <f ca="1">IFERROR(__xludf.DUMMYFUNCTION("""COMPUTED_VALUE"""),3)</f>
        <v>3</v>
      </c>
      <c r="M250" s="1">
        <f ca="1">IFERROR(__xludf.DUMMYFUNCTION("""COMPUTED_VALUE"""),13)</f>
        <v>13</v>
      </c>
      <c r="N250" s="1">
        <f ca="1">IFERROR(__xludf.DUMMYFUNCTION("""COMPUTED_VALUE"""),2051)</f>
        <v>2051</v>
      </c>
      <c r="O250" s="1">
        <f ca="1">IFERROR(__xludf.DUMMYFUNCTION("""COMPUTED_VALUE"""),2280)</f>
        <v>2280</v>
      </c>
      <c r="P250" s="1">
        <f ca="1">IFERROR(__xludf.DUMMYFUNCTION("""COMPUTED_VALUE"""),1250)</f>
        <v>1250</v>
      </c>
      <c r="Q250" s="1">
        <f ca="1">IFERROR(__xludf.DUMMYFUNCTION("""COMPUTED_VALUE"""),725)</f>
        <v>725</v>
      </c>
      <c r="R250" s="1">
        <f ca="1">IFERROR(__xludf.DUMMYFUNCTION("""COMPUTED_VALUE"""),1790)</f>
        <v>1790</v>
      </c>
      <c r="S250" s="1">
        <f ca="1">IFERROR(__xludf.DUMMYFUNCTION("""COMPUTED_VALUE"""),0.405)</f>
        <v>0.40500000000000003</v>
      </c>
      <c r="T250" s="1">
        <f ca="1">IFERROR(__xludf.DUMMYFUNCTION("""COMPUTED_VALUE"""),190)</f>
        <v>190</v>
      </c>
      <c r="U250" s="1">
        <f ca="1">IFERROR(__xludf.DUMMYFUNCTION("""COMPUTED_VALUE"""),646)</f>
        <v>646</v>
      </c>
      <c r="V250" s="1">
        <f ca="1">IFERROR(__xludf.DUMMYFUNCTION("""COMPUTED_VALUE"""),0.294)</f>
        <v>0.29399999999999998</v>
      </c>
      <c r="W250" s="1">
        <f ca="1">IFERROR(__xludf.DUMMYFUNCTION("""COMPUTED_VALUE"""),411)</f>
        <v>411</v>
      </c>
      <c r="X250" s="1">
        <f ca="1">IFERROR(__xludf.DUMMYFUNCTION("""COMPUTED_VALUE"""),604)</f>
        <v>604</v>
      </c>
      <c r="Y250" s="1">
        <f ca="1">IFERROR(__xludf.DUMMYFUNCTION("""COMPUTED_VALUE"""),0.68)</f>
        <v>0.68</v>
      </c>
      <c r="Z250" s="1">
        <f ca="1">IFERROR(__xludf.DUMMYFUNCTION("""COMPUTED_VALUE"""),352)</f>
        <v>352</v>
      </c>
      <c r="AA250" s="1">
        <f ca="1">IFERROR(__xludf.DUMMYFUNCTION("""COMPUTED_VALUE"""),1103)</f>
        <v>1103</v>
      </c>
      <c r="AB250" s="1">
        <f ca="1">IFERROR(__xludf.DUMMYFUNCTION("""COMPUTED_VALUE"""),340)</f>
        <v>340</v>
      </c>
      <c r="AC250" s="1">
        <f ca="1">IFERROR(__xludf.DUMMYFUNCTION("""COMPUTED_VALUE"""),192)</f>
        <v>192</v>
      </c>
      <c r="AD250" s="1">
        <f ca="1">IFERROR(__xludf.DUMMYFUNCTION("""COMPUTED_VALUE"""),138)</f>
        <v>138</v>
      </c>
      <c r="AE250" s="1">
        <f ca="1">IFERROR(__xludf.DUMMYFUNCTION("""COMPUTED_VALUE"""),496)</f>
        <v>496</v>
      </c>
      <c r="AF250" s="1">
        <f ca="1">IFERROR(__xludf.DUMMYFUNCTION("""COMPUTED_VALUE"""),578)</f>
        <v>578</v>
      </c>
    </row>
    <row r="251" spans="1:32" ht="12.5" x14ac:dyDescent="0.25">
      <c r="A251" s="1" t="str">
        <f ca="1">IFERROR(__xludf.DUMMYFUNCTION("""COMPUTED_VALUE"""),"Northwestern")</f>
        <v>Northwestern</v>
      </c>
      <c r="B251" s="1">
        <f ca="1">IFERROR(__xludf.DUMMYFUNCTION("""COMPUTED_VALUE"""),32)</f>
        <v>32</v>
      </c>
      <c r="C251" s="1">
        <f ca="1">IFERROR(__xludf.DUMMYFUNCTION("""COMPUTED_VALUE"""),13)</f>
        <v>13</v>
      </c>
      <c r="D251" s="1">
        <f ca="1">IFERROR(__xludf.DUMMYFUNCTION("""COMPUTED_VALUE"""),19)</f>
        <v>19</v>
      </c>
      <c r="E251" s="1">
        <f ca="1">IFERROR(__xludf.DUMMYFUNCTION("""COMPUTED_VALUE"""),0.406)</f>
        <v>0.40600000000000003</v>
      </c>
      <c r="F251" s="1">
        <f ca="1">IFERROR(__xludf.DUMMYFUNCTION("""COMPUTED_VALUE"""),9.97)</f>
        <v>9.9700000000000006</v>
      </c>
      <c r="G251" s="1">
        <f ca="1">IFERROR(__xludf.DUMMYFUNCTION("""COMPUTED_VALUE"""),9.16)</f>
        <v>9.16</v>
      </c>
      <c r="H251" s="1">
        <f ca="1">IFERROR(__xludf.DUMMYFUNCTION("""COMPUTED_VALUE"""),4)</f>
        <v>4</v>
      </c>
      <c r="I251" s="1">
        <f ca="1">IFERROR(__xludf.DUMMYFUNCTION("""COMPUTED_VALUE"""),16)</f>
        <v>16</v>
      </c>
      <c r="J251" s="1">
        <f ca="1">IFERROR(__xludf.DUMMYFUNCTION("""COMPUTED_VALUE"""),10)</f>
        <v>10</v>
      </c>
      <c r="K251" s="1">
        <f ca="1">IFERROR(__xludf.DUMMYFUNCTION("""COMPUTED_VALUE"""),8)</f>
        <v>8</v>
      </c>
      <c r="L251" s="1">
        <f ca="1">IFERROR(__xludf.DUMMYFUNCTION("""COMPUTED_VALUE"""),1)</f>
        <v>1</v>
      </c>
      <c r="M251" s="1">
        <f ca="1">IFERROR(__xludf.DUMMYFUNCTION("""COMPUTED_VALUE"""),9)</f>
        <v>9</v>
      </c>
      <c r="N251" s="1">
        <f ca="1">IFERROR(__xludf.DUMMYFUNCTION("""COMPUTED_VALUE"""),2108)</f>
        <v>2108</v>
      </c>
      <c r="O251" s="1">
        <f ca="1">IFERROR(__xludf.DUMMYFUNCTION("""COMPUTED_VALUE"""),2082)</f>
        <v>2082</v>
      </c>
      <c r="P251" s="1">
        <f ca="1">IFERROR(__xludf.DUMMYFUNCTION("""COMPUTED_VALUE"""),1290)</f>
        <v>1290</v>
      </c>
      <c r="Q251" s="1">
        <f ca="1">IFERROR(__xludf.DUMMYFUNCTION("""COMPUTED_VALUE"""),735)</f>
        <v>735</v>
      </c>
      <c r="R251" s="1">
        <f ca="1">IFERROR(__xludf.DUMMYFUNCTION("""COMPUTED_VALUE"""),1827)</f>
        <v>1827</v>
      </c>
      <c r="S251" s="1">
        <f ca="1">IFERROR(__xludf.DUMMYFUNCTION("""COMPUTED_VALUE"""),0.402)</f>
        <v>0.40200000000000002</v>
      </c>
      <c r="T251" s="1">
        <f ca="1">IFERROR(__xludf.DUMMYFUNCTION("""COMPUTED_VALUE"""),233)</f>
        <v>233</v>
      </c>
      <c r="U251" s="1">
        <f ca="1">IFERROR(__xludf.DUMMYFUNCTION("""COMPUTED_VALUE"""),744)</f>
        <v>744</v>
      </c>
      <c r="V251" s="1">
        <f ca="1">IFERROR(__xludf.DUMMYFUNCTION("""COMPUTED_VALUE"""),0.313)</f>
        <v>0.313</v>
      </c>
      <c r="W251" s="1">
        <f ca="1">IFERROR(__xludf.DUMMYFUNCTION("""COMPUTED_VALUE"""),405)</f>
        <v>405</v>
      </c>
      <c r="X251" s="1">
        <f ca="1">IFERROR(__xludf.DUMMYFUNCTION("""COMPUTED_VALUE"""),551)</f>
        <v>551</v>
      </c>
      <c r="Y251" s="1">
        <f ca="1">IFERROR(__xludf.DUMMYFUNCTION("""COMPUTED_VALUE"""),0.735)</f>
        <v>0.73499999999999999</v>
      </c>
      <c r="Z251" s="1">
        <f ca="1">IFERROR(__xludf.DUMMYFUNCTION("""COMPUTED_VALUE"""),278)</f>
        <v>278</v>
      </c>
      <c r="AA251" s="1">
        <f ca="1">IFERROR(__xludf.DUMMYFUNCTION("""COMPUTED_VALUE"""),1086)</f>
        <v>1086</v>
      </c>
      <c r="AB251" s="1">
        <f ca="1">IFERROR(__xludf.DUMMYFUNCTION("""COMPUTED_VALUE"""),451)</f>
        <v>451</v>
      </c>
      <c r="AC251" s="1">
        <f ca="1">IFERROR(__xludf.DUMMYFUNCTION("""COMPUTED_VALUE"""),176)</f>
        <v>176</v>
      </c>
      <c r="AD251" s="1">
        <f ca="1">IFERROR(__xludf.DUMMYFUNCTION("""COMPUTED_VALUE"""),134)</f>
        <v>134</v>
      </c>
      <c r="AE251" s="1">
        <f ca="1">IFERROR(__xludf.DUMMYFUNCTION("""COMPUTED_VALUE"""),349)</f>
        <v>349</v>
      </c>
      <c r="AF251" s="1">
        <f ca="1">IFERROR(__xludf.DUMMYFUNCTION("""COMPUTED_VALUE"""),583)</f>
        <v>583</v>
      </c>
    </row>
    <row r="252" spans="1:32" ht="12.5" x14ac:dyDescent="0.25">
      <c r="A252" s="1" t="str">
        <f ca="1">IFERROR(__xludf.DUMMYFUNCTION("""COMPUTED_VALUE"""),"Notre Dame")</f>
        <v>Notre Dame</v>
      </c>
      <c r="B252" s="1">
        <f ca="1">IFERROR(__xludf.DUMMYFUNCTION("""COMPUTED_VALUE"""),33)</f>
        <v>33</v>
      </c>
      <c r="C252" s="1">
        <f ca="1">IFERROR(__xludf.DUMMYFUNCTION("""COMPUTED_VALUE"""),14)</f>
        <v>14</v>
      </c>
      <c r="D252" s="1">
        <f ca="1">IFERROR(__xludf.DUMMYFUNCTION("""COMPUTED_VALUE"""),19)</f>
        <v>19</v>
      </c>
      <c r="E252" s="1">
        <f ca="1">IFERROR(__xludf.DUMMYFUNCTION("""COMPUTED_VALUE"""),0.424)</f>
        <v>0.42399999999999999</v>
      </c>
      <c r="F252" s="1">
        <f ca="1">IFERROR(__xludf.DUMMYFUNCTION("""COMPUTED_VALUE"""),7.97)</f>
        <v>7.97</v>
      </c>
      <c r="G252" s="1">
        <f ca="1">IFERROR(__xludf.DUMMYFUNCTION("""COMPUTED_VALUE"""),8.28)</f>
        <v>8.2799999999999994</v>
      </c>
      <c r="H252" s="1">
        <f ca="1">IFERROR(__xludf.DUMMYFUNCTION("""COMPUTED_VALUE"""),3)</f>
        <v>3</v>
      </c>
      <c r="I252" s="1">
        <f ca="1">IFERROR(__xludf.DUMMYFUNCTION("""COMPUTED_VALUE"""),15)</f>
        <v>15</v>
      </c>
      <c r="J252" s="1">
        <f ca="1">IFERROR(__xludf.DUMMYFUNCTION("""COMPUTED_VALUE"""),11)</f>
        <v>11</v>
      </c>
      <c r="K252" s="1">
        <f ca="1">IFERROR(__xludf.DUMMYFUNCTION("""COMPUTED_VALUE"""),8)</f>
        <v>8</v>
      </c>
      <c r="L252" s="1">
        <f ca="1">IFERROR(__xludf.DUMMYFUNCTION("""COMPUTED_VALUE"""),1)</f>
        <v>1</v>
      </c>
      <c r="M252" s="1">
        <f ca="1">IFERROR(__xludf.DUMMYFUNCTION("""COMPUTED_VALUE"""),9)</f>
        <v>9</v>
      </c>
      <c r="N252" s="1">
        <f ca="1">IFERROR(__xludf.DUMMYFUNCTION("""COMPUTED_VALUE"""),2266)</f>
        <v>2266</v>
      </c>
      <c r="O252" s="1">
        <f ca="1">IFERROR(__xludf.DUMMYFUNCTION("""COMPUTED_VALUE"""),2276)</f>
        <v>2276</v>
      </c>
      <c r="P252" s="1">
        <f ca="1">IFERROR(__xludf.DUMMYFUNCTION("""COMPUTED_VALUE"""),1320)</f>
        <v>1320</v>
      </c>
      <c r="Q252" s="1">
        <f ca="1">IFERROR(__xludf.DUMMYFUNCTION("""COMPUTED_VALUE"""),776)</f>
        <v>776</v>
      </c>
      <c r="R252" s="1">
        <f ca="1">IFERROR(__xludf.DUMMYFUNCTION("""COMPUTED_VALUE"""),1973)</f>
        <v>1973</v>
      </c>
      <c r="S252" s="1">
        <f ca="1">IFERROR(__xludf.DUMMYFUNCTION("""COMPUTED_VALUE"""),0.393)</f>
        <v>0.39300000000000002</v>
      </c>
      <c r="T252" s="1">
        <f ca="1">IFERROR(__xludf.DUMMYFUNCTION("""COMPUTED_VALUE"""),272)</f>
        <v>272</v>
      </c>
      <c r="U252" s="1">
        <f ca="1">IFERROR(__xludf.DUMMYFUNCTION("""COMPUTED_VALUE"""),863)</f>
        <v>863</v>
      </c>
      <c r="V252" s="1">
        <f ca="1">IFERROR(__xludf.DUMMYFUNCTION("""COMPUTED_VALUE"""),0.315)</f>
        <v>0.315</v>
      </c>
      <c r="W252" s="1">
        <f ca="1">IFERROR(__xludf.DUMMYFUNCTION("""COMPUTED_VALUE"""),442)</f>
        <v>442</v>
      </c>
      <c r="X252" s="1">
        <f ca="1">IFERROR(__xludf.DUMMYFUNCTION("""COMPUTED_VALUE"""),594)</f>
        <v>594</v>
      </c>
      <c r="Y252" s="1">
        <f ca="1">IFERROR(__xludf.DUMMYFUNCTION("""COMPUTED_VALUE"""),0.744)</f>
        <v>0.74399999999999999</v>
      </c>
      <c r="Z252" s="1">
        <f ca="1">IFERROR(__xludf.DUMMYFUNCTION("""COMPUTED_VALUE"""),370)</f>
        <v>370</v>
      </c>
      <c r="AA252" s="1">
        <f ca="1">IFERROR(__xludf.DUMMYFUNCTION("""COMPUTED_VALUE"""),1208)</f>
        <v>1208</v>
      </c>
      <c r="AB252" s="1">
        <f ca="1">IFERROR(__xludf.DUMMYFUNCTION("""COMPUTED_VALUE"""),423)</f>
        <v>423</v>
      </c>
      <c r="AC252" s="1">
        <f ca="1">IFERROR(__xludf.DUMMYFUNCTION("""COMPUTED_VALUE"""),179)</f>
        <v>179</v>
      </c>
      <c r="AD252" s="1">
        <f ca="1">IFERROR(__xludf.DUMMYFUNCTION("""COMPUTED_VALUE"""),148)</f>
        <v>148</v>
      </c>
      <c r="AE252" s="1">
        <f ca="1">IFERROR(__xludf.DUMMYFUNCTION("""COMPUTED_VALUE"""),306)</f>
        <v>306</v>
      </c>
      <c r="AF252" s="1">
        <f ca="1">IFERROR(__xludf.DUMMYFUNCTION("""COMPUTED_VALUE"""),455)</f>
        <v>455</v>
      </c>
    </row>
    <row r="253" spans="1:32" ht="12.5" x14ac:dyDescent="0.25">
      <c r="A253" s="1" t="str">
        <f ca="1">IFERROR(__xludf.DUMMYFUNCTION("""COMPUTED_VALUE"""),"Oakland")</f>
        <v>Oakland</v>
      </c>
      <c r="B253" s="1">
        <f ca="1">IFERROR(__xludf.DUMMYFUNCTION("""COMPUTED_VALUE"""),33)</f>
        <v>33</v>
      </c>
      <c r="C253" s="1">
        <f ca="1">IFERROR(__xludf.DUMMYFUNCTION("""COMPUTED_VALUE"""),16)</f>
        <v>16</v>
      </c>
      <c r="D253" s="1">
        <f ca="1">IFERROR(__xludf.DUMMYFUNCTION("""COMPUTED_VALUE"""),17)</f>
        <v>17</v>
      </c>
      <c r="E253" s="1">
        <f ca="1">IFERROR(__xludf.DUMMYFUNCTION("""COMPUTED_VALUE"""),0.485)</f>
        <v>0.48499999999999999</v>
      </c>
      <c r="F253" s="1">
        <f ca="1">IFERROR(__xludf.DUMMYFUNCTION("""COMPUTED_VALUE"""),-2.27)</f>
        <v>-2.27</v>
      </c>
      <c r="G253" s="1">
        <f ca="1">IFERROR(__xludf.DUMMYFUNCTION("""COMPUTED_VALUE"""),-1.48)</f>
        <v>-1.48</v>
      </c>
      <c r="H253" s="1">
        <f ca="1">IFERROR(__xludf.DUMMYFUNCTION("""COMPUTED_VALUE"""),11)</f>
        <v>11</v>
      </c>
      <c r="I253" s="1">
        <f ca="1">IFERROR(__xludf.DUMMYFUNCTION("""COMPUTED_VALUE"""),7)</f>
        <v>7</v>
      </c>
      <c r="J253" s="1">
        <f ca="1">IFERROR(__xludf.DUMMYFUNCTION("""COMPUTED_VALUE"""),10)</f>
        <v>10</v>
      </c>
      <c r="K253" s="1">
        <f ca="1">IFERROR(__xludf.DUMMYFUNCTION("""COMPUTED_VALUE"""),6)</f>
        <v>6</v>
      </c>
      <c r="L253" s="1">
        <f ca="1">IFERROR(__xludf.DUMMYFUNCTION("""COMPUTED_VALUE"""),6)</f>
        <v>6</v>
      </c>
      <c r="M253" s="1">
        <f ca="1">IFERROR(__xludf.DUMMYFUNCTION("""COMPUTED_VALUE"""),10)</f>
        <v>10</v>
      </c>
      <c r="N253" s="1">
        <f ca="1">IFERROR(__xludf.DUMMYFUNCTION("""COMPUTED_VALUE"""),2534)</f>
        <v>2534</v>
      </c>
      <c r="O253" s="1">
        <f ca="1">IFERROR(__xludf.DUMMYFUNCTION("""COMPUTED_VALUE"""),2515)</f>
        <v>2515</v>
      </c>
      <c r="P253" s="1">
        <f ca="1">IFERROR(__xludf.DUMMYFUNCTION("""COMPUTED_VALUE"""),1325)</f>
        <v>1325</v>
      </c>
      <c r="Q253" s="1">
        <f ca="1">IFERROR(__xludf.DUMMYFUNCTION("""COMPUTED_VALUE"""),864)</f>
        <v>864</v>
      </c>
      <c r="R253" s="1">
        <f ca="1">IFERROR(__xludf.DUMMYFUNCTION("""COMPUTED_VALUE"""),1859)</f>
        <v>1859</v>
      </c>
      <c r="S253" s="1">
        <f ca="1">IFERROR(__xludf.DUMMYFUNCTION("""COMPUTED_VALUE"""),0.465)</f>
        <v>0.46500000000000002</v>
      </c>
      <c r="T253" s="1">
        <f ca="1">IFERROR(__xludf.DUMMYFUNCTION("""COMPUTED_VALUE"""),314)</f>
        <v>314</v>
      </c>
      <c r="U253" s="1">
        <f ca="1">IFERROR(__xludf.DUMMYFUNCTION("""COMPUTED_VALUE"""),816)</f>
        <v>816</v>
      </c>
      <c r="V253" s="1">
        <f ca="1">IFERROR(__xludf.DUMMYFUNCTION("""COMPUTED_VALUE"""),0.385)</f>
        <v>0.38500000000000001</v>
      </c>
      <c r="W253" s="1">
        <f ca="1">IFERROR(__xludf.DUMMYFUNCTION("""COMPUTED_VALUE"""),492)</f>
        <v>492</v>
      </c>
      <c r="X253" s="1">
        <f ca="1">IFERROR(__xludf.DUMMYFUNCTION("""COMPUTED_VALUE"""),663)</f>
        <v>663</v>
      </c>
      <c r="Y253" s="1">
        <f ca="1">IFERROR(__xludf.DUMMYFUNCTION("""COMPUTED_VALUE"""),0.742)</f>
        <v>0.74199999999999999</v>
      </c>
      <c r="Z253" s="1">
        <f ca="1">IFERROR(__xludf.DUMMYFUNCTION("""COMPUTED_VALUE"""),275)</f>
        <v>275</v>
      </c>
      <c r="AA253" s="1">
        <f ca="1">IFERROR(__xludf.DUMMYFUNCTION("""COMPUTED_VALUE"""),1063)</f>
        <v>1063</v>
      </c>
      <c r="AB253" s="1">
        <f ca="1">IFERROR(__xludf.DUMMYFUNCTION("""COMPUTED_VALUE"""),580)</f>
        <v>580</v>
      </c>
      <c r="AC253" s="1">
        <f ca="1">IFERROR(__xludf.DUMMYFUNCTION("""COMPUTED_VALUE"""),191)</f>
        <v>191</v>
      </c>
      <c r="AD253" s="1">
        <f ca="1">IFERROR(__xludf.DUMMYFUNCTION("""COMPUTED_VALUE"""),99)</f>
        <v>99</v>
      </c>
      <c r="AE253" s="1">
        <f ca="1">IFERROR(__xludf.DUMMYFUNCTION("""COMPUTED_VALUE"""),426)</f>
        <v>426</v>
      </c>
      <c r="AF253" s="1">
        <f ca="1">IFERROR(__xludf.DUMMYFUNCTION("""COMPUTED_VALUE"""),534)</f>
        <v>534</v>
      </c>
    </row>
    <row r="254" spans="1:32" ht="12.5" x14ac:dyDescent="0.25">
      <c r="A254" s="1" t="str">
        <f ca="1">IFERROR(__xludf.DUMMYFUNCTION("""COMPUTED_VALUE"""),"Ohio State")</f>
        <v>Ohio State</v>
      </c>
      <c r="B254" s="1">
        <f ca="1">IFERROR(__xludf.DUMMYFUNCTION("""COMPUTED_VALUE"""),35)</f>
        <v>35</v>
      </c>
      <c r="C254" s="1">
        <f ca="1">IFERROR(__xludf.DUMMYFUNCTION("""COMPUTED_VALUE"""),20)</f>
        <v>20</v>
      </c>
      <c r="D254" s="1">
        <f ca="1">IFERROR(__xludf.DUMMYFUNCTION("""COMPUTED_VALUE"""),15)</f>
        <v>15</v>
      </c>
      <c r="E254" s="1">
        <f ca="1">IFERROR(__xludf.DUMMYFUNCTION("""COMPUTED_VALUE"""),0.571)</f>
        <v>0.57099999999999995</v>
      </c>
      <c r="F254" s="1">
        <f ca="1">IFERROR(__xludf.DUMMYFUNCTION("""COMPUTED_VALUE"""),13.89)</f>
        <v>13.89</v>
      </c>
      <c r="G254" s="1">
        <f ca="1">IFERROR(__xludf.DUMMYFUNCTION("""COMPUTED_VALUE"""),11)</f>
        <v>11</v>
      </c>
      <c r="H254" s="1">
        <f ca="1">IFERROR(__xludf.DUMMYFUNCTION("""COMPUTED_VALUE"""),8)</f>
        <v>8</v>
      </c>
      <c r="I254" s="1">
        <f ca="1">IFERROR(__xludf.DUMMYFUNCTION("""COMPUTED_VALUE"""),12)</f>
        <v>12</v>
      </c>
      <c r="J254" s="1">
        <f ca="1">IFERROR(__xludf.DUMMYFUNCTION("""COMPUTED_VALUE"""),12)</f>
        <v>12</v>
      </c>
      <c r="K254" s="1">
        <f ca="1">IFERROR(__xludf.DUMMYFUNCTION("""COMPUTED_VALUE"""),6)</f>
        <v>6</v>
      </c>
      <c r="L254" s="1">
        <f ca="1">IFERROR(__xludf.DUMMYFUNCTION("""COMPUTED_VALUE"""),4)</f>
        <v>4</v>
      </c>
      <c r="M254" s="1">
        <f ca="1">IFERROR(__xludf.DUMMYFUNCTION("""COMPUTED_VALUE"""),7)</f>
        <v>7</v>
      </c>
      <c r="N254" s="1">
        <f ca="1">IFERROR(__xludf.DUMMYFUNCTION("""COMPUTED_VALUE"""),2419)</f>
        <v>2419</v>
      </c>
      <c r="O254" s="1">
        <f ca="1">IFERROR(__xludf.DUMMYFUNCTION("""COMPUTED_VALUE"""),2318)</f>
        <v>2318</v>
      </c>
      <c r="P254" s="1">
        <f ca="1">IFERROR(__xludf.DUMMYFUNCTION("""COMPUTED_VALUE"""),1405)</f>
        <v>1405</v>
      </c>
      <c r="Q254" s="1">
        <f ca="1">IFERROR(__xludf.DUMMYFUNCTION("""COMPUTED_VALUE"""),839)</f>
        <v>839</v>
      </c>
      <c r="R254" s="1">
        <f ca="1">IFERROR(__xludf.DUMMYFUNCTION("""COMPUTED_VALUE"""),1931)</f>
        <v>1931</v>
      </c>
      <c r="S254" s="1">
        <f ca="1">IFERROR(__xludf.DUMMYFUNCTION("""COMPUTED_VALUE"""),0.434)</f>
        <v>0.434</v>
      </c>
      <c r="T254" s="1">
        <f ca="1">IFERROR(__xludf.DUMMYFUNCTION("""COMPUTED_VALUE"""),264)</f>
        <v>264</v>
      </c>
      <c r="U254" s="1">
        <f ca="1">IFERROR(__xludf.DUMMYFUNCTION("""COMPUTED_VALUE"""),774)</f>
        <v>774</v>
      </c>
      <c r="V254" s="1">
        <f ca="1">IFERROR(__xludf.DUMMYFUNCTION("""COMPUTED_VALUE"""),0.341)</f>
        <v>0.34100000000000003</v>
      </c>
      <c r="W254" s="1">
        <f ca="1">IFERROR(__xludf.DUMMYFUNCTION("""COMPUTED_VALUE"""),477)</f>
        <v>477</v>
      </c>
      <c r="X254" s="1">
        <f ca="1">IFERROR(__xludf.DUMMYFUNCTION("""COMPUTED_VALUE"""),650)</f>
        <v>650</v>
      </c>
      <c r="Y254" s="1">
        <f ca="1">IFERROR(__xludf.DUMMYFUNCTION("""COMPUTED_VALUE"""),0.734)</f>
        <v>0.73399999999999999</v>
      </c>
      <c r="Z254" s="1">
        <f ca="1">IFERROR(__xludf.DUMMYFUNCTION("""COMPUTED_VALUE"""),328)</f>
        <v>328</v>
      </c>
      <c r="AA254" s="1">
        <f ca="1">IFERROR(__xludf.DUMMYFUNCTION("""COMPUTED_VALUE"""),1215)</f>
        <v>1215</v>
      </c>
      <c r="AB254" s="1">
        <f ca="1">IFERROR(__xludf.DUMMYFUNCTION("""COMPUTED_VALUE"""),494)</f>
        <v>494</v>
      </c>
      <c r="AC254" s="1">
        <f ca="1">IFERROR(__xludf.DUMMYFUNCTION("""COMPUTED_VALUE"""),206)</f>
        <v>206</v>
      </c>
      <c r="AD254" s="1">
        <f ca="1">IFERROR(__xludf.DUMMYFUNCTION("""COMPUTED_VALUE"""),85)</f>
        <v>85</v>
      </c>
      <c r="AE254" s="1">
        <f ca="1">IFERROR(__xludf.DUMMYFUNCTION("""COMPUTED_VALUE"""),438)</f>
        <v>438</v>
      </c>
      <c r="AF254" s="1">
        <f ca="1">IFERROR(__xludf.DUMMYFUNCTION("""COMPUTED_VALUE"""),623)</f>
        <v>623</v>
      </c>
    </row>
    <row r="255" spans="1:32" ht="12.5" x14ac:dyDescent="0.25">
      <c r="A255" s="1" t="str">
        <f ca="1">IFERROR(__xludf.DUMMYFUNCTION("""COMPUTED_VALUE"""),"Ohio")</f>
        <v>Ohio</v>
      </c>
      <c r="B255" s="1">
        <f ca="1">IFERROR(__xludf.DUMMYFUNCTION("""COMPUTED_VALUE"""),31)</f>
        <v>31</v>
      </c>
      <c r="C255" s="1">
        <f ca="1">IFERROR(__xludf.DUMMYFUNCTION("""COMPUTED_VALUE"""),14)</f>
        <v>14</v>
      </c>
      <c r="D255" s="1">
        <f ca="1">IFERROR(__xludf.DUMMYFUNCTION("""COMPUTED_VALUE"""),17)</f>
        <v>17</v>
      </c>
      <c r="E255" s="1">
        <f ca="1">IFERROR(__xludf.DUMMYFUNCTION("""COMPUTED_VALUE"""),0.452)</f>
        <v>0.45200000000000001</v>
      </c>
      <c r="F255" s="1">
        <f ca="1">IFERROR(__xludf.DUMMYFUNCTION("""COMPUTED_VALUE"""),-1.84)</f>
        <v>-1.84</v>
      </c>
      <c r="G255" s="1">
        <f ca="1">IFERROR(__xludf.DUMMYFUNCTION("""COMPUTED_VALUE"""),3.16)</f>
        <v>3.16</v>
      </c>
      <c r="H255" s="1">
        <f ca="1">IFERROR(__xludf.DUMMYFUNCTION("""COMPUTED_VALUE"""),6)</f>
        <v>6</v>
      </c>
      <c r="I255" s="1">
        <f ca="1">IFERROR(__xludf.DUMMYFUNCTION("""COMPUTED_VALUE"""),12)</f>
        <v>12</v>
      </c>
      <c r="J255" s="1">
        <f ca="1">IFERROR(__xludf.DUMMYFUNCTION("""COMPUTED_VALUE"""),11)</f>
        <v>11</v>
      </c>
      <c r="K255" s="1">
        <f ca="1">IFERROR(__xludf.DUMMYFUNCTION("""COMPUTED_VALUE"""),5)</f>
        <v>5</v>
      </c>
      <c r="L255" s="1">
        <f ca="1">IFERROR(__xludf.DUMMYFUNCTION("""COMPUTED_VALUE"""),3)</f>
        <v>3</v>
      </c>
      <c r="M255" s="1">
        <f ca="1">IFERROR(__xludf.DUMMYFUNCTION("""COMPUTED_VALUE"""),10)</f>
        <v>10</v>
      </c>
      <c r="N255" s="1">
        <f ca="1">IFERROR(__xludf.DUMMYFUNCTION("""COMPUTED_VALUE"""),2174)</f>
        <v>2174</v>
      </c>
      <c r="O255" s="1">
        <f ca="1">IFERROR(__xludf.DUMMYFUNCTION("""COMPUTED_VALUE"""),2288)</f>
        <v>2288</v>
      </c>
      <c r="P255" s="1">
        <f ca="1">IFERROR(__xludf.DUMMYFUNCTION("""COMPUTED_VALUE"""),1255)</f>
        <v>1255</v>
      </c>
      <c r="Q255" s="1">
        <f ca="1">IFERROR(__xludf.DUMMYFUNCTION("""COMPUTED_VALUE"""),803)</f>
        <v>803</v>
      </c>
      <c r="R255" s="1">
        <f ca="1">IFERROR(__xludf.DUMMYFUNCTION("""COMPUTED_VALUE"""),1838)</f>
        <v>1838</v>
      </c>
      <c r="S255" s="1">
        <f ca="1">IFERROR(__xludf.DUMMYFUNCTION("""COMPUTED_VALUE"""),0.437)</f>
        <v>0.437</v>
      </c>
      <c r="T255" s="1">
        <f ca="1">IFERROR(__xludf.DUMMYFUNCTION("""COMPUTED_VALUE"""),187)</f>
        <v>187</v>
      </c>
      <c r="U255" s="1">
        <f ca="1">IFERROR(__xludf.DUMMYFUNCTION("""COMPUTED_VALUE"""),633)</f>
        <v>633</v>
      </c>
      <c r="V255" s="1">
        <f ca="1">IFERROR(__xludf.DUMMYFUNCTION("""COMPUTED_VALUE"""),0.295)</f>
        <v>0.29499999999999998</v>
      </c>
      <c r="W255" s="1">
        <f ca="1">IFERROR(__xludf.DUMMYFUNCTION("""COMPUTED_VALUE"""),381)</f>
        <v>381</v>
      </c>
      <c r="X255" s="1">
        <f ca="1">IFERROR(__xludf.DUMMYFUNCTION("""COMPUTED_VALUE"""),602)</f>
        <v>602</v>
      </c>
      <c r="Y255" s="1">
        <f ca="1">IFERROR(__xludf.DUMMYFUNCTION("""COMPUTED_VALUE"""),0.633)</f>
        <v>0.63300000000000001</v>
      </c>
      <c r="Z255" s="1">
        <f ca="1">IFERROR(__xludf.DUMMYFUNCTION("""COMPUTED_VALUE"""),332)</f>
        <v>332</v>
      </c>
      <c r="AA255" s="1">
        <f ca="1">IFERROR(__xludf.DUMMYFUNCTION("""COMPUTED_VALUE"""),1152)</f>
        <v>1152</v>
      </c>
      <c r="AB255" s="1">
        <f ca="1">IFERROR(__xludf.DUMMYFUNCTION("""COMPUTED_VALUE"""),451)</f>
        <v>451</v>
      </c>
      <c r="AC255" s="1">
        <f ca="1">IFERROR(__xludf.DUMMYFUNCTION("""COMPUTED_VALUE"""),200)</f>
        <v>200</v>
      </c>
      <c r="AD255" s="1">
        <f ca="1">IFERROR(__xludf.DUMMYFUNCTION("""COMPUTED_VALUE"""),115)</f>
        <v>115</v>
      </c>
      <c r="AE255" s="1">
        <f ca="1">IFERROR(__xludf.DUMMYFUNCTION("""COMPUTED_VALUE"""),448)</f>
        <v>448</v>
      </c>
      <c r="AF255" s="1">
        <f ca="1">IFERROR(__xludf.DUMMYFUNCTION("""COMPUTED_VALUE"""),504)</f>
        <v>504</v>
      </c>
    </row>
    <row r="256" spans="1:32" ht="12.5" x14ac:dyDescent="0.25">
      <c r="A256" s="1" t="str">
        <f ca="1">IFERROR(__xludf.DUMMYFUNCTION("""COMPUTED_VALUE"""),"Oklahoma State")</f>
        <v>Oklahoma State</v>
      </c>
      <c r="B256" s="1">
        <f ca="1">IFERROR(__xludf.DUMMYFUNCTION("""COMPUTED_VALUE"""),32)</f>
        <v>32</v>
      </c>
      <c r="C256" s="1">
        <f ca="1">IFERROR(__xludf.DUMMYFUNCTION("""COMPUTED_VALUE"""),12)</f>
        <v>12</v>
      </c>
      <c r="D256" s="1">
        <f ca="1">IFERROR(__xludf.DUMMYFUNCTION("""COMPUTED_VALUE"""),20)</f>
        <v>20</v>
      </c>
      <c r="E256" s="1">
        <f ca="1">IFERROR(__xludf.DUMMYFUNCTION("""COMPUTED_VALUE"""),0.375)</f>
        <v>0.375</v>
      </c>
      <c r="F256" s="1">
        <f ca="1">IFERROR(__xludf.DUMMYFUNCTION("""COMPUTED_VALUE"""),8.09)</f>
        <v>8.09</v>
      </c>
      <c r="G256" s="1">
        <f ca="1">IFERROR(__xludf.DUMMYFUNCTION("""COMPUTED_VALUE"""),11.53)</f>
        <v>11.53</v>
      </c>
      <c r="H256" s="1">
        <f ca="1">IFERROR(__xludf.DUMMYFUNCTION("""COMPUTED_VALUE"""),5)</f>
        <v>5</v>
      </c>
      <c r="I256" s="1">
        <f ca="1">IFERROR(__xludf.DUMMYFUNCTION("""COMPUTED_VALUE"""),13)</f>
        <v>13</v>
      </c>
      <c r="J256" s="1">
        <f ca="1">IFERROR(__xludf.DUMMYFUNCTION("""COMPUTED_VALUE"""),8)</f>
        <v>8</v>
      </c>
      <c r="K256" s="1">
        <f ca="1">IFERROR(__xludf.DUMMYFUNCTION("""COMPUTED_VALUE"""),7)</f>
        <v>7</v>
      </c>
      <c r="L256" s="1">
        <f ca="1">IFERROR(__xludf.DUMMYFUNCTION("""COMPUTED_VALUE"""),2)</f>
        <v>2</v>
      </c>
      <c r="M256" s="1">
        <f ca="1">IFERROR(__xludf.DUMMYFUNCTION("""COMPUTED_VALUE"""),10)</f>
        <v>10</v>
      </c>
      <c r="N256" s="1">
        <f ca="1">IFERROR(__xludf.DUMMYFUNCTION("""COMPUTED_VALUE"""),2178)</f>
        <v>2178</v>
      </c>
      <c r="O256" s="1">
        <f ca="1">IFERROR(__xludf.DUMMYFUNCTION("""COMPUTED_VALUE"""),2288)</f>
        <v>2288</v>
      </c>
      <c r="P256" s="1">
        <f ca="1">IFERROR(__xludf.DUMMYFUNCTION("""COMPUTED_VALUE"""),1285)</f>
        <v>1285</v>
      </c>
      <c r="Q256" s="1">
        <f ca="1">IFERROR(__xludf.DUMMYFUNCTION("""COMPUTED_VALUE"""),760)</f>
        <v>760</v>
      </c>
      <c r="R256" s="1">
        <f ca="1">IFERROR(__xludf.DUMMYFUNCTION("""COMPUTED_VALUE"""),1796)</f>
        <v>1796</v>
      </c>
      <c r="S256" s="1">
        <f ca="1">IFERROR(__xludf.DUMMYFUNCTION("""COMPUTED_VALUE"""),0.423)</f>
        <v>0.42299999999999999</v>
      </c>
      <c r="T256" s="1">
        <f ca="1">IFERROR(__xludf.DUMMYFUNCTION("""COMPUTED_VALUE"""),280)</f>
        <v>280</v>
      </c>
      <c r="U256" s="1">
        <f ca="1">IFERROR(__xludf.DUMMYFUNCTION("""COMPUTED_VALUE"""),753)</f>
        <v>753</v>
      </c>
      <c r="V256" s="1">
        <f ca="1">IFERROR(__xludf.DUMMYFUNCTION("""COMPUTED_VALUE"""),0.372)</f>
        <v>0.372</v>
      </c>
      <c r="W256" s="1">
        <f ca="1">IFERROR(__xludf.DUMMYFUNCTION("""COMPUTED_VALUE"""),378)</f>
        <v>378</v>
      </c>
      <c r="X256" s="1">
        <f ca="1">IFERROR(__xludf.DUMMYFUNCTION("""COMPUTED_VALUE"""),549)</f>
        <v>549</v>
      </c>
      <c r="Y256" s="1">
        <f ca="1">IFERROR(__xludf.DUMMYFUNCTION("""COMPUTED_VALUE"""),0.689)</f>
        <v>0.68899999999999995</v>
      </c>
      <c r="Z256" s="1">
        <f ca="1">IFERROR(__xludf.DUMMYFUNCTION("""COMPUTED_VALUE"""),295)</f>
        <v>295</v>
      </c>
      <c r="AA256" s="1">
        <f ca="1">IFERROR(__xludf.DUMMYFUNCTION("""COMPUTED_VALUE"""),1093)</f>
        <v>1093</v>
      </c>
      <c r="AB256" s="1">
        <f ca="1">IFERROR(__xludf.DUMMYFUNCTION("""COMPUTED_VALUE"""),422)</f>
        <v>422</v>
      </c>
      <c r="AC256" s="1">
        <f ca="1">IFERROR(__xludf.DUMMYFUNCTION("""COMPUTED_VALUE"""),183)</f>
        <v>183</v>
      </c>
      <c r="AD256" s="1">
        <f ca="1">IFERROR(__xludf.DUMMYFUNCTION("""COMPUTED_VALUE"""),139)</f>
        <v>139</v>
      </c>
      <c r="AE256" s="1">
        <f ca="1">IFERROR(__xludf.DUMMYFUNCTION("""COMPUTED_VALUE"""),386)</f>
        <v>386</v>
      </c>
      <c r="AF256" s="1">
        <f ca="1">IFERROR(__xludf.DUMMYFUNCTION("""COMPUTED_VALUE"""),516)</f>
        <v>516</v>
      </c>
    </row>
    <row r="257" spans="1:32" ht="12.5" x14ac:dyDescent="0.25">
      <c r="A257" s="1" t="str">
        <f ca="1">IFERROR(__xludf.DUMMYFUNCTION("""COMPUTED_VALUE"""),"Oklahoma")</f>
        <v>Oklahoma</v>
      </c>
      <c r="B257" s="1">
        <f ca="1">IFERROR(__xludf.DUMMYFUNCTION("""COMPUTED_VALUE"""),34)</f>
        <v>34</v>
      </c>
      <c r="C257" s="1">
        <f ca="1">IFERROR(__xludf.DUMMYFUNCTION("""COMPUTED_VALUE"""),20)</f>
        <v>20</v>
      </c>
      <c r="D257" s="1">
        <f ca="1">IFERROR(__xludf.DUMMYFUNCTION("""COMPUTED_VALUE"""),14)</f>
        <v>14</v>
      </c>
      <c r="E257" s="1">
        <f ca="1">IFERROR(__xludf.DUMMYFUNCTION("""COMPUTED_VALUE"""),0.588)</f>
        <v>0.58799999999999997</v>
      </c>
      <c r="F257" s="1">
        <f ca="1">IFERROR(__xludf.DUMMYFUNCTION("""COMPUTED_VALUE"""),15.3)</f>
        <v>15.3</v>
      </c>
      <c r="G257" s="1">
        <f ca="1">IFERROR(__xludf.DUMMYFUNCTION("""COMPUTED_VALUE"""),12.21)</f>
        <v>12.21</v>
      </c>
      <c r="H257" s="1">
        <f ca="1">IFERROR(__xludf.DUMMYFUNCTION("""COMPUTED_VALUE"""),7)</f>
        <v>7</v>
      </c>
      <c r="I257" s="1">
        <f ca="1">IFERROR(__xludf.DUMMYFUNCTION("""COMPUTED_VALUE"""),11)</f>
        <v>11</v>
      </c>
      <c r="J257" s="1">
        <f ca="1">IFERROR(__xludf.DUMMYFUNCTION("""COMPUTED_VALUE"""),11)</f>
        <v>11</v>
      </c>
      <c r="K257" s="1">
        <f ca="1">IFERROR(__xludf.DUMMYFUNCTION("""COMPUTED_VALUE"""),4)</f>
        <v>4</v>
      </c>
      <c r="L257" s="1">
        <f ca="1">IFERROR(__xludf.DUMMYFUNCTION("""COMPUTED_VALUE"""),5)</f>
        <v>5</v>
      </c>
      <c r="M257" s="1">
        <f ca="1">IFERROR(__xludf.DUMMYFUNCTION("""COMPUTED_VALUE"""),7)</f>
        <v>7</v>
      </c>
      <c r="N257" s="1">
        <f ca="1">IFERROR(__xludf.DUMMYFUNCTION("""COMPUTED_VALUE"""),2423)</f>
        <v>2423</v>
      </c>
      <c r="O257" s="1">
        <f ca="1">IFERROR(__xludf.DUMMYFUNCTION("""COMPUTED_VALUE"""),2318)</f>
        <v>2318</v>
      </c>
      <c r="P257" s="1">
        <f ca="1">IFERROR(__xludf.DUMMYFUNCTION("""COMPUTED_VALUE"""),1365)</f>
        <v>1365</v>
      </c>
      <c r="Q257" s="1">
        <f ca="1">IFERROR(__xludf.DUMMYFUNCTION("""COMPUTED_VALUE"""),883)</f>
        <v>883</v>
      </c>
      <c r="R257" s="1">
        <f ca="1">IFERROR(__xludf.DUMMYFUNCTION("""COMPUTED_VALUE"""),1975)</f>
        <v>1975</v>
      </c>
      <c r="S257" s="1">
        <f ca="1">IFERROR(__xludf.DUMMYFUNCTION("""COMPUTED_VALUE"""),0.447)</f>
        <v>0.44700000000000001</v>
      </c>
      <c r="T257" s="1">
        <f ca="1">IFERROR(__xludf.DUMMYFUNCTION("""COMPUTED_VALUE"""),226)</f>
        <v>226</v>
      </c>
      <c r="U257" s="1">
        <f ca="1">IFERROR(__xludf.DUMMYFUNCTION("""COMPUTED_VALUE"""),654)</f>
        <v>654</v>
      </c>
      <c r="V257" s="1">
        <f ca="1">IFERROR(__xludf.DUMMYFUNCTION("""COMPUTED_VALUE"""),0.346)</f>
        <v>0.34599999999999997</v>
      </c>
      <c r="W257" s="1">
        <f ca="1">IFERROR(__xludf.DUMMYFUNCTION("""COMPUTED_VALUE"""),431)</f>
        <v>431</v>
      </c>
      <c r="X257" s="1">
        <f ca="1">IFERROR(__xludf.DUMMYFUNCTION("""COMPUTED_VALUE"""),618)</f>
        <v>618</v>
      </c>
      <c r="Y257" s="1">
        <f ca="1">IFERROR(__xludf.DUMMYFUNCTION("""COMPUTED_VALUE"""),0.697)</f>
        <v>0.69699999999999995</v>
      </c>
      <c r="Z257" s="1">
        <f ca="1">IFERROR(__xludf.DUMMYFUNCTION("""COMPUTED_VALUE"""),305)</f>
        <v>305</v>
      </c>
      <c r="AA257" s="1">
        <f ca="1">IFERROR(__xludf.DUMMYFUNCTION("""COMPUTED_VALUE"""),1263)</f>
        <v>1263</v>
      </c>
      <c r="AB257" s="1">
        <f ca="1">IFERROR(__xludf.DUMMYFUNCTION("""COMPUTED_VALUE"""),430)</f>
        <v>430</v>
      </c>
      <c r="AC257" s="1">
        <f ca="1">IFERROR(__xludf.DUMMYFUNCTION("""COMPUTED_VALUE"""),203)</f>
        <v>203</v>
      </c>
      <c r="AD257" s="1">
        <f ca="1">IFERROR(__xludf.DUMMYFUNCTION("""COMPUTED_VALUE"""),102)</f>
        <v>102</v>
      </c>
      <c r="AE257" s="1">
        <f ca="1">IFERROR(__xludf.DUMMYFUNCTION("""COMPUTED_VALUE"""),401)</f>
        <v>401</v>
      </c>
      <c r="AF257" s="1">
        <f ca="1">IFERROR(__xludf.DUMMYFUNCTION("""COMPUTED_VALUE"""),527)</f>
        <v>527</v>
      </c>
    </row>
    <row r="258" spans="1:32" ht="12.5" x14ac:dyDescent="0.25">
      <c r="A258" s="1" t="str">
        <f ca="1">IFERROR(__xludf.DUMMYFUNCTION("""COMPUTED_VALUE"""),"Old Dominion")</f>
        <v>Old Dominion</v>
      </c>
      <c r="B258" s="1">
        <f ca="1">IFERROR(__xludf.DUMMYFUNCTION("""COMPUTED_VALUE"""),35)</f>
        <v>35</v>
      </c>
      <c r="C258" s="1">
        <f ca="1">IFERROR(__xludf.DUMMYFUNCTION("""COMPUTED_VALUE"""),26)</f>
        <v>26</v>
      </c>
      <c r="D258" s="1">
        <f ca="1">IFERROR(__xludf.DUMMYFUNCTION("""COMPUTED_VALUE"""),9)</f>
        <v>9</v>
      </c>
      <c r="E258" s="1">
        <f ca="1">IFERROR(__xludf.DUMMYFUNCTION("""COMPUTED_VALUE"""),0.743)</f>
        <v>0.74299999999999999</v>
      </c>
      <c r="F258" s="1">
        <f ca="1">IFERROR(__xludf.DUMMYFUNCTION("""COMPUTED_VALUE"""),3.74)</f>
        <v>3.74</v>
      </c>
      <c r="G258" s="1">
        <f ca="1">IFERROR(__xludf.DUMMYFUNCTION("""COMPUTED_VALUE"""),-1.18)</f>
        <v>-1.18</v>
      </c>
      <c r="H258" s="1">
        <f ca="1">IFERROR(__xludf.DUMMYFUNCTION("""COMPUTED_VALUE"""),13)</f>
        <v>13</v>
      </c>
      <c r="I258" s="1">
        <f ca="1">IFERROR(__xludf.DUMMYFUNCTION("""COMPUTED_VALUE"""),5)</f>
        <v>5</v>
      </c>
      <c r="J258" s="1">
        <f ca="1">IFERROR(__xludf.DUMMYFUNCTION("""COMPUTED_VALUE"""),14)</f>
        <v>14</v>
      </c>
      <c r="K258" s="1">
        <f ca="1">IFERROR(__xludf.DUMMYFUNCTION("""COMPUTED_VALUE"""),2)</f>
        <v>2</v>
      </c>
      <c r="L258" s="1">
        <f ca="1">IFERROR(__xludf.DUMMYFUNCTION("""COMPUTED_VALUE"""),8)</f>
        <v>8</v>
      </c>
      <c r="M258" s="1">
        <f ca="1">IFERROR(__xludf.DUMMYFUNCTION("""COMPUTED_VALUE"""),4)</f>
        <v>4</v>
      </c>
      <c r="N258" s="1">
        <f ca="1">IFERROR(__xludf.DUMMYFUNCTION("""COMPUTED_VALUE"""),2300)</f>
        <v>2300</v>
      </c>
      <c r="O258" s="1">
        <f ca="1">IFERROR(__xludf.DUMMYFUNCTION("""COMPUTED_VALUE"""),2128)</f>
        <v>2128</v>
      </c>
      <c r="P258" s="1">
        <f ca="1">IFERROR(__xludf.DUMMYFUNCTION("""COMPUTED_VALUE"""),1400)</f>
        <v>1400</v>
      </c>
      <c r="Q258" s="1">
        <f ca="1">IFERROR(__xludf.DUMMYFUNCTION("""COMPUTED_VALUE"""),823)</f>
        <v>823</v>
      </c>
      <c r="R258" s="1">
        <f ca="1">IFERROR(__xludf.DUMMYFUNCTION("""COMPUTED_VALUE"""),2026)</f>
        <v>2026</v>
      </c>
      <c r="S258" s="1">
        <f ca="1">IFERROR(__xludf.DUMMYFUNCTION("""COMPUTED_VALUE"""),0.406)</f>
        <v>0.40600000000000003</v>
      </c>
      <c r="T258" s="1">
        <f ca="1">IFERROR(__xludf.DUMMYFUNCTION("""COMPUTED_VALUE"""),264)</f>
        <v>264</v>
      </c>
      <c r="U258" s="1">
        <f ca="1">IFERROR(__xludf.DUMMYFUNCTION("""COMPUTED_VALUE"""),756)</f>
        <v>756</v>
      </c>
      <c r="V258" s="1">
        <f ca="1">IFERROR(__xludf.DUMMYFUNCTION("""COMPUTED_VALUE"""),0.349)</f>
        <v>0.34899999999999998</v>
      </c>
      <c r="W258" s="1">
        <f ca="1">IFERROR(__xludf.DUMMYFUNCTION("""COMPUTED_VALUE"""),388)</f>
        <v>388</v>
      </c>
      <c r="X258" s="1">
        <f ca="1">IFERROR(__xludf.DUMMYFUNCTION("""COMPUTED_VALUE"""),585)</f>
        <v>585</v>
      </c>
      <c r="Y258" s="1">
        <f ca="1">IFERROR(__xludf.DUMMYFUNCTION("""COMPUTED_VALUE"""),0.663)</f>
        <v>0.66300000000000003</v>
      </c>
      <c r="Z258" s="1">
        <f ca="1">IFERROR(__xludf.DUMMYFUNCTION("""COMPUTED_VALUE"""),418)</f>
        <v>418</v>
      </c>
      <c r="AA258" s="1">
        <f ca="1">IFERROR(__xludf.DUMMYFUNCTION("""COMPUTED_VALUE"""),1365)</f>
        <v>1365</v>
      </c>
      <c r="AB258" s="1">
        <f ca="1">IFERROR(__xludf.DUMMYFUNCTION("""COMPUTED_VALUE"""),439)</f>
        <v>439</v>
      </c>
      <c r="AC258" s="1">
        <f ca="1">IFERROR(__xludf.DUMMYFUNCTION("""COMPUTED_VALUE"""),197)</f>
        <v>197</v>
      </c>
      <c r="AD258" s="1">
        <f ca="1">IFERROR(__xludf.DUMMYFUNCTION("""COMPUTED_VALUE"""),160)</f>
        <v>160</v>
      </c>
      <c r="AE258" s="1">
        <f ca="1">IFERROR(__xludf.DUMMYFUNCTION("""COMPUTED_VALUE"""),408)</f>
        <v>408</v>
      </c>
      <c r="AF258" s="1">
        <f ca="1">IFERROR(__xludf.DUMMYFUNCTION("""COMPUTED_VALUE"""),580)</f>
        <v>580</v>
      </c>
    </row>
    <row r="259" spans="1:32" ht="12.5" x14ac:dyDescent="0.25">
      <c r="A259" s="1" t="str">
        <f ca="1">IFERROR(__xludf.DUMMYFUNCTION("""COMPUTED_VALUE"""),"Oral Roberts")</f>
        <v>Oral Roberts</v>
      </c>
      <c r="B259" s="1">
        <f ca="1">IFERROR(__xludf.DUMMYFUNCTION("""COMPUTED_VALUE"""),32)</f>
        <v>32</v>
      </c>
      <c r="C259" s="1">
        <f ca="1">IFERROR(__xludf.DUMMYFUNCTION("""COMPUTED_VALUE"""),11)</f>
        <v>11</v>
      </c>
      <c r="D259" s="1">
        <f ca="1">IFERROR(__xludf.DUMMYFUNCTION("""COMPUTED_VALUE"""),21)</f>
        <v>21</v>
      </c>
      <c r="E259" s="1">
        <f ca="1">IFERROR(__xludf.DUMMYFUNCTION("""COMPUTED_VALUE"""),0.344)</f>
        <v>0.34399999999999997</v>
      </c>
      <c r="F259" s="1">
        <f ca="1">IFERROR(__xludf.DUMMYFUNCTION("""COMPUTED_VALUE"""),-9.34)</f>
        <v>-9.34</v>
      </c>
      <c r="G259" s="1">
        <f ca="1">IFERROR(__xludf.DUMMYFUNCTION("""COMPUTED_VALUE"""),-1.91)</f>
        <v>-1.91</v>
      </c>
      <c r="H259" s="1">
        <f ca="1">IFERROR(__xludf.DUMMYFUNCTION("""COMPUTED_VALUE"""),7)</f>
        <v>7</v>
      </c>
      <c r="I259" s="1">
        <f ca="1">IFERROR(__xludf.DUMMYFUNCTION("""COMPUTED_VALUE"""),9)</f>
        <v>9</v>
      </c>
      <c r="J259" s="1">
        <f ca="1">IFERROR(__xludf.DUMMYFUNCTION("""COMPUTED_VALUE"""),7)</f>
        <v>7</v>
      </c>
      <c r="K259" s="1">
        <f ca="1">IFERROR(__xludf.DUMMYFUNCTION("""COMPUTED_VALUE"""),6)</f>
        <v>6</v>
      </c>
      <c r="L259" s="1">
        <f ca="1">IFERROR(__xludf.DUMMYFUNCTION("""COMPUTED_VALUE"""),3)</f>
        <v>3</v>
      </c>
      <c r="M259" s="1">
        <f ca="1">IFERROR(__xludf.DUMMYFUNCTION("""COMPUTED_VALUE"""),13)</f>
        <v>13</v>
      </c>
      <c r="N259" s="1">
        <f ca="1">IFERROR(__xludf.DUMMYFUNCTION("""COMPUTED_VALUE"""),2314)</f>
        <v>2314</v>
      </c>
      <c r="O259" s="1">
        <f ca="1">IFERROR(__xludf.DUMMYFUNCTION("""COMPUTED_VALUE"""),2483)</f>
        <v>2483</v>
      </c>
      <c r="P259" s="1">
        <f ca="1">IFERROR(__xludf.DUMMYFUNCTION("""COMPUTED_VALUE"""),1285)</f>
        <v>1285</v>
      </c>
      <c r="Q259" s="1">
        <f ca="1">IFERROR(__xludf.DUMMYFUNCTION("""COMPUTED_VALUE"""),854)</f>
        <v>854</v>
      </c>
      <c r="R259" s="1">
        <f ca="1">IFERROR(__xludf.DUMMYFUNCTION("""COMPUTED_VALUE"""),1874)</f>
        <v>1874</v>
      </c>
      <c r="S259" s="1">
        <f ca="1">IFERROR(__xludf.DUMMYFUNCTION("""COMPUTED_VALUE"""),0.456)</f>
        <v>0.45600000000000002</v>
      </c>
      <c r="T259" s="1">
        <f ca="1">IFERROR(__xludf.DUMMYFUNCTION("""COMPUTED_VALUE"""),266)</f>
        <v>266</v>
      </c>
      <c r="U259" s="1">
        <f ca="1">IFERROR(__xludf.DUMMYFUNCTION("""COMPUTED_VALUE"""),734)</f>
        <v>734</v>
      </c>
      <c r="V259" s="1">
        <f ca="1">IFERROR(__xludf.DUMMYFUNCTION("""COMPUTED_VALUE"""),0.362)</f>
        <v>0.36199999999999999</v>
      </c>
      <c r="W259" s="1">
        <f ca="1">IFERROR(__xludf.DUMMYFUNCTION("""COMPUTED_VALUE"""),340)</f>
        <v>340</v>
      </c>
      <c r="X259" s="1">
        <f ca="1">IFERROR(__xludf.DUMMYFUNCTION("""COMPUTED_VALUE"""),492)</f>
        <v>492</v>
      </c>
      <c r="Y259" s="1">
        <f ca="1">IFERROR(__xludf.DUMMYFUNCTION("""COMPUTED_VALUE"""),0.691)</f>
        <v>0.69099999999999995</v>
      </c>
      <c r="Z259" s="1">
        <f ca="1">IFERROR(__xludf.DUMMYFUNCTION("""COMPUTED_VALUE"""),335)</f>
        <v>335</v>
      </c>
      <c r="AA259" s="1">
        <f ca="1">IFERROR(__xludf.DUMMYFUNCTION("""COMPUTED_VALUE"""),1147)</f>
        <v>1147</v>
      </c>
      <c r="AB259" s="1">
        <f ca="1">IFERROR(__xludf.DUMMYFUNCTION("""COMPUTED_VALUE"""),434)</f>
        <v>434</v>
      </c>
      <c r="AC259" s="1">
        <f ca="1">IFERROR(__xludf.DUMMYFUNCTION("""COMPUTED_VALUE"""),152)</f>
        <v>152</v>
      </c>
      <c r="AD259" s="1">
        <f ca="1">IFERROR(__xludf.DUMMYFUNCTION("""COMPUTED_VALUE"""),107)</f>
        <v>107</v>
      </c>
      <c r="AE259" s="1">
        <f ca="1">IFERROR(__xludf.DUMMYFUNCTION("""COMPUTED_VALUE"""),447)</f>
        <v>447</v>
      </c>
      <c r="AF259" s="1">
        <f ca="1">IFERROR(__xludf.DUMMYFUNCTION("""COMPUTED_VALUE"""),575)</f>
        <v>575</v>
      </c>
    </row>
    <row r="260" spans="1:32" ht="12.5" x14ac:dyDescent="0.25">
      <c r="A260" s="1" t="str">
        <f ca="1">IFERROR(__xludf.DUMMYFUNCTION("""COMPUTED_VALUE"""),"Oregon State")</f>
        <v>Oregon State</v>
      </c>
      <c r="B260" s="1">
        <f ca="1">IFERROR(__xludf.DUMMYFUNCTION("""COMPUTED_VALUE"""),31)</f>
        <v>31</v>
      </c>
      <c r="C260" s="1">
        <f ca="1">IFERROR(__xludf.DUMMYFUNCTION("""COMPUTED_VALUE"""),18)</f>
        <v>18</v>
      </c>
      <c r="D260" s="1">
        <f ca="1">IFERROR(__xludf.DUMMYFUNCTION("""COMPUTED_VALUE"""),13)</f>
        <v>13</v>
      </c>
      <c r="E260" s="1">
        <f ca="1">IFERROR(__xludf.DUMMYFUNCTION("""COMPUTED_VALUE"""),0.581)</f>
        <v>0.58099999999999996</v>
      </c>
      <c r="F260" s="1">
        <f ca="1">IFERROR(__xludf.DUMMYFUNCTION("""COMPUTED_VALUE"""),7.84)</f>
        <v>7.84</v>
      </c>
      <c r="G260" s="1">
        <f ca="1">IFERROR(__xludf.DUMMYFUNCTION("""COMPUTED_VALUE"""),4.29)</f>
        <v>4.29</v>
      </c>
      <c r="H260" s="1">
        <f ca="1">IFERROR(__xludf.DUMMYFUNCTION("""COMPUTED_VALUE"""),10)</f>
        <v>10</v>
      </c>
      <c r="I260" s="1">
        <f ca="1">IFERROR(__xludf.DUMMYFUNCTION("""COMPUTED_VALUE"""),8)</f>
        <v>8</v>
      </c>
      <c r="J260" s="1">
        <f ca="1">IFERROR(__xludf.DUMMYFUNCTION("""COMPUTED_VALUE"""),10)</f>
        <v>10</v>
      </c>
      <c r="K260" s="1">
        <f ca="1">IFERROR(__xludf.DUMMYFUNCTION("""COMPUTED_VALUE"""),5)</f>
        <v>5</v>
      </c>
      <c r="L260" s="1">
        <f ca="1">IFERROR(__xludf.DUMMYFUNCTION("""COMPUTED_VALUE"""),6)</f>
        <v>6</v>
      </c>
      <c r="M260" s="1">
        <f ca="1">IFERROR(__xludf.DUMMYFUNCTION("""COMPUTED_VALUE"""),5)</f>
        <v>5</v>
      </c>
      <c r="N260" s="1">
        <f ca="1">IFERROR(__xludf.DUMMYFUNCTION("""COMPUTED_VALUE"""),2275)</f>
        <v>2275</v>
      </c>
      <c r="O260" s="1">
        <f ca="1">IFERROR(__xludf.DUMMYFUNCTION("""COMPUTED_VALUE"""),2165)</f>
        <v>2165</v>
      </c>
      <c r="P260" s="1">
        <f ca="1">IFERROR(__xludf.DUMMYFUNCTION("""COMPUTED_VALUE"""),1250)</f>
        <v>1250</v>
      </c>
      <c r="Q260" s="1">
        <f ca="1">IFERROR(__xludf.DUMMYFUNCTION("""COMPUTED_VALUE"""),800)</f>
        <v>800</v>
      </c>
      <c r="R260" s="1">
        <f ca="1">IFERROR(__xludf.DUMMYFUNCTION("""COMPUTED_VALUE"""),1728)</f>
        <v>1728</v>
      </c>
      <c r="S260" s="1">
        <f ca="1">IFERROR(__xludf.DUMMYFUNCTION("""COMPUTED_VALUE"""),0.463)</f>
        <v>0.46300000000000002</v>
      </c>
      <c r="T260" s="1">
        <f ca="1">IFERROR(__xludf.DUMMYFUNCTION("""COMPUTED_VALUE"""),203)</f>
        <v>203</v>
      </c>
      <c r="U260" s="1">
        <f ca="1">IFERROR(__xludf.DUMMYFUNCTION("""COMPUTED_VALUE"""),633)</f>
        <v>633</v>
      </c>
      <c r="V260" s="1">
        <f ca="1">IFERROR(__xludf.DUMMYFUNCTION("""COMPUTED_VALUE"""),0.321)</f>
        <v>0.32100000000000001</v>
      </c>
      <c r="W260" s="1">
        <f ca="1">IFERROR(__xludf.DUMMYFUNCTION("""COMPUTED_VALUE"""),472)</f>
        <v>472</v>
      </c>
      <c r="X260" s="1">
        <f ca="1">IFERROR(__xludf.DUMMYFUNCTION("""COMPUTED_VALUE"""),636)</f>
        <v>636</v>
      </c>
      <c r="Y260" s="1">
        <f ca="1">IFERROR(__xludf.DUMMYFUNCTION("""COMPUTED_VALUE"""),0.742)</f>
        <v>0.74199999999999999</v>
      </c>
      <c r="Z260" s="1">
        <f ca="1">IFERROR(__xludf.DUMMYFUNCTION("""COMPUTED_VALUE"""),310)</f>
        <v>310</v>
      </c>
      <c r="AA260" s="1">
        <f ca="1">IFERROR(__xludf.DUMMYFUNCTION("""COMPUTED_VALUE"""),1091)</f>
        <v>1091</v>
      </c>
      <c r="AB260" s="1">
        <f ca="1">IFERROR(__xludf.DUMMYFUNCTION("""COMPUTED_VALUE"""),465)</f>
        <v>465</v>
      </c>
      <c r="AC260" s="1">
        <f ca="1">IFERROR(__xludf.DUMMYFUNCTION("""COMPUTED_VALUE"""),185)</f>
        <v>185</v>
      </c>
      <c r="AD260" s="1">
        <f ca="1">IFERROR(__xludf.DUMMYFUNCTION("""COMPUTED_VALUE"""),164)</f>
        <v>164</v>
      </c>
      <c r="AE260" s="1">
        <f ca="1">IFERROR(__xludf.DUMMYFUNCTION("""COMPUTED_VALUE"""),384)</f>
        <v>384</v>
      </c>
      <c r="AF260" s="1">
        <f ca="1">IFERROR(__xludf.DUMMYFUNCTION("""COMPUTED_VALUE"""),536)</f>
        <v>536</v>
      </c>
    </row>
    <row r="261" spans="1:32" ht="12.5" x14ac:dyDescent="0.25">
      <c r="A261" s="1" t="str">
        <f ca="1">IFERROR(__xludf.DUMMYFUNCTION("""COMPUTED_VALUE"""),"Oregon")</f>
        <v>Oregon</v>
      </c>
      <c r="B261" s="1">
        <f ca="1">IFERROR(__xludf.DUMMYFUNCTION("""COMPUTED_VALUE"""),38)</f>
        <v>38</v>
      </c>
      <c r="C261" s="1">
        <f ca="1">IFERROR(__xludf.DUMMYFUNCTION("""COMPUTED_VALUE"""),25)</f>
        <v>25</v>
      </c>
      <c r="D261" s="1">
        <f ca="1">IFERROR(__xludf.DUMMYFUNCTION("""COMPUTED_VALUE"""),13)</f>
        <v>13</v>
      </c>
      <c r="E261" s="1">
        <f ca="1">IFERROR(__xludf.DUMMYFUNCTION("""COMPUTED_VALUE"""),0.658)</f>
        <v>0.65800000000000003</v>
      </c>
      <c r="F261" s="1">
        <f ca="1">IFERROR(__xludf.DUMMYFUNCTION("""COMPUTED_VALUE"""),13.95)</f>
        <v>13.95</v>
      </c>
      <c r="G261" s="1">
        <f ca="1">IFERROR(__xludf.DUMMYFUNCTION("""COMPUTED_VALUE"""),6.13)</f>
        <v>6.13</v>
      </c>
      <c r="H261" s="1">
        <f ca="1">IFERROR(__xludf.DUMMYFUNCTION("""COMPUTED_VALUE"""),10)</f>
        <v>10</v>
      </c>
      <c r="I261" s="1">
        <f ca="1">IFERROR(__xludf.DUMMYFUNCTION("""COMPUTED_VALUE"""),8)</f>
        <v>8</v>
      </c>
      <c r="J261" s="1">
        <f ca="1">IFERROR(__xludf.DUMMYFUNCTION("""COMPUTED_VALUE"""),13)</f>
        <v>13</v>
      </c>
      <c r="K261" s="1">
        <f ca="1">IFERROR(__xludf.DUMMYFUNCTION("""COMPUTED_VALUE"""),4)</f>
        <v>4</v>
      </c>
      <c r="L261" s="1">
        <f ca="1">IFERROR(__xludf.DUMMYFUNCTION("""COMPUTED_VALUE"""),5)</f>
        <v>5</v>
      </c>
      <c r="M261" s="1">
        <f ca="1">IFERROR(__xludf.DUMMYFUNCTION("""COMPUTED_VALUE"""),7)</f>
        <v>7</v>
      </c>
      <c r="N261" s="1">
        <f ca="1">IFERROR(__xludf.DUMMYFUNCTION("""COMPUTED_VALUE"""),2661)</f>
        <v>2661</v>
      </c>
      <c r="O261" s="1">
        <f ca="1">IFERROR(__xludf.DUMMYFUNCTION("""COMPUTED_VALUE"""),2364)</f>
        <v>2364</v>
      </c>
      <c r="P261" s="1">
        <f ca="1">IFERROR(__xludf.DUMMYFUNCTION("""COMPUTED_VALUE"""),1530)</f>
        <v>1530</v>
      </c>
      <c r="Q261" s="1">
        <f ca="1">IFERROR(__xludf.DUMMYFUNCTION("""COMPUTED_VALUE"""),958)</f>
        <v>958</v>
      </c>
      <c r="R261" s="1">
        <f ca="1">IFERROR(__xludf.DUMMYFUNCTION("""COMPUTED_VALUE"""),2126)</f>
        <v>2126</v>
      </c>
      <c r="S261" s="1">
        <f ca="1">IFERROR(__xludf.DUMMYFUNCTION("""COMPUTED_VALUE"""),0.451)</f>
        <v>0.45100000000000001</v>
      </c>
      <c r="T261" s="1">
        <f ca="1">IFERROR(__xludf.DUMMYFUNCTION("""COMPUTED_VALUE"""),295)</f>
        <v>295</v>
      </c>
      <c r="U261" s="1">
        <f ca="1">IFERROR(__xludf.DUMMYFUNCTION("""COMPUTED_VALUE"""),840)</f>
        <v>840</v>
      </c>
      <c r="V261" s="1">
        <f ca="1">IFERROR(__xludf.DUMMYFUNCTION("""COMPUTED_VALUE"""),0.351)</f>
        <v>0.35099999999999998</v>
      </c>
      <c r="W261" s="1">
        <f ca="1">IFERROR(__xludf.DUMMYFUNCTION("""COMPUTED_VALUE"""),450)</f>
        <v>450</v>
      </c>
      <c r="X261" s="1">
        <f ca="1">IFERROR(__xludf.DUMMYFUNCTION("""COMPUTED_VALUE"""),624)</f>
        <v>624</v>
      </c>
      <c r="Y261" s="1">
        <f ca="1">IFERROR(__xludf.DUMMYFUNCTION("""COMPUTED_VALUE"""),0.721)</f>
        <v>0.72099999999999997</v>
      </c>
      <c r="Z261" s="1">
        <f ca="1">IFERROR(__xludf.DUMMYFUNCTION("""COMPUTED_VALUE"""),361)</f>
        <v>361</v>
      </c>
      <c r="AA261" s="1">
        <f ca="1">IFERROR(__xludf.DUMMYFUNCTION("""COMPUTED_VALUE"""),1307)</f>
        <v>1307</v>
      </c>
      <c r="AB261" s="1">
        <f ca="1">IFERROR(__xludf.DUMMYFUNCTION("""COMPUTED_VALUE"""),501)</f>
        <v>501</v>
      </c>
      <c r="AC261" s="1">
        <f ca="1">IFERROR(__xludf.DUMMYFUNCTION("""COMPUTED_VALUE"""),290)</f>
        <v>290</v>
      </c>
      <c r="AD261" s="1">
        <f ca="1">IFERROR(__xludf.DUMMYFUNCTION("""COMPUTED_VALUE"""),162)</f>
        <v>162</v>
      </c>
      <c r="AE261" s="1">
        <f ca="1">IFERROR(__xludf.DUMMYFUNCTION("""COMPUTED_VALUE"""),442)</f>
        <v>442</v>
      </c>
      <c r="AF261" s="1">
        <f ca="1">IFERROR(__xludf.DUMMYFUNCTION("""COMPUTED_VALUE"""),665)</f>
        <v>665</v>
      </c>
    </row>
    <row r="262" spans="1:32" ht="12.5" x14ac:dyDescent="0.25">
      <c r="A262" s="1" t="str">
        <f ca="1">IFERROR(__xludf.DUMMYFUNCTION("""COMPUTED_VALUE"""),"Pacific")</f>
        <v>Pacific</v>
      </c>
      <c r="B262" s="1">
        <f ca="1">IFERROR(__xludf.DUMMYFUNCTION("""COMPUTED_VALUE"""),32)</f>
        <v>32</v>
      </c>
      <c r="C262" s="1">
        <f ca="1">IFERROR(__xludf.DUMMYFUNCTION("""COMPUTED_VALUE"""),14)</f>
        <v>14</v>
      </c>
      <c r="D262" s="1">
        <f ca="1">IFERROR(__xludf.DUMMYFUNCTION("""COMPUTED_VALUE"""),18)</f>
        <v>18</v>
      </c>
      <c r="E262" s="1">
        <f ca="1">IFERROR(__xludf.DUMMYFUNCTION("""COMPUTED_VALUE"""),0.438)</f>
        <v>0.438</v>
      </c>
      <c r="F262" s="1">
        <f ca="1">IFERROR(__xludf.DUMMYFUNCTION("""COMPUTED_VALUE"""),-2.46)</f>
        <v>-2.46</v>
      </c>
      <c r="G262" s="1">
        <f ca="1">IFERROR(__xludf.DUMMYFUNCTION("""COMPUTED_VALUE"""),1.97)</f>
        <v>1.97</v>
      </c>
      <c r="H262" s="1">
        <f ca="1">IFERROR(__xludf.DUMMYFUNCTION("""COMPUTED_VALUE"""),4)</f>
        <v>4</v>
      </c>
      <c r="I262" s="1">
        <f ca="1">IFERROR(__xludf.DUMMYFUNCTION("""COMPUTED_VALUE"""),12)</f>
        <v>12</v>
      </c>
      <c r="J262" s="1">
        <f ca="1">IFERROR(__xludf.DUMMYFUNCTION("""COMPUTED_VALUE"""),9)</f>
        <v>9</v>
      </c>
      <c r="K262" s="1">
        <f ca="1">IFERROR(__xludf.DUMMYFUNCTION("""COMPUTED_VALUE"""),7)</f>
        <v>7</v>
      </c>
      <c r="L262" s="1">
        <f ca="1">IFERROR(__xludf.DUMMYFUNCTION("""COMPUTED_VALUE"""),5)</f>
        <v>5</v>
      </c>
      <c r="M262" s="1">
        <f ca="1">IFERROR(__xludf.DUMMYFUNCTION("""COMPUTED_VALUE"""),10)</f>
        <v>10</v>
      </c>
      <c r="N262" s="1">
        <f ca="1">IFERROR(__xludf.DUMMYFUNCTION("""COMPUTED_VALUE"""),2138)</f>
        <v>2138</v>
      </c>
      <c r="O262" s="1">
        <f ca="1">IFERROR(__xludf.DUMMYFUNCTION("""COMPUTED_VALUE"""),2241)</f>
        <v>2241</v>
      </c>
      <c r="P262" s="1">
        <f ca="1">IFERROR(__xludf.DUMMYFUNCTION("""COMPUTED_VALUE"""),1290)</f>
        <v>1290</v>
      </c>
      <c r="Q262" s="1">
        <f ca="1">IFERROR(__xludf.DUMMYFUNCTION("""COMPUTED_VALUE"""),710)</f>
        <v>710</v>
      </c>
      <c r="R262" s="1">
        <f ca="1">IFERROR(__xludf.DUMMYFUNCTION("""COMPUTED_VALUE"""),1681)</f>
        <v>1681</v>
      </c>
      <c r="S262" s="1">
        <f ca="1">IFERROR(__xludf.DUMMYFUNCTION("""COMPUTED_VALUE"""),0.422)</f>
        <v>0.42199999999999999</v>
      </c>
      <c r="T262" s="1">
        <f ca="1">IFERROR(__xludf.DUMMYFUNCTION("""COMPUTED_VALUE"""),198)</f>
        <v>198</v>
      </c>
      <c r="U262" s="1">
        <f ca="1">IFERROR(__xludf.DUMMYFUNCTION("""COMPUTED_VALUE"""),566)</f>
        <v>566</v>
      </c>
      <c r="V262" s="1">
        <f ca="1">IFERROR(__xludf.DUMMYFUNCTION("""COMPUTED_VALUE"""),0.35)</f>
        <v>0.35</v>
      </c>
      <c r="W262" s="1">
        <f ca="1">IFERROR(__xludf.DUMMYFUNCTION("""COMPUTED_VALUE"""),520)</f>
        <v>520</v>
      </c>
      <c r="X262" s="1">
        <f ca="1">IFERROR(__xludf.DUMMYFUNCTION("""COMPUTED_VALUE"""),698)</f>
        <v>698</v>
      </c>
      <c r="Y262" s="1">
        <f ca="1">IFERROR(__xludf.DUMMYFUNCTION("""COMPUTED_VALUE"""),0.745)</f>
        <v>0.745</v>
      </c>
      <c r="Z262" s="1">
        <f ca="1">IFERROR(__xludf.DUMMYFUNCTION("""COMPUTED_VALUE"""),285)</f>
        <v>285</v>
      </c>
      <c r="AA262" s="1">
        <f ca="1">IFERROR(__xludf.DUMMYFUNCTION("""COMPUTED_VALUE"""),1039)</f>
        <v>1039</v>
      </c>
      <c r="AB262" s="1">
        <f ca="1">IFERROR(__xludf.DUMMYFUNCTION("""COMPUTED_VALUE"""),325)</f>
        <v>325</v>
      </c>
      <c r="AC262" s="1">
        <f ca="1">IFERROR(__xludf.DUMMYFUNCTION("""COMPUTED_VALUE"""),199)</f>
        <v>199</v>
      </c>
      <c r="AD262" s="1">
        <f ca="1">IFERROR(__xludf.DUMMYFUNCTION("""COMPUTED_VALUE"""),46)</f>
        <v>46</v>
      </c>
      <c r="AE262" s="1">
        <f ca="1">IFERROR(__xludf.DUMMYFUNCTION("""COMPUTED_VALUE"""),423)</f>
        <v>423</v>
      </c>
      <c r="AF262" s="1">
        <f ca="1">IFERROR(__xludf.DUMMYFUNCTION("""COMPUTED_VALUE"""),630)</f>
        <v>630</v>
      </c>
    </row>
    <row r="263" spans="1:32" ht="12.5" x14ac:dyDescent="0.25">
      <c r="A263" s="1" t="str">
        <f ca="1">IFERROR(__xludf.DUMMYFUNCTION("""COMPUTED_VALUE"""),"Penn State")</f>
        <v>Penn State</v>
      </c>
      <c r="B263" s="1">
        <f ca="1">IFERROR(__xludf.DUMMYFUNCTION("""COMPUTED_VALUE"""),32)</f>
        <v>32</v>
      </c>
      <c r="C263" s="1">
        <f ca="1">IFERROR(__xludf.DUMMYFUNCTION("""COMPUTED_VALUE"""),14)</f>
        <v>14</v>
      </c>
      <c r="D263" s="1">
        <f ca="1">IFERROR(__xludf.DUMMYFUNCTION("""COMPUTED_VALUE"""),18)</f>
        <v>18</v>
      </c>
      <c r="E263" s="1">
        <f ca="1">IFERROR(__xludf.DUMMYFUNCTION("""COMPUTED_VALUE"""),0.438)</f>
        <v>0.438</v>
      </c>
      <c r="F263" s="1">
        <f ca="1">IFERROR(__xludf.DUMMYFUNCTION("""COMPUTED_VALUE"""),12.55)</f>
        <v>12.55</v>
      </c>
      <c r="G263" s="1">
        <f ca="1">IFERROR(__xludf.DUMMYFUNCTION("""COMPUTED_VALUE"""),11.51)</f>
        <v>11.51</v>
      </c>
      <c r="H263" s="1">
        <f ca="1">IFERROR(__xludf.DUMMYFUNCTION("""COMPUTED_VALUE"""),7)</f>
        <v>7</v>
      </c>
      <c r="I263" s="1">
        <f ca="1">IFERROR(__xludf.DUMMYFUNCTION("""COMPUTED_VALUE"""),13)</f>
        <v>13</v>
      </c>
      <c r="J263" s="1">
        <f ca="1">IFERROR(__xludf.DUMMYFUNCTION("""COMPUTED_VALUE"""),9)</f>
        <v>9</v>
      </c>
      <c r="K263" s="1">
        <f ca="1">IFERROR(__xludf.DUMMYFUNCTION("""COMPUTED_VALUE"""),6)</f>
        <v>6</v>
      </c>
      <c r="L263" s="1">
        <f ca="1">IFERROR(__xludf.DUMMYFUNCTION("""COMPUTED_VALUE"""),3)</f>
        <v>3</v>
      </c>
      <c r="M263" s="1">
        <f ca="1">IFERROR(__xludf.DUMMYFUNCTION("""COMPUTED_VALUE"""),9)</f>
        <v>9</v>
      </c>
      <c r="N263" s="1">
        <f ca="1">IFERROR(__xludf.DUMMYFUNCTION("""COMPUTED_VALUE"""),2229)</f>
        <v>2229</v>
      </c>
      <c r="O263" s="1">
        <f ca="1">IFERROR(__xludf.DUMMYFUNCTION("""COMPUTED_VALUE"""),2196)</f>
        <v>2196</v>
      </c>
      <c r="P263" s="1">
        <f ca="1">IFERROR(__xludf.DUMMYFUNCTION("""COMPUTED_VALUE"""),1295)</f>
        <v>1295</v>
      </c>
      <c r="Q263" s="1">
        <f ca="1">IFERROR(__xludf.DUMMYFUNCTION("""COMPUTED_VALUE"""),791)</f>
        <v>791</v>
      </c>
      <c r="R263" s="1">
        <f ca="1">IFERROR(__xludf.DUMMYFUNCTION("""COMPUTED_VALUE"""),1898)</f>
        <v>1898</v>
      </c>
      <c r="S263" s="1">
        <f ca="1">IFERROR(__xludf.DUMMYFUNCTION("""COMPUTED_VALUE"""),0.417)</f>
        <v>0.41699999999999998</v>
      </c>
      <c r="T263" s="1">
        <f ca="1">IFERROR(__xludf.DUMMYFUNCTION("""COMPUTED_VALUE"""),222)</f>
        <v>222</v>
      </c>
      <c r="U263" s="1">
        <f ca="1">IFERROR(__xludf.DUMMYFUNCTION("""COMPUTED_VALUE"""),693)</f>
        <v>693</v>
      </c>
      <c r="V263" s="1">
        <f ca="1">IFERROR(__xludf.DUMMYFUNCTION("""COMPUTED_VALUE"""),0.32)</f>
        <v>0.32</v>
      </c>
      <c r="W263" s="1">
        <f ca="1">IFERROR(__xludf.DUMMYFUNCTION("""COMPUTED_VALUE"""),425)</f>
        <v>425</v>
      </c>
      <c r="X263" s="1">
        <f ca="1">IFERROR(__xludf.DUMMYFUNCTION("""COMPUTED_VALUE"""),613)</f>
        <v>613</v>
      </c>
      <c r="Y263" s="1">
        <f ca="1">IFERROR(__xludf.DUMMYFUNCTION("""COMPUTED_VALUE"""),0.693)</f>
        <v>0.69299999999999995</v>
      </c>
      <c r="Z263" s="1">
        <f ca="1">IFERROR(__xludf.DUMMYFUNCTION("""COMPUTED_VALUE"""),382)</f>
        <v>382</v>
      </c>
      <c r="AA263" s="1">
        <f ca="1">IFERROR(__xludf.DUMMYFUNCTION("""COMPUTED_VALUE"""),1174)</f>
        <v>1174</v>
      </c>
      <c r="AB263" s="1">
        <f ca="1">IFERROR(__xludf.DUMMYFUNCTION("""COMPUTED_VALUE"""),389)</f>
        <v>389</v>
      </c>
      <c r="AC263" s="1">
        <f ca="1">IFERROR(__xludf.DUMMYFUNCTION("""COMPUTED_VALUE"""),245)</f>
        <v>245</v>
      </c>
      <c r="AD263" s="1">
        <f ca="1">IFERROR(__xludf.DUMMYFUNCTION("""COMPUTED_VALUE"""),122)</f>
        <v>122</v>
      </c>
      <c r="AE263" s="1">
        <f ca="1">IFERROR(__xludf.DUMMYFUNCTION("""COMPUTED_VALUE"""),399)</f>
        <v>399</v>
      </c>
      <c r="AF263" s="1">
        <f ca="1">IFERROR(__xludf.DUMMYFUNCTION("""COMPUTED_VALUE"""),597)</f>
        <v>597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IFERROR(__xludf.DUMMYFUNCTION("""COMPUTED_VALUE"""),"Pennsylvania")</f>
        <v>Pennsylvania</v>
      </c>
      <c r="B266" s="1">
        <f ca="1">IFERROR(__xludf.DUMMYFUNCTION("""COMPUTED_VALUE"""),31)</f>
        <v>31</v>
      </c>
      <c r="C266" s="1">
        <f ca="1">IFERROR(__xludf.DUMMYFUNCTION("""COMPUTED_VALUE"""),19)</f>
        <v>19</v>
      </c>
      <c r="D266" s="1">
        <f ca="1">IFERROR(__xludf.DUMMYFUNCTION("""COMPUTED_VALUE"""),12)</f>
        <v>12</v>
      </c>
      <c r="E266" s="1">
        <f ca="1">IFERROR(__xludf.DUMMYFUNCTION("""COMPUTED_VALUE"""),0.613)</f>
        <v>0.61299999999999999</v>
      </c>
      <c r="F266" s="1">
        <f ca="1">IFERROR(__xludf.DUMMYFUNCTION("""COMPUTED_VALUE"""),2.04)</f>
        <v>2.04</v>
      </c>
      <c r="G266" s="1">
        <f ca="1">IFERROR(__xludf.DUMMYFUNCTION("""COMPUTED_VALUE"""),-0.76)</f>
        <v>-0.76</v>
      </c>
      <c r="H266" s="1">
        <f ca="1">IFERROR(__xludf.DUMMYFUNCTION("""COMPUTED_VALUE"""),7)</f>
        <v>7</v>
      </c>
      <c r="I266" s="1">
        <f ca="1">IFERROR(__xludf.DUMMYFUNCTION("""COMPUTED_VALUE"""),7)</f>
        <v>7</v>
      </c>
      <c r="J266" s="1">
        <f ca="1">IFERROR(__xludf.DUMMYFUNCTION("""COMPUTED_VALUE"""),10)</f>
        <v>10</v>
      </c>
      <c r="K266" s="1">
        <f ca="1">IFERROR(__xludf.DUMMYFUNCTION("""COMPUTED_VALUE"""),4)</f>
        <v>4</v>
      </c>
      <c r="L266" s="1">
        <f ca="1">IFERROR(__xludf.DUMMYFUNCTION("""COMPUTED_VALUE"""),8)</f>
        <v>8</v>
      </c>
      <c r="M266" s="1">
        <f ca="1">IFERROR(__xludf.DUMMYFUNCTION("""COMPUTED_VALUE"""),5)</f>
        <v>5</v>
      </c>
      <c r="N266" s="1">
        <f ca="1">IFERROR(__xludf.DUMMYFUNCTION("""COMPUTED_VALUE"""),2250)</f>
        <v>2250</v>
      </c>
      <c r="O266" s="1">
        <f ca="1">IFERROR(__xludf.DUMMYFUNCTION("""COMPUTED_VALUE"""),2117)</f>
        <v>2117</v>
      </c>
      <c r="P266" s="1">
        <f ca="1">IFERROR(__xludf.DUMMYFUNCTION("""COMPUTED_VALUE"""),1265)</f>
        <v>1265</v>
      </c>
      <c r="Q266" s="1">
        <f ca="1">IFERROR(__xludf.DUMMYFUNCTION("""COMPUTED_VALUE"""),821)</f>
        <v>821</v>
      </c>
      <c r="R266" s="1">
        <f ca="1">IFERROR(__xludf.DUMMYFUNCTION("""COMPUTED_VALUE"""),1810)</f>
        <v>1810</v>
      </c>
      <c r="S266" s="1">
        <f ca="1">IFERROR(__xludf.DUMMYFUNCTION("""COMPUTED_VALUE"""),0.454)</f>
        <v>0.45400000000000001</v>
      </c>
      <c r="T266" s="1">
        <f ca="1">IFERROR(__xludf.DUMMYFUNCTION("""COMPUTED_VALUE"""),282)</f>
        <v>282</v>
      </c>
      <c r="U266" s="1">
        <f ca="1">IFERROR(__xludf.DUMMYFUNCTION("""COMPUTED_VALUE"""),803)</f>
        <v>803</v>
      </c>
      <c r="V266" s="1">
        <f ca="1">IFERROR(__xludf.DUMMYFUNCTION("""COMPUTED_VALUE"""),0.351)</f>
        <v>0.35099999999999998</v>
      </c>
      <c r="W266" s="1">
        <f ca="1">IFERROR(__xludf.DUMMYFUNCTION("""COMPUTED_VALUE"""),326)</f>
        <v>326</v>
      </c>
      <c r="X266" s="1">
        <f ca="1">IFERROR(__xludf.DUMMYFUNCTION("""COMPUTED_VALUE"""),511)</f>
        <v>511</v>
      </c>
      <c r="Y266" s="1">
        <f ca="1">IFERROR(__xludf.DUMMYFUNCTION("""COMPUTED_VALUE"""),0.638)</f>
        <v>0.63800000000000001</v>
      </c>
      <c r="Z266" s="1">
        <f ca="1">IFERROR(__xludf.DUMMYFUNCTION("""COMPUTED_VALUE"""),270)</f>
        <v>270</v>
      </c>
      <c r="AA266" s="1">
        <f ca="1">IFERROR(__xludf.DUMMYFUNCTION("""COMPUTED_VALUE"""),1101)</f>
        <v>1101</v>
      </c>
      <c r="AB266" s="1">
        <f ca="1">IFERROR(__xludf.DUMMYFUNCTION("""COMPUTED_VALUE"""),465)</f>
        <v>465</v>
      </c>
      <c r="AC266" s="1">
        <f ca="1">IFERROR(__xludf.DUMMYFUNCTION("""COMPUTED_VALUE"""),210)</f>
        <v>210</v>
      </c>
      <c r="AD266" s="1">
        <f ca="1">IFERROR(__xludf.DUMMYFUNCTION("""COMPUTED_VALUE"""),76)</f>
        <v>76</v>
      </c>
      <c r="AE266" s="1">
        <f ca="1">IFERROR(__xludf.DUMMYFUNCTION("""COMPUTED_VALUE"""),395)</f>
        <v>395</v>
      </c>
      <c r="AF266" s="1">
        <f ca="1">IFERROR(__xludf.DUMMYFUNCTION("""COMPUTED_VALUE"""),500)</f>
        <v>500</v>
      </c>
    </row>
    <row r="267" spans="1:32" ht="12.5" x14ac:dyDescent="0.25">
      <c r="A267" s="1" t="str">
        <f ca="1">IFERROR(__xludf.DUMMYFUNCTION("""COMPUTED_VALUE"""),"Pepperdine")</f>
        <v>Pepperdine</v>
      </c>
      <c r="B267" s="1">
        <f ca="1">IFERROR(__xludf.DUMMYFUNCTION("""COMPUTED_VALUE"""),34)</f>
        <v>34</v>
      </c>
      <c r="C267" s="1">
        <f ca="1">IFERROR(__xludf.DUMMYFUNCTION("""COMPUTED_VALUE"""),16)</f>
        <v>16</v>
      </c>
      <c r="D267" s="1">
        <f ca="1">IFERROR(__xludf.DUMMYFUNCTION("""COMPUTED_VALUE"""),18)</f>
        <v>18</v>
      </c>
      <c r="E267" s="1">
        <f ca="1">IFERROR(__xludf.DUMMYFUNCTION("""COMPUTED_VALUE"""),0.471)</f>
        <v>0.47099999999999997</v>
      </c>
      <c r="F267" s="1">
        <f ca="1">IFERROR(__xludf.DUMMYFUNCTION("""COMPUTED_VALUE"""),0.9)</f>
        <v>0.9</v>
      </c>
      <c r="G267" s="1">
        <f ca="1">IFERROR(__xludf.DUMMYFUNCTION("""COMPUTED_VALUE"""),0.63)</f>
        <v>0.63</v>
      </c>
      <c r="H267" s="1">
        <f ca="1">IFERROR(__xludf.DUMMYFUNCTION("""COMPUTED_VALUE"""),6)</f>
        <v>6</v>
      </c>
      <c r="I267" s="1">
        <f ca="1">IFERROR(__xludf.DUMMYFUNCTION("""COMPUTED_VALUE"""),10)</f>
        <v>10</v>
      </c>
      <c r="J267" s="1">
        <f ca="1">IFERROR(__xludf.DUMMYFUNCTION("""COMPUTED_VALUE"""),9)</f>
        <v>9</v>
      </c>
      <c r="K267" s="1">
        <f ca="1">IFERROR(__xludf.DUMMYFUNCTION("""COMPUTED_VALUE"""),5)</f>
        <v>5</v>
      </c>
      <c r="L267" s="1">
        <f ca="1">IFERROR(__xludf.DUMMYFUNCTION("""COMPUTED_VALUE"""),2)</f>
        <v>2</v>
      </c>
      <c r="M267" s="1">
        <f ca="1">IFERROR(__xludf.DUMMYFUNCTION("""COMPUTED_VALUE"""),11)</f>
        <v>11</v>
      </c>
      <c r="N267" s="1">
        <f ca="1">IFERROR(__xludf.DUMMYFUNCTION("""COMPUTED_VALUE"""),2572)</f>
        <v>2572</v>
      </c>
      <c r="O267" s="1">
        <f ca="1">IFERROR(__xludf.DUMMYFUNCTION("""COMPUTED_VALUE"""),2529)</f>
        <v>2529</v>
      </c>
      <c r="P267" s="1">
        <f ca="1">IFERROR(__xludf.DUMMYFUNCTION("""COMPUTED_VALUE"""),1370)</f>
        <v>1370</v>
      </c>
      <c r="Q267" s="1">
        <f ca="1">IFERROR(__xludf.DUMMYFUNCTION("""COMPUTED_VALUE"""),865)</f>
        <v>865</v>
      </c>
      <c r="R267" s="1">
        <f ca="1">IFERROR(__xludf.DUMMYFUNCTION("""COMPUTED_VALUE"""),1949)</f>
        <v>1949</v>
      </c>
      <c r="S267" s="1">
        <f ca="1">IFERROR(__xludf.DUMMYFUNCTION("""COMPUTED_VALUE"""),0.444)</f>
        <v>0.44400000000000001</v>
      </c>
      <c r="T267" s="1">
        <f ca="1">IFERROR(__xludf.DUMMYFUNCTION("""COMPUTED_VALUE"""),313)</f>
        <v>313</v>
      </c>
      <c r="U267" s="1">
        <f ca="1">IFERROR(__xludf.DUMMYFUNCTION("""COMPUTED_VALUE"""),819)</f>
        <v>819</v>
      </c>
      <c r="V267" s="1">
        <f ca="1">IFERROR(__xludf.DUMMYFUNCTION("""COMPUTED_VALUE"""),0.382)</f>
        <v>0.38200000000000001</v>
      </c>
      <c r="W267" s="1">
        <f ca="1">IFERROR(__xludf.DUMMYFUNCTION("""COMPUTED_VALUE"""),529)</f>
        <v>529</v>
      </c>
      <c r="X267" s="1">
        <f ca="1">IFERROR(__xludf.DUMMYFUNCTION("""COMPUTED_VALUE"""),696)</f>
        <v>696</v>
      </c>
      <c r="Y267" s="1">
        <f ca="1">IFERROR(__xludf.DUMMYFUNCTION("""COMPUTED_VALUE"""),0.76)</f>
        <v>0.76</v>
      </c>
      <c r="Z267" s="1">
        <f ca="1">IFERROR(__xludf.DUMMYFUNCTION("""COMPUTED_VALUE"""),290)</f>
        <v>290</v>
      </c>
      <c r="AA267" s="1">
        <f ca="1">IFERROR(__xludf.DUMMYFUNCTION("""COMPUTED_VALUE"""),1085)</f>
        <v>1085</v>
      </c>
      <c r="AB267" s="1">
        <f ca="1">IFERROR(__xludf.DUMMYFUNCTION("""COMPUTED_VALUE"""),479)</f>
        <v>479</v>
      </c>
      <c r="AC267" s="1">
        <f ca="1">IFERROR(__xludf.DUMMYFUNCTION("""COMPUTED_VALUE"""),229)</f>
        <v>229</v>
      </c>
      <c r="AD267" s="1">
        <f ca="1">IFERROR(__xludf.DUMMYFUNCTION("""COMPUTED_VALUE"""),95)</f>
        <v>95</v>
      </c>
      <c r="AE267" s="1">
        <f ca="1">IFERROR(__xludf.DUMMYFUNCTION("""COMPUTED_VALUE"""),432)</f>
        <v>432</v>
      </c>
      <c r="AF267" s="1">
        <f ca="1">IFERROR(__xludf.DUMMYFUNCTION("""COMPUTED_VALUE"""),639)</f>
        <v>639</v>
      </c>
    </row>
    <row r="268" spans="1:32" ht="12.5" x14ac:dyDescent="0.25">
      <c r="A268" s="1" t="str">
        <f ca="1">IFERROR(__xludf.DUMMYFUNCTION("""COMPUTED_VALUE"""),"Pittsburgh")</f>
        <v>Pittsburgh</v>
      </c>
      <c r="B268" s="1">
        <f ca="1">IFERROR(__xludf.DUMMYFUNCTION("""COMPUTED_VALUE"""),33)</f>
        <v>33</v>
      </c>
      <c r="C268" s="1">
        <f ca="1">IFERROR(__xludf.DUMMYFUNCTION("""COMPUTED_VALUE"""),14)</f>
        <v>14</v>
      </c>
      <c r="D268" s="1">
        <f ca="1">IFERROR(__xludf.DUMMYFUNCTION("""COMPUTED_VALUE"""),19)</f>
        <v>19</v>
      </c>
      <c r="E268" s="1">
        <f ca="1">IFERROR(__xludf.DUMMYFUNCTION("""COMPUTED_VALUE"""),0.424)</f>
        <v>0.42399999999999999</v>
      </c>
      <c r="F268" s="1">
        <f ca="1">IFERROR(__xludf.DUMMYFUNCTION("""COMPUTED_VALUE"""),7.88)</f>
        <v>7.88</v>
      </c>
      <c r="G268" s="1">
        <f ca="1">IFERROR(__xludf.DUMMYFUNCTION("""COMPUTED_VALUE"""),6.69)</f>
        <v>6.69</v>
      </c>
      <c r="H268" s="1">
        <f ca="1">IFERROR(__xludf.DUMMYFUNCTION("""COMPUTED_VALUE"""),3)</f>
        <v>3</v>
      </c>
      <c r="I268" s="1">
        <f ca="1">IFERROR(__xludf.DUMMYFUNCTION("""COMPUTED_VALUE"""),15)</f>
        <v>15</v>
      </c>
      <c r="J268" s="1">
        <f ca="1">IFERROR(__xludf.DUMMYFUNCTION("""COMPUTED_VALUE"""),11)</f>
        <v>11</v>
      </c>
      <c r="K268" s="1">
        <f ca="1">IFERROR(__xludf.DUMMYFUNCTION("""COMPUTED_VALUE"""),7)</f>
        <v>7</v>
      </c>
      <c r="L268" s="1">
        <f ca="1">IFERROR(__xludf.DUMMYFUNCTION("""COMPUTED_VALUE"""),0)</f>
        <v>0</v>
      </c>
      <c r="M268" s="1">
        <f ca="1">IFERROR(__xludf.DUMMYFUNCTION("""COMPUTED_VALUE"""),11)</f>
        <v>11</v>
      </c>
      <c r="N268" s="1">
        <f ca="1">IFERROR(__xludf.DUMMYFUNCTION("""COMPUTED_VALUE"""),2306)</f>
        <v>2306</v>
      </c>
      <c r="O268" s="1">
        <f ca="1">IFERROR(__xludf.DUMMYFUNCTION("""COMPUTED_VALUE"""),2267)</f>
        <v>2267</v>
      </c>
      <c r="P268" s="1">
        <f ca="1">IFERROR(__xludf.DUMMYFUNCTION("""COMPUTED_VALUE"""),1330)</f>
        <v>1330</v>
      </c>
      <c r="Q268" s="1">
        <f ca="1">IFERROR(__xludf.DUMMYFUNCTION("""COMPUTED_VALUE"""),769)</f>
        <v>769</v>
      </c>
      <c r="R268" s="1">
        <f ca="1">IFERROR(__xludf.DUMMYFUNCTION("""COMPUTED_VALUE"""),1841)</f>
        <v>1841</v>
      </c>
      <c r="S268" s="1">
        <f ca="1">IFERROR(__xludf.DUMMYFUNCTION("""COMPUTED_VALUE"""),0.418)</f>
        <v>0.41799999999999998</v>
      </c>
      <c r="T268" s="1">
        <f ca="1">IFERROR(__xludf.DUMMYFUNCTION("""COMPUTED_VALUE"""),225)</f>
        <v>225</v>
      </c>
      <c r="U268" s="1">
        <f ca="1">IFERROR(__xludf.DUMMYFUNCTION("""COMPUTED_VALUE"""),680)</f>
        <v>680</v>
      </c>
      <c r="V268" s="1">
        <f ca="1">IFERROR(__xludf.DUMMYFUNCTION("""COMPUTED_VALUE"""),0.331)</f>
        <v>0.33100000000000002</v>
      </c>
      <c r="W268" s="1">
        <f ca="1">IFERROR(__xludf.DUMMYFUNCTION("""COMPUTED_VALUE"""),543)</f>
        <v>543</v>
      </c>
      <c r="X268" s="1">
        <f ca="1">IFERROR(__xludf.DUMMYFUNCTION("""COMPUTED_VALUE"""),779)</f>
        <v>779</v>
      </c>
      <c r="Y268" s="1">
        <f ca="1">IFERROR(__xludf.DUMMYFUNCTION("""COMPUTED_VALUE"""),0.697)</f>
        <v>0.69699999999999995</v>
      </c>
      <c r="Z268" s="1">
        <f ca="1">IFERROR(__xludf.DUMMYFUNCTION("""COMPUTED_VALUE"""),383)</f>
        <v>383</v>
      </c>
      <c r="AA268" s="1">
        <f ca="1">IFERROR(__xludf.DUMMYFUNCTION("""COMPUTED_VALUE"""),1211)</f>
        <v>1211</v>
      </c>
      <c r="AB268" s="1">
        <f ca="1">IFERROR(__xludf.DUMMYFUNCTION("""COMPUTED_VALUE"""),387)</f>
        <v>387</v>
      </c>
      <c r="AC268" s="1">
        <f ca="1">IFERROR(__xludf.DUMMYFUNCTION("""COMPUTED_VALUE"""),227)</f>
        <v>227</v>
      </c>
      <c r="AD268" s="1">
        <f ca="1">IFERROR(__xludf.DUMMYFUNCTION("""COMPUTED_VALUE"""),126)</f>
        <v>126</v>
      </c>
      <c r="AE268" s="1">
        <f ca="1">IFERROR(__xludf.DUMMYFUNCTION("""COMPUTED_VALUE"""),448)</f>
        <v>448</v>
      </c>
      <c r="AF268" s="1">
        <f ca="1">IFERROR(__xludf.DUMMYFUNCTION("""COMPUTED_VALUE"""),611)</f>
        <v>611</v>
      </c>
    </row>
    <row r="269" spans="1:32" ht="12.5" x14ac:dyDescent="0.25">
      <c r="A269" s="1" t="str">
        <f ca="1">IFERROR(__xludf.DUMMYFUNCTION("""COMPUTED_VALUE"""),"Portland State")</f>
        <v>Portland State</v>
      </c>
      <c r="B269" s="1">
        <f ca="1">IFERROR(__xludf.DUMMYFUNCTION("""COMPUTED_VALUE"""),32)</f>
        <v>32</v>
      </c>
      <c r="C269" s="1">
        <f ca="1">IFERROR(__xludf.DUMMYFUNCTION("""COMPUTED_VALUE"""),16)</f>
        <v>16</v>
      </c>
      <c r="D269" s="1">
        <f ca="1">IFERROR(__xludf.DUMMYFUNCTION("""COMPUTED_VALUE"""),16)</f>
        <v>16</v>
      </c>
      <c r="E269" s="1">
        <f ca="1">IFERROR(__xludf.DUMMYFUNCTION("""COMPUTED_VALUE"""),0.5)</f>
        <v>0.5</v>
      </c>
      <c r="F269" s="1">
        <f ca="1">IFERROR(__xludf.DUMMYFUNCTION("""COMPUTED_VALUE"""),-8.95)</f>
        <v>-8.9499999999999993</v>
      </c>
      <c r="G269" s="1">
        <f ca="1">IFERROR(__xludf.DUMMYFUNCTION("""COMPUTED_VALUE"""),-5.78)</f>
        <v>-5.78</v>
      </c>
      <c r="H269" s="1">
        <f ca="1">IFERROR(__xludf.DUMMYFUNCTION("""COMPUTED_VALUE"""),11)</f>
        <v>11</v>
      </c>
      <c r="I269" s="1">
        <f ca="1">IFERROR(__xludf.DUMMYFUNCTION("""COMPUTED_VALUE"""),9)</f>
        <v>9</v>
      </c>
      <c r="J269" s="1">
        <f ca="1">IFERROR(__xludf.DUMMYFUNCTION("""COMPUTED_VALUE"""),12)</f>
        <v>12</v>
      </c>
      <c r="K269" s="1">
        <f ca="1">IFERROR(__xludf.DUMMYFUNCTION("""COMPUTED_VALUE"""),4)</f>
        <v>4</v>
      </c>
      <c r="L269" s="1">
        <f ca="1">IFERROR(__xludf.DUMMYFUNCTION("""COMPUTED_VALUE"""),3)</f>
        <v>3</v>
      </c>
      <c r="M269" s="1">
        <f ca="1">IFERROR(__xludf.DUMMYFUNCTION("""COMPUTED_VALUE"""),10)</f>
        <v>10</v>
      </c>
      <c r="N269" s="1">
        <f ca="1">IFERROR(__xludf.DUMMYFUNCTION("""COMPUTED_VALUE"""),2475)</f>
        <v>2475</v>
      </c>
      <c r="O269" s="1">
        <f ca="1">IFERROR(__xludf.DUMMYFUNCTION("""COMPUTED_VALUE"""),2404)</f>
        <v>2404</v>
      </c>
      <c r="P269" s="1">
        <f ca="1">IFERROR(__xludf.DUMMYFUNCTION("""COMPUTED_VALUE"""),1290)</f>
        <v>1290</v>
      </c>
      <c r="Q269" s="1">
        <f ca="1">IFERROR(__xludf.DUMMYFUNCTION("""COMPUTED_VALUE"""),856)</f>
        <v>856</v>
      </c>
      <c r="R269" s="1">
        <f ca="1">IFERROR(__xludf.DUMMYFUNCTION("""COMPUTED_VALUE"""),2017)</f>
        <v>2017</v>
      </c>
      <c r="S269" s="1">
        <f ca="1">IFERROR(__xludf.DUMMYFUNCTION("""COMPUTED_VALUE"""),0.424)</f>
        <v>0.42399999999999999</v>
      </c>
      <c r="T269" s="1">
        <f ca="1">IFERROR(__xludf.DUMMYFUNCTION("""COMPUTED_VALUE"""),238)</f>
        <v>238</v>
      </c>
      <c r="U269" s="1">
        <f ca="1">IFERROR(__xludf.DUMMYFUNCTION("""COMPUTED_VALUE"""),769)</f>
        <v>769</v>
      </c>
      <c r="V269" s="1">
        <f ca="1">IFERROR(__xludf.DUMMYFUNCTION("""COMPUTED_VALUE"""),0.309)</f>
        <v>0.309</v>
      </c>
      <c r="W269" s="1">
        <f ca="1">IFERROR(__xludf.DUMMYFUNCTION("""COMPUTED_VALUE"""),525)</f>
        <v>525</v>
      </c>
      <c r="X269" s="1">
        <f ca="1">IFERROR(__xludf.DUMMYFUNCTION("""COMPUTED_VALUE"""),748)</f>
        <v>748</v>
      </c>
      <c r="Y269" s="1">
        <f ca="1">IFERROR(__xludf.DUMMYFUNCTION("""COMPUTED_VALUE"""),0.702)</f>
        <v>0.70199999999999996</v>
      </c>
      <c r="Z269" s="1">
        <f ca="1">IFERROR(__xludf.DUMMYFUNCTION("""COMPUTED_VALUE"""),491)</f>
        <v>491</v>
      </c>
      <c r="AA269" s="1">
        <f ca="1">IFERROR(__xludf.DUMMYFUNCTION("""COMPUTED_VALUE"""),1282)</f>
        <v>1282</v>
      </c>
      <c r="AB269" s="1">
        <f ca="1">IFERROR(__xludf.DUMMYFUNCTION("""COMPUTED_VALUE"""),434)</f>
        <v>434</v>
      </c>
      <c r="AC269" s="1">
        <f ca="1">IFERROR(__xludf.DUMMYFUNCTION("""COMPUTED_VALUE"""),264)</f>
        <v>264</v>
      </c>
      <c r="AD269" s="1">
        <f ca="1">IFERROR(__xludf.DUMMYFUNCTION("""COMPUTED_VALUE"""),130)</f>
        <v>130</v>
      </c>
      <c r="AE269" s="1">
        <f ca="1">IFERROR(__xludf.DUMMYFUNCTION("""COMPUTED_VALUE"""),449)</f>
        <v>449</v>
      </c>
      <c r="AF269" s="1">
        <f ca="1">IFERROR(__xludf.DUMMYFUNCTION("""COMPUTED_VALUE"""),681)</f>
        <v>681</v>
      </c>
    </row>
    <row r="270" spans="1:32" ht="12.5" x14ac:dyDescent="0.25">
      <c r="A270" s="1" t="str">
        <f ca="1">IFERROR(__xludf.DUMMYFUNCTION("""COMPUTED_VALUE"""),"Portland")</f>
        <v>Portland</v>
      </c>
      <c r="B270" s="1">
        <f ca="1">IFERROR(__xludf.DUMMYFUNCTION("""COMPUTED_VALUE"""),32)</f>
        <v>32</v>
      </c>
      <c r="C270" s="1">
        <f ca="1">IFERROR(__xludf.DUMMYFUNCTION("""COMPUTED_VALUE"""),7)</f>
        <v>7</v>
      </c>
      <c r="D270" s="1">
        <f ca="1">IFERROR(__xludf.DUMMYFUNCTION("""COMPUTED_VALUE"""),25)</f>
        <v>25</v>
      </c>
      <c r="E270" s="1">
        <f ca="1">IFERROR(__xludf.DUMMYFUNCTION("""COMPUTED_VALUE"""),0.219)</f>
        <v>0.219</v>
      </c>
      <c r="F270" s="1">
        <f ca="1">IFERROR(__xludf.DUMMYFUNCTION("""COMPUTED_VALUE"""),-10.8)</f>
        <v>-10.8</v>
      </c>
      <c r="G270" s="1">
        <f ca="1">IFERROR(__xludf.DUMMYFUNCTION("""COMPUTED_VALUE"""),0.51)</f>
        <v>0.51</v>
      </c>
      <c r="H270" s="1">
        <f ca="1">IFERROR(__xludf.DUMMYFUNCTION("""COMPUTED_VALUE"""),0)</f>
        <v>0</v>
      </c>
      <c r="I270" s="1">
        <f ca="1">IFERROR(__xludf.DUMMYFUNCTION("""COMPUTED_VALUE"""),16)</f>
        <v>16</v>
      </c>
      <c r="J270" s="1">
        <f ca="1">IFERROR(__xludf.DUMMYFUNCTION("""COMPUTED_VALUE"""),6)</f>
        <v>6</v>
      </c>
      <c r="K270" s="1">
        <f ca="1">IFERROR(__xludf.DUMMYFUNCTION("""COMPUTED_VALUE"""),11)</f>
        <v>11</v>
      </c>
      <c r="L270" s="1">
        <f ca="1">IFERROR(__xludf.DUMMYFUNCTION("""COMPUTED_VALUE"""),1)</f>
        <v>1</v>
      </c>
      <c r="M270" s="1">
        <f ca="1">IFERROR(__xludf.DUMMYFUNCTION("""COMPUTED_VALUE"""),12)</f>
        <v>12</v>
      </c>
      <c r="N270" s="1">
        <f ca="1">IFERROR(__xludf.DUMMYFUNCTION("""COMPUTED_VALUE"""),2078)</f>
        <v>2078</v>
      </c>
      <c r="O270" s="1">
        <f ca="1">IFERROR(__xludf.DUMMYFUNCTION("""COMPUTED_VALUE"""),2389)</f>
        <v>2389</v>
      </c>
      <c r="P270" s="1">
        <f ca="1">IFERROR(__xludf.DUMMYFUNCTION("""COMPUTED_VALUE"""),1290)</f>
        <v>1290</v>
      </c>
      <c r="Q270" s="1">
        <f ca="1">IFERROR(__xludf.DUMMYFUNCTION("""COMPUTED_VALUE"""),707)</f>
        <v>707</v>
      </c>
      <c r="R270" s="1">
        <f ca="1">IFERROR(__xludf.DUMMYFUNCTION("""COMPUTED_VALUE"""),1708)</f>
        <v>1708</v>
      </c>
      <c r="S270" s="1">
        <f ca="1">IFERROR(__xludf.DUMMYFUNCTION("""COMPUTED_VALUE"""),0.414)</f>
        <v>0.41399999999999998</v>
      </c>
      <c r="T270" s="1">
        <f ca="1">IFERROR(__xludf.DUMMYFUNCTION("""COMPUTED_VALUE"""),216)</f>
        <v>216</v>
      </c>
      <c r="U270" s="1">
        <f ca="1">IFERROR(__xludf.DUMMYFUNCTION("""COMPUTED_VALUE"""),664)</f>
        <v>664</v>
      </c>
      <c r="V270" s="1">
        <f ca="1">IFERROR(__xludf.DUMMYFUNCTION("""COMPUTED_VALUE"""),0.325)</f>
        <v>0.32500000000000001</v>
      </c>
      <c r="W270" s="1">
        <f ca="1">IFERROR(__xludf.DUMMYFUNCTION("""COMPUTED_VALUE"""),448)</f>
        <v>448</v>
      </c>
      <c r="X270" s="1">
        <f ca="1">IFERROR(__xludf.DUMMYFUNCTION("""COMPUTED_VALUE"""),668)</f>
        <v>668</v>
      </c>
      <c r="Y270" s="1">
        <f ca="1">IFERROR(__xludf.DUMMYFUNCTION("""COMPUTED_VALUE"""),0.671)</f>
        <v>0.67100000000000004</v>
      </c>
      <c r="Z270" s="1">
        <f ca="1">IFERROR(__xludf.DUMMYFUNCTION("""COMPUTED_VALUE"""),233)</f>
        <v>233</v>
      </c>
      <c r="AA270" s="1">
        <f ca="1">IFERROR(__xludf.DUMMYFUNCTION("""COMPUTED_VALUE"""),1032)</f>
        <v>1032</v>
      </c>
      <c r="AB270" s="1">
        <f ca="1">IFERROR(__xludf.DUMMYFUNCTION("""COMPUTED_VALUE"""),369)</f>
        <v>369</v>
      </c>
      <c r="AC270" s="1">
        <f ca="1">IFERROR(__xludf.DUMMYFUNCTION("""COMPUTED_VALUE"""),175)</f>
        <v>175</v>
      </c>
      <c r="AD270" s="1">
        <f ca="1">IFERROR(__xludf.DUMMYFUNCTION("""COMPUTED_VALUE"""),123)</f>
        <v>123</v>
      </c>
      <c r="AE270" s="1">
        <f ca="1">IFERROR(__xludf.DUMMYFUNCTION("""COMPUTED_VALUE"""),425)</f>
        <v>425</v>
      </c>
      <c r="AF270" s="1">
        <f ca="1">IFERROR(__xludf.DUMMYFUNCTION("""COMPUTED_VALUE"""),588)</f>
        <v>588</v>
      </c>
    </row>
    <row r="271" spans="1:32" ht="12.5" x14ac:dyDescent="0.25">
      <c r="A271" s="1" t="str">
        <f ca="1">IFERROR(__xludf.DUMMYFUNCTION("""COMPUTED_VALUE"""),"Prairie View")</f>
        <v>Prairie View</v>
      </c>
      <c r="B271" s="1">
        <f ca="1">IFERROR(__xludf.DUMMYFUNCTION("""COMPUTED_VALUE"""),35)</f>
        <v>35</v>
      </c>
      <c r="C271" s="1">
        <f ca="1">IFERROR(__xludf.DUMMYFUNCTION("""COMPUTED_VALUE"""),22)</f>
        <v>22</v>
      </c>
      <c r="D271" s="1">
        <f ca="1">IFERROR(__xludf.DUMMYFUNCTION("""COMPUTED_VALUE"""),13)</f>
        <v>13</v>
      </c>
      <c r="E271" s="1">
        <f ca="1">IFERROR(__xludf.DUMMYFUNCTION("""COMPUTED_VALUE"""),0.629)</f>
        <v>0.629</v>
      </c>
      <c r="F271" s="1">
        <f ca="1">IFERROR(__xludf.DUMMYFUNCTION("""COMPUTED_VALUE"""),-7.29)</f>
        <v>-7.29</v>
      </c>
      <c r="G271" s="1">
        <f ca="1">IFERROR(__xludf.DUMMYFUNCTION("""COMPUTED_VALUE"""),-9.17)</f>
        <v>-9.17</v>
      </c>
      <c r="H271" s="1">
        <f ca="1">IFERROR(__xludf.DUMMYFUNCTION("""COMPUTED_VALUE"""),17)</f>
        <v>17</v>
      </c>
      <c r="I271" s="1">
        <f ca="1">IFERROR(__xludf.DUMMYFUNCTION("""COMPUTED_VALUE"""),1)</f>
        <v>1</v>
      </c>
      <c r="J271" s="1">
        <f ca="1">IFERROR(__xludf.DUMMYFUNCTION("""COMPUTED_VALUE"""),11)</f>
        <v>11</v>
      </c>
      <c r="K271" s="1">
        <f ca="1">IFERROR(__xludf.DUMMYFUNCTION("""COMPUTED_VALUE"""),0)</f>
        <v>0</v>
      </c>
      <c r="L271" s="1">
        <f ca="1">IFERROR(__xludf.DUMMYFUNCTION("""COMPUTED_VALUE"""),9)</f>
        <v>9</v>
      </c>
      <c r="M271" s="1">
        <f ca="1">IFERROR(__xludf.DUMMYFUNCTION("""COMPUTED_VALUE"""),12)</f>
        <v>12</v>
      </c>
      <c r="N271" s="1">
        <f ca="1">IFERROR(__xludf.DUMMYFUNCTION("""COMPUTED_VALUE"""),2627)</f>
        <v>2627</v>
      </c>
      <c r="O271" s="1">
        <f ca="1">IFERROR(__xludf.DUMMYFUNCTION("""COMPUTED_VALUE"""),2547)</f>
        <v>2547</v>
      </c>
      <c r="P271" s="1">
        <f ca="1">IFERROR(__xludf.DUMMYFUNCTION("""COMPUTED_VALUE"""),1400)</f>
        <v>1400</v>
      </c>
      <c r="Q271" s="1">
        <f ca="1">IFERROR(__xludf.DUMMYFUNCTION("""COMPUTED_VALUE"""),903)</f>
        <v>903</v>
      </c>
      <c r="R271" s="1">
        <f ca="1">IFERROR(__xludf.DUMMYFUNCTION("""COMPUTED_VALUE"""),2061)</f>
        <v>2061</v>
      </c>
      <c r="S271" s="1">
        <f ca="1">IFERROR(__xludf.DUMMYFUNCTION("""COMPUTED_VALUE"""),0.438)</f>
        <v>0.438</v>
      </c>
      <c r="T271" s="1">
        <f ca="1">IFERROR(__xludf.DUMMYFUNCTION("""COMPUTED_VALUE"""),225)</f>
        <v>225</v>
      </c>
      <c r="U271" s="1">
        <f ca="1">IFERROR(__xludf.DUMMYFUNCTION("""COMPUTED_VALUE"""),703)</f>
        <v>703</v>
      </c>
      <c r="V271" s="1">
        <f ca="1">IFERROR(__xludf.DUMMYFUNCTION("""COMPUTED_VALUE"""),0.32)</f>
        <v>0.32</v>
      </c>
      <c r="W271" s="1">
        <f ca="1">IFERROR(__xludf.DUMMYFUNCTION("""COMPUTED_VALUE"""),596)</f>
        <v>596</v>
      </c>
      <c r="X271" s="1">
        <f ca="1">IFERROR(__xludf.DUMMYFUNCTION("""COMPUTED_VALUE"""),875)</f>
        <v>875</v>
      </c>
      <c r="Y271" s="1">
        <f ca="1">IFERROR(__xludf.DUMMYFUNCTION("""COMPUTED_VALUE"""),0.681)</f>
        <v>0.68100000000000005</v>
      </c>
      <c r="Z271" s="1">
        <f ca="1">IFERROR(__xludf.DUMMYFUNCTION("""COMPUTED_VALUE"""),392)</f>
        <v>392</v>
      </c>
      <c r="AA271" s="1">
        <f ca="1">IFERROR(__xludf.DUMMYFUNCTION("""COMPUTED_VALUE"""),1151)</f>
        <v>1151</v>
      </c>
      <c r="AB271" s="1">
        <f ca="1">IFERROR(__xludf.DUMMYFUNCTION("""COMPUTED_VALUE"""),445)</f>
        <v>445</v>
      </c>
      <c r="AC271" s="1">
        <f ca="1">IFERROR(__xludf.DUMMYFUNCTION("""COMPUTED_VALUE"""),309)</f>
        <v>309</v>
      </c>
      <c r="AD271" s="1">
        <f ca="1">IFERROR(__xludf.DUMMYFUNCTION("""COMPUTED_VALUE"""),55)</f>
        <v>55</v>
      </c>
      <c r="AE271" s="1">
        <f ca="1">IFERROR(__xludf.DUMMYFUNCTION("""COMPUTED_VALUE"""),445)</f>
        <v>445</v>
      </c>
      <c r="AF271" s="1">
        <f ca="1">IFERROR(__xludf.DUMMYFUNCTION("""COMPUTED_VALUE"""),758)</f>
        <v>758</v>
      </c>
    </row>
    <row r="272" spans="1:32" ht="12.5" x14ac:dyDescent="0.25">
      <c r="A272" s="1" t="str">
        <f ca="1">IFERROR(__xludf.DUMMYFUNCTION("""COMPUTED_VALUE"""),"Presbyterian")</f>
        <v>Presbyterian</v>
      </c>
      <c r="B272" s="1">
        <f ca="1">IFERROR(__xludf.DUMMYFUNCTION("""COMPUTED_VALUE"""),36)</f>
        <v>36</v>
      </c>
      <c r="C272" s="1">
        <f ca="1">IFERROR(__xludf.DUMMYFUNCTION("""COMPUTED_VALUE"""),20)</f>
        <v>20</v>
      </c>
      <c r="D272" s="1">
        <f ca="1">IFERROR(__xludf.DUMMYFUNCTION("""COMPUTED_VALUE"""),16)</f>
        <v>16</v>
      </c>
      <c r="E272" s="1">
        <f ca="1">IFERROR(__xludf.DUMMYFUNCTION("""COMPUTED_VALUE"""),0.556)</f>
        <v>0.55600000000000005</v>
      </c>
      <c r="F272" s="1">
        <f ca="1">IFERROR(__xludf.DUMMYFUNCTION("""COMPUTED_VALUE"""),-3.56)</f>
        <v>-3.56</v>
      </c>
      <c r="G272" s="1">
        <f ca="1">IFERROR(__xludf.DUMMYFUNCTION("""COMPUTED_VALUE"""),-5.35)</f>
        <v>-5.35</v>
      </c>
      <c r="H272" s="1">
        <f ca="1">IFERROR(__xludf.DUMMYFUNCTION("""COMPUTED_VALUE"""),9)</f>
        <v>9</v>
      </c>
      <c r="I272" s="1">
        <f ca="1">IFERROR(__xludf.DUMMYFUNCTION("""COMPUTED_VALUE"""),7)</f>
        <v>7</v>
      </c>
      <c r="J272" s="1">
        <f ca="1">IFERROR(__xludf.DUMMYFUNCTION("""COMPUTED_VALUE"""),12)</f>
        <v>12</v>
      </c>
      <c r="K272" s="1">
        <f ca="1">IFERROR(__xludf.DUMMYFUNCTION("""COMPUTED_VALUE"""),3)</f>
        <v>3</v>
      </c>
      <c r="L272" s="1">
        <f ca="1">IFERROR(__xludf.DUMMYFUNCTION("""COMPUTED_VALUE"""),8)</f>
        <v>8</v>
      </c>
      <c r="M272" s="1">
        <f ca="1">IFERROR(__xludf.DUMMYFUNCTION("""COMPUTED_VALUE"""),12)</f>
        <v>12</v>
      </c>
      <c r="N272" s="1">
        <f ca="1">IFERROR(__xludf.DUMMYFUNCTION("""COMPUTED_VALUE"""),2817)</f>
        <v>2817</v>
      </c>
      <c r="O272" s="1">
        <f ca="1">IFERROR(__xludf.DUMMYFUNCTION("""COMPUTED_VALUE"""),2610)</f>
        <v>2610</v>
      </c>
      <c r="P272" s="1">
        <f ca="1">IFERROR(__xludf.DUMMYFUNCTION("""COMPUTED_VALUE"""),1445)</f>
        <v>1445</v>
      </c>
      <c r="Q272" s="1">
        <f ca="1">IFERROR(__xludf.DUMMYFUNCTION("""COMPUTED_VALUE"""),966)</f>
        <v>966</v>
      </c>
      <c r="R272" s="1">
        <f ca="1">IFERROR(__xludf.DUMMYFUNCTION("""COMPUTED_VALUE"""),2150)</f>
        <v>2150</v>
      </c>
      <c r="S272" s="1">
        <f ca="1">IFERROR(__xludf.DUMMYFUNCTION("""COMPUTED_VALUE"""),0.449)</f>
        <v>0.44900000000000001</v>
      </c>
      <c r="T272" s="1">
        <f ca="1">IFERROR(__xludf.DUMMYFUNCTION("""COMPUTED_VALUE"""),394)</f>
        <v>394</v>
      </c>
      <c r="U272" s="1">
        <f ca="1">IFERROR(__xludf.DUMMYFUNCTION("""COMPUTED_VALUE"""),1034)</f>
        <v>1034</v>
      </c>
      <c r="V272" s="1">
        <f ca="1">IFERROR(__xludf.DUMMYFUNCTION("""COMPUTED_VALUE"""),0.381)</f>
        <v>0.38100000000000001</v>
      </c>
      <c r="W272" s="1">
        <f ca="1">IFERROR(__xludf.DUMMYFUNCTION("""COMPUTED_VALUE"""),491)</f>
        <v>491</v>
      </c>
      <c r="X272" s="1">
        <f ca="1">IFERROR(__xludf.DUMMYFUNCTION("""COMPUTED_VALUE"""),674)</f>
        <v>674</v>
      </c>
      <c r="Y272" s="1">
        <f ca="1">IFERROR(__xludf.DUMMYFUNCTION("""COMPUTED_VALUE"""),0.728)</f>
        <v>0.72799999999999998</v>
      </c>
      <c r="Z272" s="1">
        <f ca="1">IFERROR(__xludf.DUMMYFUNCTION("""COMPUTED_VALUE"""),324)</f>
        <v>324</v>
      </c>
      <c r="AA272" s="1">
        <f ca="1">IFERROR(__xludf.DUMMYFUNCTION("""COMPUTED_VALUE"""),1248)</f>
        <v>1248</v>
      </c>
      <c r="AB272" s="1">
        <f ca="1">IFERROR(__xludf.DUMMYFUNCTION("""COMPUTED_VALUE"""),565)</f>
        <v>565</v>
      </c>
      <c r="AC272" s="1">
        <f ca="1">IFERROR(__xludf.DUMMYFUNCTION("""COMPUTED_VALUE"""),214)</f>
        <v>214</v>
      </c>
      <c r="AD272" s="1">
        <f ca="1">IFERROR(__xludf.DUMMYFUNCTION("""COMPUTED_VALUE"""),69)</f>
        <v>69</v>
      </c>
      <c r="AE272" s="1">
        <f ca="1">IFERROR(__xludf.DUMMYFUNCTION("""COMPUTED_VALUE"""),358)</f>
        <v>358</v>
      </c>
      <c r="AF272" s="1">
        <f ca="1">IFERROR(__xludf.DUMMYFUNCTION("""COMPUTED_VALUE"""),617)</f>
        <v>617</v>
      </c>
    </row>
    <row r="273" spans="1:32" ht="12.5" x14ac:dyDescent="0.25">
      <c r="A273" s="1" t="str">
        <f ca="1">IFERROR(__xludf.DUMMYFUNCTION("""COMPUTED_VALUE"""),"Princeton")</f>
        <v>Princeton</v>
      </c>
      <c r="B273" s="1">
        <f ca="1">IFERROR(__xludf.DUMMYFUNCTION("""COMPUTED_VALUE"""),28)</f>
        <v>28</v>
      </c>
      <c r="C273" s="1">
        <f ca="1">IFERROR(__xludf.DUMMYFUNCTION("""COMPUTED_VALUE"""),16)</f>
        <v>16</v>
      </c>
      <c r="D273" s="1">
        <f ca="1">IFERROR(__xludf.DUMMYFUNCTION("""COMPUTED_VALUE"""),12)</f>
        <v>12</v>
      </c>
      <c r="E273" s="1">
        <f ca="1">IFERROR(__xludf.DUMMYFUNCTION("""COMPUTED_VALUE"""),0.571)</f>
        <v>0.57099999999999995</v>
      </c>
      <c r="F273" s="1">
        <f ca="1">IFERROR(__xludf.DUMMYFUNCTION("""COMPUTED_VALUE"""),-3.43)</f>
        <v>-3.43</v>
      </c>
      <c r="G273" s="1">
        <f ca="1">IFERROR(__xludf.DUMMYFUNCTION("""COMPUTED_VALUE"""),-0.89)</f>
        <v>-0.89</v>
      </c>
      <c r="H273" s="1">
        <f ca="1">IFERROR(__xludf.DUMMYFUNCTION("""COMPUTED_VALUE"""),8)</f>
        <v>8</v>
      </c>
      <c r="I273" s="1">
        <f ca="1">IFERROR(__xludf.DUMMYFUNCTION("""COMPUTED_VALUE"""),6)</f>
        <v>6</v>
      </c>
      <c r="J273" s="1">
        <f ca="1">IFERROR(__xludf.DUMMYFUNCTION("""COMPUTED_VALUE"""),7)</f>
        <v>7</v>
      </c>
      <c r="K273" s="1">
        <f ca="1">IFERROR(__xludf.DUMMYFUNCTION("""COMPUTED_VALUE"""),5)</f>
        <v>5</v>
      </c>
      <c r="L273" s="1">
        <f ca="1">IFERROR(__xludf.DUMMYFUNCTION("""COMPUTED_VALUE"""),8)</f>
        <v>8</v>
      </c>
      <c r="M273" s="1">
        <f ca="1">IFERROR(__xludf.DUMMYFUNCTION("""COMPUTED_VALUE"""),6)</f>
        <v>6</v>
      </c>
      <c r="N273" s="1">
        <f ca="1">IFERROR(__xludf.DUMMYFUNCTION("""COMPUTED_VALUE"""),1948)</f>
        <v>1948</v>
      </c>
      <c r="O273" s="1">
        <f ca="1">IFERROR(__xludf.DUMMYFUNCTION("""COMPUTED_VALUE"""),1951)</f>
        <v>1951</v>
      </c>
      <c r="P273" s="1">
        <f ca="1">IFERROR(__xludf.DUMMYFUNCTION("""COMPUTED_VALUE"""),1135)</f>
        <v>1135</v>
      </c>
      <c r="Q273" s="1">
        <f ca="1">IFERROR(__xludf.DUMMYFUNCTION("""COMPUTED_VALUE"""),685)</f>
        <v>685</v>
      </c>
      <c r="R273" s="1">
        <f ca="1">IFERROR(__xludf.DUMMYFUNCTION("""COMPUTED_VALUE"""),1666)</f>
        <v>1666</v>
      </c>
      <c r="S273" s="1">
        <f ca="1">IFERROR(__xludf.DUMMYFUNCTION("""COMPUTED_VALUE"""),0.411)</f>
        <v>0.41099999999999998</v>
      </c>
      <c r="T273" s="1">
        <f ca="1">IFERROR(__xludf.DUMMYFUNCTION("""COMPUTED_VALUE"""),207)</f>
        <v>207</v>
      </c>
      <c r="U273" s="1">
        <f ca="1">IFERROR(__xludf.DUMMYFUNCTION("""COMPUTED_VALUE"""),679)</f>
        <v>679</v>
      </c>
      <c r="V273" s="1">
        <f ca="1">IFERROR(__xludf.DUMMYFUNCTION("""COMPUTED_VALUE"""),0.305)</f>
        <v>0.30499999999999999</v>
      </c>
      <c r="W273" s="1">
        <f ca="1">IFERROR(__xludf.DUMMYFUNCTION("""COMPUTED_VALUE"""),371)</f>
        <v>371</v>
      </c>
      <c r="X273" s="1">
        <f ca="1">IFERROR(__xludf.DUMMYFUNCTION("""COMPUTED_VALUE"""),502)</f>
        <v>502</v>
      </c>
      <c r="Y273" s="1">
        <f ca="1">IFERROR(__xludf.DUMMYFUNCTION("""COMPUTED_VALUE"""),0.739)</f>
        <v>0.73899999999999999</v>
      </c>
      <c r="Z273" s="1">
        <f ca="1">IFERROR(__xludf.DUMMYFUNCTION("""COMPUTED_VALUE"""),272)</f>
        <v>272</v>
      </c>
      <c r="AA273" s="1">
        <f ca="1">IFERROR(__xludf.DUMMYFUNCTION("""COMPUTED_VALUE"""),1016)</f>
        <v>1016</v>
      </c>
      <c r="AB273" s="1">
        <f ca="1">IFERROR(__xludf.DUMMYFUNCTION("""COMPUTED_VALUE"""),295)</f>
        <v>295</v>
      </c>
      <c r="AC273" s="1">
        <f ca="1">IFERROR(__xludf.DUMMYFUNCTION("""COMPUTED_VALUE"""),168)</f>
        <v>168</v>
      </c>
      <c r="AD273" s="1">
        <f ca="1">IFERROR(__xludf.DUMMYFUNCTION("""COMPUTED_VALUE"""),72)</f>
        <v>72</v>
      </c>
      <c r="AE273" s="1">
        <f ca="1">IFERROR(__xludf.DUMMYFUNCTION("""COMPUTED_VALUE"""),354)</f>
        <v>354</v>
      </c>
      <c r="AF273" s="1">
        <f ca="1">IFERROR(__xludf.DUMMYFUNCTION("""COMPUTED_VALUE"""),459)</f>
        <v>459</v>
      </c>
    </row>
    <row r="274" spans="1:32" ht="12.5" x14ac:dyDescent="0.25">
      <c r="A274" s="1" t="str">
        <f ca="1">IFERROR(__xludf.DUMMYFUNCTION("""COMPUTED_VALUE"""),"Providence")</f>
        <v>Providence</v>
      </c>
      <c r="B274" s="1">
        <f ca="1">IFERROR(__xludf.DUMMYFUNCTION("""COMPUTED_VALUE"""),34)</f>
        <v>34</v>
      </c>
      <c r="C274" s="1">
        <f ca="1">IFERROR(__xludf.DUMMYFUNCTION("""COMPUTED_VALUE"""),18)</f>
        <v>18</v>
      </c>
      <c r="D274" s="1">
        <f ca="1">IFERROR(__xludf.DUMMYFUNCTION("""COMPUTED_VALUE"""),16)</f>
        <v>16</v>
      </c>
      <c r="E274" s="1">
        <f ca="1">IFERROR(__xludf.DUMMYFUNCTION("""COMPUTED_VALUE"""),0.529)</f>
        <v>0.52900000000000003</v>
      </c>
      <c r="F274" s="1">
        <f ca="1">IFERROR(__xludf.DUMMYFUNCTION("""COMPUTED_VALUE"""),8.29)</f>
        <v>8.2899999999999991</v>
      </c>
      <c r="G274" s="1">
        <f ca="1">IFERROR(__xludf.DUMMYFUNCTION("""COMPUTED_VALUE"""),6.71)</f>
        <v>6.71</v>
      </c>
      <c r="H274" s="1">
        <f ca="1">IFERROR(__xludf.DUMMYFUNCTION("""COMPUTED_VALUE"""),7)</f>
        <v>7</v>
      </c>
      <c r="I274" s="1">
        <f ca="1">IFERROR(__xludf.DUMMYFUNCTION("""COMPUTED_VALUE"""),11)</f>
        <v>11</v>
      </c>
      <c r="J274" s="1">
        <f ca="1">IFERROR(__xludf.DUMMYFUNCTION("""COMPUTED_VALUE"""),11)</f>
        <v>11</v>
      </c>
      <c r="K274" s="1">
        <f ca="1">IFERROR(__xludf.DUMMYFUNCTION("""COMPUTED_VALUE"""),7)</f>
        <v>7</v>
      </c>
      <c r="L274" s="1">
        <f ca="1">IFERROR(__xludf.DUMMYFUNCTION("""COMPUTED_VALUE"""),5)</f>
        <v>5</v>
      </c>
      <c r="M274" s="1">
        <f ca="1">IFERROR(__xludf.DUMMYFUNCTION("""COMPUTED_VALUE"""),6)</f>
        <v>6</v>
      </c>
      <c r="N274" s="1">
        <f ca="1">IFERROR(__xludf.DUMMYFUNCTION("""COMPUTED_VALUE"""),2428)</f>
        <v>2428</v>
      </c>
      <c r="O274" s="1">
        <f ca="1">IFERROR(__xludf.DUMMYFUNCTION("""COMPUTED_VALUE"""),2374)</f>
        <v>2374</v>
      </c>
      <c r="P274" s="1">
        <f ca="1">IFERROR(__xludf.DUMMYFUNCTION("""COMPUTED_VALUE"""),1385)</f>
        <v>1385</v>
      </c>
      <c r="Q274" s="1">
        <f ca="1">IFERROR(__xludf.DUMMYFUNCTION("""COMPUTED_VALUE"""),835)</f>
        <v>835</v>
      </c>
      <c r="R274" s="1">
        <f ca="1">IFERROR(__xludf.DUMMYFUNCTION("""COMPUTED_VALUE"""),1973)</f>
        <v>1973</v>
      </c>
      <c r="S274" s="1">
        <f ca="1">IFERROR(__xludf.DUMMYFUNCTION("""COMPUTED_VALUE"""),0.423)</f>
        <v>0.42299999999999999</v>
      </c>
      <c r="T274" s="1">
        <f ca="1">IFERROR(__xludf.DUMMYFUNCTION("""COMPUTED_VALUE"""),225)</f>
        <v>225</v>
      </c>
      <c r="U274" s="1">
        <f ca="1">IFERROR(__xludf.DUMMYFUNCTION("""COMPUTED_VALUE"""),690)</f>
        <v>690</v>
      </c>
      <c r="V274" s="1">
        <f ca="1">IFERROR(__xludf.DUMMYFUNCTION("""COMPUTED_VALUE"""),0.326)</f>
        <v>0.32600000000000001</v>
      </c>
      <c r="W274" s="1">
        <f ca="1">IFERROR(__xludf.DUMMYFUNCTION("""COMPUTED_VALUE"""),533)</f>
        <v>533</v>
      </c>
      <c r="X274" s="1">
        <f ca="1">IFERROR(__xludf.DUMMYFUNCTION("""COMPUTED_VALUE"""),771)</f>
        <v>771</v>
      </c>
      <c r="Y274" s="1">
        <f ca="1">IFERROR(__xludf.DUMMYFUNCTION("""COMPUTED_VALUE"""),0.691)</f>
        <v>0.69099999999999995</v>
      </c>
      <c r="Z274" s="1">
        <f ca="1">IFERROR(__xludf.DUMMYFUNCTION("""COMPUTED_VALUE"""),399)</f>
        <v>399</v>
      </c>
      <c r="AA274" s="1">
        <f ca="1">IFERROR(__xludf.DUMMYFUNCTION("""COMPUTED_VALUE"""),1241)</f>
        <v>1241</v>
      </c>
      <c r="AB274" s="1">
        <f ca="1">IFERROR(__xludf.DUMMYFUNCTION("""COMPUTED_VALUE"""),491)</f>
        <v>491</v>
      </c>
      <c r="AC274" s="1">
        <f ca="1">IFERROR(__xludf.DUMMYFUNCTION("""COMPUTED_VALUE"""),253)</f>
        <v>253</v>
      </c>
      <c r="AD274" s="1">
        <f ca="1">IFERROR(__xludf.DUMMYFUNCTION("""COMPUTED_VALUE"""),136)</f>
        <v>136</v>
      </c>
      <c r="AE274" s="1">
        <f ca="1">IFERROR(__xludf.DUMMYFUNCTION("""COMPUTED_VALUE"""),445)</f>
        <v>445</v>
      </c>
      <c r="AF274" s="1">
        <f ca="1">IFERROR(__xludf.DUMMYFUNCTION("""COMPUTED_VALUE"""),600)</f>
        <v>600</v>
      </c>
    </row>
    <row r="275" spans="1:32" ht="12.5" x14ac:dyDescent="0.25">
      <c r="A275" s="1" t="str">
        <f ca="1">IFERROR(__xludf.DUMMYFUNCTION("""COMPUTED_VALUE"""),"Purdue")</f>
        <v>Purdue</v>
      </c>
      <c r="B275" s="1">
        <f ca="1">IFERROR(__xludf.DUMMYFUNCTION("""COMPUTED_VALUE"""),36)</f>
        <v>36</v>
      </c>
      <c r="C275" s="1">
        <f ca="1">IFERROR(__xludf.DUMMYFUNCTION("""COMPUTED_VALUE"""),26)</f>
        <v>26</v>
      </c>
      <c r="D275" s="1">
        <f ca="1">IFERROR(__xludf.DUMMYFUNCTION("""COMPUTED_VALUE"""),10)</f>
        <v>10</v>
      </c>
      <c r="E275" s="1">
        <f ca="1">IFERROR(__xludf.DUMMYFUNCTION("""COMPUTED_VALUE"""),0.722)</f>
        <v>0.72199999999999998</v>
      </c>
      <c r="F275" s="1">
        <f ca="1">IFERROR(__xludf.DUMMYFUNCTION("""COMPUTED_VALUE"""),21.4)</f>
        <v>21.4</v>
      </c>
      <c r="G275" s="1">
        <f ca="1">IFERROR(__xludf.DUMMYFUNCTION("""COMPUTED_VALUE"""),11.99)</f>
        <v>11.99</v>
      </c>
      <c r="H275" s="1">
        <f ca="1">IFERROR(__xludf.DUMMYFUNCTION("""COMPUTED_VALUE"""),16)</f>
        <v>16</v>
      </c>
      <c r="I275" s="1">
        <f ca="1">IFERROR(__xludf.DUMMYFUNCTION("""COMPUTED_VALUE"""),4)</f>
        <v>4</v>
      </c>
      <c r="J275" s="1">
        <f ca="1">IFERROR(__xludf.DUMMYFUNCTION("""COMPUTED_VALUE"""),15)</f>
        <v>15</v>
      </c>
      <c r="K275" s="1">
        <f ca="1">IFERROR(__xludf.DUMMYFUNCTION("""COMPUTED_VALUE"""),0)</f>
        <v>0</v>
      </c>
      <c r="L275" s="1">
        <f ca="1">IFERROR(__xludf.DUMMYFUNCTION("""COMPUTED_VALUE"""),6)</f>
        <v>6</v>
      </c>
      <c r="M275" s="1">
        <f ca="1">IFERROR(__xludf.DUMMYFUNCTION("""COMPUTED_VALUE"""),6)</f>
        <v>6</v>
      </c>
      <c r="N275" s="1">
        <f ca="1">IFERROR(__xludf.DUMMYFUNCTION("""COMPUTED_VALUE"""),2760)</f>
        <v>2760</v>
      </c>
      <c r="O275" s="1">
        <f ca="1">IFERROR(__xludf.DUMMYFUNCTION("""COMPUTED_VALUE"""),2421)</f>
        <v>2421</v>
      </c>
      <c r="P275" s="1">
        <f ca="1">IFERROR(__xludf.DUMMYFUNCTION("""COMPUTED_VALUE"""),1460)</f>
        <v>1460</v>
      </c>
      <c r="Q275" s="1">
        <f ca="1">IFERROR(__xludf.DUMMYFUNCTION("""COMPUTED_VALUE"""),967)</f>
        <v>967</v>
      </c>
      <c r="R275" s="1">
        <f ca="1">IFERROR(__xludf.DUMMYFUNCTION("""COMPUTED_VALUE"""),2145)</f>
        <v>2145</v>
      </c>
      <c r="S275" s="1">
        <f ca="1">IFERROR(__xludf.DUMMYFUNCTION("""COMPUTED_VALUE"""),0.451)</f>
        <v>0.45100000000000001</v>
      </c>
      <c r="T275" s="1">
        <f ca="1">IFERROR(__xludf.DUMMYFUNCTION("""COMPUTED_VALUE"""),365)</f>
        <v>365</v>
      </c>
      <c r="U275" s="1">
        <f ca="1">IFERROR(__xludf.DUMMYFUNCTION("""COMPUTED_VALUE"""),977)</f>
        <v>977</v>
      </c>
      <c r="V275" s="1">
        <f ca="1">IFERROR(__xludf.DUMMYFUNCTION("""COMPUTED_VALUE"""),0.374)</f>
        <v>0.374</v>
      </c>
      <c r="W275" s="1">
        <f ca="1">IFERROR(__xludf.DUMMYFUNCTION("""COMPUTED_VALUE"""),461)</f>
        <v>461</v>
      </c>
      <c r="X275" s="1">
        <f ca="1">IFERROR(__xludf.DUMMYFUNCTION("""COMPUTED_VALUE"""),641)</f>
        <v>641</v>
      </c>
      <c r="Y275" s="1">
        <f ca="1">IFERROR(__xludf.DUMMYFUNCTION("""COMPUTED_VALUE"""),0.719)</f>
        <v>0.71899999999999997</v>
      </c>
      <c r="Z275" s="1">
        <f ca="1">IFERROR(__xludf.DUMMYFUNCTION("""COMPUTED_VALUE"""),421)</f>
        <v>421</v>
      </c>
      <c r="AA275" s="1">
        <f ca="1">IFERROR(__xludf.DUMMYFUNCTION("""COMPUTED_VALUE"""),1341)</f>
        <v>1341</v>
      </c>
      <c r="AB275" s="1">
        <f ca="1">IFERROR(__xludf.DUMMYFUNCTION("""COMPUTED_VALUE"""),518)</f>
        <v>518</v>
      </c>
      <c r="AC275" s="1">
        <f ca="1">IFERROR(__xludf.DUMMYFUNCTION("""COMPUTED_VALUE"""),220)</f>
        <v>220</v>
      </c>
      <c r="AD275" s="1">
        <f ca="1">IFERROR(__xludf.DUMMYFUNCTION("""COMPUTED_VALUE"""),143)</f>
        <v>143</v>
      </c>
      <c r="AE275" s="1">
        <f ca="1">IFERROR(__xludf.DUMMYFUNCTION("""COMPUTED_VALUE"""),381)</f>
        <v>381</v>
      </c>
      <c r="AF275" s="1">
        <f ca="1">IFERROR(__xludf.DUMMYFUNCTION("""COMPUTED_VALUE"""),625)</f>
        <v>625</v>
      </c>
    </row>
    <row r="276" spans="1:32" ht="12.5" x14ac:dyDescent="0.25">
      <c r="A276" s="1" t="str">
        <f ca="1">IFERROR(__xludf.DUMMYFUNCTION("""COMPUTED_VALUE"""),"Quinnipiac")</f>
        <v>Quinnipiac</v>
      </c>
      <c r="B276" s="1">
        <f ca="1">IFERROR(__xludf.DUMMYFUNCTION("""COMPUTED_VALUE"""),31)</f>
        <v>31</v>
      </c>
      <c r="C276" s="1">
        <f ca="1">IFERROR(__xludf.DUMMYFUNCTION("""COMPUTED_VALUE"""),16)</f>
        <v>16</v>
      </c>
      <c r="D276" s="1">
        <f ca="1">IFERROR(__xludf.DUMMYFUNCTION("""COMPUTED_VALUE"""),15)</f>
        <v>15</v>
      </c>
      <c r="E276" s="1">
        <f ca="1">IFERROR(__xludf.DUMMYFUNCTION("""COMPUTED_VALUE"""),0.516)</f>
        <v>0.51600000000000001</v>
      </c>
      <c r="F276" s="1">
        <f ca="1">IFERROR(__xludf.DUMMYFUNCTION("""COMPUTED_VALUE"""),-6.78)</f>
        <v>-6.78</v>
      </c>
      <c r="G276" s="1">
        <f ca="1">IFERROR(__xludf.DUMMYFUNCTION("""COMPUTED_VALUE"""),-8.03)</f>
        <v>-8.0299999999999994</v>
      </c>
      <c r="H276" s="1">
        <f ca="1">IFERROR(__xludf.DUMMYFUNCTION("""COMPUTED_VALUE"""),11)</f>
        <v>11</v>
      </c>
      <c r="I276" s="1">
        <f ca="1">IFERROR(__xludf.DUMMYFUNCTION("""COMPUTED_VALUE"""),7)</f>
        <v>7</v>
      </c>
      <c r="J276" s="1">
        <f ca="1">IFERROR(__xludf.DUMMYFUNCTION("""COMPUTED_VALUE"""),7)</f>
        <v>7</v>
      </c>
      <c r="K276" s="1">
        <f ca="1">IFERROR(__xludf.DUMMYFUNCTION("""COMPUTED_VALUE"""),7)</f>
        <v>7</v>
      </c>
      <c r="L276" s="1">
        <f ca="1">IFERROR(__xludf.DUMMYFUNCTION("""COMPUTED_VALUE"""),9)</f>
        <v>9</v>
      </c>
      <c r="M276" s="1">
        <f ca="1">IFERROR(__xludf.DUMMYFUNCTION("""COMPUTED_VALUE"""),6)</f>
        <v>6</v>
      </c>
      <c r="N276" s="1">
        <f ca="1">IFERROR(__xludf.DUMMYFUNCTION("""COMPUTED_VALUE"""),2294)</f>
        <v>2294</v>
      </c>
      <c r="O276" s="1">
        <f ca="1">IFERROR(__xludf.DUMMYFUNCTION("""COMPUTED_VALUE"""),2255)</f>
        <v>2255</v>
      </c>
      <c r="P276" s="1">
        <f ca="1">IFERROR(__xludf.DUMMYFUNCTION("""COMPUTED_VALUE"""),1270)</f>
        <v>1270</v>
      </c>
      <c r="Q276" s="1">
        <f ca="1">IFERROR(__xludf.DUMMYFUNCTION("""COMPUTED_VALUE"""),739)</f>
        <v>739</v>
      </c>
      <c r="R276" s="1">
        <f ca="1">IFERROR(__xludf.DUMMYFUNCTION("""COMPUTED_VALUE"""),1730)</f>
        <v>1730</v>
      </c>
      <c r="S276" s="1">
        <f ca="1">IFERROR(__xludf.DUMMYFUNCTION("""COMPUTED_VALUE"""),0.427)</f>
        <v>0.42699999999999999</v>
      </c>
      <c r="T276" s="1">
        <f ca="1">IFERROR(__xludf.DUMMYFUNCTION("""COMPUTED_VALUE"""),348)</f>
        <v>348</v>
      </c>
      <c r="U276" s="1">
        <f ca="1">IFERROR(__xludf.DUMMYFUNCTION("""COMPUTED_VALUE"""),923)</f>
        <v>923</v>
      </c>
      <c r="V276" s="1">
        <f ca="1">IFERROR(__xludf.DUMMYFUNCTION("""COMPUTED_VALUE"""),0.377)</f>
        <v>0.377</v>
      </c>
      <c r="W276" s="1">
        <f ca="1">IFERROR(__xludf.DUMMYFUNCTION("""COMPUTED_VALUE"""),468)</f>
        <v>468</v>
      </c>
      <c r="X276" s="1">
        <f ca="1">IFERROR(__xludf.DUMMYFUNCTION("""COMPUTED_VALUE"""),646)</f>
        <v>646</v>
      </c>
      <c r="Y276" s="1">
        <f ca="1">IFERROR(__xludf.DUMMYFUNCTION("""COMPUTED_VALUE"""),0.724)</f>
        <v>0.72399999999999998</v>
      </c>
      <c r="Z276" s="1">
        <f ca="1">IFERROR(__xludf.DUMMYFUNCTION("""COMPUTED_VALUE"""),311)</f>
        <v>311</v>
      </c>
      <c r="AA276" s="1">
        <f ca="1">IFERROR(__xludf.DUMMYFUNCTION("""COMPUTED_VALUE"""),1111)</f>
        <v>1111</v>
      </c>
      <c r="AB276" s="1">
        <f ca="1">IFERROR(__xludf.DUMMYFUNCTION("""COMPUTED_VALUE"""),393)</f>
        <v>393</v>
      </c>
      <c r="AC276" s="1">
        <f ca="1">IFERROR(__xludf.DUMMYFUNCTION("""COMPUTED_VALUE"""),159)</f>
        <v>159</v>
      </c>
      <c r="AD276" s="1">
        <f ca="1">IFERROR(__xludf.DUMMYFUNCTION("""COMPUTED_VALUE"""),62)</f>
        <v>62</v>
      </c>
      <c r="AE276" s="1">
        <f ca="1">IFERROR(__xludf.DUMMYFUNCTION("""COMPUTED_VALUE"""),415)</f>
        <v>415</v>
      </c>
      <c r="AF276" s="1">
        <f ca="1">IFERROR(__xludf.DUMMYFUNCTION("""COMPUTED_VALUE"""),524)</f>
        <v>524</v>
      </c>
    </row>
    <row r="277" spans="1:32" ht="12.5" x14ac:dyDescent="0.25">
      <c r="A277" s="1" t="str">
        <f ca="1">IFERROR(__xludf.DUMMYFUNCTION("""COMPUTED_VALUE"""),"Radford")</f>
        <v>Radford</v>
      </c>
      <c r="B277" s="1">
        <f ca="1">IFERROR(__xludf.DUMMYFUNCTION("""COMPUTED_VALUE"""),33)</f>
        <v>33</v>
      </c>
      <c r="C277" s="1">
        <f ca="1">IFERROR(__xludf.DUMMYFUNCTION("""COMPUTED_VALUE"""),22)</f>
        <v>22</v>
      </c>
      <c r="D277" s="1">
        <f ca="1">IFERROR(__xludf.DUMMYFUNCTION("""COMPUTED_VALUE"""),11)</f>
        <v>11</v>
      </c>
      <c r="E277" s="1">
        <f ca="1">IFERROR(__xludf.DUMMYFUNCTION("""COMPUTED_VALUE"""),0.667)</f>
        <v>0.66700000000000004</v>
      </c>
      <c r="F277" s="1">
        <f ca="1">IFERROR(__xludf.DUMMYFUNCTION("""COMPUTED_VALUE"""),1.28)</f>
        <v>1.28</v>
      </c>
      <c r="G277" s="1">
        <f ca="1">IFERROR(__xludf.DUMMYFUNCTION("""COMPUTED_VALUE"""),-1.95)</f>
        <v>-1.95</v>
      </c>
      <c r="H277" s="1">
        <f ca="1">IFERROR(__xludf.DUMMYFUNCTION("""COMPUTED_VALUE"""),12)</f>
        <v>12</v>
      </c>
      <c r="I277" s="1">
        <f ca="1">IFERROR(__xludf.DUMMYFUNCTION("""COMPUTED_VALUE"""),4)</f>
        <v>4</v>
      </c>
      <c r="J277" s="1">
        <f ca="1">IFERROR(__xludf.DUMMYFUNCTION("""COMPUTED_VALUE"""),11)</f>
        <v>11</v>
      </c>
      <c r="K277" s="1">
        <f ca="1">IFERROR(__xludf.DUMMYFUNCTION("""COMPUTED_VALUE"""),3)</f>
        <v>3</v>
      </c>
      <c r="L277" s="1">
        <f ca="1">IFERROR(__xludf.DUMMYFUNCTION("""COMPUTED_VALUE"""),9)</f>
        <v>9</v>
      </c>
      <c r="M277" s="1">
        <f ca="1">IFERROR(__xludf.DUMMYFUNCTION("""COMPUTED_VALUE"""),7)</f>
        <v>7</v>
      </c>
      <c r="N277" s="1">
        <f ca="1">IFERROR(__xludf.DUMMYFUNCTION("""COMPUTED_VALUE"""),2440)</f>
        <v>2440</v>
      </c>
      <c r="O277" s="1">
        <f ca="1">IFERROR(__xludf.DUMMYFUNCTION("""COMPUTED_VALUE"""),2247)</f>
        <v>2247</v>
      </c>
      <c r="P277" s="1">
        <f ca="1">IFERROR(__xludf.DUMMYFUNCTION("""COMPUTED_VALUE"""),1330)</f>
        <v>1330</v>
      </c>
      <c r="Q277" s="1">
        <f ca="1">IFERROR(__xludf.DUMMYFUNCTION("""COMPUTED_VALUE"""),893)</f>
        <v>893</v>
      </c>
      <c r="R277" s="1">
        <f ca="1">IFERROR(__xludf.DUMMYFUNCTION("""COMPUTED_VALUE"""),1938)</f>
        <v>1938</v>
      </c>
      <c r="S277" s="1">
        <f ca="1">IFERROR(__xludf.DUMMYFUNCTION("""COMPUTED_VALUE"""),0.461)</f>
        <v>0.46100000000000002</v>
      </c>
      <c r="T277" s="1">
        <f ca="1">IFERROR(__xludf.DUMMYFUNCTION("""COMPUTED_VALUE"""),285)</f>
        <v>285</v>
      </c>
      <c r="U277" s="1">
        <f ca="1">IFERROR(__xludf.DUMMYFUNCTION("""COMPUTED_VALUE"""),751)</f>
        <v>751</v>
      </c>
      <c r="V277" s="1">
        <f ca="1">IFERROR(__xludf.DUMMYFUNCTION("""COMPUTED_VALUE"""),0.379)</f>
        <v>0.379</v>
      </c>
      <c r="W277" s="1">
        <f ca="1">IFERROR(__xludf.DUMMYFUNCTION("""COMPUTED_VALUE"""),369)</f>
        <v>369</v>
      </c>
      <c r="X277" s="1">
        <f ca="1">IFERROR(__xludf.DUMMYFUNCTION("""COMPUTED_VALUE"""),515)</f>
        <v>515</v>
      </c>
      <c r="Y277" s="1">
        <f ca="1">IFERROR(__xludf.DUMMYFUNCTION("""COMPUTED_VALUE"""),0.717)</f>
        <v>0.71699999999999997</v>
      </c>
      <c r="Z277" s="1">
        <f ca="1">IFERROR(__xludf.DUMMYFUNCTION("""COMPUTED_VALUE"""),335)</f>
        <v>335</v>
      </c>
      <c r="AA277" s="1">
        <f ca="1">IFERROR(__xludf.DUMMYFUNCTION("""COMPUTED_VALUE"""),1170)</f>
        <v>1170</v>
      </c>
      <c r="AB277" s="1">
        <f ca="1">IFERROR(__xludf.DUMMYFUNCTION("""COMPUTED_VALUE"""),467)</f>
        <v>467</v>
      </c>
      <c r="AC277" s="1">
        <f ca="1">IFERROR(__xludf.DUMMYFUNCTION("""COMPUTED_VALUE"""),196)</f>
        <v>196</v>
      </c>
      <c r="AD277" s="1">
        <f ca="1">IFERROR(__xludf.DUMMYFUNCTION("""COMPUTED_VALUE"""),101)</f>
        <v>101</v>
      </c>
      <c r="AE277" s="1">
        <f ca="1">IFERROR(__xludf.DUMMYFUNCTION("""COMPUTED_VALUE"""),358)</f>
        <v>358</v>
      </c>
      <c r="AF277" s="1">
        <f ca="1">IFERROR(__xludf.DUMMYFUNCTION("""COMPUTED_VALUE"""),528)</f>
        <v>528</v>
      </c>
    </row>
    <row r="278" spans="1:32" ht="12.5" x14ac:dyDescent="0.25">
      <c r="A278" s="1" t="str">
        <f ca="1">IFERROR(__xludf.DUMMYFUNCTION("""COMPUTED_VALUE"""),"Rhode Island")</f>
        <v>Rhode Island</v>
      </c>
      <c r="B278" s="1">
        <f ca="1">IFERROR(__xludf.DUMMYFUNCTION("""COMPUTED_VALUE"""),33)</f>
        <v>33</v>
      </c>
      <c r="C278" s="1">
        <f ca="1">IFERROR(__xludf.DUMMYFUNCTION("""COMPUTED_VALUE"""),18)</f>
        <v>18</v>
      </c>
      <c r="D278" s="1">
        <f ca="1">IFERROR(__xludf.DUMMYFUNCTION("""COMPUTED_VALUE"""),15)</f>
        <v>15</v>
      </c>
      <c r="E278" s="1">
        <f ca="1">IFERROR(__xludf.DUMMYFUNCTION("""COMPUTED_VALUE"""),0.545)</f>
        <v>0.54500000000000004</v>
      </c>
      <c r="F278" s="1">
        <f ca="1">IFERROR(__xludf.DUMMYFUNCTION("""COMPUTED_VALUE"""),2.83)</f>
        <v>2.83</v>
      </c>
      <c r="G278" s="1">
        <f ca="1">IFERROR(__xludf.DUMMYFUNCTION("""COMPUTED_VALUE"""),1.19)</f>
        <v>1.19</v>
      </c>
      <c r="H278" s="1">
        <f ca="1">IFERROR(__xludf.DUMMYFUNCTION("""COMPUTED_VALUE"""),9)</f>
        <v>9</v>
      </c>
      <c r="I278" s="1">
        <f ca="1">IFERROR(__xludf.DUMMYFUNCTION("""COMPUTED_VALUE"""),9)</f>
        <v>9</v>
      </c>
      <c r="J278" s="1">
        <f ca="1">IFERROR(__xludf.DUMMYFUNCTION("""COMPUTED_VALUE"""),9)</f>
        <v>9</v>
      </c>
      <c r="K278" s="1">
        <f ca="1">IFERROR(__xludf.DUMMYFUNCTION("""COMPUTED_VALUE"""),5)</f>
        <v>5</v>
      </c>
      <c r="L278" s="1">
        <f ca="1">IFERROR(__xludf.DUMMYFUNCTION("""COMPUTED_VALUE"""),5)</f>
        <v>5</v>
      </c>
      <c r="M278" s="1">
        <f ca="1">IFERROR(__xludf.DUMMYFUNCTION("""COMPUTED_VALUE"""),7)</f>
        <v>7</v>
      </c>
      <c r="N278" s="1">
        <f ca="1">IFERROR(__xludf.DUMMYFUNCTION("""COMPUTED_VALUE"""),2293)</f>
        <v>2293</v>
      </c>
      <c r="O278" s="1">
        <f ca="1">IFERROR(__xludf.DUMMYFUNCTION("""COMPUTED_VALUE"""),2239)</f>
        <v>2239</v>
      </c>
      <c r="P278" s="1">
        <f ca="1">IFERROR(__xludf.DUMMYFUNCTION("""COMPUTED_VALUE"""),1335)</f>
        <v>1335</v>
      </c>
      <c r="Q278" s="1">
        <f ca="1">IFERROR(__xludf.DUMMYFUNCTION("""COMPUTED_VALUE"""),821)</f>
        <v>821</v>
      </c>
      <c r="R278" s="1">
        <f ca="1">IFERROR(__xludf.DUMMYFUNCTION("""COMPUTED_VALUE"""),1914)</f>
        <v>1914</v>
      </c>
      <c r="S278" s="1">
        <f ca="1">IFERROR(__xludf.DUMMYFUNCTION("""COMPUTED_VALUE"""),0.429)</f>
        <v>0.42899999999999999</v>
      </c>
      <c r="T278" s="1">
        <f ca="1">IFERROR(__xludf.DUMMYFUNCTION("""COMPUTED_VALUE"""),172)</f>
        <v>172</v>
      </c>
      <c r="U278" s="1">
        <f ca="1">IFERROR(__xludf.DUMMYFUNCTION("""COMPUTED_VALUE"""),615)</f>
        <v>615</v>
      </c>
      <c r="V278" s="1">
        <f ca="1">IFERROR(__xludf.DUMMYFUNCTION("""COMPUTED_VALUE"""),0.28)</f>
        <v>0.28000000000000003</v>
      </c>
      <c r="W278" s="1">
        <f ca="1">IFERROR(__xludf.DUMMYFUNCTION("""COMPUTED_VALUE"""),479)</f>
        <v>479</v>
      </c>
      <c r="X278" s="1">
        <f ca="1">IFERROR(__xludf.DUMMYFUNCTION("""COMPUTED_VALUE"""),704)</f>
        <v>704</v>
      </c>
      <c r="Y278" s="1">
        <f ca="1">IFERROR(__xludf.DUMMYFUNCTION("""COMPUTED_VALUE"""),0.68)</f>
        <v>0.68</v>
      </c>
      <c r="Z278" s="1">
        <f ca="1">IFERROR(__xludf.DUMMYFUNCTION("""COMPUTED_VALUE"""),375)</f>
        <v>375</v>
      </c>
      <c r="AA278" s="1">
        <f ca="1">IFERROR(__xludf.DUMMYFUNCTION("""COMPUTED_VALUE"""),1194)</f>
        <v>1194</v>
      </c>
      <c r="AB278" s="1">
        <f ca="1">IFERROR(__xludf.DUMMYFUNCTION("""COMPUTED_VALUE"""),401)</f>
        <v>401</v>
      </c>
      <c r="AC278" s="1">
        <f ca="1">IFERROR(__xludf.DUMMYFUNCTION("""COMPUTED_VALUE"""),235)</f>
        <v>235</v>
      </c>
      <c r="AD278" s="1">
        <f ca="1">IFERROR(__xludf.DUMMYFUNCTION("""COMPUTED_VALUE"""),129)</f>
        <v>129</v>
      </c>
      <c r="AE278" s="1">
        <f ca="1">IFERROR(__xludf.DUMMYFUNCTION("""COMPUTED_VALUE"""),405)</f>
        <v>405</v>
      </c>
      <c r="AF278" s="1">
        <f ca="1">IFERROR(__xludf.DUMMYFUNCTION("""COMPUTED_VALUE"""),582)</f>
        <v>582</v>
      </c>
    </row>
    <row r="279" spans="1:32" ht="12.5" x14ac:dyDescent="0.25">
      <c r="A279" s="1" t="str">
        <f ca="1">IFERROR(__xludf.DUMMYFUNCTION("""COMPUTED_VALUE"""),"Rice")</f>
        <v>Rice</v>
      </c>
      <c r="B279" s="1">
        <f ca="1">IFERROR(__xludf.DUMMYFUNCTION("""COMPUTED_VALUE"""),32)</f>
        <v>32</v>
      </c>
      <c r="C279" s="1">
        <f ca="1">IFERROR(__xludf.DUMMYFUNCTION("""COMPUTED_VALUE"""),13)</f>
        <v>13</v>
      </c>
      <c r="D279" s="1">
        <f ca="1">IFERROR(__xludf.DUMMYFUNCTION("""COMPUTED_VALUE"""),19)</f>
        <v>19</v>
      </c>
      <c r="E279" s="1">
        <f ca="1">IFERROR(__xludf.DUMMYFUNCTION("""COMPUTED_VALUE"""),0.406)</f>
        <v>0.40600000000000003</v>
      </c>
      <c r="F279" s="1">
        <f ca="1">IFERROR(__xludf.DUMMYFUNCTION("""COMPUTED_VALUE"""),-6.56)</f>
        <v>-6.56</v>
      </c>
      <c r="G279" s="1">
        <f ca="1">IFERROR(__xludf.DUMMYFUNCTION("""COMPUTED_VALUE"""),-2.06)</f>
        <v>-2.06</v>
      </c>
      <c r="H279" s="1">
        <f ca="1">IFERROR(__xludf.DUMMYFUNCTION("""COMPUTED_VALUE"""),8)</f>
        <v>8</v>
      </c>
      <c r="I279" s="1">
        <f ca="1">IFERROR(__xludf.DUMMYFUNCTION("""COMPUTED_VALUE"""),10)</f>
        <v>10</v>
      </c>
      <c r="J279" s="1">
        <f ca="1">IFERROR(__xludf.DUMMYFUNCTION("""COMPUTED_VALUE"""),9)</f>
        <v>9</v>
      </c>
      <c r="K279" s="1">
        <f ca="1">IFERROR(__xludf.DUMMYFUNCTION("""COMPUTED_VALUE"""),7)</f>
        <v>7</v>
      </c>
      <c r="L279" s="1">
        <f ca="1">IFERROR(__xludf.DUMMYFUNCTION("""COMPUTED_VALUE"""),4)</f>
        <v>4</v>
      </c>
      <c r="M279" s="1">
        <f ca="1">IFERROR(__xludf.DUMMYFUNCTION("""COMPUTED_VALUE"""),11)</f>
        <v>11</v>
      </c>
      <c r="N279" s="1">
        <f ca="1">IFERROR(__xludf.DUMMYFUNCTION("""COMPUTED_VALUE"""),2367)</f>
        <v>2367</v>
      </c>
      <c r="O279" s="1">
        <f ca="1">IFERROR(__xludf.DUMMYFUNCTION("""COMPUTED_VALUE"""),2481)</f>
        <v>2481</v>
      </c>
      <c r="P279" s="1">
        <f ca="1">IFERROR(__xludf.DUMMYFUNCTION("""COMPUTED_VALUE"""),1305)</f>
        <v>1305</v>
      </c>
      <c r="Q279" s="1">
        <f ca="1">IFERROR(__xludf.DUMMYFUNCTION("""COMPUTED_VALUE"""),795)</f>
        <v>795</v>
      </c>
      <c r="R279" s="1">
        <f ca="1">IFERROR(__xludf.DUMMYFUNCTION("""COMPUTED_VALUE"""),1867)</f>
        <v>1867</v>
      </c>
      <c r="S279" s="1">
        <f ca="1">IFERROR(__xludf.DUMMYFUNCTION("""COMPUTED_VALUE"""),0.426)</f>
        <v>0.42599999999999999</v>
      </c>
      <c r="T279" s="1">
        <f ca="1">IFERROR(__xludf.DUMMYFUNCTION("""COMPUTED_VALUE"""),277)</f>
        <v>277</v>
      </c>
      <c r="U279" s="1">
        <f ca="1">IFERROR(__xludf.DUMMYFUNCTION("""COMPUTED_VALUE"""),797)</f>
        <v>797</v>
      </c>
      <c r="V279" s="1">
        <f ca="1">IFERROR(__xludf.DUMMYFUNCTION("""COMPUTED_VALUE"""),0.348)</f>
        <v>0.34799999999999998</v>
      </c>
      <c r="W279" s="1">
        <f ca="1">IFERROR(__xludf.DUMMYFUNCTION("""COMPUTED_VALUE"""),500)</f>
        <v>500</v>
      </c>
      <c r="X279" s="1">
        <f ca="1">IFERROR(__xludf.DUMMYFUNCTION("""COMPUTED_VALUE"""),729)</f>
        <v>729</v>
      </c>
      <c r="Y279" s="1">
        <f ca="1">IFERROR(__xludf.DUMMYFUNCTION("""COMPUTED_VALUE"""),0.686)</f>
        <v>0.68600000000000005</v>
      </c>
      <c r="Z279" s="1">
        <f ca="1">IFERROR(__xludf.DUMMYFUNCTION("""COMPUTED_VALUE"""),316)</f>
        <v>316</v>
      </c>
      <c r="AA279" s="1">
        <f ca="1">IFERROR(__xludf.DUMMYFUNCTION("""COMPUTED_VALUE"""),1221)</f>
        <v>1221</v>
      </c>
      <c r="AB279" s="1">
        <f ca="1">IFERROR(__xludf.DUMMYFUNCTION("""COMPUTED_VALUE"""),425)</f>
        <v>425</v>
      </c>
      <c r="AC279" s="1">
        <f ca="1">IFERROR(__xludf.DUMMYFUNCTION("""COMPUTED_VALUE"""),171)</f>
        <v>171</v>
      </c>
      <c r="AD279" s="1">
        <f ca="1">IFERROR(__xludf.DUMMYFUNCTION("""COMPUTED_VALUE"""),104)</f>
        <v>104</v>
      </c>
      <c r="AE279" s="1">
        <f ca="1">IFERROR(__xludf.DUMMYFUNCTION("""COMPUTED_VALUE"""),438)</f>
        <v>438</v>
      </c>
      <c r="AF279" s="1">
        <f ca="1">IFERROR(__xludf.DUMMYFUNCTION("""COMPUTED_VALUE"""),568)</f>
        <v>568</v>
      </c>
    </row>
    <row r="280" spans="1:32" ht="12.5" x14ac:dyDescent="0.25">
      <c r="A280" s="1" t="str">
        <f ca="1">IFERROR(__xludf.DUMMYFUNCTION("""COMPUTED_VALUE"""),"Richmond")</f>
        <v>Richmond</v>
      </c>
      <c r="B280" s="1">
        <f ca="1">IFERROR(__xludf.DUMMYFUNCTION("""COMPUTED_VALUE"""),33)</f>
        <v>33</v>
      </c>
      <c r="C280" s="1">
        <f ca="1">IFERROR(__xludf.DUMMYFUNCTION("""COMPUTED_VALUE"""),13)</f>
        <v>13</v>
      </c>
      <c r="D280" s="1">
        <f ca="1">IFERROR(__xludf.DUMMYFUNCTION("""COMPUTED_VALUE"""),20)</f>
        <v>20</v>
      </c>
      <c r="E280" s="1">
        <f ca="1">IFERROR(__xludf.DUMMYFUNCTION("""COMPUTED_VALUE"""),0.394)</f>
        <v>0.39400000000000002</v>
      </c>
      <c r="F280" s="1">
        <f ca="1">IFERROR(__xludf.DUMMYFUNCTION("""COMPUTED_VALUE"""),-1.37)</f>
        <v>-1.37</v>
      </c>
      <c r="G280" s="1">
        <f ca="1">IFERROR(__xludf.DUMMYFUNCTION("""COMPUTED_VALUE"""),-0.79)</f>
        <v>-0.79</v>
      </c>
      <c r="H280" s="1">
        <f ca="1">IFERROR(__xludf.DUMMYFUNCTION("""COMPUTED_VALUE"""),6)</f>
        <v>6</v>
      </c>
      <c r="I280" s="1">
        <f ca="1">IFERROR(__xludf.DUMMYFUNCTION("""COMPUTED_VALUE"""),12)</f>
        <v>12</v>
      </c>
      <c r="J280" s="1">
        <f ca="1">IFERROR(__xludf.DUMMYFUNCTION("""COMPUTED_VALUE"""),7)</f>
        <v>7</v>
      </c>
      <c r="K280" s="1">
        <f ca="1">IFERROR(__xludf.DUMMYFUNCTION("""COMPUTED_VALUE"""),10)</f>
        <v>10</v>
      </c>
      <c r="L280" s="1">
        <f ca="1">IFERROR(__xludf.DUMMYFUNCTION("""COMPUTED_VALUE"""),4)</f>
        <v>4</v>
      </c>
      <c r="M280" s="1">
        <f ca="1">IFERROR(__xludf.DUMMYFUNCTION("""COMPUTED_VALUE"""),7)</f>
        <v>7</v>
      </c>
      <c r="N280" s="1">
        <f ca="1">IFERROR(__xludf.DUMMYFUNCTION("""COMPUTED_VALUE"""),2314)</f>
        <v>2314</v>
      </c>
      <c r="O280" s="1">
        <f ca="1">IFERROR(__xludf.DUMMYFUNCTION("""COMPUTED_VALUE"""),2333)</f>
        <v>2333</v>
      </c>
      <c r="P280" s="1">
        <f ca="1">IFERROR(__xludf.DUMMYFUNCTION("""COMPUTED_VALUE"""),1320)</f>
        <v>1320</v>
      </c>
      <c r="Q280" s="1">
        <f ca="1">IFERROR(__xludf.DUMMYFUNCTION("""COMPUTED_VALUE"""),849)</f>
        <v>849</v>
      </c>
      <c r="R280" s="1">
        <f ca="1">IFERROR(__xludf.DUMMYFUNCTION("""COMPUTED_VALUE"""),1800)</f>
        <v>1800</v>
      </c>
      <c r="S280" s="1">
        <f ca="1">IFERROR(__xludf.DUMMYFUNCTION("""COMPUTED_VALUE"""),0.472)</f>
        <v>0.47199999999999998</v>
      </c>
      <c r="T280" s="1">
        <f ca="1">IFERROR(__xludf.DUMMYFUNCTION("""COMPUTED_VALUE"""),251)</f>
        <v>251</v>
      </c>
      <c r="U280" s="1">
        <f ca="1">IFERROR(__xludf.DUMMYFUNCTION("""COMPUTED_VALUE"""),723)</f>
        <v>723</v>
      </c>
      <c r="V280" s="1">
        <f ca="1">IFERROR(__xludf.DUMMYFUNCTION("""COMPUTED_VALUE"""),0.347)</f>
        <v>0.34699999999999998</v>
      </c>
      <c r="W280" s="1">
        <f ca="1">IFERROR(__xludf.DUMMYFUNCTION("""COMPUTED_VALUE"""),365)</f>
        <v>365</v>
      </c>
      <c r="X280" s="1">
        <f ca="1">IFERROR(__xludf.DUMMYFUNCTION("""COMPUTED_VALUE"""),552)</f>
        <v>552</v>
      </c>
      <c r="Y280" s="1">
        <f ca="1">IFERROR(__xludf.DUMMYFUNCTION("""COMPUTED_VALUE"""),0.661)</f>
        <v>0.66100000000000003</v>
      </c>
      <c r="Z280" s="1">
        <f ca="1">IFERROR(__xludf.DUMMYFUNCTION("""COMPUTED_VALUE"""),196)</f>
        <v>196</v>
      </c>
      <c r="AA280" s="1">
        <f ca="1">IFERROR(__xludf.DUMMYFUNCTION("""COMPUTED_VALUE"""),957)</f>
        <v>957</v>
      </c>
      <c r="AB280" s="1">
        <f ca="1">IFERROR(__xludf.DUMMYFUNCTION("""COMPUTED_VALUE"""),519)</f>
        <v>519</v>
      </c>
      <c r="AC280" s="1">
        <f ca="1">IFERROR(__xludf.DUMMYFUNCTION("""COMPUTED_VALUE"""),249)</f>
        <v>249</v>
      </c>
      <c r="AD280" s="1">
        <f ca="1">IFERROR(__xludf.DUMMYFUNCTION("""COMPUTED_VALUE"""),101)</f>
        <v>101</v>
      </c>
      <c r="AE280" s="1">
        <f ca="1">IFERROR(__xludf.DUMMYFUNCTION("""COMPUTED_VALUE"""),336)</f>
        <v>336</v>
      </c>
      <c r="AF280" s="1">
        <f ca="1">IFERROR(__xludf.DUMMYFUNCTION("""COMPUTED_VALUE"""),488)</f>
        <v>488</v>
      </c>
    </row>
    <row r="281" spans="1:32" ht="12.5" x14ac:dyDescent="0.25">
      <c r="A281" s="1" t="str">
        <f ca="1">IFERROR(__xludf.DUMMYFUNCTION("""COMPUTED_VALUE"""),"Rider")</f>
        <v>Rider</v>
      </c>
      <c r="B281" s="1">
        <f ca="1">IFERROR(__xludf.DUMMYFUNCTION("""COMPUTED_VALUE"""),31)</f>
        <v>31</v>
      </c>
      <c r="C281" s="1">
        <f ca="1">IFERROR(__xludf.DUMMYFUNCTION("""COMPUTED_VALUE"""),16)</f>
        <v>16</v>
      </c>
      <c r="D281" s="1">
        <f ca="1">IFERROR(__xludf.DUMMYFUNCTION("""COMPUTED_VALUE"""),15)</f>
        <v>15</v>
      </c>
      <c r="E281" s="1">
        <f ca="1">IFERROR(__xludf.DUMMYFUNCTION("""COMPUTED_VALUE"""),0.516)</f>
        <v>0.51600000000000001</v>
      </c>
      <c r="F281" s="1">
        <f ca="1">IFERROR(__xludf.DUMMYFUNCTION("""COMPUTED_VALUE"""),-4.96)</f>
        <v>-4.96</v>
      </c>
      <c r="G281" s="1">
        <f ca="1">IFERROR(__xludf.DUMMYFUNCTION("""COMPUTED_VALUE"""),-6.51)</f>
        <v>-6.51</v>
      </c>
      <c r="H281" s="1">
        <f ca="1">IFERROR(__xludf.DUMMYFUNCTION("""COMPUTED_VALUE"""),11)</f>
        <v>11</v>
      </c>
      <c r="I281" s="1">
        <f ca="1">IFERROR(__xludf.DUMMYFUNCTION("""COMPUTED_VALUE"""),7)</f>
        <v>7</v>
      </c>
      <c r="J281" s="1">
        <f ca="1">IFERROR(__xludf.DUMMYFUNCTION("""COMPUTED_VALUE"""),9)</f>
        <v>9</v>
      </c>
      <c r="K281" s="1">
        <f ca="1">IFERROR(__xludf.DUMMYFUNCTION("""COMPUTED_VALUE"""),3)</f>
        <v>3</v>
      </c>
      <c r="L281" s="1">
        <f ca="1">IFERROR(__xludf.DUMMYFUNCTION("""COMPUTED_VALUE"""),6)</f>
        <v>6</v>
      </c>
      <c r="M281" s="1">
        <f ca="1">IFERROR(__xludf.DUMMYFUNCTION("""COMPUTED_VALUE"""),10)</f>
        <v>10</v>
      </c>
      <c r="N281" s="1">
        <f ca="1">IFERROR(__xludf.DUMMYFUNCTION("""COMPUTED_VALUE"""),2381)</f>
        <v>2381</v>
      </c>
      <c r="O281" s="1">
        <f ca="1">IFERROR(__xludf.DUMMYFUNCTION("""COMPUTED_VALUE"""),2333)</f>
        <v>2333</v>
      </c>
      <c r="P281" s="1">
        <f ca="1">IFERROR(__xludf.DUMMYFUNCTION("""COMPUTED_VALUE"""),1245)</f>
        <v>1245</v>
      </c>
      <c r="Q281" s="1">
        <f ca="1">IFERROR(__xludf.DUMMYFUNCTION("""COMPUTED_VALUE"""),847)</f>
        <v>847</v>
      </c>
      <c r="R281" s="1">
        <f ca="1">IFERROR(__xludf.DUMMYFUNCTION("""COMPUTED_VALUE"""),1893)</f>
        <v>1893</v>
      </c>
      <c r="S281" s="1">
        <f ca="1">IFERROR(__xludf.DUMMYFUNCTION("""COMPUTED_VALUE"""),0.447)</f>
        <v>0.44700000000000001</v>
      </c>
      <c r="T281" s="1">
        <f ca="1">IFERROR(__xludf.DUMMYFUNCTION("""COMPUTED_VALUE"""),222)</f>
        <v>222</v>
      </c>
      <c r="U281" s="1">
        <f ca="1">IFERROR(__xludf.DUMMYFUNCTION("""COMPUTED_VALUE"""),651)</f>
        <v>651</v>
      </c>
      <c r="V281" s="1">
        <f ca="1">IFERROR(__xludf.DUMMYFUNCTION("""COMPUTED_VALUE"""),0.341)</f>
        <v>0.34100000000000003</v>
      </c>
      <c r="W281" s="1">
        <f ca="1">IFERROR(__xludf.DUMMYFUNCTION("""COMPUTED_VALUE"""),465)</f>
        <v>465</v>
      </c>
      <c r="X281" s="1">
        <f ca="1">IFERROR(__xludf.DUMMYFUNCTION("""COMPUTED_VALUE"""),755)</f>
        <v>755</v>
      </c>
      <c r="Y281" s="1">
        <f ca="1">IFERROR(__xludf.DUMMYFUNCTION("""COMPUTED_VALUE"""),0.616)</f>
        <v>0.61599999999999999</v>
      </c>
      <c r="Z281" s="1">
        <f ca="1">IFERROR(__xludf.DUMMYFUNCTION("""COMPUTED_VALUE"""),363)</f>
        <v>363</v>
      </c>
      <c r="AA281" s="1">
        <f ca="1">IFERROR(__xludf.DUMMYFUNCTION("""COMPUTED_VALUE"""),1144)</f>
        <v>1144</v>
      </c>
      <c r="AB281" s="1">
        <f ca="1">IFERROR(__xludf.DUMMYFUNCTION("""COMPUTED_VALUE"""),450)</f>
        <v>450</v>
      </c>
      <c r="AC281" s="1">
        <f ca="1">IFERROR(__xludf.DUMMYFUNCTION("""COMPUTED_VALUE"""),282)</f>
        <v>282</v>
      </c>
      <c r="AD281" s="1">
        <f ca="1">IFERROR(__xludf.DUMMYFUNCTION("""COMPUTED_VALUE"""),101)</f>
        <v>101</v>
      </c>
      <c r="AE281" s="1">
        <f ca="1">IFERROR(__xludf.DUMMYFUNCTION("""COMPUTED_VALUE"""),415)</f>
        <v>415</v>
      </c>
      <c r="AF281" s="1">
        <f ca="1">IFERROR(__xludf.DUMMYFUNCTION("""COMPUTED_VALUE"""),591)</f>
        <v>591</v>
      </c>
    </row>
    <row r="282" spans="1:32" ht="12.5" x14ac:dyDescent="0.25">
      <c r="A282" s="1" t="str">
        <f ca="1">IFERROR(__xludf.DUMMYFUNCTION("""COMPUTED_VALUE"""),"Robert Morris")</f>
        <v>Robert Morris</v>
      </c>
      <c r="B282" s="1">
        <f ca="1">IFERROR(__xludf.DUMMYFUNCTION("""COMPUTED_VALUE"""),35)</f>
        <v>35</v>
      </c>
      <c r="C282" s="1">
        <f ca="1">IFERROR(__xludf.DUMMYFUNCTION("""COMPUTED_VALUE"""),18)</f>
        <v>18</v>
      </c>
      <c r="D282" s="1">
        <f ca="1">IFERROR(__xludf.DUMMYFUNCTION("""COMPUTED_VALUE"""),17)</f>
        <v>17</v>
      </c>
      <c r="E282" s="1">
        <f ca="1">IFERROR(__xludf.DUMMYFUNCTION("""COMPUTED_VALUE"""),0.514)</f>
        <v>0.51400000000000001</v>
      </c>
      <c r="F282" s="1">
        <f ca="1">IFERROR(__xludf.DUMMYFUNCTION("""COMPUTED_VALUE"""),-9.41)</f>
        <v>-9.41</v>
      </c>
      <c r="G282" s="1">
        <f ca="1">IFERROR(__xludf.DUMMYFUNCTION("""COMPUTED_VALUE"""),-7.62)</f>
        <v>-7.62</v>
      </c>
      <c r="H282" s="1">
        <f ca="1">IFERROR(__xludf.DUMMYFUNCTION("""COMPUTED_VALUE"""),11)</f>
        <v>11</v>
      </c>
      <c r="I282" s="1">
        <f ca="1">IFERROR(__xludf.DUMMYFUNCTION("""COMPUTED_VALUE"""),7)</f>
        <v>7</v>
      </c>
      <c r="J282" s="1">
        <f ca="1">IFERROR(__xludf.DUMMYFUNCTION("""COMPUTED_VALUE"""),13)</f>
        <v>13</v>
      </c>
      <c r="K282" s="1">
        <f ca="1">IFERROR(__xludf.DUMMYFUNCTION("""COMPUTED_VALUE"""),4)</f>
        <v>4</v>
      </c>
      <c r="L282" s="1">
        <f ca="1">IFERROR(__xludf.DUMMYFUNCTION("""COMPUTED_VALUE"""),5)</f>
        <v>5</v>
      </c>
      <c r="M282" s="1">
        <f ca="1">IFERROR(__xludf.DUMMYFUNCTION("""COMPUTED_VALUE"""),13)</f>
        <v>13</v>
      </c>
      <c r="N282" s="1">
        <f ca="1">IFERROR(__xludf.DUMMYFUNCTION("""COMPUTED_VALUE"""),2448)</f>
        <v>2448</v>
      </c>
      <c r="O282" s="1">
        <f ca="1">IFERROR(__xludf.DUMMYFUNCTION("""COMPUTED_VALUE"""),2403)</f>
        <v>2403</v>
      </c>
      <c r="P282" s="1">
        <f ca="1">IFERROR(__xludf.DUMMYFUNCTION("""COMPUTED_VALUE"""),1420)</f>
        <v>1420</v>
      </c>
      <c r="Q282" s="1">
        <f ca="1">IFERROR(__xludf.DUMMYFUNCTION("""COMPUTED_VALUE"""),861)</f>
        <v>861</v>
      </c>
      <c r="R282" s="1">
        <f ca="1">IFERROR(__xludf.DUMMYFUNCTION("""COMPUTED_VALUE"""),1991)</f>
        <v>1991</v>
      </c>
      <c r="S282" s="1">
        <f ca="1">IFERROR(__xludf.DUMMYFUNCTION("""COMPUTED_VALUE"""),0.432)</f>
        <v>0.432</v>
      </c>
      <c r="T282" s="1">
        <f ca="1">IFERROR(__xludf.DUMMYFUNCTION("""COMPUTED_VALUE"""),280)</f>
        <v>280</v>
      </c>
      <c r="U282" s="1">
        <f ca="1">IFERROR(__xludf.DUMMYFUNCTION("""COMPUTED_VALUE"""),789)</f>
        <v>789</v>
      </c>
      <c r="V282" s="1">
        <f ca="1">IFERROR(__xludf.DUMMYFUNCTION("""COMPUTED_VALUE"""),0.355)</f>
        <v>0.35499999999999998</v>
      </c>
      <c r="W282" s="1">
        <f ca="1">IFERROR(__xludf.DUMMYFUNCTION("""COMPUTED_VALUE"""),446)</f>
        <v>446</v>
      </c>
      <c r="X282" s="1">
        <f ca="1">IFERROR(__xludf.DUMMYFUNCTION("""COMPUTED_VALUE"""),638)</f>
        <v>638</v>
      </c>
      <c r="Y282" s="1">
        <f ca="1">IFERROR(__xludf.DUMMYFUNCTION("""COMPUTED_VALUE"""),0.699)</f>
        <v>0.69899999999999995</v>
      </c>
      <c r="Z282" s="1">
        <f ca="1">IFERROR(__xludf.DUMMYFUNCTION("""COMPUTED_VALUE"""),373)</f>
        <v>373</v>
      </c>
      <c r="AA282" s="1">
        <f ca="1">IFERROR(__xludf.DUMMYFUNCTION("""COMPUTED_VALUE"""),1178)</f>
        <v>1178</v>
      </c>
      <c r="AB282" s="1">
        <f ca="1">IFERROR(__xludf.DUMMYFUNCTION("""COMPUTED_VALUE"""),487)</f>
        <v>487</v>
      </c>
      <c r="AC282" s="1">
        <f ca="1">IFERROR(__xludf.DUMMYFUNCTION("""COMPUTED_VALUE"""),257)</f>
        <v>257</v>
      </c>
      <c r="AD282" s="1">
        <f ca="1">IFERROR(__xludf.DUMMYFUNCTION("""COMPUTED_VALUE"""),92)</f>
        <v>92</v>
      </c>
      <c r="AE282" s="1">
        <f ca="1">IFERROR(__xludf.DUMMYFUNCTION("""COMPUTED_VALUE"""),507)</f>
        <v>507</v>
      </c>
      <c r="AF282" s="1">
        <f ca="1">IFERROR(__xludf.DUMMYFUNCTION("""COMPUTED_VALUE"""),683)</f>
        <v>683</v>
      </c>
    </row>
    <row r="283" spans="1:32" ht="12.5" x14ac:dyDescent="0.25">
      <c r="A283" s="1" t="str">
        <f ca="1">IFERROR(__xludf.DUMMYFUNCTION("""COMPUTED_VALUE"""),"Rutgers")</f>
        <v>Rutgers</v>
      </c>
      <c r="B283" s="1">
        <f ca="1">IFERROR(__xludf.DUMMYFUNCTION("""COMPUTED_VALUE"""),31)</f>
        <v>31</v>
      </c>
      <c r="C283" s="1">
        <f ca="1">IFERROR(__xludf.DUMMYFUNCTION("""COMPUTED_VALUE"""),14)</f>
        <v>14</v>
      </c>
      <c r="D283" s="1">
        <f ca="1">IFERROR(__xludf.DUMMYFUNCTION("""COMPUTED_VALUE"""),17)</f>
        <v>17</v>
      </c>
      <c r="E283" s="1">
        <f ca="1">IFERROR(__xludf.DUMMYFUNCTION("""COMPUTED_VALUE"""),0.452)</f>
        <v>0.45200000000000001</v>
      </c>
      <c r="F283" s="1">
        <f ca="1">IFERROR(__xludf.DUMMYFUNCTION("""COMPUTED_VALUE"""),8.89)</f>
        <v>8.89</v>
      </c>
      <c r="G283" s="1">
        <f ca="1">IFERROR(__xludf.DUMMYFUNCTION("""COMPUTED_VALUE"""),9.76)</f>
        <v>9.76</v>
      </c>
      <c r="H283" s="1">
        <f ca="1">IFERROR(__xludf.DUMMYFUNCTION("""COMPUTED_VALUE"""),7)</f>
        <v>7</v>
      </c>
      <c r="I283" s="1">
        <f ca="1">IFERROR(__xludf.DUMMYFUNCTION("""COMPUTED_VALUE"""),13)</f>
        <v>13</v>
      </c>
      <c r="J283" s="1">
        <f ca="1">IFERROR(__xludf.DUMMYFUNCTION("""COMPUTED_VALUE"""),10)</f>
        <v>10</v>
      </c>
      <c r="K283" s="1">
        <f ca="1">IFERROR(__xludf.DUMMYFUNCTION("""COMPUTED_VALUE"""),7)</f>
        <v>7</v>
      </c>
      <c r="L283" s="1">
        <f ca="1">IFERROR(__xludf.DUMMYFUNCTION("""COMPUTED_VALUE"""),4)</f>
        <v>4</v>
      </c>
      <c r="M283" s="1">
        <f ca="1">IFERROR(__xludf.DUMMYFUNCTION("""COMPUTED_VALUE"""),9)</f>
        <v>9</v>
      </c>
      <c r="N283" s="1">
        <f ca="1">IFERROR(__xludf.DUMMYFUNCTION("""COMPUTED_VALUE"""),2105)</f>
        <v>2105</v>
      </c>
      <c r="O283" s="1">
        <f ca="1">IFERROR(__xludf.DUMMYFUNCTION("""COMPUTED_VALUE"""),2132)</f>
        <v>2132</v>
      </c>
      <c r="P283" s="1">
        <f ca="1">IFERROR(__xludf.DUMMYFUNCTION("""COMPUTED_VALUE"""),1250)</f>
        <v>1250</v>
      </c>
      <c r="Q283" s="1">
        <f ca="1">IFERROR(__xludf.DUMMYFUNCTION("""COMPUTED_VALUE"""),771)</f>
        <v>771</v>
      </c>
      <c r="R283" s="1">
        <f ca="1">IFERROR(__xludf.DUMMYFUNCTION("""COMPUTED_VALUE"""),1842)</f>
        <v>1842</v>
      </c>
      <c r="S283" s="1">
        <f ca="1">IFERROR(__xludf.DUMMYFUNCTION("""COMPUTED_VALUE"""),0.419)</f>
        <v>0.41899999999999998</v>
      </c>
      <c r="T283" s="1">
        <f ca="1">IFERROR(__xludf.DUMMYFUNCTION("""COMPUTED_VALUE"""),191)</f>
        <v>191</v>
      </c>
      <c r="U283" s="1">
        <f ca="1">IFERROR(__xludf.DUMMYFUNCTION("""COMPUTED_VALUE"""),612)</f>
        <v>612</v>
      </c>
      <c r="V283" s="1">
        <f ca="1">IFERROR(__xludf.DUMMYFUNCTION("""COMPUTED_VALUE"""),0.312)</f>
        <v>0.312</v>
      </c>
      <c r="W283" s="1">
        <f ca="1">IFERROR(__xludf.DUMMYFUNCTION("""COMPUTED_VALUE"""),372)</f>
        <v>372</v>
      </c>
      <c r="X283" s="1">
        <f ca="1">IFERROR(__xludf.DUMMYFUNCTION("""COMPUTED_VALUE"""),584)</f>
        <v>584</v>
      </c>
      <c r="Y283" s="1">
        <f ca="1">IFERROR(__xludf.DUMMYFUNCTION("""COMPUTED_VALUE"""),0.637)</f>
        <v>0.63700000000000001</v>
      </c>
      <c r="Z283" s="1">
        <f ca="1">IFERROR(__xludf.DUMMYFUNCTION("""COMPUTED_VALUE"""),391)</f>
        <v>391</v>
      </c>
      <c r="AA283" s="1">
        <f ca="1">IFERROR(__xludf.DUMMYFUNCTION("""COMPUTED_VALUE"""),1210)</f>
        <v>1210</v>
      </c>
      <c r="AB283" s="1">
        <f ca="1">IFERROR(__xludf.DUMMYFUNCTION("""COMPUTED_VALUE"""),390)</f>
        <v>390</v>
      </c>
      <c r="AC283" s="1">
        <f ca="1">IFERROR(__xludf.DUMMYFUNCTION("""COMPUTED_VALUE"""),201)</f>
        <v>201</v>
      </c>
      <c r="AD283" s="1">
        <f ca="1">IFERROR(__xludf.DUMMYFUNCTION("""COMPUTED_VALUE"""),124)</f>
        <v>124</v>
      </c>
      <c r="AE283" s="1">
        <f ca="1">IFERROR(__xludf.DUMMYFUNCTION("""COMPUTED_VALUE"""),408)</f>
        <v>408</v>
      </c>
      <c r="AF283" s="1">
        <f ca="1">IFERROR(__xludf.DUMMYFUNCTION("""COMPUTED_VALUE"""),566)</f>
        <v>566</v>
      </c>
    </row>
    <row r="284" spans="1:32" ht="12.5" x14ac:dyDescent="0.25">
      <c r="A284" s="1" t="str">
        <f ca="1">IFERROR(__xludf.DUMMYFUNCTION("""COMPUTED_VALUE"""),"Sacramento State")</f>
        <v>Sacramento State</v>
      </c>
      <c r="B284" s="1">
        <f ca="1">IFERROR(__xludf.DUMMYFUNCTION("""COMPUTED_VALUE"""),31)</f>
        <v>31</v>
      </c>
      <c r="C284" s="1">
        <f ca="1">IFERROR(__xludf.DUMMYFUNCTION("""COMPUTED_VALUE"""),15)</f>
        <v>15</v>
      </c>
      <c r="D284" s="1">
        <f ca="1">IFERROR(__xludf.DUMMYFUNCTION("""COMPUTED_VALUE"""),16)</f>
        <v>16</v>
      </c>
      <c r="E284" s="1">
        <f ca="1">IFERROR(__xludf.DUMMYFUNCTION("""COMPUTED_VALUE"""),0.484)</f>
        <v>0.48399999999999999</v>
      </c>
      <c r="F284" s="1">
        <f ca="1">IFERROR(__xludf.DUMMYFUNCTION("""COMPUTED_VALUE"""),-8.78)</f>
        <v>-8.7799999999999994</v>
      </c>
      <c r="G284" s="1">
        <f ca="1">IFERROR(__xludf.DUMMYFUNCTION("""COMPUTED_VALUE"""),-6.78)</f>
        <v>-6.78</v>
      </c>
      <c r="H284" s="1">
        <f ca="1">IFERROR(__xludf.DUMMYFUNCTION("""COMPUTED_VALUE"""),8)</f>
        <v>8</v>
      </c>
      <c r="I284" s="1">
        <f ca="1">IFERROR(__xludf.DUMMYFUNCTION("""COMPUTED_VALUE"""),12)</f>
        <v>12</v>
      </c>
      <c r="J284" s="1">
        <f ca="1">IFERROR(__xludf.DUMMYFUNCTION("""COMPUTED_VALUE"""),9)</f>
        <v>9</v>
      </c>
      <c r="K284" s="1">
        <f ca="1">IFERROR(__xludf.DUMMYFUNCTION("""COMPUTED_VALUE"""),5)</f>
        <v>5</v>
      </c>
      <c r="L284" s="1">
        <f ca="1">IFERROR(__xludf.DUMMYFUNCTION("""COMPUTED_VALUE"""),4)</f>
        <v>4</v>
      </c>
      <c r="M284" s="1">
        <f ca="1">IFERROR(__xludf.DUMMYFUNCTION("""COMPUTED_VALUE"""),10)</f>
        <v>10</v>
      </c>
      <c r="N284" s="1">
        <f ca="1">IFERROR(__xludf.DUMMYFUNCTION("""COMPUTED_VALUE"""),2197)</f>
        <v>2197</v>
      </c>
      <c r="O284" s="1">
        <f ca="1">IFERROR(__xludf.DUMMYFUNCTION("""COMPUTED_VALUE"""),2155)</f>
        <v>2155</v>
      </c>
      <c r="P284" s="1">
        <f ca="1">IFERROR(__xludf.DUMMYFUNCTION("""COMPUTED_VALUE"""),1250)</f>
        <v>1250</v>
      </c>
      <c r="Q284" s="1">
        <f ca="1">IFERROR(__xludf.DUMMYFUNCTION("""COMPUTED_VALUE"""),806)</f>
        <v>806</v>
      </c>
      <c r="R284" s="1">
        <f ca="1">IFERROR(__xludf.DUMMYFUNCTION("""COMPUTED_VALUE"""),1800)</f>
        <v>1800</v>
      </c>
      <c r="S284" s="1">
        <f ca="1">IFERROR(__xludf.DUMMYFUNCTION("""COMPUTED_VALUE"""),0.448)</f>
        <v>0.44800000000000001</v>
      </c>
      <c r="T284" s="1">
        <f ca="1">IFERROR(__xludf.DUMMYFUNCTION("""COMPUTED_VALUE"""),175)</f>
        <v>175</v>
      </c>
      <c r="U284" s="1">
        <f ca="1">IFERROR(__xludf.DUMMYFUNCTION("""COMPUTED_VALUE"""),527)</f>
        <v>527</v>
      </c>
      <c r="V284" s="1">
        <f ca="1">IFERROR(__xludf.DUMMYFUNCTION("""COMPUTED_VALUE"""),0.332)</f>
        <v>0.33200000000000002</v>
      </c>
      <c r="W284" s="1">
        <f ca="1">IFERROR(__xludf.DUMMYFUNCTION("""COMPUTED_VALUE"""),410)</f>
        <v>410</v>
      </c>
      <c r="X284" s="1">
        <f ca="1">IFERROR(__xludf.DUMMYFUNCTION("""COMPUTED_VALUE"""),592)</f>
        <v>592</v>
      </c>
      <c r="Y284" s="1">
        <f ca="1">IFERROR(__xludf.DUMMYFUNCTION("""COMPUTED_VALUE"""),0.693)</f>
        <v>0.69299999999999995</v>
      </c>
      <c r="Z284" s="1">
        <f ca="1">IFERROR(__xludf.DUMMYFUNCTION("""COMPUTED_VALUE"""),308)</f>
        <v>308</v>
      </c>
      <c r="AA284" s="1">
        <f ca="1">IFERROR(__xludf.DUMMYFUNCTION("""COMPUTED_VALUE"""),1050)</f>
        <v>1050</v>
      </c>
      <c r="AB284" s="1">
        <f ca="1">IFERROR(__xludf.DUMMYFUNCTION("""COMPUTED_VALUE"""),431)</f>
        <v>431</v>
      </c>
      <c r="AC284" s="1">
        <f ca="1">IFERROR(__xludf.DUMMYFUNCTION("""COMPUTED_VALUE"""),239)</f>
        <v>239</v>
      </c>
      <c r="AD284" s="1">
        <f ca="1">IFERROR(__xludf.DUMMYFUNCTION("""COMPUTED_VALUE"""),104)</f>
        <v>104</v>
      </c>
      <c r="AE284" s="1">
        <f ca="1">IFERROR(__xludf.DUMMYFUNCTION("""COMPUTED_VALUE"""),404)</f>
        <v>404</v>
      </c>
      <c r="AF284" s="1">
        <f ca="1">IFERROR(__xludf.DUMMYFUNCTION("""COMPUTED_VALUE"""),566)</f>
        <v>566</v>
      </c>
    </row>
    <row r="285" spans="1:32" ht="12.5" x14ac:dyDescent="0.25">
      <c r="A285" s="1" t="str">
        <f ca="1">IFERROR(__xludf.DUMMYFUNCTION("""COMPUTED_VALUE"""),"Sacred Heart")</f>
        <v>Sacred Heart</v>
      </c>
      <c r="B285" s="1">
        <f ca="1">IFERROR(__xludf.DUMMYFUNCTION("""COMPUTED_VALUE"""),32)</f>
        <v>32</v>
      </c>
      <c r="C285" s="1">
        <f ca="1">IFERROR(__xludf.DUMMYFUNCTION("""COMPUTED_VALUE"""),15)</f>
        <v>15</v>
      </c>
      <c r="D285" s="1">
        <f ca="1">IFERROR(__xludf.DUMMYFUNCTION("""COMPUTED_VALUE"""),17)</f>
        <v>17</v>
      </c>
      <c r="E285" s="1">
        <f ca="1">IFERROR(__xludf.DUMMYFUNCTION("""COMPUTED_VALUE"""),0.469)</f>
        <v>0.46899999999999997</v>
      </c>
      <c r="F285" s="1">
        <f ca="1">IFERROR(__xludf.DUMMYFUNCTION("""COMPUTED_VALUE"""),-7.88)</f>
        <v>-7.88</v>
      </c>
      <c r="G285" s="1">
        <f ca="1">IFERROR(__xludf.DUMMYFUNCTION("""COMPUTED_VALUE"""),-8.11)</f>
        <v>-8.11</v>
      </c>
      <c r="H285" s="1">
        <f ca="1">IFERROR(__xludf.DUMMYFUNCTION("""COMPUTED_VALUE"""),11)</f>
        <v>11</v>
      </c>
      <c r="I285" s="1">
        <f ca="1">IFERROR(__xludf.DUMMYFUNCTION("""COMPUTED_VALUE"""),7)</f>
        <v>7</v>
      </c>
      <c r="J285" s="1">
        <f ca="1">IFERROR(__xludf.DUMMYFUNCTION("""COMPUTED_VALUE"""),10)</f>
        <v>10</v>
      </c>
      <c r="K285" s="1">
        <f ca="1">IFERROR(__xludf.DUMMYFUNCTION("""COMPUTED_VALUE"""),3)</f>
        <v>3</v>
      </c>
      <c r="L285" s="1">
        <f ca="1">IFERROR(__xludf.DUMMYFUNCTION("""COMPUTED_VALUE"""),4)</f>
        <v>4</v>
      </c>
      <c r="M285" s="1">
        <f ca="1">IFERROR(__xludf.DUMMYFUNCTION("""COMPUTED_VALUE"""),13)</f>
        <v>13</v>
      </c>
      <c r="N285" s="1">
        <f ca="1">IFERROR(__xludf.DUMMYFUNCTION("""COMPUTED_VALUE"""),2558)</f>
        <v>2558</v>
      </c>
      <c r="O285" s="1">
        <f ca="1">IFERROR(__xludf.DUMMYFUNCTION("""COMPUTED_VALUE"""),2509)</f>
        <v>2509</v>
      </c>
      <c r="P285" s="1">
        <f ca="1">IFERROR(__xludf.DUMMYFUNCTION("""COMPUTED_VALUE"""),1285)</f>
        <v>1285</v>
      </c>
      <c r="Q285" s="1">
        <f ca="1">IFERROR(__xludf.DUMMYFUNCTION("""COMPUTED_VALUE"""),885)</f>
        <v>885</v>
      </c>
      <c r="R285" s="1">
        <f ca="1">IFERROR(__xludf.DUMMYFUNCTION("""COMPUTED_VALUE"""),1926)</f>
        <v>1926</v>
      </c>
      <c r="S285" s="1">
        <f ca="1">IFERROR(__xludf.DUMMYFUNCTION("""COMPUTED_VALUE"""),0.46)</f>
        <v>0.46</v>
      </c>
      <c r="T285" s="1">
        <f ca="1">IFERROR(__xludf.DUMMYFUNCTION("""COMPUTED_VALUE"""),243)</f>
        <v>243</v>
      </c>
      <c r="U285" s="1">
        <f ca="1">IFERROR(__xludf.DUMMYFUNCTION("""COMPUTED_VALUE"""),681)</f>
        <v>681</v>
      </c>
      <c r="V285" s="1">
        <f ca="1">IFERROR(__xludf.DUMMYFUNCTION("""COMPUTED_VALUE"""),0.357)</f>
        <v>0.35699999999999998</v>
      </c>
      <c r="W285" s="1">
        <f ca="1">IFERROR(__xludf.DUMMYFUNCTION("""COMPUTED_VALUE"""),545)</f>
        <v>545</v>
      </c>
      <c r="X285" s="1">
        <f ca="1">IFERROR(__xludf.DUMMYFUNCTION("""COMPUTED_VALUE"""),722)</f>
        <v>722</v>
      </c>
      <c r="Y285" s="1">
        <f ca="1">IFERROR(__xludf.DUMMYFUNCTION("""COMPUTED_VALUE"""),0.755)</f>
        <v>0.755</v>
      </c>
      <c r="Z285" s="1">
        <f ca="1">IFERROR(__xludf.DUMMYFUNCTION("""COMPUTED_VALUE"""),354)</f>
        <v>354</v>
      </c>
      <c r="AA285" s="1">
        <f ca="1">IFERROR(__xludf.DUMMYFUNCTION("""COMPUTED_VALUE"""),1231)</f>
        <v>1231</v>
      </c>
      <c r="AB285" s="1">
        <f ca="1">IFERROR(__xludf.DUMMYFUNCTION("""COMPUTED_VALUE"""),471)</f>
        <v>471</v>
      </c>
      <c r="AC285" s="1">
        <f ca="1">IFERROR(__xludf.DUMMYFUNCTION("""COMPUTED_VALUE"""),170)</f>
        <v>170</v>
      </c>
      <c r="AD285" s="1">
        <f ca="1">IFERROR(__xludf.DUMMYFUNCTION("""COMPUTED_VALUE"""),133)</f>
        <v>133</v>
      </c>
      <c r="AE285" s="1">
        <f ca="1">IFERROR(__xludf.DUMMYFUNCTION("""COMPUTED_VALUE"""),465)</f>
        <v>465</v>
      </c>
      <c r="AF285" s="1">
        <f ca="1">IFERROR(__xludf.DUMMYFUNCTION("""COMPUTED_VALUE"""),572)</f>
        <v>572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IFERROR(__xludf.DUMMYFUNCTION("""COMPUTED_VALUE"""),"Saint Francis (PA)")</f>
        <v>Saint Francis (PA)</v>
      </c>
      <c r="B288" s="1">
        <f ca="1">IFERROR(__xludf.DUMMYFUNCTION("""COMPUTED_VALUE"""),33)</f>
        <v>33</v>
      </c>
      <c r="C288" s="1">
        <f ca="1">IFERROR(__xludf.DUMMYFUNCTION("""COMPUTED_VALUE"""),18)</f>
        <v>18</v>
      </c>
      <c r="D288" s="1">
        <f ca="1">IFERROR(__xludf.DUMMYFUNCTION("""COMPUTED_VALUE"""),15)</f>
        <v>15</v>
      </c>
      <c r="E288" s="1">
        <f ca="1">IFERROR(__xludf.DUMMYFUNCTION("""COMPUTED_VALUE"""),0.545)</f>
        <v>0.54500000000000004</v>
      </c>
      <c r="F288" s="1">
        <f ca="1">IFERROR(__xludf.DUMMYFUNCTION("""COMPUTED_VALUE"""),-8.74)</f>
        <v>-8.74</v>
      </c>
      <c r="G288" s="1">
        <f ca="1">IFERROR(__xludf.DUMMYFUNCTION("""COMPUTED_VALUE"""),-6.16)</f>
        <v>-6.16</v>
      </c>
      <c r="H288" s="1">
        <f ca="1">IFERROR(__xludf.DUMMYFUNCTION("""COMPUTED_VALUE"""),12)</f>
        <v>12</v>
      </c>
      <c r="I288" s="1">
        <f ca="1">IFERROR(__xludf.DUMMYFUNCTION("""COMPUTED_VALUE"""),6)</f>
        <v>6</v>
      </c>
      <c r="J288" s="1">
        <f ca="1">IFERROR(__xludf.DUMMYFUNCTION("""COMPUTED_VALUE"""),12)</f>
        <v>12</v>
      </c>
      <c r="K288" s="1">
        <f ca="1">IFERROR(__xludf.DUMMYFUNCTION("""COMPUTED_VALUE"""),4)</f>
        <v>4</v>
      </c>
      <c r="L288" s="1">
        <f ca="1">IFERROR(__xludf.DUMMYFUNCTION("""COMPUTED_VALUE"""),6)</f>
        <v>6</v>
      </c>
      <c r="M288" s="1">
        <f ca="1">IFERROR(__xludf.DUMMYFUNCTION("""COMPUTED_VALUE"""),11)</f>
        <v>11</v>
      </c>
      <c r="N288" s="1">
        <f ca="1">IFERROR(__xludf.DUMMYFUNCTION("""COMPUTED_VALUE"""),2517)</f>
        <v>2517</v>
      </c>
      <c r="O288" s="1">
        <f ca="1">IFERROR(__xludf.DUMMYFUNCTION("""COMPUTED_VALUE"""),2510)</f>
        <v>2510</v>
      </c>
      <c r="P288" s="1">
        <f ca="1">IFERROR(__xludf.DUMMYFUNCTION("""COMPUTED_VALUE"""),1320)</f>
        <v>1320</v>
      </c>
      <c r="Q288" s="1">
        <f ca="1">IFERROR(__xludf.DUMMYFUNCTION("""COMPUTED_VALUE"""),885)</f>
        <v>885</v>
      </c>
      <c r="R288" s="1">
        <f ca="1">IFERROR(__xludf.DUMMYFUNCTION("""COMPUTED_VALUE"""),2035)</f>
        <v>2035</v>
      </c>
      <c r="S288" s="1">
        <f ca="1">IFERROR(__xludf.DUMMYFUNCTION("""COMPUTED_VALUE"""),0.435)</f>
        <v>0.435</v>
      </c>
      <c r="T288" s="1">
        <f ca="1">IFERROR(__xludf.DUMMYFUNCTION("""COMPUTED_VALUE"""),254)</f>
        <v>254</v>
      </c>
      <c r="U288" s="1">
        <f ca="1">IFERROR(__xludf.DUMMYFUNCTION("""COMPUTED_VALUE"""),724)</f>
        <v>724</v>
      </c>
      <c r="V288" s="1">
        <f ca="1">IFERROR(__xludf.DUMMYFUNCTION("""COMPUTED_VALUE"""),0.351)</f>
        <v>0.35099999999999998</v>
      </c>
      <c r="W288" s="1">
        <f ca="1">IFERROR(__xludf.DUMMYFUNCTION("""COMPUTED_VALUE"""),493)</f>
        <v>493</v>
      </c>
      <c r="X288" s="1">
        <f ca="1">IFERROR(__xludf.DUMMYFUNCTION("""COMPUTED_VALUE"""),698)</f>
        <v>698</v>
      </c>
      <c r="Y288" s="1">
        <f ca="1">IFERROR(__xludf.DUMMYFUNCTION("""COMPUTED_VALUE"""),0.706)</f>
        <v>0.70599999999999996</v>
      </c>
      <c r="Z288" s="1">
        <f ca="1">IFERROR(__xludf.DUMMYFUNCTION("""COMPUTED_VALUE"""),430)</f>
        <v>430</v>
      </c>
      <c r="AA288" s="1">
        <f ca="1">IFERROR(__xludf.DUMMYFUNCTION("""COMPUTED_VALUE"""),1246)</f>
        <v>1246</v>
      </c>
      <c r="AB288" s="1">
        <f ca="1">IFERROR(__xludf.DUMMYFUNCTION("""COMPUTED_VALUE"""),413)</f>
        <v>413</v>
      </c>
      <c r="AC288" s="1">
        <f ca="1">IFERROR(__xludf.DUMMYFUNCTION("""COMPUTED_VALUE"""),221)</f>
        <v>221</v>
      </c>
      <c r="AD288" s="1">
        <f ca="1">IFERROR(__xludf.DUMMYFUNCTION("""COMPUTED_VALUE"""),94)</f>
        <v>94</v>
      </c>
      <c r="AE288" s="1">
        <f ca="1">IFERROR(__xludf.DUMMYFUNCTION("""COMPUTED_VALUE"""),402)</f>
        <v>402</v>
      </c>
      <c r="AF288" s="1">
        <f ca="1">IFERROR(__xludf.DUMMYFUNCTION("""COMPUTED_VALUE"""),598)</f>
        <v>598</v>
      </c>
    </row>
    <row r="289" spans="1:32" ht="12.5" x14ac:dyDescent="0.25">
      <c r="A289" s="1" t="str">
        <f ca="1">IFERROR(__xludf.DUMMYFUNCTION("""COMPUTED_VALUE"""),"Saint Joseph's")</f>
        <v>Saint Joseph's</v>
      </c>
      <c r="B289" s="1">
        <f ca="1">IFERROR(__xludf.DUMMYFUNCTION("""COMPUTED_VALUE"""),33)</f>
        <v>33</v>
      </c>
      <c r="C289" s="1">
        <f ca="1">IFERROR(__xludf.DUMMYFUNCTION("""COMPUTED_VALUE"""),14)</f>
        <v>14</v>
      </c>
      <c r="D289" s="1">
        <f ca="1">IFERROR(__xludf.DUMMYFUNCTION("""COMPUTED_VALUE"""),19)</f>
        <v>19</v>
      </c>
      <c r="E289" s="1">
        <f ca="1">IFERROR(__xludf.DUMMYFUNCTION("""COMPUTED_VALUE"""),0.424)</f>
        <v>0.42399999999999999</v>
      </c>
      <c r="F289" s="1">
        <f ca="1">IFERROR(__xludf.DUMMYFUNCTION("""COMPUTED_VALUE"""),-0.43)</f>
        <v>-0.43</v>
      </c>
      <c r="G289" s="1">
        <f ca="1">IFERROR(__xludf.DUMMYFUNCTION("""COMPUTED_VALUE"""),1.66)</f>
        <v>1.66</v>
      </c>
      <c r="H289" s="1">
        <f ca="1">IFERROR(__xludf.DUMMYFUNCTION("""COMPUTED_VALUE"""),6)</f>
        <v>6</v>
      </c>
      <c r="I289" s="1">
        <f ca="1">IFERROR(__xludf.DUMMYFUNCTION("""COMPUTED_VALUE"""),12)</f>
        <v>12</v>
      </c>
      <c r="J289" s="1">
        <f ca="1">IFERROR(__xludf.DUMMYFUNCTION("""COMPUTED_VALUE"""),10)</f>
        <v>10</v>
      </c>
      <c r="K289" s="1">
        <f ca="1">IFERROR(__xludf.DUMMYFUNCTION("""COMPUTED_VALUE"""),5)</f>
        <v>5</v>
      </c>
      <c r="L289" s="1">
        <f ca="1">IFERROR(__xludf.DUMMYFUNCTION("""COMPUTED_VALUE"""),2)</f>
        <v>2</v>
      </c>
      <c r="M289" s="1">
        <f ca="1">IFERROR(__xludf.DUMMYFUNCTION("""COMPUTED_VALUE"""),11)</f>
        <v>11</v>
      </c>
      <c r="N289" s="1">
        <f ca="1">IFERROR(__xludf.DUMMYFUNCTION("""COMPUTED_VALUE"""),2328)</f>
        <v>2328</v>
      </c>
      <c r="O289" s="1">
        <f ca="1">IFERROR(__xludf.DUMMYFUNCTION("""COMPUTED_VALUE"""),2397)</f>
        <v>2397</v>
      </c>
      <c r="P289" s="1">
        <f ca="1">IFERROR(__xludf.DUMMYFUNCTION("""COMPUTED_VALUE"""),1325)</f>
        <v>1325</v>
      </c>
      <c r="Q289" s="1">
        <f ca="1">IFERROR(__xludf.DUMMYFUNCTION("""COMPUTED_VALUE"""),793)</f>
        <v>793</v>
      </c>
      <c r="R289" s="1">
        <f ca="1">IFERROR(__xludf.DUMMYFUNCTION("""COMPUTED_VALUE"""),1943)</f>
        <v>1943</v>
      </c>
      <c r="S289" s="1">
        <f ca="1">IFERROR(__xludf.DUMMYFUNCTION("""COMPUTED_VALUE"""),0.408)</f>
        <v>0.40799999999999997</v>
      </c>
      <c r="T289" s="1">
        <f ca="1">IFERROR(__xludf.DUMMYFUNCTION("""COMPUTED_VALUE"""),280)</f>
        <v>280</v>
      </c>
      <c r="U289" s="1">
        <f ca="1">IFERROR(__xludf.DUMMYFUNCTION("""COMPUTED_VALUE"""),869)</f>
        <v>869</v>
      </c>
      <c r="V289" s="1">
        <f ca="1">IFERROR(__xludf.DUMMYFUNCTION("""COMPUTED_VALUE"""),0.322)</f>
        <v>0.32200000000000001</v>
      </c>
      <c r="W289" s="1">
        <f ca="1">IFERROR(__xludf.DUMMYFUNCTION("""COMPUTED_VALUE"""),462)</f>
        <v>462</v>
      </c>
      <c r="X289" s="1">
        <f ca="1">IFERROR(__xludf.DUMMYFUNCTION("""COMPUTED_VALUE"""),615)</f>
        <v>615</v>
      </c>
      <c r="Y289" s="1">
        <f ca="1">IFERROR(__xludf.DUMMYFUNCTION("""COMPUTED_VALUE"""),0.751)</f>
        <v>0.751</v>
      </c>
      <c r="Z289" s="1">
        <f ca="1">IFERROR(__xludf.DUMMYFUNCTION("""COMPUTED_VALUE"""),258)</f>
        <v>258</v>
      </c>
      <c r="AA289" s="1">
        <f ca="1">IFERROR(__xludf.DUMMYFUNCTION("""COMPUTED_VALUE"""),1145)</f>
        <v>1145</v>
      </c>
      <c r="AB289" s="1">
        <f ca="1">IFERROR(__xludf.DUMMYFUNCTION("""COMPUTED_VALUE"""),397)</f>
        <v>397</v>
      </c>
      <c r="AC289" s="1">
        <f ca="1">IFERROR(__xludf.DUMMYFUNCTION("""COMPUTED_VALUE"""),186)</f>
        <v>186</v>
      </c>
      <c r="AD289" s="1">
        <f ca="1">IFERROR(__xludf.DUMMYFUNCTION("""COMPUTED_VALUE"""),110)</f>
        <v>110</v>
      </c>
      <c r="AE289" s="1">
        <f ca="1">IFERROR(__xludf.DUMMYFUNCTION("""COMPUTED_VALUE"""),305)</f>
        <v>305</v>
      </c>
      <c r="AF289" s="1">
        <f ca="1">IFERROR(__xludf.DUMMYFUNCTION("""COMPUTED_VALUE"""),497)</f>
        <v>497</v>
      </c>
    </row>
    <row r="290" spans="1:32" ht="12.5" x14ac:dyDescent="0.25">
      <c r="A290" s="1" t="str">
        <f ca="1">IFERROR(__xludf.DUMMYFUNCTION("""COMPUTED_VALUE"""),"Saint Louis")</f>
        <v>Saint Louis</v>
      </c>
      <c r="B290" s="1">
        <f ca="1">IFERROR(__xludf.DUMMYFUNCTION("""COMPUTED_VALUE"""),36)</f>
        <v>36</v>
      </c>
      <c r="C290" s="1">
        <f ca="1">IFERROR(__xludf.DUMMYFUNCTION("""COMPUTED_VALUE"""),23)</f>
        <v>23</v>
      </c>
      <c r="D290" s="1">
        <f ca="1">IFERROR(__xludf.DUMMYFUNCTION("""COMPUTED_VALUE"""),13)</f>
        <v>13</v>
      </c>
      <c r="E290" s="1">
        <f ca="1">IFERROR(__xludf.DUMMYFUNCTION("""COMPUTED_VALUE"""),0.639)</f>
        <v>0.63900000000000001</v>
      </c>
      <c r="F290" s="1">
        <f ca="1">IFERROR(__xludf.DUMMYFUNCTION("""COMPUTED_VALUE"""),5.06)</f>
        <v>5.0599999999999996</v>
      </c>
      <c r="G290" s="1">
        <f ca="1">IFERROR(__xludf.DUMMYFUNCTION("""COMPUTED_VALUE"""),2.23)</f>
        <v>2.23</v>
      </c>
      <c r="H290" s="1">
        <f ca="1">IFERROR(__xludf.DUMMYFUNCTION("""COMPUTED_VALUE"""),10)</f>
        <v>10</v>
      </c>
      <c r="I290" s="1">
        <f ca="1">IFERROR(__xludf.DUMMYFUNCTION("""COMPUTED_VALUE"""),8)</f>
        <v>8</v>
      </c>
      <c r="J290" s="1">
        <f ca="1">IFERROR(__xludf.DUMMYFUNCTION("""COMPUTED_VALUE"""),15)</f>
        <v>15</v>
      </c>
      <c r="K290" s="1">
        <f ca="1">IFERROR(__xludf.DUMMYFUNCTION("""COMPUTED_VALUE"""),2)</f>
        <v>2</v>
      </c>
      <c r="L290" s="1">
        <f ca="1">IFERROR(__xludf.DUMMYFUNCTION("""COMPUTED_VALUE"""),4)</f>
        <v>4</v>
      </c>
      <c r="M290" s="1">
        <f ca="1">IFERROR(__xludf.DUMMYFUNCTION("""COMPUTED_VALUE"""),8)</f>
        <v>8</v>
      </c>
      <c r="N290" s="1">
        <f ca="1">IFERROR(__xludf.DUMMYFUNCTION("""COMPUTED_VALUE"""),2399)</f>
        <v>2399</v>
      </c>
      <c r="O290" s="1">
        <f ca="1">IFERROR(__xludf.DUMMYFUNCTION("""COMPUTED_VALUE"""),2297)</f>
        <v>2297</v>
      </c>
      <c r="P290" s="1">
        <f ca="1">IFERROR(__xludf.DUMMYFUNCTION("""COMPUTED_VALUE"""),1440)</f>
        <v>1440</v>
      </c>
      <c r="Q290" s="1">
        <f ca="1">IFERROR(__xludf.DUMMYFUNCTION("""COMPUTED_VALUE"""),855)</f>
        <v>855</v>
      </c>
      <c r="R290" s="1">
        <f ca="1">IFERROR(__xludf.DUMMYFUNCTION("""COMPUTED_VALUE"""),2052)</f>
        <v>2052</v>
      </c>
      <c r="S290" s="1">
        <f ca="1">IFERROR(__xludf.DUMMYFUNCTION("""COMPUTED_VALUE"""),0.417)</f>
        <v>0.41699999999999998</v>
      </c>
      <c r="T290" s="1">
        <f ca="1">IFERROR(__xludf.DUMMYFUNCTION("""COMPUTED_VALUE"""),205)</f>
        <v>205</v>
      </c>
      <c r="U290" s="1">
        <f ca="1">IFERROR(__xludf.DUMMYFUNCTION("""COMPUTED_VALUE"""),675)</f>
        <v>675</v>
      </c>
      <c r="V290" s="1">
        <f ca="1">IFERROR(__xludf.DUMMYFUNCTION("""COMPUTED_VALUE"""),0.304)</f>
        <v>0.30399999999999999</v>
      </c>
      <c r="W290" s="1">
        <f ca="1">IFERROR(__xludf.DUMMYFUNCTION("""COMPUTED_VALUE"""),484)</f>
        <v>484</v>
      </c>
      <c r="X290" s="1">
        <f ca="1">IFERROR(__xludf.DUMMYFUNCTION("""COMPUTED_VALUE"""),809)</f>
        <v>809</v>
      </c>
      <c r="Y290" s="1">
        <f ca="1">IFERROR(__xludf.DUMMYFUNCTION("""COMPUTED_VALUE"""),0.598)</f>
        <v>0.59799999999999998</v>
      </c>
      <c r="Z290" s="1">
        <f ca="1">IFERROR(__xludf.DUMMYFUNCTION("""COMPUTED_VALUE"""),492)</f>
        <v>492</v>
      </c>
      <c r="AA290" s="1">
        <f ca="1">IFERROR(__xludf.DUMMYFUNCTION("""COMPUTED_VALUE"""),1428)</f>
        <v>1428</v>
      </c>
      <c r="AB290" s="1">
        <f ca="1">IFERROR(__xludf.DUMMYFUNCTION("""COMPUTED_VALUE"""),460)</f>
        <v>460</v>
      </c>
      <c r="AC290" s="1">
        <f ca="1">IFERROR(__xludf.DUMMYFUNCTION("""COMPUTED_VALUE"""),254)</f>
        <v>254</v>
      </c>
      <c r="AD290" s="1">
        <f ca="1">IFERROR(__xludf.DUMMYFUNCTION("""COMPUTED_VALUE"""),145)</f>
        <v>145</v>
      </c>
      <c r="AE290" s="1">
        <f ca="1">IFERROR(__xludf.DUMMYFUNCTION("""COMPUTED_VALUE"""),464)</f>
        <v>464</v>
      </c>
      <c r="AF290" s="1">
        <f ca="1">IFERROR(__xludf.DUMMYFUNCTION("""COMPUTED_VALUE"""),634)</f>
        <v>634</v>
      </c>
    </row>
    <row r="291" spans="1:32" ht="12.5" x14ac:dyDescent="0.25">
      <c r="A291" s="1" t="str">
        <f ca="1">IFERROR(__xludf.DUMMYFUNCTION("""COMPUTED_VALUE"""),"Saint Mary's (CA)")</f>
        <v>Saint Mary's (CA)</v>
      </c>
      <c r="B291" s="1">
        <f ca="1">IFERROR(__xludf.DUMMYFUNCTION("""COMPUTED_VALUE"""),34)</f>
        <v>34</v>
      </c>
      <c r="C291" s="1">
        <f ca="1">IFERROR(__xludf.DUMMYFUNCTION("""COMPUTED_VALUE"""),22)</f>
        <v>22</v>
      </c>
      <c r="D291" s="1">
        <f ca="1">IFERROR(__xludf.DUMMYFUNCTION("""COMPUTED_VALUE"""),12)</f>
        <v>12</v>
      </c>
      <c r="E291" s="1">
        <f ca="1">IFERROR(__xludf.DUMMYFUNCTION("""COMPUTED_VALUE"""),0.647)</f>
        <v>0.64700000000000002</v>
      </c>
      <c r="F291" s="1">
        <f ca="1">IFERROR(__xludf.DUMMYFUNCTION("""COMPUTED_VALUE"""),12.58)</f>
        <v>12.58</v>
      </c>
      <c r="G291" s="1">
        <f ca="1">IFERROR(__xludf.DUMMYFUNCTION("""COMPUTED_VALUE"""),4.4)</f>
        <v>4.4000000000000004</v>
      </c>
      <c r="H291" s="1">
        <f ca="1">IFERROR(__xludf.DUMMYFUNCTION("""COMPUTED_VALUE"""),11)</f>
        <v>11</v>
      </c>
      <c r="I291" s="1">
        <f ca="1">IFERROR(__xludf.DUMMYFUNCTION("""COMPUTED_VALUE"""),5)</f>
        <v>5</v>
      </c>
      <c r="J291" s="1">
        <f ca="1">IFERROR(__xludf.DUMMYFUNCTION("""COMPUTED_VALUE"""),14)</f>
        <v>14</v>
      </c>
      <c r="K291" s="1">
        <f ca="1">IFERROR(__xludf.DUMMYFUNCTION("""COMPUTED_VALUE"""),3)</f>
        <v>3</v>
      </c>
      <c r="L291" s="1">
        <f ca="1">IFERROR(__xludf.DUMMYFUNCTION("""COMPUTED_VALUE"""),5)</f>
        <v>5</v>
      </c>
      <c r="M291" s="1">
        <f ca="1">IFERROR(__xludf.DUMMYFUNCTION("""COMPUTED_VALUE"""),5)</f>
        <v>5</v>
      </c>
      <c r="N291" s="1">
        <f ca="1">IFERROR(__xludf.DUMMYFUNCTION("""COMPUTED_VALUE"""),2463)</f>
        <v>2463</v>
      </c>
      <c r="O291" s="1">
        <f ca="1">IFERROR(__xludf.DUMMYFUNCTION("""COMPUTED_VALUE"""),2185)</f>
        <v>2185</v>
      </c>
      <c r="P291" s="1">
        <f ca="1">IFERROR(__xludf.DUMMYFUNCTION("""COMPUTED_VALUE"""),1365)</f>
        <v>1365</v>
      </c>
      <c r="Q291" s="1">
        <f ca="1">IFERROR(__xludf.DUMMYFUNCTION("""COMPUTED_VALUE"""),899)</f>
        <v>899</v>
      </c>
      <c r="R291" s="1">
        <f ca="1">IFERROR(__xludf.DUMMYFUNCTION("""COMPUTED_VALUE"""),1905)</f>
        <v>1905</v>
      </c>
      <c r="S291" s="1">
        <f ca="1">IFERROR(__xludf.DUMMYFUNCTION("""COMPUTED_VALUE"""),0.472)</f>
        <v>0.47199999999999998</v>
      </c>
      <c r="T291" s="1">
        <f ca="1">IFERROR(__xludf.DUMMYFUNCTION("""COMPUTED_VALUE"""),253)</f>
        <v>253</v>
      </c>
      <c r="U291" s="1">
        <f ca="1">IFERROR(__xludf.DUMMYFUNCTION("""COMPUTED_VALUE"""),670)</f>
        <v>670</v>
      </c>
      <c r="V291" s="1">
        <f ca="1">IFERROR(__xludf.DUMMYFUNCTION("""COMPUTED_VALUE"""),0.378)</f>
        <v>0.378</v>
      </c>
      <c r="W291" s="1">
        <f ca="1">IFERROR(__xludf.DUMMYFUNCTION("""COMPUTED_VALUE"""),412)</f>
        <v>412</v>
      </c>
      <c r="X291" s="1">
        <f ca="1">IFERROR(__xludf.DUMMYFUNCTION("""COMPUTED_VALUE"""),555)</f>
        <v>555</v>
      </c>
      <c r="Y291" s="1">
        <f ca="1">IFERROR(__xludf.DUMMYFUNCTION("""COMPUTED_VALUE"""),0.742)</f>
        <v>0.74199999999999999</v>
      </c>
      <c r="Z291" s="1">
        <f ca="1">IFERROR(__xludf.DUMMYFUNCTION("""COMPUTED_VALUE"""),329)</f>
        <v>329</v>
      </c>
      <c r="AA291" s="1">
        <f ca="1">IFERROR(__xludf.DUMMYFUNCTION("""COMPUTED_VALUE"""),1180)</f>
        <v>1180</v>
      </c>
      <c r="AB291" s="1">
        <f ca="1">IFERROR(__xludf.DUMMYFUNCTION("""COMPUTED_VALUE"""),341)</f>
        <v>341</v>
      </c>
      <c r="AC291" s="1">
        <f ca="1">IFERROR(__xludf.DUMMYFUNCTION("""COMPUTED_VALUE"""),201)</f>
        <v>201</v>
      </c>
      <c r="AD291" s="1">
        <f ca="1">IFERROR(__xludf.DUMMYFUNCTION("""COMPUTED_VALUE"""),87)</f>
        <v>87</v>
      </c>
      <c r="AE291" s="1">
        <f ca="1">IFERROR(__xludf.DUMMYFUNCTION("""COMPUTED_VALUE"""),355)</f>
        <v>355</v>
      </c>
      <c r="AF291" s="1">
        <f ca="1">IFERROR(__xludf.DUMMYFUNCTION("""COMPUTED_VALUE"""),572)</f>
        <v>572</v>
      </c>
    </row>
    <row r="292" spans="1:32" ht="12.5" x14ac:dyDescent="0.25">
      <c r="A292" s="1" t="str">
        <f ca="1">IFERROR(__xludf.DUMMYFUNCTION("""COMPUTED_VALUE"""),"Saint Peter's")</f>
        <v>Saint Peter's</v>
      </c>
      <c r="B292" s="1">
        <f ca="1">IFERROR(__xludf.DUMMYFUNCTION("""COMPUTED_VALUE"""),32)</f>
        <v>32</v>
      </c>
      <c r="C292" s="1">
        <f ca="1">IFERROR(__xludf.DUMMYFUNCTION("""COMPUTED_VALUE"""),10)</f>
        <v>10</v>
      </c>
      <c r="D292" s="1">
        <f ca="1">IFERROR(__xludf.DUMMYFUNCTION("""COMPUTED_VALUE"""),22)</f>
        <v>22</v>
      </c>
      <c r="E292" s="1">
        <f ca="1">IFERROR(__xludf.DUMMYFUNCTION("""COMPUTED_VALUE"""),0.313)</f>
        <v>0.313</v>
      </c>
      <c r="F292" s="1">
        <f ca="1">IFERROR(__xludf.DUMMYFUNCTION("""COMPUTED_VALUE"""),-12.15)</f>
        <v>-12.15</v>
      </c>
      <c r="G292" s="1">
        <f ca="1">IFERROR(__xludf.DUMMYFUNCTION("""COMPUTED_VALUE"""),-6.4)</f>
        <v>-6.4</v>
      </c>
      <c r="H292" s="1">
        <f ca="1">IFERROR(__xludf.DUMMYFUNCTION("""COMPUTED_VALUE"""),6)</f>
        <v>6</v>
      </c>
      <c r="I292" s="1">
        <f ca="1">IFERROR(__xludf.DUMMYFUNCTION("""COMPUTED_VALUE"""),12)</f>
        <v>12</v>
      </c>
      <c r="J292" s="1">
        <f ca="1">IFERROR(__xludf.DUMMYFUNCTION("""COMPUTED_VALUE"""),7)</f>
        <v>7</v>
      </c>
      <c r="K292" s="1">
        <f ca="1">IFERROR(__xludf.DUMMYFUNCTION("""COMPUTED_VALUE"""),7)</f>
        <v>7</v>
      </c>
      <c r="L292" s="1">
        <f ca="1">IFERROR(__xludf.DUMMYFUNCTION("""COMPUTED_VALUE"""),2)</f>
        <v>2</v>
      </c>
      <c r="M292" s="1">
        <f ca="1">IFERROR(__xludf.DUMMYFUNCTION("""COMPUTED_VALUE"""),14)</f>
        <v>14</v>
      </c>
      <c r="N292" s="1">
        <f ca="1">IFERROR(__xludf.DUMMYFUNCTION("""COMPUTED_VALUE"""),2012)</f>
        <v>2012</v>
      </c>
      <c r="O292" s="1">
        <f ca="1">IFERROR(__xludf.DUMMYFUNCTION("""COMPUTED_VALUE"""),2196)</f>
        <v>2196</v>
      </c>
      <c r="P292" s="1">
        <f ca="1">IFERROR(__xludf.DUMMYFUNCTION("""COMPUTED_VALUE"""),1305)</f>
        <v>1305</v>
      </c>
      <c r="Q292" s="1">
        <f ca="1">IFERROR(__xludf.DUMMYFUNCTION("""COMPUTED_VALUE"""),707)</f>
        <v>707</v>
      </c>
      <c r="R292" s="1">
        <f ca="1">IFERROR(__xludf.DUMMYFUNCTION("""COMPUTED_VALUE"""),1639)</f>
        <v>1639</v>
      </c>
      <c r="S292" s="1">
        <f ca="1">IFERROR(__xludf.DUMMYFUNCTION("""COMPUTED_VALUE"""),0.431)</f>
        <v>0.43099999999999999</v>
      </c>
      <c r="T292" s="1">
        <f ca="1">IFERROR(__xludf.DUMMYFUNCTION("""COMPUTED_VALUE"""),184)</f>
        <v>184</v>
      </c>
      <c r="U292" s="1">
        <f ca="1">IFERROR(__xludf.DUMMYFUNCTION("""COMPUTED_VALUE"""),567)</f>
        <v>567</v>
      </c>
      <c r="V292" s="1">
        <f ca="1">IFERROR(__xludf.DUMMYFUNCTION("""COMPUTED_VALUE"""),0.325)</f>
        <v>0.32500000000000001</v>
      </c>
      <c r="W292" s="1">
        <f ca="1">IFERROR(__xludf.DUMMYFUNCTION("""COMPUTED_VALUE"""),414)</f>
        <v>414</v>
      </c>
      <c r="X292" s="1">
        <f ca="1">IFERROR(__xludf.DUMMYFUNCTION("""COMPUTED_VALUE"""),570)</f>
        <v>570</v>
      </c>
      <c r="Y292" s="1">
        <f ca="1">IFERROR(__xludf.DUMMYFUNCTION("""COMPUTED_VALUE"""),0.726)</f>
        <v>0.72599999999999998</v>
      </c>
      <c r="Z292" s="1">
        <f ca="1">IFERROR(__xludf.DUMMYFUNCTION("""COMPUTED_VALUE"""),293)</f>
        <v>293</v>
      </c>
      <c r="AA292" s="1">
        <f ca="1">IFERROR(__xludf.DUMMYFUNCTION("""COMPUTED_VALUE"""),1032)</f>
        <v>1032</v>
      </c>
      <c r="AB292" s="1">
        <f ca="1">IFERROR(__xludf.DUMMYFUNCTION("""COMPUTED_VALUE"""),301)</f>
        <v>301</v>
      </c>
      <c r="AC292" s="1">
        <f ca="1">IFERROR(__xludf.DUMMYFUNCTION("""COMPUTED_VALUE"""),172)</f>
        <v>172</v>
      </c>
      <c r="AD292" s="1">
        <f ca="1">IFERROR(__xludf.DUMMYFUNCTION("""COMPUTED_VALUE"""),177)</f>
        <v>177</v>
      </c>
      <c r="AE292" s="1">
        <f ca="1">IFERROR(__xludf.DUMMYFUNCTION("""COMPUTED_VALUE"""),488)</f>
        <v>488</v>
      </c>
      <c r="AF292" s="1">
        <f ca="1">IFERROR(__xludf.DUMMYFUNCTION("""COMPUTED_VALUE"""),614)</f>
        <v>614</v>
      </c>
    </row>
    <row r="293" spans="1:32" ht="12.5" x14ac:dyDescent="0.25">
      <c r="A293" s="1" t="str">
        <f ca="1">IFERROR(__xludf.DUMMYFUNCTION("""COMPUTED_VALUE"""),"Sam Houston State")</f>
        <v>Sam Houston State</v>
      </c>
      <c r="B293" s="1">
        <f ca="1">IFERROR(__xludf.DUMMYFUNCTION("""COMPUTED_VALUE"""),33)</f>
        <v>33</v>
      </c>
      <c r="C293" s="1">
        <f ca="1">IFERROR(__xludf.DUMMYFUNCTION("""COMPUTED_VALUE"""),21)</f>
        <v>21</v>
      </c>
      <c r="D293" s="1">
        <f ca="1">IFERROR(__xludf.DUMMYFUNCTION("""COMPUTED_VALUE"""),12)</f>
        <v>12</v>
      </c>
      <c r="E293" s="1">
        <f ca="1">IFERROR(__xludf.DUMMYFUNCTION("""COMPUTED_VALUE"""),0.636)</f>
        <v>0.63600000000000001</v>
      </c>
      <c r="F293" s="1">
        <f ca="1">IFERROR(__xludf.DUMMYFUNCTION("""COMPUTED_VALUE"""),-3.17)</f>
        <v>-3.17</v>
      </c>
      <c r="G293" s="1">
        <f ca="1">IFERROR(__xludf.DUMMYFUNCTION("""COMPUTED_VALUE"""),-5.84)</f>
        <v>-5.84</v>
      </c>
      <c r="H293" s="1">
        <f ca="1">IFERROR(__xludf.DUMMYFUNCTION("""COMPUTED_VALUE"""),16)</f>
        <v>16</v>
      </c>
      <c r="I293" s="1">
        <f ca="1">IFERROR(__xludf.DUMMYFUNCTION("""COMPUTED_VALUE"""),2)</f>
        <v>2</v>
      </c>
      <c r="J293" s="1">
        <f ca="1">IFERROR(__xludf.DUMMYFUNCTION("""COMPUTED_VALUE"""),12)</f>
        <v>12</v>
      </c>
      <c r="K293" s="1">
        <f ca="1">IFERROR(__xludf.DUMMYFUNCTION("""COMPUTED_VALUE"""),2)</f>
        <v>2</v>
      </c>
      <c r="L293" s="1">
        <f ca="1">IFERROR(__xludf.DUMMYFUNCTION("""COMPUTED_VALUE"""),8)</f>
        <v>8</v>
      </c>
      <c r="M293" s="1">
        <f ca="1">IFERROR(__xludf.DUMMYFUNCTION("""COMPUTED_VALUE"""),9)</f>
        <v>9</v>
      </c>
      <c r="N293" s="1">
        <f ca="1">IFERROR(__xludf.DUMMYFUNCTION("""COMPUTED_VALUE"""),2476)</f>
        <v>2476</v>
      </c>
      <c r="O293" s="1">
        <f ca="1">IFERROR(__xludf.DUMMYFUNCTION("""COMPUTED_VALUE"""),2307)</f>
        <v>2307</v>
      </c>
      <c r="P293" s="1">
        <f ca="1">IFERROR(__xludf.DUMMYFUNCTION("""COMPUTED_VALUE"""),1345)</f>
        <v>1345</v>
      </c>
      <c r="Q293" s="1">
        <f ca="1">IFERROR(__xludf.DUMMYFUNCTION("""COMPUTED_VALUE"""),889)</f>
        <v>889</v>
      </c>
      <c r="R293" s="1">
        <f ca="1">IFERROR(__xludf.DUMMYFUNCTION("""COMPUTED_VALUE"""),2011)</f>
        <v>2011</v>
      </c>
      <c r="S293" s="1">
        <f ca="1">IFERROR(__xludf.DUMMYFUNCTION("""COMPUTED_VALUE"""),0.442)</f>
        <v>0.442</v>
      </c>
      <c r="T293" s="1">
        <f ca="1">IFERROR(__xludf.DUMMYFUNCTION("""COMPUTED_VALUE"""),308)</f>
        <v>308</v>
      </c>
      <c r="U293" s="1">
        <f ca="1">IFERROR(__xludf.DUMMYFUNCTION("""COMPUTED_VALUE"""),840)</f>
        <v>840</v>
      </c>
      <c r="V293" s="1">
        <f ca="1">IFERROR(__xludf.DUMMYFUNCTION("""COMPUTED_VALUE"""),0.367)</f>
        <v>0.36699999999999999</v>
      </c>
      <c r="W293" s="1">
        <f ca="1">IFERROR(__xludf.DUMMYFUNCTION("""COMPUTED_VALUE"""),390)</f>
        <v>390</v>
      </c>
      <c r="X293" s="1">
        <f ca="1">IFERROR(__xludf.DUMMYFUNCTION("""COMPUTED_VALUE"""),518)</f>
        <v>518</v>
      </c>
      <c r="Y293" s="1">
        <f ca="1">IFERROR(__xludf.DUMMYFUNCTION("""COMPUTED_VALUE"""),0.753)</f>
        <v>0.753</v>
      </c>
      <c r="Z293" s="1">
        <f ca="1">IFERROR(__xludf.DUMMYFUNCTION("""COMPUTED_VALUE"""),369)</f>
        <v>369</v>
      </c>
      <c r="AA293" s="1">
        <f ca="1">IFERROR(__xludf.DUMMYFUNCTION("""COMPUTED_VALUE"""),1191)</f>
        <v>1191</v>
      </c>
      <c r="AB293" s="1">
        <f ca="1">IFERROR(__xludf.DUMMYFUNCTION("""COMPUTED_VALUE"""),555)</f>
        <v>555</v>
      </c>
      <c r="AC293" s="1">
        <f ca="1">IFERROR(__xludf.DUMMYFUNCTION("""COMPUTED_VALUE"""),242)</f>
        <v>242</v>
      </c>
      <c r="AD293" s="1">
        <f ca="1">IFERROR(__xludf.DUMMYFUNCTION("""COMPUTED_VALUE"""),94)</f>
        <v>94</v>
      </c>
      <c r="AE293" s="1">
        <f ca="1">IFERROR(__xludf.DUMMYFUNCTION("""COMPUTED_VALUE"""),413)</f>
        <v>413</v>
      </c>
      <c r="AF293" s="1">
        <f ca="1">IFERROR(__xludf.DUMMYFUNCTION("""COMPUTED_VALUE"""),659)</f>
        <v>659</v>
      </c>
    </row>
    <row r="294" spans="1:32" ht="12.5" x14ac:dyDescent="0.25">
      <c r="A294" s="1" t="str">
        <f ca="1">IFERROR(__xludf.DUMMYFUNCTION("""COMPUTED_VALUE"""),"Samford")</f>
        <v>Samford</v>
      </c>
      <c r="B294" s="1">
        <f ca="1">IFERROR(__xludf.DUMMYFUNCTION("""COMPUTED_VALUE"""),33)</f>
        <v>33</v>
      </c>
      <c r="C294" s="1">
        <f ca="1">IFERROR(__xludf.DUMMYFUNCTION("""COMPUTED_VALUE"""),17)</f>
        <v>17</v>
      </c>
      <c r="D294" s="1">
        <f ca="1">IFERROR(__xludf.DUMMYFUNCTION("""COMPUTED_VALUE"""),16)</f>
        <v>16</v>
      </c>
      <c r="E294" s="1">
        <f ca="1">IFERROR(__xludf.DUMMYFUNCTION("""COMPUTED_VALUE"""),0.515)</f>
        <v>0.51500000000000001</v>
      </c>
      <c r="F294" s="1">
        <f ca="1">IFERROR(__xludf.DUMMYFUNCTION("""COMPUTED_VALUE"""),0.69)</f>
        <v>0.69</v>
      </c>
      <c r="G294" s="1">
        <f ca="1">IFERROR(__xludf.DUMMYFUNCTION("""COMPUTED_VALUE"""),-2.03)</f>
        <v>-2.0299999999999998</v>
      </c>
      <c r="H294" s="1">
        <f ca="1">IFERROR(__xludf.DUMMYFUNCTION("""COMPUTED_VALUE"""),6)</f>
        <v>6</v>
      </c>
      <c r="I294" s="1">
        <f ca="1">IFERROR(__xludf.DUMMYFUNCTION("""COMPUTED_VALUE"""),12)</f>
        <v>12</v>
      </c>
      <c r="J294" s="1">
        <f ca="1">IFERROR(__xludf.DUMMYFUNCTION("""COMPUTED_VALUE"""),11)</f>
        <v>11</v>
      </c>
      <c r="K294" s="1">
        <f ca="1">IFERROR(__xludf.DUMMYFUNCTION("""COMPUTED_VALUE"""),6)</f>
        <v>6</v>
      </c>
      <c r="L294" s="1">
        <f ca="1">IFERROR(__xludf.DUMMYFUNCTION("""COMPUTED_VALUE"""),5)</f>
        <v>5</v>
      </c>
      <c r="M294" s="1">
        <f ca="1">IFERROR(__xludf.DUMMYFUNCTION("""COMPUTED_VALUE"""),9)</f>
        <v>9</v>
      </c>
      <c r="N294" s="1">
        <f ca="1">IFERROR(__xludf.DUMMYFUNCTION("""COMPUTED_VALUE"""),2583)</f>
        <v>2583</v>
      </c>
      <c r="O294" s="1">
        <f ca="1">IFERROR(__xludf.DUMMYFUNCTION("""COMPUTED_VALUE"""),2487)</f>
        <v>2487</v>
      </c>
      <c r="P294" s="1">
        <f ca="1">IFERROR(__xludf.DUMMYFUNCTION("""COMPUTED_VALUE"""),1355)</f>
        <v>1355</v>
      </c>
      <c r="Q294" s="1">
        <f ca="1">IFERROR(__xludf.DUMMYFUNCTION("""COMPUTED_VALUE"""),921)</f>
        <v>921</v>
      </c>
      <c r="R294" s="1">
        <f ca="1">IFERROR(__xludf.DUMMYFUNCTION("""COMPUTED_VALUE"""),1951)</f>
        <v>1951</v>
      </c>
      <c r="S294" s="1">
        <f ca="1">IFERROR(__xludf.DUMMYFUNCTION("""COMPUTED_VALUE"""),0.472)</f>
        <v>0.47199999999999998</v>
      </c>
      <c r="T294" s="1">
        <f ca="1">IFERROR(__xludf.DUMMYFUNCTION("""COMPUTED_VALUE"""),254)</f>
        <v>254</v>
      </c>
      <c r="U294" s="1">
        <f ca="1">IFERROR(__xludf.DUMMYFUNCTION("""COMPUTED_VALUE"""),687)</f>
        <v>687</v>
      </c>
      <c r="V294" s="1">
        <f ca="1">IFERROR(__xludf.DUMMYFUNCTION("""COMPUTED_VALUE"""),0.37)</f>
        <v>0.37</v>
      </c>
      <c r="W294" s="1">
        <f ca="1">IFERROR(__xludf.DUMMYFUNCTION("""COMPUTED_VALUE"""),487)</f>
        <v>487</v>
      </c>
      <c r="X294" s="1">
        <f ca="1">IFERROR(__xludf.DUMMYFUNCTION("""COMPUTED_VALUE"""),666)</f>
        <v>666</v>
      </c>
      <c r="Y294" s="1">
        <f ca="1">IFERROR(__xludf.DUMMYFUNCTION("""COMPUTED_VALUE"""),0.731)</f>
        <v>0.73099999999999998</v>
      </c>
      <c r="Z294" s="1">
        <f ca="1">IFERROR(__xludf.DUMMYFUNCTION("""COMPUTED_VALUE"""),316)</f>
        <v>316</v>
      </c>
      <c r="AA294" s="1">
        <f ca="1">IFERROR(__xludf.DUMMYFUNCTION("""COMPUTED_VALUE"""),1225)</f>
        <v>1225</v>
      </c>
      <c r="AB294" s="1">
        <f ca="1">IFERROR(__xludf.DUMMYFUNCTION("""COMPUTED_VALUE"""),461)</f>
        <v>461</v>
      </c>
      <c r="AC294" s="1">
        <f ca="1">IFERROR(__xludf.DUMMYFUNCTION("""COMPUTED_VALUE"""),238)</f>
        <v>238</v>
      </c>
      <c r="AD294" s="1">
        <f ca="1">IFERROR(__xludf.DUMMYFUNCTION("""COMPUTED_VALUE"""),127)</f>
        <v>127</v>
      </c>
      <c r="AE294" s="1">
        <f ca="1">IFERROR(__xludf.DUMMYFUNCTION("""COMPUTED_VALUE"""),463)</f>
        <v>463</v>
      </c>
      <c r="AF294" s="1">
        <f ca="1">IFERROR(__xludf.DUMMYFUNCTION("""COMPUTED_VALUE"""),560)</f>
        <v>560</v>
      </c>
    </row>
    <row r="295" spans="1:32" ht="12.5" x14ac:dyDescent="0.25">
      <c r="A295" s="1" t="str">
        <f ca="1">IFERROR(__xludf.DUMMYFUNCTION("""COMPUTED_VALUE"""),"San Diego State")</f>
        <v>San Diego State</v>
      </c>
      <c r="B295" s="1">
        <f ca="1">IFERROR(__xludf.DUMMYFUNCTION("""COMPUTED_VALUE"""),34)</f>
        <v>34</v>
      </c>
      <c r="C295" s="1">
        <f ca="1">IFERROR(__xludf.DUMMYFUNCTION("""COMPUTED_VALUE"""),21)</f>
        <v>21</v>
      </c>
      <c r="D295" s="1">
        <f ca="1">IFERROR(__xludf.DUMMYFUNCTION("""COMPUTED_VALUE"""),13)</f>
        <v>13</v>
      </c>
      <c r="E295" s="1">
        <f ca="1">IFERROR(__xludf.DUMMYFUNCTION("""COMPUTED_VALUE"""),0.618)</f>
        <v>0.61799999999999999</v>
      </c>
      <c r="F295" s="1">
        <f ca="1">IFERROR(__xludf.DUMMYFUNCTION("""COMPUTED_VALUE"""),5.29)</f>
        <v>5.29</v>
      </c>
      <c r="G295" s="1">
        <f ca="1">IFERROR(__xludf.DUMMYFUNCTION("""COMPUTED_VALUE"""),2.47)</f>
        <v>2.4700000000000002</v>
      </c>
      <c r="H295" s="1">
        <f ca="1">IFERROR(__xludf.DUMMYFUNCTION("""COMPUTED_VALUE"""),11)</f>
        <v>11</v>
      </c>
      <c r="I295" s="1">
        <f ca="1">IFERROR(__xludf.DUMMYFUNCTION("""COMPUTED_VALUE"""),7)</f>
        <v>7</v>
      </c>
      <c r="J295" s="1">
        <f ca="1">IFERROR(__xludf.DUMMYFUNCTION("""COMPUTED_VALUE"""),14)</f>
        <v>14</v>
      </c>
      <c r="K295" s="1">
        <f ca="1">IFERROR(__xludf.DUMMYFUNCTION("""COMPUTED_VALUE"""),3)</f>
        <v>3</v>
      </c>
      <c r="L295" s="1">
        <f ca="1">IFERROR(__xludf.DUMMYFUNCTION("""COMPUTED_VALUE"""),4)</f>
        <v>4</v>
      </c>
      <c r="M295" s="1">
        <f ca="1">IFERROR(__xludf.DUMMYFUNCTION("""COMPUTED_VALUE"""),7)</f>
        <v>7</v>
      </c>
      <c r="N295" s="1">
        <f ca="1">IFERROR(__xludf.DUMMYFUNCTION("""COMPUTED_VALUE"""),2437)</f>
        <v>2437</v>
      </c>
      <c r="O295" s="1">
        <f ca="1">IFERROR(__xludf.DUMMYFUNCTION("""COMPUTED_VALUE"""),2291)</f>
        <v>2291</v>
      </c>
      <c r="P295" s="1">
        <f ca="1">IFERROR(__xludf.DUMMYFUNCTION("""COMPUTED_VALUE"""),1360)</f>
        <v>1360</v>
      </c>
      <c r="Q295" s="1">
        <f ca="1">IFERROR(__xludf.DUMMYFUNCTION("""COMPUTED_VALUE"""),845)</f>
        <v>845</v>
      </c>
      <c r="R295" s="1">
        <f ca="1">IFERROR(__xludf.DUMMYFUNCTION("""COMPUTED_VALUE"""),1940)</f>
        <v>1940</v>
      </c>
      <c r="S295" s="1">
        <f ca="1">IFERROR(__xludf.DUMMYFUNCTION("""COMPUTED_VALUE"""),0.436)</f>
        <v>0.436</v>
      </c>
      <c r="T295" s="1">
        <f ca="1">IFERROR(__xludf.DUMMYFUNCTION("""COMPUTED_VALUE"""),261)</f>
        <v>261</v>
      </c>
      <c r="U295" s="1">
        <f ca="1">IFERROR(__xludf.DUMMYFUNCTION("""COMPUTED_VALUE"""),721)</f>
        <v>721</v>
      </c>
      <c r="V295" s="1">
        <f ca="1">IFERROR(__xludf.DUMMYFUNCTION("""COMPUTED_VALUE"""),0.362)</f>
        <v>0.36199999999999999</v>
      </c>
      <c r="W295" s="1">
        <f ca="1">IFERROR(__xludf.DUMMYFUNCTION("""COMPUTED_VALUE"""),486)</f>
        <v>486</v>
      </c>
      <c r="X295" s="1">
        <f ca="1">IFERROR(__xludf.DUMMYFUNCTION("""COMPUTED_VALUE"""),679)</f>
        <v>679</v>
      </c>
      <c r="Y295" s="1">
        <f ca="1">IFERROR(__xludf.DUMMYFUNCTION("""COMPUTED_VALUE"""),0.716)</f>
        <v>0.71599999999999997</v>
      </c>
      <c r="Z295" s="1">
        <f ca="1">IFERROR(__xludf.DUMMYFUNCTION("""COMPUTED_VALUE"""),346)</f>
        <v>346</v>
      </c>
      <c r="AA295" s="1">
        <f ca="1">IFERROR(__xludf.DUMMYFUNCTION("""COMPUTED_VALUE"""),1228)</f>
        <v>1228</v>
      </c>
      <c r="AB295" s="1">
        <f ca="1">IFERROR(__xludf.DUMMYFUNCTION("""COMPUTED_VALUE"""),487)</f>
        <v>487</v>
      </c>
      <c r="AC295" s="1">
        <f ca="1">IFERROR(__xludf.DUMMYFUNCTION("""COMPUTED_VALUE"""),197)</f>
        <v>197</v>
      </c>
      <c r="AD295" s="1">
        <f ca="1">IFERROR(__xludf.DUMMYFUNCTION("""COMPUTED_VALUE"""),113)</f>
        <v>113</v>
      </c>
      <c r="AE295" s="1">
        <f ca="1">IFERROR(__xludf.DUMMYFUNCTION("""COMPUTED_VALUE"""),424)</f>
        <v>424</v>
      </c>
      <c r="AF295" s="1">
        <f ca="1">IFERROR(__xludf.DUMMYFUNCTION("""COMPUTED_VALUE"""),638)</f>
        <v>638</v>
      </c>
    </row>
    <row r="296" spans="1:32" ht="12.5" x14ac:dyDescent="0.25">
      <c r="A296" s="1" t="str">
        <f ca="1">IFERROR(__xludf.DUMMYFUNCTION("""COMPUTED_VALUE"""),"San Diego")</f>
        <v>San Diego</v>
      </c>
      <c r="B296" s="1">
        <f ca="1">IFERROR(__xludf.DUMMYFUNCTION("""COMPUTED_VALUE"""),36)</f>
        <v>36</v>
      </c>
      <c r="C296" s="1">
        <f ca="1">IFERROR(__xludf.DUMMYFUNCTION("""COMPUTED_VALUE"""),21)</f>
        <v>21</v>
      </c>
      <c r="D296" s="1">
        <f ca="1">IFERROR(__xludf.DUMMYFUNCTION("""COMPUTED_VALUE"""),15)</f>
        <v>15</v>
      </c>
      <c r="E296" s="1">
        <f ca="1">IFERROR(__xludf.DUMMYFUNCTION("""COMPUTED_VALUE"""),0.583)</f>
        <v>0.58299999999999996</v>
      </c>
      <c r="F296" s="1">
        <f ca="1">IFERROR(__xludf.DUMMYFUNCTION("""COMPUTED_VALUE"""),6.12)</f>
        <v>6.12</v>
      </c>
      <c r="G296" s="1">
        <f ca="1">IFERROR(__xludf.DUMMYFUNCTION("""COMPUTED_VALUE"""),3.61)</f>
        <v>3.61</v>
      </c>
      <c r="H296" s="1">
        <f ca="1">IFERROR(__xludf.DUMMYFUNCTION("""COMPUTED_VALUE"""),7)</f>
        <v>7</v>
      </c>
      <c r="I296" s="1">
        <f ca="1">IFERROR(__xludf.DUMMYFUNCTION("""COMPUTED_VALUE"""),9)</f>
        <v>9</v>
      </c>
      <c r="J296" s="1">
        <f ca="1">IFERROR(__xludf.DUMMYFUNCTION("""COMPUTED_VALUE"""),12)</f>
        <v>12</v>
      </c>
      <c r="K296" s="1">
        <f ca="1">IFERROR(__xludf.DUMMYFUNCTION("""COMPUTED_VALUE"""),4)</f>
        <v>4</v>
      </c>
      <c r="L296" s="1">
        <f ca="1">IFERROR(__xludf.DUMMYFUNCTION("""COMPUTED_VALUE"""),5)</f>
        <v>5</v>
      </c>
      <c r="M296" s="1">
        <f ca="1">IFERROR(__xludf.DUMMYFUNCTION("""COMPUTED_VALUE"""),9)</f>
        <v>9</v>
      </c>
      <c r="N296" s="1">
        <f ca="1">IFERROR(__xludf.DUMMYFUNCTION("""COMPUTED_VALUE"""),2591)</f>
        <v>2591</v>
      </c>
      <c r="O296" s="1">
        <f ca="1">IFERROR(__xludf.DUMMYFUNCTION("""COMPUTED_VALUE"""),2455)</f>
        <v>2455</v>
      </c>
      <c r="P296" s="1">
        <f ca="1">IFERROR(__xludf.DUMMYFUNCTION("""COMPUTED_VALUE"""),1460)</f>
        <v>1460</v>
      </c>
      <c r="Q296" s="1">
        <f ca="1">IFERROR(__xludf.DUMMYFUNCTION("""COMPUTED_VALUE"""),914)</f>
        <v>914</v>
      </c>
      <c r="R296" s="1">
        <f ca="1">IFERROR(__xludf.DUMMYFUNCTION("""COMPUTED_VALUE"""),2002)</f>
        <v>2002</v>
      </c>
      <c r="S296" s="1">
        <f ca="1">IFERROR(__xludf.DUMMYFUNCTION("""COMPUTED_VALUE"""),0.457)</f>
        <v>0.45700000000000002</v>
      </c>
      <c r="T296" s="1">
        <f ca="1">IFERROR(__xludf.DUMMYFUNCTION("""COMPUTED_VALUE"""),284)</f>
        <v>284</v>
      </c>
      <c r="U296" s="1">
        <f ca="1">IFERROR(__xludf.DUMMYFUNCTION("""COMPUTED_VALUE"""),808)</f>
        <v>808</v>
      </c>
      <c r="V296" s="1">
        <f ca="1">IFERROR(__xludf.DUMMYFUNCTION("""COMPUTED_VALUE"""),0.351)</f>
        <v>0.35099999999999998</v>
      </c>
      <c r="W296" s="1">
        <f ca="1">IFERROR(__xludf.DUMMYFUNCTION("""COMPUTED_VALUE"""),479)</f>
        <v>479</v>
      </c>
      <c r="X296" s="1">
        <f ca="1">IFERROR(__xludf.DUMMYFUNCTION("""COMPUTED_VALUE"""),641)</f>
        <v>641</v>
      </c>
      <c r="Y296" s="1">
        <f ca="1">IFERROR(__xludf.DUMMYFUNCTION("""COMPUTED_VALUE"""),0.747)</f>
        <v>0.747</v>
      </c>
      <c r="Z296" s="1">
        <f ca="1">IFERROR(__xludf.DUMMYFUNCTION("""COMPUTED_VALUE"""),290)</f>
        <v>290</v>
      </c>
      <c r="AA296" s="1">
        <f ca="1">IFERROR(__xludf.DUMMYFUNCTION("""COMPUTED_VALUE"""),1238)</f>
        <v>1238</v>
      </c>
      <c r="AB296" s="1">
        <f ca="1">IFERROR(__xludf.DUMMYFUNCTION("""COMPUTED_VALUE"""),516)</f>
        <v>516</v>
      </c>
      <c r="AC296" s="1">
        <f ca="1">IFERROR(__xludf.DUMMYFUNCTION("""COMPUTED_VALUE"""),204)</f>
        <v>204</v>
      </c>
      <c r="AD296" s="1">
        <f ca="1">IFERROR(__xludf.DUMMYFUNCTION("""COMPUTED_VALUE"""),112)</f>
        <v>112</v>
      </c>
      <c r="AE296" s="1">
        <f ca="1">IFERROR(__xludf.DUMMYFUNCTION("""COMPUTED_VALUE"""),466)</f>
        <v>466</v>
      </c>
      <c r="AF296" s="1">
        <f ca="1">IFERROR(__xludf.DUMMYFUNCTION("""COMPUTED_VALUE"""),667)</f>
        <v>667</v>
      </c>
    </row>
    <row r="297" spans="1:32" ht="12.5" x14ac:dyDescent="0.25">
      <c r="A297" s="1" t="str">
        <f ca="1">IFERROR(__xludf.DUMMYFUNCTION("""COMPUTED_VALUE"""),"San Francisco")</f>
        <v>San Francisco</v>
      </c>
      <c r="B297" s="1">
        <f ca="1">IFERROR(__xludf.DUMMYFUNCTION("""COMPUTED_VALUE"""),31)</f>
        <v>31</v>
      </c>
      <c r="C297" s="1">
        <f ca="1">IFERROR(__xludf.DUMMYFUNCTION("""COMPUTED_VALUE"""),21)</f>
        <v>21</v>
      </c>
      <c r="D297" s="1">
        <f ca="1">IFERROR(__xludf.DUMMYFUNCTION("""COMPUTED_VALUE"""),10)</f>
        <v>10</v>
      </c>
      <c r="E297" s="1">
        <f ca="1">IFERROR(__xludf.DUMMYFUNCTION("""COMPUTED_VALUE"""),0.677)</f>
        <v>0.67700000000000005</v>
      </c>
      <c r="F297" s="1">
        <f ca="1">IFERROR(__xludf.DUMMYFUNCTION("""COMPUTED_VALUE"""),8.56)</f>
        <v>8.56</v>
      </c>
      <c r="G297" s="1">
        <f ca="1">IFERROR(__xludf.DUMMYFUNCTION("""COMPUTED_VALUE"""),1.13)</f>
        <v>1.1299999999999999</v>
      </c>
      <c r="H297" s="1">
        <f ca="1">IFERROR(__xludf.DUMMYFUNCTION("""COMPUTED_VALUE"""),9)</f>
        <v>9</v>
      </c>
      <c r="I297" s="1">
        <f ca="1">IFERROR(__xludf.DUMMYFUNCTION("""COMPUTED_VALUE"""),7)</f>
        <v>7</v>
      </c>
      <c r="J297" s="1">
        <f ca="1">IFERROR(__xludf.DUMMYFUNCTION("""COMPUTED_VALUE"""),13)</f>
        <v>13</v>
      </c>
      <c r="K297" s="1">
        <f ca="1">IFERROR(__xludf.DUMMYFUNCTION("""COMPUTED_VALUE"""),3)</f>
        <v>3</v>
      </c>
      <c r="L297" s="1">
        <f ca="1">IFERROR(__xludf.DUMMYFUNCTION("""COMPUTED_VALUE"""),6)</f>
        <v>6</v>
      </c>
      <c r="M297" s="1">
        <f ca="1">IFERROR(__xludf.DUMMYFUNCTION("""COMPUTED_VALUE"""),5)</f>
        <v>5</v>
      </c>
      <c r="N297" s="1">
        <f ca="1">IFERROR(__xludf.DUMMYFUNCTION("""COMPUTED_VALUE"""),2358)</f>
        <v>2358</v>
      </c>
      <c r="O297" s="1">
        <f ca="1">IFERROR(__xludf.DUMMYFUNCTION("""COMPUTED_VALUE"""),2101)</f>
        <v>2101</v>
      </c>
      <c r="P297" s="1">
        <f ca="1">IFERROR(__xludf.DUMMYFUNCTION("""COMPUTED_VALUE"""),1250)</f>
        <v>1250</v>
      </c>
      <c r="Q297" s="1">
        <f ca="1">IFERROR(__xludf.DUMMYFUNCTION("""COMPUTED_VALUE"""),864)</f>
        <v>864</v>
      </c>
      <c r="R297" s="1">
        <f ca="1">IFERROR(__xludf.DUMMYFUNCTION("""COMPUTED_VALUE"""),1851)</f>
        <v>1851</v>
      </c>
      <c r="S297" s="1">
        <f ca="1">IFERROR(__xludf.DUMMYFUNCTION("""COMPUTED_VALUE"""),0.467)</f>
        <v>0.46700000000000003</v>
      </c>
      <c r="T297" s="1">
        <f ca="1">IFERROR(__xludf.DUMMYFUNCTION("""COMPUTED_VALUE"""),258)</f>
        <v>258</v>
      </c>
      <c r="U297" s="1">
        <f ca="1">IFERROR(__xludf.DUMMYFUNCTION("""COMPUTED_VALUE"""),727)</f>
        <v>727</v>
      </c>
      <c r="V297" s="1">
        <f ca="1">IFERROR(__xludf.DUMMYFUNCTION("""COMPUTED_VALUE"""),0.355)</f>
        <v>0.35499999999999998</v>
      </c>
      <c r="W297" s="1">
        <f ca="1">IFERROR(__xludf.DUMMYFUNCTION("""COMPUTED_VALUE"""),372)</f>
        <v>372</v>
      </c>
      <c r="X297" s="1">
        <f ca="1">IFERROR(__xludf.DUMMYFUNCTION("""COMPUTED_VALUE"""),568)</f>
        <v>568</v>
      </c>
      <c r="Y297" s="1">
        <f ca="1">IFERROR(__xludf.DUMMYFUNCTION("""COMPUTED_VALUE"""),0.655)</f>
        <v>0.65500000000000003</v>
      </c>
      <c r="Z297" s="1">
        <f ca="1">IFERROR(__xludf.DUMMYFUNCTION("""COMPUTED_VALUE"""),340)</f>
        <v>340</v>
      </c>
      <c r="AA297" s="1">
        <f ca="1">IFERROR(__xludf.DUMMYFUNCTION("""COMPUTED_VALUE"""),1138)</f>
        <v>1138</v>
      </c>
      <c r="AB297" s="1">
        <f ca="1">IFERROR(__xludf.DUMMYFUNCTION("""COMPUTED_VALUE"""),439)</f>
        <v>439</v>
      </c>
      <c r="AC297" s="1">
        <f ca="1">IFERROR(__xludf.DUMMYFUNCTION("""COMPUTED_VALUE"""),188)</f>
        <v>188</v>
      </c>
      <c r="AD297" s="1">
        <f ca="1">IFERROR(__xludf.DUMMYFUNCTION("""COMPUTED_VALUE"""),105)</f>
        <v>105</v>
      </c>
      <c r="AE297" s="1">
        <f ca="1">IFERROR(__xludf.DUMMYFUNCTION("""COMPUTED_VALUE"""),321)</f>
        <v>321</v>
      </c>
      <c r="AF297" s="1">
        <f ca="1">IFERROR(__xludf.DUMMYFUNCTION("""COMPUTED_VALUE"""),543)</f>
        <v>543</v>
      </c>
    </row>
    <row r="298" spans="1:32" ht="12.5" x14ac:dyDescent="0.25">
      <c r="A298" s="1" t="str">
        <f ca="1">IFERROR(__xludf.DUMMYFUNCTION("""COMPUTED_VALUE"""),"San Jose State")</f>
        <v>San Jose State</v>
      </c>
      <c r="B298" s="1">
        <f ca="1">IFERROR(__xludf.DUMMYFUNCTION("""COMPUTED_VALUE"""),31)</f>
        <v>31</v>
      </c>
      <c r="C298" s="1">
        <f ca="1">IFERROR(__xludf.DUMMYFUNCTION("""COMPUTED_VALUE"""),4)</f>
        <v>4</v>
      </c>
      <c r="D298" s="1">
        <f ca="1">IFERROR(__xludf.DUMMYFUNCTION("""COMPUTED_VALUE"""),27)</f>
        <v>27</v>
      </c>
      <c r="E298" s="1">
        <f ca="1">IFERROR(__xludf.DUMMYFUNCTION("""COMPUTED_VALUE"""),0.129)</f>
        <v>0.129</v>
      </c>
      <c r="F298" s="1">
        <f ca="1">IFERROR(__xludf.DUMMYFUNCTION("""COMPUTED_VALUE"""),-16.37)</f>
        <v>-16.37</v>
      </c>
      <c r="G298" s="1">
        <f ca="1">IFERROR(__xludf.DUMMYFUNCTION("""COMPUTED_VALUE"""),0.59)</f>
        <v>0.59</v>
      </c>
      <c r="H298" s="1">
        <f ca="1">IFERROR(__xludf.DUMMYFUNCTION("""COMPUTED_VALUE"""),1)</f>
        <v>1</v>
      </c>
      <c r="I298" s="1">
        <f ca="1">IFERROR(__xludf.DUMMYFUNCTION("""COMPUTED_VALUE"""),17)</f>
        <v>17</v>
      </c>
      <c r="J298" s="1">
        <f ca="1">IFERROR(__xludf.DUMMYFUNCTION("""COMPUTED_VALUE"""),4)</f>
        <v>4</v>
      </c>
      <c r="K298" s="1">
        <f ca="1">IFERROR(__xludf.DUMMYFUNCTION("""COMPUTED_VALUE"""),11)</f>
        <v>11</v>
      </c>
      <c r="L298" s="1">
        <f ca="1">IFERROR(__xludf.DUMMYFUNCTION("""COMPUTED_VALUE"""),0)</f>
        <v>0</v>
      </c>
      <c r="M298" s="1">
        <f ca="1">IFERROR(__xludf.DUMMYFUNCTION("""COMPUTED_VALUE"""),12)</f>
        <v>12</v>
      </c>
      <c r="N298" s="1">
        <f ca="1">IFERROR(__xludf.DUMMYFUNCTION("""COMPUTED_VALUE"""),2042)</f>
        <v>2042</v>
      </c>
      <c r="O298" s="1">
        <f ca="1">IFERROR(__xludf.DUMMYFUNCTION("""COMPUTED_VALUE"""),2534)</f>
        <v>2534</v>
      </c>
      <c r="P298" s="1">
        <f ca="1">IFERROR(__xludf.DUMMYFUNCTION("""COMPUTED_VALUE"""),1250)</f>
        <v>1250</v>
      </c>
      <c r="Q298" s="1">
        <f ca="1">IFERROR(__xludf.DUMMYFUNCTION("""COMPUTED_VALUE"""),713)</f>
        <v>713</v>
      </c>
      <c r="R298" s="1">
        <f ca="1">IFERROR(__xludf.DUMMYFUNCTION("""COMPUTED_VALUE"""),1765)</f>
        <v>1765</v>
      </c>
      <c r="S298" s="1">
        <f ca="1">IFERROR(__xludf.DUMMYFUNCTION("""COMPUTED_VALUE"""),0.404)</f>
        <v>0.40400000000000003</v>
      </c>
      <c r="T298" s="1">
        <f ca="1">IFERROR(__xludf.DUMMYFUNCTION("""COMPUTED_VALUE"""),210)</f>
        <v>210</v>
      </c>
      <c r="U298" s="1">
        <f ca="1">IFERROR(__xludf.DUMMYFUNCTION("""COMPUTED_VALUE"""),641)</f>
        <v>641</v>
      </c>
      <c r="V298" s="1">
        <f ca="1">IFERROR(__xludf.DUMMYFUNCTION("""COMPUTED_VALUE"""),0.328)</f>
        <v>0.32800000000000001</v>
      </c>
      <c r="W298" s="1">
        <f ca="1">IFERROR(__xludf.DUMMYFUNCTION("""COMPUTED_VALUE"""),406)</f>
        <v>406</v>
      </c>
      <c r="X298" s="1">
        <f ca="1">IFERROR(__xludf.DUMMYFUNCTION("""COMPUTED_VALUE"""),620)</f>
        <v>620</v>
      </c>
      <c r="Y298" s="1">
        <f ca="1">IFERROR(__xludf.DUMMYFUNCTION("""COMPUTED_VALUE"""),0.655)</f>
        <v>0.65500000000000003</v>
      </c>
      <c r="Z298" s="1">
        <f ca="1">IFERROR(__xludf.DUMMYFUNCTION("""COMPUTED_VALUE"""),323)</f>
        <v>323</v>
      </c>
      <c r="AA298" s="1">
        <f ca="1">IFERROR(__xludf.DUMMYFUNCTION("""COMPUTED_VALUE"""),1130)</f>
        <v>1130</v>
      </c>
      <c r="AB298" s="1">
        <f ca="1">IFERROR(__xludf.DUMMYFUNCTION("""COMPUTED_VALUE"""),423)</f>
        <v>423</v>
      </c>
      <c r="AC298" s="1">
        <f ca="1">IFERROR(__xludf.DUMMYFUNCTION("""COMPUTED_VALUE"""),131)</f>
        <v>131</v>
      </c>
      <c r="AD298" s="1">
        <f ca="1">IFERROR(__xludf.DUMMYFUNCTION("""COMPUTED_VALUE"""),52)</f>
        <v>52</v>
      </c>
      <c r="AE298" s="1">
        <f ca="1">IFERROR(__xludf.DUMMYFUNCTION("""COMPUTED_VALUE"""),484)</f>
        <v>484</v>
      </c>
      <c r="AF298" s="1">
        <f ca="1">IFERROR(__xludf.DUMMYFUNCTION("""COMPUTED_VALUE"""),539)</f>
        <v>539</v>
      </c>
    </row>
    <row r="299" spans="1:32" ht="12.5" x14ac:dyDescent="0.25">
      <c r="A299" s="1" t="str">
        <f ca="1">IFERROR(__xludf.DUMMYFUNCTION("""COMPUTED_VALUE"""),"Santa Clara")</f>
        <v>Santa Clara</v>
      </c>
      <c r="B299" s="1">
        <f ca="1">IFERROR(__xludf.DUMMYFUNCTION("""COMPUTED_VALUE"""),31)</f>
        <v>31</v>
      </c>
      <c r="C299" s="1">
        <f ca="1">IFERROR(__xludf.DUMMYFUNCTION("""COMPUTED_VALUE"""),16)</f>
        <v>16</v>
      </c>
      <c r="D299" s="1">
        <f ca="1">IFERROR(__xludf.DUMMYFUNCTION("""COMPUTED_VALUE"""),15)</f>
        <v>15</v>
      </c>
      <c r="E299" s="1">
        <f ca="1">IFERROR(__xludf.DUMMYFUNCTION("""COMPUTED_VALUE"""),0.516)</f>
        <v>0.51600000000000001</v>
      </c>
      <c r="F299" s="1">
        <f ca="1">IFERROR(__xludf.DUMMYFUNCTION("""COMPUTED_VALUE"""),-1.91)</f>
        <v>-1.91</v>
      </c>
      <c r="G299" s="1">
        <f ca="1">IFERROR(__xludf.DUMMYFUNCTION("""COMPUTED_VALUE"""),0.92)</f>
        <v>0.92</v>
      </c>
      <c r="H299" s="1">
        <f ca="1">IFERROR(__xludf.DUMMYFUNCTION("""COMPUTED_VALUE"""),8)</f>
        <v>8</v>
      </c>
      <c r="I299" s="1">
        <f ca="1">IFERROR(__xludf.DUMMYFUNCTION("""COMPUTED_VALUE"""),8)</f>
        <v>8</v>
      </c>
      <c r="J299" s="1">
        <f ca="1">IFERROR(__xludf.DUMMYFUNCTION("""COMPUTED_VALUE"""),11)</f>
        <v>11</v>
      </c>
      <c r="K299" s="1">
        <f ca="1">IFERROR(__xludf.DUMMYFUNCTION("""COMPUTED_VALUE"""),6)</f>
        <v>6</v>
      </c>
      <c r="L299" s="1">
        <f ca="1">IFERROR(__xludf.DUMMYFUNCTION("""COMPUTED_VALUE"""),4)</f>
        <v>4</v>
      </c>
      <c r="M299" s="1">
        <f ca="1">IFERROR(__xludf.DUMMYFUNCTION("""COMPUTED_VALUE"""),6)</f>
        <v>6</v>
      </c>
      <c r="N299" s="1">
        <f ca="1">IFERROR(__xludf.DUMMYFUNCTION("""COMPUTED_VALUE"""),2115)</f>
        <v>2115</v>
      </c>
      <c r="O299" s="1">
        <f ca="1">IFERROR(__xludf.DUMMYFUNCTION("""COMPUTED_VALUE"""),2172)</f>
        <v>2172</v>
      </c>
      <c r="P299" s="1">
        <f ca="1">IFERROR(__xludf.DUMMYFUNCTION("""COMPUTED_VALUE"""),1255)</f>
        <v>1255</v>
      </c>
      <c r="Q299" s="1">
        <f ca="1">IFERROR(__xludf.DUMMYFUNCTION("""COMPUTED_VALUE"""),735)</f>
        <v>735</v>
      </c>
      <c r="R299" s="1">
        <f ca="1">IFERROR(__xludf.DUMMYFUNCTION("""COMPUTED_VALUE"""),1653)</f>
        <v>1653</v>
      </c>
      <c r="S299" s="1">
        <f ca="1">IFERROR(__xludf.DUMMYFUNCTION("""COMPUTED_VALUE"""),0.445)</f>
        <v>0.44500000000000001</v>
      </c>
      <c r="T299" s="1">
        <f ca="1">IFERROR(__xludf.DUMMYFUNCTION("""COMPUTED_VALUE"""),239)</f>
        <v>239</v>
      </c>
      <c r="U299" s="1">
        <f ca="1">IFERROR(__xludf.DUMMYFUNCTION("""COMPUTED_VALUE"""),663)</f>
        <v>663</v>
      </c>
      <c r="V299" s="1">
        <f ca="1">IFERROR(__xludf.DUMMYFUNCTION("""COMPUTED_VALUE"""),0.36)</f>
        <v>0.36</v>
      </c>
      <c r="W299" s="1">
        <f ca="1">IFERROR(__xludf.DUMMYFUNCTION("""COMPUTED_VALUE"""),406)</f>
        <v>406</v>
      </c>
      <c r="X299" s="1">
        <f ca="1">IFERROR(__xludf.DUMMYFUNCTION("""COMPUTED_VALUE"""),567)</f>
        <v>567</v>
      </c>
      <c r="Y299" s="1">
        <f ca="1">IFERROR(__xludf.DUMMYFUNCTION("""COMPUTED_VALUE"""),0.716)</f>
        <v>0.71599999999999997</v>
      </c>
      <c r="Z299" s="1">
        <f ca="1">IFERROR(__xludf.DUMMYFUNCTION("""COMPUTED_VALUE"""),242)</f>
        <v>242</v>
      </c>
      <c r="AA299" s="1">
        <f ca="1">IFERROR(__xludf.DUMMYFUNCTION("""COMPUTED_VALUE"""),1026)</f>
        <v>1026</v>
      </c>
      <c r="AB299" s="1">
        <f ca="1">IFERROR(__xludf.DUMMYFUNCTION("""COMPUTED_VALUE"""),416)</f>
        <v>416</v>
      </c>
      <c r="AC299" s="1">
        <f ca="1">IFERROR(__xludf.DUMMYFUNCTION("""COMPUTED_VALUE"""),146)</f>
        <v>146</v>
      </c>
      <c r="AD299" s="1">
        <f ca="1">IFERROR(__xludf.DUMMYFUNCTION("""COMPUTED_VALUE"""),111)</f>
        <v>111</v>
      </c>
      <c r="AE299" s="1">
        <f ca="1">IFERROR(__xludf.DUMMYFUNCTION("""COMPUTED_VALUE"""),433)</f>
        <v>433</v>
      </c>
      <c r="AF299" s="1">
        <f ca="1">IFERROR(__xludf.DUMMYFUNCTION("""COMPUTED_VALUE"""),597)</f>
        <v>597</v>
      </c>
    </row>
    <row r="300" spans="1:32" ht="12.5" x14ac:dyDescent="0.25">
      <c r="A300" s="1" t="str">
        <f ca="1">IFERROR(__xludf.DUMMYFUNCTION("""COMPUTED_VALUE"""),"Savannah State")</f>
        <v>Savannah State</v>
      </c>
      <c r="B300" s="1">
        <f ca="1">IFERROR(__xludf.DUMMYFUNCTION("""COMPUTED_VALUE"""),31)</f>
        <v>31</v>
      </c>
      <c r="C300" s="1">
        <f ca="1">IFERROR(__xludf.DUMMYFUNCTION("""COMPUTED_VALUE"""),11)</f>
        <v>11</v>
      </c>
      <c r="D300" s="1">
        <f ca="1">IFERROR(__xludf.DUMMYFUNCTION("""COMPUTED_VALUE"""),20)</f>
        <v>20</v>
      </c>
      <c r="E300" s="1">
        <f ca="1">IFERROR(__xludf.DUMMYFUNCTION("""COMPUTED_VALUE"""),0.355)</f>
        <v>0.35499999999999998</v>
      </c>
      <c r="F300" s="1">
        <f ca="1">IFERROR(__xludf.DUMMYFUNCTION("""COMPUTED_VALUE"""),-20.51)</f>
        <v>-20.51</v>
      </c>
      <c r="G300" s="1">
        <f ca="1">IFERROR(__xludf.DUMMYFUNCTION("""COMPUTED_VALUE"""),-9.04)</f>
        <v>-9.0399999999999991</v>
      </c>
      <c r="H300" s="1">
        <f ca="1">IFERROR(__xludf.DUMMYFUNCTION("""COMPUTED_VALUE"""),8)</f>
        <v>8</v>
      </c>
      <c r="I300" s="1">
        <f ca="1">IFERROR(__xludf.DUMMYFUNCTION("""COMPUTED_VALUE"""),8)</f>
        <v>8</v>
      </c>
      <c r="J300" s="1">
        <f ca="1">IFERROR(__xludf.DUMMYFUNCTION("""COMPUTED_VALUE"""),6)</f>
        <v>6</v>
      </c>
      <c r="K300" s="1">
        <f ca="1">IFERROR(__xludf.DUMMYFUNCTION("""COMPUTED_VALUE"""),5)</f>
        <v>5</v>
      </c>
      <c r="L300" s="1">
        <f ca="1">IFERROR(__xludf.DUMMYFUNCTION("""COMPUTED_VALUE"""),4)</f>
        <v>4</v>
      </c>
      <c r="M300" s="1">
        <f ca="1">IFERROR(__xludf.DUMMYFUNCTION("""COMPUTED_VALUE"""),14)</f>
        <v>14</v>
      </c>
      <c r="N300" s="1">
        <f ca="1">IFERROR(__xludf.DUMMYFUNCTION("""COMPUTED_VALUE"""),2360)</f>
        <v>2360</v>
      </c>
      <c r="O300" s="1">
        <f ca="1">IFERROR(__xludf.DUMMYFUNCTION("""COMPUTED_VALUE"""),2694)</f>
        <v>2694</v>
      </c>
      <c r="P300" s="1">
        <f ca="1">IFERROR(__xludf.DUMMYFUNCTION("""COMPUTED_VALUE"""),1245)</f>
        <v>1245</v>
      </c>
      <c r="Q300" s="1">
        <f ca="1">IFERROR(__xludf.DUMMYFUNCTION("""COMPUTED_VALUE"""),825)</f>
        <v>825</v>
      </c>
      <c r="R300" s="1">
        <f ca="1">IFERROR(__xludf.DUMMYFUNCTION("""COMPUTED_VALUE"""),2080)</f>
        <v>2080</v>
      </c>
      <c r="S300" s="1">
        <f ca="1">IFERROR(__xludf.DUMMYFUNCTION("""COMPUTED_VALUE"""),0.397)</f>
        <v>0.39700000000000002</v>
      </c>
      <c r="T300" s="1">
        <f ca="1">IFERROR(__xludf.DUMMYFUNCTION("""COMPUTED_VALUE"""),351)</f>
        <v>351</v>
      </c>
      <c r="U300" s="1">
        <f ca="1">IFERROR(__xludf.DUMMYFUNCTION("""COMPUTED_VALUE"""),1199)</f>
        <v>1199</v>
      </c>
      <c r="V300" s="1">
        <f ca="1">IFERROR(__xludf.DUMMYFUNCTION("""COMPUTED_VALUE"""),0.293)</f>
        <v>0.29299999999999998</v>
      </c>
      <c r="W300" s="1">
        <f ca="1">IFERROR(__xludf.DUMMYFUNCTION("""COMPUTED_VALUE"""),359)</f>
        <v>359</v>
      </c>
      <c r="X300" s="1">
        <f ca="1">IFERROR(__xludf.DUMMYFUNCTION("""COMPUTED_VALUE"""),531)</f>
        <v>531</v>
      </c>
      <c r="Y300" s="1">
        <f ca="1">IFERROR(__xludf.DUMMYFUNCTION("""COMPUTED_VALUE"""),0.676)</f>
        <v>0.67600000000000005</v>
      </c>
      <c r="Z300" s="1">
        <f ca="1">IFERROR(__xludf.DUMMYFUNCTION("""COMPUTED_VALUE"""),383)</f>
        <v>383</v>
      </c>
      <c r="AA300" s="1">
        <f ca="1">IFERROR(__xludf.DUMMYFUNCTION("""COMPUTED_VALUE"""),1188)</f>
        <v>1188</v>
      </c>
      <c r="AB300" s="1">
        <f ca="1">IFERROR(__xludf.DUMMYFUNCTION("""COMPUTED_VALUE"""),462)</f>
        <v>462</v>
      </c>
      <c r="AC300" s="1">
        <f ca="1">IFERROR(__xludf.DUMMYFUNCTION("""COMPUTED_VALUE"""),234)</f>
        <v>234</v>
      </c>
      <c r="AD300" s="1">
        <f ca="1">IFERROR(__xludf.DUMMYFUNCTION("""COMPUTED_VALUE"""),96)</f>
        <v>96</v>
      </c>
      <c r="AE300" s="1">
        <f ca="1">IFERROR(__xludf.DUMMYFUNCTION("""COMPUTED_VALUE"""),478)</f>
        <v>478</v>
      </c>
      <c r="AF300" s="1">
        <f ca="1">IFERROR(__xludf.DUMMYFUNCTION("""COMPUTED_VALUE"""),564)</f>
        <v>564</v>
      </c>
    </row>
    <row r="301" spans="1:32" ht="12.5" x14ac:dyDescent="0.25">
      <c r="A301" s="1" t="str">
        <f ca="1">IFERROR(__xludf.DUMMYFUNCTION("""COMPUTED_VALUE"""),"Seattle")</f>
        <v>Seattle</v>
      </c>
      <c r="B301" s="1">
        <f ca="1">IFERROR(__xludf.DUMMYFUNCTION("""COMPUTED_VALUE"""),33)</f>
        <v>33</v>
      </c>
      <c r="C301" s="1">
        <f ca="1">IFERROR(__xludf.DUMMYFUNCTION("""COMPUTED_VALUE"""),18)</f>
        <v>18</v>
      </c>
      <c r="D301" s="1">
        <f ca="1">IFERROR(__xludf.DUMMYFUNCTION("""COMPUTED_VALUE"""),15)</f>
        <v>15</v>
      </c>
      <c r="E301" s="1">
        <f ca="1">IFERROR(__xludf.DUMMYFUNCTION("""COMPUTED_VALUE"""),0.545)</f>
        <v>0.54500000000000004</v>
      </c>
      <c r="F301" s="1">
        <f ca="1">IFERROR(__xludf.DUMMYFUNCTION("""COMPUTED_VALUE"""),-1.47)</f>
        <v>-1.47</v>
      </c>
      <c r="G301" s="1">
        <f ca="1">IFERROR(__xludf.DUMMYFUNCTION("""COMPUTED_VALUE"""),-3.85)</f>
        <v>-3.85</v>
      </c>
      <c r="H301" s="1">
        <f ca="1">IFERROR(__xludf.DUMMYFUNCTION("""COMPUTED_VALUE"""),6)</f>
        <v>6</v>
      </c>
      <c r="I301" s="1">
        <f ca="1">IFERROR(__xludf.DUMMYFUNCTION("""COMPUTED_VALUE"""),10)</f>
        <v>10</v>
      </c>
      <c r="J301" s="1">
        <f ca="1">IFERROR(__xludf.DUMMYFUNCTION("""COMPUTED_VALUE"""),12)</f>
        <v>12</v>
      </c>
      <c r="K301" s="1">
        <f ca="1">IFERROR(__xludf.DUMMYFUNCTION("""COMPUTED_VALUE"""),6)</f>
        <v>6</v>
      </c>
      <c r="L301" s="1">
        <f ca="1">IFERROR(__xludf.DUMMYFUNCTION("""COMPUTED_VALUE"""),4)</f>
        <v>4</v>
      </c>
      <c r="M301" s="1">
        <f ca="1">IFERROR(__xludf.DUMMYFUNCTION("""COMPUTED_VALUE"""),8)</f>
        <v>8</v>
      </c>
      <c r="N301" s="1">
        <f ca="1">IFERROR(__xludf.DUMMYFUNCTION("""COMPUTED_VALUE"""),2420)</f>
        <v>2420</v>
      </c>
      <c r="O301" s="1">
        <f ca="1">IFERROR(__xludf.DUMMYFUNCTION("""COMPUTED_VALUE"""),2283)</f>
        <v>2283</v>
      </c>
      <c r="P301" s="1">
        <f ca="1">IFERROR(__xludf.DUMMYFUNCTION("""COMPUTED_VALUE"""),1330)</f>
        <v>1330</v>
      </c>
      <c r="Q301" s="1">
        <f ca="1">IFERROR(__xludf.DUMMYFUNCTION("""COMPUTED_VALUE"""),852)</f>
        <v>852</v>
      </c>
      <c r="R301" s="1">
        <f ca="1">IFERROR(__xludf.DUMMYFUNCTION("""COMPUTED_VALUE"""),1945)</f>
        <v>1945</v>
      </c>
      <c r="S301" s="1">
        <f ca="1">IFERROR(__xludf.DUMMYFUNCTION("""COMPUTED_VALUE"""),0.438)</f>
        <v>0.438</v>
      </c>
      <c r="T301" s="1">
        <f ca="1">IFERROR(__xludf.DUMMYFUNCTION("""COMPUTED_VALUE"""),238)</f>
        <v>238</v>
      </c>
      <c r="U301" s="1">
        <f ca="1">IFERROR(__xludf.DUMMYFUNCTION("""COMPUTED_VALUE"""),642)</f>
        <v>642</v>
      </c>
      <c r="V301" s="1">
        <f ca="1">IFERROR(__xludf.DUMMYFUNCTION("""COMPUTED_VALUE"""),0.371)</f>
        <v>0.371</v>
      </c>
      <c r="W301" s="1">
        <f ca="1">IFERROR(__xludf.DUMMYFUNCTION("""COMPUTED_VALUE"""),478)</f>
        <v>478</v>
      </c>
      <c r="X301" s="1">
        <f ca="1">IFERROR(__xludf.DUMMYFUNCTION("""COMPUTED_VALUE"""),668)</f>
        <v>668</v>
      </c>
      <c r="Y301" s="1">
        <f ca="1">IFERROR(__xludf.DUMMYFUNCTION("""COMPUTED_VALUE"""),0.716)</f>
        <v>0.71599999999999997</v>
      </c>
      <c r="Z301" s="1">
        <f ca="1">IFERROR(__xludf.DUMMYFUNCTION("""COMPUTED_VALUE"""),336)</f>
        <v>336</v>
      </c>
      <c r="AA301" s="1">
        <f ca="1">IFERROR(__xludf.DUMMYFUNCTION("""COMPUTED_VALUE"""),1221)</f>
        <v>1221</v>
      </c>
      <c r="AB301" s="1">
        <f ca="1">IFERROR(__xludf.DUMMYFUNCTION("""COMPUTED_VALUE"""),386)</f>
        <v>386</v>
      </c>
      <c r="AC301" s="1">
        <f ca="1">IFERROR(__xludf.DUMMYFUNCTION("""COMPUTED_VALUE"""),141)</f>
        <v>141</v>
      </c>
      <c r="AD301" s="1">
        <f ca="1">IFERROR(__xludf.DUMMYFUNCTION("""COMPUTED_VALUE"""),118)</f>
        <v>118</v>
      </c>
      <c r="AE301" s="1">
        <f ca="1">IFERROR(__xludf.DUMMYFUNCTION("""COMPUTED_VALUE"""),403)</f>
        <v>403</v>
      </c>
      <c r="AF301" s="1">
        <f ca="1">IFERROR(__xludf.DUMMYFUNCTION("""COMPUTED_VALUE"""),657)</f>
        <v>657</v>
      </c>
    </row>
    <row r="302" spans="1:32" ht="12.5" x14ac:dyDescent="0.25">
      <c r="A302" s="1" t="str">
        <f ca="1">IFERROR(__xludf.DUMMYFUNCTION("""COMPUTED_VALUE"""),"Seton Hall")</f>
        <v>Seton Hall</v>
      </c>
      <c r="B302" s="1">
        <f ca="1">IFERROR(__xludf.DUMMYFUNCTION("""COMPUTED_VALUE"""),34)</f>
        <v>34</v>
      </c>
      <c r="C302" s="1">
        <f ca="1">IFERROR(__xludf.DUMMYFUNCTION("""COMPUTED_VALUE"""),20)</f>
        <v>20</v>
      </c>
      <c r="D302" s="1">
        <f ca="1">IFERROR(__xludf.DUMMYFUNCTION("""COMPUTED_VALUE"""),14)</f>
        <v>14</v>
      </c>
      <c r="E302" s="1">
        <f ca="1">IFERROR(__xludf.DUMMYFUNCTION("""COMPUTED_VALUE"""),0.588)</f>
        <v>0.58799999999999997</v>
      </c>
      <c r="F302" s="1">
        <f ca="1">IFERROR(__xludf.DUMMYFUNCTION("""COMPUTED_VALUE"""),10.25)</f>
        <v>10.25</v>
      </c>
      <c r="G302" s="1">
        <f ca="1">IFERROR(__xludf.DUMMYFUNCTION("""COMPUTED_VALUE"""),8.34)</f>
        <v>8.34</v>
      </c>
      <c r="H302" s="1">
        <f ca="1">IFERROR(__xludf.DUMMYFUNCTION("""COMPUTED_VALUE"""),9)</f>
        <v>9</v>
      </c>
      <c r="I302" s="1">
        <f ca="1">IFERROR(__xludf.DUMMYFUNCTION("""COMPUTED_VALUE"""),9)</f>
        <v>9</v>
      </c>
      <c r="J302" s="1">
        <f ca="1">IFERROR(__xludf.DUMMYFUNCTION("""COMPUTED_VALUE"""),11)</f>
        <v>11</v>
      </c>
      <c r="K302" s="1">
        <f ca="1">IFERROR(__xludf.DUMMYFUNCTION("""COMPUTED_VALUE"""),4)</f>
        <v>4</v>
      </c>
      <c r="L302" s="1">
        <f ca="1">IFERROR(__xludf.DUMMYFUNCTION("""COMPUTED_VALUE"""),3)</f>
        <v>3</v>
      </c>
      <c r="M302" s="1">
        <f ca="1">IFERROR(__xludf.DUMMYFUNCTION("""COMPUTED_VALUE"""),8)</f>
        <v>8</v>
      </c>
      <c r="N302" s="1">
        <f ca="1">IFERROR(__xludf.DUMMYFUNCTION("""COMPUTED_VALUE"""),2508)</f>
        <v>2508</v>
      </c>
      <c r="O302" s="1">
        <f ca="1">IFERROR(__xludf.DUMMYFUNCTION("""COMPUTED_VALUE"""),2443)</f>
        <v>2443</v>
      </c>
      <c r="P302" s="1">
        <f ca="1">IFERROR(__xludf.DUMMYFUNCTION("""COMPUTED_VALUE"""),1375)</f>
        <v>1375</v>
      </c>
      <c r="Q302" s="1">
        <f ca="1">IFERROR(__xludf.DUMMYFUNCTION("""COMPUTED_VALUE"""),888)</f>
        <v>888</v>
      </c>
      <c r="R302" s="1">
        <f ca="1">IFERROR(__xludf.DUMMYFUNCTION("""COMPUTED_VALUE"""),2021)</f>
        <v>2021</v>
      </c>
      <c r="S302" s="1">
        <f ca="1">IFERROR(__xludf.DUMMYFUNCTION("""COMPUTED_VALUE"""),0.439)</f>
        <v>0.439</v>
      </c>
      <c r="T302" s="1">
        <f ca="1">IFERROR(__xludf.DUMMYFUNCTION("""COMPUTED_VALUE"""),240)</f>
        <v>240</v>
      </c>
      <c r="U302" s="1">
        <f ca="1">IFERROR(__xludf.DUMMYFUNCTION("""COMPUTED_VALUE"""),741)</f>
        <v>741</v>
      </c>
      <c r="V302" s="1">
        <f ca="1">IFERROR(__xludf.DUMMYFUNCTION("""COMPUTED_VALUE"""),0.324)</f>
        <v>0.32400000000000001</v>
      </c>
      <c r="W302" s="1">
        <f ca="1">IFERROR(__xludf.DUMMYFUNCTION("""COMPUTED_VALUE"""),492)</f>
        <v>492</v>
      </c>
      <c r="X302" s="1">
        <f ca="1">IFERROR(__xludf.DUMMYFUNCTION("""COMPUTED_VALUE"""),697)</f>
        <v>697</v>
      </c>
      <c r="Y302" s="1">
        <f ca="1">IFERROR(__xludf.DUMMYFUNCTION("""COMPUTED_VALUE"""),0.706)</f>
        <v>0.70599999999999996</v>
      </c>
      <c r="Z302" s="1">
        <f ca="1">IFERROR(__xludf.DUMMYFUNCTION("""COMPUTED_VALUE"""),361)</f>
        <v>361</v>
      </c>
      <c r="AA302" s="1">
        <f ca="1">IFERROR(__xludf.DUMMYFUNCTION("""COMPUTED_VALUE"""),1213)</f>
        <v>1213</v>
      </c>
      <c r="AB302" s="1">
        <f ca="1">IFERROR(__xludf.DUMMYFUNCTION("""COMPUTED_VALUE"""),459)</f>
        <v>459</v>
      </c>
      <c r="AC302" s="1">
        <f ca="1">IFERROR(__xludf.DUMMYFUNCTION("""COMPUTED_VALUE"""),235)</f>
        <v>235</v>
      </c>
      <c r="AD302" s="1">
        <f ca="1">IFERROR(__xludf.DUMMYFUNCTION("""COMPUTED_VALUE"""),132)</f>
        <v>132</v>
      </c>
      <c r="AE302" s="1">
        <f ca="1">IFERROR(__xludf.DUMMYFUNCTION("""COMPUTED_VALUE"""),423)</f>
        <v>423</v>
      </c>
      <c r="AF302" s="1">
        <f ca="1">IFERROR(__xludf.DUMMYFUNCTION("""COMPUTED_VALUE"""),638)</f>
        <v>638</v>
      </c>
    </row>
    <row r="303" spans="1:32" ht="12.5" x14ac:dyDescent="0.25">
      <c r="A303" s="1" t="str">
        <f ca="1">IFERROR(__xludf.DUMMYFUNCTION("""COMPUTED_VALUE"""),"Siena")</f>
        <v>Siena</v>
      </c>
      <c r="B303" s="1">
        <f ca="1">IFERROR(__xludf.DUMMYFUNCTION("""COMPUTED_VALUE"""),33)</f>
        <v>33</v>
      </c>
      <c r="C303" s="1">
        <f ca="1">IFERROR(__xludf.DUMMYFUNCTION("""COMPUTED_VALUE"""),17)</f>
        <v>17</v>
      </c>
      <c r="D303" s="1">
        <f ca="1">IFERROR(__xludf.DUMMYFUNCTION("""COMPUTED_VALUE"""),16)</f>
        <v>16</v>
      </c>
      <c r="E303" s="1">
        <f ca="1">IFERROR(__xludf.DUMMYFUNCTION("""COMPUTED_VALUE"""),0.515)</f>
        <v>0.51500000000000001</v>
      </c>
      <c r="F303" s="1">
        <f ca="1">IFERROR(__xludf.DUMMYFUNCTION("""COMPUTED_VALUE"""),-7.9)</f>
        <v>-7.9</v>
      </c>
      <c r="G303" s="1">
        <f ca="1">IFERROR(__xludf.DUMMYFUNCTION("""COMPUTED_VALUE"""),-6.47)</f>
        <v>-6.47</v>
      </c>
      <c r="H303" s="1">
        <f ca="1">IFERROR(__xludf.DUMMYFUNCTION("""COMPUTED_VALUE"""),11)</f>
        <v>11</v>
      </c>
      <c r="I303" s="1">
        <f ca="1">IFERROR(__xludf.DUMMYFUNCTION("""COMPUTED_VALUE"""),7)</f>
        <v>7</v>
      </c>
      <c r="J303" s="1">
        <f ca="1">IFERROR(__xludf.DUMMYFUNCTION("""COMPUTED_VALUE"""),7)</f>
        <v>7</v>
      </c>
      <c r="K303" s="1">
        <f ca="1">IFERROR(__xludf.DUMMYFUNCTION("""COMPUTED_VALUE"""),7)</f>
        <v>7</v>
      </c>
      <c r="L303" s="1">
        <f ca="1">IFERROR(__xludf.DUMMYFUNCTION("""COMPUTED_VALUE"""),8)</f>
        <v>8</v>
      </c>
      <c r="M303" s="1">
        <f ca="1">IFERROR(__xludf.DUMMYFUNCTION("""COMPUTED_VALUE"""),7)</f>
        <v>7</v>
      </c>
      <c r="N303" s="1">
        <f ca="1">IFERROR(__xludf.DUMMYFUNCTION("""COMPUTED_VALUE"""),2131)</f>
        <v>2131</v>
      </c>
      <c r="O303" s="1">
        <f ca="1">IFERROR(__xludf.DUMMYFUNCTION("""COMPUTED_VALUE"""),2178)</f>
        <v>2178</v>
      </c>
      <c r="P303" s="1">
        <f ca="1">IFERROR(__xludf.DUMMYFUNCTION("""COMPUTED_VALUE"""),1345)</f>
        <v>1345</v>
      </c>
      <c r="Q303" s="1">
        <f ca="1">IFERROR(__xludf.DUMMYFUNCTION("""COMPUTED_VALUE"""),772)</f>
        <v>772</v>
      </c>
      <c r="R303" s="1">
        <f ca="1">IFERROR(__xludf.DUMMYFUNCTION("""COMPUTED_VALUE"""),1779)</f>
        <v>1779</v>
      </c>
      <c r="S303" s="1">
        <f ca="1">IFERROR(__xludf.DUMMYFUNCTION("""COMPUTED_VALUE"""),0.434)</f>
        <v>0.434</v>
      </c>
      <c r="T303" s="1">
        <f ca="1">IFERROR(__xludf.DUMMYFUNCTION("""COMPUTED_VALUE"""),288)</f>
        <v>288</v>
      </c>
      <c r="U303" s="1">
        <f ca="1">IFERROR(__xludf.DUMMYFUNCTION("""COMPUTED_VALUE"""),849)</f>
        <v>849</v>
      </c>
      <c r="V303" s="1">
        <f ca="1">IFERROR(__xludf.DUMMYFUNCTION("""COMPUTED_VALUE"""),0.339)</f>
        <v>0.33900000000000002</v>
      </c>
      <c r="W303" s="1">
        <f ca="1">IFERROR(__xludf.DUMMYFUNCTION("""COMPUTED_VALUE"""),299)</f>
        <v>299</v>
      </c>
      <c r="X303" s="1">
        <f ca="1">IFERROR(__xludf.DUMMYFUNCTION("""COMPUTED_VALUE"""),440)</f>
        <v>440</v>
      </c>
      <c r="Y303" s="1">
        <f ca="1">IFERROR(__xludf.DUMMYFUNCTION("""COMPUTED_VALUE"""),0.68)</f>
        <v>0.68</v>
      </c>
      <c r="Z303" s="1">
        <f ca="1">IFERROR(__xludf.DUMMYFUNCTION("""COMPUTED_VALUE"""),248)</f>
        <v>248</v>
      </c>
      <c r="AA303" s="1">
        <f ca="1">IFERROR(__xludf.DUMMYFUNCTION("""COMPUTED_VALUE"""),973)</f>
        <v>973</v>
      </c>
      <c r="AB303" s="1">
        <f ca="1">IFERROR(__xludf.DUMMYFUNCTION("""COMPUTED_VALUE"""),415)</f>
        <v>415</v>
      </c>
      <c r="AC303" s="1">
        <f ca="1">IFERROR(__xludf.DUMMYFUNCTION("""COMPUTED_VALUE"""),190)</f>
        <v>190</v>
      </c>
      <c r="AD303" s="1">
        <f ca="1">IFERROR(__xludf.DUMMYFUNCTION("""COMPUTED_VALUE"""),93)</f>
        <v>93</v>
      </c>
      <c r="AE303" s="1">
        <f ca="1">IFERROR(__xludf.DUMMYFUNCTION("""COMPUTED_VALUE"""),321)</f>
        <v>321</v>
      </c>
      <c r="AF303" s="1">
        <f ca="1">IFERROR(__xludf.DUMMYFUNCTION("""COMPUTED_VALUE"""),462)</f>
        <v>462</v>
      </c>
    </row>
    <row r="304" spans="1:32" ht="12.5" x14ac:dyDescent="0.25">
      <c r="A304" s="1" t="str">
        <f ca="1">IFERROR(__xludf.DUMMYFUNCTION("""COMPUTED_VALUE"""),"South Alabama")</f>
        <v>South Alabama</v>
      </c>
      <c r="B304" s="1">
        <f ca="1">IFERROR(__xludf.DUMMYFUNCTION("""COMPUTED_VALUE"""),34)</f>
        <v>34</v>
      </c>
      <c r="C304" s="1">
        <f ca="1">IFERROR(__xludf.DUMMYFUNCTION("""COMPUTED_VALUE"""),17)</f>
        <v>17</v>
      </c>
      <c r="D304" s="1">
        <f ca="1">IFERROR(__xludf.DUMMYFUNCTION("""COMPUTED_VALUE"""),17)</f>
        <v>17</v>
      </c>
      <c r="E304" s="1">
        <f ca="1">IFERROR(__xludf.DUMMYFUNCTION("""COMPUTED_VALUE"""),0.5)</f>
        <v>0.5</v>
      </c>
      <c r="F304" s="1">
        <f ca="1">IFERROR(__xludf.DUMMYFUNCTION("""COMPUTED_VALUE"""),-4.46)</f>
        <v>-4.46</v>
      </c>
      <c r="G304" s="1">
        <f ca="1">IFERROR(__xludf.DUMMYFUNCTION("""COMPUTED_VALUE"""),-2.71)</f>
        <v>-2.71</v>
      </c>
      <c r="H304" s="1">
        <f ca="1">IFERROR(__xludf.DUMMYFUNCTION("""COMPUTED_VALUE"""),8)</f>
        <v>8</v>
      </c>
      <c r="I304" s="1">
        <f ca="1">IFERROR(__xludf.DUMMYFUNCTION("""COMPUTED_VALUE"""),10)</f>
        <v>10</v>
      </c>
      <c r="J304" s="1">
        <f ca="1">IFERROR(__xludf.DUMMYFUNCTION("""COMPUTED_VALUE"""),13)</f>
        <v>13</v>
      </c>
      <c r="K304" s="1">
        <f ca="1">IFERROR(__xludf.DUMMYFUNCTION("""COMPUTED_VALUE"""),6)</f>
        <v>6</v>
      </c>
      <c r="L304" s="1">
        <f ca="1">IFERROR(__xludf.DUMMYFUNCTION("""COMPUTED_VALUE"""),3)</f>
        <v>3</v>
      </c>
      <c r="M304" s="1">
        <f ca="1">IFERROR(__xludf.DUMMYFUNCTION("""COMPUTED_VALUE"""),10)</f>
        <v>10</v>
      </c>
      <c r="N304" s="1">
        <f ca="1">IFERROR(__xludf.DUMMYFUNCTION("""COMPUTED_VALUE"""),2478)</f>
        <v>2478</v>
      </c>
      <c r="O304" s="1">
        <f ca="1">IFERROR(__xludf.DUMMYFUNCTION("""COMPUTED_VALUE"""),2465)</f>
        <v>2465</v>
      </c>
      <c r="P304" s="1">
        <f ca="1">IFERROR(__xludf.DUMMYFUNCTION("""COMPUTED_VALUE"""),1375)</f>
        <v>1375</v>
      </c>
      <c r="Q304" s="1">
        <f ca="1">IFERROR(__xludf.DUMMYFUNCTION("""COMPUTED_VALUE"""),867)</f>
        <v>867</v>
      </c>
      <c r="R304" s="1">
        <f ca="1">IFERROR(__xludf.DUMMYFUNCTION("""COMPUTED_VALUE"""),1883)</f>
        <v>1883</v>
      </c>
      <c r="S304" s="1">
        <f ca="1">IFERROR(__xludf.DUMMYFUNCTION("""COMPUTED_VALUE"""),0.46)</f>
        <v>0.46</v>
      </c>
      <c r="T304" s="1">
        <f ca="1">IFERROR(__xludf.DUMMYFUNCTION("""COMPUTED_VALUE"""),285)</f>
        <v>285</v>
      </c>
      <c r="U304" s="1">
        <f ca="1">IFERROR(__xludf.DUMMYFUNCTION("""COMPUTED_VALUE"""),761)</f>
        <v>761</v>
      </c>
      <c r="V304" s="1">
        <f ca="1">IFERROR(__xludf.DUMMYFUNCTION("""COMPUTED_VALUE"""),0.375)</f>
        <v>0.375</v>
      </c>
      <c r="W304" s="1">
        <f ca="1">IFERROR(__xludf.DUMMYFUNCTION("""COMPUTED_VALUE"""),459)</f>
        <v>459</v>
      </c>
      <c r="X304" s="1">
        <f ca="1">IFERROR(__xludf.DUMMYFUNCTION("""COMPUTED_VALUE"""),669)</f>
        <v>669</v>
      </c>
      <c r="Y304" s="1">
        <f ca="1">IFERROR(__xludf.DUMMYFUNCTION("""COMPUTED_VALUE"""),0.686)</f>
        <v>0.68600000000000005</v>
      </c>
      <c r="Z304" s="1">
        <f ca="1">IFERROR(__xludf.DUMMYFUNCTION("""COMPUTED_VALUE"""),288)</f>
        <v>288</v>
      </c>
      <c r="AA304" s="1">
        <f ca="1">IFERROR(__xludf.DUMMYFUNCTION("""COMPUTED_VALUE"""),1094)</f>
        <v>1094</v>
      </c>
      <c r="AB304" s="1">
        <f ca="1">IFERROR(__xludf.DUMMYFUNCTION("""COMPUTED_VALUE"""),471)</f>
        <v>471</v>
      </c>
      <c r="AC304" s="1">
        <f ca="1">IFERROR(__xludf.DUMMYFUNCTION("""COMPUTED_VALUE"""),201)</f>
        <v>201</v>
      </c>
      <c r="AD304" s="1">
        <f ca="1">IFERROR(__xludf.DUMMYFUNCTION("""COMPUTED_VALUE"""),141)</f>
        <v>141</v>
      </c>
      <c r="AE304" s="1">
        <f ca="1">IFERROR(__xludf.DUMMYFUNCTION("""COMPUTED_VALUE"""),456)</f>
        <v>456</v>
      </c>
      <c r="AF304" s="1">
        <f ca="1">IFERROR(__xludf.DUMMYFUNCTION("""COMPUTED_VALUE"""),649)</f>
        <v>649</v>
      </c>
    </row>
    <row r="305" spans="1:32" ht="12.5" x14ac:dyDescent="0.25">
      <c r="A305" s="1" t="str">
        <f ca="1">IFERROR(__xludf.DUMMYFUNCTION("""COMPUTED_VALUE"""),"South Carolina State")</f>
        <v>South Carolina State</v>
      </c>
      <c r="B305" s="1">
        <f ca="1">IFERROR(__xludf.DUMMYFUNCTION("""COMPUTED_VALUE"""),34)</f>
        <v>34</v>
      </c>
      <c r="C305" s="1">
        <f ca="1">IFERROR(__xludf.DUMMYFUNCTION("""COMPUTED_VALUE"""),8)</f>
        <v>8</v>
      </c>
      <c r="D305" s="1">
        <f ca="1">IFERROR(__xludf.DUMMYFUNCTION("""COMPUTED_VALUE"""),26)</f>
        <v>26</v>
      </c>
      <c r="E305" s="1">
        <f ca="1">IFERROR(__xludf.DUMMYFUNCTION("""COMPUTED_VALUE"""),0.235)</f>
        <v>0.23499999999999999</v>
      </c>
      <c r="F305" s="1">
        <f ca="1">IFERROR(__xludf.DUMMYFUNCTION("""COMPUTED_VALUE"""),-16.86)</f>
        <v>-16.86</v>
      </c>
      <c r="G305" s="1">
        <f ca="1">IFERROR(__xludf.DUMMYFUNCTION("""COMPUTED_VALUE"""),-8.3)</f>
        <v>-8.3000000000000007</v>
      </c>
      <c r="H305" s="1">
        <f ca="1">IFERROR(__xludf.DUMMYFUNCTION("""COMPUTED_VALUE"""),5)</f>
        <v>5</v>
      </c>
      <c r="I305" s="1">
        <f ca="1">IFERROR(__xludf.DUMMYFUNCTION("""COMPUTED_VALUE"""),11)</f>
        <v>11</v>
      </c>
      <c r="J305" s="1">
        <f ca="1">IFERROR(__xludf.DUMMYFUNCTION("""COMPUTED_VALUE"""),5)</f>
        <v>5</v>
      </c>
      <c r="K305" s="1">
        <f ca="1">IFERROR(__xludf.DUMMYFUNCTION("""COMPUTED_VALUE"""),6)</f>
        <v>6</v>
      </c>
      <c r="L305" s="1">
        <f ca="1">IFERROR(__xludf.DUMMYFUNCTION("""COMPUTED_VALUE"""),2)</f>
        <v>2</v>
      </c>
      <c r="M305" s="1">
        <f ca="1">IFERROR(__xludf.DUMMYFUNCTION("""COMPUTED_VALUE"""),19)</f>
        <v>19</v>
      </c>
      <c r="N305" s="1">
        <f ca="1">IFERROR(__xludf.DUMMYFUNCTION("""COMPUTED_VALUE"""),2388)</f>
        <v>2388</v>
      </c>
      <c r="O305" s="1">
        <f ca="1">IFERROR(__xludf.DUMMYFUNCTION("""COMPUTED_VALUE"""),2593)</f>
        <v>2593</v>
      </c>
      <c r="P305" s="1">
        <f ca="1">IFERROR(__xludf.DUMMYFUNCTION("""COMPUTED_VALUE"""),1375)</f>
        <v>1375</v>
      </c>
      <c r="Q305" s="1">
        <f ca="1">IFERROR(__xludf.DUMMYFUNCTION("""COMPUTED_VALUE"""),811)</f>
        <v>811</v>
      </c>
      <c r="R305" s="1">
        <f ca="1">IFERROR(__xludf.DUMMYFUNCTION("""COMPUTED_VALUE"""),1891)</f>
        <v>1891</v>
      </c>
      <c r="S305" s="1">
        <f ca="1">IFERROR(__xludf.DUMMYFUNCTION("""COMPUTED_VALUE"""),0.429)</f>
        <v>0.42899999999999999</v>
      </c>
      <c r="T305" s="1">
        <f ca="1">IFERROR(__xludf.DUMMYFUNCTION("""COMPUTED_VALUE"""),193)</f>
        <v>193</v>
      </c>
      <c r="U305" s="1">
        <f ca="1">IFERROR(__xludf.DUMMYFUNCTION("""COMPUTED_VALUE"""),582)</f>
        <v>582</v>
      </c>
      <c r="V305" s="1">
        <f ca="1">IFERROR(__xludf.DUMMYFUNCTION("""COMPUTED_VALUE"""),0.332)</f>
        <v>0.33200000000000002</v>
      </c>
      <c r="W305" s="1">
        <f ca="1">IFERROR(__xludf.DUMMYFUNCTION("""COMPUTED_VALUE"""),573)</f>
        <v>573</v>
      </c>
      <c r="X305" s="1">
        <f ca="1">IFERROR(__xludf.DUMMYFUNCTION("""COMPUTED_VALUE"""),772)</f>
        <v>772</v>
      </c>
      <c r="Y305" s="1">
        <f ca="1">IFERROR(__xludf.DUMMYFUNCTION("""COMPUTED_VALUE"""),0.742)</f>
        <v>0.74199999999999999</v>
      </c>
      <c r="Z305" s="1">
        <f ca="1">IFERROR(__xludf.DUMMYFUNCTION("""COMPUTED_VALUE"""),376)</f>
        <v>376</v>
      </c>
      <c r="AA305" s="1">
        <f ca="1">IFERROR(__xludf.DUMMYFUNCTION("""COMPUTED_VALUE"""),1137)</f>
        <v>1137</v>
      </c>
      <c r="AB305" s="1">
        <f ca="1">IFERROR(__xludf.DUMMYFUNCTION("""COMPUTED_VALUE"""),386)</f>
        <v>386</v>
      </c>
      <c r="AC305" s="1">
        <f ca="1">IFERROR(__xludf.DUMMYFUNCTION("""COMPUTED_VALUE"""),167)</f>
        <v>167</v>
      </c>
      <c r="AD305" s="1">
        <f ca="1">IFERROR(__xludf.DUMMYFUNCTION("""COMPUTED_VALUE"""),60)</f>
        <v>60</v>
      </c>
      <c r="AE305" s="1">
        <f ca="1">IFERROR(__xludf.DUMMYFUNCTION("""COMPUTED_VALUE"""),493)</f>
        <v>493</v>
      </c>
      <c r="AF305" s="1">
        <f ca="1">IFERROR(__xludf.DUMMYFUNCTION("""COMPUTED_VALUE"""),670)</f>
        <v>670</v>
      </c>
    </row>
    <row r="306" spans="1:32" ht="12.5" x14ac:dyDescent="0.25">
      <c r="A306" s="1" t="str">
        <f ca="1">IFERROR(__xludf.DUMMYFUNCTION("""COMPUTED_VALUE"""),"South Carolina Upstate")</f>
        <v>South Carolina Upstate</v>
      </c>
      <c r="B306" s="1">
        <f ca="1">IFERROR(__xludf.DUMMYFUNCTION("""COMPUTED_VALUE"""),32)</f>
        <v>32</v>
      </c>
      <c r="C306" s="1">
        <f ca="1">IFERROR(__xludf.DUMMYFUNCTION("""COMPUTED_VALUE"""),6)</f>
        <v>6</v>
      </c>
      <c r="D306" s="1">
        <f ca="1">IFERROR(__xludf.DUMMYFUNCTION("""COMPUTED_VALUE"""),26)</f>
        <v>26</v>
      </c>
      <c r="E306" s="1">
        <f ca="1">IFERROR(__xludf.DUMMYFUNCTION("""COMPUTED_VALUE"""),0.188)</f>
        <v>0.188</v>
      </c>
      <c r="F306" s="1">
        <f ca="1">IFERROR(__xludf.DUMMYFUNCTION("""COMPUTED_VALUE"""),-15.3)</f>
        <v>-15.3</v>
      </c>
      <c r="G306" s="1">
        <f ca="1">IFERROR(__xludf.DUMMYFUNCTION("""COMPUTED_VALUE"""),-4.27)</f>
        <v>-4.2699999999999996</v>
      </c>
      <c r="H306" s="1">
        <f ca="1">IFERROR(__xludf.DUMMYFUNCTION("""COMPUTED_VALUE"""),1)</f>
        <v>1</v>
      </c>
      <c r="I306" s="1">
        <f ca="1">IFERROR(__xludf.DUMMYFUNCTION("""COMPUTED_VALUE"""),16)</f>
        <v>16</v>
      </c>
      <c r="J306" s="1">
        <f ca="1">IFERROR(__xludf.DUMMYFUNCTION("""COMPUTED_VALUE"""),5)</f>
        <v>5</v>
      </c>
      <c r="K306" s="1">
        <f ca="1">IFERROR(__xludf.DUMMYFUNCTION("""COMPUTED_VALUE"""),9)</f>
        <v>9</v>
      </c>
      <c r="L306" s="1">
        <f ca="1">IFERROR(__xludf.DUMMYFUNCTION("""COMPUTED_VALUE"""),1)</f>
        <v>1</v>
      </c>
      <c r="M306" s="1">
        <f ca="1">IFERROR(__xludf.DUMMYFUNCTION("""COMPUTED_VALUE"""),15)</f>
        <v>15</v>
      </c>
      <c r="N306" s="1">
        <f ca="1">IFERROR(__xludf.DUMMYFUNCTION("""COMPUTED_VALUE"""),2169)</f>
        <v>2169</v>
      </c>
      <c r="O306" s="1">
        <f ca="1">IFERROR(__xludf.DUMMYFUNCTION("""COMPUTED_VALUE"""),2395)</f>
        <v>2395</v>
      </c>
      <c r="P306" s="1">
        <f ca="1">IFERROR(__xludf.DUMMYFUNCTION("""COMPUTED_VALUE"""),1290)</f>
        <v>1290</v>
      </c>
      <c r="Q306" s="1">
        <f ca="1">IFERROR(__xludf.DUMMYFUNCTION("""COMPUTED_VALUE"""),775)</f>
        <v>775</v>
      </c>
      <c r="R306" s="1">
        <f ca="1">IFERROR(__xludf.DUMMYFUNCTION("""COMPUTED_VALUE"""),1872)</f>
        <v>1872</v>
      </c>
      <c r="S306" s="1">
        <f ca="1">IFERROR(__xludf.DUMMYFUNCTION("""COMPUTED_VALUE"""),0.414)</f>
        <v>0.41399999999999998</v>
      </c>
      <c r="T306" s="1">
        <f ca="1">IFERROR(__xludf.DUMMYFUNCTION("""COMPUTED_VALUE"""),269)</f>
        <v>269</v>
      </c>
      <c r="U306" s="1">
        <f ca="1">IFERROR(__xludf.DUMMYFUNCTION("""COMPUTED_VALUE"""),817)</f>
        <v>817</v>
      </c>
      <c r="V306" s="1">
        <f ca="1">IFERROR(__xludf.DUMMYFUNCTION("""COMPUTED_VALUE"""),0.329)</f>
        <v>0.32900000000000001</v>
      </c>
      <c r="W306" s="1">
        <f ca="1">IFERROR(__xludf.DUMMYFUNCTION("""COMPUTED_VALUE"""),350)</f>
        <v>350</v>
      </c>
      <c r="X306" s="1">
        <f ca="1">IFERROR(__xludf.DUMMYFUNCTION("""COMPUTED_VALUE"""),492)</f>
        <v>492</v>
      </c>
      <c r="Y306" s="1">
        <f ca="1">IFERROR(__xludf.DUMMYFUNCTION("""COMPUTED_VALUE"""),0.711)</f>
        <v>0.71099999999999997</v>
      </c>
      <c r="Z306" s="1">
        <f ca="1">IFERROR(__xludf.DUMMYFUNCTION("""COMPUTED_VALUE"""),305)</f>
        <v>305</v>
      </c>
      <c r="AA306" s="1">
        <f ca="1">IFERROR(__xludf.DUMMYFUNCTION("""COMPUTED_VALUE"""),1051)</f>
        <v>1051</v>
      </c>
      <c r="AB306" s="1">
        <f ca="1">IFERROR(__xludf.DUMMYFUNCTION("""COMPUTED_VALUE"""),434)</f>
        <v>434</v>
      </c>
      <c r="AC306" s="1">
        <f ca="1">IFERROR(__xludf.DUMMYFUNCTION("""COMPUTED_VALUE"""),207)</f>
        <v>207</v>
      </c>
      <c r="AD306" s="1">
        <f ca="1">IFERROR(__xludf.DUMMYFUNCTION("""COMPUTED_VALUE"""),94)</f>
        <v>94</v>
      </c>
      <c r="AE306" s="1">
        <f ca="1">IFERROR(__xludf.DUMMYFUNCTION("""COMPUTED_VALUE"""),440)</f>
        <v>440</v>
      </c>
      <c r="AF306" s="1">
        <f ca="1">IFERROR(__xludf.DUMMYFUNCTION("""COMPUTED_VALUE"""),621)</f>
        <v>621</v>
      </c>
    </row>
    <row r="307" spans="1:32" ht="12.5" x14ac:dyDescent="0.25">
      <c r="A307" s="1" t="str">
        <f ca="1">IFERROR(__xludf.DUMMYFUNCTION("""COMPUTED_VALUE"""),"South Carolina")</f>
        <v>South Carolina</v>
      </c>
      <c r="B307" s="1">
        <f ca="1">IFERROR(__xludf.DUMMYFUNCTION("""COMPUTED_VALUE"""),32)</f>
        <v>32</v>
      </c>
      <c r="C307" s="1">
        <f ca="1">IFERROR(__xludf.DUMMYFUNCTION("""COMPUTED_VALUE"""),16)</f>
        <v>16</v>
      </c>
      <c r="D307" s="1">
        <f ca="1">IFERROR(__xludf.DUMMYFUNCTION("""COMPUTED_VALUE"""),16)</f>
        <v>16</v>
      </c>
      <c r="E307" s="1">
        <f ca="1">IFERROR(__xludf.DUMMYFUNCTION("""COMPUTED_VALUE"""),0.5)</f>
        <v>0.5</v>
      </c>
      <c r="F307" s="1">
        <f ca="1">IFERROR(__xludf.DUMMYFUNCTION("""COMPUTED_VALUE"""),8.34)</f>
        <v>8.34</v>
      </c>
      <c r="G307" s="1">
        <f ca="1">IFERROR(__xludf.DUMMYFUNCTION("""COMPUTED_VALUE"""),9.63)</f>
        <v>9.6300000000000008</v>
      </c>
      <c r="H307" s="1">
        <f ca="1">IFERROR(__xludf.DUMMYFUNCTION("""COMPUTED_VALUE"""),11)</f>
        <v>11</v>
      </c>
      <c r="I307" s="1">
        <f ca="1">IFERROR(__xludf.DUMMYFUNCTION("""COMPUTED_VALUE"""),7)</f>
        <v>7</v>
      </c>
      <c r="J307" s="1">
        <f ca="1">IFERROR(__xludf.DUMMYFUNCTION("""COMPUTED_VALUE"""),11)</f>
        <v>11</v>
      </c>
      <c r="K307" s="1">
        <f ca="1">IFERROR(__xludf.DUMMYFUNCTION("""COMPUTED_VALUE"""),6)</f>
        <v>6</v>
      </c>
      <c r="L307" s="1">
        <f ca="1">IFERROR(__xludf.DUMMYFUNCTION("""COMPUTED_VALUE"""),4)</f>
        <v>4</v>
      </c>
      <c r="M307" s="1">
        <f ca="1">IFERROR(__xludf.DUMMYFUNCTION("""COMPUTED_VALUE"""),8)</f>
        <v>8</v>
      </c>
      <c r="N307" s="1">
        <f ca="1">IFERROR(__xludf.DUMMYFUNCTION("""COMPUTED_VALUE"""),2327)</f>
        <v>2327</v>
      </c>
      <c r="O307" s="1">
        <f ca="1">IFERROR(__xludf.DUMMYFUNCTION("""COMPUTED_VALUE"""),2316)</f>
        <v>2316</v>
      </c>
      <c r="P307" s="1">
        <f ca="1">IFERROR(__xludf.DUMMYFUNCTION("""COMPUTED_VALUE"""),1285)</f>
        <v>1285</v>
      </c>
      <c r="Q307" s="1">
        <f ca="1">IFERROR(__xludf.DUMMYFUNCTION("""COMPUTED_VALUE"""),806)</f>
        <v>806</v>
      </c>
      <c r="R307" s="1">
        <f ca="1">IFERROR(__xludf.DUMMYFUNCTION("""COMPUTED_VALUE"""),1907)</f>
        <v>1907</v>
      </c>
      <c r="S307" s="1">
        <f ca="1">IFERROR(__xludf.DUMMYFUNCTION("""COMPUTED_VALUE"""),0.423)</f>
        <v>0.42299999999999999</v>
      </c>
      <c r="T307" s="1">
        <f ca="1">IFERROR(__xludf.DUMMYFUNCTION("""COMPUTED_VALUE"""),242)</f>
        <v>242</v>
      </c>
      <c r="U307" s="1">
        <f ca="1">IFERROR(__xludf.DUMMYFUNCTION("""COMPUTED_VALUE"""),662)</f>
        <v>662</v>
      </c>
      <c r="V307" s="1">
        <f ca="1">IFERROR(__xludf.DUMMYFUNCTION("""COMPUTED_VALUE"""),0.366)</f>
        <v>0.36599999999999999</v>
      </c>
      <c r="W307" s="1">
        <f ca="1">IFERROR(__xludf.DUMMYFUNCTION("""COMPUTED_VALUE"""),473)</f>
        <v>473</v>
      </c>
      <c r="X307" s="1">
        <f ca="1">IFERROR(__xludf.DUMMYFUNCTION("""COMPUTED_VALUE"""),694)</f>
        <v>694</v>
      </c>
      <c r="Y307" s="1">
        <f ca="1">IFERROR(__xludf.DUMMYFUNCTION("""COMPUTED_VALUE"""),0.682)</f>
        <v>0.68200000000000005</v>
      </c>
      <c r="Z307" s="1">
        <f ca="1">IFERROR(__xludf.DUMMYFUNCTION("""COMPUTED_VALUE"""),383)</f>
        <v>383</v>
      </c>
      <c r="AA307" s="1">
        <f ca="1">IFERROR(__xludf.DUMMYFUNCTION("""COMPUTED_VALUE"""),1160)</f>
        <v>1160</v>
      </c>
      <c r="AB307" s="1">
        <f ca="1">IFERROR(__xludf.DUMMYFUNCTION("""COMPUTED_VALUE"""),413)</f>
        <v>413</v>
      </c>
      <c r="AC307" s="1">
        <f ca="1">IFERROR(__xludf.DUMMYFUNCTION("""COMPUTED_VALUE"""),202)</f>
        <v>202</v>
      </c>
      <c r="AD307" s="1">
        <f ca="1">IFERROR(__xludf.DUMMYFUNCTION("""COMPUTED_VALUE"""),140)</f>
        <v>140</v>
      </c>
      <c r="AE307" s="1">
        <f ca="1">IFERROR(__xludf.DUMMYFUNCTION("""COMPUTED_VALUE"""),433)</f>
        <v>433</v>
      </c>
      <c r="AF307" s="1">
        <f ca="1">IFERROR(__xludf.DUMMYFUNCTION("""COMPUTED_VALUE"""),623)</f>
        <v>623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 Dakota State")</f>
        <v>South Dakota State</v>
      </c>
      <c r="B310" s="1">
        <f ca="1">IFERROR(__xludf.DUMMYFUNCTION("""COMPUTED_VALUE"""),33)</f>
        <v>33</v>
      </c>
      <c r="C310" s="1">
        <f ca="1">IFERROR(__xludf.DUMMYFUNCTION("""COMPUTED_VALUE"""),24)</f>
        <v>24</v>
      </c>
      <c r="D310" s="1">
        <f ca="1">IFERROR(__xludf.DUMMYFUNCTION("""COMPUTED_VALUE"""),9)</f>
        <v>9</v>
      </c>
      <c r="E310" s="1">
        <f ca="1">IFERROR(__xludf.DUMMYFUNCTION("""COMPUTED_VALUE"""),0.727)</f>
        <v>0.72699999999999998</v>
      </c>
      <c r="F310" s="1">
        <f ca="1">IFERROR(__xludf.DUMMYFUNCTION("""COMPUTED_VALUE"""),5.92)</f>
        <v>5.92</v>
      </c>
      <c r="G310" s="1">
        <f ca="1">IFERROR(__xludf.DUMMYFUNCTION("""COMPUTED_VALUE"""),-4.74)</f>
        <v>-4.74</v>
      </c>
      <c r="H310" s="1">
        <f ca="1">IFERROR(__xludf.DUMMYFUNCTION("""COMPUTED_VALUE"""),14)</f>
        <v>14</v>
      </c>
      <c r="I310" s="1">
        <f ca="1">IFERROR(__xludf.DUMMYFUNCTION("""COMPUTED_VALUE"""),2)</f>
        <v>2</v>
      </c>
      <c r="J310" s="1">
        <f ca="1">IFERROR(__xludf.DUMMYFUNCTION("""COMPUTED_VALUE"""),14)</f>
        <v>14</v>
      </c>
      <c r="K310" s="1">
        <f ca="1">IFERROR(__xludf.DUMMYFUNCTION("""COMPUTED_VALUE"""),1)</f>
        <v>1</v>
      </c>
      <c r="L310" s="1">
        <f ca="1">IFERROR(__xludf.DUMMYFUNCTION("""COMPUTED_VALUE"""),7)</f>
        <v>7</v>
      </c>
      <c r="M310" s="1">
        <f ca="1">IFERROR(__xludf.DUMMYFUNCTION("""COMPUTED_VALUE"""),6)</f>
        <v>6</v>
      </c>
      <c r="N310" s="1">
        <f ca="1">IFERROR(__xludf.DUMMYFUNCTION("""COMPUTED_VALUE"""),2789)</f>
        <v>2789</v>
      </c>
      <c r="O310" s="1">
        <f ca="1">IFERROR(__xludf.DUMMYFUNCTION("""COMPUTED_VALUE"""),2425)</f>
        <v>2425</v>
      </c>
      <c r="P310" s="1">
        <f ca="1">IFERROR(__xludf.DUMMYFUNCTION("""COMPUTED_VALUE"""),1320)</f>
        <v>1320</v>
      </c>
      <c r="Q310" s="1">
        <f ca="1">IFERROR(__xludf.DUMMYFUNCTION("""COMPUTED_VALUE"""),984)</f>
        <v>984</v>
      </c>
      <c r="R310" s="1">
        <f ca="1">IFERROR(__xludf.DUMMYFUNCTION("""COMPUTED_VALUE"""),1965)</f>
        <v>1965</v>
      </c>
      <c r="S310" s="1">
        <f ca="1">IFERROR(__xludf.DUMMYFUNCTION("""COMPUTED_VALUE"""),0.501)</f>
        <v>0.501</v>
      </c>
      <c r="T310" s="1">
        <f ca="1">IFERROR(__xludf.DUMMYFUNCTION("""COMPUTED_VALUE"""),327)</f>
        <v>327</v>
      </c>
      <c r="U310" s="1">
        <f ca="1">IFERROR(__xludf.DUMMYFUNCTION("""COMPUTED_VALUE"""),802)</f>
        <v>802</v>
      </c>
      <c r="V310" s="1">
        <f ca="1">IFERROR(__xludf.DUMMYFUNCTION("""COMPUTED_VALUE"""),0.408)</f>
        <v>0.40799999999999997</v>
      </c>
      <c r="W310" s="1">
        <f ca="1">IFERROR(__xludf.DUMMYFUNCTION("""COMPUTED_VALUE"""),494)</f>
        <v>494</v>
      </c>
      <c r="X310" s="1">
        <f ca="1">IFERROR(__xludf.DUMMYFUNCTION("""COMPUTED_VALUE"""),635)</f>
        <v>635</v>
      </c>
      <c r="Y310" s="1">
        <f ca="1">IFERROR(__xludf.DUMMYFUNCTION("""COMPUTED_VALUE"""),0.778)</f>
        <v>0.77800000000000002</v>
      </c>
      <c r="Z310" s="1">
        <f ca="1">IFERROR(__xludf.DUMMYFUNCTION("""COMPUTED_VALUE"""),251)</f>
        <v>251</v>
      </c>
      <c r="AA310" s="1">
        <f ca="1">IFERROR(__xludf.DUMMYFUNCTION("""COMPUTED_VALUE"""),1259)</f>
        <v>1259</v>
      </c>
      <c r="AB310" s="1">
        <f ca="1">IFERROR(__xludf.DUMMYFUNCTION("""COMPUTED_VALUE"""),489)</f>
        <v>489</v>
      </c>
      <c r="AC310" s="1">
        <f ca="1">IFERROR(__xludf.DUMMYFUNCTION("""COMPUTED_VALUE"""),202)</f>
        <v>202</v>
      </c>
      <c r="AD310" s="1">
        <f ca="1">IFERROR(__xludf.DUMMYFUNCTION("""COMPUTED_VALUE"""),65)</f>
        <v>65</v>
      </c>
      <c r="AE310" s="1">
        <f ca="1">IFERROR(__xludf.DUMMYFUNCTION("""COMPUTED_VALUE"""),388)</f>
        <v>388</v>
      </c>
      <c r="AF310" s="1">
        <f ca="1">IFERROR(__xludf.DUMMYFUNCTION("""COMPUTED_VALUE"""),557)</f>
        <v>557</v>
      </c>
    </row>
    <row r="311" spans="1:32" ht="12.5" x14ac:dyDescent="0.25">
      <c r="A311" s="1" t="str">
        <f ca="1">IFERROR(__xludf.DUMMYFUNCTION("""COMPUTED_VALUE"""),"South Dakota")</f>
        <v>South Dakota</v>
      </c>
      <c r="B311" s="1">
        <f ca="1">IFERROR(__xludf.DUMMYFUNCTION("""COMPUTED_VALUE"""),30)</f>
        <v>30</v>
      </c>
      <c r="C311" s="1">
        <f ca="1">IFERROR(__xludf.DUMMYFUNCTION("""COMPUTED_VALUE"""),13)</f>
        <v>13</v>
      </c>
      <c r="D311" s="1">
        <f ca="1">IFERROR(__xludf.DUMMYFUNCTION("""COMPUTED_VALUE"""),17)</f>
        <v>17</v>
      </c>
      <c r="E311" s="1">
        <f ca="1">IFERROR(__xludf.DUMMYFUNCTION("""COMPUTED_VALUE"""),0.433)</f>
        <v>0.433</v>
      </c>
      <c r="F311" s="1">
        <f ca="1">IFERROR(__xludf.DUMMYFUNCTION("""COMPUTED_VALUE"""),-5.52)</f>
        <v>-5.52</v>
      </c>
      <c r="G311" s="1">
        <f ca="1">IFERROR(__xludf.DUMMYFUNCTION("""COMPUTED_VALUE"""),-3.06)</f>
        <v>-3.06</v>
      </c>
      <c r="H311" s="1">
        <f ca="1">IFERROR(__xludf.DUMMYFUNCTION("""COMPUTED_VALUE"""),7)</f>
        <v>7</v>
      </c>
      <c r="I311" s="1">
        <f ca="1">IFERROR(__xludf.DUMMYFUNCTION("""COMPUTED_VALUE"""),9)</f>
        <v>9</v>
      </c>
      <c r="J311" s="1">
        <f ca="1">IFERROR(__xludf.DUMMYFUNCTION("""COMPUTED_VALUE"""),8)</f>
        <v>8</v>
      </c>
      <c r="K311" s="1">
        <f ca="1">IFERROR(__xludf.DUMMYFUNCTION("""COMPUTED_VALUE"""),6)</f>
        <v>6</v>
      </c>
      <c r="L311" s="1">
        <f ca="1">IFERROR(__xludf.DUMMYFUNCTION("""COMPUTED_VALUE"""),4)</f>
        <v>4</v>
      </c>
      <c r="M311" s="1">
        <f ca="1">IFERROR(__xludf.DUMMYFUNCTION("""COMPUTED_VALUE"""),8)</f>
        <v>8</v>
      </c>
      <c r="N311" s="1">
        <f ca="1">IFERROR(__xludf.DUMMYFUNCTION("""COMPUTED_VALUE"""),2118)</f>
        <v>2118</v>
      </c>
      <c r="O311" s="1">
        <f ca="1">IFERROR(__xludf.DUMMYFUNCTION("""COMPUTED_VALUE"""),2136)</f>
        <v>2136</v>
      </c>
      <c r="P311" s="1">
        <f ca="1">IFERROR(__xludf.DUMMYFUNCTION("""COMPUTED_VALUE"""),1205)</f>
        <v>1205</v>
      </c>
      <c r="Q311" s="1">
        <f ca="1">IFERROR(__xludf.DUMMYFUNCTION("""COMPUTED_VALUE"""),729)</f>
        <v>729</v>
      </c>
      <c r="R311" s="1">
        <f ca="1">IFERROR(__xludf.DUMMYFUNCTION("""COMPUTED_VALUE"""),1664)</f>
        <v>1664</v>
      </c>
      <c r="S311" s="1">
        <f ca="1">IFERROR(__xludf.DUMMYFUNCTION("""COMPUTED_VALUE"""),0.438)</f>
        <v>0.438</v>
      </c>
      <c r="T311" s="1">
        <f ca="1">IFERROR(__xludf.DUMMYFUNCTION("""COMPUTED_VALUE"""),227)</f>
        <v>227</v>
      </c>
      <c r="U311" s="1">
        <f ca="1">IFERROR(__xludf.DUMMYFUNCTION("""COMPUTED_VALUE"""),666)</f>
        <v>666</v>
      </c>
      <c r="V311" s="1">
        <f ca="1">IFERROR(__xludf.DUMMYFUNCTION("""COMPUTED_VALUE"""),0.341)</f>
        <v>0.34100000000000003</v>
      </c>
      <c r="W311" s="1">
        <f ca="1">IFERROR(__xludf.DUMMYFUNCTION("""COMPUTED_VALUE"""),433)</f>
        <v>433</v>
      </c>
      <c r="X311" s="1">
        <f ca="1">IFERROR(__xludf.DUMMYFUNCTION("""COMPUTED_VALUE"""),585)</f>
        <v>585</v>
      </c>
      <c r="Y311" s="1">
        <f ca="1">IFERROR(__xludf.DUMMYFUNCTION("""COMPUTED_VALUE"""),0.74)</f>
        <v>0.74</v>
      </c>
      <c r="Z311" s="1">
        <f ca="1">IFERROR(__xludf.DUMMYFUNCTION("""COMPUTED_VALUE"""),219)</f>
        <v>219</v>
      </c>
      <c r="AA311" s="1">
        <f ca="1">IFERROR(__xludf.DUMMYFUNCTION("""COMPUTED_VALUE"""),942)</f>
        <v>942</v>
      </c>
      <c r="AB311" s="1">
        <f ca="1">IFERROR(__xludf.DUMMYFUNCTION("""COMPUTED_VALUE"""),382)</f>
        <v>382</v>
      </c>
      <c r="AC311" s="1">
        <f ca="1">IFERROR(__xludf.DUMMYFUNCTION("""COMPUTED_VALUE"""),165)</f>
        <v>165</v>
      </c>
      <c r="AD311" s="1">
        <f ca="1">IFERROR(__xludf.DUMMYFUNCTION("""COMPUTED_VALUE"""),68)</f>
        <v>68</v>
      </c>
      <c r="AE311" s="1">
        <f ca="1">IFERROR(__xludf.DUMMYFUNCTION("""COMPUTED_VALUE"""),324)</f>
        <v>324</v>
      </c>
      <c r="AF311" s="1">
        <f ca="1">IFERROR(__xludf.DUMMYFUNCTION("""COMPUTED_VALUE"""),527)</f>
        <v>527</v>
      </c>
    </row>
    <row r="312" spans="1:32" ht="12.5" x14ac:dyDescent="0.25">
      <c r="A312" s="1" t="str">
        <f ca="1">IFERROR(__xludf.DUMMYFUNCTION("""COMPUTED_VALUE"""),"South Florida")</f>
        <v>South Florida</v>
      </c>
      <c r="B312" s="1">
        <f ca="1">IFERROR(__xludf.DUMMYFUNCTION("""COMPUTED_VALUE"""),38)</f>
        <v>38</v>
      </c>
      <c r="C312" s="1">
        <f ca="1">IFERROR(__xludf.DUMMYFUNCTION("""COMPUTED_VALUE"""),24)</f>
        <v>24</v>
      </c>
      <c r="D312" s="1">
        <f ca="1">IFERROR(__xludf.DUMMYFUNCTION("""COMPUTED_VALUE"""),14)</f>
        <v>14</v>
      </c>
      <c r="E312" s="1">
        <f ca="1">IFERROR(__xludf.DUMMYFUNCTION("""COMPUTED_VALUE"""),0.632)</f>
        <v>0.63200000000000001</v>
      </c>
      <c r="F312" s="1">
        <f ca="1">IFERROR(__xludf.DUMMYFUNCTION("""COMPUTED_VALUE"""),5.96)</f>
        <v>5.96</v>
      </c>
      <c r="G312" s="1">
        <f ca="1">IFERROR(__xludf.DUMMYFUNCTION("""COMPUTED_VALUE"""),1.69)</f>
        <v>1.69</v>
      </c>
      <c r="H312" s="1">
        <f ca="1">IFERROR(__xludf.DUMMYFUNCTION("""COMPUTED_VALUE"""),8)</f>
        <v>8</v>
      </c>
      <c r="I312" s="1">
        <f ca="1">IFERROR(__xludf.DUMMYFUNCTION("""COMPUTED_VALUE"""),10)</f>
        <v>10</v>
      </c>
      <c r="J312" s="1">
        <f ca="1">IFERROR(__xludf.DUMMYFUNCTION("""COMPUTED_VALUE"""),18)</f>
        <v>18</v>
      </c>
      <c r="K312" s="1">
        <f ca="1">IFERROR(__xludf.DUMMYFUNCTION("""COMPUTED_VALUE"""),5)</f>
        <v>5</v>
      </c>
      <c r="L312" s="1">
        <f ca="1">IFERROR(__xludf.DUMMYFUNCTION("""COMPUTED_VALUE"""),5)</f>
        <v>5</v>
      </c>
      <c r="M312" s="1">
        <f ca="1">IFERROR(__xludf.DUMMYFUNCTION("""COMPUTED_VALUE"""),7)</f>
        <v>7</v>
      </c>
      <c r="N312" s="1">
        <f ca="1">IFERROR(__xludf.DUMMYFUNCTION("""COMPUTED_VALUE"""),2752)</f>
        <v>2752</v>
      </c>
      <c r="O312" s="1">
        <f ca="1">IFERROR(__xludf.DUMMYFUNCTION("""COMPUTED_VALUE"""),2553)</f>
        <v>2553</v>
      </c>
      <c r="P312" s="1">
        <f ca="1">IFERROR(__xludf.DUMMYFUNCTION("""COMPUTED_VALUE"""),1555)</f>
        <v>1555</v>
      </c>
      <c r="Q312" s="1">
        <f ca="1">IFERROR(__xludf.DUMMYFUNCTION("""COMPUTED_VALUE"""),911)</f>
        <v>911</v>
      </c>
      <c r="R312" s="1">
        <f ca="1">IFERROR(__xludf.DUMMYFUNCTION("""COMPUTED_VALUE"""),2120)</f>
        <v>2120</v>
      </c>
      <c r="S312" s="1">
        <f ca="1">IFERROR(__xludf.DUMMYFUNCTION("""COMPUTED_VALUE"""),0.43)</f>
        <v>0.43</v>
      </c>
      <c r="T312" s="1">
        <f ca="1">IFERROR(__xludf.DUMMYFUNCTION("""COMPUTED_VALUE"""),272)</f>
        <v>272</v>
      </c>
      <c r="U312" s="1">
        <f ca="1">IFERROR(__xludf.DUMMYFUNCTION("""COMPUTED_VALUE"""),819)</f>
        <v>819</v>
      </c>
      <c r="V312" s="1">
        <f ca="1">IFERROR(__xludf.DUMMYFUNCTION("""COMPUTED_VALUE"""),0.332)</f>
        <v>0.33200000000000002</v>
      </c>
      <c r="W312" s="1">
        <f ca="1">IFERROR(__xludf.DUMMYFUNCTION("""COMPUTED_VALUE"""),658)</f>
        <v>658</v>
      </c>
      <c r="X312" s="1">
        <f ca="1">IFERROR(__xludf.DUMMYFUNCTION("""COMPUTED_VALUE"""),1018)</f>
        <v>1018</v>
      </c>
      <c r="Y312" s="1">
        <f ca="1">IFERROR(__xludf.DUMMYFUNCTION("""COMPUTED_VALUE"""),0.646)</f>
        <v>0.64600000000000002</v>
      </c>
      <c r="Z312" s="1">
        <f ca="1">IFERROR(__xludf.DUMMYFUNCTION("""COMPUTED_VALUE"""),496)</f>
        <v>496</v>
      </c>
      <c r="AA312" s="1">
        <f ca="1">IFERROR(__xludf.DUMMYFUNCTION("""COMPUTED_VALUE"""),1483)</f>
        <v>1483</v>
      </c>
      <c r="AB312" s="1">
        <f ca="1">IFERROR(__xludf.DUMMYFUNCTION("""COMPUTED_VALUE"""),521)</f>
        <v>521</v>
      </c>
      <c r="AC312" s="1">
        <f ca="1">IFERROR(__xludf.DUMMYFUNCTION("""COMPUTED_VALUE"""),306)</f>
        <v>306</v>
      </c>
      <c r="AD312" s="1">
        <f ca="1">IFERROR(__xludf.DUMMYFUNCTION("""COMPUTED_VALUE"""),124)</f>
        <v>124</v>
      </c>
      <c r="AE312" s="1">
        <f ca="1">IFERROR(__xludf.DUMMYFUNCTION("""COMPUTED_VALUE"""),604)</f>
        <v>604</v>
      </c>
      <c r="AF312" s="1">
        <f ca="1">IFERROR(__xludf.DUMMYFUNCTION("""COMPUTED_VALUE"""),790)</f>
        <v>790</v>
      </c>
    </row>
    <row r="313" spans="1:32" ht="12.5" x14ac:dyDescent="0.25">
      <c r="A313" s="1" t="str">
        <f ca="1">IFERROR(__xludf.DUMMYFUNCTION("""COMPUTED_VALUE"""),"Southeast Missouri State")</f>
        <v>Southeast Missouri State</v>
      </c>
      <c r="B313" s="1">
        <f ca="1">IFERROR(__xludf.DUMMYFUNCTION("""COMPUTED_VALUE"""),31)</f>
        <v>31</v>
      </c>
      <c r="C313" s="1">
        <f ca="1">IFERROR(__xludf.DUMMYFUNCTION("""COMPUTED_VALUE"""),10)</f>
        <v>10</v>
      </c>
      <c r="D313" s="1">
        <f ca="1">IFERROR(__xludf.DUMMYFUNCTION("""COMPUTED_VALUE"""),21)</f>
        <v>21</v>
      </c>
      <c r="E313" s="1">
        <f ca="1">IFERROR(__xludf.DUMMYFUNCTION("""COMPUTED_VALUE"""),0.323)</f>
        <v>0.32300000000000001</v>
      </c>
      <c r="F313" s="1">
        <f ca="1">IFERROR(__xludf.DUMMYFUNCTION("""COMPUTED_VALUE"""),-11.32)</f>
        <v>-11.32</v>
      </c>
      <c r="G313" s="1">
        <f ca="1">IFERROR(__xludf.DUMMYFUNCTION("""COMPUTED_VALUE"""),-4.39)</f>
        <v>-4.3899999999999997</v>
      </c>
      <c r="H313" s="1">
        <f ca="1">IFERROR(__xludf.DUMMYFUNCTION("""COMPUTED_VALUE"""),5)</f>
        <v>5</v>
      </c>
      <c r="I313" s="1">
        <f ca="1">IFERROR(__xludf.DUMMYFUNCTION("""COMPUTED_VALUE"""),13)</f>
        <v>13</v>
      </c>
      <c r="J313" s="1">
        <f ca="1">IFERROR(__xludf.DUMMYFUNCTION("""COMPUTED_VALUE"""),6)</f>
        <v>6</v>
      </c>
      <c r="K313" s="1">
        <f ca="1">IFERROR(__xludf.DUMMYFUNCTION("""COMPUTED_VALUE"""),8)</f>
        <v>8</v>
      </c>
      <c r="L313" s="1">
        <f ca="1">IFERROR(__xludf.DUMMYFUNCTION("""COMPUTED_VALUE"""),2)</f>
        <v>2</v>
      </c>
      <c r="M313" s="1">
        <f ca="1">IFERROR(__xludf.DUMMYFUNCTION("""COMPUTED_VALUE"""),13)</f>
        <v>13</v>
      </c>
      <c r="N313" s="1">
        <f ca="1">IFERROR(__xludf.DUMMYFUNCTION("""COMPUTED_VALUE"""),2216)</f>
        <v>2216</v>
      </c>
      <c r="O313" s="1">
        <f ca="1">IFERROR(__xludf.DUMMYFUNCTION("""COMPUTED_VALUE"""),2378)</f>
        <v>2378</v>
      </c>
      <c r="P313" s="1">
        <f ca="1">IFERROR(__xludf.DUMMYFUNCTION("""COMPUTED_VALUE"""),1265)</f>
        <v>1265</v>
      </c>
      <c r="Q313" s="1">
        <f ca="1">IFERROR(__xludf.DUMMYFUNCTION("""COMPUTED_VALUE"""),796)</f>
        <v>796</v>
      </c>
      <c r="R313" s="1">
        <f ca="1">IFERROR(__xludf.DUMMYFUNCTION("""COMPUTED_VALUE"""),1809)</f>
        <v>1809</v>
      </c>
      <c r="S313" s="1">
        <f ca="1">IFERROR(__xludf.DUMMYFUNCTION("""COMPUTED_VALUE"""),0.44)</f>
        <v>0.44</v>
      </c>
      <c r="T313" s="1">
        <f ca="1">IFERROR(__xludf.DUMMYFUNCTION("""COMPUTED_VALUE"""),266)</f>
        <v>266</v>
      </c>
      <c r="U313" s="1">
        <f ca="1">IFERROR(__xludf.DUMMYFUNCTION("""COMPUTED_VALUE"""),719)</f>
        <v>719</v>
      </c>
      <c r="V313" s="1">
        <f ca="1">IFERROR(__xludf.DUMMYFUNCTION("""COMPUTED_VALUE"""),0.37)</f>
        <v>0.37</v>
      </c>
      <c r="W313" s="1">
        <f ca="1">IFERROR(__xludf.DUMMYFUNCTION("""COMPUTED_VALUE"""),358)</f>
        <v>358</v>
      </c>
      <c r="X313" s="1">
        <f ca="1">IFERROR(__xludf.DUMMYFUNCTION("""COMPUTED_VALUE"""),519)</f>
        <v>519</v>
      </c>
      <c r="Y313" s="1">
        <f ca="1">IFERROR(__xludf.DUMMYFUNCTION("""COMPUTED_VALUE"""),0.69)</f>
        <v>0.69</v>
      </c>
      <c r="Z313" s="1">
        <f ca="1">IFERROR(__xludf.DUMMYFUNCTION("""COMPUTED_VALUE"""),284)</f>
        <v>284</v>
      </c>
      <c r="AA313" s="1">
        <f ca="1">IFERROR(__xludf.DUMMYFUNCTION("""COMPUTED_VALUE"""),1081)</f>
        <v>1081</v>
      </c>
      <c r="AB313" s="1">
        <f ca="1">IFERROR(__xludf.DUMMYFUNCTION("""COMPUTED_VALUE"""),402)</f>
        <v>402</v>
      </c>
      <c r="AC313" s="1">
        <f ca="1">IFERROR(__xludf.DUMMYFUNCTION("""COMPUTED_VALUE"""),182)</f>
        <v>182</v>
      </c>
      <c r="AD313" s="1">
        <f ca="1">IFERROR(__xludf.DUMMYFUNCTION("""COMPUTED_VALUE"""),75)</f>
        <v>75</v>
      </c>
      <c r="AE313" s="1">
        <f ca="1">IFERROR(__xludf.DUMMYFUNCTION("""COMPUTED_VALUE"""),447)</f>
        <v>447</v>
      </c>
      <c r="AF313" s="1">
        <f ca="1">IFERROR(__xludf.DUMMYFUNCTION("""COMPUTED_VALUE"""),615)</f>
        <v>615</v>
      </c>
    </row>
    <row r="314" spans="1:32" ht="12.5" x14ac:dyDescent="0.25">
      <c r="A314" s="1" t="str">
        <f ca="1">IFERROR(__xludf.DUMMYFUNCTION("""COMPUTED_VALUE"""),"Southeastern Louisiana")</f>
        <v>Southeastern Louisiana</v>
      </c>
      <c r="B314" s="1">
        <f ca="1">IFERROR(__xludf.DUMMYFUNCTION("""COMPUTED_VALUE"""),33)</f>
        <v>33</v>
      </c>
      <c r="C314" s="1">
        <f ca="1">IFERROR(__xludf.DUMMYFUNCTION("""COMPUTED_VALUE"""),17)</f>
        <v>17</v>
      </c>
      <c r="D314" s="1">
        <f ca="1">IFERROR(__xludf.DUMMYFUNCTION("""COMPUTED_VALUE"""),16)</f>
        <v>16</v>
      </c>
      <c r="E314" s="1">
        <f ca="1">IFERROR(__xludf.DUMMYFUNCTION("""COMPUTED_VALUE"""),0.515)</f>
        <v>0.51500000000000001</v>
      </c>
      <c r="F314" s="1">
        <f ca="1">IFERROR(__xludf.DUMMYFUNCTION("""COMPUTED_VALUE"""),-7.59)</f>
        <v>-7.59</v>
      </c>
      <c r="G314" s="1">
        <f ca="1">IFERROR(__xludf.DUMMYFUNCTION("""COMPUTED_VALUE"""),-6.3)</f>
        <v>-6.3</v>
      </c>
      <c r="H314" s="1">
        <f ca="1">IFERROR(__xludf.DUMMYFUNCTION("""COMPUTED_VALUE"""),12)</f>
        <v>12</v>
      </c>
      <c r="I314" s="1">
        <f ca="1">IFERROR(__xludf.DUMMYFUNCTION("""COMPUTED_VALUE"""),6)</f>
        <v>6</v>
      </c>
      <c r="J314" s="1">
        <f ca="1">IFERROR(__xludf.DUMMYFUNCTION("""COMPUTED_VALUE"""),9)</f>
        <v>9</v>
      </c>
      <c r="K314" s="1">
        <f ca="1">IFERROR(__xludf.DUMMYFUNCTION("""COMPUTED_VALUE"""),5)</f>
        <v>5</v>
      </c>
      <c r="L314" s="1">
        <f ca="1">IFERROR(__xludf.DUMMYFUNCTION("""COMPUTED_VALUE"""),7)</f>
        <v>7</v>
      </c>
      <c r="M314" s="1">
        <f ca="1">IFERROR(__xludf.DUMMYFUNCTION("""COMPUTED_VALUE"""),9)</f>
        <v>9</v>
      </c>
      <c r="N314" s="1">
        <f ca="1">IFERROR(__xludf.DUMMYFUNCTION("""COMPUTED_VALUE"""),2224)</f>
        <v>2224</v>
      </c>
      <c r="O314" s="1">
        <f ca="1">IFERROR(__xludf.DUMMYFUNCTION("""COMPUTED_VALUE"""),2228)</f>
        <v>2228</v>
      </c>
      <c r="P314" s="1">
        <f ca="1">IFERROR(__xludf.DUMMYFUNCTION("""COMPUTED_VALUE"""),1320)</f>
        <v>1320</v>
      </c>
      <c r="Q314" s="1">
        <f ca="1">IFERROR(__xludf.DUMMYFUNCTION("""COMPUTED_VALUE"""),765)</f>
        <v>765</v>
      </c>
      <c r="R314" s="1">
        <f ca="1">IFERROR(__xludf.DUMMYFUNCTION("""COMPUTED_VALUE"""),1735)</f>
        <v>1735</v>
      </c>
      <c r="S314" s="1">
        <f ca="1">IFERROR(__xludf.DUMMYFUNCTION("""COMPUTED_VALUE"""),0.441)</f>
        <v>0.441</v>
      </c>
      <c r="T314" s="1">
        <f ca="1">IFERROR(__xludf.DUMMYFUNCTION("""COMPUTED_VALUE"""),235)</f>
        <v>235</v>
      </c>
      <c r="U314" s="1">
        <f ca="1">IFERROR(__xludf.DUMMYFUNCTION("""COMPUTED_VALUE"""),696)</f>
        <v>696</v>
      </c>
      <c r="V314" s="1">
        <f ca="1">IFERROR(__xludf.DUMMYFUNCTION("""COMPUTED_VALUE"""),0.338)</f>
        <v>0.33800000000000002</v>
      </c>
      <c r="W314" s="1">
        <f ca="1">IFERROR(__xludf.DUMMYFUNCTION("""COMPUTED_VALUE"""),459)</f>
        <v>459</v>
      </c>
      <c r="X314" s="1">
        <f ca="1">IFERROR(__xludf.DUMMYFUNCTION("""COMPUTED_VALUE"""),640)</f>
        <v>640</v>
      </c>
      <c r="Y314" s="1">
        <f ca="1">IFERROR(__xludf.DUMMYFUNCTION("""COMPUTED_VALUE"""),0.717)</f>
        <v>0.71699999999999997</v>
      </c>
      <c r="Z314" s="1">
        <f ca="1">IFERROR(__xludf.DUMMYFUNCTION("""COMPUTED_VALUE"""),346)</f>
        <v>346</v>
      </c>
      <c r="AA314" s="1">
        <f ca="1">IFERROR(__xludf.DUMMYFUNCTION("""COMPUTED_VALUE"""),1117)</f>
        <v>1117</v>
      </c>
      <c r="AB314" s="1">
        <f ca="1">IFERROR(__xludf.DUMMYFUNCTION("""COMPUTED_VALUE"""),452)</f>
        <v>452</v>
      </c>
      <c r="AC314" s="1">
        <f ca="1">IFERROR(__xludf.DUMMYFUNCTION("""COMPUTED_VALUE"""),215)</f>
        <v>215</v>
      </c>
      <c r="AD314" s="1">
        <f ca="1">IFERROR(__xludf.DUMMYFUNCTION("""COMPUTED_VALUE"""),80)</f>
        <v>80</v>
      </c>
      <c r="AE314" s="1">
        <f ca="1">IFERROR(__xludf.DUMMYFUNCTION("""COMPUTED_VALUE"""),536)</f>
        <v>536</v>
      </c>
      <c r="AF314" s="1">
        <f ca="1">IFERROR(__xludf.DUMMYFUNCTION("""COMPUTED_VALUE"""),602)</f>
        <v>602</v>
      </c>
    </row>
    <row r="315" spans="1:32" ht="12.5" x14ac:dyDescent="0.25">
      <c r="A315" s="1" t="str">
        <f ca="1">IFERROR(__xludf.DUMMYFUNCTION("""COMPUTED_VALUE"""),"Southern California")</f>
        <v>Southern California</v>
      </c>
      <c r="B315" s="1">
        <f ca="1">IFERROR(__xludf.DUMMYFUNCTION("""COMPUTED_VALUE"""),33)</f>
        <v>33</v>
      </c>
      <c r="C315" s="1">
        <f ca="1">IFERROR(__xludf.DUMMYFUNCTION("""COMPUTED_VALUE"""),16)</f>
        <v>16</v>
      </c>
      <c r="D315" s="1">
        <f ca="1">IFERROR(__xludf.DUMMYFUNCTION("""COMPUTED_VALUE"""),17)</f>
        <v>17</v>
      </c>
      <c r="E315" s="1">
        <f ca="1">IFERROR(__xludf.DUMMYFUNCTION("""COMPUTED_VALUE"""),0.485)</f>
        <v>0.48499999999999999</v>
      </c>
      <c r="F315" s="1">
        <f ca="1">IFERROR(__xludf.DUMMYFUNCTION("""COMPUTED_VALUE"""),8.23)</f>
        <v>8.23</v>
      </c>
      <c r="G315" s="1">
        <f ca="1">IFERROR(__xludf.DUMMYFUNCTION("""COMPUTED_VALUE"""),4.96)</f>
        <v>4.96</v>
      </c>
      <c r="H315" s="1">
        <f ca="1">IFERROR(__xludf.DUMMYFUNCTION("""COMPUTED_VALUE"""),8)</f>
        <v>8</v>
      </c>
      <c r="I315" s="1">
        <f ca="1">IFERROR(__xludf.DUMMYFUNCTION("""COMPUTED_VALUE"""),10)</f>
        <v>10</v>
      </c>
      <c r="J315" s="1">
        <f ca="1">IFERROR(__xludf.DUMMYFUNCTION("""COMPUTED_VALUE"""),12)</f>
        <v>12</v>
      </c>
      <c r="K315" s="1">
        <f ca="1">IFERROR(__xludf.DUMMYFUNCTION("""COMPUTED_VALUE"""),5)</f>
        <v>5</v>
      </c>
      <c r="L315" s="1">
        <f ca="1">IFERROR(__xludf.DUMMYFUNCTION("""COMPUTED_VALUE"""),2)</f>
        <v>2</v>
      </c>
      <c r="M315" s="1">
        <f ca="1">IFERROR(__xludf.DUMMYFUNCTION("""COMPUTED_VALUE"""),9)</f>
        <v>9</v>
      </c>
      <c r="N315" s="1">
        <f ca="1">IFERROR(__xludf.DUMMYFUNCTION("""COMPUTED_VALUE"""),2518)</f>
        <v>2518</v>
      </c>
      <c r="O315" s="1">
        <f ca="1">IFERROR(__xludf.DUMMYFUNCTION("""COMPUTED_VALUE"""),2410)</f>
        <v>2410</v>
      </c>
      <c r="P315" s="1">
        <f ca="1">IFERROR(__xludf.DUMMYFUNCTION("""COMPUTED_VALUE"""),1340)</f>
        <v>1340</v>
      </c>
      <c r="Q315" s="1">
        <f ca="1">IFERROR(__xludf.DUMMYFUNCTION("""COMPUTED_VALUE"""),937)</f>
        <v>937</v>
      </c>
      <c r="R315" s="1">
        <f ca="1">IFERROR(__xludf.DUMMYFUNCTION("""COMPUTED_VALUE"""),2039)</f>
        <v>2039</v>
      </c>
      <c r="S315" s="1">
        <f ca="1">IFERROR(__xludf.DUMMYFUNCTION("""COMPUTED_VALUE"""),0.46)</f>
        <v>0.46</v>
      </c>
      <c r="T315" s="1">
        <f ca="1">IFERROR(__xludf.DUMMYFUNCTION("""COMPUTED_VALUE"""),281)</f>
        <v>281</v>
      </c>
      <c r="U315" s="1">
        <f ca="1">IFERROR(__xludf.DUMMYFUNCTION("""COMPUTED_VALUE"""),735)</f>
        <v>735</v>
      </c>
      <c r="V315" s="1">
        <f ca="1">IFERROR(__xludf.DUMMYFUNCTION("""COMPUTED_VALUE"""),0.382)</f>
        <v>0.38200000000000001</v>
      </c>
      <c r="W315" s="1">
        <f ca="1">IFERROR(__xludf.DUMMYFUNCTION("""COMPUTED_VALUE"""),363)</f>
        <v>363</v>
      </c>
      <c r="X315" s="1">
        <f ca="1">IFERROR(__xludf.DUMMYFUNCTION("""COMPUTED_VALUE"""),563)</f>
        <v>563</v>
      </c>
      <c r="Y315" s="1">
        <f ca="1">IFERROR(__xludf.DUMMYFUNCTION("""COMPUTED_VALUE"""),0.645)</f>
        <v>0.64500000000000002</v>
      </c>
      <c r="Z315" s="1">
        <f ca="1">IFERROR(__xludf.DUMMYFUNCTION("""COMPUTED_VALUE"""),324)</f>
        <v>324</v>
      </c>
      <c r="AA315" s="1">
        <f ca="1">IFERROR(__xludf.DUMMYFUNCTION("""COMPUTED_VALUE"""),1188)</f>
        <v>1188</v>
      </c>
      <c r="AB315" s="1">
        <f ca="1">IFERROR(__xludf.DUMMYFUNCTION("""COMPUTED_VALUE"""),536)</f>
        <v>536</v>
      </c>
      <c r="AC315" s="1">
        <f ca="1">IFERROR(__xludf.DUMMYFUNCTION("""COMPUTED_VALUE"""),202)</f>
        <v>202</v>
      </c>
      <c r="AD315" s="1">
        <f ca="1">IFERROR(__xludf.DUMMYFUNCTION("""COMPUTED_VALUE"""),117)</f>
        <v>117</v>
      </c>
      <c r="AE315" s="1">
        <f ca="1">IFERROR(__xludf.DUMMYFUNCTION("""COMPUTED_VALUE"""),392)</f>
        <v>392</v>
      </c>
      <c r="AF315" s="1">
        <f ca="1">IFERROR(__xludf.DUMMYFUNCTION("""COMPUTED_VALUE"""),590)</f>
        <v>590</v>
      </c>
    </row>
    <row r="316" spans="1:32" ht="12.5" x14ac:dyDescent="0.25">
      <c r="A316" s="1" t="str">
        <f ca="1">IFERROR(__xludf.DUMMYFUNCTION("""COMPUTED_VALUE"""),"SIU Edwardsville")</f>
        <v>SIU Edwardsville</v>
      </c>
      <c r="B316" s="1">
        <f ca="1">IFERROR(__xludf.DUMMYFUNCTION("""COMPUTED_VALUE"""),31)</f>
        <v>31</v>
      </c>
      <c r="C316" s="1">
        <f ca="1">IFERROR(__xludf.DUMMYFUNCTION("""COMPUTED_VALUE"""),10)</f>
        <v>10</v>
      </c>
      <c r="D316" s="1">
        <f ca="1">IFERROR(__xludf.DUMMYFUNCTION("""COMPUTED_VALUE"""),21)</f>
        <v>21</v>
      </c>
      <c r="E316" s="1">
        <f ca="1">IFERROR(__xludf.DUMMYFUNCTION("""COMPUTED_VALUE"""),0.323)</f>
        <v>0.32300000000000001</v>
      </c>
      <c r="F316" s="1">
        <f ca="1">IFERROR(__xludf.DUMMYFUNCTION("""COMPUTED_VALUE"""),-14.47)</f>
        <v>-14.47</v>
      </c>
      <c r="G316" s="1">
        <f ca="1">IFERROR(__xludf.DUMMYFUNCTION("""COMPUTED_VALUE"""),-5.06)</f>
        <v>-5.0599999999999996</v>
      </c>
      <c r="H316" s="1">
        <f ca="1">IFERROR(__xludf.DUMMYFUNCTION("""COMPUTED_VALUE"""),6)</f>
        <v>6</v>
      </c>
      <c r="I316" s="1">
        <f ca="1">IFERROR(__xludf.DUMMYFUNCTION("""COMPUTED_VALUE"""),12)</f>
        <v>12</v>
      </c>
      <c r="J316" s="1">
        <f ca="1">IFERROR(__xludf.DUMMYFUNCTION("""COMPUTED_VALUE"""),7)</f>
        <v>7</v>
      </c>
      <c r="K316" s="1">
        <f ca="1">IFERROR(__xludf.DUMMYFUNCTION("""COMPUTED_VALUE"""),8)</f>
        <v>8</v>
      </c>
      <c r="L316" s="1">
        <f ca="1">IFERROR(__xludf.DUMMYFUNCTION("""COMPUTED_VALUE"""),2)</f>
        <v>2</v>
      </c>
      <c r="M316" s="1">
        <f ca="1">IFERROR(__xludf.DUMMYFUNCTION("""COMPUTED_VALUE"""),11)</f>
        <v>11</v>
      </c>
      <c r="N316" s="1">
        <f ca="1">IFERROR(__xludf.DUMMYFUNCTION("""COMPUTED_VALUE"""),2265)</f>
        <v>2265</v>
      </c>
      <c r="O316" s="1">
        <f ca="1">IFERROR(__xludf.DUMMYFUNCTION("""COMPUTED_VALUE"""),2520)</f>
        <v>2520</v>
      </c>
      <c r="P316" s="1">
        <f ca="1">IFERROR(__xludf.DUMMYFUNCTION("""COMPUTED_VALUE"""),1280)</f>
        <v>1280</v>
      </c>
      <c r="Q316" s="1">
        <f ca="1">IFERROR(__xludf.DUMMYFUNCTION("""COMPUTED_VALUE"""),794)</f>
        <v>794</v>
      </c>
      <c r="R316" s="1">
        <f ca="1">IFERROR(__xludf.DUMMYFUNCTION("""COMPUTED_VALUE"""),1898)</f>
        <v>1898</v>
      </c>
      <c r="S316" s="1">
        <f ca="1">IFERROR(__xludf.DUMMYFUNCTION("""COMPUTED_VALUE"""),0.418)</f>
        <v>0.41799999999999998</v>
      </c>
      <c r="T316" s="1">
        <f ca="1">IFERROR(__xludf.DUMMYFUNCTION("""COMPUTED_VALUE"""),201)</f>
        <v>201</v>
      </c>
      <c r="U316" s="1">
        <f ca="1">IFERROR(__xludf.DUMMYFUNCTION("""COMPUTED_VALUE"""),665)</f>
        <v>665</v>
      </c>
      <c r="V316" s="1">
        <f ca="1">IFERROR(__xludf.DUMMYFUNCTION("""COMPUTED_VALUE"""),0.302)</f>
        <v>0.30199999999999999</v>
      </c>
      <c r="W316" s="1">
        <f ca="1">IFERROR(__xludf.DUMMYFUNCTION("""COMPUTED_VALUE"""),476)</f>
        <v>476</v>
      </c>
      <c r="X316" s="1">
        <f ca="1">IFERROR(__xludf.DUMMYFUNCTION("""COMPUTED_VALUE"""),677)</f>
        <v>677</v>
      </c>
      <c r="Y316" s="1">
        <f ca="1">IFERROR(__xludf.DUMMYFUNCTION("""COMPUTED_VALUE"""),0.703)</f>
        <v>0.70299999999999996</v>
      </c>
      <c r="Z316" s="1">
        <f ca="1">IFERROR(__xludf.DUMMYFUNCTION("""COMPUTED_VALUE"""),351)</f>
        <v>351</v>
      </c>
      <c r="AA316" s="1">
        <f ca="1">IFERROR(__xludf.DUMMYFUNCTION("""COMPUTED_VALUE"""),1079)</f>
        <v>1079</v>
      </c>
      <c r="AB316" s="1">
        <f ca="1">IFERROR(__xludf.DUMMYFUNCTION("""COMPUTED_VALUE"""),382)</f>
        <v>382</v>
      </c>
      <c r="AC316" s="1">
        <f ca="1">IFERROR(__xludf.DUMMYFUNCTION("""COMPUTED_VALUE"""),198)</f>
        <v>198</v>
      </c>
      <c r="AD316" s="1">
        <f ca="1">IFERROR(__xludf.DUMMYFUNCTION("""COMPUTED_VALUE"""),70)</f>
        <v>70</v>
      </c>
      <c r="AE316" s="1">
        <f ca="1">IFERROR(__xludf.DUMMYFUNCTION("""COMPUTED_VALUE"""),438)</f>
        <v>438</v>
      </c>
      <c r="AF316" s="1">
        <f ca="1">IFERROR(__xludf.DUMMYFUNCTION("""COMPUTED_VALUE"""),612)</f>
        <v>612</v>
      </c>
    </row>
    <row r="317" spans="1:32" ht="12.5" x14ac:dyDescent="0.25">
      <c r="A317" s="1" t="str">
        <f ca="1">IFERROR(__xludf.DUMMYFUNCTION("""COMPUTED_VALUE"""),"Southern Illinois")</f>
        <v>Southern Illinois</v>
      </c>
      <c r="B317" s="1">
        <f ca="1">IFERROR(__xludf.DUMMYFUNCTION("""COMPUTED_VALUE"""),32)</f>
        <v>32</v>
      </c>
      <c r="C317" s="1">
        <f ca="1">IFERROR(__xludf.DUMMYFUNCTION("""COMPUTED_VALUE"""),17)</f>
        <v>17</v>
      </c>
      <c r="D317" s="1">
        <f ca="1">IFERROR(__xludf.DUMMYFUNCTION("""COMPUTED_VALUE"""),15)</f>
        <v>15</v>
      </c>
      <c r="E317" s="1">
        <f ca="1">IFERROR(__xludf.DUMMYFUNCTION("""COMPUTED_VALUE"""),0.531)</f>
        <v>0.53100000000000003</v>
      </c>
      <c r="F317" s="1">
        <f ca="1">IFERROR(__xludf.DUMMYFUNCTION("""COMPUTED_VALUE"""),1.39)</f>
        <v>1.39</v>
      </c>
      <c r="G317" s="1">
        <f ca="1">IFERROR(__xludf.DUMMYFUNCTION("""COMPUTED_VALUE"""),-0.17)</f>
        <v>-0.17</v>
      </c>
      <c r="H317" s="1">
        <f ca="1">IFERROR(__xludf.DUMMYFUNCTION("""COMPUTED_VALUE"""),10)</f>
        <v>10</v>
      </c>
      <c r="I317" s="1">
        <f ca="1">IFERROR(__xludf.DUMMYFUNCTION("""COMPUTED_VALUE"""),8)</f>
        <v>8</v>
      </c>
      <c r="J317" s="1">
        <f ca="1">IFERROR(__xludf.DUMMYFUNCTION("""COMPUTED_VALUE"""),9)</f>
        <v>9</v>
      </c>
      <c r="K317" s="1">
        <f ca="1">IFERROR(__xludf.DUMMYFUNCTION("""COMPUTED_VALUE"""),6)</f>
        <v>6</v>
      </c>
      <c r="L317" s="1">
        <f ca="1">IFERROR(__xludf.DUMMYFUNCTION("""COMPUTED_VALUE"""),7)</f>
        <v>7</v>
      </c>
      <c r="M317" s="1">
        <f ca="1">IFERROR(__xludf.DUMMYFUNCTION("""COMPUTED_VALUE"""),7)</f>
        <v>7</v>
      </c>
      <c r="N317" s="1">
        <f ca="1">IFERROR(__xludf.DUMMYFUNCTION("""COMPUTED_VALUE"""),2194)</f>
        <v>2194</v>
      </c>
      <c r="O317" s="1">
        <f ca="1">IFERROR(__xludf.DUMMYFUNCTION("""COMPUTED_VALUE"""),2144)</f>
        <v>2144</v>
      </c>
      <c r="P317" s="1">
        <f ca="1">IFERROR(__xludf.DUMMYFUNCTION("""COMPUTED_VALUE"""),1280)</f>
        <v>1280</v>
      </c>
      <c r="Q317" s="1">
        <f ca="1">IFERROR(__xludf.DUMMYFUNCTION("""COMPUTED_VALUE"""),802)</f>
        <v>802</v>
      </c>
      <c r="R317" s="1">
        <f ca="1">IFERROR(__xludf.DUMMYFUNCTION("""COMPUTED_VALUE"""),1720)</f>
        <v>1720</v>
      </c>
      <c r="S317" s="1">
        <f ca="1">IFERROR(__xludf.DUMMYFUNCTION("""COMPUTED_VALUE"""),0.466)</f>
        <v>0.46600000000000003</v>
      </c>
      <c r="T317" s="1">
        <f ca="1">IFERROR(__xludf.DUMMYFUNCTION("""COMPUTED_VALUE"""),213)</f>
        <v>213</v>
      </c>
      <c r="U317" s="1">
        <f ca="1">IFERROR(__xludf.DUMMYFUNCTION("""COMPUTED_VALUE"""),570)</f>
        <v>570</v>
      </c>
      <c r="V317" s="1">
        <f ca="1">IFERROR(__xludf.DUMMYFUNCTION("""COMPUTED_VALUE"""),0.374)</f>
        <v>0.374</v>
      </c>
      <c r="W317" s="1">
        <f ca="1">IFERROR(__xludf.DUMMYFUNCTION("""COMPUTED_VALUE"""),377)</f>
        <v>377</v>
      </c>
      <c r="X317" s="1">
        <f ca="1">IFERROR(__xludf.DUMMYFUNCTION("""COMPUTED_VALUE"""),550)</f>
        <v>550</v>
      </c>
      <c r="Y317" s="1">
        <f ca="1">IFERROR(__xludf.DUMMYFUNCTION("""COMPUTED_VALUE"""),0.685)</f>
        <v>0.68500000000000005</v>
      </c>
      <c r="Z317" s="1">
        <f ca="1">IFERROR(__xludf.DUMMYFUNCTION("""COMPUTED_VALUE"""),289)</f>
        <v>289</v>
      </c>
      <c r="AA317" s="1">
        <f ca="1">IFERROR(__xludf.DUMMYFUNCTION("""COMPUTED_VALUE"""),1081)</f>
        <v>1081</v>
      </c>
      <c r="AB317" s="1">
        <f ca="1">IFERROR(__xludf.DUMMYFUNCTION("""COMPUTED_VALUE"""),438)</f>
        <v>438</v>
      </c>
      <c r="AC317" s="1">
        <f ca="1">IFERROR(__xludf.DUMMYFUNCTION("""COMPUTED_VALUE"""),212)</f>
        <v>212</v>
      </c>
      <c r="AD317" s="1">
        <f ca="1">IFERROR(__xludf.DUMMYFUNCTION("""COMPUTED_VALUE"""),129)</f>
        <v>129</v>
      </c>
      <c r="AE317" s="1">
        <f ca="1">IFERROR(__xludf.DUMMYFUNCTION("""COMPUTED_VALUE"""),447)</f>
        <v>447</v>
      </c>
      <c r="AF317" s="1">
        <f ca="1">IFERROR(__xludf.DUMMYFUNCTION("""COMPUTED_VALUE"""),474)</f>
        <v>474</v>
      </c>
    </row>
    <row r="318" spans="1:32" ht="12.5" x14ac:dyDescent="0.25">
      <c r="A318" s="1" t="str">
        <f ca="1">IFERROR(__xludf.DUMMYFUNCTION("""COMPUTED_VALUE"""),"Southern Methodist")</f>
        <v>Southern Methodist</v>
      </c>
      <c r="B318" s="1">
        <f ca="1">IFERROR(__xludf.DUMMYFUNCTION("""COMPUTED_VALUE"""),32)</f>
        <v>32</v>
      </c>
      <c r="C318" s="1">
        <f ca="1">IFERROR(__xludf.DUMMYFUNCTION("""COMPUTED_VALUE"""),15)</f>
        <v>15</v>
      </c>
      <c r="D318" s="1">
        <f ca="1">IFERROR(__xludf.DUMMYFUNCTION("""COMPUTED_VALUE"""),17)</f>
        <v>17</v>
      </c>
      <c r="E318" s="1">
        <f ca="1">IFERROR(__xludf.DUMMYFUNCTION("""COMPUTED_VALUE"""),0.469)</f>
        <v>0.46899999999999997</v>
      </c>
      <c r="F318" s="1">
        <f ca="1">IFERROR(__xludf.DUMMYFUNCTION("""COMPUTED_VALUE"""),5.81)</f>
        <v>5.81</v>
      </c>
      <c r="G318" s="1">
        <f ca="1">IFERROR(__xludf.DUMMYFUNCTION("""COMPUTED_VALUE"""),4.12)</f>
        <v>4.12</v>
      </c>
      <c r="H318" s="1">
        <f ca="1">IFERROR(__xludf.DUMMYFUNCTION("""COMPUTED_VALUE"""),6)</f>
        <v>6</v>
      </c>
      <c r="I318" s="1">
        <f ca="1">IFERROR(__xludf.DUMMYFUNCTION("""COMPUTED_VALUE"""),12)</f>
        <v>12</v>
      </c>
      <c r="J318" s="1">
        <f ca="1">IFERROR(__xludf.DUMMYFUNCTION("""COMPUTED_VALUE"""),10)</f>
        <v>10</v>
      </c>
      <c r="K318" s="1">
        <f ca="1">IFERROR(__xludf.DUMMYFUNCTION("""COMPUTED_VALUE"""),8)</f>
        <v>8</v>
      </c>
      <c r="L318" s="1">
        <f ca="1">IFERROR(__xludf.DUMMYFUNCTION("""COMPUTED_VALUE"""),3)</f>
        <v>3</v>
      </c>
      <c r="M318" s="1">
        <f ca="1">IFERROR(__xludf.DUMMYFUNCTION("""COMPUTED_VALUE"""),7)</f>
        <v>7</v>
      </c>
      <c r="N318" s="1">
        <f ca="1">IFERROR(__xludf.DUMMYFUNCTION("""COMPUTED_VALUE"""),2303)</f>
        <v>2303</v>
      </c>
      <c r="O318" s="1">
        <f ca="1">IFERROR(__xludf.DUMMYFUNCTION("""COMPUTED_VALUE"""),2249)</f>
        <v>2249</v>
      </c>
      <c r="P318" s="1">
        <f ca="1">IFERROR(__xludf.DUMMYFUNCTION("""COMPUTED_VALUE"""),1280)</f>
        <v>1280</v>
      </c>
      <c r="Q318" s="1">
        <f ca="1">IFERROR(__xludf.DUMMYFUNCTION("""COMPUTED_VALUE"""),833)</f>
        <v>833</v>
      </c>
      <c r="R318" s="1">
        <f ca="1">IFERROR(__xludf.DUMMYFUNCTION("""COMPUTED_VALUE"""),1884)</f>
        <v>1884</v>
      </c>
      <c r="S318" s="1">
        <f ca="1">IFERROR(__xludf.DUMMYFUNCTION("""COMPUTED_VALUE"""),0.442)</f>
        <v>0.442</v>
      </c>
      <c r="T318" s="1">
        <f ca="1">IFERROR(__xludf.DUMMYFUNCTION("""COMPUTED_VALUE"""),263)</f>
        <v>263</v>
      </c>
      <c r="U318" s="1">
        <f ca="1">IFERROR(__xludf.DUMMYFUNCTION("""COMPUTED_VALUE"""),772)</f>
        <v>772</v>
      </c>
      <c r="V318" s="1">
        <f ca="1">IFERROR(__xludf.DUMMYFUNCTION("""COMPUTED_VALUE"""),0.341)</f>
        <v>0.34100000000000003</v>
      </c>
      <c r="W318" s="1">
        <f ca="1">IFERROR(__xludf.DUMMYFUNCTION("""COMPUTED_VALUE"""),374)</f>
        <v>374</v>
      </c>
      <c r="X318" s="1">
        <f ca="1">IFERROR(__xludf.DUMMYFUNCTION("""COMPUTED_VALUE"""),523)</f>
        <v>523</v>
      </c>
      <c r="Y318" s="1">
        <f ca="1">IFERROR(__xludf.DUMMYFUNCTION("""COMPUTED_VALUE"""),0.715)</f>
        <v>0.71499999999999997</v>
      </c>
      <c r="Z318" s="1">
        <f ca="1">IFERROR(__xludf.DUMMYFUNCTION("""COMPUTED_VALUE"""),365)</f>
        <v>365</v>
      </c>
      <c r="AA318" s="1">
        <f ca="1">IFERROR(__xludf.DUMMYFUNCTION("""COMPUTED_VALUE"""),1135)</f>
        <v>1135</v>
      </c>
      <c r="AB318" s="1">
        <f ca="1">IFERROR(__xludf.DUMMYFUNCTION("""COMPUTED_VALUE"""),441)</f>
        <v>441</v>
      </c>
      <c r="AC318" s="1">
        <f ca="1">IFERROR(__xludf.DUMMYFUNCTION("""COMPUTED_VALUE"""),189)</f>
        <v>189</v>
      </c>
      <c r="AD318" s="1">
        <f ca="1">IFERROR(__xludf.DUMMYFUNCTION("""COMPUTED_VALUE"""),123)</f>
        <v>123</v>
      </c>
      <c r="AE318" s="1">
        <f ca="1">IFERROR(__xludf.DUMMYFUNCTION("""COMPUTED_VALUE"""),350)</f>
        <v>350</v>
      </c>
      <c r="AF318" s="1">
        <f ca="1">IFERROR(__xludf.DUMMYFUNCTION("""COMPUTED_VALUE"""),515)</f>
        <v>515</v>
      </c>
    </row>
    <row r="319" spans="1:32" ht="12.5" x14ac:dyDescent="0.25">
      <c r="A319" s="1" t="str">
        <f ca="1">IFERROR(__xludf.DUMMYFUNCTION("""COMPUTED_VALUE"""),"Southern Mississippi")</f>
        <v>Southern Mississippi</v>
      </c>
      <c r="B319" s="1">
        <f ca="1">IFERROR(__xludf.DUMMYFUNCTION("""COMPUTED_VALUE"""),33)</f>
        <v>33</v>
      </c>
      <c r="C319" s="1">
        <f ca="1">IFERROR(__xludf.DUMMYFUNCTION("""COMPUTED_VALUE"""),20)</f>
        <v>20</v>
      </c>
      <c r="D319" s="1">
        <f ca="1">IFERROR(__xludf.DUMMYFUNCTION("""COMPUTED_VALUE"""),13)</f>
        <v>13</v>
      </c>
      <c r="E319" s="1">
        <f ca="1">IFERROR(__xludf.DUMMYFUNCTION("""COMPUTED_VALUE"""),0.606)</f>
        <v>0.60599999999999998</v>
      </c>
      <c r="F319" s="1">
        <f ca="1">IFERROR(__xludf.DUMMYFUNCTION("""COMPUTED_VALUE"""),2.58)</f>
        <v>2.58</v>
      </c>
      <c r="G319" s="1">
        <f ca="1">IFERROR(__xludf.DUMMYFUNCTION("""COMPUTED_VALUE"""),-0.83)</f>
        <v>-0.83</v>
      </c>
      <c r="H319" s="1">
        <f ca="1">IFERROR(__xludf.DUMMYFUNCTION("""COMPUTED_VALUE"""),11)</f>
        <v>11</v>
      </c>
      <c r="I319" s="1">
        <f ca="1">IFERROR(__xludf.DUMMYFUNCTION("""COMPUTED_VALUE"""),7)</f>
        <v>7</v>
      </c>
      <c r="J319" s="1">
        <f ca="1">IFERROR(__xludf.DUMMYFUNCTION("""COMPUTED_VALUE"""),11)</f>
        <v>11</v>
      </c>
      <c r="K319" s="1">
        <f ca="1">IFERROR(__xludf.DUMMYFUNCTION("""COMPUTED_VALUE"""),3)</f>
        <v>3</v>
      </c>
      <c r="L319" s="1">
        <f ca="1">IFERROR(__xludf.DUMMYFUNCTION("""COMPUTED_VALUE"""),7)</f>
        <v>7</v>
      </c>
      <c r="M319" s="1">
        <f ca="1">IFERROR(__xludf.DUMMYFUNCTION("""COMPUTED_VALUE"""),7)</f>
        <v>7</v>
      </c>
      <c r="N319" s="1">
        <f ca="1">IFERROR(__xludf.DUMMYFUNCTION("""COMPUTED_VALUE"""),2392)</f>
        <v>2392</v>
      </c>
      <c r="O319" s="1">
        <f ca="1">IFERROR(__xludf.DUMMYFUNCTION("""COMPUTED_VALUE"""),2160)</f>
        <v>2160</v>
      </c>
      <c r="P319" s="1">
        <f ca="1">IFERROR(__xludf.DUMMYFUNCTION("""COMPUTED_VALUE"""),1330)</f>
        <v>1330</v>
      </c>
      <c r="Q319" s="1">
        <f ca="1">IFERROR(__xludf.DUMMYFUNCTION("""COMPUTED_VALUE"""),899)</f>
        <v>899</v>
      </c>
      <c r="R319" s="1">
        <f ca="1">IFERROR(__xludf.DUMMYFUNCTION("""COMPUTED_VALUE"""),1929)</f>
        <v>1929</v>
      </c>
      <c r="S319" s="1">
        <f ca="1">IFERROR(__xludf.DUMMYFUNCTION("""COMPUTED_VALUE"""),0.466)</f>
        <v>0.46600000000000003</v>
      </c>
      <c r="T319" s="1">
        <f ca="1">IFERROR(__xludf.DUMMYFUNCTION("""COMPUTED_VALUE"""),275)</f>
        <v>275</v>
      </c>
      <c r="U319" s="1">
        <f ca="1">IFERROR(__xludf.DUMMYFUNCTION("""COMPUTED_VALUE"""),712)</f>
        <v>712</v>
      </c>
      <c r="V319" s="1">
        <f ca="1">IFERROR(__xludf.DUMMYFUNCTION("""COMPUTED_VALUE"""),0.386)</f>
        <v>0.38600000000000001</v>
      </c>
      <c r="W319" s="1">
        <f ca="1">IFERROR(__xludf.DUMMYFUNCTION("""COMPUTED_VALUE"""),321)</f>
        <v>321</v>
      </c>
      <c r="X319" s="1">
        <f ca="1">IFERROR(__xludf.DUMMYFUNCTION("""COMPUTED_VALUE"""),489)</f>
        <v>489</v>
      </c>
      <c r="Y319" s="1">
        <f ca="1">IFERROR(__xludf.DUMMYFUNCTION("""COMPUTED_VALUE"""),0.656)</f>
        <v>0.65600000000000003</v>
      </c>
      <c r="Z319" s="1">
        <f ca="1">IFERROR(__xludf.DUMMYFUNCTION("""COMPUTED_VALUE"""),274)</f>
        <v>274</v>
      </c>
      <c r="AA319" s="1">
        <f ca="1">IFERROR(__xludf.DUMMYFUNCTION("""COMPUTED_VALUE"""),1178)</f>
        <v>1178</v>
      </c>
      <c r="AB319" s="1">
        <f ca="1">IFERROR(__xludf.DUMMYFUNCTION("""COMPUTED_VALUE"""),553)</f>
        <v>553</v>
      </c>
      <c r="AC319" s="1">
        <f ca="1">IFERROR(__xludf.DUMMYFUNCTION("""COMPUTED_VALUE"""),253)</f>
        <v>253</v>
      </c>
      <c r="AD319" s="1">
        <f ca="1">IFERROR(__xludf.DUMMYFUNCTION("""COMPUTED_VALUE"""),110)</f>
        <v>110</v>
      </c>
      <c r="AE319" s="1">
        <f ca="1">IFERROR(__xludf.DUMMYFUNCTION("""COMPUTED_VALUE"""),345)</f>
        <v>345</v>
      </c>
      <c r="AF319" s="1">
        <f ca="1">IFERROR(__xludf.DUMMYFUNCTION("""COMPUTED_VALUE"""),507)</f>
        <v>507</v>
      </c>
    </row>
    <row r="320" spans="1:32" ht="12.5" x14ac:dyDescent="0.25">
      <c r="A320" s="1" t="str">
        <f ca="1">IFERROR(__xludf.DUMMYFUNCTION("""COMPUTED_VALUE"""),"Southern Utah")</f>
        <v>Southern Utah</v>
      </c>
      <c r="B320" s="1">
        <f ca="1">IFERROR(__xludf.DUMMYFUNCTION("""COMPUTED_VALUE"""),34)</f>
        <v>34</v>
      </c>
      <c r="C320" s="1">
        <f ca="1">IFERROR(__xludf.DUMMYFUNCTION("""COMPUTED_VALUE"""),17)</f>
        <v>17</v>
      </c>
      <c r="D320" s="1">
        <f ca="1">IFERROR(__xludf.DUMMYFUNCTION("""COMPUTED_VALUE"""),17)</f>
        <v>17</v>
      </c>
      <c r="E320" s="1">
        <f ca="1">IFERROR(__xludf.DUMMYFUNCTION("""COMPUTED_VALUE"""),0.5)</f>
        <v>0.5</v>
      </c>
      <c r="F320" s="1">
        <f ca="1">IFERROR(__xludf.DUMMYFUNCTION("""COMPUTED_VALUE"""),-8.91)</f>
        <v>-8.91</v>
      </c>
      <c r="G320" s="1">
        <f ca="1">IFERROR(__xludf.DUMMYFUNCTION("""COMPUTED_VALUE"""),-6.22)</f>
        <v>-6.22</v>
      </c>
      <c r="H320" s="1">
        <f ca="1">IFERROR(__xludf.DUMMYFUNCTION("""COMPUTED_VALUE"""),9)</f>
        <v>9</v>
      </c>
      <c r="I320" s="1">
        <f ca="1">IFERROR(__xludf.DUMMYFUNCTION("""COMPUTED_VALUE"""),11)</f>
        <v>11</v>
      </c>
      <c r="J320" s="1">
        <f ca="1">IFERROR(__xludf.DUMMYFUNCTION("""COMPUTED_VALUE"""),11)</f>
        <v>11</v>
      </c>
      <c r="K320" s="1">
        <f ca="1">IFERROR(__xludf.DUMMYFUNCTION("""COMPUTED_VALUE"""),4)</f>
        <v>4</v>
      </c>
      <c r="L320" s="1">
        <f ca="1">IFERROR(__xludf.DUMMYFUNCTION("""COMPUTED_VALUE"""),4)</f>
        <v>4</v>
      </c>
      <c r="M320" s="1">
        <f ca="1">IFERROR(__xludf.DUMMYFUNCTION("""COMPUTED_VALUE"""),12)</f>
        <v>12</v>
      </c>
      <c r="N320" s="1">
        <f ca="1">IFERROR(__xludf.DUMMYFUNCTION("""COMPUTED_VALUE"""),2573)</f>
        <v>2573</v>
      </c>
      <c r="O320" s="1">
        <f ca="1">IFERROR(__xludf.DUMMYFUNCTION("""COMPUTED_VALUE"""),2566)</f>
        <v>2566</v>
      </c>
      <c r="P320" s="1">
        <f ca="1">IFERROR(__xludf.DUMMYFUNCTION("""COMPUTED_VALUE"""),1380)</f>
        <v>1380</v>
      </c>
      <c r="Q320" s="1">
        <f ca="1">IFERROR(__xludf.DUMMYFUNCTION("""COMPUTED_VALUE"""),881)</f>
        <v>881</v>
      </c>
      <c r="R320" s="1">
        <f ca="1">IFERROR(__xludf.DUMMYFUNCTION("""COMPUTED_VALUE"""),1997)</f>
        <v>1997</v>
      </c>
      <c r="S320" s="1">
        <f ca="1">IFERROR(__xludf.DUMMYFUNCTION("""COMPUTED_VALUE"""),0.441)</f>
        <v>0.441</v>
      </c>
      <c r="T320" s="1">
        <f ca="1">IFERROR(__xludf.DUMMYFUNCTION("""COMPUTED_VALUE"""),272)</f>
        <v>272</v>
      </c>
      <c r="U320" s="1">
        <f ca="1">IFERROR(__xludf.DUMMYFUNCTION("""COMPUTED_VALUE"""),799)</f>
        <v>799</v>
      </c>
      <c r="V320" s="1">
        <f ca="1">IFERROR(__xludf.DUMMYFUNCTION("""COMPUTED_VALUE"""),0.34)</f>
        <v>0.34</v>
      </c>
      <c r="W320" s="1">
        <f ca="1">IFERROR(__xludf.DUMMYFUNCTION("""COMPUTED_VALUE"""),539)</f>
        <v>539</v>
      </c>
      <c r="X320" s="1">
        <f ca="1">IFERROR(__xludf.DUMMYFUNCTION("""COMPUTED_VALUE"""),757)</f>
        <v>757</v>
      </c>
      <c r="Y320" s="1">
        <f ca="1">IFERROR(__xludf.DUMMYFUNCTION("""COMPUTED_VALUE"""),0.712)</f>
        <v>0.71199999999999997</v>
      </c>
      <c r="Z320" s="1">
        <f ca="1">IFERROR(__xludf.DUMMYFUNCTION("""COMPUTED_VALUE"""),282)</f>
        <v>282</v>
      </c>
      <c r="AA320" s="1">
        <f ca="1">IFERROR(__xludf.DUMMYFUNCTION("""COMPUTED_VALUE"""),1250)</f>
        <v>1250</v>
      </c>
      <c r="AB320" s="1">
        <f ca="1">IFERROR(__xludf.DUMMYFUNCTION("""COMPUTED_VALUE"""),426)</f>
        <v>426</v>
      </c>
      <c r="AC320" s="1">
        <f ca="1">IFERROR(__xludf.DUMMYFUNCTION("""COMPUTED_VALUE"""),199)</f>
        <v>199</v>
      </c>
      <c r="AD320" s="1">
        <f ca="1">IFERROR(__xludf.DUMMYFUNCTION("""COMPUTED_VALUE"""),114)</f>
        <v>114</v>
      </c>
      <c r="AE320" s="1">
        <f ca="1">IFERROR(__xludf.DUMMYFUNCTION("""COMPUTED_VALUE"""),466)</f>
        <v>466</v>
      </c>
      <c r="AF320" s="1">
        <f ca="1">IFERROR(__xludf.DUMMYFUNCTION("""COMPUTED_VALUE"""),696)</f>
        <v>696</v>
      </c>
    </row>
    <row r="321" spans="1:32" ht="12.5" x14ac:dyDescent="0.25">
      <c r="A321" s="1" t="str">
        <f ca="1">IFERROR(__xludf.DUMMYFUNCTION("""COMPUTED_VALUE"""),"Southern")</f>
        <v>Southern</v>
      </c>
      <c r="B321" s="1">
        <f ca="1">IFERROR(__xludf.DUMMYFUNCTION("""COMPUTED_VALUE"""),32)</f>
        <v>32</v>
      </c>
      <c r="C321" s="1">
        <f ca="1">IFERROR(__xludf.DUMMYFUNCTION("""COMPUTED_VALUE"""),7)</f>
        <v>7</v>
      </c>
      <c r="D321" s="1">
        <f ca="1">IFERROR(__xludf.DUMMYFUNCTION("""COMPUTED_VALUE"""),25)</f>
        <v>25</v>
      </c>
      <c r="E321" s="1">
        <f ca="1">IFERROR(__xludf.DUMMYFUNCTION("""COMPUTED_VALUE"""),0.219)</f>
        <v>0.219</v>
      </c>
      <c r="F321" s="1">
        <f ca="1">IFERROR(__xludf.DUMMYFUNCTION("""COMPUTED_VALUE"""),-16.79)</f>
        <v>-16.79</v>
      </c>
      <c r="G321" s="1">
        <f ca="1">IFERROR(__xludf.DUMMYFUNCTION("""COMPUTED_VALUE"""),-7.37)</f>
        <v>-7.37</v>
      </c>
      <c r="H321" s="1">
        <f ca="1">IFERROR(__xludf.DUMMYFUNCTION("""COMPUTED_VALUE"""),6)</f>
        <v>6</v>
      </c>
      <c r="I321" s="1">
        <f ca="1">IFERROR(__xludf.DUMMYFUNCTION("""COMPUTED_VALUE"""),12)</f>
        <v>12</v>
      </c>
      <c r="J321" s="1">
        <f ca="1">IFERROR(__xludf.DUMMYFUNCTION("""COMPUTED_VALUE"""),6)</f>
        <v>6</v>
      </c>
      <c r="K321" s="1">
        <f ca="1">IFERROR(__xludf.DUMMYFUNCTION("""COMPUTED_VALUE"""),5)</f>
        <v>5</v>
      </c>
      <c r="L321" s="1">
        <f ca="1">IFERROR(__xludf.DUMMYFUNCTION("""COMPUTED_VALUE"""),1)</f>
        <v>1</v>
      </c>
      <c r="M321" s="1">
        <f ca="1">IFERROR(__xludf.DUMMYFUNCTION("""COMPUTED_VALUE"""),18)</f>
        <v>18</v>
      </c>
      <c r="N321" s="1">
        <f ca="1">IFERROR(__xludf.DUMMYFUNCTION("""COMPUTED_VALUE"""),2077)</f>
        <v>2077</v>
      </c>
      <c r="O321" s="1">
        <f ca="1">IFERROR(__xludf.DUMMYFUNCTION("""COMPUTED_VALUE"""),2360)</f>
        <v>2360</v>
      </c>
      <c r="P321" s="1">
        <f ca="1">IFERROR(__xludf.DUMMYFUNCTION("""COMPUTED_VALUE"""),1285)</f>
        <v>1285</v>
      </c>
      <c r="Q321" s="1">
        <f ca="1">IFERROR(__xludf.DUMMYFUNCTION("""COMPUTED_VALUE"""),752)</f>
        <v>752</v>
      </c>
      <c r="R321" s="1">
        <f ca="1">IFERROR(__xludf.DUMMYFUNCTION("""COMPUTED_VALUE"""),1710)</f>
        <v>1710</v>
      </c>
      <c r="S321" s="1">
        <f ca="1">IFERROR(__xludf.DUMMYFUNCTION("""COMPUTED_VALUE"""),0.44)</f>
        <v>0.44</v>
      </c>
      <c r="T321" s="1">
        <f ca="1">IFERROR(__xludf.DUMMYFUNCTION("""COMPUTED_VALUE"""),180)</f>
        <v>180</v>
      </c>
      <c r="U321" s="1">
        <f ca="1">IFERROR(__xludf.DUMMYFUNCTION("""COMPUTED_VALUE"""),544)</f>
        <v>544</v>
      </c>
      <c r="V321" s="1">
        <f ca="1">IFERROR(__xludf.DUMMYFUNCTION("""COMPUTED_VALUE"""),0.331)</f>
        <v>0.33100000000000002</v>
      </c>
      <c r="W321" s="1">
        <f ca="1">IFERROR(__xludf.DUMMYFUNCTION("""COMPUTED_VALUE"""),393)</f>
        <v>393</v>
      </c>
      <c r="X321" s="1">
        <f ca="1">IFERROR(__xludf.DUMMYFUNCTION("""COMPUTED_VALUE"""),588)</f>
        <v>588</v>
      </c>
      <c r="Y321" s="1">
        <f ca="1">IFERROR(__xludf.DUMMYFUNCTION("""COMPUTED_VALUE"""),0.668)</f>
        <v>0.66800000000000004</v>
      </c>
      <c r="Z321" s="1">
        <f ca="1">IFERROR(__xludf.DUMMYFUNCTION("""COMPUTED_VALUE"""),313)</f>
        <v>313</v>
      </c>
      <c r="AA321" s="1">
        <f ca="1">IFERROR(__xludf.DUMMYFUNCTION("""COMPUTED_VALUE"""),980)</f>
        <v>980</v>
      </c>
      <c r="AB321" s="1">
        <f ca="1">IFERROR(__xludf.DUMMYFUNCTION("""COMPUTED_VALUE"""),372)</f>
        <v>372</v>
      </c>
      <c r="AC321" s="1">
        <f ca="1">IFERROR(__xludf.DUMMYFUNCTION("""COMPUTED_VALUE"""),216)</f>
        <v>216</v>
      </c>
      <c r="AD321" s="1">
        <f ca="1">IFERROR(__xludf.DUMMYFUNCTION("""COMPUTED_VALUE"""),86)</f>
        <v>86</v>
      </c>
      <c r="AE321" s="1">
        <f ca="1">IFERROR(__xludf.DUMMYFUNCTION("""COMPUTED_VALUE"""),511)</f>
        <v>511</v>
      </c>
      <c r="AF321" s="1">
        <f ca="1">IFERROR(__xludf.DUMMYFUNCTION("""COMPUTED_VALUE"""),716)</f>
        <v>716</v>
      </c>
    </row>
    <row r="322" spans="1:32" ht="12.5" x14ac:dyDescent="0.25">
      <c r="A322" s="1" t="str">
        <f ca="1">IFERROR(__xludf.DUMMYFUNCTION("""COMPUTED_VALUE"""),"St. Bonaventure")</f>
        <v>St. Bonaventure</v>
      </c>
      <c r="B322" s="1">
        <f ca="1">IFERROR(__xludf.DUMMYFUNCTION("""COMPUTED_VALUE"""),34)</f>
        <v>34</v>
      </c>
      <c r="C322" s="1">
        <f ca="1">IFERROR(__xludf.DUMMYFUNCTION("""COMPUTED_VALUE"""),18)</f>
        <v>18</v>
      </c>
      <c r="D322" s="1">
        <f ca="1">IFERROR(__xludf.DUMMYFUNCTION("""COMPUTED_VALUE"""),16)</f>
        <v>16</v>
      </c>
      <c r="E322" s="1">
        <f ca="1">IFERROR(__xludf.DUMMYFUNCTION("""COMPUTED_VALUE"""),0.529)</f>
        <v>0.52900000000000003</v>
      </c>
      <c r="F322" s="1">
        <f ca="1">IFERROR(__xludf.DUMMYFUNCTION("""COMPUTED_VALUE"""),3.34)</f>
        <v>3.34</v>
      </c>
      <c r="G322" s="1">
        <f ca="1">IFERROR(__xludf.DUMMYFUNCTION("""COMPUTED_VALUE"""),0.25)</f>
        <v>0.25</v>
      </c>
      <c r="H322" s="1">
        <f ca="1">IFERROR(__xludf.DUMMYFUNCTION("""COMPUTED_VALUE"""),12)</f>
        <v>12</v>
      </c>
      <c r="I322" s="1">
        <f ca="1">IFERROR(__xludf.DUMMYFUNCTION("""COMPUTED_VALUE"""),6)</f>
        <v>6</v>
      </c>
      <c r="J322" s="1">
        <f ca="1">IFERROR(__xludf.DUMMYFUNCTION("""COMPUTED_VALUE"""),9)</f>
        <v>9</v>
      </c>
      <c r="K322" s="1">
        <f ca="1">IFERROR(__xludf.DUMMYFUNCTION("""COMPUTED_VALUE"""),5)</f>
        <v>5</v>
      </c>
      <c r="L322" s="1">
        <f ca="1">IFERROR(__xludf.DUMMYFUNCTION("""COMPUTED_VALUE"""),6)</f>
        <v>6</v>
      </c>
      <c r="M322" s="1">
        <f ca="1">IFERROR(__xludf.DUMMYFUNCTION("""COMPUTED_VALUE"""),7)</f>
        <v>7</v>
      </c>
      <c r="N322" s="1">
        <f ca="1">IFERROR(__xludf.DUMMYFUNCTION("""COMPUTED_VALUE"""),2250)</f>
        <v>2250</v>
      </c>
      <c r="O322" s="1">
        <f ca="1">IFERROR(__xludf.DUMMYFUNCTION("""COMPUTED_VALUE"""),2145)</f>
        <v>2145</v>
      </c>
      <c r="P322" s="1">
        <f ca="1">IFERROR(__xludf.DUMMYFUNCTION("""COMPUTED_VALUE"""),1385)</f>
        <v>1385</v>
      </c>
      <c r="Q322" s="1">
        <f ca="1">IFERROR(__xludf.DUMMYFUNCTION("""COMPUTED_VALUE"""),821)</f>
        <v>821</v>
      </c>
      <c r="R322" s="1">
        <f ca="1">IFERROR(__xludf.DUMMYFUNCTION("""COMPUTED_VALUE"""),1914)</f>
        <v>1914</v>
      </c>
      <c r="S322" s="1">
        <f ca="1">IFERROR(__xludf.DUMMYFUNCTION("""COMPUTED_VALUE"""),0.429)</f>
        <v>0.42899999999999999</v>
      </c>
      <c r="T322" s="1">
        <f ca="1">IFERROR(__xludf.DUMMYFUNCTION("""COMPUTED_VALUE"""),208)</f>
        <v>208</v>
      </c>
      <c r="U322" s="1">
        <f ca="1">IFERROR(__xludf.DUMMYFUNCTION("""COMPUTED_VALUE"""),635)</f>
        <v>635</v>
      </c>
      <c r="V322" s="1">
        <f ca="1">IFERROR(__xludf.DUMMYFUNCTION("""COMPUTED_VALUE"""),0.328)</f>
        <v>0.32800000000000001</v>
      </c>
      <c r="W322" s="1">
        <f ca="1">IFERROR(__xludf.DUMMYFUNCTION("""COMPUTED_VALUE"""),400)</f>
        <v>400</v>
      </c>
      <c r="X322" s="1">
        <f ca="1">IFERROR(__xludf.DUMMYFUNCTION("""COMPUTED_VALUE"""),539)</f>
        <v>539</v>
      </c>
      <c r="Y322" s="1">
        <f ca="1">IFERROR(__xludf.DUMMYFUNCTION("""COMPUTED_VALUE"""),0.742)</f>
        <v>0.74199999999999999</v>
      </c>
      <c r="Z322" s="1">
        <f ca="1">IFERROR(__xludf.DUMMYFUNCTION("""COMPUTED_VALUE"""),333)</f>
        <v>333</v>
      </c>
      <c r="AA322" s="1">
        <f ca="1">IFERROR(__xludf.DUMMYFUNCTION("""COMPUTED_VALUE"""),1183)</f>
        <v>1183</v>
      </c>
      <c r="AB322" s="1">
        <f ca="1">IFERROR(__xludf.DUMMYFUNCTION("""COMPUTED_VALUE"""),417)</f>
        <v>417</v>
      </c>
      <c r="AC322" s="1">
        <f ca="1">IFERROR(__xludf.DUMMYFUNCTION("""COMPUTED_VALUE"""),199)</f>
        <v>199</v>
      </c>
      <c r="AD322" s="1">
        <f ca="1">IFERROR(__xludf.DUMMYFUNCTION("""COMPUTED_VALUE"""),164)</f>
        <v>164</v>
      </c>
      <c r="AE322" s="1">
        <f ca="1">IFERROR(__xludf.DUMMYFUNCTION("""COMPUTED_VALUE"""),421)</f>
        <v>421</v>
      </c>
      <c r="AF322" s="1">
        <f ca="1">IFERROR(__xludf.DUMMYFUNCTION("""COMPUTED_VALUE"""),553)</f>
        <v>553</v>
      </c>
    </row>
    <row r="323" spans="1:32" ht="12.5" x14ac:dyDescent="0.25">
      <c r="A323" s="1" t="str">
        <f ca="1">IFERROR(__xludf.DUMMYFUNCTION("""COMPUTED_VALUE"""),"St. Francis (NY)")</f>
        <v>St. Francis (NY)</v>
      </c>
      <c r="B323" s="1">
        <f ca="1">IFERROR(__xludf.DUMMYFUNCTION("""COMPUTED_VALUE"""),33)</f>
        <v>33</v>
      </c>
      <c r="C323" s="1">
        <f ca="1">IFERROR(__xludf.DUMMYFUNCTION("""COMPUTED_VALUE"""),17)</f>
        <v>17</v>
      </c>
      <c r="D323" s="1">
        <f ca="1">IFERROR(__xludf.DUMMYFUNCTION("""COMPUTED_VALUE"""),16)</f>
        <v>16</v>
      </c>
      <c r="E323" s="1">
        <f ca="1">IFERROR(__xludf.DUMMYFUNCTION("""COMPUTED_VALUE"""),0.515)</f>
        <v>0.51500000000000001</v>
      </c>
      <c r="F323" s="1">
        <f ca="1">IFERROR(__xludf.DUMMYFUNCTION("""COMPUTED_VALUE"""),-10.19)</f>
        <v>-10.19</v>
      </c>
      <c r="G323" s="1">
        <f ca="1">IFERROR(__xludf.DUMMYFUNCTION("""COMPUTED_VALUE"""),-8.45)</f>
        <v>-8.4499999999999993</v>
      </c>
      <c r="H323" s="1">
        <f ca="1">IFERROR(__xludf.DUMMYFUNCTION("""COMPUTED_VALUE"""),9)</f>
        <v>9</v>
      </c>
      <c r="I323" s="1">
        <f ca="1">IFERROR(__xludf.DUMMYFUNCTION("""COMPUTED_VALUE"""),9)</f>
        <v>9</v>
      </c>
      <c r="J323" s="1">
        <f ca="1">IFERROR(__xludf.DUMMYFUNCTION("""COMPUTED_VALUE"""),11)</f>
        <v>11</v>
      </c>
      <c r="K323" s="1">
        <f ca="1">IFERROR(__xludf.DUMMYFUNCTION("""COMPUTED_VALUE"""),3)</f>
        <v>3</v>
      </c>
      <c r="L323" s="1">
        <f ca="1">IFERROR(__xludf.DUMMYFUNCTION("""COMPUTED_VALUE"""),6)</f>
        <v>6</v>
      </c>
      <c r="M323" s="1">
        <f ca="1">IFERROR(__xludf.DUMMYFUNCTION("""COMPUTED_VALUE"""),12)</f>
        <v>12</v>
      </c>
      <c r="N323" s="1">
        <f ca="1">IFERROR(__xludf.DUMMYFUNCTION("""COMPUTED_VALUE"""),2345)</f>
        <v>2345</v>
      </c>
      <c r="O323" s="1">
        <f ca="1">IFERROR(__xludf.DUMMYFUNCTION("""COMPUTED_VALUE"""),2320)</f>
        <v>2320</v>
      </c>
      <c r="P323" s="1">
        <f ca="1">IFERROR(__xludf.DUMMYFUNCTION("""COMPUTED_VALUE"""),1325)</f>
        <v>1325</v>
      </c>
      <c r="Q323" s="1">
        <f ca="1">IFERROR(__xludf.DUMMYFUNCTION("""COMPUTED_VALUE"""),841)</f>
        <v>841</v>
      </c>
      <c r="R323" s="1">
        <f ca="1">IFERROR(__xludf.DUMMYFUNCTION("""COMPUTED_VALUE"""),1989)</f>
        <v>1989</v>
      </c>
      <c r="S323" s="1">
        <f ca="1">IFERROR(__xludf.DUMMYFUNCTION("""COMPUTED_VALUE"""),0.423)</f>
        <v>0.42299999999999999</v>
      </c>
      <c r="T323" s="1">
        <f ca="1">IFERROR(__xludf.DUMMYFUNCTION("""COMPUTED_VALUE"""),270)</f>
        <v>270</v>
      </c>
      <c r="U323" s="1">
        <f ca="1">IFERROR(__xludf.DUMMYFUNCTION("""COMPUTED_VALUE"""),806)</f>
        <v>806</v>
      </c>
      <c r="V323" s="1">
        <f ca="1">IFERROR(__xludf.DUMMYFUNCTION("""COMPUTED_VALUE"""),0.335)</f>
        <v>0.33500000000000002</v>
      </c>
      <c r="W323" s="1">
        <f ca="1">IFERROR(__xludf.DUMMYFUNCTION("""COMPUTED_VALUE"""),393)</f>
        <v>393</v>
      </c>
      <c r="X323" s="1">
        <f ca="1">IFERROR(__xludf.DUMMYFUNCTION("""COMPUTED_VALUE"""),580)</f>
        <v>580</v>
      </c>
      <c r="Y323" s="1">
        <f ca="1">IFERROR(__xludf.DUMMYFUNCTION("""COMPUTED_VALUE"""),0.678)</f>
        <v>0.67800000000000005</v>
      </c>
      <c r="Z323" s="1">
        <f ca="1">IFERROR(__xludf.DUMMYFUNCTION("""COMPUTED_VALUE"""),346)</f>
        <v>346</v>
      </c>
      <c r="AA323" s="1">
        <f ca="1">IFERROR(__xludf.DUMMYFUNCTION("""COMPUTED_VALUE"""),1191)</f>
        <v>1191</v>
      </c>
      <c r="AB323" s="1">
        <f ca="1">IFERROR(__xludf.DUMMYFUNCTION("""COMPUTED_VALUE"""),387)</f>
        <v>387</v>
      </c>
      <c r="AC323" s="1">
        <f ca="1">IFERROR(__xludf.DUMMYFUNCTION("""COMPUTED_VALUE"""),194)</f>
        <v>194</v>
      </c>
      <c r="AD323" s="1">
        <f ca="1">IFERROR(__xludf.DUMMYFUNCTION("""COMPUTED_VALUE"""),136)</f>
        <v>136</v>
      </c>
      <c r="AE323" s="1">
        <f ca="1">IFERROR(__xludf.DUMMYFUNCTION("""COMPUTED_VALUE"""),413)</f>
        <v>413</v>
      </c>
      <c r="AF323" s="1">
        <f ca="1">IFERROR(__xludf.DUMMYFUNCTION("""COMPUTED_VALUE"""),635)</f>
        <v>635</v>
      </c>
    </row>
    <row r="324" spans="1:32" ht="12.5" x14ac:dyDescent="0.25">
      <c r="A324" s="1" t="str">
        <f ca="1">IFERROR(__xludf.DUMMYFUNCTION("""COMPUTED_VALUE"""),"St. John's (NY)")</f>
        <v>St. John's (NY)</v>
      </c>
      <c r="B324" s="1">
        <f ca="1">IFERROR(__xludf.DUMMYFUNCTION("""COMPUTED_VALUE"""),34)</f>
        <v>34</v>
      </c>
      <c r="C324" s="1">
        <f ca="1">IFERROR(__xludf.DUMMYFUNCTION("""COMPUTED_VALUE"""),21)</f>
        <v>21</v>
      </c>
      <c r="D324" s="1">
        <f ca="1">IFERROR(__xludf.DUMMYFUNCTION("""COMPUTED_VALUE"""),13)</f>
        <v>13</v>
      </c>
      <c r="E324" s="1">
        <f ca="1">IFERROR(__xludf.DUMMYFUNCTION("""COMPUTED_VALUE"""),0.618)</f>
        <v>0.61799999999999999</v>
      </c>
      <c r="F324" s="1">
        <f ca="1">IFERROR(__xludf.DUMMYFUNCTION("""COMPUTED_VALUE"""),7.88)</f>
        <v>7.88</v>
      </c>
      <c r="G324" s="1">
        <f ca="1">IFERROR(__xludf.DUMMYFUNCTION("""COMPUTED_VALUE"""),5.5)</f>
        <v>5.5</v>
      </c>
      <c r="H324" s="1">
        <f ca="1">IFERROR(__xludf.DUMMYFUNCTION("""COMPUTED_VALUE"""),8)</f>
        <v>8</v>
      </c>
      <c r="I324" s="1">
        <f ca="1">IFERROR(__xludf.DUMMYFUNCTION("""COMPUTED_VALUE"""),10)</f>
        <v>10</v>
      </c>
      <c r="J324" s="1">
        <f ca="1">IFERROR(__xludf.DUMMYFUNCTION("""COMPUTED_VALUE"""),11)</f>
        <v>11</v>
      </c>
      <c r="K324" s="1">
        <f ca="1">IFERROR(__xludf.DUMMYFUNCTION("""COMPUTED_VALUE"""),4)</f>
        <v>4</v>
      </c>
      <c r="L324" s="1">
        <f ca="1">IFERROR(__xludf.DUMMYFUNCTION("""COMPUTED_VALUE"""),4)</f>
        <v>4</v>
      </c>
      <c r="M324" s="1">
        <f ca="1">IFERROR(__xludf.DUMMYFUNCTION("""COMPUTED_VALUE"""),7)</f>
        <v>7</v>
      </c>
      <c r="N324" s="1">
        <f ca="1">IFERROR(__xludf.DUMMYFUNCTION("""COMPUTED_VALUE"""),2623)</f>
        <v>2623</v>
      </c>
      <c r="O324" s="1">
        <f ca="1">IFERROR(__xludf.DUMMYFUNCTION("""COMPUTED_VALUE"""),2542)</f>
        <v>2542</v>
      </c>
      <c r="P324" s="1">
        <f ca="1">IFERROR(__xludf.DUMMYFUNCTION("""COMPUTED_VALUE"""),1375)</f>
        <v>1375</v>
      </c>
      <c r="Q324" s="1">
        <f ca="1">IFERROR(__xludf.DUMMYFUNCTION("""COMPUTED_VALUE"""),944)</f>
        <v>944</v>
      </c>
      <c r="R324" s="1">
        <f ca="1">IFERROR(__xludf.DUMMYFUNCTION("""COMPUTED_VALUE"""),2100)</f>
        <v>2100</v>
      </c>
      <c r="S324" s="1">
        <f ca="1">IFERROR(__xludf.DUMMYFUNCTION("""COMPUTED_VALUE"""),0.45)</f>
        <v>0.45</v>
      </c>
      <c r="T324" s="1">
        <f ca="1">IFERROR(__xludf.DUMMYFUNCTION("""COMPUTED_VALUE"""),289)</f>
        <v>289</v>
      </c>
      <c r="U324" s="1">
        <f ca="1">IFERROR(__xludf.DUMMYFUNCTION("""COMPUTED_VALUE"""),809)</f>
        <v>809</v>
      </c>
      <c r="V324" s="1">
        <f ca="1">IFERROR(__xludf.DUMMYFUNCTION("""COMPUTED_VALUE"""),0.357)</f>
        <v>0.35699999999999998</v>
      </c>
      <c r="W324" s="1">
        <f ca="1">IFERROR(__xludf.DUMMYFUNCTION("""COMPUTED_VALUE"""),446)</f>
        <v>446</v>
      </c>
      <c r="X324" s="1">
        <f ca="1">IFERROR(__xludf.DUMMYFUNCTION("""COMPUTED_VALUE"""),620)</f>
        <v>620</v>
      </c>
      <c r="Y324" s="1">
        <f ca="1">IFERROR(__xludf.DUMMYFUNCTION("""COMPUTED_VALUE"""),0.719)</f>
        <v>0.71899999999999997</v>
      </c>
      <c r="Z324" s="1">
        <f ca="1">IFERROR(__xludf.DUMMYFUNCTION("""COMPUTED_VALUE"""),264)</f>
        <v>264</v>
      </c>
      <c r="AA324" s="1">
        <f ca="1">IFERROR(__xludf.DUMMYFUNCTION("""COMPUTED_VALUE"""),1120)</f>
        <v>1120</v>
      </c>
      <c r="AB324" s="1">
        <f ca="1">IFERROR(__xludf.DUMMYFUNCTION("""COMPUTED_VALUE"""),472)</f>
        <v>472</v>
      </c>
      <c r="AC324" s="1">
        <f ca="1">IFERROR(__xludf.DUMMYFUNCTION("""COMPUTED_VALUE"""),302)</f>
        <v>302</v>
      </c>
      <c r="AD324" s="1">
        <f ca="1">IFERROR(__xludf.DUMMYFUNCTION("""COMPUTED_VALUE"""),111)</f>
        <v>111</v>
      </c>
      <c r="AE324" s="1">
        <f ca="1">IFERROR(__xludf.DUMMYFUNCTION("""COMPUTED_VALUE"""),357)</f>
        <v>357</v>
      </c>
      <c r="AF324" s="1">
        <f ca="1">IFERROR(__xludf.DUMMYFUNCTION("""COMPUTED_VALUE"""),650)</f>
        <v>650</v>
      </c>
    </row>
    <row r="325" spans="1:32" ht="12.5" x14ac:dyDescent="0.25">
      <c r="A325" s="1" t="str">
        <f ca="1">IFERROR(__xludf.DUMMYFUNCTION("""COMPUTED_VALUE"""),"Stanford")</f>
        <v>Stanford</v>
      </c>
      <c r="B325" s="1">
        <f ca="1">IFERROR(__xludf.DUMMYFUNCTION("""COMPUTED_VALUE"""),31)</f>
        <v>31</v>
      </c>
      <c r="C325" s="1">
        <f ca="1">IFERROR(__xludf.DUMMYFUNCTION("""COMPUTED_VALUE"""),15)</f>
        <v>15</v>
      </c>
      <c r="D325" s="1">
        <f ca="1">IFERROR(__xludf.DUMMYFUNCTION("""COMPUTED_VALUE"""),16)</f>
        <v>16</v>
      </c>
      <c r="E325" s="1">
        <f ca="1">IFERROR(__xludf.DUMMYFUNCTION("""COMPUTED_VALUE"""),0.484)</f>
        <v>0.48399999999999999</v>
      </c>
      <c r="F325" s="1">
        <f ca="1">IFERROR(__xludf.DUMMYFUNCTION("""COMPUTED_VALUE"""),6.03)</f>
        <v>6.03</v>
      </c>
      <c r="G325" s="1">
        <f ca="1">IFERROR(__xludf.DUMMYFUNCTION("""COMPUTED_VALUE"""),5.13)</f>
        <v>5.13</v>
      </c>
      <c r="H325" s="1">
        <f ca="1">IFERROR(__xludf.DUMMYFUNCTION("""COMPUTED_VALUE"""),8)</f>
        <v>8</v>
      </c>
      <c r="I325" s="1">
        <f ca="1">IFERROR(__xludf.DUMMYFUNCTION("""COMPUTED_VALUE"""),10)</f>
        <v>10</v>
      </c>
      <c r="J325" s="1">
        <f ca="1">IFERROR(__xludf.DUMMYFUNCTION("""COMPUTED_VALUE"""),10)</f>
        <v>10</v>
      </c>
      <c r="K325" s="1">
        <f ca="1">IFERROR(__xludf.DUMMYFUNCTION("""COMPUTED_VALUE"""),4)</f>
        <v>4</v>
      </c>
      <c r="L325" s="1">
        <f ca="1">IFERROR(__xludf.DUMMYFUNCTION("""COMPUTED_VALUE"""),4)</f>
        <v>4</v>
      </c>
      <c r="M325" s="1">
        <f ca="1">IFERROR(__xludf.DUMMYFUNCTION("""COMPUTED_VALUE"""),9)</f>
        <v>9</v>
      </c>
      <c r="N325" s="1">
        <f ca="1">IFERROR(__xludf.DUMMYFUNCTION("""COMPUTED_VALUE"""),2255)</f>
        <v>2255</v>
      </c>
      <c r="O325" s="1">
        <f ca="1">IFERROR(__xludf.DUMMYFUNCTION("""COMPUTED_VALUE"""),2227)</f>
        <v>2227</v>
      </c>
      <c r="P325" s="1">
        <f ca="1">IFERROR(__xludf.DUMMYFUNCTION("""COMPUTED_VALUE"""),1245)</f>
        <v>1245</v>
      </c>
      <c r="Q325" s="1">
        <f ca="1">IFERROR(__xludf.DUMMYFUNCTION("""COMPUTED_VALUE"""),808)</f>
        <v>808</v>
      </c>
      <c r="R325" s="1">
        <f ca="1">IFERROR(__xludf.DUMMYFUNCTION("""COMPUTED_VALUE"""),1783)</f>
        <v>1783</v>
      </c>
      <c r="S325" s="1">
        <f ca="1">IFERROR(__xludf.DUMMYFUNCTION("""COMPUTED_VALUE"""),0.453)</f>
        <v>0.45300000000000001</v>
      </c>
      <c r="T325" s="1">
        <f ca="1">IFERROR(__xludf.DUMMYFUNCTION("""COMPUTED_VALUE"""),207)</f>
        <v>207</v>
      </c>
      <c r="U325" s="1">
        <f ca="1">IFERROR(__xludf.DUMMYFUNCTION("""COMPUTED_VALUE"""),653)</f>
        <v>653</v>
      </c>
      <c r="V325" s="1">
        <f ca="1">IFERROR(__xludf.DUMMYFUNCTION("""COMPUTED_VALUE"""),0.317)</f>
        <v>0.317</v>
      </c>
      <c r="W325" s="1">
        <f ca="1">IFERROR(__xludf.DUMMYFUNCTION("""COMPUTED_VALUE"""),432)</f>
        <v>432</v>
      </c>
      <c r="X325" s="1">
        <f ca="1">IFERROR(__xludf.DUMMYFUNCTION("""COMPUTED_VALUE"""),643)</f>
        <v>643</v>
      </c>
      <c r="Y325" s="1">
        <f ca="1">IFERROR(__xludf.DUMMYFUNCTION("""COMPUTED_VALUE"""),0.672)</f>
        <v>0.67200000000000004</v>
      </c>
      <c r="Z325" s="1">
        <f ca="1">IFERROR(__xludf.DUMMYFUNCTION("""COMPUTED_VALUE"""),322)</f>
        <v>322</v>
      </c>
      <c r="AA325" s="1">
        <f ca="1">IFERROR(__xludf.DUMMYFUNCTION("""COMPUTED_VALUE"""),1147)</f>
        <v>1147</v>
      </c>
      <c r="AB325" s="1">
        <f ca="1">IFERROR(__xludf.DUMMYFUNCTION("""COMPUTED_VALUE"""),392)</f>
        <v>392</v>
      </c>
      <c r="AC325" s="1">
        <f ca="1">IFERROR(__xludf.DUMMYFUNCTION("""COMPUTED_VALUE"""),186)</f>
        <v>186</v>
      </c>
      <c r="AD325" s="1">
        <f ca="1">IFERROR(__xludf.DUMMYFUNCTION("""COMPUTED_VALUE"""),147)</f>
        <v>147</v>
      </c>
      <c r="AE325" s="1">
        <f ca="1">IFERROR(__xludf.DUMMYFUNCTION("""COMPUTED_VALUE"""),467)</f>
        <v>467</v>
      </c>
      <c r="AF325" s="1">
        <f ca="1">IFERROR(__xludf.DUMMYFUNCTION("""COMPUTED_VALUE"""),586)</f>
        <v>586</v>
      </c>
    </row>
    <row r="326" spans="1:32" ht="12.5" x14ac:dyDescent="0.25">
      <c r="A326" s="1" t="str">
        <f ca="1">IFERROR(__xludf.DUMMYFUNCTION("""COMPUTED_VALUE"""),"Stephen F. Austin")</f>
        <v>Stephen F. Austin</v>
      </c>
      <c r="B326" s="1">
        <f ca="1">IFERROR(__xludf.DUMMYFUNCTION("""COMPUTED_VALUE"""),30)</f>
        <v>30</v>
      </c>
      <c r="C326" s="1">
        <f ca="1">IFERROR(__xludf.DUMMYFUNCTION("""COMPUTED_VALUE"""),14)</f>
        <v>14</v>
      </c>
      <c r="D326" s="1">
        <f ca="1">IFERROR(__xludf.DUMMYFUNCTION("""COMPUTED_VALUE"""),16)</f>
        <v>16</v>
      </c>
      <c r="E326" s="1">
        <f ca="1">IFERROR(__xludf.DUMMYFUNCTION("""COMPUTED_VALUE"""),0.467)</f>
        <v>0.46700000000000003</v>
      </c>
      <c r="F326" s="1">
        <f ca="1">IFERROR(__xludf.DUMMYFUNCTION("""COMPUTED_VALUE"""),-10.99)</f>
        <v>-10.99</v>
      </c>
      <c r="G326" s="1">
        <f ca="1">IFERROR(__xludf.DUMMYFUNCTION("""COMPUTED_VALUE"""),-5.92)</f>
        <v>-5.92</v>
      </c>
      <c r="H326" s="1">
        <f ca="1">IFERROR(__xludf.DUMMYFUNCTION("""COMPUTED_VALUE"""),7)</f>
        <v>7</v>
      </c>
      <c r="I326" s="1">
        <f ca="1">IFERROR(__xludf.DUMMYFUNCTION("""COMPUTED_VALUE"""),11)</f>
        <v>11</v>
      </c>
      <c r="J326" s="1">
        <f ca="1">IFERROR(__xludf.DUMMYFUNCTION("""COMPUTED_VALUE"""),10)</f>
        <v>10</v>
      </c>
      <c r="K326" s="1">
        <f ca="1">IFERROR(__xludf.DUMMYFUNCTION("""COMPUTED_VALUE"""),6)</f>
        <v>6</v>
      </c>
      <c r="L326" s="1">
        <f ca="1">IFERROR(__xludf.DUMMYFUNCTION("""COMPUTED_VALUE"""),3)</f>
        <v>3</v>
      </c>
      <c r="M326" s="1">
        <f ca="1">IFERROR(__xludf.DUMMYFUNCTION("""COMPUTED_VALUE"""),9)</f>
        <v>9</v>
      </c>
      <c r="N326" s="1">
        <f ca="1">IFERROR(__xludf.DUMMYFUNCTION("""COMPUTED_VALUE"""),2105)</f>
        <v>2105</v>
      </c>
      <c r="O326" s="1">
        <f ca="1">IFERROR(__xludf.DUMMYFUNCTION("""COMPUTED_VALUE"""),2161)</f>
        <v>2161</v>
      </c>
      <c r="P326" s="1">
        <f ca="1">IFERROR(__xludf.DUMMYFUNCTION("""COMPUTED_VALUE"""),1210)</f>
        <v>1210</v>
      </c>
      <c r="Q326" s="1">
        <f ca="1">IFERROR(__xludf.DUMMYFUNCTION("""COMPUTED_VALUE"""),745)</f>
        <v>745</v>
      </c>
      <c r="R326" s="1">
        <f ca="1">IFERROR(__xludf.DUMMYFUNCTION("""COMPUTED_VALUE"""),1696)</f>
        <v>1696</v>
      </c>
      <c r="S326" s="1">
        <f ca="1">IFERROR(__xludf.DUMMYFUNCTION("""COMPUTED_VALUE"""),0.439)</f>
        <v>0.439</v>
      </c>
      <c r="T326" s="1">
        <f ca="1">IFERROR(__xludf.DUMMYFUNCTION("""COMPUTED_VALUE"""),201)</f>
        <v>201</v>
      </c>
      <c r="U326" s="1">
        <f ca="1">IFERROR(__xludf.DUMMYFUNCTION("""COMPUTED_VALUE"""),588)</f>
        <v>588</v>
      </c>
      <c r="V326" s="1">
        <f ca="1">IFERROR(__xludf.DUMMYFUNCTION("""COMPUTED_VALUE"""),0.342)</f>
        <v>0.34200000000000003</v>
      </c>
      <c r="W326" s="1">
        <f ca="1">IFERROR(__xludf.DUMMYFUNCTION("""COMPUTED_VALUE"""),414)</f>
        <v>414</v>
      </c>
      <c r="X326" s="1">
        <f ca="1">IFERROR(__xludf.DUMMYFUNCTION("""COMPUTED_VALUE"""),607)</f>
        <v>607</v>
      </c>
      <c r="Y326" s="1">
        <f ca="1">IFERROR(__xludf.DUMMYFUNCTION("""COMPUTED_VALUE"""),0.682)</f>
        <v>0.68200000000000005</v>
      </c>
      <c r="Z326" s="1">
        <f ca="1">IFERROR(__xludf.DUMMYFUNCTION("""COMPUTED_VALUE"""),313)</f>
        <v>313</v>
      </c>
      <c r="AA326" s="1">
        <f ca="1">IFERROR(__xludf.DUMMYFUNCTION("""COMPUTED_VALUE"""),1008)</f>
        <v>1008</v>
      </c>
      <c r="AB326" s="1">
        <f ca="1">IFERROR(__xludf.DUMMYFUNCTION("""COMPUTED_VALUE"""),348)</f>
        <v>348</v>
      </c>
      <c r="AC326" s="1">
        <f ca="1">IFERROR(__xludf.DUMMYFUNCTION("""COMPUTED_VALUE"""),192)</f>
        <v>192</v>
      </c>
      <c r="AD326" s="1">
        <f ca="1">IFERROR(__xludf.DUMMYFUNCTION("""COMPUTED_VALUE"""),113)</f>
        <v>113</v>
      </c>
      <c r="AE326" s="1">
        <f ca="1">IFERROR(__xludf.DUMMYFUNCTION("""COMPUTED_VALUE"""),442)</f>
        <v>442</v>
      </c>
      <c r="AF326" s="1">
        <f ca="1">IFERROR(__xludf.DUMMYFUNCTION("""COMPUTED_VALUE"""),579)</f>
        <v>579</v>
      </c>
    </row>
    <row r="327" spans="1:32" ht="12.5" x14ac:dyDescent="0.25">
      <c r="A327" s="1" t="str">
        <f ca="1">IFERROR(__xludf.DUMMYFUNCTION("""COMPUTED_VALUE"""),"Stetson")</f>
        <v>Stetson</v>
      </c>
      <c r="B327" s="1">
        <f ca="1">IFERROR(__xludf.DUMMYFUNCTION("""COMPUTED_VALUE"""),31)</f>
        <v>31</v>
      </c>
      <c r="C327" s="1">
        <f ca="1">IFERROR(__xludf.DUMMYFUNCTION("""COMPUTED_VALUE"""),7)</f>
        <v>7</v>
      </c>
      <c r="D327" s="1">
        <f ca="1">IFERROR(__xludf.DUMMYFUNCTION("""COMPUTED_VALUE"""),24)</f>
        <v>24</v>
      </c>
      <c r="E327" s="1">
        <f ca="1">IFERROR(__xludf.DUMMYFUNCTION("""COMPUTED_VALUE"""),0.226)</f>
        <v>0.22600000000000001</v>
      </c>
      <c r="F327" s="1">
        <f ca="1">IFERROR(__xludf.DUMMYFUNCTION("""COMPUTED_VALUE"""),-15.01)</f>
        <v>-15.01</v>
      </c>
      <c r="G327" s="1">
        <f ca="1">IFERROR(__xludf.DUMMYFUNCTION("""COMPUTED_VALUE"""),-3.46)</f>
        <v>-3.46</v>
      </c>
      <c r="H327" s="1">
        <f ca="1">IFERROR(__xludf.DUMMYFUNCTION("""COMPUTED_VALUE"""),3)</f>
        <v>3</v>
      </c>
      <c r="I327" s="1">
        <f ca="1">IFERROR(__xludf.DUMMYFUNCTION("""COMPUTED_VALUE"""),13)</f>
        <v>13</v>
      </c>
      <c r="J327" s="1">
        <f ca="1">IFERROR(__xludf.DUMMYFUNCTION("""COMPUTED_VALUE"""),7)</f>
        <v>7</v>
      </c>
      <c r="K327" s="1">
        <f ca="1">IFERROR(__xludf.DUMMYFUNCTION("""COMPUTED_VALUE"""),8)</f>
        <v>8</v>
      </c>
      <c r="L327" s="1">
        <f ca="1">IFERROR(__xludf.DUMMYFUNCTION("""COMPUTED_VALUE"""),0)</f>
        <v>0</v>
      </c>
      <c r="M327" s="1">
        <f ca="1">IFERROR(__xludf.DUMMYFUNCTION("""COMPUTED_VALUE"""),16)</f>
        <v>16</v>
      </c>
      <c r="N327" s="1">
        <f ca="1">IFERROR(__xludf.DUMMYFUNCTION("""COMPUTED_VALUE"""),2151)</f>
        <v>2151</v>
      </c>
      <c r="O327" s="1">
        <f ca="1">IFERROR(__xludf.DUMMYFUNCTION("""COMPUTED_VALUE"""),2429)</f>
        <v>2429</v>
      </c>
      <c r="P327" s="1">
        <f ca="1">IFERROR(__xludf.DUMMYFUNCTION("""COMPUTED_VALUE"""),1245)</f>
        <v>1245</v>
      </c>
      <c r="Q327" s="1">
        <f ca="1">IFERROR(__xludf.DUMMYFUNCTION("""COMPUTED_VALUE"""),794)</f>
        <v>794</v>
      </c>
      <c r="R327" s="1">
        <f ca="1">IFERROR(__xludf.DUMMYFUNCTION("""COMPUTED_VALUE"""),1962)</f>
        <v>1962</v>
      </c>
      <c r="S327" s="1">
        <f ca="1">IFERROR(__xludf.DUMMYFUNCTION("""COMPUTED_VALUE"""),0.405)</f>
        <v>0.40500000000000003</v>
      </c>
      <c r="T327" s="1">
        <f ca="1">IFERROR(__xludf.DUMMYFUNCTION("""COMPUTED_VALUE"""),215)</f>
        <v>215</v>
      </c>
      <c r="U327" s="1">
        <f ca="1">IFERROR(__xludf.DUMMYFUNCTION("""COMPUTED_VALUE"""),684)</f>
        <v>684</v>
      </c>
      <c r="V327" s="1">
        <f ca="1">IFERROR(__xludf.DUMMYFUNCTION("""COMPUTED_VALUE"""),0.314)</f>
        <v>0.314</v>
      </c>
      <c r="W327" s="1">
        <f ca="1">IFERROR(__xludf.DUMMYFUNCTION("""COMPUTED_VALUE"""),348)</f>
        <v>348</v>
      </c>
      <c r="X327" s="1">
        <f ca="1">IFERROR(__xludf.DUMMYFUNCTION("""COMPUTED_VALUE"""),503)</f>
        <v>503</v>
      </c>
      <c r="Y327" s="1">
        <f ca="1">IFERROR(__xludf.DUMMYFUNCTION("""COMPUTED_VALUE"""),0.692)</f>
        <v>0.69199999999999995</v>
      </c>
      <c r="Z327" s="1">
        <f ca="1">IFERROR(__xludf.DUMMYFUNCTION("""COMPUTED_VALUE"""),359)</f>
        <v>359</v>
      </c>
      <c r="AA327" s="1">
        <f ca="1">IFERROR(__xludf.DUMMYFUNCTION("""COMPUTED_VALUE"""),1110)</f>
        <v>1110</v>
      </c>
      <c r="AB327" s="1">
        <f ca="1">IFERROR(__xludf.DUMMYFUNCTION("""COMPUTED_VALUE"""),418)</f>
        <v>418</v>
      </c>
      <c r="AC327" s="1">
        <f ca="1">IFERROR(__xludf.DUMMYFUNCTION("""COMPUTED_VALUE"""),210)</f>
        <v>210</v>
      </c>
      <c r="AD327" s="1">
        <f ca="1">IFERROR(__xludf.DUMMYFUNCTION("""COMPUTED_VALUE"""),94)</f>
        <v>94</v>
      </c>
      <c r="AE327" s="1">
        <f ca="1">IFERROR(__xludf.DUMMYFUNCTION("""COMPUTED_VALUE"""),394)</f>
        <v>394</v>
      </c>
      <c r="AF327" s="1">
        <f ca="1">IFERROR(__xludf.DUMMYFUNCTION("""COMPUTED_VALUE"""),536)</f>
        <v>536</v>
      </c>
    </row>
    <row r="328" spans="1:32" ht="12.5" x14ac:dyDescent="0.25">
      <c r="A328" s="1" t="str">
        <f ca="1">IFERROR(__xludf.DUMMYFUNCTION("""COMPUTED_VALUE"""),"Stony Brook")</f>
        <v>Stony Brook</v>
      </c>
      <c r="B328" s="1">
        <f ca="1">IFERROR(__xludf.DUMMYFUNCTION("""COMPUTED_VALUE"""),33)</f>
        <v>33</v>
      </c>
      <c r="C328" s="1">
        <f ca="1">IFERROR(__xludf.DUMMYFUNCTION("""COMPUTED_VALUE"""),24)</f>
        <v>24</v>
      </c>
      <c r="D328" s="1">
        <f ca="1">IFERROR(__xludf.DUMMYFUNCTION("""COMPUTED_VALUE"""),9)</f>
        <v>9</v>
      </c>
      <c r="E328" s="1">
        <f ca="1">IFERROR(__xludf.DUMMYFUNCTION("""COMPUTED_VALUE"""),0.727)</f>
        <v>0.72699999999999998</v>
      </c>
      <c r="F328" s="1">
        <f ca="1">IFERROR(__xludf.DUMMYFUNCTION("""COMPUTED_VALUE"""),-2.1)</f>
        <v>-2.1</v>
      </c>
      <c r="G328" s="1">
        <f ca="1">IFERROR(__xludf.DUMMYFUNCTION("""COMPUTED_VALUE"""),-6.48)</f>
        <v>-6.48</v>
      </c>
      <c r="H328" s="1">
        <f ca="1">IFERROR(__xludf.DUMMYFUNCTION("""COMPUTED_VALUE"""),12)</f>
        <v>12</v>
      </c>
      <c r="I328" s="1">
        <f ca="1">IFERROR(__xludf.DUMMYFUNCTION("""COMPUTED_VALUE"""),4)</f>
        <v>4</v>
      </c>
      <c r="J328" s="1">
        <f ca="1">IFERROR(__xludf.DUMMYFUNCTION("""COMPUTED_VALUE"""),10)</f>
        <v>10</v>
      </c>
      <c r="K328" s="1">
        <f ca="1">IFERROR(__xludf.DUMMYFUNCTION("""COMPUTED_VALUE"""),4)</f>
        <v>4</v>
      </c>
      <c r="L328" s="1">
        <f ca="1">IFERROR(__xludf.DUMMYFUNCTION("""COMPUTED_VALUE"""),13)</f>
        <v>13</v>
      </c>
      <c r="M328" s="1">
        <f ca="1">IFERROR(__xludf.DUMMYFUNCTION("""COMPUTED_VALUE"""),4)</f>
        <v>4</v>
      </c>
      <c r="N328" s="1">
        <f ca="1">IFERROR(__xludf.DUMMYFUNCTION("""COMPUTED_VALUE"""),2364)</f>
        <v>2364</v>
      </c>
      <c r="O328" s="1">
        <f ca="1">IFERROR(__xludf.DUMMYFUNCTION("""COMPUTED_VALUE"""),2188)</f>
        <v>2188</v>
      </c>
      <c r="P328" s="1">
        <f ca="1">IFERROR(__xludf.DUMMYFUNCTION("""COMPUTED_VALUE"""),1335)</f>
        <v>1335</v>
      </c>
      <c r="Q328" s="1">
        <f ca="1">IFERROR(__xludf.DUMMYFUNCTION("""COMPUTED_VALUE"""),815)</f>
        <v>815</v>
      </c>
      <c r="R328" s="1">
        <f ca="1">IFERROR(__xludf.DUMMYFUNCTION("""COMPUTED_VALUE"""),1937)</f>
        <v>1937</v>
      </c>
      <c r="S328" s="1">
        <f ca="1">IFERROR(__xludf.DUMMYFUNCTION("""COMPUTED_VALUE"""),0.421)</f>
        <v>0.42099999999999999</v>
      </c>
      <c r="T328" s="1">
        <f ca="1">IFERROR(__xludf.DUMMYFUNCTION("""COMPUTED_VALUE"""),233)</f>
        <v>233</v>
      </c>
      <c r="U328" s="1">
        <f ca="1">IFERROR(__xludf.DUMMYFUNCTION("""COMPUTED_VALUE"""),715)</f>
        <v>715</v>
      </c>
      <c r="V328" s="1">
        <f ca="1">IFERROR(__xludf.DUMMYFUNCTION("""COMPUTED_VALUE"""),0.326)</f>
        <v>0.32600000000000001</v>
      </c>
      <c r="W328" s="1">
        <f ca="1">IFERROR(__xludf.DUMMYFUNCTION("""COMPUTED_VALUE"""),501)</f>
        <v>501</v>
      </c>
      <c r="X328" s="1">
        <f ca="1">IFERROR(__xludf.DUMMYFUNCTION("""COMPUTED_VALUE"""),695)</f>
        <v>695</v>
      </c>
      <c r="Y328" s="1">
        <f ca="1">IFERROR(__xludf.DUMMYFUNCTION("""COMPUTED_VALUE"""),0.721)</f>
        <v>0.72099999999999997</v>
      </c>
      <c r="Z328" s="1">
        <f ca="1">IFERROR(__xludf.DUMMYFUNCTION("""COMPUTED_VALUE"""),410)</f>
        <v>410</v>
      </c>
      <c r="AA328" s="1">
        <f ca="1">IFERROR(__xludf.DUMMYFUNCTION("""COMPUTED_VALUE"""),1348)</f>
        <v>1348</v>
      </c>
      <c r="AB328" s="1">
        <f ca="1">IFERROR(__xludf.DUMMYFUNCTION("""COMPUTED_VALUE"""),372)</f>
        <v>372</v>
      </c>
      <c r="AC328" s="1">
        <f ca="1">IFERROR(__xludf.DUMMYFUNCTION("""COMPUTED_VALUE"""),209)</f>
        <v>209</v>
      </c>
      <c r="AD328" s="1">
        <f ca="1">IFERROR(__xludf.DUMMYFUNCTION("""COMPUTED_VALUE"""),142)</f>
        <v>142</v>
      </c>
      <c r="AE328" s="1">
        <f ca="1">IFERROR(__xludf.DUMMYFUNCTION("""COMPUTED_VALUE"""),478)</f>
        <v>478</v>
      </c>
      <c r="AF328" s="1">
        <f ca="1">IFERROR(__xludf.DUMMYFUNCTION("""COMPUTED_VALUE"""),631)</f>
        <v>631</v>
      </c>
    </row>
    <row r="329" spans="1:32" ht="12.5" x14ac:dyDescent="0.25">
      <c r="A329" s="1" t="str">
        <f ca="1">IFERROR(__xludf.DUMMYFUNCTION("""COMPUTED_VALUE"""),"Syracuse")</f>
        <v>Syracuse</v>
      </c>
      <c r="B329" s="1">
        <f ca="1">IFERROR(__xludf.DUMMYFUNCTION("""COMPUTED_VALUE"""),34)</f>
        <v>34</v>
      </c>
      <c r="C329" s="1">
        <f ca="1">IFERROR(__xludf.DUMMYFUNCTION("""COMPUTED_VALUE"""),20)</f>
        <v>20</v>
      </c>
      <c r="D329" s="1">
        <f ca="1">IFERROR(__xludf.DUMMYFUNCTION("""COMPUTED_VALUE"""),14)</f>
        <v>14</v>
      </c>
      <c r="E329" s="1">
        <f ca="1">IFERROR(__xludf.DUMMYFUNCTION("""COMPUTED_VALUE"""),0.588)</f>
        <v>0.58799999999999997</v>
      </c>
      <c r="F329" s="1">
        <f ca="1">IFERROR(__xludf.DUMMYFUNCTION("""COMPUTED_VALUE"""),13.73)</f>
        <v>13.73</v>
      </c>
      <c r="G329" s="1">
        <f ca="1">IFERROR(__xludf.DUMMYFUNCTION("""COMPUTED_VALUE"""),10.09)</f>
        <v>10.09</v>
      </c>
      <c r="H329" s="1">
        <f ca="1">IFERROR(__xludf.DUMMYFUNCTION("""COMPUTED_VALUE"""),10)</f>
        <v>10</v>
      </c>
      <c r="I329" s="1">
        <f ca="1">IFERROR(__xludf.DUMMYFUNCTION("""COMPUTED_VALUE"""),8)</f>
        <v>8</v>
      </c>
      <c r="J329" s="1">
        <f ca="1">IFERROR(__xludf.DUMMYFUNCTION("""COMPUTED_VALUE"""),13)</f>
        <v>13</v>
      </c>
      <c r="K329" s="1">
        <f ca="1">IFERROR(__xludf.DUMMYFUNCTION("""COMPUTED_VALUE"""),6)</f>
        <v>6</v>
      </c>
      <c r="L329" s="1">
        <f ca="1">IFERROR(__xludf.DUMMYFUNCTION("""COMPUTED_VALUE"""),6)</f>
        <v>6</v>
      </c>
      <c r="M329" s="1">
        <f ca="1">IFERROR(__xludf.DUMMYFUNCTION("""COMPUTED_VALUE"""),4)</f>
        <v>4</v>
      </c>
      <c r="N329" s="1">
        <f ca="1">IFERROR(__xludf.DUMMYFUNCTION("""COMPUTED_VALUE"""),2370)</f>
        <v>2370</v>
      </c>
      <c r="O329" s="1">
        <f ca="1">IFERROR(__xludf.DUMMYFUNCTION("""COMPUTED_VALUE"""),2246)</f>
        <v>2246</v>
      </c>
      <c r="P329" s="1">
        <f ca="1">IFERROR(__xludf.DUMMYFUNCTION("""COMPUTED_VALUE"""),1365)</f>
        <v>1365</v>
      </c>
      <c r="Q329" s="1">
        <f ca="1">IFERROR(__xludf.DUMMYFUNCTION("""COMPUTED_VALUE"""),808)</f>
        <v>808</v>
      </c>
      <c r="R329" s="1">
        <f ca="1">IFERROR(__xludf.DUMMYFUNCTION("""COMPUTED_VALUE"""),1907)</f>
        <v>1907</v>
      </c>
      <c r="S329" s="1">
        <f ca="1">IFERROR(__xludf.DUMMYFUNCTION("""COMPUTED_VALUE"""),0.424)</f>
        <v>0.42399999999999999</v>
      </c>
      <c r="T329" s="1">
        <f ca="1">IFERROR(__xludf.DUMMYFUNCTION("""COMPUTED_VALUE"""),274)</f>
        <v>274</v>
      </c>
      <c r="U329" s="1">
        <f ca="1">IFERROR(__xludf.DUMMYFUNCTION("""COMPUTED_VALUE"""),824)</f>
        <v>824</v>
      </c>
      <c r="V329" s="1">
        <f ca="1">IFERROR(__xludf.DUMMYFUNCTION("""COMPUTED_VALUE"""),0.333)</f>
        <v>0.33300000000000002</v>
      </c>
      <c r="W329" s="1">
        <f ca="1">IFERROR(__xludf.DUMMYFUNCTION("""COMPUTED_VALUE"""),480)</f>
        <v>480</v>
      </c>
      <c r="X329" s="1">
        <f ca="1">IFERROR(__xludf.DUMMYFUNCTION("""COMPUTED_VALUE"""),701)</f>
        <v>701</v>
      </c>
      <c r="Y329" s="1">
        <f ca="1">IFERROR(__xludf.DUMMYFUNCTION("""COMPUTED_VALUE"""),0.685)</f>
        <v>0.68500000000000005</v>
      </c>
      <c r="Z329" s="1">
        <f ca="1">IFERROR(__xludf.DUMMYFUNCTION("""COMPUTED_VALUE"""),363)</f>
        <v>363</v>
      </c>
      <c r="AA329" s="1">
        <f ca="1">IFERROR(__xludf.DUMMYFUNCTION("""COMPUTED_VALUE"""),1174)</f>
        <v>1174</v>
      </c>
      <c r="AB329" s="1">
        <f ca="1">IFERROR(__xludf.DUMMYFUNCTION("""COMPUTED_VALUE"""),408)</f>
        <v>408</v>
      </c>
      <c r="AC329" s="1">
        <f ca="1">IFERROR(__xludf.DUMMYFUNCTION("""COMPUTED_VALUE"""),278)</f>
        <v>278</v>
      </c>
      <c r="AD329" s="1">
        <f ca="1">IFERROR(__xludf.DUMMYFUNCTION("""COMPUTED_VALUE"""),162)</f>
        <v>162</v>
      </c>
      <c r="AE329" s="1">
        <f ca="1">IFERROR(__xludf.DUMMYFUNCTION("""COMPUTED_VALUE"""),423)</f>
        <v>423</v>
      </c>
      <c r="AF329" s="1">
        <f ca="1">IFERROR(__xludf.DUMMYFUNCTION("""COMPUTED_VALUE"""),588)</f>
        <v>588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IFERROR(__xludf.DUMMYFUNCTION("""COMPUTED_VALUE"""),"Temple")</f>
        <v>Temple</v>
      </c>
      <c r="B332" s="1">
        <f ca="1">IFERROR(__xludf.DUMMYFUNCTION("""COMPUTED_VALUE"""),33)</f>
        <v>33</v>
      </c>
      <c r="C332" s="1">
        <f ca="1">IFERROR(__xludf.DUMMYFUNCTION("""COMPUTED_VALUE"""),23)</f>
        <v>23</v>
      </c>
      <c r="D332" s="1">
        <f ca="1">IFERROR(__xludf.DUMMYFUNCTION("""COMPUTED_VALUE"""),10)</f>
        <v>10</v>
      </c>
      <c r="E332" s="1">
        <f ca="1">IFERROR(__xludf.DUMMYFUNCTION("""COMPUTED_VALUE"""),0.697)</f>
        <v>0.69699999999999995</v>
      </c>
      <c r="F332" s="1">
        <f ca="1">IFERROR(__xludf.DUMMYFUNCTION("""COMPUTED_VALUE"""),8.17)</f>
        <v>8.17</v>
      </c>
      <c r="G332" s="1">
        <f ca="1">IFERROR(__xludf.DUMMYFUNCTION("""COMPUTED_VALUE"""),4.93)</f>
        <v>4.93</v>
      </c>
      <c r="H332" s="1">
        <f ca="1">IFERROR(__xludf.DUMMYFUNCTION("""COMPUTED_VALUE"""),13)</f>
        <v>13</v>
      </c>
      <c r="I332" s="1">
        <f ca="1">IFERROR(__xludf.DUMMYFUNCTION("""COMPUTED_VALUE"""),5)</f>
        <v>5</v>
      </c>
      <c r="J332" s="1">
        <f ca="1">IFERROR(__xludf.DUMMYFUNCTION("""COMPUTED_VALUE"""),13)</f>
        <v>13</v>
      </c>
      <c r="K332" s="1">
        <f ca="1">IFERROR(__xludf.DUMMYFUNCTION("""COMPUTED_VALUE"""),2)</f>
        <v>2</v>
      </c>
      <c r="L332" s="1">
        <f ca="1">IFERROR(__xludf.DUMMYFUNCTION("""COMPUTED_VALUE"""),8)</f>
        <v>8</v>
      </c>
      <c r="M332" s="1">
        <f ca="1">IFERROR(__xludf.DUMMYFUNCTION("""COMPUTED_VALUE"""),5)</f>
        <v>5</v>
      </c>
      <c r="N332" s="1">
        <f ca="1">IFERROR(__xludf.DUMMYFUNCTION("""COMPUTED_VALUE"""),2465)</f>
        <v>2465</v>
      </c>
      <c r="O332" s="1">
        <f ca="1">IFERROR(__xludf.DUMMYFUNCTION("""COMPUTED_VALUE"""),2358)</f>
        <v>2358</v>
      </c>
      <c r="P332" s="1">
        <f ca="1">IFERROR(__xludf.DUMMYFUNCTION("""COMPUTED_VALUE"""),1340)</f>
        <v>1340</v>
      </c>
      <c r="Q332" s="1">
        <f ca="1">IFERROR(__xludf.DUMMYFUNCTION("""COMPUTED_VALUE"""),873)</f>
        <v>873</v>
      </c>
      <c r="R332" s="1">
        <f ca="1">IFERROR(__xludf.DUMMYFUNCTION("""COMPUTED_VALUE"""),1998)</f>
        <v>1998</v>
      </c>
      <c r="S332" s="1">
        <f ca="1">IFERROR(__xludf.DUMMYFUNCTION("""COMPUTED_VALUE"""),0.437)</f>
        <v>0.437</v>
      </c>
      <c r="T332" s="1">
        <f ca="1">IFERROR(__xludf.DUMMYFUNCTION("""COMPUTED_VALUE"""),247)</f>
        <v>247</v>
      </c>
      <c r="U332" s="1">
        <f ca="1">IFERROR(__xludf.DUMMYFUNCTION("""COMPUTED_VALUE"""),748)</f>
        <v>748</v>
      </c>
      <c r="V332" s="1">
        <f ca="1">IFERROR(__xludf.DUMMYFUNCTION("""COMPUTED_VALUE"""),0.33)</f>
        <v>0.33</v>
      </c>
      <c r="W332" s="1">
        <f ca="1">IFERROR(__xludf.DUMMYFUNCTION("""COMPUTED_VALUE"""),472)</f>
        <v>472</v>
      </c>
      <c r="X332" s="1">
        <f ca="1">IFERROR(__xludf.DUMMYFUNCTION("""COMPUTED_VALUE"""),649)</f>
        <v>649</v>
      </c>
      <c r="Y332" s="1">
        <f ca="1">IFERROR(__xludf.DUMMYFUNCTION("""COMPUTED_VALUE"""),0.727)</f>
        <v>0.72699999999999998</v>
      </c>
      <c r="Z332" s="1">
        <f ca="1">IFERROR(__xludf.DUMMYFUNCTION("""COMPUTED_VALUE"""),316)</f>
        <v>316</v>
      </c>
      <c r="AA332" s="1">
        <f ca="1">IFERROR(__xludf.DUMMYFUNCTION("""COMPUTED_VALUE"""),1136)</f>
        <v>1136</v>
      </c>
      <c r="AB332" s="1">
        <f ca="1">IFERROR(__xludf.DUMMYFUNCTION("""COMPUTED_VALUE"""),476)</f>
        <v>476</v>
      </c>
      <c r="AC332" s="1">
        <f ca="1">IFERROR(__xludf.DUMMYFUNCTION("""COMPUTED_VALUE"""),284)</f>
        <v>284</v>
      </c>
      <c r="AD332" s="1">
        <f ca="1">IFERROR(__xludf.DUMMYFUNCTION("""COMPUTED_VALUE"""),73)</f>
        <v>73</v>
      </c>
      <c r="AE332" s="1">
        <f ca="1">IFERROR(__xludf.DUMMYFUNCTION("""COMPUTED_VALUE"""),368)</f>
        <v>368</v>
      </c>
      <c r="AF332" s="1">
        <f ca="1">IFERROR(__xludf.DUMMYFUNCTION("""COMPUTED_VALUE"""),581)</f>
        <v>581</v>
      </c>
    </row>
    <row r="333" spans="1:32" ht="12.5" x14ac:dyDescent="0.25">
      <c r="A333" s="1" t="str">
        <f ca="1">IFERROR(__xludf.DUMMYFUNCTION("""COMPUTED_VALUE"""),"Tennessee-Martin")</f>
        <v>Tennessee-Martin</v>
      </c>
      <c r="B333" s="1">
        <f ca="1">IFERROR(__xludf.DUMMYFUNCTION("""COMPUTED_VALUE"""),31)</f>
        <v>31</v>
      </c>
      <c r="C333" s="1">
        <f ca="1">IFERROR(__xludf.DUMMYFUNCTION("""COMPUTED_VALUE"""),12)</f>
        <v>12</v>
      </c>
      <c r="D333" s="1">
        <f ca="1">IFERROR(__xludf.DUMMYFUNCTION("""COMPUTED_VALUE"""),19)</f>
        <v>19</v>
      </c>
      <c r="E333" s="1">
        <f ca="1">IFERROR(__xludf.DUMMYFUNCTION("""COMPUTED_VALUE"""),0.387)</f>
        <v>0.38700000000000001</v>
      </c>
      <c r="F333" s="1">
        <f ca="1">IFERROR(__xludf.DUMMYFUNCTION("""COMPUTED_VALUE"""),-10.94)</f>
        <v>-10.94</v>
      </c>
      <c r="G333" s="1">
        <f ca="1">IFERROR(__xludf.DUMMYFUNCTION("""COMPUTED_VALUE"""),-4.32)</f>
        <v>-4.32</v>
      </c>
      <c r="H333" s="1">
        <f ca="1">IFERROR(__xludf.DUMMYFUNCTION("""COMPUTED_VALUE"""),6)</f>
        <v>6</v>
      </c>
      <c r="I333" s="1">
        <f ca="1">IFERROR(__xludf.DUMMYFUNCTION("""COMPUTED_VALUE"""),12)</f>
        <v>12</v>
      </c>
      <c r="J333" s="1">
        <f ca="1">IFERROR(__xludf.DUMMYFUNCTION("""COMPUTED_VALUE"""),10)</f>
        <v>10</v>
      </c>
      <c r="K333" s="1">
        <f ca="1">IFERROR(__xludf.DUMMYFUNCTION("""COMPUTED_VALUE"""),4)</f>
        <v>4</v>
      </c>
      <c r="L333" s="1">
        <f ca="1">IFERROR(__xludf.DUMMYFUNCTION("""COMPUTED_VALUE"""),1)</f>
        <v>1</v>
      </c>
      <c r="M333" s="1">
        <f ca="1">IFERROR(__xludf.DUMMYFUNCTION("""COMPUTED_VALUE"""),14)</f>
        <v>14</v>
      </c>
      <c r="N333" s="1">
        <f ca="1">IFERROR(__xludf.DUMMYFUNCTION("""COMPUTED_VALUE"""),2356)</f>
        <v>2356</v>
      </c>
      <c r="O333" s="1">
        <f ca="1">IFERROR(__xludf.DUMMYFUNCTION("""COMPUTED_VALUE"""),2486)</f>
        <v>2486</v>
      </c>
      <c r="P333" s="1">
        <f ca="1">IFERROR(__xludf.DUMMYFUNCTION("""COMPUTED_VALUE"""),1250)</f>
        <v>1250</v>
      </c>
      <c r="Q333" s="1">
        <f ca="1">IFERROR(__xludf.DUMMYFUNCTION("""COMPUTED_VALUE"""),854)</f>
        <v>854</v>
      </c>
      <c r="R333" s="1">
        <f ca="1">IFERROR(__xludf.DUMMYFUNCTION("""COMPUTED_VALUE"""),1915)</f>
        <v>1915</v>
      </c>
      <c r="S333" s="1">
        <f ca="1">IFERROR(__xludf.DUMMYFUNCTION("""COMPUTED_VALUE"""),0.446)</f>
        <v>0.44600000000000001</v>
      </c>
      <c r="T333" s="1">
        <f ca="1">IFERROR(__xludf.DUMMYFUNCTION("""COMPUTED_VALUE"""),250)</f>
        <v>250</v>
      </c>
      <c r="U333" s="1">
        <f ca="1">IFERROR(__xludf.DUMMYFUNCTION("""COMPUTED_VALUE"""),726)</f>
        <v>726</v>
      </c>
      <c r="V333" s="1">
        <f ca="1">IFERROR(__xludf.DUMMYFUNCTION("""COMPUTED_VALUE"""),0.344)</f>
        <v>0.34399999999999997</v>
      </c>
      <c r="W333" s="1">
        <f ca="1">IFERROR(__xludf.DUMMYFUNCTION("""COMPUTED_VALUE"""),398)</f>
        <v>398</v>
      </c>
      <c r="X333" s="1">
        <f ca="1">IFERROR(__xludf.DUMMYFUNCTION("""COMPUTED_VALUE"""),528)</f>
        <v>528</v>
      </c>
      <c r="Y333" s="1">
        <f ca="1">IFERROR(__xludf.DUMMYFUNCTION("""COMPUTED_VALUE"""),0.754)</f>
        <v>0.754</v>
      </c>
      <c r="Z333" s="1">
        <f ca="1">IFERROR(__xludf.DUMMYFUNCTION("""COMPUTED_VALUE"""),351)</f>
        <v>351</v>
      </c>
      <c r="AA333" s="1">
        <f ca="1">IFERROR(__xludf.DUMMYFUNCTION("""COMPUTED_VALUE"""),1062)</f>
        <v>1062</v>
      </c>
      <c r="AB333" s="1">
        <f ca="1">IFERROR(__xludf.DUMMYFUNCTION("""COMPUTED_VALUE"""),441)</f>
        <v>441</v>
      </c>
      <c r="AC333" s="1">
        <f ca="1">IFERROR(__xludf.DUMMYFUNCTION("""COMPUTED_VALUE"""),223)</f>
        <v>223</v>
      </c>
      <c r="AD333" s="1">
        <f ca="1">IFERROR(__xludf.DUMMYFUNCTION("""COMPUTED_VALUE"""),88)</f>
        <v>88</v>
      </c>
      <c r="AE333" s="1">
        <f ca="1">IFERROR(__xludf.DUMMYFUNCTION("""COMPUTED_VALUE"""),418)</f>
        <v>418</v>
      </c>
      <c r="AF333" s="1">
        <f ca="1">IFERROR(__xludf.DUMMYFUNCTION("""COMPUTED_VALUE"""),490)</f>
        <v>490</v>
      </c>
    </row>
    <row r="334" spans="1:32" ht="12.5" x14ac:dyDescent="0.25">
      <c r="A334" s="1" t="str">
        <f ca="1">IFERROR(__xludf.DUMMYFUNCTION("""COMPUTED_VALUE"""),"Tennessee State")</f>
        <v>Tennessee State</v>
      </c>
      <c r="B334" s="1">
        <f ca="1">IFERROR(__xludf.DUMMYFUNCTION("""COMPUTED_VALUE"""),30)</f>
        <v>30</v>
      </c>
      <c r="C334" s="1">
        <f ca="1">IFERROR(__xludf.DUMMYFUNCTION("""COMPUTED_VALUE"""),9)</f>
        <v>9</v>
      </c>
      <c r="D334" s="1">
        <f ca="1">IFERROR(__xludf.DUMMYFUNCTION("""COMPUTED_VALUE"""),21)</f>
        <v>21</v>
      </c>
      <c r="E334" s="1">
        <f ca="1">IFERROR(__xludf.DUMMYFUNCTION("""COMPUTED_VALUE"""),0.3)</f>
        <v>0.3</v>
      </c>
      <c r="F334" s="1">
        <f ca="1">IFERROR(__xludf.DUMMYFUNCTION("""COMPUTED_VALUE"""),-11.62)</f>
        <v>-11.62</v>
      </c>
      <c r="G334" s="1">
        <f ca="1">IFERROR(__xludf.DUMMYFUNCTION("""COMPUTED_VALUE"""),-3.15)</f>
        <v>-3.15</v>
      </c>
      <c r="H334" s="1">
        <f ca="1">IFERROR(__xludf.DUMMYFUNCTION("""COMPUTED_VALUE"""),6)</f>
        <v>6</v>
      </c>
      <c r="I334" s="1">
        <f ca="1">IFERROR(__xludf.DUMMYFUNCTION("""COMPUTED_VALUE"""),12)</f>
        <v>12</v>
      </c>
      <c r="J334" s="1">
        <f ca="1">IFERROR(__xludf.DUMMYFUNCTION("""COMPUTED_VALUE"""),6)</f>
        <v>6</v>
      </c>
      <c r="K334" s="1">
        <f ca="1">IFERROR(__xludf.DUMMYFUNCTION("""COMPUTED_VALUE"""),7)</f>
        <v>7</v>
      </c>
      <c r="L334" s="1">
        <f ca="1">IFERROR(__xludf.DUMMYFUNCTION("""COMPUTED_VALUE"""),3)</f>
        <v>3</v>
      </c>
      <c r="M334" s="1">
        <f ca="1">IFERROR(__xludf.DUMMYFUNCTION("""COMPUTED_VALUE"""),14)</f>
        <v>14</v>
      </c>
      <c r="N334" s="1">
        <f ca="1">IFERROR(__xludf.DUMMYFUNCTION("""COMPUTED_VALUE"""),2182)</f>
        <v>2182</v>
      </c>
      <c r="O334" s="1">
        <f ca="1">IFERROR(__xludf.DUMMYFUNCTION("""COMPUTED_VALUE"""),2332)</f>
        <v>2332</v>
      </c>
      <c r="P334" s="1">
        <f ca="1">IFERROR(__xludf.DUMMYFUNCTION("""COMPUTED_VALUE"""),1210)</f>
        <v>1210</v>
      </c>
      <c r="Q334" s="1">
        <f ca="1">IFERROR(__xludf.DUMMYFUNCTION("""COMPUTED_VALUE"""),751)</f>
        <v>751</v>
      </c>
      <c r="R334" s="1">
        <f ca="1">IFERROR(__xludf.DUMMYFUNCTION("""COMPUTED_VALUE"""),1739)</f>
        <v>1739</v>
      </c>
      <c r="S334" s="1">
        <f ca="1">IFERROR(__xludf.DUMMYFUNCTION("""COMPUTED_VALUE"""),0.432)</f>
        <v>0.432</v>
      </c>
      <c r="T334" s="1">
        <f ca="1">IFERROR(__xludf.DUMMYFUNCTION("""COMPUTED_VALUE"""),240)</f>
        <v>240</v>
      </c>
      <c r="U334" s="1">
        <f ca="1">IFERROR(__xludf.DUMMYFUNCTION("""COMPUTED_VALUE"""),716)</f>
        <v>716</v>
      </c>
      <c r="V334" s="1">
        <f ca="1">IFERROR(__xludf.DUMMYFUNCTION("""COMPUTED_VALUE"""),0.335)</f>
        <v>0.33500000000000002</v>
      </c>
      <c r="W334" s="1">
        <f ca="1">IFERROR(__xludf.DUMMYFUNCTION("""COMPUTED_VALUE"""),440)</f>
        <v>440</v>
      </c>
      <c r="X334" s="1">
        <f ca="1">IFERROR(__xludf.DUMMYFUNCTION("""COMPUTED_VALUE"""),628)</f>
        <v>628</v>
      </c>
      <c r="Y334" s="1">
        <f ca="1">IFERROR(__xludf.DUMMYFUNCTION("""COMPUTED_VALUE"""),0.701)</f>
        <v>0.70099999999999996</v>
      </c>
      <c r="Z334" s="1">
        <f ca="1">IFERROR(__xludf.DUMMYFUNCTION("""COMPUTED_VALUE"""),317)</f>
        <v>317</v>
      </c>
      <c r="AA334" s="1">
        <f ca="1">IFERROR(__xludf.DUMMYFUNCTION("""COMPUTED_VALUE"""),1032)</f>
        <v>1032</v>
      </c>
      <c r="AB334" s="1">
        <f ca="1">IFERROR(__xludf.DUMMYFUNCTION("""COMPUTED_VALUE"""),342)</f>
        <v>342</v>
      </c>
      <c r="AC334" s="1">
        <f ca="1">IFERROR(__xludf.DUMMYFUNCTION("""COMPUTED_VALUE"""),219)</f>
        <v>219</v>
      </c>
      <c r="AD334" s="1">
        <f ca="1">IFERROR(__xludf.DUMMYFUNCTION("""COMPUTED_VALUE"""),78)</f>
        <v>78</v>
      </c>
      <c r="AE334" s="1">
        <f ca="1">IFERROR(__xludf.DUMMYFUNCTION("""COMPUTED_VALUE"""),497)</f>
        <v>497</v>
      </c>
      <c r="AF334" s="1">
        <f ca="1">IFERROR(__xludf.DUMMYFUNCTION("""COMPUTED_VALUE"""),735)</f>
        <v>735</v>
      </c>
    </row>
    <row r="335" spans="1:32" ht="12.5" x14ac:dyDescent="0.25">
      <c r="A335" s="1" t="str">
        <f ca="1">IFERROR(__xludf.DUMMYFUNCTION("""COMPUTED_VALUE"""),"Tennessee Tech")</f>
        <v>Tennessee Tech</v>
      </c>
      <c r="B335" s="1">
        <f ca="1">IFERROR(__xludf.DUMMYFUNCTION("""COMPUTED_VALUE"""),31)</f>
        <v>31</v>
      </c>
      <c r="C335" s="1">
        <f ca="1">IFERROR(__xludf.DUMMYFUNCTION("""COMPUTED_VALUE"""),8)</f>
        <v>8</v>
      </c>
      <c r="D335" s="1">
        <f ca="1">IFERROR(__xludf.DUMMYFUNCTION("""COMPUTED_VALUE"""),23)</f>
        <v>23</v>
      </c>
      <c r="E335" s="1">
        <f ca="1">IFERROR(__xludf.DUMMYFUNCTION("""COMPUTED_VALUE"""),0.258)</f>
        <v>0.25800000000000001</v>
      </c>
      <c r="F335" s="1">
        <f ca="1">IFERROR(__xludf.DUMMYFUNCTION("""COMPUTED_VALUE"""),-14.76)</f>
        <v>-14.76</v>
      </c>
      <c r="G335" s="1">
        <f ca="1">IFERROR(__xludf.DUMMYFUNCTION("""COMPUTED_VALUE"""),-3)</f>
        <v>-3</v>
      </c>
      <c r="H335" s="1">
        <f ca="1">IFERROR(__xludf.DUMMYFUNCTION("""COMPUTED_VALUE"""),4)</f>
        <v>4</v>
      </c>
      <c r="I335" s="1">
        <f ca="1">IFERROR(__xludf.DUMMYFUNCTION("""COMPUTED_VALUE"""),14)</f>
        <v>14</v>
      </c>
      <c r="J335" s="1">
        <f ca="1">IFERROR(__xludf.DUMMYFUNCTION("""COMPUTED_VALUE"""),5)</f>
        <v>5</v>
      </c>
      <c r="K335" s="1">
        <f ca="1">IFERROR(__xludf.DUMMYFUNCTION("""COMPUTED_VALUE"""),10)</f>
        <v>10</v>
      </c>
      <c r="L335" s="1">
        <f ca="1">IFERROR(__xludf.DUMMYFUNCTION("""COMPUTED_VALUE"""),3)</f>
        <v>3</v>
      </c>
      <c r="M335" s="1">
        <f ca="1">IFERROR(__xludf.DUMMYFUNCTION("""COMPUTED_VALUE"""),13)</f>
        <v>13</v>
      </c>
      <c r="N335" s="1">
        <f ca="1">IFERROR(__xludf.DUMMYFUNCTION("""COMPUTED_VALUE"""),2104)</f>
        <v>2104</v>
      </c>
      <c r="O335" s="1">
        <f ca="1">IFERROR(__xludf.DUMMYFUNCTION("""COMPUTED_VALUE"""),2350)</f>
        <v>2350</v>
      </c>
      <c r="P335" s="1">
        <f ca="1">IFERROR(__xludf.DUMMYFUNCTION("""COMPUTED_VALUE"""),1250)</f>
        <v>1250</v>
      </c>
      <c r="Q335" s="1">
        <f ca="1">IFERROR(__xludf.DUMMYFUNCTION("""COMPUTED_VALUE"""),742)</f>
        <v>742</v>
      </c>
      <c r="R335" s="1">
        <f ca="1">IFERROR(__xludf.DUMMYFUNCTION("""COMPUTED_VALUE"""),1784)</f>
        <v>1784</v>
      </c>
      <c r="S335" s="1">
        <f ca="1">IFERROR(__xludf.DUMMYFUNCTION("""COMPUTED_VALUE"""),0.416)</f>
        <v>0.41599999999999998</v>
      </c>
      <c r="T335" s="1">
        <f ca="1">IFERROR(__xludf.DUMMYFUNCTION("""COMPUTED_VALUE"""),213)</f>
        <v>213</v>
      </c>
      <c r="U335" s="1">
        <f ca="1">IFERROR(__xludf.DUMMYFUNCTION("""COMPUTED_VALUE"""),620)</f>
        <v>620</v>
      </c>
      <c r="V335" s="1">
        <f ca="1">IFERROR(__xludf.DUMMYFUNCTION("""COMPUTED_VALUE"""),0.344)</f>
        <v>0.34399999999999997</v>
      </c>
      <c r="W335" s="1">
        <f ca="1">IFERROR(__xludf.DUMMYFUNCTION("""COMPUTED_VALUE"""),407)</f>
        <v>407</v>
      </c>
      <c r="X335" s="1">
        <f ca="1">IFERROR(__xludf.DUMMYFUNCTION("""COMPUTED_VALUE"""),645)</f>
        <v>645</v>
      </c>
      <c r="Y335" s="1">
        <f ca="1">IFERROR(__xludf.DUMMYFUNCTION("""COMPUTED_VALUE"""),0.631)</f>
        <v>0.63100000000000001</v>
      </c>
      <c r="Z335" s="1">
        <f ca="1">IFERROR(__xludf.DUMMYFUNCTION("""COMPUTED_VALUE"""),330)</f>
        <v>330</v>
      </c>
      <c r="AA335" s="1">
        <f ca="1">IFERROR(__xludf.DUMMYFUNCTION("""COMPUTED_VALUE"""),1122)</f>
        <v>1122</v>
      </c>
      <c r="AB335" s="1">
        <f ca="1">IFERROR(__xludf.DUMMYFUNCTION("""COMPUTED_VALUE"""),389)</f>
        <v>389</v>
      </c>
      <c r="AC335" s="1">
        <f ca="1">IFERROR(__xludf.DUMMYFUNCTION("""COMPUTED_VALUE"""),226)</f>
        <v>226</v>
      </c>
      <c r="AD335" s="1">
        <f ca="1">IFERROR(__xludf.DUMMYFUNCTION("""COMPUTED_VALUE"""),134)</f>
        <v>134</v>
      </c>
      <c r="AE335" s="1">
        <f ca="1">IFERROR(__xludf.DUMMYFUNCTION("""COMPUTED_VALUE"""),517)</f>
        <v>517</v>
      </c>
      <c r="AF335" s="1">
        <f ca="1">IFERROR(__xludf.DUMMYFUNCTION("""COMPUTED_VALUE"""),554)</f>
        <v>554</v>
      </c>
    </row>
    <row r="336" spans="1:32" ht="12.5" x14ac:dyDescent="0.25">
      <c r="A336" s="1" t="str">
        <f ca="1">IFERROR(__xludf.DUMMYFUNCTION("""COMPUTED_VALUE"""),"Tennessee")</f>
        <v>Tennessee</v>
      </c>
      <c r="B336" s="1">
        <f ca="1">IFERROR(__xludf.DUMMYFUNCTION("""COMPUTED_VALUE"""),37)</f>
        <v>37</v>
      </c>
      <c r="C336" s="1">
        <f ca="1">IFERROR(__xludf.DUMMYFUNCTION("""COMPUTED_VALUE"""),31)</f>
        <v>31</v>
      </c>
      <c r="D336" s="1">
        <f ca="1">IFERROR(__xludf.DUMMYFUNCTION("""COMPUTED_VALUE"""),6)</f>
        <v>6</v>
      </c>
      <c r="E336" s="1">
        <f ca="1">IFERROR(__xludf.DUMMYFUNCTION("""COMPUTED_VALUE"""),0.838)</f>
        <v>0.83799999999999997</v>
      </c>
      <c r="F336" s="1">
        <f ca="1">IFERROR(__xludf.DUMMYFUNCTION("""COMPUTED_VALUE"""),21.55)</f>
        <v>21.55</v>
      </c>
      <c r="G336" s="1">
        <f ca="1">IFERROR(__xludf.DUMMYFUNCTION("""COMPUTED_VALUE"""),10.16)</f>
        <v>10.16</v>
      </c>
      <c r="H336" s="1">
        <f ca="1">IFERROR(__xludf.DUMMYFUNCTION("""COMPUTED_VALUE"""),15)</f>
        <v>15</v>
      </c>
      <c r="I336" s="1">
        <f ca="1">IFERROR(__xludf.DUMMYFUNCTION("""COMPUTED_VALUE"""),3)</f>
        <v>3</v>
      </c>
      <c r="J336" s="1">
        <f ca="1">IFERROR(__xludf.DUMMYFUNCTION("""COMPUTED_VALUE"""),18)</f>
        <v>18</v>
      </c>
      <c r="K336" s="1">
        <f ca="1">IFERROR(__xludf.DUMMYFUNCTION("""COMPUTED_VALUE"""),0)</f>
        <v>0</v>
      </c>
      <c r="L336" s="1">
        <f ca="1">IFERROR(__xludf.DUMMYFUNCTION("""COMPUTED_VALUE"""),7)</f>
        <v>7</v>
      </c>
      <c r="M336" s="1">
        <f ca="1">IFERROR(__xludf.DUMMYFUNCTION("""COMPUTED_VALUE"""),3)</f>
        <v>3</v>
      </c>
      <c r="N336" s="1">
        <f ca="1">IFERROR(__xludf.DUMMYFUNCTION("""COMPUTED_VALUE"""),3035)</f>
        <v>3035</v>
      </c>
      <c r="O336" s="1">
        <f ca="1">IFERROR(__xludf.DUMMYFUNCTION("""COMPUTED_VALUE"""),2580)</f>
        <v>2580</v>
      </c>
      <c r="P336" s="1">
        <f ca="1">IFERROR(__xludf.DUMMYFUNCTION("""COMPUTED_VALUE"""),1505)</f>
        <v>1505</v>
      </c>
      <c r="Q336" s="1">
        <f ca="1">IFERROR(__xludf.DUMMYFUNCTION("""COMPUTED_VALUE"""),1106)</f>
        <v>1106</v>
      </c>
      <c r="R336" s="1">
        <f ca="1">IFERROR(__xludf.DUMMYFUNCTION("""COMPUTED_VALUE"""),2231)</f>
        <v>2231</v>
      </c>
      <c r="S336" s="1">
        <f ca="1">IFERROR(__xludf.DUMMYFUNCTION("""COMPUTED_VALUE"""),0.496)</f>
        <v>0.496</v>
      </c>
      <c r="T336" s="1">
        <f ca="1">IFERROR(__xludf.DUMMYFUNCTION("""COMPUTED_VALUE"""),262)</f>
        <v>262</v>
      </c>
      <c r="U336" s="1">
        <f ca="1">IFERROR(__xludf.DUMMYFUNCTION("""COMPUTED_VALUE"""),714)</f>
        <v>714</v>
      </c>
      <c r="V336" s="1">
        <f ca="1">IFERROR(__xludf.DUMMYFUNCTION("""COMPUTED_VALUE"""),0.367)</f>
        <v>0.36699999999999999</v>
      </c>
      <c r="W336" s="1">
        <f ca="1">IFERROR(__xludf.DUMMYFUNCTION("""COMPUTED_VALUE"""),561)</f>
        <v>561</v>
      </c>
      <c r="X336" s="1">
        <f ca="1">IFERROR(__xludf.DUMMYFUNCTION("""COMPUTED_VALUE"""),744)</f>
        <v>744</v>
      </c>
      <c r="Y336" s="1">
        <f ca="1">IFERROR(__xludf.DUMMYFUNCTION("""COMPUTED_VALUE"""),0.754)</f>
        <v>0.754</v>
      </c>
      <c r="Z336" s="1">
        <f ca="1">IFERROR(__xludf.DUMMYFUNCTION("""COMPUTED_VALUE"""),379)</f>
        <v>379</v>
      </c>
      <c r="AA336" s="1">
        <f ca="1">IFERROR(__xludf.DUMMYFUNCTION("""COMPUTED_VALUE"""),1391)</f>
        <v>1391</v>
      </c>
      <c r="AB336" s="1">
        <f ca="1">IFERROR(__xludf.DUMMYFUNCTION("""COMPUTED_VALUE"""),660)</f>
        <v>660</v>
      </c>
      <c r="AC336" s="1">
        <f ca="1">IFERROR(__xludf.DUMMYFUNCTION("""COMPUTED_VALUE"""),221)</f>
        <v>221</v>
      </c>
      <c r="AD336" s="1">
        <f ca="1">IFERROR(__xludf.DUMMYFUNCTION("""COMPUTED_VALUE"""),199)</f>
        <v>199</v>
      </c>
      <c r="AE336" s="1">
        <f ca="1">IFERROR(__xludf.DUMMYFUNCTION("""COMPUTED_VALUE"""),412)</f>
        <v>412</v>
      </c>
      <c r="AF336" s="1">
        <f ca="1">IFERROR(__xludf.DUMMYFUNCTION("""COMPUTED_VALUE"""),654)</f>
        <v>654</v>
      </c>
    </row>
    <row r="337" spans="1:32" ht="12.5" x14ac:dyDescent="0.25">
      <c r="A337" s="1" t="str">
        <f ca="1">IFERROR(__xludf.DUMMYFUNCTION("""COMPUTED_VALUE"""),"Texas A&amp;M-Corpus Christi")</f>
        <v>Texas A&amp;M-Corpus Christi</v>
      </c>
      <c r="B337" s="1">
        <f ca="1">IFERROR(__xludf.DUMMYFUNCTION("""COMPUTED_VALUE"""),32)</f>
        <v>32</v>
      </c>
      <c r="C337" s="1">
        <f ca="1">IFERROR(__xludf.DUMMYFUNCTION("""COMPUTED_VALUE"""),14)</f>
        <v>14</v>
      </c>
      <c r="D337" s="1">
        <f ca="1">IFERROR(__xludf.DUMMYFUNCTION("""COMPUTED_VALUE"""),18)</f>
        <v>18</v>
      </c>
      <c r="E337" s="1">
        <f ca="1">IFERROR(__xludf.DUMMYFUNCTION("""COMPUTED_VALUE"""),0.438)</f>
        <v>0.438</v>
      </c>
      <c r="F337" s="1">
        <f ca="1">IFERROR(__xludf.DUMMYFUNCTION("""COMPUTED_VALUE"""),-9.11)</f>
        <v>-9.11</v>
      </c>
      <c r="G337" s="1">
        <f ca="1">IFERROR(__xludf.DUMMYFUNCTION("""COMPUTED_VALUE"""),-5.68)</f>
        <v>-5.68</v>
      </c>
      <c r="H337" s="1">
        <f ca="1">IFERROR(__xludf.DUMMYFUNCTION("""COMPUTED_VALUE"""),9)</f>
        <v>9</v>
      </c>
      <c r="I337" s="1">
        <f ca="1">IFERROR(__xludf.DUMMYFUNCTION("""COMPUTED_VALUE"""),9)</f>
        <v>9</v>
      </c>
      <c r="J337" s="1">
        <f ca="1">IFERROR(__xludf.DUMMYFUNCTION("""COMPUTED_VALUE"""),9)</f>
        <v>9</v>
      </c>
      <c r="K337" s="1">
        <f ca="1">IFERROR(__xludf.DUMMYFUNCTION("""COMPUTED_VALUE"""),7)</f>
        <v>7</v>
      </c>
      <c r="L337" s="1">
        <f ca="1">IFERROR(__xludf.DUMMYFUNCTION("""COMPUTED_VALUE"""),5)</f>
        <v>5</v>
      </c>
      <c r="M337" s="1">
        <f ca="1">IFERROR(__xludf.DUMMYFUNCTION("""COMPUTED_VALUE"""),9)</f>
        <v>9</v>
      </c>
      <c r="N337" s="1">
        <f ca="1">IFERROR(__xludf.DUMMYFUNCTION("""COMPUTED_VALUE"""),2126)</f>
        <v>2126</v>
      </c>
      <c r="O337" s="1">
        <f ca="1">IFERROR(__xludf.DUMMYFUNCTION("""COMPUTED_VALUE"""),2124)</f>
        <v>2124</v>
      </c>
      <c r="P337" s="1">
        <f ca="1">IFERROR(__xludf.DUMMYFUNCTION("""COMPUTED_VALUE"""),1290)</f>
        <v>1290</v>
      </c>
      <c r="Q337" s="1">
        <f ca="1">IFERROR(__xludf.DUMMYFUNCTION("""COMPUTED_VALUE"""),774)</f>
        <v>774</v>
      </c>
      <c r="R337" s="1">
        <f ca="1">IFERROR(__xludf.DUMMYFUNCTION("""COMPUTED_VALUE"""),1803)</f>
        <v>1803</v>
      </c>
      <c r="S337" s="1">
        <f ca="1">IFERROR(__xludf.DUMMYFUNCTION("""COMPUTED_VALUE"""),0.429)</f>
        <v>0.42899999999999999</v>
      </c>
      <c r="T337" s="1">
        <f ca="1">IFERROR(__xludf.DUMMYFUNCTION("""COMPUTED_VALUE"""),202)</f>
        <v>202</v>
      </c>
      <c r="U337" s="1">
        <f ca="1">IFERROR(__xludf.DUMMYFUNCTION("""COMPUTED_VALUE"""),621)</f>
        <v>621</v>
      </c>
      <c r="V337" s="1">
        <f ca="1">IFERROR(__xludf.DUMMYFUNCTION("""COMPUTED_VALUE"""),0.325)</f>
        <v>0.32500000000000001</v>
      </c>
      <c r="W337" s="1">
        <f ca="1">IFERROR(__xludf.DUMMYFUNCTION("""COMPUTED_VALUE"""),376)</f>
        <v>376</v>
      </c>
      <c r="X337" s="1">
        <f ca="1">IFERROR(__xludf.DUMMYFUNCTION("""COMPUTED_VALUE"""),541)</f>
        <v>541</v>
      </c>
      <c r="Y337" s="1">
        <f ca="1">IFERROR(__xludf.DUMMYFUNCTION("""COMPUTED_VALUE"""),0.695)</f>
        <v>0.69499999999999995</v>
      </c>
      <c r="Z337" s="1">
        <f ca="1">IFERROR(__xludf.DUMMYFUNCTION("""COMPUTED_VALUE"""),349)</f>
        <v>349</v>
      </c>
      <c r="AA337" s="1">
        <f ca="1">IFERROR(__xludf.DUMMYFUNCTION("""COMPUTED_VALUE"""),1158)</f>
        <v>1158</v>
      </c>
      <c r="AB337" s="1">
        <f ca="1">IFERROR(__xludf.DUMMYFUNCTION("""COMPUTED_VALUE"""),423)</f>
        <v>423</v>
      </c>
      <c r="AC337" s="1">
        <f ca="1">IFERROR(__xludf.DUMMYFUNCTION("""COMPUTED_VALUE"""),197)</f>
        <v>197</v>
      </c>
      <c r="AD337" s="1">
        <f ca="1">IFERROR(__xludf.DUMMYFUNCTION("""COMPUTED_VALUE"""),90)</f>
        <v>90</v>
      </c>
      <c r="AE337" s="1">
        <f ca="1">IFERROR(__xludf.DUMMYFUNCTION("""COMPUTED_VALUE"""),456)</f>
        <v>456</v>
      </c>
      <c r="AF337" s="1">
        <f ca="1">IFERROR(__xludf.DUMMYFUNCTION("""COMPUTED_VALUE"""),610)</f>
        <v>610</v>
      </c>
    </row>
    <row r="338" spans="1:32" ht="12.5" x14ac:dyDescent="0.25">
      <c r="A338" s="1" t="str">
        <f ca="1">IFERROR(__xludf.DUMMYFUNCTION("""COMPUTED_VALUE"""),"Texas A&amp;M")</f>
        <v>Texas A&amp;M</v>
      </c>
      <c r="B338" s="1">
        <f ca="1">IFERROR(__xludf.DUMMYFUNCTION("""COMPUTED_VALUE"""),32)</f>
        <v>32</v>
      </c>
      <c r="C338" s="1">
        <f ca="1">IFERROR(__xludf.DUMMYFUNCTION("""COMPUTED_VALUE"""),14)</f>
        <v>14</v>
      </c>
      <c r="D338" s="1">
        <f ca="1">IFERROR(__xludf.DUMMYFUNCTION("""COMPUTED_VALUE"""),18)</f>
        <v>18</v>
      </c>
      <c r="E338" s="1">
        <f ca="1">IFERROR(__xludf.DUMMYFUNCTION("""COMPUTED_VALUE"""),0.438)</f>
        <v>0.438</v>
      </c>
      <c r="F338" s="1">
        <f ca="1">IFERROR(__xludf.DUMMYFUNCTION("""COMPUTED_VALUE"""),7.21)</f>
        <v>7.21</v>
      </c>
      <c r="G338" s="1">
        <f ca="1">IFERROR(__xludf.DUMMYFUNCTION("""COMPUTED_VALUE"""),8.59)</f>
        <v>8.59</v>
      </c>
      <c r="H338" s="1">
        <f ca="1">IFERROR(__xludf.DUMMYFUNCTION("""COMPUTED_VALUE"""),6)</f>
        <v>6</v>
      </c>
      <c r="I338" s="1">
        <f ca="1">IFERROR(__xludf.DUMMYFUNCTION("""COMPUTED_VALUE"""),12)</f>
        <v>12</v>
      </c>
      <c r="J338" s="1">
        <f ca="1">IFERROR(__xludf.DUMMYFUNCTION("""COMPUTED_VALUE"""),9)</f>
        <v>9</v>
      </c>
      <c r="K338" s="1">
        <f ca="1">IFERROR(__xludf.DUMMYFUNCTION("""COMPUTED_VALUE"""),8)</f>
        <v>8</v>
      </c>
      <c r="L338" s="1">
        <f ca="1">IFERROR(__xludf.DUMMYFUNCTION("""COMPUTED_VALUE"""),3)</f>
        <v>3</v>
      </c>
      <c r="M338" s="1">
        <f ca="1">IFERROR(__xludf.DUMMYFUNCTION("""COMPUTED_VALUE"""),7)</f>
        <v>7</v>
      </c>
      <c r="N338" s="1">
        <f ca="1">IFERROR(__xludf.DUMMYFUNCTION("""COMPUTED_VALUE"""),2253)</f>
        <v>2253</v>
      </c>
      <c r="O338" s="1">
        <f ca="1">IFERROR(__xludf.DUMMYFUNCTION("""COMPUTED_VALUE"""),2297)</f>
        <v>2297</v>
      </c>
      <c r="P338" s="1">
        <f ca="1">IFERROR(__xludf.DUMMYFUNCTION("""COMPUTED_VALUE"""),1280)</f>
        <v>1280</v>
      </c>
      <c r="Q338" s="1">
        <f ca="1">IFERROR(__xludf.DUMMYFUNCTION("""COMPUTED_VALUE"""),806)</f>
        <v>806</v>
      </c>
      <c r="R338" s="1">
        <f ca="1">IFERROR(__xludf.DUMMYFUNCTION("""COMPUTED_VALUE"""),1842)</f>
        <v>1842</v>
      </c>
      <c r="S338" s="1">
        <f ca="1">IFERROR(__xludf.DUMMYFUNCTION("""COMPUTED_VALUE"""),0.438)</f>
        <v>0.438</v>
      </c>
      <c r="T338" s="1">
        <f ca="1">IFERROR(__xludf.DUMMYFUNCTION("""COMPUTED_VALUE"""),204)</f>
        <v>204</v>
      </c>
      <c r="U338" s="1">
        <f ca="1">IFERROR(__xludf.DUMMYFUNCTION("""COMPUTED_VALUE"""),663)</f>
        <v>663</v>
      </c>
      <c r="V338" s="1">
        <f ca="1">IFERROR(__xludf.DUMMYFUNCTION("""COMPUTED_VALUE"""),0.308)</f>
        <v>0.308</v>
      </c>
      <c r="W338" s="1">
        <f ca="1">IFERROR(__xludf.DUMMYFUNCTION("""COMPUTED_VALUE"""),437)</f>
        <v>437</v>
      </c>
      <c r="X338" s="1">
        <f ca="1">IFERROR(__xludf.DUMMYFUNCTION("""COMPUTED_VALUE"""),631)</f>
        <v>631</v>
      </c>
      <c r="Y338" s="1">
        <f ca="1">IFERROR(__xludf.DUMMYFUNCTION("""COMPUTED_VALUE"""),0.693)</f>
        <v>0.69299999999999995</v>
      </c>
      <c r="Z338" s="1">
        <f ca="1">IFERROR(__xludf.DUMMYFUNCTION("""COMPUTED_VALUE"""),372)</f>
        <v>372</v>
      </c>
      <c r="AA338" s="1">
        <f ca="1">IFERROR(__xludf.DUMMYFUNCTION("""COMPUTED_VALUE"""),1195)</f>
        <v>1195</v>
      </c>
      <c r="AB338" s="1">
        <f ca="1">IFERROR(__xludf.DUMMYFUNCTION("""COMPUTED_VALUE"""),376)</f>
        <v>376</v>
      </c>
      <c r="AC338" s="1">
        <f ca="1">IFERROR(__xludf.DUMMYFUNCTION("""COMPUTED_VALUE"""),215)</f>
        <v>215</v>
      </c>
      <c r="AD338" s="1">
        <f ca="1">IFERROR(__xludf.DUMMYFUNCTION("""COMPUTED_VALUE"""),142)</f>
        <v>142</v>
      </c>
      <c r="AE338" s="1">
        <f ca="1">IFERROR(__xludf.DUMMYFUNCTION("""COMPUTED_VALUE"""),444)</f>
        <v>444</v>
      </c>
      <c r="AF338" s="1">
        <f ca="1">IFERROR(__xludf.DUMMYFUNCTION("""COMPUTED_VALUE"""),521)</f>
        <v>521</v>
      </c>
    </row>
    <row r="339" spans="1:32" ht="12.5" x14ac:dyDescent="0.25">
      <c r="A339" s="1" t="str">
        <f ca="1">IFERROR(__xludf.DUMMYFUNCTION("""COMPUTED_VALUE"""),"Texas-Arlington")</f>
        <v>Texas-Arlington</v>
      </c>
      <c r="B339" s="1">
        <f ca="1">IFERROR(__xludf.DUMMYFUNCTION("""COMPUTED_VALUE"""),33)</f>
        <v>33</v>
      </c>
      <c r="C339" s="1">
        <f ca="1">IFERROR(__xludf.DUMMYFUNCTION("""COMPUTED_VALUE"""),17)</f>
        <v>17</v>
      </c>
      <c r="D339" s="1">
        <f ca="1">IFERROR(__xludf.DUMMYFUNCTION("""COMPUTED_VALUE"""),16)</f>
        <v>16</v>
      </c>
      <c r="E339" s="1">
        <f ca="1">IFERROR(__xludf.DUMMYFUNCTION("""COMPUTED_VALUE"""),0.515)</f>
        <v>0.51500000000000001</v>
      </c>
      <c r="F339" s="1">
        <f ca="1">IFERROR(__xludf.DUMMYFUNCTION("""COMPUTED_VALUE"""),-0.5)</f>
        <v>-0.5</v>
      </c>
      <c r="G339" s="1">
        <f ca="1">IFERROR(__xludf.DUMMYFUNCTION("""COMPUTED_VALUE"""),0.84)</f>
        <v>0.84</v>
      </c>
      <c r="H339" s="1">
        <f ca="1">IFERROR(__xludf.DUMMYFUNCTION("""COMPUTED_VALUE"""),12)</f>
        <v>12</v>
      </c>
      <c r="I339" s="1">
        <f ca="1">IFERROR(__xludf.DUMMYFUNCTION("""COMPUTED_VALUE"""),6)</f>
        <v>6</v>
      </c>
      <c r="J339" s="1">
        <f ca="1">IFERROR(__xludf.DUMMYFUNCTION("""COMPUTED_VALUE"""),9)</f>
        <v>9</v>
      </c>
      <c r="K339" s="1">
        <f ca="1">IFERROR(__xludf.DUMMYFUNCTION("""COMPUTED_VALUE"""),5)</f>
        <v>5</v>
      </c>
      <c r="L339" s="1">
        <f ca="1">IFERROR(__xludf.DUMMYFUNCTION("""COMPUTED_VALUE"""),7)</f>
        <v>7</v>
      </c>
      <c r="M339" s="1">
        <f ca="1">IFERROR(__xludf.DUMMYFUNCTION("""COMPUTED_VALUE"""),10)</f>
        <v>10</v>
      </c>
      <c r="N339" s="1">
        <f ca="1">IFERROR(__xludf.DUMMYFUNCTION("""COMPUTED_VALUE"""),2284)</f>
        <v>2284</v>
      </c>
      <c r="O339" s="1">
        <f ca="1">IFERROR(__xludf.DUMMYFUNCTION("""COMPUTED_VALUE"""),2303)</f>
        <v>2303</v>
      </c>
      <c r="P339" s="1">
        <f ca="1">IFERROR(__xludf.DUMMYFUNCTION("""COMPUTED_VALUE"""),1345)</f>
        <v>1345</v>
      </c>
      <c r="Q339" s="1">
        <f ca="1">IFERROR(__xludf.DUMMYFUNCTION("""COMPUTED_VALUE"""),781)</f>
        <v>781</v>
      </c>
      <c r="R339" s="1">
        <f ca="1">IFERROR(__xludf.DUMMYFUNCTION("""COMPUTED_VALUE"""),1908)</f>
        <v>1908</v>
      </c>
      <c r="S339" s="1">
        <f ca="1">IFERROR(__xludf.DUMMYFUNCTION("""COMPUTED_VALUE"""),0.409)</f>
        <v>0.40899999999999997</v>
      </c>
      <c r="T339" s="1">
        <f ca="1">IFERROR(__xludf.DUMMYFUNCTION("""COMPUTED_VALUE"""),234)</f>
        <v>234</v>
      </c>
      <c r="U339" s="1">
        <f ca="1">IFERROR(__xludf.DUMMYFUNCTION("""COMPUTED_VALUE"""),773)</f>
        <v>773</v>
      </c>
      <c r="V339" s="1">
        <f ca="1">IFERROR(__xludf.DUMMYFUNCTION("""COMPUTED_VALUE"""),0.303)</f>
        <v>0.30299999999999999</v>
      </c>
      <c r="W339" s="1">
        <f ca="1">IFERROR(__xludf.DUMMYFUNCTION("""COMPUTED_VALUE"""),488)</f>
        <v>488</v>
      </c>
      <c r="X339" s="1">
        <f ca="1">IFERROR(__xludf.DUMMYFUNCTION("""COMPUTED_VALUE"""),659)</f>
        <v>659</v>
      </c>
      <c r="Y339" s="1">
        <f ca="1">IFERROR(__xludf.DUMMYFUNCTION("""COMPUTED_VALUE"""),0.741)</f>
        <v>0.74099999999999999</v>
      </c>
      <c r="Z339" s="1">
        <f ca="1">IFERROR(__xludf.DUMMYFUNCTION("""COMPUTED_VALUE"""),372)</f>
        <v>372</v>
      </c>
      <c r="AA339" s="1">
        <f ca="1">IFERROR(__xludf.DUMMYFUNCTION("""COMPUTED_VALUE"""),1235)</f>
        <v>1235</v>
      </c>
      <c r="AB339" s="1">
        <f ca="1">IFERROR(__xludf.DUMMYFUNCTION("""COMPUTED_VALUE"""),421)</f>
        <v>421</v>
      </c>
      <c r="AC339" s="1">
        <f ca="1">IFERROR(__xludf.DUMMYFUNCTION("""COMPUTED_VALUE"""),211)</f>
        <v>211</v>
      </c>
      <c r="AD339" s="1">
        <f ca="1">IFERROR(__xludf.DUMMYFUNCTION("""COMPUTED_VALUE"""),97)</f>
        <v>97</v>
      </c>
      <c r="AE339" s="1">
        <f ca="1">IFERROR(__xludf.DUMMYFUNCTION("""COMPUTED_VALUE"""),467)</f>
        <v>467</v>
      </c>
      <c r="AF339" s="1">
        <f ca="1">IFERROR(__xludf.DUMMYFUNCTION("""COMPUTED_VALUE"""),630)</f>
        <v>630</v>
      </c>
    </row>
    <row r="340" spans="1:32" ht="12.5" x14ac:dyDescent="0.25">
      <c r="A340" s="1" t="str">
        <f ca="1">IFERROR(__xludf.DUMMYFUNCTION("""COMPUTED_VALUE"""),"Texas Christian")</f>
        <v>Texas Christian</v>
      </c>
      <c r="B340" s="1">
        <f ca="1">IFERROR(__xludf.DUMMYFUNCTION("""COMPUTED_VALUE"""),37)</f>
        <v>37</v>
      </c>
      <c r="C340" s="1">
        <f ca="1">IFERROR(__xludf.DUMMYFUNCTION("""COMPUTED_VALUE"""),23)</f>
        <v>23</v>
      </c>
      <c r="D340" s="1">
        <f ca="1">IFERROR(__xludf.DUMMYFUNCTION("""COMPUTED_VALUE"""),14)</f>
        <v>14</v>
      </c>
      <c r="E340" s="1">
        <f ca="1">IFERROR(__xludf.DUMMYFUNCTION("""COMPUTED_VALUE"""),0.622)</f>
        <v>0.622</v>
      </c>
      <c r="F340" s="1">
        <f ca="1">IFERROR(__xludf.DUMMYFUNCTION("""COMPUTED_VALUE"""),13.81)</f>
        <v>13.81</v>
      </c>
      <c r="G340" s="1">
        <f ca="1">IFERROR(__xludf.DUMMYFUNCTION("""COMPUTED_VALUE"""),9.6)</f>
        <v>9.6</v>
      </c>
      <c r="H340" s="1">
        <f ca="1">IFERROR(__xludf.DUMMYFUNCTION("""COMPUTED_VALUE"""),7)</f>
        <v>7</v>
      </c>
      <c r="I340" s="1">
        <f ca="1">IFERROR(__xludf.DUMMYFUNCTION("""COMPUTED_VALUE"""),11)</f>
        <v>11</v>
      </c>
      <c r="J340" s="1">
        <f ca="1">IFERROR(__xludf.DUMMYFUNCTION("""COMPUTED_VALUE"""),15)</f>
        <v>15</v>
      </c>
      <c r="K340" s="1">
        <f ca="1">IFERROR(__xludf.DUMMYFUNCTION("""COMPUTED_VALUE"""),5)</f>
        <v>5</v>
      </c>
      <c r="L340" s="1">
        <f ca="1">IFERROR(__xludf.DUMMYFUNCTION("""COMPUTED_VALUE"""),3)</f>
        <v>3</v>
      </c>
      <c r="M340" s="1">
        <f ca="1">IFERROR(__xludf.DUMMYFUNCTION("""COMPUTED_VALUE"""),7)</f>
        <v>7</v>
      </c>
      <c r="N340" s="1">
        <f ca="1">IFERROR(__xludf.DUMMYFUNCTION("""COMPUTED_VALUE"""),2730)</f>
        <v>2730</v>
      </c>
      <c r="O340" s="1">
        <f ca="1">IFERROR(__xludf.DUMMYFUNCTION("""COMPUTED_VALUE"""),2574)</f>
        <v>2574</v>
      </c>
      <c r="P340" s="1">
        <f ca="1">IFERROR(__xludf.DUMMYFUNCTION("""COMPUTED_VALUE"""),1500)</f>
        <v>1500</v>
      </c>
      <c r="Q340" s="1">
        <f ca="1">IFERROR(__xludf.DUMMYFUNCTION("""COMPUTED_VALUE"""),990)</f>
        <v>990</v>
      </c>
      <c r="R340" s="1">
        <f ca="1">IFERROR(__xludf.DUMMYFUNCTION("""COMPUTED_VALUE"""),2168)</f>
        <v>2168</v>
      </c>
      <c r="S340" s="1">
        <f ca="1">IFERROR(__xludf.DUMMYFUNCTION("""COMPUTED_VALUE"""),0.457)</f>
        <v>0.45700000000000002</v>
      </c>
      <c r="T340" s="1">
        <f ca="1">IFERROR(__xludf.DUMMYFUNCTION("""COMPUTED_VALUE"""),281)</f>
        <v>281</v>
      </c>
      <c r="U340" s="1">
        <f ca="1">IFERROR(__xludf.DUMMYFUNCTION("""COMPUTED_VALUE"""),813)</f>
        <v>813</v>
      </c>
      <c r="V340" s="1">
        <f ca="1">IFERROR(__xludf.DUMMYFUNCTION("""COMPUTED_VALUE"""),0.346)</f>
        <v>0.34599999999999997</v>
      </c>
      <c r="W340" s="1">
        <f ca="1">IFERROR(__xludf.DUMMYFUNCTION("""COMPUTED_VALUE"""),469)</f>
        <v>469</v>
      </c>
      <c r="X340" s="1">
        <f ca="1">IFERROR(__xludf.DUMMYFUNCTION("""COMPUTED_VALUE"""),688)</f>
        <v>688</v>
      </c>
      <c r="Y340" s="1">
        <f ca="1">IFERROR(__xludf.DUMMYFUNCTION("""COMPUTED_VALUE"""),0.682)</f>
        <v>0.68200000000000005</v>
      </c>
      <c r="Z340" s="1">
        <f ca="1">IFERROR(__xludf.DUMMYFUNCTION("""COMPUTED_VALUE"""),395)</f>
        <v>395</v>
      </c>
      <c r="AA340" s="1">
        <f ca="1">IFERROR(__xludf.DUMMYFUNCTION("""COMPUTED_VALUE"""),1347)</f>
        <v>1347</v>
      </c>
      <c r="AB340" s="1">
        <f ca="1">IFERROR(__xludf.DUMMYFUNCTION("""COMPUTED_VALUE"""),598)</f>
        <v>598</v>
      </c>
      <c r="AC340" s="1">
        <f ca="1">IFERROR(__xludf.DUMMYFUNCTION("""COMPUTED_VALUE"""),255)</f>
        <v>255</v>
      </c>
      <c r="AD340" s="1">
        <f ca="1">IFERROR(__xludf.DUMMYFUNCTION("""COMPUTED_VALUE"""),162)</f>
        <v>162</v>
      </c>
      <c r="AE340" s="1">
        <f ca="1">IFERROR(__xludf.DUMMYFUNCTION("""COMPUTED_VALUE"""),499)</f>
        <v>499</v>
      </c>
      <c r="AF340" s="1">
        <f ca="1">IFERROR(__xludf.DUMMYFUNCTION("""COMPUTED_VALUE"""),586)</f>
        <v>586</v>
      </c>
    </row>
    <row r="341" spans="1:32" ht="12.5" x14ac:dyDescent="0.25">
      <c r="A341" s="1" t="str">
        <f ca="1">IFERROR(__xludf.DUMMYFUNCTION("""COMPUTED_VALUE"""),"Texas-El Paso")</f>
        <v>Texas-El Paso</v>
      </c>
      <c r="B341" s="1">
        <f ca="1">IFERROR(__xludf.DUMMYFUNCTION("""COMPUTED_VALUE"""),29)</f>
        <v>29</v>
      </c>
      <c r="C341" s="1">
        <f ca="1">IFERROR(__xludf.DUMMYFUNCTION("""COMPUTED_VALUE"""),8)</f>
        <v>8</v>
      </c>
      <c r="D341" s="1">
        <f ca="1">IFERROR(__xludf.DUMMYFUNCTION("""COMPUTED_VALUE"""),21)</f>
        <v>21</v>
      </c>
      <c r="E341" s="1">
        <f ca="1">IFERROR(__xludf.DUMMYFUNCTION("""COMPUTED_VALUE"""),0.276)</f>
        <v>0.27600000000000002</v>
      </c>
      <c r="F341" s="1">
        <f ca="1">IFERROR(__xludf.DUMMYFUNCTION("""COMPUTED_VALUE"""),-8.23)</f>
        <v>-8.23</v>
      </c>
      <c r="G341" s="1">
        <f ca="1">IFERROR(__xludf.DUMMYFUNCTION("""COMPUTED_VALUE"""),-1.71)</f>
        <v>-1.71</v>
      </c>
      <c r="H341" s="1">
        <f ca="1">IFERROR(__xludf.DUMMYFUNCTION("""COMPUTED_VALUE"""),3)</f>
        <v>3</v>
      </c>
      <c r="I341" s="1">
        <f ca="1">IFERROR(__xludf.DUMMYFUNCTION("""COMPUTED_VALUE"""),15)</f>
        <v>15</v>
      </c>
      <c r="J341" s="1">
        <f ca="1">IFERROR(__xludf.DUMMYFUNCTION("""COMPUTED_VALUE"""),8)</f>
        <v>8</v>
      </c>
      <c r="K341" s="1">
        <f ca="1">IFERROR(__xludf.DUMMYFUNCTION("""COMPUTED_VALUE"""),8)</f>
        <v>8</v>
      </c>
      <c r="L341" s="1">
        <f ca="1">IFERROR(__xludf.DUMMYFUNCTION("""COMPUTED_VALUE"""),0)</f>
        <v>0</v>
      </c>
      <c r="M341" s="1">
        <f ca="1">IFERROR(__xludf.DUMMYFUNCTION("""COMPUTED_VALUE"""),13)</f>
        <v>13</v>
      </c>
      <c r="N341" s="1">
        <f ca="1">IFERROR(__xludf.DUMMYFUNCTION("""COMPUTED_VALUE"""),1859)</f>
        <v>1859</v>
      </c>
      <c r="O341" s="1">
        <f ca="1">IFERROR(__xludf.DUMMYFUNCTION("""COMPUTED_VALUE"""),2001)</f>
        <v>2001</v>
      </c>
      <c r="P341" s="1">
        <f ca="1">IFERROR(__xludf.DUMMYFUNCTION("""COMPUTED_VALUE"""),1170)</f>
        <v>1170</v>
      </c>
      <c r="Q341" s="1">
        <f ca="1">IFERROR(__xludf.DUMMYFUNCTION("""COMPUTED_VALUE"""),639)</f>
        <v>639</v>
      </c>
      <c r="R341" s="1">
        <f ca="1">IFERROR(__xludf.DUMMYFUNCTION("""COMPUTED_VALUE"""),1592)</f>
        <v>1592</v>
      </c>
      <c r="S341" s="1">
        <f ca="1">IFERROR(__xludf.DUMMYFUNCTION("""COMPUTED_VALUE"""),0.401)</f>
        <v>0.40100000000000002</v>
      </c>
      <c r="T341" s="1">
        <f ca="1">IFERROR(__xludf.DUMMYFUNCTION("""COMPUTED_VALUE"""),199)</f>
        <v>199</v>
      </c>
      <c r="U341" s="1">
        <f ca="1">IFERROR(__xludf.DUMMYFUNCTION("""COMPUTED_VALUE"""),620)</f>
        <v>620</v>
      </c>
      <c r="V341" s="1">
        <f ca="1">IFERROR(__xludf.DUMMYFUNCTION("""COMPUTED_VALUE"""),0.321)</f>
        <v>0.32100000000000001</v>
      </c>
      <c r="W341" s="1">
        <f ca="1">IFERROR(__xludf.DUMMYFUNCTION("""COMPUTED_VALUE"""),382)</f>
        <v>382</v>
      </c>
      <c r="X341" s="1">
        <f ca="1">IFERROR(__xludf.DUMMYFUNCTION("""COMPUTED_VALUE"""),578)</f>
        <v>578</v>
      </c>
      <c r="Y341" s="1">
        <f ca="1">IFERROR(__xludf.DUMMYFUNCTION("""COMPUTED_VALUE"""),0.661)</f>
        <v>0.66100000000000003</v>
      </c>
      <c r="Z341" s="1">
        <f ca="1">IFERROR(__xludf.DUMMYFUNCTION("""COMPUTED_VALUE"""),285)</f>
        <v>285</v>
      </c>
      <c r="AA341" s="1">
        <f ca="1">IFERROR(__xludf.DUMMYFUNCTION("""COMPUTED_VALUE"""),1070)</f>
        <v>1070</v>
      </c>
      <c r="AB341" s="1">
        <f ca="1">IFERROR(__xludf.DUMMYFUNCTION("""COMPUTED_VALUE"""),307)</f>
        <v>307</v>
      </c>
      <c r="AC341" s="1">
        <f ca="1">IFERROR(__xludf.DUMMYFUNCTION("""COMPUTED_VALUE"""),135)</f>
        <v>135</v>
      </c>
      <c r="AD341" s="1">
        <f ca="1">IFERROR(__xludf.DUMMYFUNCTION("""COMPUTED_VALUE"""),84)</f>
        <v>84</v>
      </c>
      <c r="AE341" s="1">
        <f ca="1">IFERROR(__xludf.DUMMYFUNCTION("""COMPUTED_VALUE"""),466)</f>
        <v>466</v>
      </c>
      <c r="AF341" s="1">
        <f ca="1">IFERROR(__xludf.DUMMYFUNCTION("""COMPUTED_VALUE"""),551)</f>
        <v>551</v>
      </c>
    </row>
    <row r="342" spans="1:32" ht="12.5" x14ac:dyDescent="0.25">
      <c r="A342" s="1" t="str">
        <f ca="1">IFERROR(__xludf.DUMMYFUNCTION("""COMPUTED_VALUE"""),"Texas-Rio Grande Valley")</f>
        <v>Texas-Rio Grande Valley</v>
      </c>
      <c r="B342" s="1">
        <f ca="1">IFERROR(__xludf.DUMMYFUNCTION("""COMPUTED_VALUE"""),37)</f>
        <v>37</v>
      </c>
      <c r="C342" s="1">
        <f ca="1">IFERROR(__xludf.DUMMYFUNCTION("""COMPUTED_VALUE"""),20)</f>
        <v>20</v>
      </c>
      <c r="D342" s="1">
        <f ca="1">IFERROR(__xludf.DUMMYFUNCTION("""COMPUTED_VALUE"""),17)</f>
        <v>17</v>
      </c>
      <c r="E342" s="1">
        <f ca="1">IFERROR(__xludf.DUMMYFUNCTION("""COMPUTED_VALUE"""),0.541)</f>
        <v>0.54100000000000004</v>
      </c>
      <c r="F342" s="1">
        <f ca="1">IFERROR(__xludf.DUMMYFUNCTION("""COMPUTED_VALUE"""),-2.04)</f>
        <v>-2.04</v>
      </c>
      <c r="G342" s="1">
        <f ca="1">IFERROR(__xludf.DUMMYFUNCTION("""COMPUTED_VALUE"""),-1.61)</f>
        <v>-1.61</v>
      </c>
      <c r="H342" s="1">
        <f ca="1">IFERROR(__xludf.DUMMYFUNCTION("""COMPUTED_VALUE"""),9)</f>
        <v>9</v>
      </c>
      <c r="I342" s="1">
        <f ca="1">IFERROR(__xludf.DUMMYFUNCTION("""COMPUTED_VALUE"""),7)</f>
        <v>7</v>
      </c>
      <c r="J342" s="1">
        <f ca="1">IFERROR(__xludf.DUMMYFUNCTION("""COMPUTED_VALUE"""),11)</f>
        <v>11</v>
      </c>
      <c r="K342" s="1">
        <f ca="1">IFERROR(__xludf.DUMMYFUNCTION("""COMPUTED_VALUE"""),9)</f>
        <v>9</v>
      </c>
      <c r="L342" s="1">
        <f ca="1">IFERROR(__xludf.DUMMYFUNCTION("""COMPUTED_VALUE"""),8)</f>
        <v>8</v>
      </c>
      <c r="M342" s="1">
        <f ca="1">IFERROR(__xludf.DUMMYFUNCTION("""COMPUTED_VALUE"""),7)</f>
        <v>7</v>
      </c>
      <c r="N342" s="1">
        <f ca="1">IFERROR(__xludf.DUMMYFUNCTION("""COMPUTED_VALUE"""),2634)</f>
        <v>2634</v>
      </c>
      <c r="O342" s="1">
        <f ca="1">IFERROR(__xludf.DUMMYFUNCTION("""COMPUTED_VALUE"""),2623)</f>
        <v>2623</v>
      </c>
      <c r="P342" s="1">
        <f ca="1">IFERROR(__xludf.DUMMYFUNCTION("""COMPUTED_VALUE"""),1490)</f>
        <v>1490</v>
      </c>
      <c r="Q342" s="1">
        <f ca="1">IFERROR(__xludf.DUMMYFUNCTION("""COMPUTED_VALUE"""),895)</f>
        <v>895</v>
      </c>
      <c r="R342" s="1">
        <f ca="1">IFERROR(__xludf.DUMMYFUNCTION("""COMPUTED_VALUE"""),2139)</f>
        <v>2139</v>
      </c>
      <c r="S342" s="1">
        <f ca="1">IFERROR(__xludf.DUMMYFUNCTION("""COMPUTED_VALUE"""),0.418)</f>
        <v>0.41799999999999998</v>
      </c>
      <c r="T342" s="1">
        <f ca="1">IFERROR(__xludf.DUMMYFUNCTION("""COMPUTED_VALUE"""),203)</f>
        <v>203</v>
      </c>
      <c r="U342" s="1">
        <f ca="1">IFERROR(__xludf.DUMMYFUNCTION("""COMPUTED_VALUE"""),636)</f>
        <v>636</v>
      </c>
      <c r="V342" s="1">
        <f ca="1">IFERROR(__xludf.DUMMYFUNCTION("""COMPUTED_VALUE"""),0.319)</f>
        <v>0.31900000000000001</v>
      </c>
      <c r="W342" s="1">
        <f ca="1">IFERROR(__xludf.DUMMYFUNCTION("""COMPUTED_VALUE"""),641)</f>
        <v>641</v>
      </c>
      <c r="X342" s="1">
        <f ca="1">IFERROR(__xludf.DUMMYFUNCTION("""COMPUTED_VALUE"""),923)</f>
        <v>923</v>
      </c>
      <c r="Y342" s="1">
        <f ca="1">IFERROR(__xludf.DUMMYFUNCTION("""COMPUTED_VALUE"""),0.694)</f>
        <v>0.69399999999999995</v>
      </c>
      <c r="Z342" s="1">
        <f ca="1">IFERROR(__xludf.DUMMYFUNCTION("""COMPUTED_VALUE"""),358)</f>
        <v>358</v>
      </c>
      <c r="AA342" s="1">
        <f ca="1">IFERROR(__xludf.DUMMYFUNCTION("""COMPUTED_VALUE"""),1215)</f>
        <v>1215</v>
      </c>
      <c r="AB342" s="1">
        <f ca="1">IFERROR(__xludf.DUMMYFUNCTION("""COMPUTED_VALUE"""),503)</f>
        <v>503</v>
      </c>
      <c r="AC342" s="1">
        <f ca="1">IFERROR(__xludf.DUMMYFUNCTION("""COMPUTED_VALUE"""),345)</f>
        <v>345</v>
      </c>
      <c r="AD342" s="1">
        <f ca="1">IFERROR(__xludf.DUMMYFUNCTION("""COMPUTED_VALUE"""),105)</f>
        <v>105</v>
      </c>
      <c r="AE342" s="1">
        <f ca="1">IFERROR(__xludf.DUMMYFUNCTION("""COMPUTED_VALUE"""),471)</f>
        <v>471</v>
      </c>
      <c r="AF342" s="1">
        <f ca="1">IFERROR(__xludf.DUMMYFUNCTION("""COMPUTED_VALUE"""),763)</f>
        <v>763</v>
      </c>
    </row>
    <row r="343" spans="1:32" ht="12.5" x14ac:dyDescent="0.25">
      <c r="A343" s="1" t="str">
        <f ca="1">IFERROR(__xludf.DUMMYFUNCTION("""COMPUTED_VALUE"""),"Texas-San Antonio")</f>
        <v>Texas-San Antonio</v>
      </c>
      <c r="B343" s="1">
        <f ca="1">IFERROR(__xludf.DUMMYFUNCTION("""COMPUTED_VALUE"""),32)</f>
        <v>32</v>
      </c>
      <c r="C343" s="1">
        <f ca="1">IFERROR(__xludf.DUMMYFUNCTION("""COMPUTED_VALUE"""),17)</f>
        <v>17</v>
      </c>
      <c r="D343" s="1">
        <f ca="1">IFERROR(__xludf.DUMMYFUNCTION("""COMPUTED_VALUE"""),15)</f>
        <v>15</v>
      </c>
      <c r="E343" s="1">
        <f ca="1">IFERROR(__xludf.DUMMYFUNCTION("""COMPUTED_VALUE"""),0.531)</f>
        <v>0.53100000000000003</v>
      </c>
      <c r="F343" s="1">
        <f ca="1">IFERROR(__xludf.DUMMYFUNCTION("""COMPUTED_VALUE"""),0.69)</f>
        <v>0.69</v>
      </c>
      <c r="G343" s="1">
        <f ca="1">IFERROR(__xludf.DUMMYFUNCTION("""COMPUTED_VALUE"""),0.05)</f>
        <v>0.05</v>
      </c>
      <c r="H343" s="1">
        <f ca="1">IFERROR(__xludf.DUMMYFUNCTION("""COMPUTED_VALUE"""),11)</f>
        <v>11</v>
      </c>
      <c r="I343" s="1">
        <f ca="1">IFERROR(__xludf.DUMMYFUNCTION("""COMPUTED_VALUE"""),7)</f>
        <v>7</v>
      </c>
      <c r="J343" s="1">
        <f ca="1">IFERROR(__xludf.DUMMYFUNCTION("""COMPUTED_VALUE"""),11)</f>
        <v>11</v>
      </c>
      <c r="K343" s="1">
        <f ca="1">IFERROR(__xludf.DUMMYFUNCTION("""COMPUTED_VALUE"""),4)</f>
        <v>4</v>
      </c>
      <c r="L343" s="1">
        <f ca="1">IFERROR(__xludf.DUMMYFUNCTION("""COMPUTED_VALUE"""),5)</f>
        <v>5</v>
      </c>
      <c r="M343" s="1">
        <f ca="1">IFERROR(__xludf.DUMMYFUNCTION("""COMPUTED_VALUE"""),7)</f>
        <v>7</v>
      </c>
      <c r="N343" s="1">
        <f ca="1">IFERROR(__xludf.DUMMYFUNCTION("""COMPUTED_VALUE"""),2481)</f>
        <v>2481</v>
      </c>
      <c r="O343" s="1">
        <f ca="1">IFERROR(__xludf.DUMMYFUNCTION("""COMPUTED_VALUE"""),2407)</f>
        <v>2407</v>
      </c>
      <c r="P343" s="1">
        <f ca="1">IFERROR(__xludf.DUMMYFUNCTION("""COMPUTED_VALUE"""),1295)</f>
        <v>1295</v>
      </c>
      <c r="Q343" s="1">
        <f ca="1">IFERROR(__xludf.DUMMYFUNCTION("""COMPUTED_VALUE"""),896)</f>
        <v>896</v>
      </c>
      <c r="R343" s="1">
        <f ca="1">IFERROR(__xludf.DUMMYFUNCTION("""COMPUTED_VALUE"""),2068)</f>
        <v>2068</v>
      </c>
      <c r="S343" s="1">
        <f ca="1">IFERROR(__xludf.DUMMYFUNCTION("""COMPUTED_VALUE"""),0.433)</f>
        <v>0.433</v>
      </c>
      <c r="T343" s="1">
        <f ca="1">IFERROR(__xludf.DUMMYFUNCTION("""COMPUTED_VALUE"""),294)</f>
        <v>294</v>
      </c>
      <c r="U343" s="1">
        <f ca="1">IFERROR(__xludf.DUMMYFUNCTION("""COMPUTED_VALUE"""),855)</f>
        <v>855</v>
      </c>
      <c r="V343" s="1">
        <f ca="1">IFERROR(__xludf.DUMMYFUNCTION("""COMPUTED_VALUE"""),0.344)</f>
        <v>0.34399999999999997</v>
      </c>
      <c r="W343" s="1">
        <f ca="1">IFERROR(__xludf.DUMMYFUNCTION("""COMPUTED_VALUE"""),395)</f>
        <v>395</v>
      </c>
      <c r="X343" s="1">
        <f ca="1">IFERROR(__xludf.DUMMYFUNCTION("""COMPUTED_VALUE"""),536)</f>
        <v>536</v>
      </c>
      <c r="Y343" s="1">
        <f ca="1">IFERROR(__xludf.DUMMYFUNCTION("""COMPUTED_VALUE"""),0.737)</f>
        <v>0.73699999999999999</v>
      </c>
      <c r="Z343" s="1">
        <f ca="1">IFERROR(__xludf.DUMMYFUNCTION("""COMPUTED_VALUE"""),323)</f>
        <v>323</v>
      </c>
      <c r="AA343" s="1">
        <f ca="1">IFERROR(__xludf.DUMMYFUNCTION("""COMPUTED_VALUE"""),1216)</f>
        <v>1216</v>
      </c>
      <c r="AB343" s="1">
        <f ca="1">IFERROR(__xludf.DUMMYFUNCTION("""COMPUTED_VALUE"""),420)</f>
        <v>420</v>
      </c>
      <c r="AC343" s="1">
        <f ca="1">IFERROR(__xludf.DUMMYFUNCTION("""COMPUTED_VALUE"""),213)</f>
        <v>213</v>
      </c>
      <c r="AD343" s="1">
        <f ca="1">IFERROR(__xludf.DUMMYFUNCTION("""COMPUTED_VALUE"""),82)</f>
        <v>82</v>
      </c>
      <c r="AE343" s="1">
        <f ca="1">IFERROR(__xludf.DUMMYFUNCTION("""COMPUTED_VALUE"""),402)</f>
        <v>402</v>
      </c>
      <c r="AF343" s="1">
        <f ca="1">IFERROR(__xludf.DUMMYFUNCTION("""COMPUTED_VALUE"""),581)</f>
        <v>581</v>
      </c>
    </row>
    <row r="344" spans="1:32" ht="12.5" x14ac:dyDescent="0.25">
      <c r="A344" s="1" t="str">
        <f ca="1">IFERROR(__xludf.DUMMYFUNCTION("""COMPUTED_VALUE"""),"Texas Southern")</f>
        <v>Texas Southern</v>
      </c>
      <c r="B344" s="1">
        <f ca="1">IFERROR(__xludf.DUMMYFUNCTION("""COMPUTED_VALUE"""),38)</f>
        <v>38</v>
      </c>
      <c r="C344" s="1">
        <f ca="1">IFERROR(__xludf.DUMMYFUNCTION("""COMPUTED_VALUE"""),24)</f>
        <v>24</v>
      </c>
      <c r="D344" s="1">
        <f ca="1">IFERROR(__xludf.DUMMYFUNCTION("""COMPUTED_VALUE"""),14)</f>
        <v>14</v>
      </c>
      <c r="E344" s="1">
        <f ca="1">IFERROR(__xludf.DUMMYFUNCTION("""COMPUTED_VALUE"""),0.632)</f>
        <v>0.63200000000000001</v>
      </c>
      <c r="F344" s="1">
        <f ca="1">IFERROR(__xludf.DUMMYFUNCTION("""COMPUTED_VALUE"""),-5.55)</f>
        <v>-5.55</v>
      </c>
      <c r="G344" s="1">
        <f ca="1">IFERROR(__xludf.DUMMYFUNCTION("""COMPUTED_VALUE"""),-6.99)</f>
        <v>-6.99</v>
      </c>
      <c r="H344" s="1">
        <f ca="1">IFERROR(__xludf.DUMMYFUNCTION("""COMPUTED_VALUE"""),14)</f>
        <v>14</v>
      </c>
      <c r="I344" s="1">
        <f ca="1">IFERROR(__xludf.DUMMYFUNCTION("""COMPUTED_VALUE"""),4)</f>
        <v>4</v>
      </c>
      <c r="J344" s="1">
        <f ca="1">IFERROR(__xludf.DUMMYFUNCTION("""COMPUTED_VALUE"""),10)</f>
        <v>10</v>
      </c>
      <c r="K344" s="1">
        <f ca="1">IFERROR(__xludf.DUMMYFUNCTION("""COMPUTED_VALUE"""),2)</f>
        <v>2</v>
      </c>
      <c r="L344" s="1">
        <f ca="1">IFERROR(__xludf.DUMMYFUNCTION("""COMPUTED_VALUE"""),13)</f>
        <v>13</v>
      </c>
      <c r="M344" s="1">
        <f ca="1">IFERROR(__xludf.DUMMYFUNCTION("""COMPUTED_VALUE"""),11)</f>
        <v>11</v>
      </c>
      <c r="N344" s="1">
        <f ca="1">IFERROR(__xludf.DUMMYFUNCTION("""COMPUTED_VALUE"""),3102)</f>
        <v>3102</v>
      </c>
      <c r="O344" s="1">
        <f ca="1">IFERROR(__xludf.DUMMYFUNCTION("""COMPUTED_VALUE"""),3008)</f>
        <v>3008</v>
      </c>
      <c r="P344" s="1">
        <f ca="1">IFERROR(__xludf.DUMMYFUNCTION("""COMPUTED_VALUE"""),1550)</f>
        <v>1550</v>
      </c>
      <c r="Q344" s="1">
        <f ca="1">IFERROR(__xludf.DUMMYFUNCTION("""COMPUTED_VALUE"""),1083)</f>
        <v>1083</v>
      </c>
      <c r="R344" s="1">
        <f ca="1">IFERROR(__xludf.DUMMYFUNCTION("""COMPUTED_VALUE"""),2379)</f>
        <v>2379</v>
      </c>
      <c r="S344" s="1">
        <f ca="1">IFERROR(__xludf.DUMMYFUNCTION("""COMPUTED_VALUE"""),0.455)</f>
        <v>0.45500000000000002</v>
      </c>
      <c r="T344" s="1">
        <f ca="1">IFERROR(__xludf.DUMMYFUNCTION("""COMPUTED_VALUE"""),276)</f>
        <v>276</v>
      </c>
      <c r="U344" s="1">
        <f ca="1">IFERROR(__xludf.DUMMYFUNCTION("""COMPUTED_VALUE"""),852)</f>
        <v>852</v>
      </c>
      <c r="V344" s="1">
        <f ca="1">IFERROR(__xludf.DUMMYFUNCTION("""COMPUTED_VALUE"""),0.324)</f>
        <v>0.32400000000000001</v>
      </c>
      <c r="W344" s="1">
        <f ca="1">IFERROR(__xludf.DUMMYFUNCTION("""COMPUTED_VALUE"""),660)</f>
        <v>660</v>
      </c>
      <c r="X344" s="1">
        <f ca="1">IFERROR(__xludf.DUMMYFUNCTION("""COMPUTED_VALUE"""),988)</f>
        <v>988</v>
      </c>
      <c r="Y344" s="1">
        <f ca="1">IFERROR(__xludf.DUMMYFUNCTION("""COMPUTED_VALUE"""),0.668)</f>
        <v>0.66800000000000004</v>
      </c>
      <c r="Z344" s="1">
        <f ca="1">IFERROR(__xludf.DUMMYFUNCTION("""COMPUTED_VALUE"""),467)</f>
        <v>467</v>
      </c>
      <c r="AA344" s="1">
        <f ca="1">IFERROR(__xludf.DUMMYFUNCTION("""COMPUTED_VALUE"""),1503)</f>
        <v>1503</v>
      </c>
      <c r="AB344" s="1">
        <f ca="1">IFERROR(__xludf.DUMMYFUNCTION("""COMPUTED_VALUE"""),591)</f>
        <v>591</v>
      </c>
      <c r="AC344" s="1">
        <f ca="1">IFERROR(__xludf.DUMMYFUNCTION("""COMPUTED_VALUE"""),309)</f>
        <v>309</v>
      </c>
      <c r="AD344" s="1">
        <f ca="1">IFERROR(__xludf.DUMMYFUNCTION("""COMPUTED_VALUE"""),114)</f>
        <v>114</v>
      </c>
      <c r="AE344" s="1">
        <f ca="1">IFERROR(__xludf.DUMMYFUNCTION("""COMPUTED_VALUE"""),589)</f>
        <v>589</v>
      </c>
      <c r="AF344" s="1">
        <f ca="1">IFERROR(__xludf.DUMMYFUNCTION("""COMPUTED_VALUE"""),679)</f>
        <v>679</v>
      </c>
    </row>
    <row r="345" spans="1:32" ht="12.5" x14ac:dyDescent="0.25">
      <c r="A345" s="1" t="str">
        <f ca="1">IFERROR(__xludf.DUMMYFUNCTION("""COMPUTED_VALUE"""),"Texas State")</f>
        <v>Texas State</v>
      </c>
      <c r="B345" s="1">
        <f ca="1">IFERROR(__xludf.DUMMYFUNCTION("""COMPUTED_VALUE"""),34)</f>
        <v>34</v>
      </c>
      <c r="C345" s="1">
        <f ca="1">IFERROR(__xludf.DUMMYFUNCTION("""COMPUTED_VALUE"""),24)</f>
        <v>24</v>
      </c>
      <c r="D345" s="1">
        <f ca="1">IFERROR(__xludf.DUMMYFUNCTION("""COMPUTED_VALUE"""),10)</f>
        <v>10</v>
      </c>
      <c r="E345" s="1">
        <f ca="1">IFERROR(__xludf.DUMMYFUNCTION("""COMPUTED_VALUE"""),0.706)</f>
        <v>0.70599999999999996</v>
      </c>
      <c r="F345" s="1">
        <f ca="1">IFERROR(__xludf.DUMMYFUNCTION("""COMPUTED_VALUE"""),1.54)</f>
        <v>1.54</v>
      </c>
      <c r="G345" s="1">
        <f ca="1">IFERROR(__xludf.DUMMYFUNCTION("""COMPUTED_VALUE"""),-3)</f>
        <v>-3</v>
      </c>
      <c r="H345" s="1">
        <f ca="1">IFERROR(__xludf.DUMMYFUNCTION("""COMPUTED_VALUE"""),12)</f>
        <v>12</v>
      </c>
      <c r="I345" s="1">
        <f ca="1">IFERROR(__xludf.DUMMYFUNCTION("""COMPUTED_VALUE"""),6)</f>
        <v>6</v>
      </c>
      <c r="J345" s="1">
        <f ca="1">IFERROR(__xludf.DUMMYFUNCTION("""COMPUTED_VALUE"""),11)</f>
        <v>11</v>
      </c>
      <c r="K345" s="1">
        <f ca="1">IFERROR(__xludf.DUMMYFUNCTION("""COMPUTED_VALUE"""),4)</f>
        <v>4</v>
      </c>
      <c r="L345" s="1">
        <f ca="1">IFERROR(__xludf.DUMMYFUNCTION("""COMPUTED_VALUE"""),10)</f>
        <v>10</v>
      </c>
      <c r="M345" s="1">
        <f ca="1">IFERROR(__xludf.DUMMYFUNCTION("""COMPUTED_VALUE"""),5)</f>
        <v>5</v>
      </c>
      <c r="N345" s="1">
        <f ca="1">IFERROR(__xludf.DUMMYFUNCTION("""COMPUTED_VALUE"""),2470)</f>
        <v>2470</v>
      </c>
      <c r="O345" s="1">
        <f ca="1">IFERROR(__xludf.DUMMYFUNCTION("""COMPUTED_VALUE"""),2204)</f>
        <v>2204</v>
      </c>
      <c r="P345" s="1">
        <f ca="1">IFERROR(__xludf.DUMMYFUNCTION("""COMPUTED_VALUE"""),1370)</f>
        <v>1370</v>
      </c>
      <c r="Q345" s="1">
        <f ca="1">IFERROR(__xludf.DUMMYFUNCTION("""COMPUTED_VALUE"""),876)</f>
        <v>876</v>
      </c>
      <c r="R345" s="1">
        <f ca="1">IFERROR(__xludf.DUMMYFUNCTION("""COMPUTED_VALUE"""),1971)</f>
        <v>1971</v>
      </c>
      <c r="S345" s="1">
        <f ca="1">IFERROR(__xludf.DUMMYFUNCTION("""COMPUTED_VALUE"""),0.444)</f>
        <v>0.44400000000000001</v>
      </c>
      <c r="T345" s="1">
        <f ca="1">IFERROR(__xludf.DUMMYFUNCTION("""COMPUTED_VALUE"""),244)</f>
        <v>244</v>
      </c>
      <c r="U345" s="1">
        <f ca="1">IFERROR(__xludf.DUMMYFUNCTION("""COMPUTED_VALUE"""),744)</f>
        <v>744</v>
      </c>
      <c r="V345" s="1">
        <f ca="1">IFERROR(__xludf.DUMMYFUNCTION("""COMPUTED_VALUE"""),0.328)</f>
        <v>0.32800000000000001</v>
      </c>
      <c r="W345" s="1">
        <f ca="1">IFERROR(__xludf.DUMMYFUNCTION("""COMPUTED_VALUE"""),474)</f>
        <v>474</v>
      </c>
      <c r="X345" s="1">
        <f ca="1">IFERROR(__xludf.DUMMYFUNCTION("""COMPUTED_VALUE"""),694)</f>
        <v>694</v>
      </c>
      <c r="Y345" s="1">
        <f ca="1">IFERROR(__xludf.DUMMYFUNCTION("""COMPUTED_VALUE"""),0.683)</f>
        <v>0.68300000000000005</v>
      </c>
      <c r="Z345" s="1">
        <f ca="1">IFERROR(__xludf.DUMMYFUNCTION("""COMPUTED_VALUE"""),409)</f>
        <v>409</v>
      </c>
      <c r="AA345" s="1">
        <f ca="1">IFERROR(__xludf.DUMMYFUNCTION("""COMPUTED_VALUE"""),1291)</f>
        <v>1291</v>
      </c>
      <c r="AB345" s="1">
        <f ca="1">IFERROR(__xludf.DUMMYFUNCTION("""COMPUTED_VALUE"""),493)</f>
        <v>493</v>
      </c>
      <c r="AC345" s="1">
        <f ca="1">IFERROR(__xludf.DUMMYFUNCTION("""COMPUTED_VALUE"""),234)</f>
        <v>234</v>
      </c>
      <c r="AD345" s="1">
        <f ca="1">IFERROR(__xludf.DUMMYFUNCTION("""COMPUTED_VALUE"""),84)</f>
        <v>84</v>
      </c>
      <c r="AE345" s="1">
        <f ca="1">IFERROR(__xludf.DUMMYFUNCTION("""COMPUTED_VALUE"""),455)</f>
        <v>455</v>
      </c>
      <c r="AF345" s="1">
        <f ca="1">IFERROR(__xludf.DUMMYFUNCTION("""COMPUTED_VALUE"""),667)</f>
        <v>667</v>
      </c>
    </row>
    <row r="346" spans="1:32" ht="12.5" x14ac:dyDescent="0.25">
      <c r="A346" s="1" t="str">
        <f ca="1">IFERROR(__xludf.DUMMYFUNCTION("""COMPUTED_VALUE"""),"Texas Tech")</f>
        <v>Texas Tech</v>
      </c>
      <c r="B346" s="1">
        <f ca="1">IFERROR(__xludf.DUMMYFUNCTION("""COMPUTED_VALUE"""),38)</f>
        <v>38</v>
      </c>
      <c r="C346" s="1">
        <f ca="1">IFERROR(__xludf.DUMMYFUNCTION("""COMPUTED_VALUE"""),31)</f>
        <v>31</v>
      </c>
      <c r="D346" s="1">
        <f ca="1">IFERROR(__xludf.DUMMYFUNCTION("""COMPUTED_VALUE"""),7)</f>
        <v>7</v>
      </c>
      <c r="E346" s="1">
        <f ca="1">IFERROR(__xludf.DUMMYFUNCTION("""COMPUTED_VALUE"""),0.816)</f>
        <v>0.81599999999999995</v>
      </c>
      <c r="F346" s="1">
        <f ca="1">IFERROR(__xludf.DUMMYFUNCTION("""COMPUTED_VALUE"""),22.79)</f>
        <v>22.79</v>
      </c>
      <c r="G346" s="1">
        <f ca="1">IFERROR(__xludf.DUMMYFUNCTION("""COMPUTED_VALUE"""),9.53)</f>
        <v>9.5299999999999994</v>
      </c>
      <c r="H346" s="1">
        <f ca="1">IFERROR(__xludf.DUMMYFUNCTION("""COMPUTED_VALUE"""),14)</f>
        <v>14</v>
      </c>
      <c r="I346" s="1">
        <f ca="1">IFERROR(__xludf.DUMMYFUNCTION("""COMPUTED_VALUE"""),4)</f>
        <v>4</v>
      </c>
      <c r="J346" s="1">
        <f ca="1">IFERROR(__xludf.DUMMYFUNCTION("""COMPUTED_VALUE"""),17)</f>
        <v>17</v>
      </c>
      <c r="K346" s="1">
        <f ca="1">IFERROR(__xludf.DUMMYFUNCTION("""COMPUTED_VALUE"""),1)</f>
        <v>1</v>
      </c>
      <c r="L346" s="1">
        <f ca="1">IFERROR(__xludf.DUMMYFUNCTION("""COMPUTED_VALUE"""),6)</f>
        <v>6</v>
      </c>
      <c r="M346" s="1">
        <f ca="1">IFERROR(__xludf.DUMMYFUNCTION("""COMPUTED_VALUE"""),3)</f>
        <v>3</v>
      </c>
      <c r="N346" s="1">
        <f ca="1">IFERROR(__xludf.DUMMYFUNCTION("""COMPUTED_VALUE"""),2765)</f>
        <v>2765</v>
      </c>
      <c r="O346" s="1">
        <f ca="1">IFERROR(__xludf.DUMMYFUNCTION("""COMPUTED_VALUE"""),2261)</f>
        <v>2261</v>
      </c>
      <c r="P346" s="1">
        <f ca="1">IFERROR(__xludf.DUMMYFUNCTION("""COMPUTED_VALUE"""),1530)</f>
        <v>1530</v>
      </c>
      <c r="Q346" s="1">
        <f ca="1">IFERROR(__xludf.DUMMYFUNCTION("""COMPUTED_VALUE"""),990)</f>
        <v>990</v>
      </c>
      <c r="R346" s="1">
        <f ca="1">IFERROR(__xludf.DUMMYFUNCTION("""COMPUTED_VALUE"""),2110)</f>
        <v>2110</v>
      </c>
      <c r="S346" s="1">
        <f ca="1">IFERROR(__xludf.DUMMYFUNCTION("""COMPUTED_VALUE"""),0.469)</f>
        <v>0.46899999999999997</v>
      </c>
      <c r="T346" s="1">
        <f ca="1">IFERROR(__xludf.DUMMYFUNCTION("""COMPUTED_VALUE"""),277)</f>
        <v>277</v>
      </c>
      <c r="U346" s="1">
        <f ca="1">IFERROR(__xludf.DUMMYFUNCTION("""COMPUTED_VALUE"""),759)</f>
        <v>759</v>
      </c>
      <c r="V346" s="1">
        <f ca="1">IFERROR(__xludf.DUMMYFUNCTION("""COMPUTED_VALUE"""),0.365)</f>
        <v>0.36499999999999999</v>
      </c>
      <c r="W346" s="1">
        <f ca="1">IFERROR(__xludf.DUMMYFUNCTION("""COMPUTED_VALUE"""),508)</f>
        <v>508</v>
      </c>
      <c r="X346" s="1">
        <f ca="1">IFERROR(__xludf.DUMMYFUNCTION("""COMPUTED_VALUE"""),694)</f>
        <v>694</v>
      </c>
      <c r="Y346" s="1">
        <f ca="1">IFERROR(__xludf.DUMMYFUNCTION("""COMPUTED_VALUE"""),0.732)</f>
        <v>0.73199999999999998</v>
      </c>
      <c r="Z346" s="1">
        <f ca="1">IFERROR(__xludf.DUMMYFUNCTION("""COMPUTED_VALUE"""),315)</f>
        <v>315</v>
      </c>
      <c r="AA346" s="1">
        <f ca="1">IFERROR(__xludf.DUMMYFUNCTION("""COMPUTED_VALUE"""),1297)</f>
        <v>1297</v>
      </c>
      <c r="AB346" s="1">
        <f ca="1">IFERROR(__xludf.DUMMYFUNCTION("""COMPUTED_VALUE"""),518)</f>
        <v>518</v>
      </c>
      <c r="AC346" s="1">
        <f ca="1">IFERROR(__xludf.DUMMYFUNCTION("""COMPUTED_VALUE"""),278)</f>
        <v>278</v>
      </c>
      <c r="AD346" s="1">
        <f ca="1">IFERROR(__xludf.DUMMYFUNCTION("""COMPUTED_VALUE"""),186)</f>
        <v>186</v>
      </c>
      <c r="AE346" s="1">
        <f ca="1">IFERROR(__xludf.DUMMYFUNCTION("""COMPUTED_VALUE"""),457)</f>
        <v>457</v>
      </c>
      <c r="AF346" s="1">
        <f ca="1">IFERROR(__xludf.DUMMYFUNCTION("""COMPUTED_VALUE"""),663)</f>
        <v>663</v>
      </c>
    </row>
    <row r="347" spans="1:32" ht="12.5" x14ac:dyDescent="0.25">
      <c r="A347" s="1" t="str">
        <f ca="1">IFERROR(__xludf.DUMMYFUNCTION("""COMPUTED_VALUE"""),"Texas")</f>
        <v>Texas</v>
      </c>
      <c r="B347" s="1">
        <f ca="1">IFERROR(__xludf.DUMMYFUNCTION("""COMPUTED_VALUE"""),37)</f>
        <v>37</v>
      </c>
      <c r="C347" s="1">
        <f ca="1">IFERROR(__xludf.DUMMYFUNCTION("""COMPUTED_VALUE"""),21)</f>
        <v>21</v>
      </c>
      <c r="D347" s="1">
        <f ca="1">IFERROR(__xludf.DUMMYFUNCTION("""COMPUTED_VALUE"""),16)</f>
        <v>16</v>
      </c>
      <c r="E347" s="1">
        <f ca="1">IFERROR(__xludf.DUMMYFUNCTION("""COMPUTED_VALUE"""),0.568)</f>
        <v>0.56799999999999995</v>
      </c>
      <c r="F347" s="1">
        <f ca="1">IFERROR(__xludf.DUMMYFUNCTION("""COMPUTED_VALUE"""),16.06)</f>
        <v>16.059999999999999</v>
      </c>
      <c r="G347" s="1">
        <f ca="1">IFERROR(__xludf.DUMMYFUNCTION("""COMPUTED_VALUE"""),11.46)</f>
        <v>11.46</v>
      </c>
      <c r="H347" s="1">
        <f ca="1">IFERROR(__xludf.DUMMYFUNCTION("""COMPUTED_VALUE"""),8)</f>
        <v>8</v>
      </c>
      <c r="I347" s="1">
        <f ca="1">IFERROR(__xludf.DUMMYFUNCTION("""COMPUTED_VALUE"""),10)</f>
        <v>10</v>
      </c>
      <c r="J347" s="1">
        <f ca="1">IFERROR(__xludf.DUMMYFUNCTION("""COMPUTED_VALUE"""),15)</f>
        <v>15</v>
      </c>
      <c r="K347" s="1">
        <f ca="1">IFERROR(__xludf.DUMMYFUNCTION("""COMPUTED_VALUE"""),6)</f>
        <v>6</v>
      </c>
      <c r="L347" s="1">
        <f ca="1">IFERROR(__xludf.DUMMYFUNCTION("""COMPUTED_VALUE"""),2)</f>
        <v>2</v>
      </c>
      <c r="M347" s="1">
        <f ca="1">IFERROR(__xludf.DUMMYFUNCTION("""COMPUTED_VALUE"""),8)</f>
        <v>8</v>
      </c>
      <c r="N347" s="1">
        <f ca="1">IFERROR(__xludf.DUMMYFUNCTION("""COMPUTED_VALUE"""),2628)</f>
        <v>2628</v>
      </c>
      <c r="O347" s="1">
        <f ca="1">IFERROR(__xludf.DUMMYFUNCTION("""COMPUTED_VALUE"""),2458)</f>
        <v>2458</v>
      </c>
      <c r="P347" s="1">
        <f ca="1">IFERROR(__xludf.DUMMYFUNCTION("""COMPUTED_VALUE"""),1495)</f>
        <v>1495</v>
      </c>
      <c r="Q347" s="1">
        <f ca="1">IFERROR(__xludf.DUMMYFUNCTION("""COMPUTED_VALUE"""),929)</f>
        <v>929</v>
      </c>
      <c r="R347" s="1">
        <f ca="1">IFERROR(__xludf.DUMMYFUNCTION("""COMPUTED_VALUE"""),2146)</f>
        <v>2146</v>
      </c>
      <c r="S347" s="1">
        <f ca="1">IFERROR(__xludf.DUMMYFUNCTION("""COMPUTED_VALUE"""),0.433)</f>
        <v>0.433</v>
      </c>
      <c r="T347" s="1">
        <f ca="1">IFERROR(__xludf.DUMMYFUNCTION("""COMPUTED_VALUE"""),325)</f>
        <v>325</v>
      </c>
      <c r="U347" s="1">
        <f ca="1">IFERROR(__xludf.DUMMYFUNCTION("""COMPUTED_VALUE"""),934)</f>
        <v>934</v>
      </c>
      <c r="V347" s="1">
        <f ca="1">IFERROR(__xludf.DUMMYFUNCTION("""COMPUTED_VALUE"""),0.348)</f>
        <v>0.34799999999999998</v>
      </c>
      <c r="W347" s="1">
        <f ca="1">IFERROR(__xludf.DUMMYFUNCTION("""COMPUTED_VALUE"""),445)</f>
        <v>445</v>
      </c>
      <c r="X347" s="1">
        <f ca="1">IFERROR(__xludf.DUMMYFUNCTION("""COMPUTED_VALUE"""),637)</f>
        <v>637</v>
      </c>
      <c r="Y347" s="1">
        <f ca="1">IFERROR(__xludf.DUMMYFUNCTION("""COMPUTED_VALUE"""),0.699)</f>
        <v>0.69899999999999995</v>
      </c>
      <c r="Z347" s="1">
        <f ca="1">IFERROR(__xludf.DUMMYFUNCTION("""COMPUTED_VALUE"""),358)</f>
        <v>358</v>
      </c>
      <c r="AA347" s="1">
        <f ca="1">IFERROR(__xludf.DUMMYFUNCTION("""COMPUTED_VALUE"""),1264)</f>
        <v>1264</v>
      </c>
      <c r="AB347" s="1">
        <f ca="1">IFERROR(__xludf.DUMMYFUNCTION("""COMPUTED_VALUE"""),486)</f>
        <v>486</v>
      </c>
      <c r="AC347" s="1">
        <f ca="1">IFERROR(__xludf.DUMMYFUNCTION("""COMPUTED_VALUE"""),227)</f>
        <v>227</v>
      </c>
      <c r="AD347" s="1">
        <f ca="1">IFERROR(__xludf.DUMMYFUNCTION("""COMPUTED_VALUE"""),152)</f>
        <v>152</v>
      </c>
      <c r="AE347" s="1">
        <f ca="1">IFERROR(__xludf.DUMMYFUNCTION("""COMPUTED_VALUE"""),401)</f>
        <v>401</v>
      </c>
      <c r="AF347" s="1">
        <f ca="1">IFERROR(__xludf.DUMMYFUNCTION("""COMPUTED_VALUE"""),627)</f>
        <v>627</v>
      </c>
    </row>
    <row r="348" spans="1:32" ht="12.5" x14ac:dyDescent="0.25">
      <c r="A348" s="1" t="str">
        <f ca="1">IFERROR(__xludf.DUMMYFUNCTION("""COMPUTED_VALUE"""),"Toledo")</f>
        <v>Toledo</v>
      </c>
      <c r="B348" s="1">
        <f ca="1">IFERROR(__xludf.DUMMYFUNCTION("""COMPUTED_VALUE"""),33)</f>
        <v>33</v>
      </c>
      <c r="C348" s="1">
        <f ca="1">IFERROR(__xludf.DUMMYFUNCTION("""COMPUTED_VALUE"""),25)</f>
        <v>25</v>
      </c>
      <c r="D348" s="1">
        <f ca="1">IFERROR(__xludf.DUMMYFUNCTION("""COMPUTED_VALUE"""),8)</f>
        <v>8</v>
      </c>
      <c r="E348" s="1">
        <f ca="1">IFERROR(__xludf.DUMMYFUNCTION("""COMPUTED_VALUE"""),0.758)</f>
        <v>0.75800000000000001</v>
      </c>
      <c r="F348" s="1">
        <f ca="1">IFERROR(__xludf.DUMMYFUNCTION("""COMPUTED_VALUE"""),8.21)</f>
        <v>8.2100000000000009</v>
      </c>
      <c r="G348" s="1">
        <f ca="1">IFERROR(__xludf.DUMMYFUNCTION("""COMPUTED_VALUE"""),0.71)</f>
        <v>0.71</v>
      </c>
      <c r="H348" s="1">
        <f ca="1">IFERROR(__xludf.DUMMYFUNCTION("""COMPUTED_VALUE"""),13)</f>
        <v>13</v>
      </c>
      <c r="I348" s="1">
        <f ca="1">IFERROR(__xludf.DUMMYFUNCTION("""COMPUTED_VALUE"""),5)</f>
        <v>5</v>
      </c>
      <c r="J348" s="1">
        <f ca="1">IFERROR(__xludf.DUMMYFUNCTION("""COMPUTED_VALUE"""),14)</f>
        <v>14</v>
      </c>
      <c r="K348" s="1">
        <f ca="1">IFERROR(__xludf.DUMMYFUNCTION("""COMPUTED_VALUE"""),2)</f>
        <v>2</v>
      </c>
      <c r="L348" s="1">
        <f ca="1">IFERROR(__xludf.DUMMYFUNCTION("""COMPUTED_VALUE"""),8)</f>
        <v>8</v>
      </c>
      <c r="M348" s="1">
        <f ca="1">IFERROR(__xludf.DUMMYFUNCTION("""COMPUTED_VALUE"""),5)</f>
        <v>5</v>
      </c>
      <c r="N348" s="1">
        <f ca="1">IFERROR(__xludf.DUMMYFUNCTION("""COMPUTED_VALUE"""),2537)</f>
        <v>2537</v>
      </c>
      <c r="O348" s="1">
        <f ca="1">IFERROR(__xludf.DUMMYFUNCTION("""COMPUTED_VALUE"""),2256)</f>
        <v>2256</v>
      </c>
      <c r="P348" s="1">
        <f ca="1">IFERROR(__xludf.DUMMYFUNCTION("""COMPUTED_VALUE"""),1330)</f>
        <v>1330</v>
      </c>
      <c r="Q348" s="1">
        <f ca="1">IFERROR(__xludf.DUMMYFUNCTION("""COMPUTED_VALUE"""),901)</f>
        <v>901</v>
      </c>
      <c r="R348" s="1">
        <f ca="1">IFERROR(__xludf.DUMMYFUNCTION("""COMPUTED_VALUE"""),1990)</f>
        <v>1990</v>
      </c>
      <c r="S348" s="1">
        <f ca="1">IFERROR(__xludf.DUMMYFUNCTION("""COMPUTED_VALUE"""),0.453)</f>
        <v>0.45300000000000001</v>
      </c>
      <c r="T348" s="1">
        <f ca="1">IFERROR(__xludf.DUMMYFUNCTION("""COMPUTED_VALUE"""),325)</f>
        <v>325</v>
      </c>
      <c r="U348" s="1">
        <f ca="1">IFERROR(__xludf.DUMMYFUNCTION("""COMPUTED_VALUE"""),859)</f>
        <v>859</v>
      </c>
      <c r="V348" s="1">
        <f ca="1">IFERROR(__xludf.DUMMYFUNCTION("""COMPUTED_VALUE"""),0.378)</f>
        <v>0.378</v>
      </c>
      <c r="W348" s="1">
        <f ca="1">IFERROR(__xludf.DUMMYFUNCTION("""COMPUTED_VALUE"""),410)</f>
        <v>410</v>
      </c>
      <c r="X348" s="1">
        <f ca="1">IFERROR(__xludf.DUMMYFUNCTION("""COMPUTED_VALUE"""),531)</f>
        <v>531</v>
      </c>
      <c r="Y348" s="1">
        <f ca="1">IFERROR(__xludf.DUMMYFUNCTION("""COMPUTED_VALUE"""),0.772)</f>
        <v>0.77200000000000002</v>
      </c>
      <c r="Z348" s="1">
        <f ca="1">IFERROR(__xludf.DUMMYFUNCTION("""COMPUTED_VALUE"""),327)</f>
        <v>327</v>
      </c>
      <c r="AA348" s="1">
        <f ca="1">IFERROR(__xludf.DUMMYFUNCTION("""COMPUTED_VALUE"""),1281)</f>
        <v>1281</v>
      </c>
      <c r="AB348" s="1">
        <f ca="1">IFERROR(__xludf.DUMMYFUNCTION("""COMPUTED_VALUE"""),538)</f>
        <v>538</v>
      </c>
      <c r="AC348" s="1">
        <f ca="1">IFERROR(__xludf.DUMMYFUNCTION("""COMPUTED_VALUE"""),170)</f>
        <v>170</v>
      </c>
      <c r="AD348" s="1">
        <f ca="1">IFERROR(__xludf.DUMMYFUNCTION("""COMPUTED_VALUE"""),152)</f>
        <v>152</v>
      </c>
      <c r="AE348" s="1">
        <f ca="1">IFERROR(__xludf.DUMMYFUNCTION("""COMPUTED_VALUE"""),402)</f>
        <v>402</v>
      </c>
      <c r="AF348" s="1">
        <f ca="1">IFERROR(__xludf.DUMMYFUNCTION("""COMPUTED_VALUE"""),517)</f>
        <v>517</v>
      </c>
    </row>
    <row r="349" spans="1:32" ht="12.5" x14ac:dyDescent="0.25">
      <c r="A349" s="1" t="str">
        <f ca="1">IFERROR(__xludf.DUMMYFUNCTION("""COMPUTED_VALUE"""),"Towson")</f>
        <v>Towson</v>
      </c>
      <c r="B349" s="1">
        <f ca="1">IFERROR(__xludf.DUMMYFUNCTION("""COMPUTED_VALUE"""),32)</f>
        <v>32</v>
      </c>
      <c r="C349" s="1">
        <f ca="1">IFERROR(__xludf.DUMMYFUNCTION("""COMPUTED_VALUE"""),10)</f>
        <v>10</v>
      </c>
      <c r="D349" s="1">
        <f ca="1">IFERROR(__xludf.DUMMYFUNCTION("""COMPUTED_VALUE"""),22)</f>
        <v>22</v>
      </c>
      <c r="E349" s="1">
        <f ca="1">IFERROR(__xludf.DUMMYFUNCTION("""COMPUTED_VALUE"""),0.313)</f>
        <v>0.313</v>
      </c>
      <c r="F349" s="1">
        <f ca="1">IFERROR(__xludf.DUMMYFUNCTION("""COMPUTED_VALUE"""),-8.44)</f>
        <v>-8.44</v>
      </c>
      <c r="G349" s="1">
        <f ca="1">IFERROR(__xludf.DUMMYFUNCTION("""COMPUTED_VALUE"""),-3.57)</f>
        <v>-3.57</v>
      </c>
      <c r="H349" s="1">
        <f ca="1">IFERROR(__xludf.DUMMYFUNCTION("""COMPUTED_VALUE"""),6)</f>
        <v>6</v>
      </c>
      <c r="I349" s="1">
        <f ca="1">IFERROR(__xludf.DUMMYFUNCTION("""COMPUTED_VALUE"""),12)</f>
        <v>12</v>
      </c>
      <c r="J349" s="1">
        <f ca="1">IFERROR(__xludf.DUMMYFUNCTION("""COMPUTED_VALUE"""),5)</f>
        <v>5</v>
      </c>
      <c r="K349" s="1">
        <f ca="1">IFERROR(__xludf.DUMMYFUNCTION("""COMPUTED_VALUE"""),8)</f>
        <v>8</v>
      </c>
      <c r="L349" s="1">
        <f ca="1">IFERROR(__xludf.DUMMYFUNCTION("""COMPUTED_VALUE"""),4)</f>
        <v>4</v>
      </c>
      <c r="M349" s="1">
        <f ca="1">IFERROR(__xludf.DUMMYFUNCTION("""COMPUTED_VALUE"""),8)</f>
        <v>8</v>
      </c>
      <c r="N349" s="1">
        <f ca="1">IFERROR(__xludf.DUMMYFUNCTION("""COMPUTED_VALUE"""),2170)</f>
        <v>2170</v>
      </c>
      <c r="O349" s="1">
        <f ca="1">IFERROR(__xludf.DUMMYFUNCTION("""COMPUTED_VALUE"""),2294)</f>
        <v>2294</v>
      </c>
      <c r="P349" s="1">
        <f ca="1">IFERROR(__xludf.DUMMYFUNCTION("""COMPUTED_VALUE"""),1310)</f>
        <v>1310</v>
      </c>
      <c r="Q349" s="1">
        <f ca="1">IFERROR(__xludf.DUMMYFUNCTION("""COMPUTED_VALUE"""),810)</f>
        <v>810</v>
      </c>
      <c r="R349" s="1">
        <f ca="1">IFERROR(__xludf.DUMMYFUNCTION("""COMPUTED_VALUE"""),1860)</f>
        <v>1860</v>
      </c>
      <c r="S349" s="1">
        <f ca="1">IFERROR(__xludf.DUMMYFUNCTION("""COMPUTED_VALUE"""),0.435)</f>
        <v>0.435</v>
      </c>
      <c r="T349" s="1">
        <f ca="1">IFERROR(__xludf.DUMMYFUNCTION("""COMPUTED_VALUE"""),180)</f>
        <v>180</v>
      </c>
      <c r="U349" s="1">
        <f ca="1">IFERROR(__xludf.DUMMYFUNCTION("""COMPUTED_VALUE"""),550)</f>
        <v>550</v>
      </c>
      <c r="V349" s="1">
        <f ca="1">IFERROR(__xludf.DUMMYFUNCTION("""COMPUTED_VALUE"""),0.327)</f>
        <v>0.32700000000000001</v>
      </c>
      <c r="W349" s="1">
        <f ca="1">IFERROR(__xludf.DUMMYFUNCTION("""COMPUTED_VALUE"""),370)</f>
        <v>370</v>
      </c>
      <c r="X349" s="1">
        <f ca="1">IFERROR(__xludf.DUMMYFUNCTION("""COMPUTED_VALUE"""),532)</f>
        <v>532</v>
      </c>
      <c r="Y349" s="1">
        <f ca="1">IFERROR(__xludf.DUMMYFUNCTION("""COMPUTED_VALUE"""),0.695)</f>
        <v>0.69499999999999995</v>
      </c>
      <c r="Z349" s="1">
        <f ca="1">IFERROR(__xludf.DUMMYFUNCTION("""COMPUTED_VALUE"""),389)</f>
        <v>389</v>
      </c>
      <c r="AA349" s="1">
        <f ca="1">IFERROR(__xludf.DUMMYFUNCTION("""COMPUTED_VALUE"""),1184)</f>
        <v>1184</v>
      </c>
      <c r="AB349" s="1">
        <f ca="1">IFERROR(__xludf.DUMMYFUNCTION("""COMPUTED_VALUE"""),319)</f>
        <v>319</v>
      </c>
      <c r="AC349" s="1">
        <f ca="1">IFERROR(__xludf.DUMMYFUNCTION("""COMPUTED_VALUE"""),154)</f>
        <v>154</v>
      </c>
      <c r="AD349" s="1">
        <f ca="1">IFERROR(__xludf.DUMMYFUNCTION("""COMPUTED_VALUE"""),94)</f>
        <v>94</v>
      </c>
      <c r="AE349" s="1">
        <f ca="1">IFERROR(__xludf.DUMMYFUNCTION("""COMPUTED_VALUE"""),390)</f>
        <v>390</v>
      </c>
      <c r="AF349" s="1">
        <f ca="1">IFERROR(__xludf.DUMMYFUNCTION("""COMPUTED_VALUE"""),561)</f>
        <v>561</v>
      </c>
    </row>
    <row r="350" spans="1:32" ht="12.5" x14ac:dyDescent="0.25">
      <c r="A350" s="1" t="str">
        <f ca="1">IFERROR(__xludf.DUMMYFUNCTION("""COMPUTED_VALUE"""),"Troy")</f>
        <v>Troy</v>
      </c>
      <c r="B350" s="1">
        <f ca="1">IFERROR(__xludf.DUMMYFUNCTION("""COMPUTED_VALUE"""),30)</f>
        <v>30</v>
      </c>
      <c r="C350" s="1">
        <f ca="1">IFERROR(__xludf.DUMMYFUNCTION("""COMPUTED_VALUE"""),12)</f>
        <v>12</v>
      </c>
      <c r="D350" s="1">
        <f ca="1">IFERROR(__xludf.DUMMYFUNCTION("""COMPUTED_VALUE"""),18)</f>
        <v>18</v>
      </c>
      <c r="E350" s="1">
        <f ca="1">IFERROR(__xludf.DUMMYFUNCTION("""COMPUTED_VALUE"""),0.4)</f>
        <v>0.4</v>
      </c>
      <c r="F350" s="1">
        <f ca="1">IFERROR(__xludf.DUMMYFUNCTION("""COMPUTED_VALUE"""),-6.12)</f>
        <v>-6.12</v>
      </c>
      <c r="G350" s="1">
        <f ca="1">IFERROR(__xludf.DUMMYFUNCTION("""COMPUTED_VALUE"""),-1.01)</f>
        <v>-1.01</v>
      </c>
      <c r="H350" s="1">
        <f ca="1">IFERROR(__xludf.DUMMYFUNCTION("""COMPUTED_VALUE"""),5)</f>
        <v>5</v>
      </c>
      <c r="I350" s="1">
        <f ca="1">IFERROR(__xludf.DUMMYFUNCTION("""COMPUTED_VALUE"""),13)</f>
        <v>13</v>
      </c>
      <c r="J350" s="1">
        <f ca="1">IFERROR(__xludf.DUMMYFUNCTION("""COMPUTED_VALUE"""),8)</f>
        <v>8</v>
      </c>
      <c r="K350" s="1">
        <f ca="1">IFERROR(__xludf.DUMMYFUNCTION("""COMPUTED_VALUE"""),8)</f>
        <v>8</v>
      </c>
      <c r="L350" s="1">
        <f ca="1">IFERROR(__xludf.DUMMYFUNCTION("""COMPUTED_VALUE"""),4)</f>
        <v>4</v>
      </c>
      <c r="M350" s="1">
        <f ca="1">IFERROR(__xludf.DUMMYFUNCTION("""COMPUTED_VALUE"""),10)</f>
        <v>10</v>
      </c>
      <c r="N350" s="1">
        <f ca="1">IFERROR(__xludf.DUMMYFUNCTION("""COMPUTED_VALUE"""),2179)</f>
        <v>2179</v>
      </c>
      <c r="O350" s="1">
        <f ca="1">IFERROR(__xludf.DUMMYFUNCTION("""COMPUTED_VALUE"""),2242)</f>
        <v>2242</v>
      </c>
      <c r="P350" s="1">
        <f ca="1">IFERROR(__xludf.DUMMYFUNCTION("""COMPUTED_VALUE"""),1210)</f>
        <v>1210</v>
      </c>
      <c r="Q350" s="1">
        <f ca="1">IFERROR(__xludf.DUMMYFUNCTION("""COMPUTED_VALUE"""),773)</f>
        <v>773</v>
      </c>
      <c r="R350" s="1">
        <f ca="1">IFERROR(__xludf.DUMMYFUNCTION("""COMPUTED_VALUE"""),1719)</f>
        <v>1719</v>
      </c>
      <c r="S350" s="1">
        <f ca="1">IFERROR(__xludf.DUMMYFUNCTION("""COMPUTED_VALUE"""),0.45)</f>
        <v>0.45</v>
      </c>
      <c r="T350" s="1">
        <f ca="1">IFERROR(__xludf.DUMMYFUNCTION("""COMPUTED_VALUE"""),236)</f>
        <v>236</v>
      </c>
      <c r="U350" s="1">
        <f ca="1">IFERROR(__xludf.DUMMYFUNCTION("""COMPUTED_VALUE"""),704)</f>
        <v>704</v>
      </c>
      <c r="V350" s="1">
        <f ca="1">IFERROR(__xludf.DUMMYFUNCTION("""COMPUTED_VALUE"""),0.335)</f>
        <v>0.33500000000000002</v>
      </c>
      <c r="W350" s="1">
        <f ca="1">IFERROR(__xludf.DUMMYFUNCTION("""COMPUTED_VALUE"""),397)</f>
        <v>397</v>
      </c>
      <c r="X350" s="1">
        <f ca="1">IFERROR(__xludf.DUMMYFUNCTION("""COMPUTED_VALUE"""),550)</f>
        <v>550</v>
      </c>
      <c r="Y350" s="1">
        <f ca="1">IFERROR(__xludf.DUMMYFUNCTION("""COMPUTED_VALUE"""),0.722)</f>
        <v>0.72199999999999998</v>
      </c>
      <c r="Z350" s="1">
        <f ca="1">IFERROR(__xludf.DUMMYFUNCTION("""COMPUTED_VALUE"""),277)</f>
        <v>277</v>
      </c>
      <c r="AA350" s="1">
        <f ca="1">IFERROR(__xludf.DUMMYFUNCTION("""COMPUTED_VALUE"""),1021)</f>
        <v>1021</v>
      </c>
      <c r="AB350" s="1">
        <f ca="1">IFERROR(__xludf.DUMMYFUNCTION("""COMPUTED_VALUE"""),392)</f>
        <v>392</v>
      </c>
      <c r="AC350" s="1">
        <f ca="1">IFERROR(__xludf.DUMMYFUNCTION("""COMPUTED_VALUE"""),171)</f>
        <v>171</v>
      </c>
      <c r="AD350" s="1">
        <f ca="1">IFERROR(__xludf.DUMMYFUNCTION("""COMPUTED_VALUE"""),135)</f>
        <v>135</v>
      </c>
      <c r="AE350" s="1">
        <f ca="1">IFERROR(__xludf.DUMMYFUNCTION("""COMPUTED_VALUE"""),408)</f>
        <v>408</v>
      </c>
      <c r="AF350" s="1">
        <f ca="1">IFERROR(__xludf.DUMMYFUNCTION("""COMPUTED_VALUE"""),523)</f>
        <v>523</v>
      </c>
    </row>
    <row r="351" spans="1:32" ht="12.5" x14ac:dyDescent="0.25">
      <c r="A351" s="1" t="str">
        <f ca="1">IFERROR(__xludf.DUMMYFUNCTION("""COMPUTED_VALUE"""),"Tulane")</f>
        <v>Tulane</v>
      </c>
      <c r="B351" s="1">
        <f ca="1">IFERROR(__xludf.DUMMYFUNCTION("""COMPUTED_VALUE"""),31)</f>
        <v>31</v>
      </c>
      <c r="C351" s="1">
        <f ca="1">IFERROR(__xludf.DUMMYFUNCTION("""COMPUTED_VALUE"""),4)</f>
        <v>4</v>
      </c>
      <c r="D351" s="1">
        <f ca="1">IFERROR(__xludf.DUMMYFUNCTION("""COMPUTED_VALUE"""),27)</f>
        <v>27</v>
      </c>
      <c r="E351" s="1">
        <f ca="1">IFERROR(__xludf.DUMMYFUNCTION("""COMPUTED_VALUE"""),0.129)</f>
        <v>0.129</v>
      </c>
      <c r="F351" s="1">
        <f ca="1">IFERROR(__xludf.DUMMYFUNCTION("""COMPUTED_VALUE"""),-6.72)</f>
        <v>-6.72</v>
      </c>
      <c r="G351" s="1">
        <f ca="1">IFERROR(__xludf.DUMMYFUNCTION("""COMPUTED_VALUE"""),3.63)</f>
        <v>3.63</v>
      </c>
      <c r="H351" s="1">
        <f ca="1">IFERROR(__xludf.DUMMYFUNCTION("""COMPUTED_VALUE"""),0)</f>
        <v>0</v>
      </c>
      <c r="I351" s="1">
        <f ca="1">IFERROR(__xludf.DUMMYFUNCTION("""COMPUTED_VALUE"""),18)</f>
        <v>18</v>
      </c>
      <c r="J351" s="1">
        <f ca="1">IFERROR(__xludf.DUMMYFUNCTION("""COMPUTED_VALUE"""),3)</f>
        <v>3</v>
      </c>
      <c r="K351" s="1">
        <f ca="1">IFERROR(__xludf.DUMMYFUNCTION("""COMPUTED_VALUE"""),12)</f>
        <v>12</v>
      </c>
      <c r="L351" s="1">
        <f ca="1">IFERROR(__xludf.DUMMYFUNCTION("""COMPUTED_VALUE"""),0)</f>
        <v>0</v>
      </c>
      <c r="M351" s="1">
        <f ca="1">IFERROR(__xludf.DUMMYFUNCTION("""COMPUTED_VALUE"""),11)</f>
        <v>11</v>
      </c>
      <c r="N351" s="1">
        <f ca="1">IFERROR(__xludf.DUMMYFUNCTION("""COMPUTED_VALUE"""),2082)</f>
        <v>2082</v>
      </c>
      <c r="O351" s="1">
        <f ca="1">IFERROR(__xludf.DUMMYFUNCTION("""COMPUTED_VALUE"""),2403)</f>
        <v>2403</v>
      </c>
      <c r="P351" s="1">
        <f ca="1">IFERROR(__xludf.DUMMYFUNCTION("""COMPUTED_VALUE"""),1240)</f>
        <v>1240</v>
      </c>
      <c r="Q351" s="1">
        <f ca="1">IFERROR(__xludf.DUMMYFUNCTION("""COMPUTED_VALUE"""),733)</f>
        <v>733</v>
      </c>
      <c r="R351" s="1">
        <f ca="1">IFERROR(__xludf.DUMMYFUNCTION("""COMPUTED_VALUE"""),1783)</f>
        <v>1783</v>
      </c>
      <c r="S351" s="1">
        <f ca="1">IFERROR(__xludf.DUMMYFUNCTION("""COMPUTED_VALUE"""),0.411)</f>
        <v>0.41099999999999998</v>
      </c>
      <c r="T351" s="1">
        <f ca="1">IFERROR(__xludf.DUMMYFUNCTION("""COMPUTED_VALUE"""),213)</f>
        <v>213</v>
      </c>
      <c r="U351" s="1">
        <f ca="1">IFERROR(__xludf.DUMMYFUNCTION("""COMPUTED_VALUE"""),670)</f>
        <v>670</v>
      </c>
      <c r="V351" s="1">
        <f ca="1">IFERROR(__xludf.DUMMYFUNCTION("""COMPUTED_VALUE"""),0.318)</f>
        <v>0.318</v>
      </c>
      <c r="W351" s="1">
        <f ca="1">IFERROR(__xludf.DUMMYFUNCTION("""COMPUTED_VALUE"""),403)</f>
        <v>403</v>
      </c>
      <c r="X351" s="1">
        <f ca="1">IFERROR(__xludf.DUMMYFUNCTION("""COMPUTED_VALUE"""),585)</f>
        <v>585</v>
      </c>
      <c r="Y351" s="1">
        <f ca="1">IFERROR(__xludf.DUMMYFUNCTION("""COMPUTED_VALUE"""),0.689)</f>
        <v>0.68899999999999995</v>
      </c>
      <c r="Z351" s="1">
        <f ca="1">IFERROR(__xludf.DUMMYFUNCTION("""COMPUTED_VALUE"""),298)</f>
        <v>298</v>
      </c>
      <c r="AA351" s="1">
        <f ca="1">IFERROR(__xludf.DUMMYFUNCTION("""COMPUTED_VALUE"""),1131)</f>
        <v>1131</v>
      </c>
      <c r="AB351" s="1">
        <f ca="1">IFERROR(__xludf.DUMMYFUNCTION("""COMPUTED_VALUE"""),444)</f>
        <v>444</v>
      </c>
      <c r="AC351" s="1">
        <f ca="1">IFERROR(__xludf.DUMMYFUNCTION("""COMPUTED_VALUE"""),147)</f>
        <v>147</v>
      </c>
      <c r="AD351" s="1">
        <f ca="1">IFERROR(__xludf.DUMMYFUNCTION("""COMPUTED_VALUE"""),109)</f>
        <v>109</v>
      </c>
      <c r="AE351" s="1">
        <f ca="1">IFERROR(__xludf.DUMMYFUNCTION("""COMPUTED_VALUE"""),467)</f>
        <v>467</v>
      </c>
      <c r="AF351" s="1">
        <f ca="1">IFERROR(__xludf.DUMMYFUNCTION("""COMPUTED_VALUE"""),535)</f>
        <v>535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IFERROR(__xludf.DUMMYFUNCTION("""COMPUTED_VALUE"""),"Tulsa")</f>
        <v>Tulsa</v>
      </c>
      <c r="B354" s="1">
        <f ca="1">IFERROR(__xludf.DUMMYFUNCTION("""COMPUTED_VALUE"""),32)</f>
        <v>32</v>
      </c>
      <c r="C354" s="1">
        <f ca="1">IFERROR(__xludf.DUMMYFUNCTION("""COMPUTED_VALUE"""),18)</f>
        <v>18</v>
      </c>
      <c r="D354" s="1">
        <f ca="1">IFERROR(__xludf.DUMMYFUNCTION("""COMPUTED_VALUE"""),14)</f>
        <v>14</v>
      </c>
      <c r="E354" s="1">
        <f ca="1">IFERROR(__xludf.DUMMYFUNCTION("""COMPUTED_VALUE"""),0.563)</f>
        <v>0.56299999999999994</v>
      </c>
      <c r="F354" s="1">
        <f ca="1">IFERROR(__xludf.DUMMYFUNCTION("""COMPUTED_VALUE"""),4.65)</f>
        <v>4.6500000000000004</v>
      </c>
      <c r="G354" s="1">
        <f ca="1">IFERROR(__xludf.DUMMYFUNCTION("""COMPUTED_VALUE"""),3.86)</f>
        <v>3.86</v>
      </c>
      <c r="H354" s="1">
        <f ca="1">IFERROR(__xludf.DUMMYFUNCTION("""COMPUTED_VALUE"""),8)</f>
        <v>8</v>
      </c>
      <c r="I354" s="1">
        <f ca="1">IFERROR(__xludf.DUMMYFUNCTION("""COMPUTED_VALUE"""),10)</f>
        <v>10</v>
      </c>
      <c r="J354" s="1">
        <f ca="1">IFERROR(__xludf.DUMMYFUNCTION("""COMPUTED_VALUE"""),14)</f>
        <v>14</v>
      </c>
      <c r="K354" s="1">
        <f ca="1">IFERROR(__xludf.DUMMYFUNCTION("""COMPUTED_VALUE"""),3)</f>
        <v>3</v>
      </c>
      <c r="L354" s="1">
        <f ca="1">IFERROR(__xludf.DUMMYFUNCTION("""COMPUTED_VALUE"""),3)</f>
        <v>3</v>
      </c>
      <c r="M354" s="1">
        <f ca="1">IFERROR(__xludf.DUMMYFUNCTION("""COMPUTED_VALUE"""),8)</f>
        <v>8</v>
      </c>
      <c r="N354" s="1">
        <f ca="1">IFERROR(__xludf.DUMMYFUNCTION("""COMPUTED_VALUE"""),2296)</f>
        <v>2296</v>
      </c>
      <c r="O354" s="1">
        <f ca="1">IFERROR(__xludf.DUMMYFUNCTION("""COMPUTED_VALUE"""),2271)</f>
        <v>2271</v>
      </c>
      <c r="P354" s="1">
        <f ca="1">IFERROR(__xludf.DUMMYFUNCTION("""COMPUTED_VALUE"""),1290)</f>
        <v>1290</v>
      </c>
      <c r="Q354" s="1">
        <f ca="1">IFERROR(__xludf.DUMMYFUNCTION("""COMPUTED_VALUE"""),776)</f>
        <v>776</v>
      </c>
      <c r="R354" s="1">
        <f ca="1">IFERROR(__xludf.DUMMYFUNCTION("""COMPUTED_VALUE"""),1732)</f>
        <v>1732</v>
      </c>
      <c r="S354" s="1">
        <f ca="1">IFERROR(__xludf.DUMMYFUNCTION("""COMPUTED_VALUE"""),0.448)</f>
        <v>0.44800000000000001</v>
      </c>
      <c r="T354" s="1">
        <f ca="1">IFERROR(__xludf.DUMMYFUNCTION("""COMPUTED_VALUE"""),222)</f>
        <v>222</v>
      </c>
      <c r="U354" s="1">
        <f ca="1">IFERROR(__xludf.DUMMYFUNCTION("""COMPUTED_VALUE"""),652)</f>
        <v>652</v>
      </c>
      <c r="V354" s="1">
        <f ca="1">IFERROR(__xludf.DUMMYFUNCTION("""COMPUTED_VALUE"""),0.34)</f>
        <v>0.34</v>
      </c>
      <c r="W354" s="1">
        <f ca="1">IFERROR(__xludf.DUMMYFUNCTION("""COMPUTED_VALUE"""),522)</f>
        <v>522</v>
      </c>
      <c r="X354" s="1">
        <f ca="1">IFERROR(__xludf.DUMMYFUNCTION("""COMPUTED_VALUE"""),751)</f>
        <v>751</v>
      </c>
      <c r="Y354" s="1">
        <f ca="1">IFERROR(__xludf.DUMMYFUNCTION("""COMPUTED_VALUE"""),0.695)</f>
        <v>0.69499999999999995</v>
      </c>
      <c r="Z354" s="1">
        <f ca="1">IFERROR(__xludf.DUMMYFUNCTION("""COMPUTED_VALUE"""),239)</f>
        <v>239</v>
      </c>
      <c r="AA354" s="1">
        <f ca="1">IFERROR(__xludf.DUMMYFUNCTION("""COMPUTED_VALUE"""),1119)</f>
        <v>1119</v>
      </c>
      <c r="AB354" s="1">
        <f ca="1">IFERROR(__xludf.DUMMYFUNCTION("""COMPUTED_VALUE"""),430)</f>
        <v>430</v>
      </c>
      <c r="AC354" s="1">
        <f ca="1">IFERROR(__xludf.DUMMYFUNCTION("""COMPUTED_VALUE"""),176)</f>
        <v>176</v>
      </c>
      <c r="AD354" s="1">
        <f ca="1">IFERROR(__xludf.DUMMYFUNCTION("""COMPUTED_VALUE"""),76)</f>
        <v>76</v>
      </c>
      <c r="AE354" s="1">
        <f ca="1">IFERROR(__xludf.DUMMYFUNCTION("""COMPUTED_VALUE"""),404)</f>
        <v>404</v>
      </c>
      <c r="AF354" s="1">
        <f ca="1">IFERROR(__xludf.DUMMYFUNCTION("""COMPUTED_VALUE"""),529)</f>
        <v>529</v>
      </c>
    </row>
    <row r="355" spans="1:32" ht="12.5" x14ac:dyDescent="0.25">
      <c r="A355" s="1" t="str">
        <f ca="1">IFERROR(__xludf.DUMMYFUNCTION("""COMPUTED_VALUE"""),"UCLA")</f>
        <v>UCLA</v>
      </c>
      <c r="B355" s="1">
        <f ca="1">IFERROR(__xludf.DUMMYFUNCTION("""COMPUTED_VALUE"""),33)</f>
        <v>33</v>
      </c>
      <c r="C355" s="1">
        <f ca="1">IFERROR(__xludf.DUMMYFUNCTION("""COMPUTED_VALUE"""),17)</f>
        <v>17</v>
      </c>
      <c r="D355" s="1">
        <f ca="1">IFERROR(__xludf.DUMMYFUNCTION("""COMPUTED_VALUE"""),16)</f>
        <v>16</v>
      </c>
      <c r="E355" s="1">
        <f ca="1">IFERROR(__xludf.DUMMYFUNCTION("""COMPUTED_VALUE"""),0.515)</f>
        <v>0.51500000000000001</v>
      </c>
      <c r="F355" s="1">
        <f ca="1">IFERROR(__xludf.DUMMYFUNCTION("""COMPUTED_VALUE"""),7.17)</f>
        <v>7.17</v>
      </c>
      <c r="G355" s="1">
        <f ca="1">IFERROR(__xludf.DUMMYFUNCTION("""COMPUTED_VALUE"""),6.78)</f>
        <v>6.78</v>
      </c>
      <c r="H355" s="1">
        <f ca="1">IFERROR(__xludf.DUMMYFUNCTION("""COMPUTED_VALUE"""),9)</f>
        <v>9</v>
      </c>
      <c r="I355" s="1">
        <f ca="1">IFERROR(__xludf.DUMMYFUNCTION("""COMPUTED_VALUE"""),9)</f>
        <v>9</v>
      </c>
      <c r="J355" s="1">
        <f ca="1">IFERROR(__xludf.DUMMYFUNCTION("""COMPUTED_VALUE"""),13)</f>
        <v>13</v>
      </c>
      <c r="K355" s="1">
        <f ca="1">IFERROR(__xludf.DUMMYFUNCTION("""COMPUTED_VALUE"""),5)</f>
        <v>5</v>
      </c>
      <c r="L355" s="1">
        <f ca="1">IFERROR(__xludf.DUMMYFUNCTION("""COMPUTED_VALUE"""),3)</f>
        <v>3</v>
      </c>
      <c r="M355" s="1">
        <f ca="1">IFERROR(__xludf.DUMMYFUNCTION("""COMPUTED_VALUE"""),7)</f>
        <v>7</v>
      </c>
      <c r="N355" s="1">
        <f ca="1">IFERROR(__xludf.DUMMYFUNCTION("""COMPUTED_VALUE"""),2580)</f>
        <v>2580</v>
      </c>
      <c r="O355" s="1">
        <f ca="1">IFERROR(__xludf.DUMMYFUNCTION("""COMPUTED_VALUE"""),2567)</f>
        <v>2567</v>
      </c>
      <c r="P355" s="1">
        <f ca="1">IFERROR(__xludf.DUMMYFUNCTION("""COMPUTED_VALUE"""),1335)</f>
        <v>1335</v>
      </c>
      <c r="Q355" s="1">
        <f ca="1">IFERROR(__xludf.DUMMYFUNCTION("""COMPUTED_VALUE"""),919)</f>
        <v>919</v>
      </c>
      <c r="R355" s="1">
        <f ca="1">IFERROR(__xludf.DUMMYFUNCTION("""COMPUTED_VALUE"""),2012)</f>
        <v>2012</v>
      </c>
      <c r="S355" s="1">
        <f ca="1">IFERROR(__xludf.DUMMYFUNCTION("""COMPUTED_VALUE"""),0.457)</f>
        <v>0.45700000000000002</v>
      </c>
      <c r="T355" s="1">
        <f ca="1">IFERROR(__xludf.DUMMYFUNCTION("""COMPUTED_VALUE"""),256)</f>
        <v>256</v>
      </c>
      <c r="U355" s="1">
        <f ca="1">IFERROR(__xludf.DUMMYFUNCTION("""COMPUTED_VALUE"""),721)</f>
        <v>721</v>
      </c>
      <c r="V355" s="1">
        <f ca="1">IFERROR(__xludf.DUMMYFUNCTION("""COMPUTED_VALUE"""),0.355)</f>
        <v>0.35499999999999998</v>
      </c>
      <c r="W355" s="1">
        <f ca="1">IFERROR(__xludf.DUMMYFUNCTION("""COMPUTED_VALUE"""),486)</f>
        <v>486</v>
      </c>
      <c r="X355" s="1">
        <f ca="1">IFERROR(__xludf.DUMMYFUNCTION("""COMPUTED_VALUE"""),768)</f>
        <v>768</v>
      </c>
      <c r="Y355" s="1">
        <f ca="1">IFERROR(__xludf.DUMMYFUNCTION("""COMPUTED_VALUE"""),0.633)</f>
        <v>0.63300000000000001</v>
      </c>
      <c r="Z355" s="1">
        <f ca="1">IFERROR(__xludf.DUMMYFUNCTION("""COMPUTED_VALUE"""),380)</f>
        <v>380</v>
      </c>
      <c r="AA355" s="1">
        <f ca="1">IFERROR(__xludf.DUMMYFUNCTION("""COMPUTED_VALUE"""),1361)</f>
        <v>1361</v>
      </c>
      <c r="AB355" s="1">
        <f ca="1">IFERROR(__xludf.DUMMYFUNCTION("""COMPUTED_VALUE"""),472)</f>
        <v>472</v>
      </c>
      <c r="AC355" s="1">
        <f ca="1">IFERROR(__xludf.DUMMYFUNCTION("""COMPUTED_VALUE"""),194)</f>
        <v>194</v>
      </c>
      <c r="AD355" s="1">
        <f ca="1">IFERROR(__xludf.DUMMYFUNCTION("""COMPUTED_VALUE"""),136)</f>
        <v>136</v>
      </c>
      <c r="AE355" s="1">
        <f ca="1">IFERROR(__xludf.DUMMYFUNCTION("""COMPUTED_VALUE"""),467)</f>
        <v>467</v>
      </c>
      <c r="AF355" s="1">
        <f ca="1">IFERROR(__xludf.DUMMYFUNCTION("""COMPUTED_VALUE"""),563)</f>
        <v>563</v>
      </c>
    </row>
    <row r="356" spans="1:32" ht="12.5" x14ac:dyDescent="0.25">
      <c r="A356" s="1" t="str">
        <f ca="1">IFERROR(__xludf.DUMMYFUNCTION("""COMPUTED_VALUE"""),"Utah State")</f>
        <v>Utah State</v>
      </c>
      <c r="B356" s="1">
        <f ca="1">IFERROR(__xludf.DUMMYFUNCTION("""COMPUTED_VALUE"""),35)</f>
        <v>35</v>
      </c>
      <c r="C356" s="1">
        <f ca="1">IFERROR(__xludf.DUMMYFUNCTION("""COMPUTED_VALUE"""),28)</f>
        <v>28</v>
      </c>
      <c r="D356" s="1">
        <f ca="1">IFERROR(__xludf.DUMMYFUNCTION("""COMPUTED_VALUE"""),7)</f>
        <v>7</v>
      </c>
      <c r="E356" s="1">
        <f ca="1">IFERROR(__xludf.DUMMYFUNCTION("""COMPUTED_VALUE"""),0.8)</f>
        <v>0.8</v>
      </c>
      <c r="F356" s="1">
        <f ca="1">IFERROR(__xludf.DUMMYFUNCTION("""COMPUTED_VALUE"""),11.98)</f>
        <v>11.98</v>
      </c>
      <c r="G356" s="1">
        <f ca="1">IFERROR(__xludf.DUMMYFUNCTION("""COMPUTED_VALUE"""),0.89)</f>
        <v>0.89</v>
      </c>
      <c r="H356" s="1">
        <f ca="1">IFERROR(__xludf.DUMMYFUNCTION("""COMPUTED_VALUE"""),15)</f>
        <v>15</v>
      </c>
      <c r="I356" s="1">
        <f ca="1">IFERROR(__xludf.DUMMYFUNCTION("""COMPUTED_VALUE"""),3)</f>
        <v>3</v>
      </c>
      <c r="J356" s="1">
        <f ca="1">IFERROR(__xludf.DUMMYFUNCTION("""COMPUTED_VALUE"""),14)</f>
        <v>14</v>
      </c>
      <c r="K356" s="1">
        <f ca="1">IFERROR(__xludf.DUMMYFUNCTION("""COMPUTED_VALUE"""),1)</f>
        <v>1</v>
      </c>
      <c r="L356" s="1">
        <f ca="1">IFERROR(__xludf.DUMMYFUNCTION("""COMPUTED_VALUE"""),9)</f>
        <v>9</v>
      </c>
      <c r="M356" s="1">
        <f ca="1">IFERROR(__xludf.DUMMYFUNCTION("""COMPUTED_VALUE"""),4)</f>
        <v>4</v>
      </c>
      <c r="N356" s="1">
        <f ca="1">IFERROR(__xludf.DUMMYFUNCTION("""COMPUTED_VALUE"""),2753)</f>
        <v>2753</v>
      </c>
      <c r="O356" s="1">
        <f ca="1">IFERROR(__xludf.DUMMYFUNCTION("""COMPUTED_VALUE"""),2349)</f>
        <v>2349</v>
      </c>
      <c r="P356" s="1">
        <f ca="1">IFERROR(__xludf.DUMMYFUNCTION("""COMPUTED_VALUE"""),1410)</f>
        <v>1410</v>
      </c>
      <c r="Q356" s="1">
        <f ca="1">IFERROR(__xludf.DUMMYFUNCTION("""COMPUTED_VALUE"""),959)</f>
        <v>959</v>
      </c>
      <c r="R356" s="1">
        <f ca="1">IFERROR(__xludf.DUMMYFUNCTION("""COMPUTED_VALUE"""),2038)</f>
        <v>2038</v>
      </c>
      <c r="S356" s="1">
        <f ca="1">IFERROR(__xludf.DUMMYFUNCTION("""COMPUTED_VALUE"""),0.471)</f>
        <v>0.47099999999999997</v>
      </c>
      <c r="T356" s="1">
        <f ca="1">IFERROR(__xludf.DUMMYFUNCTION("""COMPUTED_VALUE"""),274)</f>
        <v>274</v>
      </c>
      <c r="U356" s="1">
        <f ca="1">IFERROR(__xludf.DUMMYFUNCTION("""COMPUTED_VALUE"""),772)</f>
        <v>772</v>
      </c>
      <c r="V356" s="1">
        <f ca="1">IFERROR(__xludf.DUMMYFUNCTION("""COMPUTED_VALUE"""),0.355)</f>
        <v>0.35499999999999998</v>
      </c>
      <c r="W356" s="1">
        <f ca="1">IFERROR(__xludf.DUMMYFUNCTION("""COMPUTED_VALUE"""),559)</f>
        <v>559</v>
      </c>
      <c r="X356" s="1">
        <f ca="1">IFERROR(__xludf.DUMMYFUNCTION("""COMPUTED_VALUE"""),747)</f>
        <v>747</v>
      </c>
      <c r="Y356" s="1">
        <f ca="1">IFERROR(__xludf.DUMMYFUNCTION("""COMPUTED_VALUE"""),0.748)</f>
        <v>0.748</v>
      </c>
      <c r="Z356" s="1">
        <f ca="1">IFERROR(__xludf.DUMMYFUNCTION("""COMPUTED_VALUE"""),377)</f>
        <v>377</v>
      </c>
      <c r="AA356" s="1">
        <f ca="1">IFERROR(__xludf.DUMMYFUNCTION("""COMPUTED_VALUE"""),1405)</f>
        <v>1405</v>
      </c>
      <c r="AB356" s="1">
        <f ca="1">IFERROR(__xludf.DUMMYFUNCTION("""COMPUTED_VALUE"""),598)</f>
        <v>598</v>
      </c>
      <c r="AC356" s="1">
        <f ca="1">IFERROR(__xludf.DUMMYFUNCTION("""COMPUTED_VALUE"""),215)</f>
        <v>215</v>
      </c>
      <c r="AD356" s="1">
        <f ca="1">IFERROR(__xludf.DUMMYFUNCTION("""COMPUTED_VALUE"""),147)</f>
        <v>147</v>
      </c>
      <c r="AE356" s="1">
        <f ca="1">IFERROR(__xludf.DUMMYFUNCTION("""COMPUTED_VALUE"""),449)</f>
        <v>449</v>
      </c>
      <c r="AF356" s="1">
        <f ca="1">IFERROR(__xludf.DUMMYFUNCTION("""COMPUTED_VALUE"""),649)</f>
        <v>649</v>
      </c>
    </row>
    <row r="357" spans="1:32" ht="12.5" x14ac:dyDescent="0.25">
      <c r="A357" s="1" t="str">
        <f ca="1">IFERROR(__xludf.DUMMYFUNCTION("""COMPUTED_VALUE"""),"Utah Valley")</f>
        <v>Utah Valley</v>
      </c>
      <c r="B357" s="1">
        <f ca="1">IFERROR(__xludf.DUMMYFUNCTION("""COMPUTED_VALUE"""),35)</f>
        <v>35</v>
      </c>
      <c r="C357" s="1">
        <f ca="1">IFERROR(__xludf.DUMMYFUNCTION("""COMPUTED_VALUE"""),25)</f>
        <v>25</v>
      </c>
      <c r="D357" s="1">
        <f ca="1">IFERROR(__xludf.DUMMYFUNCTION("""COMPUTED_VALUE"""),10)</f>
        <v>10</v>
      </c>
      <c r="E357" s="1">
        <f ca="1">IFERROR(__xludf.DUMMYFUNCTION("""COMPUTED_VALUE"""),0.714)</f>
        <v>0.71399999999999997</v>
      </c>
      <c r="F357" s="1">
        <f ca="1">IFERROR(__xludf.DUMMYFUNCTION("""COMPUTED_VALUE"""),3)</f>
        <v>3</v>
      </c>
      <c r="G357" s="1">
        <f ca="1">IFERROR(__xludf.DUMMYFUNCTION("""COMPUTED_VALUE"""),-2.3)</f>
        <v>-2.2999999999999998</v>
      </c>
      <c r="H357" s="1">
        <f ca="1">IFERROR(__xludf.DUMMYFUNCTION("""COMPUTED_VALUE"""),12)</f>
        <v>12</v>
      </c>
      <c r="I357" s="1">
        <f ca="1">IFERROR(__xludf.DUMMYFUNCTION("""COMPUTED_VALUE"""),4)</f>
        <v>4</v>
      </c>
      <c r="J357" s="1">
        <f ca="1">IFERROR(__xludf.DUMMYFUNCTION("""COMPUTED_VALUE"""),14)</f>
        <v>14</v>
      </c>
      <c r="K357" s="1">
        <f ca="1">IFERROR(__xludf.DUMMYFUNCTION("""COMPUTED_VALUE"""),1)</f>
        <v>1</v>
      </c>
      <c r="L357" s="1">
        <f ca="1">IFERROR(__xludf.DUMMYFUNCTION("""COMPUTED_VALUE"""),8)</f>
        <v>8</v>
      </c>
      <c r="M357" s="1">
        <f ca="1">IFERROR(__xludf.DUMMYFUNCTION("""COMPUTED_VALUE"""),8)</f>
        <v>8</v>
      </c>
      <c r="N357" s="1">
        <f ca="1">IFERROR(__xludf.DUMMYFUNCTION("""COMPUTED_VALUE"""),2697)</f>
        <v>2697</v>
      </c>
      <c r="O357" s="1">
        <f ca="1">IFERROR(__xludf.DUMMYFUNCTION("""COMPUTED_VALUE"""),2474)</f>
        <v>2474</v>
      </c>
      <c r="P357" s="1">
        <f ca="1">IFERROR(__xludf.DUMMYFUNCTION("""COMPUTED_VALUE"""),1400)</f>
        <v>1400</v>
      </c>
      <c r="Q357" s="1">
        <f ca="1">IFERROR(__xludf.DUMMYFUNCTION("""COMPUTED_VALUE"""),930)</f>
        <v>930</v>
      </c>
      <c r="R357" s="1">
        <f ca="1">IFERROR(__xludf.DUMMYFUNCTION("""COMPUTED_VALUE"""),1929)</f>
        <v>1929</v>
      </c>
      <c r="S357" s="1">
        <f ca="1">IFERROR(__xludf.DUMMYFUNCTION("""COMPUTED_VALUE"""),0.482)</f>
        <v>0.48199999999999998</v>
      </c>
      <c r="T357" s="1">
        <f ca="1">IFERROR(__xludf.DUMMYFUNCTION("""COMPUTED_VALUE"""),283)</f>
        <v>283</v>
      </c>
      <c r="U357" s="1">
        <f ca="1">IFERROR(__xludf.DUMMYFUNCTION("""COMPUTED_VALUE"""),740)</f>
        <v>740</v>
      </c>
      <c r="V357" s="1">
        <f ca="1">IFERROR(__xludf.DUMMYFUNCTION("""COMPUTED_VALUE"""),0.382)</f>
        <v>0.38200000000000001</v>
      </c>
      <c r="W357" s="1">
        <f ca="1">IFERROR(__xludf.DUMMYFUNCTION("""COMPUTED_VALUE"""),554)</f>
        <v>554</v>
      </c>
      <c r="X357" s="1">
        <f ca="1">IFERROR(__xludf.DUMMYFUNCTION("""COMPUTED_VALUE"""),764)</f>
        <v>764</v>
      </c>
      <c r="Y357" s="1">
        <f ca="1">IFERROR(__xludf.DUMMYFUNCTION("""COMPUTED_VALUE"""),0.725)</f>
        <v>0.72499999999999998</v>
      </c>
      <c r="Z357" s="1">
        <f ca="1">IFERROR(__xludf.DUMMYFUNCTION("""COMPUTED_VALUE"""),318)</f>
        <v>318</v>
      </c>
      <c r="AA357" s="1">
        <f ca="1">IFERROR(__xludf.DUMMYFUNCTION("""COMPUTED_VALUE"""),1271)</f>
        <v>1271</v>
      </c>
      <c r="AB357" s="1">
        <f ca="1">IFERROR(__xludf.DUMMYFUNCTION("""COMPUTED_VALUE"""),484)</f>
        <v>484</v>
      </c>
      <c r="AC357" s="1">
        <f ca="1">IFERROR(__xludf.DUMMYFUNCTION("""COMPUTED_VALUE"""),201)</f>
        <v>201</v>
      </c>
      <c r="AD357" s="1">
        <f ca="1">IFERROR(__xludf.DUMMYFUNCTION("""COMPUTED_VALUE"""),89)</f>
        <v>89</v>
      </c>
      <c r="AE357" s="1">
        <f ca="1">IFERROR(__xludf.DUMMYFUNCTION("""COMPUTED_VALUE"""),487)</f>
        <v>487</v>
      </c>
      <c r="AF357" s="1">
        <f ca="1">IFERROR(__xludf.DUMMYFUNCTION("""COMPUTED_VALUE"""),612)</f>
        <v>612</v>
      </c>
    </row>
    <row r="358" spans="1:32" ht="12.5" x14ac:dyDescent="0.25">
      <c r="A358" s="1" t="str">
        <f ca="1">IFERROR(__xludf.DUMMYFUNCTION("""COMPUTED_VALUE"""),"Utah")</f>
        <v>Utah</v>
      </c>
      <c r="B358" s="1">
        <f ca="1">IFERROR(__xludf.DUMMYFUNCTION("""COMPUTED_VALUE"""),31)</f>
        <v>31</v>
      </c>
      <c r="C358" s="1">
        <f ca="1">IFERROR(__xludf.DUMMYFUNCTION("""COMPUTED_VALUE"""),17)</f>
        <v>17</v>
      </c>
      <c r="D358" s="1">
        <f ca="1">IFERROR(__xludf.DUMMYFUNCTION("""COMPUTED_VALUE"""),14)</f>
        <v>14</v>
      </c>
      <c r="E358" s="1">
        <f ca="1">IFERROR(__xludf.DUMMYFUNCTION("""COMPUTED_VALUE"""),0.548)</f>
        <v>0.54800000000000004</v>
      </c>
      <c r="F358" s="1">
        <f ca="1">IFERROR(__xludf.DUMMYFUNCTION("""COMPUTED_VALUE"""),6.13)</f>
        <v>6.13</v>
      </c>
      <c r="G358" s="1">
        <f ca="1">IFERROR(__xludf.DUMMYFUNCTION("""COMPUTED_VALUE"""),5.1)</f>
        <v>5.0999999999999996</v>
      </c>
      <c r="H358" s="1">
        <f ca="1">IFERROR(__xludf.DUMMYFUNCTION("""COMPUTED_VALUE"""),11)</f>
        <v>11</v>
      </c>
      <c r="I358" s="1">
        <f ca="1">IFERROR(__xludf.DUMMYFUNCTION("""COMPUTED_VALUE"""),7)</f>
        <v>7</v>
      </c>
      <c r="J358" s="1">
        <f ca="1">IFERROR(__xludf.DUMMYFUNCTION("""COMPUTED_VALUE"""),10)</f>
        <v>10</v>
      </c>
      <c r="K358" s="1">
        <f ca="1">IFERROR(__xludf.DUMMYFUNCTION("""COMPUTED_VALUE"""),5)</f>
        <v>5</v>
      </c>
      <c r="L358" s="1">
        <f ca="1">IFERROR(__xludf.DUMMYFUNCTION("""COMPUTED_VALUE"""),6)</f>
        <v>6</v>
      </c>
      <c r="M358" s="1">
        <f ca="1">IFERROR(__xludf.DUMMYFUNCTION("""COMPUTED_VALUE"""),5)</f>
        <v>5</v>
      </c>
      <c r="N358" s="1">
        <f ca="1">IFERROR(__xludf.DUMMYFUNCTION("""COMPUTED_VALUE"""),2343)</f>
        <v>2343</v>
      </c>
      <c r="O358" s="1">
        <f ca="1">IFERROR(__xludf.DUMMYFUNCTION("""COMPUTED_VALUE"""),2311)</f>
        <v>2311</v>
      </c>
      <c r="P358" s="1">
        <f ca="1">IFERROR(__xludf.DUMMYFUNCTION("""COMPUTED_VALUE"""),1245)</f>
        <v>1245</v>
      </c>
      <c r="Q358" s="1">
        <f ca="1">IFERROR(__xludf.DUMMYFUNCTION("""COMPUTED_VALUE"""),805)</f>
        <v>805</v>
      </c>
      <c r="R358" s="1">
        <f ca="1">IFERROR(__xludf.DUMMYFUNCTION("""COMPUTED_VALUE"""),1735)</f>
        <v>1735</v>
      </c>
      <c r="S358" s="1">
        <f ca="1">IFERROR(__xludf.DUMMYFUNCTION("""COMPUTED_VALUE"""),0.464)</f>
        <v>0.46400000000000002</v>
      </c>
      <c r="T358" s="1">
        <f ca="1">IFERROR(__xludf.DUMMYFUNCTION("""COMPUTED_VALUE"""),298)</f>
        <v>298</v>
      </c>
      <c r="U358" s="1">
        <f ca="1">IFERROR(__xludf.DUMMYFUNCTION("""COMPUTED_VALUE"""),806)</f>
        <v>806</v>
      </c>
      <c r="V358" s="1">
        <f ca="1">IFERROR(__xludf.DUMMYFUNCTION("""COMPUTED_VALUE"""),0.37)</f>
        <v>0.37</v>
      </c>
      <c r="W358" s="1">
        <f ca="1">IFERROR(__xludf.DUMMYFUNCTION("""COMPUTED_VALUE"""),435)</f>
        <v>435</v>
      </c>
      <c r="X358" s="1">
        <f ca="1">IFERROR(__xludf.DUMMYFUNCTION("""COMPUTED_VALUE"""),616)</f>
        <v>616</v>
      </c>
      <c r="Y358" s="1">
        <f ca="1">IFERROR(__xludf.DUMMYFUNCTION("""COMPUTED_VALUE"""),0.706)</f>
        <v>0.70599999999999996</v>
      </c>
      <c r="Z358" s="1">
        <f ca="1">IFERROR(__xludf.DUMMYFUNCTION("""COMPUTED_VALUE"""),317)</f>
        <v>317</v>
      </c>
      <c r="AA358" s="1">
        <f ca="1">IFERROR(__xludf.DUMMYFUNCTION("""COMPUTED_VALUE"""),1096)</f>
        <v>1096</v>
      </c>
      <c r="AB358" s="1">
        <f ca="1">IFERROR(__xludf.DUMMYFUNCTION("""COMPUTED_VALUE"""),440)</f>
        <v>440</v>
      </c>
      <c r="AC358" s="1">
        <f ca="1">IFERROR(__xludf.DUMMYFUNCTION("""COMPUTED_VALUE"""),144)</f>
        <v>144</v>
      </c>
      <c r="AD358" s="1">
        <f ca="1">IFERROR(__xludf.DUMMYFUNCTION("""COMPUTED_VALUE"""),80)</f>
        <v>80</v>
      </c>
      <c r="AE358" s="1">
        <f ca="1">IFERROR(__xludf.DUMMYFUNCTION("""COMPUTED_VALUE"""),409)</f>
        <v>409</v>
      </c>
      <c r="AF358" s="1">
        <f ca="1">IFERROR(__xludf.DUMMYFUNCTION("""COMPUTED_VALUE"""),548)</f>
        <v>548</v>
      </c>
    </row>
    <row r="359" spans="1:32" ht="12.5" x14ac:dyDescent="0.25">
      <c r="A359" s="1" t="str">
        <f ca="1">IFERROR(__xludf.DUMMYFUNCTION("""COMPUTED_VALUE"""),"Valparaiso")</f>
        <v>Valparaiso</v>
      </c>
      <c r="B359" s="1">
        <f ca="1">IFERROR(__xludf.DUMMYFUNCTION("""COMPUTED_VALUE"""),33)</f>
        <v>33</v>
      </c>
      <c r="C359" s="1">
        <f ca="1">IFERROR(__xludf.DUMMYFUNCTION("""COMPUTED_VALUE"""),15)</f>
        <v>15</v>
      </c>
      <c r="D359" s="1">
        <f ca="1">IFERROR(__xludf.DUMMYFUNCTION("""COMPUTED_VALUE"""),18)</f>
        <v>18</v>
      </c>
      <c r="E359" s="1">
        <f ca="1">IFERROR(__xludf.DUMMYFUNCTION("""COMPUTED_VALUE"""),0.455)</f>
        <v>0.45500000000000002</v>
      </c>
      <c r="F359" s="1">
        <f ca="1">IFERROR(__xludf.DUMMYFUNCTION("""COMPUTED_VALUE"""),-3.38)</f>
        <v>-3.38</v>
      </c>
      <c r="G359" s="1">
        <f ca="1">IFERROR(__xludf.DUMMYFUNCTION("""COMPUTED_VALUE"""),-1)</f>
        <v>-1</v>
      </c>
      <c r="H359" s="1">
        <f ca="1">IFERROR(__xludf.DUMMYFUNCTION("""COMPUTED_VALUE"""),7)</f>
        <v>7</v>
      </c>
      <c r="I359" s="1">
        <f ca="1">IFERROR(__xludf.DUMMYFUNCTION("""COMPUTED_VALUE"""),11)</f>
        <v>11</v>
      </c>
      <c r="J359" s="1">
        <f ca="1">IFERROR(__xludf.DUMMYFUNCTION("""COMPUTED_VALUE"""),8)</f>
        <v>8</v>
      </c>
      <c r="K359" s="1">
        <f ca="1">IFERROR(__xludf.DUMMYFUNCTION("""COMPUTED_VALUE"""),7)</f>
        <v>7</v>
      </c>
      <c r="L359" s="1">
        <f ca="1">IFERROR(__xludf.DUMMYFUNCTION("""COMPUTED_VALUE"""),5)</f>
        <v>5</v>
      </c>
      <c r="M359" s="1">
        <f ca="1">IFERROR(__xludf.DUMMYFUNCTION("""COMPUTED_VALUE"""),8)</f>
        <v>8</v>
      </c>
      <c r="N359" s="1">
        <f ca="1">IFERROR(__xludf.DUMMYFUNCTION("""COMPUTED_VALUE"""),2205)</f>
        <v>2205</v>
      </c>
      <c r="O359" s="1">
        <f ca="1">IFERROR(__xludf.DUMMYFUNCTION("""COMPUTED_VALUE"""),2187)</f>
        <v>2187</v>
      </c>
      <c r="P359" s="1">
        <f ca="1">IFERROR(__xludf.DUMMYFUNCTION("""COMPUTED_VALUE"""),1335)</f>
        <v>1335</v>
      </c>
      <c r="Q359" s="1">
        <f ca="1">IFERROR(__xludf.DUMMYFUNCTION("""COMPUTED_VALUE"""),802)</f>
        <v>802</v>
      </c>
      <c r="R359" s="1">
        <f ca="1">IFERROR(__xludf.DUMMYFUNCTION("""COMPUTED_VALUE"""),1783)</f>
        <v>1783</v>
      </c>
      <c r="S359" s="1">
        <f ca="1">IFERROR(__xludf.DUMMYFUNCTION("""COMPUTED_VALUE"""),0.45)</f>
        <v>0.45</v>
      </c>
      <c r="T359" s="1">
        <f ca="1">IFERROR(__xludf.DUMMYFUNCTION("""COMPUTED_VALUE"""),185)</f>
        <v>185</v>
      </c>
      <c r="U359" s="1">
        <f ca="1">IFERROR(__xludf.DUMMYFUNCTION("""COMPUTED_VALUE"""),585)</f>
        <v>585</v>
      </c>
      <c r="V359" s="1">
        <f ca="1">IFERROR(__xludf.DUMMYFUNCTION("""COMPUTED_VALUE"""),0.316)</f>
        <v>0.316</v>
      </c>
      <c r="W359" s="1">
        <f ca="1">IFERROR(__xludf.DUMMYFUNCTION("""COMPUTED_VALUE"""),416)</f>
        <v>416</v>
      </c>
      <c r="X359" s="1">
        <f ca="1">IFERROR(__xludf.DUMMYFUNCTION("""COMPUTED_VALUE"""),595)</f>
        <v>595</v>
      </c>
      <c r="Y359" s="1">
        <f ca="1">IFERROR(__xludf.DUMMYFUNCTION("""COMPUTED_VALUE"""),0.699)</f>
        <v>0.69899999999999995</v>
      </c>
      <c r="Z359" s="1">
        <f ca="1">IFERROR(__xludf.DUMMYFUNCTION("""COMPUTED_VALUE"""),294)</f>
        <v>294</v>
      </c>
      <c r="AA359" s="1">
        <f ca="1">IFERROR(__xludf.DUMMYFUNCTION("""COMPUTED_VALUE"""),1115)</f>
        <v>1115</v>
      </c>
      <c r="AB359" s="1">
        <f ca="1">IFERROR(__xludf.DUMMYFUNCTION("""COMPUTED_VALUE"""),431)</f>
        <v>431</v>
      </c>
      <c r="AC359" s="1">
        <f ca="1">IFERROR(__xludf.DUMMYFUNCTION("""COMPUTED_VALUE"""),202)</f>
        <v>202</v>
      </c>
      <c r="AD359" s="1">
        <f ca="1">IFERROR(__xludf.DUMMYFUNCTION("""COMPUTED_VALUE"""),101)</f>
        <v>101</v>
      </c>
      <c r="AE359" s="1">
        <f ca="1">IFERROR(__xludf.DUMMYFUNCTION("""COMPUTED_VALUE"""),439)</f>
        <v>439</v>
      </c>
      <c r="AF359" s="1">
        <f ca="1">IFERROR(__xludf.DUMMYFUNCTION("""COMPUTED_VALUE"""),546)</f>
        <v>546</v>
      </c>
    </row>
    <row r="360" spans="1:32" ht="12.5" x14ac:dyDescent="0.25">
      <c r="A360" s="1" t="str">
        <f ca="1">IFERROR(__xludf.DUMMYFUNCTION("""COMPUTED_VALUE"""),"Vanderbilt")</f>
        <v>Vanderbilt</v>
      </c>
      <c r="B360" s="1">
        <f ca="1">IFERROR(__xludf.DUMMYFUNCTION("""COMPUTED_VALUE"""),32)</f>
        <v>32</v>
      </c>
      <c r="C360" s="1">
        <f ca="1">IFERROR(__xludf.DUMMYFUNCTION("""COMPUTED_VALUE"""),9)</f>
        <v>9</v>
      </c>
      <c r="D360" s="1">
        <f ca="1">IFERROR(__xludf.DUMMYFUNCTION("""COMPUTED_VALUE"""),23)</f>
        <v>23</v>
      </c>
      <c r="E360" s="1">
        <f ca="1">IFERROR(__xludf.DUMMYFUNCTION("""COMPUTED_VALUE"""),0.281)</f>
        <v>0.28100000000000003</v>
      </c>
      <c r="F360" s="1">
        <f ca="1">IFERROR(__xludf.DUMMYFUNCTION("""COMPUTED_VALUE"""),3.57)</f>
        <v>3.57</v>
      </c>
      <c r="G360" s="1">
        <f ca="1">IFERROR(__xludf.DUMMYFUNCTION("""COMPUTED_VALUE"""),7.79)</f>
        <v>7.79</v>
      </c>
      <c r="H360" s="1">
        <f ca="1">IFERROR(__xludf.DUMMYFUNCTION("""COMPUTED_VALUE"""),0)</f>
        <v>0</v>
      </c>
      <c r="I360" s="1">
        <f ca="1">IFERROR(__xludf.DUMMYFUNCTION("""COMPUTED_VALUE"""),18)</f>
        <v>18</v>
      </c>
      <c r="J360" s="1">
        <f ca="1">IFERROR(__xludf.DUMMYFUNCTION("""COMPUTED_VALUE"""),8)</f>
        <v>8</v>
      </c>
      <c r="K360" s="1">
        <f ca="1">IFERROR(__xludf.DUMMYFUNCTION("""COMPUTED_VALUE"""),10)</f>
        <v>10</v>
      </c>
      <c r="L360" s="1">
        <f ca="1">IFERROR(__xludf.DUMMYFUNCTION("""COMPUTED_VALUE"""),1)</f>
        <v>1</v>
      </c>
      <c r="M360" s="1">
        <f ca="1">IFERROR(__xludf.DUMMYFUNCTION("""COMPUTED_VALUE"""),10)</f>
        <v>10</v>
      </c>
      <c r="N360" s="1">
        <f ca="1">IFERROR(__xludf.DUMMYFUNCTION("""COMPUTED_VALUE"""),2180)</f>
        <v>2180</v>
      </c>
      <c r="O360" s="1">
        <f ca="1">IFERROR(__xludf.DUMMYFUNCTION("""COMPUTED_VALUE"""),2315)</f>
        <v>2315</v>
      </c>
      <c r="P360" s="1">
        <f ca="1">IFERROR(__xludf.DUMMYFUNCTION("""COMPUTED_VALUE"""),1285)</f>
        <v>1285</v>
      </c>
      <c r="Q360" s="1">
        <f ca="1">IFERROR(__xludf.DUMMYFUNCTION("""COMPUTED_VALUE"""),736)</f>
        <v>736</v>
      </c>
      <c r="R360" s="1">
        <f ca="1">IFERROR(__xludf.DUMMYFUNCTION("""COMPUTED_VALUE"""),1750)</f>
        <v>1750</v>
      </c>
      <c r="S360" s="1">
        <f ca="1">IFERROR(__xludf.DUMMYFUNCTION("""COMPUTED_VALUE"""),0.421)</f>
        <v>0.42099999999999999</v>
      </c>
      <c r="T360" s="1">
        <f ca="1">IFERROR(__xludf.DUMMYFUNCTION("""COMPUTED_VALUE"""),230)</f>
        <v>230</v>
      </c>
      <c r="U360" s="1">
        <f ca="1">IFERROR(__xludf.DUMMYFUNCTION("""COMPUTED_VALUE"""),739)</f>
        <v>739</v>
      </c>
      <c r="V360" s="1">
        <f ca="1">IFERROR(__xludf.DUMMYFUNCTION("""COMPUTED_VALUE"""),0.311)</f>
        <v>0.311</v>
      </c>
      <c r="W360" s="1">
        <f ca="1">IFERROR(__xludf.DUMMYFUNCTION("""COMPUTED_VALUE"""),478)</f>
        <v>478</v>
      </c>
      <c r="X360" s="1">
        <f ca="1">IFERROR(__xludf.DUMMYFUNCTION("""COMPUTED_VALUE"""),710)</f>
        <v>710</v>
      </c>
      <c r="Y360" s="1">
        <f ca="1">IFERROR(__xludf.DUMMYFUNCTION("""COMPUTED_VALUE"""),0.673)</f>
        <v>0.67300000000000004</v>
      </c>
      <c r="Z360" s="1">
        <f ca="1">IFERROR(__xludf.DUMMYFUNCTION("""COMPUTED_VALUE"""),325)</f>
        <v>325</v>
      </c>
      <c r="AA360" s="1">
        <f ca="1">IFERROR(__xludf.DUMMYFUNCTION("""COMPUTED_VALUE"""),1139)</f>
        <v>1139</v>
      </c>
      <c r="AB360" s="1">
        <f ca="1">IFERROR(__xludf.DUMMYFUNCTION("""COMPUTED_VALUE"""),371)</f>
        <v>371</v>
      </c>
      <c r="AC360" s="1">
        <f ca="1">IFERROR(__xludf.DUMMYFUNCTION("""COMPUTED_VALUE"""),154)</f>
        <v>154</v>
      </c>
      <c r="AD360" s="1">
        <f ca="1">IFERROR(__xludf.DUMMYFUNCTION("""COMPUTED_VALUE"""),126)</f>
        <v>126</v>
      </c>
      <c r="AE360" s="1">
        <f ca="1">IFERROR(__xludf.DUMMYFUNCTION("""COMPUTED_VALUE"""),454)</f>
        <v>454</v>
      </c>
      <c r="AF360" s="1">
        <f ca="1">IFERROR(__xludf.DUMMYFUNCTION("""COMPUTED_VALUE"""),568)</f>
        <v>568</v>
      </c>
    </row>
    <row r="361" spans="1:32" ht="12.5" x14ac:dyDescent="0.25">
      <c r="A361" s="1" t="str">
        <f ca="1">IFERROR(__xludf.DUMMYFUNCTION("""COMPUTED_VALUE"""),"Vermont")</f>
        <v>Vermont</v>
      </c>
      <c r="B361" s="1">
        <f ca="1">IFERROR(__xludf.DUMMYFUNCTION("""COMPUTED_VALUE"""),34)</f>
        <v>34</v>
      </c>
      <c r="C361" s="1">
        <f ca="1">IFERROR(__xludf.DUMMYFUNCTION("""COMPUTED_VALUE"""),27)</f>
        <v>27</v>
      </c>
      <c r="D361" s="1">
        <f ca="1">IFERROR(__xludf.DUMMYFUNCTION("""COMPUTED_VALUE"""),7)</f>
        <v>7</v>
      </c>
      <c r="E361" s="1">
        <f ca="1">IFERROR(__xludf.DUMMYFUNCTION("""COMPUTED_VALUE"""),0.794)</f>
        <v>0.79400000000000004</v>
      </c>
      <c r="F361" s="1">
        <f ca="1">IFERROR(__xludf.DUMMYFUNCTION("""COMPUTED_VALUE"""),4.88)</f>
        <v>4.88</v>
      </c>
      <c r="G361" s="1">
        <f ca="1">IFERROR(__xludf.DUMMYFUNCTION("""COMPUTED_VALUE"""),-4.18)</f>
        <v>-4.18</v>
      </c>
      <c r="H361" s="1">
        <f ca="1">IFERROR(__xludf.DUMMYFUNCTION("""COMPUTED_VALUE"""),14)</f>
        <v>14</v>
      </c>
      <c r="I361" s="1">
        <f ca="1">IFERROR(__xludf.DUMMYFUNCTION("""COMPUTED_VALUE"""),2)</f>
        <v>2</v>
      </c>
      <c r="J361" s="1">
        <f ca="1">IFERROR(__xludf.DUMMYFUNCTION("""COMPUTED_VALUE"""),16)</f>
        <v>16</v>
      </c>
      <c r="K361" s="1">
        <f ca="1">IFERROR(__xludf.DUMMYFUNCTION("""COMPUTED_VALUE"""),2)</f>
        <v>2</v>
      </c>
      <c r="L361" s="1">
        <f ca="1">IFERROR(__xludf.DUMMYFUNCTION("""COMPUTED_VALUE"""),11)</f>
        <v>11</v>
      </c>
      <c r="M361" s="1">
        <f ca="1">IFERROR(__xludf.DUMMYFUNCTION("""COMPUTED_VALUE"""),4)</f>
        <v>4</v>
      </c>
      <c r="N361" s="1">
        <f ca="1">IFERROR(__xludf.DUMMYFUNCTION("""COMPUTED_VALUE"""),2508)</f>
        <v>2508</v>
      </c>
      <c r="O361" s="1">
        <f ca="1">IFERROR(__xludf.DUMMYFUNCTION("""COMPUTED_VALUE"""),2143)</f>
        <v>2143</v>
      </c>
      <c r="P361" s="1">
        <f ca="1">IFERROR(__xludf.DUMMYFUNCTION("""COMPUTED_VALUE"""),1370)</f>
        <v>1370</v>
      </c>
      <c r="Q361" s="1">
        <f ca="1">IFERROR(__xludf.DUMMYFUNCTION("""COMPUTED_VALUE"""),864)</f>
        <v>864</v>
      </c>
      <c r="R361" s="1">
        <f ca="1">IFERROR(__xludf.DUMMYFUNCTION("""COMPUTED_VALUE"""),1887)</f>
        <v>1887</v>
      </c>
      <c r="S361" s="1">
        <f ca="1">IFERROR(__xludf.DUMMYFUNCTION("""COMPUTED_VALUE"""),0.458)</f>
        <v>0.45800000000000002</v>
      </c>
      <c r="T361" s="1">
        <f ca="1">IFERROR(__xludf.DUMMYFUNCTION("""COMPUTED_VALUE"""),273)</f>
        <v>273</v>
      </c>
      <c r="U361" s="1">
        <f ca="1">IFERROR(__xludf.DUMMYFUNCTION("""COMPUTED_VALUE"""),761)</f>
        <v>761</v>
      </c>
      <c r="V361" s="1">
        <f ca="1">IFERROR(__xludf.DUMMYFUNCTION("""COMPUTED_VALUE"""),0.359)</f>
        <v>0.35899999999999999</v>
      </c>
      <c r="W361" s="1">
        <f ca="1">IFERROR(__xludf.DUMMYFUNCTION("""COMPUTED_VALUE"""),507)</f>
        <v>507</v>
      </c>
      <c r="X361" s="1">
        <f ca="1">IFERROR(__xludf.DUMMYFUNCTION("""COMPUTED_VALUE"""),678)</f>
        <v>678</v>
      </c>
      <c r="Y361" s="1">
        <f ca="1">IFERROR(__xludf.DUMMYFUNCTION("""COMPUTED_VALUE"""),0.748)</f>
        <v>0.748</v>
      </c>
      <c r="Z361" s="1">
        <f ca="1">IFERROR(__xludf.DUMMYFUNCTION("""COMPUTED_VALUE"""),304)</f>
        <v>304</v>
      </c>
      <c r="AA361" s="1">
        <f ca="1">IFERROR(__xludf.DUMMYFUNCTION("""COMPUTED_VALUE"""),1194)</f>
        <v>1194</v>
      </c>
      <c r="AB361" s="1">
        <f ca="1">IFERROR(__xludf.DUMMYFUNCTION("""COMPUTED_VALUE"""),399)</f>
        <v>399</v>
      </c>
      <c r="AC361" s="1">
        <f ca="1">IFERROR(__xludf.DUMMYFUNCTION("""COMPUTED_VALUE"""),188)</f>
        <v>188</v>
      </c>
      <c r="AD361" s="1">
        <f ca="1">IFERROR(__xludf.DUMMYFUNCTION("""COMPUTED_VALUE"""),136)</f>
        <v>136</v>
      </c>
      <c r="AE361" s="1">
        <f ca="1">IFERROR(__xludf.DUMMYFUNCTION("""COMPUTED_VALUE"""),377)</f>
        <v>377</v>
      </c>
      <c r="AF361" s="1">
        <f ca="1">IFERROR(__xludf.DUMMYFUNCTION("""COMPUTED_VALUE"""),568)</f>
        <v>568</v>
      </c>
    </row>
    <row r="362" spans="1:32" ht="12.5" x14ac:dyDescent="0.25">
      <c r="A362" s="1" t="str">
        <f ca="1">IFERROR(__xludf.DUMMYFUNCTION("""COMPUTED_VALUE"""),"Villanova")</f>
        <v>Villanova</v>
      </c>
      <c r="B362" s="1">
        <f ca="1">IFERROR(__xludf.DUMMYFUNCTION("""COMPUTED_VALUE"""),36)</f>
        <v>36</v>
      </c>
      <c r="C362" s="1">
        <f ca="1">IFERROR(__xludf.DUMMYFUNCTION("""COMPUTED_VALUE"""),26)</f>
        <v>26</v>
      </c>
      <c r="D362" s="1">
        <f ca="1">IFERROR(__xludf.DUMMYFUNCTION("""COMPUTED_VALUE"""),10)</f>
        <v>10</v>
      </c>
      <c r="E362" s="1">
        <f ca="1">IFERROR(__xludf.DUMMYFUNCTION("""COMPUTED_VALUE"""),0.722)</f>
        <v>0.72199999999999998</v>
      </c>
      <c r="F362" s="1">
        <f ca="1">IFERROR(__xludf.DUMMYFUNCTION("""COMPUTED_VALUE"""),14.33)</f>
        <v>14.33</v>
      </c>
      <c r="G362" s="1">
        <f ca="1">IFERROR(__xludf.DUMMYFUNCTION("""COMPUTED_VALUE"""),7.97)</f>
        <v>7.97</v>
      </c>
      <c r="H362" s="1">
        <f ca="1">IFERROR(__xludf.DUMMYFUNCTION("""COMPUTED_VALUE"""),13)</f>
        <v>13</v>
      </c>
      <c r="I362" s="1">
        <f ca="1">IFERROR(__xludf.DUMMYFUNCTION("""COMPUTED_VALUE"""),5)</f>
        <v>5</v>
      </c>
      <c r="J362" s="1">
        <f ca="1">IFERROR(__xludf.DUMMYFUNCTION("""COMPUTED_VALUE"""),13)</f>
        <v>13</v>
      </c>
      <c r="K362" s="1">
        <f ca="1">IFERROR(__xludf.DUMMYFUNCTION("""COMPUTED_VALUE"""),2)</f>
        <v>2</v>
      </c>
      <c r="L362" s="1">
        <f ca="1">IFERROR(__xludf.DUMMYFUNCTION("""COMPUTED_VALUE"""),5)</f>
        <v>5</v>
      </c>
      <c r="M362" s="1">
        <f ca="1">IFERROR(__xludf.DUMMYFUNCTION("""COMPUTED_VALUE"""),6)</f>
        <v>6</v>
      </c>
      <c r="N362" s="1">
        <f ca="1">IFERROR(__xludf.DUMMYFUNCTION("""COMPUTED_VALUE"""),2654)</f>
        <v>2654</v>
      </c>
      <c r="O362" s="1">
        <f ca="1">IFERROR(__xludf.DUMMYFUNCTION("""COMPUTED_VALUE"""),2425)</f>
        <v>2425</v>
      </c>
      <c r="P362" s="1">
        <f ca="1">IFERROR(__xludf.DUMMYFUNCTION("""COMPUTED_VALUE"""),1455)</f>
        <v>1455</v>
      </c>
      <c r="Q362" s="1">
        <f ca="1">IFERROR(__xludf.DUMMYFUNCTION("""COMPUTED_VALUE"""),884)</f>
        <v>884</v>
      </c>
      <c r="R362" s="1">
        <f ca="1">IFERROR(__xludf.DUMMYFUNCTION("""COMPUTED_VALUE"""),2019)</f>
        <v>2019</v>
      </c>
      <c r="S362" s="1">
        <f ca="1">IFERROR(__xludf.DUMMYFUNCTION("""COMPUTED_VALUE"""),0.438)</f>
        <v>0.438</v>
      </c>
      <c r="T362" s="1">
        <f ca="1">IFERROR(__xludf.DUMMYFUNCTION("""COMPUTED_VALUE"""),380)</f>
        <v>380</v>
      </c>
      <c r="U362" s="1">
        <f ca="1">IFERROR(__xludf.DUMMYFUNCTION("""COMPUTED_VALUE"""),1081)</f>
        <v>1081</v>
      </c>
      <c r="V362" s="1">
        <f ca="1">IFERROR(__xludf.DUMMYFUNCTION("""COMPUTED_VALUE"""),0.352)</f>
        <v>0.35199999999999998</v>
      </c>
      <c r="W362" s="1">
        <f ca="1">IFERROR(__xludf.DUMMYFUNCTION("""COMPUTED_VALUE"""),506)</f>
        <v>506</v>
      </c>
      <c r="X362" s="1">
        <f ca="1">IFERROR(__xludf.DUMMYFUNCTION("""COMPUTED_VALUE"""),695)</f>
        <v>695</v>
      </c>
      <c r="Y362" s="1">
        <f ca="1">IFERROR(__xludf.DUMMYFUNCTION("""COMPUTED_VALUE"""),0.728)</f>
        <v>0.72799999999999998</v>
      </c>
      <c r="Z362" s="1">
        <f ca="1">IFERROR(__xludf.DUMMYFUNCTION("""COMPUTED_VALUE"""),368)</f>
        <v>368</v>
      </c>
      <c r="AA362" s="1">
        <f ca="1">IFERROR(__xludf.DUMMYFUNCTION("""COMPUTED_VALUE"""),1253)</f>
        <v>1253</v>
      </c>
      <c r="AB362" s="1">
        <f ca="1">IFERROR(__xludf.DUMMYFUNCTION("""COMPUTED_VALUE"""),503)</f>
        <v>503</v>
      </c>
      <c r="AC362" s="1">
        <f ca="1">IFERROR(__xludf.DUMMYFUNCTION("""COMPUTED_VALUE"""),194)</f>
        <v>194</v>
      </c>
      <c r="AD362" s="1">
        <f ca="1">IFERROR(__xludf.DUMMYFUNCTION("""COMPUTED_VALUE"""),106)</f>
        <v>106</v>
      </c>
      <c r="AE362" s="1">
        <f ca="1">IFERROR(__xludf.DUMMYFUNCTION("""COMPUTED_VALUE"""),388)</f>
        <v>388</v>
      </c>
      <c r="AF362" s="1">
        <f ca="1">IFERROR(__xludf.DUMMYFUNCTION("""COMPUTED_VALUE"""),580)</f>
        <v>580</v>
      </c>
    </row>
    <row r="363" spans="1:32" ht="12.5" x14ac:dyDescent="0.25">
      <c r="A363" s="1" t="str">
        <f ca="1">IFERROR(__xludf.DUMMYFUNCTION("""COMPUTED_VALUE"""),"Virginia Commonwealth")</f>
        <v>Virginia Commonwealth</v>
      </c>
      <c r="B363" s="1">
        <f ca="1">IFERROR(__xludf.DUMMYFUNCTION("""COMPUTED_VALUE"""),33)</f>
        <v>33</v>
      </c>
      <c r="C363" s="1">
        <f ca="1">IFERROR(__xludf.DUMMYFUNCTION("""COMPUTED_VALUE"""),25)</f>
        <v>25</v>
      </c>
      <c r="D363" s="1">
        <f ca="1">IFERROR(__xludf.DUMMYFUNCTION("""COMPUTED_VALUE"""),8)</f>
        <v>8</v>
      </c>
      <c r="E363" s="1">
        <f ca="1">IFERROR(__xludf.DUMMYFUNCTION("""COMPUTED_VALUE"""),0.758)</f>
        <v>0.75800000000000001</v>
      </c>
      <c r="F363" s="1">
        <f ca="1">IFERROR(__xludf.DUMMYFUNCTION("""COMPUTED_VALUE"""),11.96)</f>
        <v>11.96</v>
      </c>
      <c r="G363" s="1">
        <f ca="1">IFERROR(__xludf.DUMMYFUNCTION("""COMPUTED_VALUE"""),2.87)</f>
        <v>2.87</v>
      </c>
      <c r="H363" s="1">
        <f ca="1">IFERROR(__xludf.DUMMYFUNCTION("""COMPUTED_VALUE"""),16)</f>
        <v>16</v>
      </c>
      <c r="I363" s="1">
        <f ca="1">IFERROR(__xludf.DUMMYFUNCTION("""COMPUTED_VALUE"""),2)</f>
        <v>2</v>
      </c>
      <c r="J363" s="1">
        <f ca="1">IFERROR(__xludf.DUMMYFUNCTION("""COMPUTED_VALUE"""),16)</f>
        <v>16</v>
      </c>
      <c r="K363" s="1">
        <f ca="1">IFERROR(__xludf.DUMMYFUNCTION("""COMPUTED_VALUE"""),1)</f>
        <v>1</v>
      </c>
      <c r="L363" s="1">
        <f ca="1">IFERROR(__xludf.DUMMYFUNCTION("""COMPUTED_VALUE"""),8)</f>
        <v>8</v>
      </c>
      <c r="M363" s="1">
        <f ca="1">IFERROR(__xludf.DUMMYFUNCTION("""COMPUTED_VALUE"""),4)</f>
        <v>4</v>
      </c>
      <c r="N363" s="1">
        <f ca="1">IFERROR(__xludf.DUMMYFUNCTION("""COMPUTED_VALUE"""),2344)</f>
        <v>2344</v>
      </c>
      <c r="O363" s="1">
        <f ca="1">IFERROR(__xludf.DUMMYFUNCTION("""COMPUTED_VALUE"""),2044)</f>
        <v>2044</v>
      </c>
      <c r="P363" s="1">
        <f ca="1">IFERROR(__xludf.DUMMYFUNCTION("""COMPUTED_VALUE"""),1330)</f>
        <v>1330</v>
      </c>
      <c r="Q363" s="1">
        <f ca="1">IFERROR(__xludf.DUMMYFUNCTION("""COMPUTED_VALUE"""),820)</f>
        <v>820</v>
      </c>
      <c r="R363" s="1">
        <f ca="1">IFERROR(__xludf.DUMMYFUNCTION("""COMPUTED_VALUE"""),1872)</f>
        <v>1872</v>
      </c>
      <c r="S363" s="1">
        <f ca="1">IFERROR(__xludf.DUMMYFUNCTION("""COMPUTED_VALUE"""),0.438)</f>
        <v>0.438</v>
      </c>
      <c r="T363" s="1">
        <f ca="1">IFERROR(__xludf.DUMMYFUNCTION("""COMPUTED_VALUE"""),235)</f>
        <v>235</v>
      </c>
      <c r="U363" s="1">
        <f ca="1">IFERROR(__xludf.DUMMYFUNCTION("""COMPUTED_VALUE"""),771)</f>
        <v>771</v>
      </c>
      <c r="V363" s="1">
        <f ca="1">IFERROR(__xludf.DUMMYFUNCTION("""COMPUTED_VALUE"""),0.305)</f>
        <v>0.30499999999999999</v>
      </c>
      <c r="W363" s="1">
        <f ca="1">IFERROR(__xludf.DUMMYFUNCTION("""COMPUTED_VALUE"""),469)</f>
        <v>469</v>
      </c>
      <c r="X363" s="1">
        <f ca="1">IFERROR(__xludf.DUMMYFUNCTION("""COMPUTED_VALUE"""),669)</f>
        <v>669</v>
      </c>
      <c r="Y363" s="1">
        <f ca="1">IFERROR(__xludf.DUMMYFUNCTION("""COMPUTED_VALUE"""),0.701)</f>
        <v>0.70099999999999996</v>
      </c>
      <c r="Z363" s="1">
        <f ca="1">IFERROR(__xludf.DUMMYFUNCTION("""COMPUTED_VALUE"""),358)</f>
        <v>358</v>
      </c>
      <c r="AA363" s="1">
        <f ca="1">IFERROR(__xludf.DUMMYFUNCTION("""COMPUTED_VALUE"""),1208)</f>
        <v>1208</v>
      </c>
      <c r="AB363" s="1">
        <f ca="1">IFERROR(__xludf.DUMMYFUNCTION("""COMPUTED_VALUE"""),450)</f>
        <v>450</v>
      </c>
      <c r="AC363" s="1">
        <f ca="1">IFERROR(__xludf.DUMMYFUNCTION("""COMPUTED_VALUE"""),263)</f>
        <v>263</v>
      </c>
      <c r="AD363" s="1">
        <f ca="1">IFERROR(__xludf.DUMMYFUNCTION("""COMPUTED_VALUE"""),148)</f>
        <v>148</v>
      </c>
      <c r="AE363" s="1">
        <f ca="1">IFERROR(__xludf.DUMMYFUNCTION("""COMPUTED_VALUE"""),458)</f>
        <v>458</v>
      </c>
      <c r="AF363" s="1">
        <f ca="1">IFERROR(__xludf.DUMMYFUNCTION("""COMPUTED_VALUE"""),650)</f>
        <v>650</v>
      </c>
    </row>
    <row r="364" spans="1:32" ht="12.5" x14ac:dyDescent="0.25">
      <c r="A364" s="1" t="str">
        <f ca="1">IFERROR(__xludf.DUMMYFUNCTION("""COMPUTED_VALUE"""),"VMI")</f>
        <v>VMI</v>
      </c>
      <c r="B364" s="1">
        <f ca="1">IFERROR(__xludf.DUMMYFUNCTION("""COMPUTED_VALUE"""),32)</f>
        <v>32</v>
      </c>
      <c r="C364" s="1">
        <f ca="1">IFERROR(__xludf.DUMMYFUNCTION("""COMPUTED_VALUE"""),11)</f>
        <v>11</v>
      </c>
      <c r="D364" s="1">
        <f ca="1">IFERROR(__xludf.DUMMYFUNCTION("""COMPUTED_VALUE"""),21)</f>
        <v>21</v>
      </c>
      <c r="E364" s="1">
        <f ca="1">IFERROR(__xludf.DUMMYFUNCTION("""COMPUTED_VALUE"""),0.344)</f>
        <v>0.34399999999999997</v>
      </c>
      <c r="F364" s="1">
        <f ca="1">IFERROR(__xludf.DUMMYFUNCTION("""COMPUTED_VALUE"""),-10.5)</f>
        <v>-10.5</v>
      </c>
      <c r="G364" s="1">
        <f ca="1">IFERROR(__xludf.DUMMYFUNCTION("""COMPUTED_VALUE"""),0.09)</f>
        <v>0.09</v>
      </c>
      <c r="H364" s="1">
        <f ca="1">IFERROR(__xludf.DUMMYFUNCTION("""COMPUTED_VALUE"""),4)</f>
        <v>4</v>
      </c>
      <c r="I364" s="1">
        <f ca="1">IFERROR(__xludf.DUMMYFUNCTION("""COMPUTED_VALUE"""),14)</f>
        <v>14</v>
      </c>
      <c r="J364" s="1">
        <f ca="1">IFERROR(__xludf.DUMMYFUNCTION("""COMPUTED_VALUE"""),8)</f>
        <v>8</v>
      </c>
      <c r="K364" s="1">
        <f ca="1">IFERROR(__xludf.DUMMYFUNCTION("""COMPUTED_VALUE"""),7)</f>
        <v>7</v>
      </c>
      <c r="L364" s="1">
        <f ca="1">IFERROR(__xludf.DUMMYFUNCTION("""COMPUTED_VALUE"""),2)</f>
        <v>2</v>
      </c>
      <c r="M364" s="1">
        <f ca="1">IFERROR(__xludf.DUMMYFUNCTION("""COMPUTED_VALUE"""),13)</f>
        <v>13</v>
      </c>
      <c r="N364" s="1">
        <f ca="1">IFERROR(__xludf.DUMMYFUNCTION("""COMPUTED_VALUE"""),2433)</f>
        <v>2433</v>
      </c>
      <c r="O364" s="1">
        <f ca="1">IFERROR(__xludf.DUMMYFUNCTION("""COMPUTED_VALUE"""),2617)</f>
        <v>2617</v>
      </c>
      <c r="P364" s="1">
        <f ca="1">IFERROR(__xludf.DUMMYFUNCTION("""COMPUTED_VALUE"""),1290)</f>
        <v>1290</v>
      </c>
      <c r="Q364" s="1">
        <f ca="1">IFERROR(__xludf.DUMMYFUNCTION("""COMPUTED_VALUE"""),843)</f>
        <v>843</v>
      </c>
      <c r="R364" s="1">
        <f ca="1">IFERROR(__xludf.DUMMYFUNCTION("""COMPUTED_VALUE"""),1974)</f>
        <v>1974</v>
      </c>
      <c r="S364" s="1">
        <f ca="1">IFERROR(__xludf.DUMMYFUNCTION("""COMPUTED_VALUE"""),0.427)</f>
        <v>0.42699999999999999</v>
      </c>
      <c r="T364" s="1">
        <f ca="1">IFERROR(__xludf.DUMMYFUNCTION("""COMPUTED_VALUE"""),323)</f>
        <v>323</v>
      </c>
      <c r="U364" s="1">
        <f ca="1">IFERROR(__xludf.DUMMYFUNCTION("""COMPUTED_VALUE"""),899)</f>
        <v>899</v>
      </c>
      <c r="V364" s="1">
        <f ca="1">IFERROR(__xludf.DUMMYFUNCTION("""COMPUTED_VALUE"""),0.359)</f>
        <v>0.35899999999999999</v>
      </c>
      <c r="W364" s="1">
        <f ca="1">IFERROR(__xludf.DUMMYFUNCTION("""COMPUTED_VALUE"""),424)</f>
        <v>424</v>
      </c>
      <c r="X364" s="1">
        <f ca="1">IFERROR(__xludf.DUMMYFUNCTION("""COMPUTED_VALUE"""),581)</f>
        <v>581</v>
      </c>
      <c r="Y364" s="1">
        <f ca="1">IFERROR(__xludf.DUMMYFUNCTION("""COMPUTED_VALUE"""),0.73)</f>
        <v>0.73</v>
      </c>
      <c r="Z364" s="1">
        <f ca="1">IFERROR(__xludf.DUMMYFUNCTION("""COMPUTED_VALUE"""),280)</f>
        <v>280</v>
      </c>
      <c r="AA364" s="1">
        <f ca="1">IFERROR(__xludf.DUMMYFUNCTION("""COMPUTED_VALUE"""),1110)</f>
        <v>1110</v>
      </c>
      <c r="AB364" s="1">
        <f ca="1">IFERROR(__xludf.DUMMYFUNCTION("""COMPUTED_VALUE"""),442)</f>
        <v>442</v>
      </c>
      <c r="AC364" s="1">
        <f ca="1">IFERROR(__xludf.DUMMYFUNCTION("""COMPUTED_VALUE"""),217)</f>
        <v>217</v>
      </c>
      <c r="AD364" s="1">
        <f ca="1">IFERROR(__xludf.DUMMYFUNCTION("""COMPUTED_VALUE"""),61)</f>
        <v>61</v>
      </c>
      <c r="AE364" s="1">
        <f ca="1">IFERROR(__xludf.DUMMYFUNCTION("""COMPUTED_VALUE"""),390)</f>
        <v>390</v>
      </c>
      <c r="AF364" s="1">
        <f ca="1">IFERROR(__xludf.DUMMYFUNCTION("""COMPUTED_VALUE"""),541)</f>
        <v>541</v>
      </c>
    </row>
    <row r="365" spans="1:32" ht="12.5" x14ac:dyDescent="0.25">
      <c r="A365" s="1" t="str">
        <f ca="1">IFERROR(__xludf.DUMMYFUNCTION("""COMPUTED_VALUE"""),"Virginia Tech")</f>
        <v>Virginia Tech</v>
      </c>
      <c r="B365" s="1">
        <f ca="1">IFERROR(__xludf.DUMMYFUNCTION("""COMPUTED_VALUE"""),35)</f>
        <v>35</v>
      </c>
      <c r="C365" s="1">
        <f ca="1">IFERROR(__xludf.DUMMYFUNCTION("""COMPUTED_VALUE"""),26)</f>
        <v>26</v>
      </c>
      <c r="D365" s="1">
        <f ca="1">IFERROR(__xludf.DUMMYFUNCTION("""COMPUTED_VALUE"""),9)</f>
        <v>9</v>
      </c>
      <c r="E365" s="1">
        <f ca="1">IFERROR(__xludf.DUMMYFUNCTION("""COMPUTED_VALUE"""),0.743)</f>
        <v>0.74299999999999999</v>
      </c>
      <c r="F365" s="1">
        <f ca="1">IFERROR(__xludf.DUMMYFUNCTION("""COMPUTED_VALUE"""),19.28)</f>
        <v>19.28</v>
      </c>
      <c r="G365" s="1">
        <f ca="1">IFERROR(__xludf.DUMMYFUNCTION("""COMPUTED_VALUE"""),7.79)</f>
        <v>7.79</v>
      </c>
      <c r="H365" s="1">
        <f ca="1">IFERROR(__xludf.DUMMYFUNCTION("""COMPUTED_VALUE"""),12)</f>
        <v>12</v>
      </c>
      <c r="I365" s="1">
        <f ca="1">IFERROR(__xludf.DUMMYFUNCTION("""COMPUTED_VALUE"""),6)</f>
        <v>6</v>
      </c>
      <c r="J365" s="1">
        <f ca="1">IFERROR(__xludf.DUMMYFUNCTION("""COMPUTED_VALUE"""),14)</f>
        <v>14</v>
      </c>
      <c r="K365" s="1">
        <f ca="1">IFERROR(__xludf.DUMMYFUNCTION("""COMPUTED_VALUE"""),2)</f>
        <v>2</v>
      </c>
      <c r="L365" s="1">
        <f ca="1">IFERROR(__xludf.DUMMYFUNCTION("""COMPUTED_VALUE"""),5)</f>
        <v>5</v>
      </c>
      <c r="M365" s="1">
        <f ca="1">IFERROR(__xludf.DUMMYFUNCTION("""COMPUTED_VALUE"""),5)</f>
        <v>5</v>
      </c>
      <c r="N365" s="1">
        <f ca="1">IFERROR(__xludf.DUMMYFUNCTION("""COMPUTED_VALUE"""),2574)</f>
        <v>2574</v>
      </c>
      <c r="O365" s="1">
        <f ca="1">IFERROR(__xludf.DUMMYFUNCTION("""COMPUTED_VALUE"""),2172)</f>
        <v>2172</v>
      </c>
      <c r="P365" s="1">
        <f ca="1">IFERROR(__xludf.DUMMYFUNCTION("""COMPUTED_VALUE"""),1410)</f>
        <v>1410</v>
      </c>
      <c r="Q365" s="1">
        <f ca="1">IFERROR(__xludf.DUMMYFUNCTION("""COMPUTED_VALUE"""),893)</f>
        <v>893</v>
      </c>
      <c r="R365" s="1">
        <f ca="1">IFERROR(__xludf.DUMMYFUNCTION("""COMPUTED_VALUE"""),1900)</f>
        <v>1900</v>
      </c>
      <c r="S365" s="1">
        <f ca="1">IFERROR(__xludf.DUMMYFUNCTION("""COMPUTED_VALUE"""),0.47)</f>
        <v>0.47</v>
      </c>
      <c r="T365" s="1">
        <f ca="1">IFERROR(__xludf.DUMMYFUNCTION("""COMPUTED_VALUE"""),327)</f>
        <v>327</v>
      </c>
      <c r="U365" s="1">
        <f ca="1">IFERROR(__xludf.DUMMYFUNCTION("""COMPUTED_VALUE"""),831)</f>
        <v>831</v>
      </c>
      <c r="V365" s="1">
        <f ca="1">IFERROR(__xludf.DUMMYFUNCTION("""COMPUTED_VALUE"""),0.394)</f>
        <v>0.39400000000000002</v>
      </c>
      <c r="W365" s="1">
        <f ca="1">IFERROR(__xludf.DUMMYFUNCTION("""COMPUTED_VALUE"""),461)</f>
        <v>461</v>
      </c>
      <c r="X365" s="1">
        <f ca="1">IFERROR(__xludf.DUMMYFUNCTION("""COMPUTED_VALUE"""),606)</f>
        <v>606</v>
      </c>
      <c r="Y365" s="1">
        <f ca="1">IFERROR(__xludf.DUMMYFUNCTION("""COMPUTED_VALUE"""),0.761)</f>
        <v>0.76100000000000001</v>
      </c>
      <c r="Z365" s="1">
        <f ca="1">IFERROR(__xludf.DUMMYFUNCTION("""COMPUTED_VALUE"""),310)</f>
        <v>310</v>
      </c>
      <c r="AA365" s="1">
        <f ca="1">IFERROR(__xludf.DUMMYFUNCTION("""COMPUTED_VALUE"""),1142)</f>
        <v>1142</v>
      </c>
      <c r="AB365" s="1">
        <f ca="1">IFERROR(__xludf.DUMMYFUNCTION("""COMPUTED_VALUE"""),531)</f>
        <v>531</v>
      </c>
      <c r="AC365" s="1">
        <f ca="1">IFERROR(__xludf.DUMMYFUNCTION("""COMPUTED_VALUE"""),236)</f>
        <v>236</v>
      </c>
      <c r="AD365" s="1">
        <f ca="1">IFERROR(__xludf.DUMMYFUNCTION("""COMPUTED_VALUE"""),78)</f>
        <v>78</v>
      </c>
      <c r="AE365" s="1">
        <f ca="1">IFERROR(__xludf.DUMMYFUNCTION("""COMPUTED_VALUE"""),392)</f>
        <v>392</v>
      </c>
      <c r="AF365" s="1">
        <f ca="1">IFERROR(__xludf.DUMMYFUNCTION("""COMPUTED_VALUE"""),532)</f>
        <v>532</v>
      </c>
    </row>
    <row r="366" spans="1:32" ht="12.5" x14ac:dyDescent="0.25">
      <c r="A366" s="1" t="str">
        <f ca="1">IFERROR(__xludf.DUMMYFUNCTION("""COMPUTED_VALUE"""),"Virginia")</f>
        <v>Virginia</v>
      </c>
      <c r="B366" s="1">
        <f ca="1">IFERROR(__xludf.DUMMYFUNCTION("""COMPUTED_VALUE"""),38)</f>
        <v>38</v>
      </c>
      <c r="C366" s="1">
        <f ca="1">IFERROR(__xludf.DUMMYFUNCTION("""COMPUTED_VALUE"""),35)</f>
        <v>35</v>
      </c>
      <c r="D366" s="1">
        <f ca="1">IFERROR(__xludf.DUMMYFUNCTION("""COMPUTED_VALUE"""),3)</f>
        <v>3</v>
      </c>
      <c r="E366" s="1">
        <f ca="1">IFERROR(__xludf.DUMMYFUNCTION("""COMPUTED_VALUE"""),0.921)</f>
        <v>0.92100000000000004</v>
      </c>
      <c r="F366" s="1">
        <f ca="1">IFERROR(__xludf.DUMMYFUNCTION("""COMPUTED_VALUE"""),25.46)</f>
        <v>25.46</v>
      </c>
      <c r="G366" s="1">
        <f ca="1">IFERROR(__xludf.DUMMYFUNCTION("""COMPUTED_VALUE"""),10.15)</f>
        <v>10.15</v>
      </c>
      <c r="H366" s="1">
        <f ca="1">IFERROR(__xludf.DUMMYFUNCTION("""COMPUTED_VALUE"""),16)</f>
        <v>16</v>
      </c>
      <c r="I366" s="1">
        <f ca="1">IFERROR(__xludf.DUMMYFUNCTION("""COMPUTED_VALUE"""),2)</f>
        <v>2</v>
      </c>
      <c r="J366" s="1">
        <f ca="1">IFERROR(__xludf.DUMMYFUNCTION("""COMPUTED_VALUE"""),15)</f>
        <v>15</v>
      </c>
      <c r="K366" s="1">
        <f ca="1">IFERROR(__xludf.DUMMYFUNCTION("""COMPUTED_VALUE"""),1)</f>
        <v>1</v>
      </c>
      <c r="L366" s="1">
        <f ca="1">IFERROR(__xludf.DUMMYFUNCTION("""COMPUTED_VALUE"""),10)</f>
        <v>10</v>
      </c>
      <c r="M366" s="1">
        <f ca="1">IFERROR(__xludf.DUMMYFUNCTION("""COMPUTED_VALUE"""),1)</f>
        <v>1</v>
      </c>
      <c r="N366" s="1">
        <f ca="1">IFERROR(__xludf.DUMMYFUNCTION("""COMPUTED_VALUE"""),2714)</f>
        <v>2714</v>
      </c>
      <c r="O366" s="1">
        <f ca="1">IFERROR(__xludf.DUMMYFUNCTION("""COMPUTED_VALUE"""),2132)</f>
        <v>2132</v>
      </c>
      <c r="P366" s="1">
        <f ca="1">IFERROR(__xludf.DUMMYFUNCTION("""COMPUTED_VALUE"""),1535)</f>
        <v>1535</v>
      </c>
      <c r="Q366" s="1">
        <f ca="1">IFERROR(__xludf.DUMMYFUNCTION("""COMPUTED_VALUE"""),974)</f>
        <v>974</v>
      </c>
      <c r="R366" s="1">
        <f ca="1">IFERROR(__xludf.DUMMYFUNCTION("""COMPUTED_VALUE"""),2056)</f>
        <v>2056</v>
      </c>
      <c r="S366" s="1">
        <f ca="1">IFERROR(__xludf.DUMMYFUNCTION("""COMPUTED_VALUE"""),0.474)</f>
        <v>0.47399999999999998</v>
      </c>
      <c r="T366" s="1">
        <f ca="1">IFERROR(__xludf.DUMMYFUNCTION("""COMPUTED_VALUE"""),321)</f>
        <v>321</v>
      </c>
      <c r="U366" s="1">
        <f ca="1">IFERROR(__xludf.DUMMYFUNCTION("""COMPUTED_VALUE"""),813)</f>
        <v>813</v>
      </c>
      <c r="V366" s="1">
        <f ca="1">IFERROR(__xludf.DUMMYFUNCTION("""COMPUTED_VALUE"""),0.395)</f>
        <v>0.39500000000000002</v>
      </c>
      <c r="W366" s="1">
        <f ca="1">IFERROR(__xludf.DUMMYFUNCTION("""COMPUTED_VALUE"""),445)</f>
        <v>445</v>
      </c>
      <c r="X366" s="1">
        <f ca="1">IFERROR(__xludf.DUMMYFUNCTION("""COMPUTED_VALUE"""),598)</f>
        <v>598</v>
      </c>
      <c r="Y366" s="1">
        <f ca="1">IFERROR(__xludf.DUMMYFUNCTION("""COMPUTED_VALUE"""),0.744)</f>
        <v>0.74399999999999999</v>
      </c>
      <c r="Z366" s="1">
        <f ca="1">IFERROR(__xludf.DUMMYFUNCTION("""COMPUTED_VALUE"""),342)</f>
        <v>342</v>
      </c>
      <c r="AA366" s="1">
        <f ca="1">IFERROR(__xludf.DUMMYFUNCTION("""COMPUTED_VALUE"""),1326)</f>
        <v>1326</v>
      </c>
      <c r="AB366" s="1">
        <f ca="1">IFERROR(__xludf.DUMMYFUNCTION("""COMPUTED_VALUE"""),544)</f>
        <v>544</v>
      </c>
      <c r="AC366" s="1">
        <f ca="1">IFERROR(__xludf.DUMMYFUNCTION("""COMPUTED_VALUE"""),211)</f>
        <v>211</v>
      </c>
      <c r="AD366" s="1">
        <f ca="1">IFERROR(__xludf.DUMMYFUNCTION("""COMPUTED_VALUE"""),149)</f>
        <v>149</v>
      </c>
      <c r="AE366" s="1">
        <f ca="1">IFERROR(__xludf.DUMMYFUNCTION("""COMPUTED_VALUE"""),342)</f>
        <v>342</v>
      </c>
      <c r="AF366" s="1">
        <f ca="1">IFERROR(__xludf.DUMMYFUNCTION("""COMPUTED_VALUE"""),542)</f>
        <v>542</v>
      </c>
    </row>
    <row r="367" spans="1:32" ht="12.5" x14ac:dyDescent="0.25">
      <c r="A367" s="1" t="str">
        <f ca="1">IFERROR(__xludf.DUMMYFUNCTION("""COMPUTED_VALUE"""),"Wagner")</f>
        <v>Wagner</v>
      </c>
      <c r="B367" s="1">
        <f ca="1">IFERROR(__xludf.DUMMYFUNCTION("""COMPUTED_VALUE"""),30)</f>
        <v>30</v>
      </c>
      <c r="C367" s="1">
        <f ca="1">IFERROR(__xludf.DUMMYFUNCTION("""COMPUTED_VALUE"""),13)</f>
        <v>13</v>
      </c>
      <c r="D367" s="1">
        <f ca="1">IFERROR(__xludf.DUMMYFUNCTION("""COMPUTED_VALUE"""),17)</f>
        <v>17</v>
      </c>
      <c r="E367" s="1">
        <f ca="1">IFERROR(__xludf.DUMMYFUNCTION("""COMPUTED_VALUE"""),0.433)</f>
        <v>0.433</v>
      </c>
      <c r="F367" s="1">
        <f ca="1">IFERROR(__xludf.DUMMYFUNCTION("""COMPUTED_VALUE"""),-12.99)</f>
        <v>-12.99</v>
      </c>
      <c r="G367" s="1">
        <f ca="1">IFERROR(__xludf.DUMMYFUNCTION("""COMPUTED_VALUE"""),-7.63)</f>
        <v>-7.63</v>
      </c>
      <c r="H367" s="1">
        <f ca="1">IFERROR(__xludf.DUMMYFUNCTION("""COMPUTED_VALUE"""),8)</f>
        <v>8</v>
      </c>
      <c r="I367" s="1">
        <f ca="1">IFERROR(__xludf.DUMMYFUNCTION("""COMPUTED_VALUE"""),10)</f>
        <v>10</v>
      </c>
      <c r="J367" s="1">
        <f ca="1">IFERROR(__xludf.DUMMYFUNCTION("""COMPUTED_VALUE"""),7)</f>
        <v>7</v>
      </c>
      <c r="K367" s="1">
        <f ca="1">IFERROR(__xludf.DUMMYFUNCTION("""COMPUTED_VALUE"""),7)</f>
        <v>7</v>
      </c>
      <c r="L367" s="1">
        <f ca="1">IFERROR(__xludf.DUMMYFUNCTION("""COMPUTED_VALUE"""),6)</f>
        <v>6</v>
      </c>
      <c r="M367" s="1">
        <f ca="1">IFERROR(__xludf.DUMMYFUNCTION("""COMPUTED_VALUE"""),10)</f>
        <v>10</v>
      </c>
      <c r="N367" s="1">
        <f ca="1">IFERROR(__xludf.DUMMYFUNCTION("""COMPUTED_VALUE"""),1974)</f>
        <v>1974</v>
      </c>
      <c r="O367" s="1">
        <f ca="1">IFERROR(__xludf.DUMMYFUNCTION("""COMPUTED_VALUE"""),2044)</f>
        <v>2044</v>
      </c>
      <c r="P367" s="1">
        <f ca="1">IFERROR(__xludf.DUMMYFUNCTION("""COMPUTED_VALUE"""),1205)</f>
        <v>1205</v>
      </c>
      <c r="Q367" s="1">
        <f ca="1">IFERROR(__xludf.DUMMYFUNCTION("""COMPUTED_VALUE"""),655)</f>
        <v>655</v>
      </c>
      <c r="R367" s="1">
        <f ca="1">IFERROR(__xludf.DUMMYFUNCTION("""COMPUTED_VALUE"""),1696)</f>
        <v>1696</v>
      </c>
      <c r="S367" s="1">
        <f ca="1">IFERROR(__xludf.DUMMYFUNCTION("""COMPUTED_VALUE"""),0.386)</f>
        <v>0.38600000000000001</v>
      </c>
      <c r="T367" s="1">
        <f ca="1">IFERROR(__xludf.DUMMYFUNCTION("""COMPUTED_VALUE"""),236)</f>
        <v>236</v>
      </c>
      <c r="U367" s="1">
        <f ca="1">IFERROR(__xludf.DUMMYFUNCTION("""COMPUTED_VALUE"""),773)</f>
        <v>773</v>
      </c>
      <c r="V367" s="1">
        <f ca="1">IFERROR(__xludf.DUMMYFUNCTION("""COMPUTED_VALUE"""),0.305)</f>
        <v>0.30499999999999999</v>
      </c>
      <c r="W367" s="1">
        <f ca="1">IFERROR(__xludf.DUMMYFUNCTION("""COMPUTED_VALUE"""),428)</f>
        <v>428</v>
      </c>
      <c r="X367" s="1">
        <f ca="1">IFERROR(__xludf.DUMMYFUNCTION("""COMPUTED_VALUE"""),575)</f>
        <v>575</v>
      </c>
      <c r="Y367" s="1">
        <f ca="1">IFERROR(__xludf.DUMMYFUNCTION("""COMPUTED_VALUE"""),0.744)</f>
        <v>0.74399999999999999</v>
      </c>
      <c r="Z367" s="1">
        <f ca="1">IFERROR(__xludf.DUMMYFUNCTION("""COMPUTED_VALUE"""),378)</f>
        <v>378</v>
      </c>
      <c r="AA367" s="1">
        <f ca="1">IFERROR(__xludf.DUMMYFUNCTION("""COMPUTED_VALUE"""),1095)</f>
        <v>1095</v>
      </c>
      <c r="AB367" s="1">
        <f ca="1">IFERROR(__xludf.DUMMYFUNCTION("""COMPUTED_VALUE"""),351)</f>
        <v>351</v>
      </c>
      <c r="AC367" s="1">
        <f ca="1">IFERROR(__xludf.DUMMYFUNCTION("""COMPUTED_VALUE"""),184)</f>
        <v>184</v>
      </c>
      <c r="AD367" s="1">
        <f ca="1">IFERROR(__xludf.DUMMYFUNCTION("""COMPUTED_VALUE"""),108)</f>
        <v>108</v>
      </c>
      <c r="AE367" s="1">
        <f ca="1">IFERROR(__xludf.DUMMYFUNCTION("""COMPUTED_VALUE"""),414)</f>
        <v>414</v>
      </c>
      <c r="AF367" s="1">
        <f ca="1">IFERROR(__xludf.DUMMYFUNCTION("""COMPUTED_VALUE"""),639)</f>
        <v>639</v>
      </c>
    </row>
    <row r="368" spans="1:32" ht="12.5" x14ac:dyDescent="0.25">
      <c r="A368" s="1" t="str">
        <f ca="1">IFERROR(__xludf.DUMMYFUNCTION("""COMPUTED_VALUE"""),"Wake Forest")</f>
        <v>Wake Forest</v>
      </c>
      <c r="B368" s="1">
        <f ca="1">IFERROR(__xludf.DUMMYFUNCTION("""COMPUTED_VALUE"""),31)</f>
        <v>31</v>
      </c>
      <c r="C368" s="1">
        <f ca="1">IFERROR(__xludf.DUMMYFUNCTION("""COMPUTED_VALUE"""),11)</f>
        <v>11</v>
      </c>
      <c r="D368" s="1">
        <f ca="1">IFERROR(__xludf.DUMMYFUNCTION("""COMPUTED_VALUE"""),20)</f>
        <v>20</v>
      </c>
      <c r="E368" s="1">
        <f ca="1">IFERROR(__xludf.DUMMYFUNCTION("""COMPUTED_VALUE"""),0.355)</f>
        <v>0.35499999999999998</v>
      </c>
      <c r="F368" s="1">
        <f ca="1">IFERROR(__xludf.DUMMYFUNCTION("""COMPUTED_VALUE"""),1.21)</f>
        <v>1.21</v>
      </c>
      <c r="G368" s="1">
        <f ca="1">IFERROR(__xludf.DUMMYFUNCTION("""COMPUTED_VALUE"""),8.47)</f>
        <v>8.4700000000000006</v>
      </c>
      <c r="H368" s="1">
        <f ca="1">IFERROR(__xludf.DUMMYFUNCTION("""COMPUTED_VALUE"""),4)</f>
        <v>4</v>
      </c>
      <c r="I368" s="1">
        <f ca="1">IFERROR(__xludf.DUMMYFUNCTION("""COMPUTED_VALUE"""),14)</f>
        <v>14</v>
      </c>
      <c r="J368" s="1">
        <f ca="1">IFERROR(__xludf.DUMMYFUNCTION("""COMPUTED_VALUE"""),8)</f>
        <v>8</v>
      </c>
      <c r="K368" s="1">
        <f ca="1">IFERROR(__xludf.DUMMYFUNCTION("""COMPUTED_VALUE"""),8)</f>
        <v>8</v>
      </c>
      <c r="L368" s="1">
        <f ca="1">IFERROR(__xludf.DUMMYFUNCTION("""COMPUTED_VALUE"""),1)</f>
        <v>1</v>
      </c>
      <c r="M368" s="1">
        <f ca="1">IFERROR(__xludf.DUMMYFUNCTION("""COMPUTED_VALUE"""),10)</f>
        <v>10</v>
      </c>
      <c r="N368" s="1">
        <f ca="1">IFERROR(__xludf.DUMMYFUNCTION("""COMPUTED_VALUE"""),2119)</f>
        <v>2119</v>
      </c>
      <c r="O368" s="1">
        <f ca="1">IFERROR(__xludf.DUMMYFUNCTION("""COMPUTED_VALUE"""),2344)</f>
        <v>2344</v>
      </c>
      <c r="P368" s="1">
        <f ca="1">IFERROR(__xludf.DUMMYFUNCTION("""COMPUTED_VALUE"""),1250)</f>
        <v>1250</v>
      </c>
      <c r="Q368" s="1">
        <f ca="1">IFERROR(__xludf.DUMMYFUNCTION("""COMPUTED_VALUE"""),714)</f>
        <v>714</v>
      </c>
      <c r="R368" s="1">
        <f ca="1">IFERROR(__xludf.DUMMYFUNCTION("""COMPUTED_VALUE"""),1812)</f>
        <v>1812</v>
      </c>
      <c r="S368" s="1">
        <f ca="1">IFERROR(__xludf.DUMMYFUNCTION("""COMPUTED_VALUE"""),0.394)</f>
        <v>0.39400000000000002</v>
      </c>
      <c r="T368" s="1">
        <f ca="1">IFERROR(__xludf.DUMMYFUNCTION("""COMPUTED_VALUE"""),197)</f>
        <v>197</v>
      </c>
      <c r="U368" s="1">
        <f ca="1">IFERROR(__xludf.DUMMYFUNCTION("""COMPUTED_VALUE"""),640)</f>
        <v>640</v>
      </c>
      <c r="V368" s="1">
        <f ca="1">IFERROR(__xludf.DUMMYFUNCTION("""COMPUTED_VALUE"""),0.308)</f>
        <v>0.308</v>
      </c>
      <c r="W368" s="1">
        <f ca="1">IFERROR(__xludf.DUMMYFUNCTION("""COMPUTED_VALUE"""),494)</f>
        <v>494</v>
      </c>
      <c r="X368" s="1">
        <f ca="1">IFERROR(__xludf.DUMMYFUNCTION("""COMPUTED_VALUE"""),681)</f>
        <v>681</v>
      </c>
      <c r="Y368" s="1">
        <f ca="1">IFERROR(__xludf.DUMMYFUNCTION("""COMPUTED_VALUE"""),0.725)</f>
        <v>0.72499999999999998</v>
      </c>
      <c r="Z368" s="1">
        <f ca="1">IFERROR(__xludf.DUMMYFUNCTION("""COMPUTED_VALUE"""),399)</f>
        <v>399</v>
      </c>
      <c r="AA368" s="1">
        <f ca="1">IFERROR(__xludf.DUMMYFUNCTION("""COMPUTED_VALUE"""),1174)</f>
        <v>1174</v>
      </c>
      <c r="AB368" s="1">
        <f ca="1">IFERROR(__xludf.DUMMYFUNCTION("""COMPUTED_VALUE"""),329)</f>
        <v>329</v>
      </c>
      <c r="AC368" s="1">
        <f ca="1">IFERROR(__xludf.DUMMYFUNCTION("""COMPUTED_VALUE"""),150)</f>
        <v>150</v>
      </c>
      <c r="AD368" s="1">
        <f ca="1">IFERROR(__xludf.DUMMYFUNCTION("""COMPUTED_VALUE"""),77)</f>
        <v>77</v>
      </c>
      <c r="AE368" s="1">
        <f ca="1">IFERROR(__xludf.DUMMYFUNCTION("""COMPUTED_VALUE"""),417)</f>
        <v>417</v>
      </c>
      <c r="AF368" s="1">
        <f ca="1">IFERROR(__xludf.DUMMYFUNCTION("""COMPUTED_VALUE"""),555)</f>
        <v>555</v>
      </c>
    </row>
    <row r="369" spans="1:32" ht="12.5" x14ac:dyDescent="0.25">
      <c r="A369" s="1" t="str">
        <f ca="1">IFERROR(__xludf.DUMMYFUNCTION("""COMPUTED_VALUE"""),"Washington State")</f>
        <v>Washington State</v>
      </c>
      <c r="B369" s="1">
        <f ca="1">IFERROR(__xludf.DUMMYFUNCTION("""COMPUTED_VALUE"""),32)</f>
        <v>32</v>
      </c>
      <c r="C369" s="1">
        <f ca="1">IFERROR(__xludf.DUMMYFUNCTION("""COMPUTED_VALUE"""),11)</f>
        <v>11</v>
      </c>
      <c r="D369" s="1">
        <f ca="1">IFERROR(__xludf.DUMMYFUNCTION("""COMPUTED_VALUE"""),21)</f>
        <v>21</v>
      </c>
      <c r="E369" s="1">
        <f ca="1">IFERROR(__xludf.DUMMYFUNCTION("""COMPUTED_VALUE"""),0.344)</f>
        <v>0.34399999999999997</v>
      </c>
      <c r="F369" s="1">
        <f ca="1">IFERROR(__xludf.DUMMYFUNCTION("""COMPUTED_VALUE"""),-1.67)</f>
        <v>-1.67</v>
      </c>
      <c r="G369" s="1">
        <f ca="1">IFERROR(__xludf.DUMMYFUNCTION("""COMPUTED_VALUE"""),2.2)</f>
        <v>2.2000000000000002</v>
      </c>
      <c r="H369" s="1">
        <f ca="1">IFERROR(__xludf.DUMMYFUNCTION("""COMPUTED_VALUE"""),4)</f>
        <v>4</v>
      </c>
      <c r="I369" s="1">
        <f ca="1">IFERROR(__xludf.DUMMYFUNCTION("""COMPUTED_VALUE"""),14)</f>
        <v>14</v>
      </c>
      <c r="J369" s="1">
        <f ca="1">IFERROR(__xludf.DUMMYFUNCTION("""COMPUTED_VALUE"""),9)</f>
        <v>9</v>
      </c>
      <c r="K369" s="1">
        <f ca="1">IFERROR(__xludf.DUMMYFUNCTION("""COMPUTED_VALUE"""),7)</f>
        <v>7</v>
      </c>
      <c r="L369" s="1">
        <f ca="1">IFERROR(__xludf.DUMMYFUNCTION("""COMPUTED_VALUE"""),2)</f>
        <v>2</v>
      </c>
      <c r="M369" s="1">
        <f ca="1">IFERROR(__xludf.DUMMYFUNCTION("""COMPUTED_VALUE"""),8)</f>
        <v>8</v>
      </c>
      <c r="N369" s="1">
        <f ca="1">IFERROR(__xludf.DUMMYFUNCTION("""COMPUTED_VALUE"""),2393)</f>
        <v>2393</v>
      </c>
      <c r="O369" s="1">
        <f ca="1">IFERROR(__xludf.DUMMYFUNCTION("""COMPUTED_VALUE"""),2517)</f>
        <v>2517</v>
      </c>
      <c r="P369" s="1">
        <f ca="1">IFERROR(__xludf.DUMMYFUNCTION("""COMPUTED_VALUE"""),1280)</f>
        <v>1280</v>
      </c>
      <c r="Q369" s="1">
        <f ca="1">IFERROR(__xludf.DUMMYFUNCTION("""COMPUTED_VALUE"""),833)</f>
        <v>833</v>
      </c>
      <c r="R369" s="1">
        <f ca="1">IFERROR(__xludf.DUMMYFUNCTION("""COMPUTED_VALUE"""),1861)</f>
        <v>1861</v>
      </c>
      <c r="S369" s="1">
        <f ca="1">IFERROR(__xludf.DUMMYFUNCTION("""COMPUTED_VALUE"""),0.448)</f>
        <v>0.44800000000000001</v>
      </c>
      <c r="T369" s="1">
        <f ca="1">IFERROR(__xludf.DUMMYFUNCTION("""COMPUTED_VALUE"""),301)</f>
        <v>301</v>
      </c>
      <c r="U369" s="1">
        <f ca="1">IFERROR(__xludf.DUMMYFUNCTION("""COMPUTED_VALUE"""),828)</f>
        <v>828</v>
      </c>
      <c r="V369" s="1">
        <f ca="1">IFERROR(__xludf.DUMMYFUNCTION("""COMPUTED_VALUE"""),0.364)</f>
        <v>0.36399999999999999</v>
      </c>
      <c r="W369" s="1">
        <f ca="1">IFERROR(__xludf.DUMMYFUNCTION("""COMPUTED_VALUE"""),426)</f>
        <v>426</v>
      </c>
      <c r="X369" s="1">
        <f ca="1">IFERROR(__xludf.DUMMYFUNCTION("""COMPUTED_VALUE"""),564)</f>
        <v>564</v>
      </c>
      <c r="Y369" s="1">
        <f ca="1">IFERROR(__xludf.DUMMYFUNCTION("""COMPUTED_VALUE"""),0.755)</f>
        <v>0.755</v>
      </c>
      <c r="Z369" s="1">
        <f ca="1">IFERROR(__xludf.DUMMYFUNCTION("""COMPUTED_VALUE"""),276)</f>
        <v>276</v>
      </c>
      <c r="AA369" s="1">
        <f ca="1">IFERROR(__xludf.DUMMYFUNCTION("""COMPUTED_VALUE"""),1076)</f>
        <v>1076</v>
      </c>
      <c r="AB369" s="1">
        <f ca="1">IFERROR(__xludf.DUMMYFUNCTION("""COMPUTED_VALUE"""),478)</f>
        <v>478</v>
      </c>
      <c r="AC369" s="1">
        <f ca="1">IFERROR(__xludf.DUMMYFUNCTION("""COMPUTED_VALUE"""),169)</f>
        <v>169</v>
      </c>
      <c r="AD369" s="1">
        <f ca="1">IFERROR(__xludf.DUMMYFUNCTION("""COMPUTED_VALUE"""),89)</f>
        <v>89</v>
      </c>
      <c r="AE369" s="1">
        <f ca="1">IFERROR(__xludf.DUMMYFUNCTION("""COMPUTED_VALUE"""),440)</f>
        <v>440</v>
      </c>
      <c r="AF369" s="1">
        <f ca="1">IFERROR(__xludf.DUMMYFUNCTION("""COMPUTED_VALUE"""),554)</f>
        <v>554</v>
      </c>
    </row>
    <row r="370" spans="1:32" ht="12.5" x14ac:dyDescent="0.25">
      <c r="A370" s="1" t="str">
        <f ca="1">IFERROR(__xludf.DUMMYFUNCTION("""COMPUTED_VALUE"""),"Washington")</f>
        <v>Washington</v>
      </c>
      <c r="B370" s="1">
        <f ca="1">IFERROR(__xludf.DUMMYFUNCTION("""COMPUTED_VALUE"""),36)</f>
        <v>36</v>
      </c>
      <c r="C370" s="1">
        <f ca="1">IFERROR(__xludf.DUMMYFUNCTION("""COMPUTED_VALUE"""),27)</f>
        <v>27</v>
      </c>
      <c r="D370" s="1">
        <f ca="1">IFERROR(__xludf.DUMMYFUNCTION("""COMPUTED_VALUE"""),9)</f>
        <v>9</v>
      </c>
      <c r="E370" s="1">
        <f ca="1">IFERROR(__xludf.DUMMYFUNCTION("""COMPUTED_VALUE"""),0.75)</f>
        <v>0.75</v>
      </c>
      <c r="F370" s="1">
        <f ca="1">IFERROR(__xludf.DUMMYFUNCTION("""COMPUTED_VALUE"""),12.01)</f>
        <v>12.01</v>
      </c>
      <c r="G370" s="1">
        <f ca="1">IFERROR(__xludf.DUMMYFUNCTION("""COMPUTED_VALUE"""),7.01)</f>
        <v>7.01</v>
      </c>
      <c r="H370" s="1">
        <f ca="1">IFERROR(__xludf.DUMMYFUNCTION("""COMPUTED_VALUE"""),15)</f>
        <v>15</v>
      </c>
      <c r="I370" s="1">
        <f ca="1">IFERROR(__xludf.DUMMYFUNCTION("""COMPUTED_VALUE"""),3)</f>
        <v>3</v>
      </c>
      <c r="J370" s="1">
        <f ca="1">IFERROR(__xludf.DUMMYFUNCTION("""COMPUTED_VALUE"""),15)</f>
        <v>15</v>
      </c>
      <c r="K370" s="1">
        <f ca="1">IFERROR(__xludf.DUMMYFUNCTION("""COMPUTED_VALUE"""),1)</f>
        <v>1</v>
      </c>
      <c r="L370" s="1">
        <f ca="1">IFERROR(__xludf.DUMMYFUNCTION("""COMPUTED_VALUE"""),7)</f>
        <v>7</v>
      </c>
      <c r="M370" s="1">
        <f ca="1">IFERROR(__xludf.DUMMYFUNCTION("""COMPUTED_VALUE"""),4)</f>
        <v>4</v>
      </c>
      <c r="N370" s="1">
        <f ca="1">IFERROR(__xludf.DUMMYFUNCTION("""COMPUTED_VALUE"""),2511)</f>
        <v>2511</v>
      </c>
      <c r="O370" s="1">
        <f ca="1">IFERROR(__xludf.DUMMYFUNCTION("""COMPUTED_VALUE"""),2331)</f>
        <v>2331</v>
      </c>
      <c r="P370" s="1">
        <f ca="1">IFERROR(__xludf.DUMMYFUNCTION("""COMPUTED_VALUE"""),1445)</f>
        <v>1445</v>
      </c>
      <c r="Q370" s="1">
        <f ca="1">IFERROR(__xludf.DUMMYFUNCTION("""COMPUTED_VALUE"""),883)</f>
        <v>883</v>
      </c>
      <c r="R370" s="1">
        <f ca="1">IFERROR(__xludf.DUMMYFUNCTION("""COMPUTED_VALUE"""),1956)</f>
        <v>1956</v>
      </c>
      <c r="S370" s="1">
        <f ca="1">IFERROR(__xludf.DUMMYFUNCTION("""COMPUTED_VALUE"""),0.451)</f>
        <v>0.45100000000000001</v>
      </c>
      <c r="T370" s="1">
        <f ca="1">IFERROR(__xludf.DUMMYFUNCTION("""COMPUTED_VALUE"""),273)</f>
        <v>273</v>
      </c>
      <c r="U370" s="1">
        <f ca="1">IFERROR(__xludf.DUMMYFUNCTION("""COMPUTED_VALUE"""),780)</f>
        <v>780</v>
      </c>
      <c r="V370" s="1">
        <f ca="1">IFERROR(__xludf.DUMMYFUNCTION("""COMPUTED_VALUE"""),0.35)</f>
        <v>0.35</v>
      </c>
      <c r="W370" s="1">
        <f ca="1">IFERROR(__xludf.DUMMYFUNCTION("""COMPUTED_VALUE"""),472)</f>
        <v>472</v>
      </c>
      <c r="X370" s="1">
        <f ca="1">IFERROR(__xludf.DUMMYFUNCTION("""COMPUTED_VALUE"""),679)</f>
        <v>679</v>
      </c>
      <c r="Y370" s="1">
        <f ca="1">IFERROR(__xludf.DUMMYFUNCTION("""COMPUTED_VALUE"""),0.695)</f>
        <v>0.69499999999999995</v>
      </c>
      <c r="Z370" s="1">
        <f ca="1">IFERROR(__xludf.DUMMYFUNCTION("""COMPUTED_VALUE"""),334)</f>
        <v>334</v>
      </c>
      <c r="AA370" s="1">
        <f ca="1">IFERROR(__xludf.DUMMYFUNCTION("""COMPUTED_VALUE"""),1129)</f>
        <v>1129</v>
      </c>
      <c r="AB370" s="1">
        <f ca="1">IFERROR(__xludf.DUMMYFUNCTION("""COMPUTED_VALUE"""),419)</f>
        <v>419</v>
      </c>
      <c r="AC370" s="1">
        <f ca="1">IFERROR(__xludf.DUMMYFUNCTION("""COMPUTED_VALUE"""),323)</f>
        <v>323</v>
      </c>
      <c r="AD370" s="1">
        <f ca="1">IFERROR(__xludf.DUMMYFUNCTION("""COMPUTED_VALUE"""),206)</f>
        <v>206</v>
      </c>
      <c r="AE370" s="1">
        <f ca="1">IFERROR(__xludf.DUMMYFUNCTION("""COMPUTED_VALUE"""),479)</f>
        <v>479</v>
      </c>
      <c r="AF370" s="1">
        <f ca="1">IFERROR(__xludf.DUMMYFUNCTION("""COMPUTED_VALUE"""),653)</f>
        <v>653</v>
      </c>
    </row>
    <row r="371" spans="1:32" ht="12.5" x14ac:dyDescent="0.25">
      <c r="A371" s="1" t="str">
        <f ca="1">IFERROR(__xludf.DUMMYFUNCTION("""COMPUTED_VALUE"""),"Weber State")</f>
        <v>Weber State</v>
      </c>
      <c r="B371" s="1">
        <f ca="1">IFERROR(__xludf.DUMMYFUNCTION("""COMPUTED_VALUE"""),33)</f>
        <v>33</v>
      </c>
      <c r="C371" s="1">
        <f ca="1">IFERROR(__xludf.DUMMYFUNCTION("""COMPUTED_VALUE"""),18)</f>
        <v>18</v>
      </c>
      <c r="D371" s="1">
        <f ca="1">IFERROR(__xludf.DUMMYFUNCTION("""COMPUTED_VALUE"""),15)</f>
        <v>15</v>
      </c>
      <c r="E371" s="1">
        <f ca="1">IFERROR(__xludf.DUMMYFUNCTION("""COMPUTED_VALUE"""),0.545)</f>
        <v>0.54500000000000004</v>
      </c>
      <c r="F371" s="1">
        <f ca="1">IFERROR(__xludf.DUMMYFUNCTION("""COMPUTED_VALUE"""),-4.37)</f>
        <v>-4.37</v>
      </c>
      <c r="G371" s="1">
        <f ca="1">IFERROR(__xludf.DUMMYFUNCTION("""COMPUTED_VALUE"""),-6.12)</f>
        <v>-6.12</v>
      </c>
      <c r="H371" s="1">
        <f ca="1">IFERROR(__xludf.DUMMYFUNCTION("""COMPUTED_VALUE"""),11)</f>
        <v>11</v>
      </c>
      <c r="I371" s="1">
        <f ca="1">IFERROR(__xludf.DUMMYFUNCTION("""COMPUTED_VALUE"""),9)</f>
        <v>9</v>
      </c>
      <c r="J371" s="1">
        <f ca="1">IFERROR(__xludf.DUMMYFUNCTION("""COMPUTED_VALUE"""),10)</f>
        <v>10</v>
      </c>
      <c r="K371" s="1">
        <f ca="1">IFERROR(__xludf.DUMMYFUNCTION("""COMPUTED_VALUE"""),5)</f>
        <v>5</v>
      </c>
      <c r="L371" s="1">
        <f ca="1">IFERROR(__xludf.DUMMYFUNCTION("""COMPUTED_VALUE"""),5)</f>
        <v>5</v>
      </c>
      <c r="M371" s="1">
        <f ca="1">IFERROR(__xludf.DUMMYFUNCTION("""COMPUTED_VALUE"""),7)</f>
        <v>7</v>
      </c>
      <c r="N371" s="1">
        <f ca="1">IFERROR(__xludf.DUMMYFUNCTION("""COMPUTED_VALUE"""),2617)</f>
        <v>2617</v>
      </c>
      <c r="O371" s="1">
        <f ca="1">IFERROR(__xludf.DUMMYFUNCTION("""COMPUTED_VALUE"""),2454)</f>
        <v>2454</v>
      </c>
      <c r="P371" s="1">
        <f ca="1">IFERROR(__xludf.DUMMYFUNCTION("""COMPUTED_VALUE"""),1330)</f>
        <v>1330</v>
      </c>
      <c r="Q371" s="1">
        <f ca="1">IFERROR(__xludf.DUMMYFUNCTION("""COMPUTED_VALUE"""),920)</f>
        <v>920</v>
      </c>
      <c r="R371" s="1">
        <f ca="1">IFERROR(__xludf.DUMMYFUNCTION("""COMPUTED_VALUE"""),1934)</f>
        <v>1934</v>
      </c>
      <c r="S371" s="1">
        <f ca="1">IFERROR(__xludf.DUMMYFUNCTION("""COMPUTED_VALUE"""),0.476)</f>
        <v>0.47599999999999998</v>
      </c>
      <c r="T371" s="1">
        <f ca="1">IFERROR(__xludf.DUMMYFUNCTION("""COMPUTED_VALUE"""),249)</f>
        <v>249</v>
      </c>
      <c r="U371" s="1">
        <f ca="1">IFERROR(__xludf.DUMMYFUNCTION("""COMPUTED_VALUE"""),684)</f>
        <v>684</v>
      </c>
      <c r="V371" s="1">
        <f ca="1">IFERROR(__xludf.DUMMYFUNCTION("""COMPUTED_VALUE"""),0.364)</f>
        <v>0.36399999999999999</v>
      </c>
      <c r="W371" s="1">
        <f ca="1">IFERROR(__xludf.DUMMYFUNCTION("""COMPUTED_VALUE"""),528)</f>
        <v>528</v>
      </c>
      <c r="X371" s="1">
        <f ca="1">IFERROR(__xludf.DUMMYFUNCTION("""COMPUTED_VALUE"""),708)</f>
        <v>708</v>
      </c>
      <c r="Y371" s="1">
        <f ca="1">IFERROR(__xludf.DUMMYFUNCTION("""COMPUTED_VALUE"""),0.746)</f>
        <v>0.746</v>
      </c>
      <c r="Z371" s="1">
        <f ca="1">IFERROR(__xludf.DUMMYFUNCTION("""COMPUTED_VALUE"""),220)</f>
        <v>220</v>
      </c>
      <c r="AA371" s="1">
        <f ca="1">IFERROR(__xludf.DUMMYFUNCTION("""COMPUTED_VALUE"""),1177)</f>
        <v>1177</v>
      </c>
      <c r="AB371" s="1">
        <f ca="1">IFERROR(__xludf.DUMMYFUNCTION("""COMPUTED_VALUE"""),383)</f>
        <v>383</v>
      </c>
      <c r="AC371" s="1">
        <f ca="1">IFERROR(__xludf.DUMMYFUNCTION("""COMPUTED_VALUE"""),179)</f>
        <v>179</v>
      </c>
      <c r="AD371" s="1">
        <f ca="1">IFERROR(__xludf.DUMMYFUNCTION("""COMPUTED_VALUE"""),140)</f>
        <v>140</v>
      </c>
      <c r="AE371" s="1">
        <f ca="1">IFERROR(__xludf.DUMMYFUNCTION("""COMPUTED_VALUE"""),382)</f>
        <v>382</v>
      </c>
      <c r="AF371" s="1">
        <f ca="1">IFERROR(__xludf.DUMMYFUNCTION("""COMPUTED_VALUE"""),609)</f>
        <v>609</v>
      </c>
    </row>
    <row r="372" spans="1:32" ht="12.5" x14ac:dyDescent="0.25">
      <c r="A372" s="1" t="str">
        <f ca="1">IFERROR(__xludf.DUMMYFUNCTION("""COMPUTED_VALUE"""),"West Virginia")</f>
        <v>West Virginia</v>
      </c>
      <c r="B372" s="1">
        <f ca="1">IFERROR(__xludf.DUMMYFUNCTION("""COMPUTED_VALUE"""),36)</f>
        <v>36</v>
      </c>
      <c r="C372" s="1">
        <f ca="1">IFERROR(__xludf.DUMMYFUNCTION("""COMPUTED_VALUE"""),15)</f>
        <v>15</v>
      </c>
      <c r="D372" s="1">
        <f ca="1">IFERROR(__xludf.DUMMYFUNCTION("""COMPUTED_VALUE"""),21)</f>
        <v>21</v>
      </c>
      <c r="E372" s="1">
        <f ca="1">IFERROR(__xludf.DUMMYFUNCTION("""COMPUTED_VALUE"""),0.417)</f>
        <v>0.41699999999999998</v>
      </c>
      <c r="F372" s="1">
        <f ca="1">IFERROR(__xludf.DUMMYFUNCTION("""COMPUTED_VALUE"""),6.94)</f>
        <v>6.94</v>
      </c>
      <c r="G372" s="1">
        <f ca="1">IFERROR(__xludf.DUMMYFUNCTION("""COMPUTED_VALUE"""),10.57)</f>
        <v>10.57</v>
      </c>
      <c r="H372" s="1">
        <f ca="1">IFERROR(__xludf.DUMMYFUNCTION("""COMPUTED_VALUE"""),4)</f>
        <v>4</v>
      </c>
      <c r="I372" s="1">
        <f ca="1">IFERROR(__xludf.DUMMYFUNCTION("""COMPUTED_VALUE"""),14)</f>
        <v>14</v>
      </c>
      <c r="J372" s="1">
        <f ca="1">IFERROR(__xludf.DUMMYFUNCTION("""COMPUTED_VALUE"""),11)</f>
        <v>11</v>
      </c>
      <c r="K372" s="1">
        <f ca="1">IFERROR(__xludf.DUMMYFUNCTION("""COMPUTED_VALUE"""),7)</f>
        <v>7</v>
      </c>
      <c r="L372" s="1">
        <f ca="1">IFERROR(__xludf.DUMMYFUNCTION("""COMPUTED_VALUE"""),0)</f>
        <v>0</v>
      </c>
      <c r="M372" s="1">
        <f ca="1">IFERROR(__xludf.DUMMYFUNCTION("""COMPUTED_VALUE"""),10)</f>
        <v>10</v>
      </c>
      <c r="N372" s="1">
        <f ca="1">IFERROR(__xludf.DUMMYFUNCTION("""COMPUTED_VALUE"""),2655)</f>
        <v>2655</v>
      </c>
      <c r="O372" s="1">
        <f ca="1">IFERROR(__xludf.DUMMYFUNCTION("""COMPUTED_VALUE"""),2786)</f>
        <v>2786</v>
      </c>
      <c r="P372" s="1">
        <f ca="1">IFERROR(__xludf.DUMMYFUNCTION("""COMPUTED_VALUE"""),1460)</f>
        <v>1460</v>
      </c>
      <c r="Q372" s="1">
        <f ca="1">IFERROR(__xludf.DUMMYFUNCTION("""COMPUTED_VALUE"""),901)</f>
        <v>901</v>
      </c>
      <c r="R372" s="1">
        <f ca="1">IFERROR(__xludf.DUMMYFUNCTION("""COMPUTED_VALUE"""),2181)</f>
        <v>2181</v>
      </c>
      <c r="S372" s="1">
        <f ca="1">IFERROR(__xludf.DUMMYFUNCTION("""COMPUTED_VALUE"""),0.413)</f>
        <v>0.41299999999999998</v>
      </c>
      <c r="T372" s="1">
        <f ca="1">IFERROR(__xludf.DUMMYFUNCTION("""COMPUTED_VALUE"""),269)</f>
        <v>269</v>
      </c>
      <c r="U372" s="1">
        <f ca="1">IFERROR(__xludf.DUMMYFUNCTION("""COMPUTED_VALUE"""),852)</f>
        <v>852</v>
      </c>
      <c r="V372" s="1">
        <f ca="1">IFERROR(__xludf.DUMMYFUNCTION("""COMPUTED_VALUE"""),0.316)</f>
        <v>0.316</v>
      </c>
      <c r="W372" s="1">
        <f ca="1">IFERROR(__xludf.DUMMYFUNCTION("""COMPUTED_VALUE"""),584)</f>
        <v>584</v>
      </c>
      <c r="X372" s="1">
        <f ca="1">IFERROR(__xludf.DUMMYFUNCTION("""COMPUTED_VALUE"""),849)</f>
        <v>849</v>
      </c>
      <c r="Y372" s="1">
        <f ca="1">IFERROR(__xludf.DUMMYFUNCTION("""COMPUTED_VALUE"""),0.688)</f>
        <v>0.68799999999999994</v>
      </c>
      <c r="Z372" s="1">
        <f ca="1">IFERROR(__xludf.DUMMYFUNCTION("""COMPUTED_VALUE"""),519)</f>
        <v>519</v>
      </c>
      <c r="AA372" s="1">
        <f ca="1">IFERROR(__xludf.DUMMYFUNCTION("""COMPUTED_VALUE"""),1425)</f>
        <v>1425</v>
      </c>
      <c r="AB372" s="1">
        <f ca="1">IFERROR(__xludf.DUMMYFUNCTION("""COMPUTED_VALUE"""),488)</f>
        <v>488</v>
      </c>
      <c r="AC372" s="1">
        <f ca="1">IFERROR(__xludf.DUMMYFUNCTION("""COMPUTED_VALUE"""),223)</f>
        <v>223</v>
      </c>
      <c r="AD372" s="1">
        <f ca="1">IFERROR(__xludf.DUMMYFUNCTION("""COMPUTED_VALUE"""),126)</f>
        <v>126</v>
      </c>
      <c r="AE372" s="1">
        <f ca="1">IFERROR(__xludf.DUMMYFUNCTION("""COMPUTED_VALUE"""),557)</f>
        <v>557</v>
      </c>
      <c r="AF372" s="1">
        <f ca="1">IFERROR(__xludf.DUMMYFUNCTION("""COMPUTED_VALUE"""),707)</f>
        <v>707</v>
      </c>
    </row>
    <row r="373" spans="1:32" ht="12.5" x14ac:dyDescent="0.25">
      <c r="A373" s="1" t="str">
        <f ca="1">IFERROR(__xludf.DUMMYFUNCTION("""COMPUTED_VALUE"""),"Western Carolina")</f>
        <v>Western Carolina</v>
      </c>
      <c r="B373" s="1">
        <f ca="1">IFERROR(__xludf.DUMMYFUNCTION("""COMPUTED_VALUE"""),32)</f>
        <v>32</v>
      </c>
      <c r="C373" s="1">
        <f ca="1">IFERROR(__xludf.DUMMYFUNCTION("""COMPUTED_VALUE"""),7)</f>
        <v>7</v>
      </c>
      <c r="D373" s="1">
        <f ca="1">IFERROR(__xludf.DUMMYFUNCTION("""COMPUTED_VALUE"""),25)</f>
        <v>25</v>
      </c>
      <c r="E373" s="1">
        <f ca="1">IFERROR(__xludf.DUMMYFUNCTION("""COMPUTED_VALUE"""),0.219)</f>
        <v>0.219</v>
      </c>
      <c r="F373" s="1">
        <f ca="1">IFERROR(__xludf.DUMMYFUNCTION("""COMPUTED_VALUE"""),-9.28)</f>
        <v>-9.2799999999999994</v>
      </c>
      <c r="G373" s="1">
        <f ca="1">IFERROR(__xludf.DUMMYFUNCTION("""COMPUTED_VALUE"""),0.34)</f>
        <v>0.34</v>
      </c>
      <c r="H373" s="1">
        <f ca="1">IFERROR(__xludf.DUMMYFUNCTION("""COMPUTED_VALUE"""),4)</f>
        <v>4</v>
      </c>
      <c r="I373" s="1">
        <f ca="1">IFERROR(__xludf.DUMMYFUNCTION("""COMPUTED_VALUE"""),14)</f>
        <v>14</v>
      </c>
      <c r="J373" s="1">
        <f ca="1">IFERROR(__xludf.DUMMYFUNCTION("""COMPUTED_VALUE"""),4)</f>
        <v>4</v>
      </c>
      <c r="K373" s="1">
        <f ca="1">IFERROR(__xludf.DUMMYFUNCTION("""COMPUTED_VALUE"""),8)</f>
        <v>8</v>
      </c>
      <c r="L373" s="1">
        <f ca="1">IFERROR(__xludf.DUMMYFUNCTION("""COMPUTED_VALUE"""),3)</f>
        <v>3</v>
      </c>
      <c r="M373" s="1">
        <f ca="1">IFERROR(__xludf.DUMMYFUNCTION("""COMPUTED_VALUE"""),14)</f>
        <v>14</v>
      </c>
      <c r="N373" s="1">
        <f ca="1">IFERROR(__xludf.DUMMYFUNCTION("""COMPUTED_VALUE"""),2304)</f>
        <v>2304</v>
      </c>
      <c r="O373" s="1">
        <f ca="1">IFERROR(__xludf.DUMMYFUNCTION("""COMPUTED_VALUE"""),2563)</f>
        <v>2563</v>
      </c>
      <c r="P373" s="1">
        <f ca="1">IFERROR(__xludf.DUMMYFUNCTION("""COMPUTED_VALUE"""),1295)</f>
        <v>1295</v>
      </c>
      <c r="Q373" s="1">
        <f ca="1">IFERROR(__xludf.DUMMYFUNCTION("""COMPUTED_VALUE"""),792)</f>
        <v>792</v>
      </c>
      <c r="R373" s="1">
        <f ca="1">IFERROR(__xludf.DUMMYFUNCTION("""COMPUTED_VALUE"""),1744)</f>
        <v>1744</v>
      </c>
      <c r="S373" s="1">
        <f ca="1">IFERROR(__xludf.DUMMYFUNCTION("""COMPUTED_VALUE"""),0.454)</f>
        <v>0.45400000000000001</v>
      </c>
      <c r="T373" s="1">
        <f ca="1">IFERROR(__xludf.DUMMYFUNCTION("""COMPUTED_VALUE"""),296)</f>
        <v>296</v>
      </c>
      <c r="U373" s="1">
        <f ca="1">IFERROR(__xludf.DUMMYFUNCTION("""COMPUTED_VALUE"""),800)</f>
        <v>800</v>
      </c>
      <c r="V373" s="1">
        <f ca="1">IFERROR(__xludf.DUMMYFUNCTION("""COMPUTED_VALUE"""),0.37)</f>
        <v>0.37</v>
      </c>
      <c r="W373" s="1">
        <f ca="1">IFERROR(__xludf.DUMMYFUNCTION("""COMPUTED_VALUE"""),424)</f>
        <v>424</v>
      </c>
      <c r="X373" s="1">
        <f ca="1">IFERROR(__xludf.DUMMYFUNCTION("""COMPUTED_VALUE"""),628)</f>
        <v>628</v>
      </c>
      <c r="Y373" s="1">
        <f ca="1">IFERROR(__xludf.DUMMYFUNCTION("""COMPUTED_VALUE"""),0.675)</f>
        <v>0.67500000000000004</v>
      </c>
      <c r="Z373" s="1">
        <f ca="1">IFERROR(__xludf.DUMMYFUNCTION("""COMPUTED_VALUE"""),303)</f>
        <v>303</v>
      </c>
      <c r="AA373" s="1">
        <f ca="1">IFERROR(__xludf.DUMMYFUNCTION("""COMPUTED_VALUE"""),1135)</f>
        <v>1135</v>
      </c>
      <c r="AB373" s="1">
        <f ca="1">IFERROR(__xludf.DUMMYFUNCTION("""COMPUTED_VALUE"""),389)</f>
        <v>389</v>
      </c>
      <c r="AC373" s="1">
        <f ca="1">IFERROR(__xludf.DUMMYFUNCTION("""COMPUTED_VALUE"""),135)</f>
        <v>135</v>
      </c>
      <c r="AD373" s="1">
        <f ca="1">IFERROR(__xludf.DUMMYFUNCTION("""COMPUTED_VALUE"""),53)</f>
        <v>53</v>
      </c>
      <c r="AE373" s="1">
        <f ca="1">IFERROR(__xludf.DUMMYFUNCTION("""COMPUTED_VALUE"""),577)</f>
        <v>577</v>
      </c>
      <c r="AF373" s="1">
        <f ca="1">IFERROR(__xludf.DUMMYFUNCTION("""COMPUTED_VALUE"""),671)</f>
        <v>671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IFERROR(__xludf.DUMMYFUNCTION("""COMPUTED_VALUE"""),"Western Illinois")</f>
        <v>Western Illinois</v>
      </c>
      <c r="B376" s="1">
        <f ca="1">IFERROR(__xludf.DUMMYFUNCTION("""COMPUTED_VALUE"""),31)</f>
        <v>31</v>
      </c>
      <c r="C376" s="1">
        <f ca="1">IFERROR(__xludf.DUMMYFUNCTION("""COMPUTED_VALUE"""),10)</f>
        <v>10</v>
      </c>
      <c r="D376" s="1">
        <f ca="1">IFERROR(__xludf.DUMMYFUNCTION("""COMPUTED_VALUE"""),21)</f>
        <v>21</v>
      </c>
      <c r="E376" s="1">
        <f ca="1">IFERROR(__xludf.DUMMYFUNCTION("""COMPUTED_VALUE"""),0.323)</f>
        <v>0.32300000000000001</v>
      </c>
      <c r="F376" s="1">
        <f ca="1">IFERROR(__xludf.DUMMYFUNCTION("""COMPUTED_VALUE"""),-10.04)</f>
        <v>-10.039999999999999</v>
      </c>
      <c r="G376" s="1">
        <f ca="1">IFERROR(__xludf.DUMMYFUNCTION("""COMPUTED_VALUE"""),-5.18)</f>
        <v>-5.18</v>
      </c>
      <c r="H376" s="1">
        <f ca="1">IFERROR(__xludf.DUMMYFUNCTION("""COMPUTED_VALUE"""),4)</f>
        <v>4</v>
      </c>
      <c r="I376" s="1">
        <f ca="1">IFERROR(__xludf.DUMMYFUNCTION("""COMPUTED_VALUE"""),12)</f>
        <v>12</v>
      </c>
      <c r="J376" s="1">
        <f ca="1">IFERROR(__xludf.DUMMYFUNCTION("""COMPUTED_VALUE"""),7)</f>
        <v>7</v>
      </c>
      <c r="K376" s="1">
        <f ca="1">IFERROR(__xludf.DUMMYFUNCTION("""COMPUTED_VALUE"""),6)</f>
        <v>6</v>
      </c>
      <c r="L376" s="1">
        <f ca="1">IFERROR(__xludf.DUMMYFUNCTION("""COMPUTED_VALUE"""),2)</f>
        <v>2</v>
      </c>
      <c r="M376" s="1">
        <f ca="1">IFERROR(__xludf.DUMMYFUNCTION("""COMPUTED_VALUE"""),14)</f>
        <v>14</v>
      </c>
      <c r="N376" s="1">
        <f ca="1">IFERROR(__xludf.DUMMYFUNCTION("""COMPUTED_VALUE"""),2198)</f>
        <v>2198</v>
      </c>
      <c r="O376" s="1">
        <f ca="1">IFERROR(__xludf.DUMMYFUNCTION("""COMPUTED_VALUE"""),2272)</f>
        <v>2272</v>
      </c>
      <c r="P376" s="1">
        <f ca="1">IFERROR(__xludf.DUMMYFUNCTION("""COMPUTED_VALUE"""),1245)</f>
        <v>1245</v>
      </c>
      <c r="Q376" s="1">
        <f ca="1">IFERROR(__xludf.DUMMYFUNCTION("""COMPUTED_VALUE"""),818)</f>
        <v>818</v>
      </c>
      <c r="R376" s="1">
        <f ca="1">IFERROR(__xludf.DUMMYFUNCTION("""COMPUTED_VALUE"""),1860)</f>
        <v>1860</v>
      </c>
      <c r="S376" s="1">
        <f ca="1">IFERROR(__xludf.DUMMYFUNCTION("""COMPUTED_VALUE"""),0.44)</f>
        <v>0.44</v>
      </c>
      <c r="T376" s="1">
        <f ca="1">IFERROR(__xludf.DUMMYFUNCTION("""COMPUTED_VALUE"""),241)</f>
        <v>241</v>
      </c>
      <c r="U376" s="1">
        <f ca="1">IFERROR(__xludf.DUMMYFUNCTION("""COMPUTED_VALUE"""),626)</f>
        <v>626</v>
      </c>
      <c r="V376" s="1">
        <f ca="1">IFERROR(__xludf.DUMMYFUNCTION("""COMPUTED_VALUE"""),0.385)</f>
        <v>0.38500000000000001</v>
      </c>
      <c r="W376" s="1">
        <f ca="1">IFERROR(__xludf.DUMMYFUNCTION("""COMPUTED_VALUE"""),321)</f>
        <v>321</v>
      </c>
      <c r="X376" s="1">
        <f ca="1">IFERROR(__xludf.DUMMYFUNCTION("""COMPUTED_VALUE"""),440)</f>
        <v>440</v>
      </c>
      <c r="Y376" s="1">
        <f ca="1">IFERROR(__xludf.DUMMYFUNCTION("""COMPUTED_VALUE"""),0.73)</f>
        <v>0.73</v>
      </c>
      <c r="Z376" s="1">
        <f ca="1">IFERROR(__xludf.DUMMYFUNCTION("""COMPUTED_VALUE"""),254)</f>
        <v>254</v>
      </c>
      <c r="AA376" s="1">
        <f ca="1">IFERROR(__xludf.DUMMYFUNCTION("""COMPUTED_VALUE"""),1100)</f>
        <v>1100</v>
      </c>
      <c r="AB376" s="1">
        <f ca="1">IFERROR(__xludf.DUMMYFUNCTION("""COMPUTED_VALUE"""),319)</f>
        <v>319</v>
      </c>
      <c r="AC376" s="1">
        <f ca="1">IFERROR(__xludf.DUMMYFUNCTION("""COMPUTED_VALUE"""),165)</f>
        <v>165</v>
      </c>
      <c r="AD376" s="1">
        <f ca="1">IFERROR(__xludf.DUMMYFUNCTION("""COMPUTED_VALUE"""),132)</f>
        <v>132</v>
      </c>
      <c r="AE376" s="1">
        <f ca="1">IFERROR(__xludf.DUMMYFUNCTION("""COMPUTED_VALUE"""),353)</f>
        <v>353</v>
      </c>
      <c r="AF376" s="1">
        <f ca="1">IFERROR(__xludf.DUMMYFUNCTION("""COMPUTED_VALUE"""),487)</f>
        <v>487</v>
      </c>
    </row>
    <row r="377" spans="1:32" ht="12.5" x14ac:dyDescent="0.25">
      <c r="A377" s="1" t="str">
        <f ca="1">IFERROR(__xludf.DUMMYFUNCTION("""COMPUTED_VALUE"""),"Western Kentucky")</f>
        <v>Western Kentucky</v>
      </c>
      <c r="B377" s="1">
        <f ca="1">IFERROR(__xludf.DUMMYFUNCTION("""COMPUTED_VALUE"""),34)</f>
        <v>34</v>
      </c>
      <c r="C377" s="1">
        <f ca="1">IFERROR(__xludf.DUMMYFUNCTION("""COMPUTED_VALUE"""),20)</f>
        <v>20</v>
      </c>
      <c r="D377" s="1">
        <f ca="1">IFERROR(__xludf.DUMMYFUNCTION("""COMPUTED_VALUE"""),14)</f>
        <v>14</v>
      </c>
      <c r="E377" s="1">
        <f ca="1">IFERROR(__xludf.DUMMYFUNCTION("""COMPUTED_VALUE"""),0.588)</f>
        <v>0.58799999999999997</v>
      </c>
      <c r="F377" s="1">
        <f ca="1">IFERROR(__xludf.DUMMYFUNCTION("""COMPUTED_VALUE"""),3.14)</f>
        <v>3.14</v>
      </c>
      <c r="G377" s="1">
        <f ca="1">IFERROR(__xludf.DUMMYFUNCTION("""COMPUTED_VALUE"""),0.96)</f>
        <v>0.96</v>
      </c>
      <c r="H377" s="1">
        <f ca="1">IFERROR(__xludf.DUMMYFUNCTION("""COMPUTED_VALUE"""),11)</f>
        <v>11</v>
      </c>
      <c r="I377" s="1">
        <f ca="1">IFERROR(__xludf.DUMMYFUNCTION("""COMPUTED_VALUE"""),7)</f>
        <v>7</v>
      </c>
      <c r="J377" s="1">
        <f ca="1">IFERROR(__xludf.DUMMYFUNCTION("""COMPUTED_VALUE"""),10)</f>
        <v>10</v>
      </c>
      <c r="K377" s="1">
        <f ca="1">IFERROR(__xludf.DUMMYFUNCTION("""COMPUTED_VALUE"""),4)</f>
        <v>4</v>
      </c>
      <c r="L377" s="1">
        <f ca="1">IFERROR(__xludf.DUMMYFUNCTION("""COMPUTED_VALUE"""),6)</f>
        <v>6</v>
      </c>
      <c r="M377" s="1">
        <f ca="1">IFERROR(__xludf.DUMMYFUNCTION("""COMPUTED_VALUE"""),8)</f>
        <v>8</v>
      </c>
      <c r="N377" s="1">
        <f ca="1">IFERROR(__xludf.DUMMYFUNCTION("""COMPUTED_VALUE"""),2429)</f>
        <v>2429</v>
      </c>
      <c r="O377" s="1">
        <f ca="1">IFERROR(__xludf.DUMMYFUNCTION("""COMPUTED_VALUE"""),2355)</f>
        <v>2355</v>
      </c>
      <c r="P377" s="1">
        <f ca="1">IFERROR(__xludf.DUMMYFUNCTION("""COMPUTED_VALUE"""),1380)</f>
        <v>1380</v>
      </c>
      <c r="Q377" s="1">
        <f ca="1">IFERROR(__xludf.DUMMYFUNCTION("""COMPUTED_VALUE"""),853)</f>
        <v>853</v>
      </c>
      <c r="R377" s="1">
        <f ca="1">IFERROR(__xludf.DUMMYFUNCTION("""COMPUTED_VALUE"""),1910)</f>
        <v>1910</v>
      </c>
      <c r="S377" s="1">
        <f ca="1">IFERROR(__xludf.DUMMYFUNCTION("""COMPUTED_VALUE"""),0.447)</f>
        <v>0.44700000000000001</v>
      </c>
      <c r="T377" s="1">
        <f ca="1">IFERROR(__xludf.DUMMYFUNCTION("""COMPUTED_VALUE"""),199)</f>
        <v>199</v>
      </c>
      <c r="U377" s="1">
        <f ca="1">IFERROR(__xludf.DUMMYFUNCTION("""COMPUTED_VALUE"""),608)</f>
        <v>608</v>
      </c>
      <c r="V377" s="1">
        <f ca="1">IFERROR(__xludf.DUMMYFUNCTION("""COMPUTED_VALUE"""),0.327)</f>
        <v>0.32700000000000001</v>
      </c>
      <c r="W377" s="1">
        <f ca="1">IFERROR(__xludf.DUMMYFUNCTION("""COMPUTED_VALUE"""),524)</f>
        <v>524</v>
      </c>
      <c r="X377" s="1">
        <f ca="1">IFERROR(__xludf.DUMMYFUNCTION("""COMPUTED_VALUE"""),724)</f>
        <v>724</v>
      </c>
      <c r="Y377" s="1">
        <f ca="1">IFERROR(__xludf.DUMMYFUNCTION("""COMPUTED_VALUE"""),0.724)</f>
        <v>0.72399999999999998</v>
      </c>
      <c r="Z377" s="1">
        <f ca="1">IFERROR(__xludf.DUMMYFUNCTION("""COMPUTED_VALUE"""),338)</f>
        <v>338</v>
      </c>
      <c r="AA377" s="1">
        <f ca="1">IFERROR(__xludf.DUMMYFUNCTION("""COMPUTED_VALUE"""),1256)</f>
        <v>1256</v>
      </c>
      <c r="AB377" s="1">
        <f ca="1">IFERROR(__xludf.DUMMYFUNCTION("""COMPUTED_VALUE"""),417)</f>
        <v>417</v>
      </c>
      <c r="AC377" s="1">
        <f ca="1">IFERROR(__xludf.DUMMYFUNCTION("""COMPUTED_VALUE"""),235)</f>
        <v>235</v>
      </c>
      <c r="AD377" s="1">
        <f ca="1">IFERROR(__xludf.DUMMYFUNCTION("""COMPUTED_VALUE"""),174)</f>
        <v>174</v>
      </c>
      <c r="AE377" s="1">
        <f ca="1">IFERROR(__xludf.DUMMYFUNCTION("""COMPUTED_VALUE"""),466)</f>
        <v>466</v>
      </c>
      <c r="AF377" s="1">
        <f ca="1">IFERROR(__xludf.DUMMYFUNCTION("""COMPUTED_VALUE"""),528)</f>
        <v>528</v>
      </c>
    </row>
    <row r="378" spans="1:32" ht="12.5" x14ac:dyDescent="0.25">
      <c r="A378" s="1" t="str">
        <f ca="1">IFERROR(__xludf.DUMMYFUNCTION("""COMPUTED_VALUE"""),"Western Michigan")</f>
        <v>Western Michigan</v>
      </c>
      <c r="B378" s="1">
        <f ca="1">IFERROR(__xludf.DUMMYFUNCTION("""COMPUTED_VALUE"""),32)</f>
        <v>32</v>
      </c>
      <c r="C378" s="1">
        <f ca="1">IFERROR(__xludf.DUMMYFUNCTION("""COMPUTED_VALUE"""),8)</f>
        <v>8</v>
      </c>
      <c r="D378" s="1">
        <f ca="1">IFERROR(__xludf.DUMMYFUNCTION("""COMPUTED_VALUE"""),24)</f>
        <v>24</v>
      </c>
      <c r="E378" s="1">
        <f ca="1">IFERROR(__xludf.DUMMYFUNCTION("""COMPUTED_VALUE"""),0.25)</f>
        <v>0.25</v>
      </c>
      <c r="F378" s="1">
        <f ca="1">IFERROR(__xludf.DUMMYFUNCTION("""COMPUTED_VALUE"""),-6.26)</f>
        <v>-6.26</v>
      </c>
      <c r="G378" s="1">
        <f ca="1">IFERROR(__xludf.DUMMYFUNCTION("""COMPUTED_VALUE"""),1.48)</f>
        <v>1.48</v>
      </c>
      <c r="H378" s="1">
        <f ca="1">IFERROR(__xludf.DUMMYFUNCTION("""COMPUTED_VALUE"""),2)</f>
        <v>2</v>
      </c>
      <c r="I378" s="1">
        <f ca="1">IFERROR(__xludf.DUMMYFUNCTION("""COMPUTED_VALUE"""),16)</f>
        <v>16</v>
      </c>
      <c r="J378" s="1">
        <f ca="1">IFERROR(__xludf.DUMMYFUNCTION("""COMPUTED_VALUE"""),5)</f>
        <v>5</v>
      </c>
      <c r="K378" s="1">
        <f ca="1">IFERROR(__xludf.DUMMYFUNCTION("""COMPUTED_VALUE"""),9)</f>
        <v>9</v>
      </c>
      <c r="L378" s="1">
        <f ca="1">IFERROR(__xludf.DUMMYFUNCTION("""COMPUTED_VALUE"""),2)</f>
        <v>2</v>
      </c>
      <c r="M378" s="1">
        <f ca="1">IFERROR(__xludf.DUMMYFUNCTION("""COMPUTED_VALUE"""),14)</f>
        <v>14</v>
      </c>
      <c r="N378" s="1">
        <f ca="1">IFERROR(__xludf.DUMMYFUNCTION("""COMPUTED_VALUE"""),2246)</f>
        <v>2246</v>
      </c>
      <c r="O378" s="1">
        <f ca="1">IFERROR(__xludf.DUMMYFUNCTION("""COMPUTED_VALUE"""),2439)</f>
        <v>2439</v>
      </c>
      <c r="P378" s="1">
        <f ca="1">IFERROR(__xludf.DUMMYFUNCTION("""COMPUTED_VALUE"""),1300)</f>
        <v>1300</v>
      </c>
      <c r="Q378" s="1">
        <f ca="1">IFERROR(__xludf.DUMMYFUNCTION("""COMPUTED_VALUE"""),774)</f>
        <v>774</v>
      </c>
      <c r="R378" s="1">
        <f ca="1">IFERROR(__xludf.DUMMYFUNCTION("""COMPUTED_VALUE"""),1822)</f>
        <v>1822</v>
      </c>
      <c r="S378" s="1">
        <f ca="1">IFERROR(__xludf.DUMMYFUNCTION("""COMPUTED_VALUE"""),0.425)</f>
        <v>0.42499999999999999</v>
      </c>
      <c r="T378" s="1">
        <f ca="1">IFERROR(__xludf.DUMMYFUNCTION("""COMPUTED_VALUE"""),228)</f>
        <v>228</v>
      </c>
      <c r="U378" s="1">
        <f ca="1">IFERROR(__xludf.DUMMYFUNCTION("""COMPUTED_VALUE"""),723)</f>
        <v>723</v>
      </c>
      <c r="V378" s="1">
        <f ca="1">IFERROR(__xludf.DUMMYFUNCTION("""COMPUTED_VALUE"""),0.315)</f>
        <v>0.315</v>
      </c>
      <c r="W378" s="1">
        <f ca="1">IFERROR(__xludf.DUMMYFUNCTION("""COMPUTED_VALUE"""),470)</f>
        <v>470</v>
      </c>
      <c r="X378" s="1">
        <f ca="1">IFERROR(__xludf.DUMMYFUNCTION("""COMPUTED_VALUE"""),680)</f>
        <v>680</v>
      </c>
      <c r="Y378" s="1">
        <f ca="1">IFERROR(__xludf.DUMMYFUNCTION("""COMPUTED_VALUE"""),0.691)</f>
        <v>0.69099999999999995</v>
      </c>
      <c r="Z378" s="1">
        <f ca="1">IFERROR(__xludf.DUMMYFUNCTION("""COMPUTED_VALUE"""),345)</f>
        <v>345</v>
      </c>
      <c r="AA378" s="1">
        <f ca="1">IFERROR(__xludf.DUMMYFUNCTION("""COMPUTED_VALUE"""),1197)</f>
        <v>1197</v>
      </c>
      <c r="AB378" s="1">
        <f ca="1">IFERROR(__xludf.DUMMYFUNCTION("""COMPUTED_VALUE"""),374)</f>
        <v>374</v>
      </c>
      <c r="AC378" s="1">
        <f ca="1">IFERROR(__xludf.DUMMYFUNCTION("""COMPUTED_VALUE"""),147)</f>
        <v>147</v>
      </c>
      <c r="AD378" s="1">
        <f ca="1">IFERROR(__xludf.DUMMYFUNCTION("""COMPUTED_VALUE"""),78)</f>
        <v>78</v>
      </c>
      <c r="AE378" s="1">
        <f ca="1">IFERROR(__xludf.DUMMYFUNCTION("""COMPUTED_VALUE"""),490)</f>
        <v>490</v>
      </c>
      <c r="AF378" s="1">
        <f ca="1">IFERROR(__xludf.DUMMYFUNCTION("""COMPUTED_VALUE"""),564)</f>
        <v>564</v>
      </c>
    </row>
    <row r="379" spans="1:32" ht="12.5" x14ac:dyDescent="0.25">
      <c r="A379" s="1" t="str">
        <f ca="1">IFERROR(__xludf.DUMMYFUNCTION("""COMPUTED_VALUE"""),"Wichita State")</f>
        <v>Wichita State</v>
      </c>
      <c r="B379" s="1">
        <f ca="1">IFERROR(__xludf.DUMMYFUNCTION("""COMPUTED_VALUE"""),37)</f>
        <v>37</v>
      </c>
      <c r="C379" s="1">
        <f ca="1">IFERROR(__xludf.DUMMYFUNCTION("""COMPUTED_VALUE"""),22)</f>
        <v>22</v>
      </c>
      <c r="D379" s="1">
        <f ca="1">IFERROR(__xludf.DUMMYFUNCTION("""COMPUTED_VALUE"""),15)</f>
        <v>15</v>
      </c>
      <c r="E379" s="1">
        <f ca="1">IFERROR(__xludf.DUMMYFUNCTION("""COMPUTED_VALUE"""),0.595)</f>
        <v>0.59499999999999997</v>
      </c>
      <c r="F379" s="1">
        <f ca="1">IFERROR(__xludf.DUMMYFUNCTION("""COMPUTED_VALUE"""),7.72)</f>
        <v>7.72</v>
      </c>
      <c r="G379" s="1">
        <f ca="1">IFERROR(__xludf.DUMMYFUNCTION("""COMPUTED_VALUE"""),5.91)</f>
        <v>5.91</v>
      </c>
      <c r="H379" s="1">
        <f ca="1">IFERROR(__xludf.DUMMYFUNCTION("""COMPUTED_VALUE"""),10)</f>
        <v>10</v>
      </c>
      <c r="I379" s="1">
        <f ca="1">IFERROR(__xludf.DUMMYFUNCTION("""COMPUTED_VALUE"""),8)</f>
        <v>8</v>
      </c>
      <c r="J379" s="1">
        <f ca="1">IFERROR(__xludf.DUMMYFUNCTION("""COMPUTED_VALUE"""),10)</f>
        <v>10</v>
      </c>
      <c r="K379" s="1">
        <f ca="1">IFERROR(__xludf.DUMMYFUNCTION("""COMPUTED_VALUE"""),4)</f>
        <v>4</v>
      </c>
      <c r="L379" s="1">
        <f ca="1">IFERROR(__xludf.DUMMYFUNCTION("""COMPUTED_VALUE"""),7)</f>
        <v>7</v>
      </c>
      <c r="M379" s="1">
        <f ca="1">IFERROR(__xludf.DUMMYFUNCTION("""COMPUTED_VALUE"""),7)</f>
        <v>7</v>
      </c>
      <c r="N379" s="1">
        <f ca="1">IFERROR(__xludf.DUMMYFUNCTION("""COMPUTED_VALUE"""),2609)</f>
        <v>2609</v>
      </c>
      <c r="O379" s="1">
        <f ca="1">IFERROR(__xludf.DUMMYFUNCTION("""COMPUTED_VALUE"""),2542)</f>
        <v>2542</v>
      </c>
      <c r="P379" s="1">
        <f ca="1">IFERROR(__xludf.DUMMYFUNCTION("""COMPUTED_VALUE"""),1485)</f>
        <v>1485</v>
      </c>
      <c r="Q379" s="1">
        <f ca="1">IFERROR(__xludf.DUMMYFUNCTION("""COMPUTED_VALUE"""),929)</f>
        <v>929</v>
      </c>
      <c r="R379" s="1">
        <f ca="1">IFERROR(__xludf.DUMMYFUNCTION("""COMPUTED_VALUE"""),2277)</f>
        <v>2277</v>
      </c>
      <c r="S379" s="1">
        <f ca="1">IFERROR(__xludf.DUMMYFUNCTION("""COMPUTED_VALUE"""),0.408)</f>
        <v>0.40799999999999997</v>
      </c>
      <c r="T379" s="1">
        <f ca="1">IFERROR(__xludf.DUMMYFUNCTION("""COMPUTED_VALUE"""),276)</f>
        <v>276</v>
      </c>
      <c r="U379" s="1">
        <f ca="1">IFERROR(__xludf.DUMMYFUNCTION("""COMPUTED_VALUE"""),890)</f>
        <v>890</v>
      </c>
      <c r="V379" s="1">
        <f ca="1">IFERROR(__xludf.DUMMYFUNCTION("""COMPUTED_VALUE"""),0.31)</f>
        <v>0.31</v>
      </c>
      <c r="W379" s="1">
        <f ca="1">IFERROR(__xludf.DUMMYFUNCTION("""COMPUTED_VALUE"""),475)</f>
        <v>475</v>
      </c>
      <c r="X379" s="1">
        <f ca="1">IFERROR(__xludf.DUMMYFUNCTION("""COMPUTED_VALUE"""),655)</f>
        <v>655</v>
      </c>
      <c r="Y379" s="1">
        <f ca="1">IFERROR(__xludf.DUMMYFUNCTION("""COMPUTED_VALUE"""),0.725)</f>
        <v>0.72499999999999998</v>
      </c>
      <c r="Z379" s="1">
        <f ca="1">IFERROR(__xludf.DUMMYFUNCTION("""COMPUTED_VALUE"""),452)</f>
        <v>452</v>
      </c>
      <c r="AA379" s="1">
        <f ca="1">IFERROR(__xludf.DUMMYFUNCTION("""COMPUTED_VALUE"""),1417)</f>
        <v>1417</v>
      </c>
      <c r="AB379" s="1">
        <f ca="1">IFERROR(__xludf.DUMMYFUNCTION("""COMPUTED_VALUE"""),499)</f>
        <v>499</v>
      </c>
      <c r="AC379" s="1">
        <f ca="1">IFERROR(__xludf.DUMMYFUNCTION("""COMPUTED_VALUE"""),174)</f>
        <v>174</v>
      </c>
      <c r="AD379" s="1">
        <f ca="1">IFERROR(__xludf.DUMMYFUNCTION("""COMPUTED_VALUE"""),135)</f>
        <v>135</v>
      </c>
      <c r="AE379" s="1">
        <f ca="1">IFERROR(__xludf.DUMMYFUNCTION("""COMPUTED_VALUE"""),446)</f>
        <v>446</v>
      </c>
      <c r="AF379" s="1">
        <f ca="1">IFERROR(__xludf.DUMMYFUNCTION("""COMPUTED_VALUE"""),705)</f>
        <v>705</v>
      </c>
    </row>
    <row r="380" spans="1:32" ht="12.5" x14ac:dyDescent="0.25">
      <c r="A380" s="1" t="str">
        <f ca="1">IFERROR(__xludf.DUMMYFUNCTION("""COMPUTED_VALUE"""),"William &amp; Mary")</f>
        <v>William &amp; Mary</v>
      </c>
      <c r="B380" s="1">
        <f ca="1">IFERROR(__xludf.DUMMYFUNCTION("""COMPUTED_VALUE"""),31)</f>
        <v>31</v>
      </c>
      <c r="C380" s="1">
        <f ca="1">IFERROR(__xludf.DUMMYFUNCTION("""COMPUTED_VALUE"""),14)</f>
        <v>14</v>
      </c>
      <c r="D380" s="1">
        <f ca="1">IFERROR(__xludf.DUMMYFUNCTION("""COMPUTED_VALUE"""),17)</f>
        <v>17</v>
      </c>
      <c r="E380" s="1">
        <f ca="1">IFERROR(__xludf.DUMMYFUNCTION("""COMPUTED_VALUE"""),0.452)</f>
        <v>0.45200000000000001</v>
      </c>
      <c r="F380" s="1">
        <f ca="1">IFERROR(__xludf.DUMMYFUNCTION("""COMPUTED_VALUE"""),-4.78)</f>
        <v>-4.78</v>
      </c>
      <c r="G380" s="1">
        <f ca="1">IFERROR(__xludf.DUMMYFUNCTION("""COMPUTED_VALUE"""),-2.08)</f>
        <v>-2.08</v>
      </c>
      <c r="H380" s="1">
        <f ca="1">IFERROR(__xludf.DUMMYFUNCTION("""COMPUTED_VALUE"""),10)</f>
        <v>10</v>
      </c>
      <c r="I380" s="1">
        <f ca="1">IFERROR(__xludf.DUMMYFUNCTION("""COMPUTED_VALUE"""),8)</f>
        <v>8</v>
      </c>
      <c r="J380" s="1">
        <f ca="1">IFERROR(__xludf.DUMMYFUNCTION("""COMPUTED_VALUE"""),9)</f>
        <v>9</v>
      </c>
      <c r="K380" s="1">
        <f ca="1">IFERROR(__xludf.DUMMYFUNCTION("""COMPUTED_VALUE"""),5)</f>
        <v>5</v>
      </c>
      <c r="L380" s="1">
        <f ca="1">IFERROR(__xludf.DUMMYFUNCTION("""COMPUTED_VALUE"""),5)</f>
        <v>5</v>
      </c>
      <c r="M380" s="1">
        <f ca="1">IFERROR(__xludf.DUMMYFUNCTION("""COMPUTED_VALUE"""),11)</f>
        <v>11</v>
      </c>
      <c r="N380" s="1">
        <f ca="1">IFERROR(__xludf.DUMMYFUNCTION("""COMPUTED_VALUE"""),2321)</f>
        <v>2321</v>
      </c>
      <c r="O380" s="1">
        <f ca="1">IFERROR(__xludf.DUMMYFUNCTION("""COMPUTED_VALUE"""),2385)</f>
        <v>2385</v>
      </c>
      <c r="P380" s="1">
        <f ca="1">IFERROR(__xludf.DUMMYFUNCTION("""COMPUTED_VALUE"""),1265)</f>
        <v>1265</v>
      </c>
      <c r="Q380" s="1">
        <f ca="1">IFERROR(__xludf.DUMMYFUNCTION("""COMPUTED_VALUE"""),841)</f>
        <v>841</v>
      </c>
      <c r="R380" s="1">
        <f ca="1">IFERROR(__xludf.DUMMYFUNCTION("""COMPUTED_VALUE"""),1773)</f>
        <v>1773</v>
      </c>
      <c r="S380" s="1">
        <f ca="1">IFERROR(__xludf.DUMMYFUNCTION("""COMPUTED_VALUE"""),0.474)</f>
        <v>0.47399999999999998</v>
      </c>
      <c r="T380" s="1">
        <f ca="1">IFERROR(__xludf.DUMMYFUNCTION("""COMPUTED_VALUE"""),254)</f>
        <v>254</v>
      </c>
      <c r="U380" s="1">
        <f ca="1">IFERROR(__xludf.DUMMYFUNCTION("""COMPUTED_VALUE"""),735)</f>
        <v>735</v>
      </c>
      <c r="V380" s="1">
        <f ca="1">IFERROR(__xludf.DUMMYFUNCTION("""COMPUTED_VALUE"""),0.346)</f>
        <v>0.34599999999999997</v>
      </c>
      <c r="W380" s="1">
        <f ca="1">IFERROR(__xludf.DUMMYFUNCTION("""COMPUTED_VALUE"""),385)</f>
        <v>385</v>
      </c>
      <c r="X380" s="1">
        <f ca="1">IFERROR(__xludf.DUMMYFUNCTION("""COMPUTED_VALUE"""),576)</f>
        <v>576</v>
      </c>
      <c r="Y380" s="1">
        <f ca="1">IFERROR(__xludf.DUMMYFUNCTION("""COMPUTED_VALUE"""),0.668)</f>
        <v>0.66800000000000004</v>
      </c>
      <c r="Z380" s="1">
        <f ca="1">IFERROR(__xludf.DUMMYFUNCTION("""COMPUTED_VALUE"""),251)</f>
        <v>251</v>
      </c>
      <c r="AA380" s="1">
        <f ca="1">IFERROR(__xludf.DUMMYFUNCTION("""COMPUTED_VALUE"""),1057)</f>
        <v>1057</v>
      </c>
      <c r="AB380" s="1">
        <f ca="1">IFERROR(__xludf.DUMMYFUNCTION("""COMPUTED_VALUE"""),529)</f>
        <v>529</v>
      </c>
      <c r="AC380" s="1">
        <f ca="1">IFERROR(__xludf.DUMMYFUNCTION("""COMPUTED_VALUE"""),158)</f>
        <v>158</v>
      </c>
      <c r="AD380" s="1">
        <f ca="1">IFERROR(__xludf.DUMMYFUNCTION("""COMPUTED_VALUE"""),146)</f>
        <v>146</v>
      </c>
      <c r="AE380" s="1">
        <f ca="1">IFERROR(__xludf.DUMMYFUNCTION("""COMPUTED_VALUE"""),390)</f>
        <v>390</v>
      </c>
      <c r="AF380" s="1">
        <f ca="1">IFERROR(__xludf.DUMMYFUNCTION("""COMPUTED_VALUE"""),516)</f>
        <v>516</v>
      </c>
    </row>
    <row r="381" spans="1:32" ht="12.5" x14ac:dyDescent="0.25">
      <c r="A381" s="1" t="str">
        <f ca="1">IFERROR(__xludf.DUMMYFUNCTION("""COMPUTED_VALUE"""),"Winthrop")</f>
        <v>Winthrop</v>
      </c>
      <c r="B381" s="1">
        <f ca="1">IFERROR(__xludf.DUMMYFUNCTION("""COMPUTED_VALUE"""),30)</f>
        <v>30</v>
      </c>
      <c r="C381" s="1">
        <f ca="1">IFERROR(__xludf.DUMMYFUNCTION("""COMPUTED_VALUE"""),18)</f>
        <v>18</v>
      </c>
      <c r="D381" s="1">
        <f ca="1">IFERROR(__xludf.DUMMYFUNCTION("""COMPUTED_VALUE"""),12)</f>
        <v>12</v>
      </c>
      <c r="E381" s="1">
        <f ca="1">IFERROR(__xludf.DUMMYFUNCTION("""COMPUTED_VALUE"""),0.6)</f>
        <v>0.6</v>
      </c>
      <c r="F381" s="1">
        <f ca="1">IFERROR(__xludf.DUMMYFUNCTION("""COMPUTED_VALUE"""),-2.89)</f>
        <v>-2.89</v>
      </c>
      <c r="G381" s="1">
        <f ca="1">IFERROR(__xludf.DUMMYFUNCTION("""COMPUTED_VALUE"""),-3.74)</f>
        <v>-3.74</v>
      </c>
      <c r="H381" s="1">
        <f ca="1">IFERROR(__xludf.DUMMYFUNCTION("""COMPUTED_VALUE"""),10)</f>
        <v>10</v>
      </c>
      <c r="I381" s="1">
        <f ca="1">IFERROR(__xludf.DUMMYFUNCTION("""COMPUTED_VALUE"""),6)</f>
        <v>6</v>
      </c>
      <c r="J381" s="1">
        <f ca="1">IFERROR(__xludf.DUMMYFUNCTION("""COMPUTED_VALUE"""),11)</f>
        <v>11</v>
      </c>
      <c r="K381" s="1">
        <f ca="1">IFERROR(__xludf.DUMMYFUNCTION("""COMPUTED_VALUE"""),3)</f>
        <v>3</v>
      </c>
      <c r="L381" s="1">
        <f ca="1">IFERROR(__xludf.DUMMYFUNCTION("""COMPUTED_VALUE"""),7)</f>
        <v>7</v>
      </c>
      <c r="M381" s="1">
        <f ca="1">IFERROR(__xludf.DUMMYFUNCTION("""COMPUTED_VALUE"""),8)</f>
        <v>8</v>
      </c>
      <c r="N381" s="1">
        <f ca="1">IFERROR(__xludf.DUMMYFUNCTION("""COMPUTED_VALUE"""),2499)</f>
        <v>2499</v>
      </c>
      <c r="O381" s="1">
        <f ca="1">IFERROR(__xludf.DUMMYFUNCTION("""COMPUTED_VALUE"""),2358)</f>
        <v>2358</v>
      </c>
      <c r="P381" s="1">
        <f ca="1">IFERROR(__xludf.DUMMYFUNCTION("""COMPUTED_VALUE"""),1210)</f>
        <v>1210</v>
      </c>
      <c r="Q381" s="1">
        <f ca="1">IFERROR(__xludf.DUMMYFUNCTION("""COMPUTED_VALUE"""),855)</f>
        <v>855</v>
      </c>
      <c r="R381" s="1">
        <f ca="1">IFERROR(__xludf.DUMMYFUNCTION("""COMPUTED_VALUE"""),1878)</f>
        <v>1878</v>
      </c>
      <c r="S381" s="1">
        <f ca="1">IFERROR(__xludf.DUMMYFUNCTION("""COMPUTED_VALUE"""),0.455)</f>
        <v>0.45500000000000002</v>
      </c>
      <c r="T381" s="1">
        <f ca="1">IFERROR(__xludf.DUMMYFUNCTION("""COMPUTED_VALUE"""),372)</f>
        <v>372</v>
      </c>
      <c r="U381" s="1">
        <f ca="1">IFERROR(__xludf.DUMMYFUNCTION("""COMPUTED_VALUE"""),997)</f>
        <v>997</v>
      </c>
      <c r="V381" s="1">
        <f ca="1">IFERROR(__xludf.DUMMYFUNCTION("""COMPUTED_VALUE"""),0.373)</f>
        <v>0.373</v>
      </c>
      <c r="W381" s="1">
        <f ca="1">IFERROR(__xludf.DUMMYFUNCTION("""COMPUTED_VALUE"""),417)</f>
        <v>417</v>
      </c>
      <c r="X381" s="1">
        <f ca="1">IFERROR(__xludf.DUMMYFUNCTION("""COMPUTED_VALUE"""),565)</f>
        <v>565</v>
      </c>
      <c r="Y381" s="1">
        <f ca="1">IFERROR(__xludf.DUMMYFUNCTION("""COMPUTED_VALUE"""),0.738)</f>
        <v>0.73799999999999999</v>
      </c>
      <c r="Z381" s="1">
        <f ca="1">IFERROR(__xludf.DUMMYFUNCTION("""COMPUTED_VALUE"""),330)</f>
        <v>330</v>
      </c>
      <c r="AA381" s="1">
        <f ca="1">IFERROR(__xludf.DUMMYFUNCTION("""COMPUTED_VALUE"""),1232)</f>
        <v>1232</v>
      </c>
      <c r="AB381" s="1">
        <f ca="1">IFERROR(__xludf.DUMMYFUNCTION("""COMPUTED_VALUE"""),460)</f>
        <v>460</v>
      </c>
      <c r="AC381" s="1">
        <f ca="1">IFERROR(__xludf.DUMMYFUNCTION("""COMPUTED_VALUE"""),134)</f>
        <v>134</v>
      </c>
      <c r="AD381" s="1">
        <f ca="1">IFERROR(__xludf.DUMMYFUNCTION("""COMPUTED_VALUE"""),83)</f>
        <v>83</v>
      </c>
      <c r="AE381" s="1">
        <f ca="1">IFERROR(__xludf.DUMMYFUNCTION("""COMPUTED_VALUE"""),456)</f>
        <v>456</v>
      </c>
      <c r="AF381" s="1">
        <f ca="1">IFERROR(__xludf.DUMMYFUNCTION("""COMPUTED_VALUE"""),535)</f>
        <v>535</v>
      </c>
    </row>
    <row r="382" spans="1:32" ht="12.5" x14ac:dyDescent="0.25">
      <c r="A382" s="1" t="str">
        <f ca="1">IFERROR(__xludf.DUMMYFUNCTION("""COMPUTED_VALUE"""),"Wisconsin")</f>
        <v>Wisconsin</v>
      </c>
      <c r="B382" s="1">
        <f ca="1">IFERROR(__xludf.DUMMYFUNCTION("""COMPUTED_VALUE"""),34)</f>
        <v>34</v>
      </c>
      <c r="C382" s="1">
        <f ca="1">IFERROR(__xludf.DUMMYFUNCTION("""COMPUTED_VALUE"""),23)</f>
        <v>23</v>
      </c>
      <c r="D382" s="1">
        <f ca="1">IFERROR(__xludf.DUMMYFUNCTION("""COMPUTED_VALUE"""),11)</f>
        <v>11</v>
      </c>
      <c r="E382" s="1">
        <f ca="1">IFERROR(__xludf.DUMMYFUNCTION("""COMPUTED_VALUE"""),0.676)</f>
        <v>0.67600000000000005</v>
      </c>
      <c r="F382" s="1">
        <f ca="1">IFERROR(__xludf.DUMMYFUNCTION("""COMPUTED_VALUE"""),17.9)</f>
        <v>17.899999999999999</v>
      </c>
      <c r="G382" s="1">
        <f ca="1">IFERROR(__xludf.DUMMYFUNCTION("""COMPUTED_VALUE"""),11.01)</f>
        <v>11.01</v>
      </c>
      <c r="H382" s="1">
        <f ca="1">IFERROR(__xludf.DUMMYFUNCTION("""COMPUTED_VALUE"""),14)</f>
        <v>14</v>
      </c>
      <c r="I382" s="1">
        <f ca="1">IFERROR(__xludf.DUMMYFUNCTION("""COMPUTED_VALUE"""),6)</f>
        <v>6</v>
      </c>
      <c r="J382" s="1">
        <f ca="1">IFERROR(__xludf.DUMMYFUNCTION("""COMPUTED_VALUE"""),12)</f>
        <v>12</v>
      </c>
      <c r="K382" s="1">
        <f ca="1">IFERROR(__xludf.DUMMYFUNCTION("""COMPUTED_VALUE"""),3)</f>
        <v>3</v>
      </c>
      <c r="L382" s="1">
        <f ca="1">IFERROR(__xludf.DUMMYFUNCTION("""COMPUTED_VALUE"""),8)</f>
        <v>8</v>
      </c>
      <c r="M382" s="1">
        <f ca="1">IFERROR(__xludf.DUMMYFUNCTION("""COMPUTED_VALUE"""),5)</f>
        <v>5</v>
      </c>
      <c r="N382" s="1">
        <f ca="1">IFERROR(__xludf.DUMMYFUNCTION("""COMPUTED_VALUE"""),2333)</f>
        <v>2333</v>
      </c>
      <c r="O382" s="1">
        <f ca="1">IFERROR(__xludf.DUMMYFUNCTION("""COMPUTED_VALUE"""),2099)</f>
        <v>2099</v>
      </c>
      <c r="P382" s="1">
        <f ca="1">IFERROR(__xludf.DUMMYFUNCTION("""COMPUTED_VALUE"""),1385)</f>
        <v>1385</v>
      </c>
      <c r="Q382" s="1">
        <f ca="1">IFERROR(__xludf.DUMMYFUNCTION("""COMPUTED_VALUE"""),874)</f>
        <v>874</v>
      </c>
      <c r="R382" s="1">
        <f ca="1">IFERROR(__xludf.DUMMYFUNCTION("""COMPUTED_VALUE"""),1945)</f>
        <v>1945</v>
      </c>
      <c r="S382" s="1">
        <f ca="1">IFERROR(__xludf.DUMMYFUNCTION("""COMPUTED_VALUE"""),0.449)</f>
        <v>0.44900000000000001</v>
      </c>
      <c r="T382" s="1">
        <f ca="1">IFERROR(__xludf.DUMMYFUNCTION("""COMPUTED_VALUE"""),241)</f>
        <v>241</v>
      </c>
      <c r="U382" s="1">
        <f ca="1">IFERROR(__xludf.DUMMYFUNCTION("""COMPUTED_VALUE"""),672)</f>
        <v>672</v>
      </c>
      <c r="V382" s="1">
        <f ca="1">IFERROR(__xludf.DUMMYFUNCTION("""COMPUTED_VALUE"""),0.359)</f>
        <v>0.35899999999999999</v>
      </c>
      <c r="W382" s="1">
        <f ca="1">IFERROR(__xludf.DUMMYFUNCTION("""COMPUTED_VALUE"""),344)</f>
        <v>344</v>
      </c>
      <c r="X382" s="1">
        <f ca="1">IFERROR(__xludf.DUMMYFUNCTION("""COMPUTED_VALUE"""),531)</f>
        <v>531</v>
      </c>
      <c r="Y382" s="1">
        <f ca="1">IFERROR(__xludf.DUMMYFUNCTION("""COMPUTED_VALUE"""),0.648)</f>
        <v>0.64800000000000002</v>
      </c>
      <c r="Z382" s="1">
        <f ca="1">IFERROR(__xludf.DUMMYFUNCTION("""COMPUTED_VALUE"""),283)</f>
        <v>283</v>
      </c>
      <c r="AA382" s="1">
        <f ca="1">IFERROR(__xludf.DUMMYFUNCTION("""COMPUTED_VALUE"""),1197)</f>
        <v>1197</v>
      </c>
      <c r="AB382" s="1">
        <f ca="1">IFERROR(__xludf.DUMMYFUNCTION("""COMPUTED_VALUE"""),430)</f>
        <v>430</v>
      </c>
      <c r="AC382" s="1">
        <f ca="1">IFERROR(__xludf.DUMMYFUNCTION("""COMPUTED_VALUE"""),177)</f>
        <v>177</v>
      </c>
      <c r="AD382" s="1">
        <f ca="1">IFERROR(__xludf.DUMMYFUNCTION("""COMPUTED_VALUE"""),140)</f>
        <v>140</v>
      </c>
      <c r="AE382" s="1">
        <f ca="1">IFERROR(__xludf.DUMMYFUNCTION("""COMPUTED_VALUE"""),327)</f>
        <v>327</v>
      </c>
      <c r="AF382" s="1">
        <f ca="1">IFERROR(__xludf.DUMMYFUNCTION("""COMPUTED_VALUE"""),511)</f>
        <v>511</v>
      </c>
    </row>
    <row r="383" spans="1:32" ht="12.5" x14ac:dyDescent="0.25">
      <c r="A383" s="1" t="str">
        <f ca="1">IFERROR(__xludf.DUMMYFUNCTION("""COMPUTED_VALUE"""),"Wofford")</f>
        <v>Wofford</v>
      </c>
      <c r="B383" s="1">
        <f ca="1">IFERROR(__xludf.DUMMYFUNCTION("""COMPUTED_VALUE"""),35)</f>
        <v>35</v>
      </c>
      <c r="C383" s="1">
        <f ca="1">IFERROR(__xludf.DUMMYFUNCTION("""COMPUTED_VALUE"""),30)</f>
        <v>30</v>
      </c>
      <c r="D383" s="1">
        <f ca="1">IFERROR(__xludf.DUMMYFUNCTION("""COMPUTED_VALUE"""),5)</f>
        <v>5</v>
      </c>
      <c r="E383" s="1">
        <f ca="1">IFERROR(__xludf.DUMMYFUNCTION("""COMPUTED_VALUE"""),0.857)</f>
        <v>0.85699999999999998</v>
      </c>
      <c r="F383" s="1">
        <f ca="1">IFERROR(__xludf.DUMMYFUNCTION("""COMPUTED_VALUE"""),13.92)</f>
        <v>13.92</v>
      </c>
      <c r="G383" s="1">
        <f ca="1">IFERROR(__xludf.DUMMYFUNCTION("""COMPUTED_VALUE"""),0.8)</f>
        <v>0.8</v>
      </c>
      <c r="H383" s="1">
        <f ca="1">IFERROR(__xludf.DUMMYFUNCTION("""COMPUTED_VALUE"""),18)</f>
        <v>18</v>
      </c>
      <c r="I383" s="1">
        <f ca="1">IFERROR(__xludf.DUMMYFUNCTION("""COMPUTED_VALUE"""),0)</f>
        <v>0</v>
      </c>
      <c r="J383" s="1">
        <f ca="1">IFERROR(__xludf.DUMMYFUNCTION("""COMPUTED_VALUE"""),15)</f>
        <v>15</v>
      </c>
      <c r="K383" s="1">
        <f ca="1">IFERROR(__xludf.DUMMYFUNCTION("""COMPUTED_VALUE"""),1)</f>
        <v>1</v>
      </c>
      <c r="L383" s="1">
        <f ca="1">IFERROR(__xludf.DUMMYFUNCTION("""COMPUTED_VALUE"""),11)</f>
        <v>11</v>
      </c>
      <c r="M383" s="1">
        <f ca="1">IFERROR(__xludf.DUMMYFUNCTION("""COMPUTED_VALUE"""),3)</f>
        <v>3</v>
      </c>
      <c r="N383" s="1">
        <f ca="1">IFERROR(__xludf.DUMMYFUNCTION("""COMPUTED_VALUE"""),2879)</f>
        <v>2879</v>
      </c>
      <c r="O383" s="1">
        <f ca="1">IFERROR(__xludf.DUMMYFUNCTION("""COMPUTED_VALUE"""),2295)</f>
        <v>2295</v>
      </c>
      <c r="P383" s="1">
        <f ca="1">IFERROR(__xludf.DUMMYFUNCTION("""COMPUTED_VALUE"""),1410)</f>
        <v>1410</v>
      </c>
      <c r="Q383" s="1">
        <f ca="1">IFERROR(__xludf.DUMMYFUNCTION("""COMPUTED_VALUE"""),1044)</f>
        <v>1044</v>
      </c>
      <c r="R383" s="1">
        <f ca="1">IFERROR(__xludf.DUMMYFUNCTION("""COMPUTED_VALUE"""),2132)</f>
        <v>2132</v>
      </c>
      <c r="S383" s="1">
        <f ca="1">IFERROR(__xludf.DUMMYFUNCTION("""COMPUTED_VALUE"""),0.49)</f>
        <v>0.49</v>
      </c>
      <c r="T383" s="1">
        <f ca="1">IFERROR(__xludf.DUMMYFUNCTION("""COMPUTED_VALUE"""),385)</f>
        <v>385</v>
      </c>
      <c r="U383" s="1">
        <f ca="1">IFERROR(__xludf.DUMMYFUNCTION("""COMPUTED_VALUE"""),929)</f>
        <v>929</v>
      </c>
      <c r="V383" s="1">
        <f ca="1">IFERROR(__xludf.DUMMYFUNCTION("""COMPUTED_VALUE"""),0.414)</f>
        <v>0.41399999999999998</v>
      </c>
      <c r="W383" s="1">
        <f ca="1">IFERROR(__xludf.DUMMYFUNCTION("""COMPUTED_VALUE"""),406)</f>
        <v>406</v>
      </c>
      <c r="X383" s="1">
        <f ca="1">IFERROR(__xludf.DUMMYFUNCTION("""COMPUTED_VALUE"""),577)</f>
        <v>577</v>
      </c>
      <c r="Y383" s="1">
        <f ca="1">IFERROR(__xludf.DUMMYFUNCTION("""COMPUTED_VALUE"""),0.704)</f>
        <v>0.70399999999999996</v>
      </c>
      <c r="Z383" s="1">
        <f ca="1">IFERROR(__xludf.DUMMYFUNCTION("""COMPUTED_VALUE"""),365)</f>
        <v>365</v>
      </c>
      <c r="AA383" s="1">
        <f ca="1">IFERROR(__xludf.DUMMYFUNCTION("""COMPUTED_VALUE"""),1232)</f>
        <v>1232</v>
      </c>
      <c r="AB383" s="1">
        <f ca="1">IFERROR(__xludf.DUMMYFUNCTION("""COMPUTED_VALUE"""),528)</f>
        <v>528</v>
      </c>
      <c r="AC383" s="1">
        <f ca="1">IFERROR(__xludf.DUMMYFUNCTION("""COMPUTED_VALUE"""),233)</f>
        <v>233</v>
      </c>
      <c r="AD383" s="1">
        <f ca="1">IFERROR(__xludf.DUMMYFUNCTION("""COMPUTED_VALUE"""),105)</f>
        <v>105</v>
      </c>
      <c r="AE383" s="1">
        <f ca="1">IFERROR(__xludf.DUMMYFUNCTION("""COMPUTED_VALUE"""),377)</f>
        <v>377</v>
      </c>
      <c r="AF383" s="1">
        <f ca="1">IFERROR(__xludf.DUMMYFUNCTION("""COMPUTED_VALUE"""),589)</f>
        <v>589</v>
      </c>
    </row>
    <row r="384" spans="1:32" ht="12.5" x14ac:dyDescent="0.25">
      <c r="A384" s="1" t="str">
        <f ca="1">IFERROR(__xludf.DUMMYFUNCTION("""COMPUTED_VALUE"""),"Wright State")</f>
        <v>Wright State</v>
      </c>
      <c r="B384" s="1">
        <f ca="1">IFERROR(__xludf.DUMMYFUNCTION("""COMPUTED_VALUE"""),35)</f>
        <v>35</v>
      </c>
      <c r="C384" s="1">
        <f ca="1">IFERROR(__xludf.DUMMYFUNCTION("""COMPUTED_VALUE"""),21)</f>
        <v>21</v>
      </c>
      <c r="D384" s="1">
        <f ca="1">IFERROR(__xludf.DUMMYFUNCTION("""COMPUTED_VALUE"""),14)</f>
        <v>14</v>
      </c>
      <c r="E384" s="1">
        <f ca="1">IFERROR(__xludf.DUMMYFUNCTION("""COMPUTED_VALUE"""),0.6)</f>
        <v>0.6</v>
      </c>
      <c r="F384" s="1">
        <f ca="1">IFERROR(__xludf.DUMMYFUNCTION("""COMPUTED_VALUE"""),3.29)</f>
        <v>3.29</v>
      </c>
      <c r="G384" s="1">
        <f ca="1">IFERROR(__xludf.DUMMYFUNCTION("""COMPUTED_VALUE"""),-0.89)</f>
        <v>-0.89</v>
      </c>
      <c r="H384" s="1">
        <f ca="1">IFERROR(__xludf.DUMMYFUNCTION("""COMPUTED_VALUE"""),13)</f>
        <v>13</v>
      </c>
      <c r="I384" s="1">
        <f ca="1">IFERROR(__xludf.DUMMYFUNCTION("""COMPUTED_VALUE"""),5)</f>
        <v>5</v>
      </c>
      <c r="J384" s="1">
        <f ca="1">IFERROR(__xludf.DUMMYFUNCTION("""COMPUTED_VALUE"""),15)</f>
        <v>15</v>
      </c>
      <c r="K384" s="1">
        <f ca="1">IFERROR(__xludf.DUMMYFUNCTION("""COMPUTED_VALUE"""),2)</f>
        <v>2</v>
      </c>
      <c r="L384" s="1">
        <f ca="1">IFERROR(__xludf.DUMMYFUNCTION("""COMPUTED_VALUE"""),5)</f>
        <v>5</v>
      </c>
      <c r="M384" s="1">
        <f ca="1">IFERROR(__xludf.DUMMYFUNCTION("""COMPUTED_VALUE"""),8)</f>
        <v>8</v>
      </c>
      <c r="N384" s="1">
        <f ca="1">IFERROR(__xludf.DUMMYFUNCTION("""COMPUTED_VALUE"""),2561)</f>
        <v>2561</v>
      </c>
      <c r="O384" s="1">
        <f ca="1">IFERROR(__xludf.DUMMYFUNCTION("""COMPUTED_VALUE"""),2365)</f>
        <v>2365</v>
      </c>
      <c r="P384" s="1">
        <f ca="1">IFERROR(__xludf.DUMMYFUNCTION("""COMPUTED_VALUE"""),1405)</f>
        <v>1405</v>
      </c>
      <c r="Q384" s="1">
        <f ca="1">IFERROR(__xludf.DUMMYFUNCTION("""COMPUTED_VALUE"""),885)</f>
        <v>885</v>
      </c>
      <c r="R384" s="1">
        <f ca="1">IFERROR(__xludf.DUMMYFUNCTION("""COMPUTED_VALUE"""),2028)</f>
        <v>2028</v>
      </c>
      <c r="S384" s="1">
        <f ca="1">IFERROR(__xludf.DUMMYFUNCTION("""COMPUTED_VALUE"""),0.436)</f>
        <v>0.436</v>
      </c>
      <c r="T384" s="1">
        <f ca="1">IFERROR(__xludf.DUMMYFUNCTION("""COMPUTED_VALUE"""),281)</f>
        <v>281</v>
      </c>
      <c r="U384" s="1">
        <f ca="1">IFERROR(__xludf.DUMMYFUNCTION("""COMPUTED_VALUE"""),818)</f>
        <v>818</v>
      </c>
      <c r="V384" s="1">
        <f ca="1">IFERROR(__xludf.DUMMYFUNCTION("""COMPUTED_VALUE"""),0.344)</f>
        <v>0.34399999999999997</v>
      </c>
      <c r="W384" s="1">
        <f ca="1">IFERROR(__xludf.DUMMYFUNCTION("""COMPUTED_VALUE"""),510)</f>
        <v>510</v>
      </c>
      <c r="X384" s="1">
        <f ca="1">IFERROR(__xludf.DUMMYFUNCTION("""COMPUTED_VALUE"""),692)</f>
        <v>692</v>
      </c>
      <c r="Y384" s="1">
        <f ca="1">IFERROR(__xludf.DUMMYFUNCTION("""COMPUTED_VALUE"""),0.737)</f>
        <v>0.73699999999999999</v>
      </c>
      <c r="Z384" s="1">
        <f ca="1">IFERROR(__xludf.DUMMYFUNCTION("""COMPUTED_VALUE"""),382)</f>
        <v>382</v>
      </c>
      <c r="AA384" s="1">
        <f ca="1">IFERROR(__xludf.DUMMYFUNCTION("""COMPUTED_VALUE"""),1229)</f>
        <v>1229</v>
      </c>
      <c r="AB384" s="1">
        <f ca="1">IFERROR(__xludf.DUMMYFUNCTION("""COMPUTED_VALUE"""),484)</f>
        <v>484</v>
      </c>
      <c r="AC384" s="1">
        <f ca="1">IFERROR(__xludf.DUMMYFUNCTION("""COMPUTED_VALUE"""),214)</f>
        <v>214</v>
      </c>
      <c r="AD384" s="1">
        <f ca="1">IFERROR(__xludf.DUMMYFUNCTION("""COMPUTED_VALUE"""),72)</f>
        <v>72</v>
      </c>
      <c r="AE384" s="1">
        <f ca="1">IFERROR(__xludf.DUMMYFUNCTION("""COMPUTED_VALUE"""),402)</f>
        <v>402</v>
      </c>
      <c r="AF384" s="1">
        <f ca="1">IFERROR(__xludf.DUMMYFUNCTION("""COMPUTED_VALUE"""),545)</f>
        <v>545</v>
      </c>
    </row>
    <row r="385" spans="1:32" ht="12.5" x14ac:dyDescent="0.25">
      <c r="A385" s="1" t="str">
        <f ca="1">IFERROR(__xludf.DUMMYFUNCTION("""COMPUTED_VALUE"""),"Wyoming")</f>
        <v>Wyoming</v>
      </c>
      <c r="B385" s="1">
        <f ca="1">IFERROR(__xludf.DUMMYFUNCTION("""COMPUTED_VALUE"""),32)</f>
        <v>32</v>
      </c>
      <c r="C385" s="1">
        <f ca="1">IFERROR(__xludf.DUMMYFUNCTION("""COMPUTED_VALUE"""),8)</f>
        <v>8</v>
      </c>
      <c r="D385" s="1">
        <f ca="1">IFERROR(__xludf.DUMMYFUNCTION("""COMPUTED_VALUE"""),24)</f>
        <v>24</v>
      </c>
      <c r="E385" s="1">
        <f ca="1">IFERROR(__xludf.DUMMYFUNCTION("""COMPUTED_VALUE"""),0.25)</f>
        <v>0.25</v>
      </c>
      <c r="F385" s="1">
        <f ca="1">IFERROR(__xludf.DUMMYFUNCTION("""COMPUTED_VALUE"""),-9.75)</f>
        <v>-9.75</v>
      </c>
      <c r="G385" s="1">
        <f ca="1">IFERROR(__xludf.DUMMYFUNCTION("""COMPUTED_VALUE"""),0.19)</f>
        <v>0.19</v>
      </c>
      <c r="H385" s="1">
        <f ca="1">IFERROR(__xludf.DUMMYFUNCTION("""COMPUTED_VALUE"""),4)</f>
        <v>4</v>
      </c>
      <c r="I385" s="1">
        <f ca="1">IFERROR(__xludf.DUMMYFUNCTION("""COMPUTED_VALUE"""),14)</f>
        <v>14</v>
      </c>
      <c r="J385" s="1">
        <f ca="1">IFERROR(__xludf.DUMMYFUNCTION("""COMPUTED_VALUE"""),6)</f>
        <v>6</v>
      </c>
      <c r="K385" s="1">
        <f ca="1">IFERROR(__xludf.DUMMYFUNCTION("""COMPUTED_VALUE"""),10)</f>
        <v>10</v>
      </c>
      <c r="L385" s="1">
        <f ca="1">IFERROR(__xludf.DUMMYFUNCTION("""COMPUTED_VALUE"""),1)</f>
        <v>1</v>
      </c>
      <c r="M385" s="1">
        <f ca="1">IFERROR(__xludf.DUMMYFUNCTION("""COMPUTED_VALUE"""),11)</f>
        <v>11</v>
      </c>
      <c r="N385" s="1">
        <f ca="1">IFERROR(__xludf.DUMMYFUNCTION("""COMPUTED_VALUE"""),2105)</f>
        <v>2105</v>
      </c>
      <c r="O385" s="1">
        <f ca="1">IFERROR(__xludf.DUMMYFUNCTION("""COMPUTED_VALUE"""),2411)</f>
        <v>2411</v>
      </c>
      <c r="P385" s="1">
        <f ca="1">IFERROR(__xludf.DUMMYFUNCTION("""COMPUTED_VALUE"""),1285)</f>
        <v>1285</v>
      </c>
      <c r="Q385" s="1">
        <f ca="1">IFERROR(__xludf.DUMMYFUNCTION("""COMPUTED_VALUE"""),690)</f>
        <v>690</v>
      </c>
      <c r="R385" s="1">
        <f ca="1">IFERROR(__xludf.DUMMYFUNCTION("""COMPUTED_VALUE"""),1656)</f>
        <v>1656</v>
      </c>
      <c r="S385" s="1">
        <f ca="1">IFERROR(__xludf.DUMMYFUNCTION("""COMPUTED_VALUE"""),0.417)</f>
        <v>0.41699999999999998</v>
      </c>
      <c r="T385" s="1">
        <f ca="1">IFERROR(__xludf.DUMMYFUNCTION("""COMPUTED_VALUE"""),248)</f>
        <v>248</v>
      </c>
      <c r="U385" s="1">
        <f ca="1">IFERROR(__xludf.DUMMYFUNCTION("""COMPUTED_VALUE"""),720)</f>
        <v>720</v>
      </c>
      <c r="V385" s="1">
        <f ca="1">IFERROR(__xludf.DUMMYFUNCTION("""COMPUTED_VALUE"""),0.344)</f>
        <v>0.34399999999999997</v>
      </c>
      <c r="W385" s="1">
        <f ca="1">IFERROR(__xludf.DUMMYFUNCTION("""COMPUTED_VALUE"""),477)</f>
        <v>477</v>
      </c>
      <c r="X385" s="1">
        <f ca="1">IFERROR(__xludf.DUMMYFUNCTION("""COMPUTED_VALUE"""),660)</f>
        <v>660</v>
      </c>
      <c r="Y385" s="1">
        <f ca="1">IFERROR(__xludf.DUMMYFUNCTION("""COMPUTED_VALUE"""),0.723)</f>
        <v>0.72299999999999998</v>
      </c>
      <c r="Z385" s="1">
        <f ca="1">IFERROR(__xludf.DUMMYFUNCTION("""COMPUTED_VALUE"""),167)</f>
        <v>167</v>
      </c>
      <c r="AA385" s="1">
        <f ca="1">IFERROR(__xludf.DUMMYFUNCTION("""COMPUTED_VALUE"""),983)</f>
        <v>983</v>
      </c>
      <c r="AB385" s="1">
        <f ca="1">IFERROR(__xludf.DUMMYFUNCTION("""COMPUTED_VALUE"""),331)</f>
        <v>331</v>
      </c>
      <c r="AC385" s="1">
        <f ca="1">IFERROR(__xludf.DUMMYFUNCTION("""COMPUTED_VALUE"""),176)</f>
        <v>176</v>
      </c>
      <c r="AD385" s="1">
        <f ca="1">IFERROR(__xludf.DUMMYFUNCTION("""COMPUTED_VALUE"""),88)</f>
        <v>88</v>
      </c>
      <c r="AE385" s="1">
        <f ca="1">IFERROR(__xludf.DUMMYFUNCTION("""COMPUTED_VALUE"""),450)</f>
        <v>450</v>
      </c>
      <c r="AF385" s="1">
        <f ca="1">IFERROR(__xludf.DUMMYFUNCTION("""COMPUTED_VALUE"""),588)</f>
        <v>588</v>
      </c>
    </row>
    <row r="386" spans="1:32" ht="12.5" x14ac:dyDescent="0.25">
      <c r="A386" s="1" t="str">
        <f ca="1">IFERROR(__xludf.DUMMYFUNCTION("""COMPUTED_VALUE"""),"Xavier")</f>
        <v>Xavier</v>
      </c>
      <c r="B386" s="1">
        <f ca="1">IFERROR(__xludf.DUMMYFUNCTION("""COMPUTED_VALUE"""),35)</f>
        <v>35</v>
      </c>
      <c r="C386" s="1">
        <f ca="1">IFERROR(__xludf.DUMMYFUNCTION("""COMPUTED_VALUE"""),19)</f>
        <v>19</v>
      </c>
      <c r="D386" s="1">
        <f ca="1">IFERROR(__xludf.DUMMYFUNCTION("""COMPUTED_VALUE"""),16)</f>
        <v>16</v>
      </c>
      <c r="E386" s="1">
        <f ca="1">IFERROR(__xludf.DUMMYFUNCTION("""COMPUTED_VALUE"""),0.543)</f>
        <v>0.54300000000000004</v>
      </c>
      <c r="F386" s="1">
        <f ca="1">IFERROR(__xludf.DUMMYFUNCTION("""COMPUTED_VALUE"""),9.61)</f>
        <v>9.61</v>
      </c>
      <c r="G386" s="1">
        <f ca="1">IFERROR(__xludf.DUMMYFUNCTION("""COMPUTED_VALUE"""),8.06)</f>
        <v>8.06</v>
      </c>
      <c r="H386" s="1">
        <f ca="1">IFERROR(__xludf.DUMMYFUNCTION("""COMPUTED_VALUE"""),9)</f>
        <v>9</v>
      </c>
      <c r="I386" s="1">
        <f ca="1">IFERROR(__xludf.DUMMYFUNCTION("""COMPUTED_VALUE"""),9)</f>
        <v>9</v>
      </c>
      <c r="J386" s="1">
        <f ca="1">IFERROR(__xludf.DUMMYFUNCTION("""COMPUTED_VALUE"""),13)</f>
        <v>13</v>
      </c>
      <c r="K386" s="1">
        <f ca="1">IFERROR(__xludf.DUMMYFUNCTION("""COMPUTED_VALUE"""),5)</f>
        <v>5</v>
      </c>
      <c r="L386" s="1">
        <f ca="1">IFERROR(__xludf.DUMMYFUNCTION("""COMPUTED_VALUE"""),4)</f>
        <v>4</v>
      </c>
      <c r="M386" s="1">
        <f ca="1">IFERROR(__xludf.DUMMYFUNCTION("""COMPUTED_VALUE"""),8)</f>
        <v>8</v>
      </c>
      <c r="N386" s="1">
        <f ca="1">IFERROR(__xludf.DUMMYFUNCTION("""COMPUTED_VALUE"""),2526)</f>
        <v>2526</v>
      </c>
      <c r="O386" s="1">
        <f ca="1">IFERROR(__xludf.DUMMYFUNCTION("""COMPUTED_VALUE"""),2472)</f>
        <v>2472</v>
      </c>
      <c r="P386" s="1">
        <f ca="1">IFERROR(__xludf.DUMMYFUNCTION("""COMPUTED_VALUE"""),1420)</f>
        <v>1420</v>
      </c>
      <c r="Q386" s="1">
        <f ca="1">IFERROR(__xludf.DUMMYFUNCTION("""COMPUTED_VALUE"""),922)</f>
        <v>922</v>
      </c>
      <c r="R386" s="1">
        <f ca="1">IFERROR(__xludf.DUMMYFUNCTION("""COMPUTED_VALUE"""),1977)</f>
        <v>1977</v>
      </c>
      <c r="S386" s="1">
        <f ca="1">IFERROR(__xludf.DUMMYFUNCTION("""COMPUTED_VALUE"""),0.466)</f>
        <v>0.46600000000000003</v>
      </c>
      <c r="T386" s="1">
        <f ca="1">IFERROR(__xludf.DUMMYFUNCTION("""COMPUTED_VALUE"""),245)</f>
        <v>245</v>
      </c>
      <c r="U386" s="1">
        <f ca="1">IFERROR(__xludf.DUMMYFUNCTION("""COMPUTED_VALUE"""),740)</f>
        <v>740</v>
      </c>
      <c r="V386" s="1">
        <f ca="1">IFERROR(__xludf.DUMMYFUNCTION("""COMPUTED_VALUE"""),0.331)</f>
        <v>0.33100000000000002</v>
      </c>
      <c r="W386" s="1">
        <f ca="1">IFERROR(__xludf.DUMMYFUNCTION("""COMPUTED_VALUE"""),437)</f>
        <v>437</v>
      </c>
      <c r="X386" s="1">
        <f ca="1">IFERROR(__xludf.DUMMYFUNCTION("""COMPUTED_VALUE"""),644)</f>
        <v>644</v>
      </c>
      <c r="Y386" s="1">
        <f ca="1">IFERROR(__xludf.DUMMYFUNCTION("""COMPUTED_VALUE"""),0.679)</f>
        <v>0.67900000000000005</v>
      </c>
      <c r="Z386" s="1">
        <f ca="1">IFERROR(__xludf.DUMMYFUNCTION("""COMPUTED_VALUE"""),371)</f>
        <v>371</v>
      </c>
      <c r="AA386" s="1">
        <f ca="1">IFERROR(__xludf.DUMMYFUNCTION("""COMPUTED_VALUE"""),1281)</f>
        <v>1281</v>
      </c>
      <c r="AB386" s="1">
        <f ca="1">IFERROR(__xludf.DUMMYFUNCTION("""COMPUTED_VALUE"""),519)</f>
        <v>519</v>
      </c>
      <c r="AC386" s="1">
        <f ca="1">IFERROR(__xludf.DUMMYFUNCTION("""COMPUTED_VALUE"""),190)</f>
        <v>190</v>
      </c>
      <c r="AD386" s="1">
        <f ca="1">IFERROR(__xludf.DUMMYFUNCTION("""COMPUTED_VALUE"""),128)</f>
        <v>128</v>
      </c>
      <c r="AE386" s="1">
        <f ca="1">IFERROR(__xludf.DUMMYFUNCTION("""COMPUTED_VALUE"""),450)</f>
        <v>450</v>
      </c>
      <c r="AF386" s="1">
        <f ca="1">IFERROR(__xludf.DUMMYFUNCTION("""COMPUTED_VALUE"""),550)</f>
        <v>550</v>
      </c>
    </row>
    <row r="387" spans="1:32" ht="12.5" x14ac:dyDescent="0.25">
      <c r="A387" s="1" t="str">
        <f ca="1">IFERROR(__xludf.DUMMYFUNCTION("""COMPUTED_VALUE"""),"Yale")</f>
        <v>Yale</v>
      </c>
      <c r="B387" s="1">
        <f ca="1">IFERROR(__xludf.DUMMYFUNCTION("""COMPUTED_VALUE"""),30)</f>
        <v>30</v>
      </c>
      <c r="C387" s="1">
        <f ca="1">IFERROR(__xludf.DUMMYFUNCTION("""COMPUTED_VALUE"""),22)</f>
        <v>22</v>
      </c>
      <c r="D387" s="1">
        <f ca="1">IFERROR(__xludf.DUMMYFUNCTION("""COMPUTED_VALUE"""),8)</f>
        <v>8</v>
      </c>
      <c r="E387" s="1">
        <f ca="1">IFERROR(__xludf.DUMMYFUNCTION("""COMPUTED_VALUE"""),0.733)</f>
        <v>0.73299999999999998</v>
      </c>
      <c r="F387" s="1">
        <f ca="1">IFERROR(__xludf.DUMMYFUNCTION("""COMPUTED_VALUE"""),5.52)</f>
        <v>5.52</v>
      </c>
      <c r="G387" s="1">
        <f ca="1">IFERROR(__xludf.DUMMYFUNCTION("""COMPUTED_VALUE"""),-1.24)</f>
        <v>-1.24</v>
      </c>
      <c r="H387" s="1">
        <f ca="1">IFERROR(__xludf.DUMMYFUNCTION("""COMPUTED_VALUE"""),10)</f>
        <v>10</v>
      </c>
      <c r="I387" s="1">
        <f ca="1">IFERROR(__xludf.DUMMYFUNCTION("""COMPUTED_VALUE"""),4)</f>
        <v>4</v>
      </c>
      <c r="J387" s="1">
        <f ca="1">IFERROR(__xludf.DUMMYFUNCTION("""COMPUTED_VALUE"""),11)</f>
        <v>11</v>
      </c>
      <c r="K387" s="1">
        <f ca="1">IFERROR(__xludf.DUMMYFUNCTION("""COMPUTED_VALUE"""),2)</f>
        <v>2</v>
      </c>
      <c r="L387" s="1">
        <f ca="1">IFERROR(__xludf.DUMMYFUNCTION("""COMPUTED_VALUE"""),8)</f>
        <v>8</v>
      </c>
      <c r="M387" s="1">
        <f ca="1">IFERROR(__xludf.DUMMYFUNCTION("""COMPUTED_VALUE"""),5)</f>
        <v>5</v>
      </c>
      <c r="N387" s="1">
        <f ca="1">IFERROR(__xludf.DUMMYFUNCTION("""COMPUTED_VALUE"""),2427)</f>
        <v>2427</v>
      </c>
      <c r="O387" s="1">
        <f ca="1">IFERROR(__xludf.DUMMYFUNCTION("""COMPUTED_VALUE"""),2202)</f>
        <v>2202</v>
      </c>
      <c r="P387" s="1">
        <f ca="1">IFERROR(__xludf.DUMMYFUNCTION("""COMPUTED_VALUE"""),1215)</f>
        <v>1215</v>
      </c>
      <c r="Q387" s="1">
        <f ca="1">IFERROR(__xludf.DUMMYFUNCTION("""COMPUTED_VALUE"""),893)</f>
        <v>893</v>
      </c>
      <c r="R387" s="1">
        <f ca="1">IFERROR(__xludf.DUMMYFUNCTION("""COMPUTED_VALUE"""),1812)</f>
        <v>1812</v>
      </c>
      <c r="S387" s="1">
        <f ca="1">IFERROR(__xludf.DUMMYFUNCTION("""COMPUTED_VALUE"""),0.493)</f>
        <v>0.49299999999999999</v>
      </c>
      <c r="T387" s="1">
        <f ca="1">IFERROR(__xludf.DUMMYFUNCTION("""COMPUTED_VALUE"""),230)</f>
        <v>230</v>
      </c>
      <c r="U387" s="1">
        <f ca="1">IFERROR(__xludf.DUMMYFUNCTION("""COMPUTED_VALUE"""),634)</f>
        <v>634</v>
      </c>
      <c r="V387" s="1">
        <f ca="1">IFERROR(__xludf.DUMMYFUNCTION("""COMPUTED_VALUE"""),0.363)</f>
        <v>0.36299999999999999</v>
      </c>
      <c r="W387" s="1">
        <f ca="1">IFERROR(__xludf.DUMMYFUNCTION("""COMPUTED_VALUE"""),411)</f>
        <v>411</v>
      </c>
      <c r="X387" s="1">
        <f ca="1">IFERROR(__xludf.DUMMYFUNCTION("""COMPUTED_VALUE"""),557)</f>
        <v>557</v>
      </c>
      <c r="Y387" s="1">
        <f ca="1">IFERROR(__xludf.DUMMYFUNCTION("""COMPUTED_VALUE"""),0.738)</f>
        <v>0.73799999999999999</v>
      </c>
      <c r="Z387" s="1">
        <f ca="1">IFERROR(__xludf.DUMMYFUNCTION("""COMPUTED_VALUE"""),259)</f>
        <v>259</v>
      </c>
      <c r="AA387" s="1">
        <f ca="1">IFERROR(__xludf.DUMMYFUNCTION("""COMPUTED_VALUE"""),1157)</f>
        <v>1157</v>
      </c>
      <c r="AB387" s="1">
        <f ca="1">IFERROR(__xludf.DUMMYFUNCTION("""COMPUTED_VALUE"""),503)</f>
        <v>503</v>
      </c>
      <c r="AC387" s="1">
        <f ca="1">IFERROR(__xludf.DUMMYFUNCTION("""COMPUTED_VALUE"""),177)</f>
        <v>177</v>
      </c>
      <c r="AD387" s="1">
        <f ca="1">IFERROR(__xludf.DUMMYFUNCTION("""COMPUTED_VALUE"""),131)</f>
        <v>131</v>
      </c>
      <c r="AE387" s="1">
        <f ca="1">IFERROR(__xludf.DUMMYFUNCTION("""COMPUTED_VALUE"""),392)</f>
        <v>392</v>
      </c>
      <c r="AF387" s="1">
        <f ca="1">IFERROR(__xludf.DUMMYFUNCTION("""COMPUTED_VALUE"""),510)</f>
        <v>510</v>
      </c>
    </row>
    <row r="388" spans="1:32" ht="12.5" x14ac:dyDescent="0.25">
      <c r="A388" s="1" t="str">
        <f ca="1">IFERROR(__xludf.DUMMYFUNCTION("""COMPUTED_VALUE"""),"Youngstown State")</f>
        <v>Youngstown State</v>
      </c>
      <c r="B388" s="1">
        <f ca="1">IFERROR(__xludf.DUMMYFUNCTION("""COMPUTED_VALUE"""),32)</f>
        <v>32</v>
      </c>
      <c r="C388" s="1">
        <f ca="1">IFERROR(__xludf.DUMMYFUNCTION("""COMPUTED_VALUE"""),12)</f>
        <v>12</v>
      </c>
      <c r="D388" s="1">
        <f ca="1">IFERROR(__xludf.DUMMYFUNCTION("""COMPUTED_VALUE"""),20)</f>
        <v>20</v>
      </c>
      <c r="E388" s="1">
        <f ca="1">IFERROR(__xludf.DUMMYFUNCTION("""COMPUTED_VALUE"""),0.375)</f>
        <v>0.375</v>
      </c>
      <c r="F388" s="1">
        <f ca="1">IFERROR(__xludf.DUMMYFUNCTION("""COMPUTED_VALUE"""),-7.78)</f>
        <v>-7.78</v>
      </c>
      <c r="G388" s="1">
        <f ca="1">IFERROR(__xludf.DUMMYFUNCTION("""COMPUTED_VALUE"""),-2.05)</f>
        <v>-2.0499999999999998</v>
      </c>
      <c r="H388" s="1">
        <f ca="1">IFERROR(__xludf.DUMMYFUNCTION("""COMPUTED_VALUE"""),8)</f>
        <v>8</v>
      </c>
      <c r="I388" s="1">
        <f ca="1">IFERROR(__xludf.DUMMYFUNCTION("""COMPUTED_VALUE"""),10)</f>
        <v>10</v>
      </c>
      <c r="J388" s="1">
        <f ca="1">IFERROR(__xludf.DUMMYFUNCTION("""COMPUTED_VALUE"""),6)</f>
        <v>6</v>
      </c>
      <c r="K388" s="1">
        <f ca="1">IFERROR(__xludf.DUMMYFUNCTION("""COMPUTED_VALUE"""),7)</f>
        <v>7</v>
      </c>
      <c r="L388" s="1">
        <f ca="1">IFERROR(__xludf.DUMMYFUNCTION("""COMPUTED_VALUE"""),5)</f>
        <v>5</v>
      </c>
      <c r="M388" s="1">
        <f ca="1">IFERROR(__xludf.DUMMYFUNCTION("""COMPUTED_VALUE"""),11)</f>
        <v>11</v>
      </c>
      <c r="N388" s="1">
        <f ca="1">IFERROR(__xludf.DUMMYFUNCTION("""COMPUTED_VALUE"""),2415)</f>
        <v>2415</v>
      </c>
      <c r="O388" s="1">
        <f ca="1">IFERROR(__xludf.DUMMYFUNCTION("""COMPUTED_VALUE"""),2526)</f>
        <v>2526</v>
      </c>
      <c r="P388" s="1">
        <f ca="1">IFERROR(__xludf.DUMMYFUNCTION("""COMPUTED_VALUE"""),1305)</f>
        <v>1305</v>
      </c>
      <c r="Q388" s="1">
        <f ca="1">IFERROR(__xludf.DUMMYFUNCTION("""COMPUTED_VALUE"""),879)</f>
        <v>879</v>
      </c>
      <c r="R388" s="1">
        <f ca="1">IFERROR(__xludf.DUMMYFUNCTION("""COMPUTED_VALUE"""),2057)</f>
        <v>2057</v>
      </c>
      <c r="S388" s="1">
        <f ca="1">IFERROR(__xludf.DUMMYFUNCTION("""COMPUTED_VALUE"""),0.427)</f>
        <v>0.42699999999999999</v>
      </c>
      <c r="T388" s="1">
        <f ca="1">IFERROR(__xludf.DUMMYFUNCTION("""COMPUTED_VALUE"""),303)</f>
        <v>303</v>
      </c>
      <c r="U388" s="1">
        <f ca="1">IFERROR(__xludf.DUMMYFUNCTION("""COMPUTED_VALUE"""),891)</f>
        <v>891</v>
      </c>
      <c r="V388" s="1">
        <f ca="1">IFERROR(__xludf.DUMMYFUNCTION("""COMPUTED_VALUE"""),0.34)</f>
        <v>0.34</v>
      </c>
      <c r="W388" s="1">
        <f ca="1">IFERROR(__xludf.DUMMYFUNCTION("""COMPUTED_VALUE"""),354)</f>
        <v>354</v>
      </c>
      <c r="X388" s="1">
        <f ca="1">IFERROR(__xludf.DUMMYFUNCTION("""COMPUTED_VALUE"""),505)</f>
        <v>505</v>
      </c>
      <c r="Y388" s="1">
        <f ca="1">IFERROR(__xludf.DUMMYFUNCTION("""COMPUTED_VALUE"""),0.701)</f>
        <v>0.70099999999999996</v>
      </c>
      <c r="Z388" s="1">
        <f ca="1">IFERROR(__xludf.DUMMYFUNCTION("""COMPUTED_VALUE"""),418)</f>
        <v>418</v>
      </c>
      <c r="AA388" s="1">
        <f ca="1">IFERROR(__xludf.DUMMYFUNCTION("""COMPUTED_VALUE"""),1207)</f>
        <v>1207</v>
      </c>
      <c r="AB388" s="1">
        <f ca="1">IFERROR(__xludf.DUMMYFUNCTION("""COMPUTED_VALUE"""),449)</f>
        <v>449</v>
      </c>
      <c r="AC388" s="1">
        <f ca="1">IFERROR(__xludf.DUMMYFUNCTION("""COMPUTED_VALUE"""),210)</f>
        <v>210</v>
      </c>
      <c r="AD388" s="1">
        <f ca="1">IFERROR(__xludf.DUMMYFUNCTION("""COMPUTED_VALUE"""),115)</f>
        <v>115</v>
      </c>
      <c r="AE388" s="1">
        <f ca="1">IFERROR(__xludf.DUMMYFUNCTION("""COMPUTED_VALUE"""),423)</f>
        <v>423</v>
      </c>
      <c r="AF388" s="1">
        <f ca="1">IFERROR(__xludf.DUMMYFUNCTION("""COMPUTED_VALUE"""),656)</f>
        <v>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08578-F4E0-4E82-BA25-030A31D0407A}">
  <dimension ref="A1:AF388"/>
  <sheetViews>
    <sheetView workbookViewId="0">
      <selection activeCell="D7" sqref="D7"/>
    </sheetView>
  </sheetViews>
  <sheetFormatPr defaultColWidth="14.453125" defaultRowHeight="12.5" x14ac:dyDescent="0.25"/>
  <cols>
    <col min="1" max="16384" width="14.453125" style="2"/>
  </cols>
  <sheetData>
    <row r="1" spans="1:32" ht="15.75" customHeight="1" x14ac:dyDescent="0.25">
      <c r="A1" s="1" t="str">
        <f ca="1">IFERROR(__xludf.DUMMYFUNCTION("""COMPUTED_VALUE"""),"School")</f>
        <v>School</v>
      </c>
      <c r="B1" s="1" t="s">
        <v>0</v>
      </c>
      <c r="C1" s="1" t="s">
        <v>1</v>
      </c>
      <c r="D1" s="1" t="s">
        <v>2</v>
      </c>
      <c r="E1" s="1" t="s">
        <v>3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IFERROR(__xludf.DUMMYFUNCTION("""COMPUTED_VALUE"""),"Abilene Christian")</f>
        <v>Abilene Christian</v>
      </c>
      <c r="B2" s="1">
        <f ca="1">IFERROR(__xludf.DUMMYFUNCTION("""COMPUTED_VALUE"""),29)</f>
        <v>29</v>
      </c>
      <c r="C2" s="1">
        <f ca="1">IFERROR(__xludf.DUMMYFUNCTION("""COMPUTED_VALUE"""),19)</f>
        <v>19</v>
      </c>
      <c r="D2" s="1">
        <f ca="1">IFERROR(__xludf.DUMMYFUNCTION("""COMPUTED_VALUE"""),10)</f>
        <v>10</v>
      </c>
      <c r="E2" s="1">
        <f ca="1">IFERROR(__xludf.DUMMYFUNCTION("""COMPUTED_VALUE"""),0.655)</f>
        <v>0.65500000000000003</v>
      </c>
      <c r="F2" s="1">
        <f ca="1">IFERROR(__xludf.DUMMYFUNCTION("""COMPUTED_VALUE"""),-2.43)</f>
        <v>-2.4300000000000002</v>
      </c>
      <c r="G2" s="1">
        <f ca="1">IFERROR(__xludf.DUMMYFUNCTION("""COMPUTED_VALUE"""),-6.83)</f>
        <v>-6.83</v>
      </c>
      <c r="H2" s="1">
        <f ca="1">IFERROR(__xludf.DUMMYFUNCTION("""COMPUTED_VALUE"""),14)</f>
        <v>14</v>
      </c>
      <c r="I2" s="1">
        <f ca="1">IFERROR(__xludf.DUMMYFUNCTION("""COMPUTED_VALUE"""),4)</f>
        <v>4</v>
      </c>
      <c r="J2" s="1">
        <f ca="1">IFERROR(__xludf.DUMMYFUNCTION("""COMPUTED_VALUE"""),13)</f>
        <v>13</v>
      </c>
      <c r="K2" s="1">
        <f ca="1">IFERROR(__xludf.DUMMYFUNCTION("""COMPUTED_VALUE"""),2)</f>
        <v>2</v>
      </c>
      <c r="L2" s="1">
        <f ca="1">IFERROR(__xludf.DUMMYFUNCTION("""COMPUTED_VALUE"""),6)</f>
        <v>6</v>
      </c>
      <c r="M2" s="1">
        <f ca="1">IFERROR(__xludf.DUMMYFUNCTION("""COMPUTED_VALUE"""),8)</f>
        <v>8</v>
      </c>
      <c r="N2" s="1">
        <f ca="1">IFERROR(__xludf.DUMMYFUNCTION("""COMPUTED_VALUE"""),2209)</f>
        <v>2209</v>
      </c>
      <c r="O2" s="1">
        <f ca="1">IFERROR(__xludf.DUMMYFUNCTION("""COMPUTED_VALUE"""),1879)</f>
        <v>1879</v>
      </c>
      <c r="P2" s="1">
        <f ca="1">IFERROR(__xludf.DUMMYFUNCTION("""COMPUTED_VALUE"""),1175)</f>
        <v>1175</v>
      </c>
      <c r="Q2" s="1">
        <f ca="1">IFERROR(__xludf.DUMMYFUNCTION("""COMPUTED_VALUE"""),764)</f>
        <v>764</v>
      </c>
      <c r="R2" s="1">
        <f ca="1">IFERROR(__xludf.DUMMYFUNCTION("""COMPUTED_VALUE"""),1700)</f>
        <v>1700</v>
      </c>
      <c r="S2" s="1">
        <f ca="1">IFERROR(__xludf.DUMMYFUNCTION("""COMPUTED_VALUE"""),0.449)</f>
        <v>0.44900000000000001</v>
      </c>
      <c r="T2" s="1">
        <f ca="1">IFERROR(__xludf.DUMMYFUNCTION("""COMPUTED_VALUE"""),199)</f>
        <v>199</v>
      </c>
      <c r="U2" s="1">
        <f ca="1">IFERROR(__xludf.DUMMYFUNCTION("""COMPUTED_VALUE"""),634)</f>
        <v>634</v>
      </c>
      <c r="V2" s="1">
        <f ca="1">IFERROR(__xludf.DUMMYFUNCTION("""COMPUTED_VALUE"""),0.314)</f>
        <v>0.314</v>
      </c>
      <c r="W2" s="1">
        <f ca="1">IFERROR(__xludf.DUMMYFUNCTION("""COMPUTED_VALUE"""),482)</f>
        <v>482</v>
      </c>
      <c r="X2" s="1">
        <f ca="1">IFERROR(__xludf.DUMMYFUNCTION("""COMPUTED_VALUE"""),648)</f>
        <v>648</v>
      </c>
      <c r="Y2" s="1">
        <f ca="1">IFERROR(__xludf.DUMMYFUNCTION("""COMPUTED_VALUE"""),0.744)</f>
        <v>0.74399999999999999</v>
      </c>
      <c r="Z2" s="1">
        <f ca="1">IFERROR(__xludf.DUMMYFUNCTION("""COMPUTED_VALUE"""),317)</f>
        <v>317</v>
      </c>
      <c r="AA2" s="1">
        <f ca="1">IFERROR(__xludf.DUMMYFUNCTION("""COMPUTED_VALUE"""),971)</f>
        <v>971</v>
      </c>
      <c r="AB2" s="1">
        <f ca="1">IFERROR(__xludf.DUMMYFUNCTION("""COMPUTED_VALUE"""),434)</f>
        <v>434</v>
      </c>
      <c r="AC2" s="1">
        <f ca="1">IFERROR(__xludf.DUMMYFUNCTION("""COMPUTED_VALUE"""),279)</f>
        <v>279</v>
      </c>
      <c r="AD2" s="1">
        <f ca="1">IFERROR(__xludf.DUMMYFUNCTION("""COMPUTED_VALUE"""),75)</f>
        <v>75</v>
      </c>
      <c r="AE2" s="1">
        <f ca="1">IFERROR(__xludf.DUMMYFUNCTION("""COMPUTED_VALUE"""),410)</f>
        <v>410</v>
      </c>
      <c r="AF2" s="1">
        <f ca="1">IFERROR(__xludf.DUMMYFUNCTION("""COMPUTED_VALUE"""),617)</f>
        <v>617</v>
      </c>
    </row>
    <row r="3" spans="1:32" ht="15.75" customHeight="1" x14ac:dyDescent="0.25">
      <c r="A3" s="1" t="str">
        <f ca="1">IFERROR(__xludf.DUMMYFUNCTION("""COMPUTED_VALUE"""),"Air Force")</f>
        <v>Air Force</v>
      </c>
      <c r="B3" s="1">
        <f ca="1">IFERROR(__xludf.DUMMYFUNCTION("""COMPUTED_VALUE"""),30)</f>
        <v>30</v>
      </c>
      <c r="C3" s="1">
        <f ca="1">IFERROR(__xludf.DUMMYFUNCTION("""COMPUTED_VALUE"""),11)</f>
        <v>11</v>
      </c>
      <c r="D3" s="1">
        <f ca="1">IFERROR(__xludf.DUMMYFUNCTION("""COMPUTED_VALUE"""),19)</f>
        <v>19</v>
      </c>
      <c r="E3" s="1">
        <f ca="1">IFERROR(__xludf.DUMMYFUNCTION("""COMPUTED_VALUE"""),0.367)</f>
        <v>0.36699999999999999</v>
      </c>
      <c r="F3" s="1">
        <f ca="1">IFERROR(__xludf.DUMMYFUNCTION("""COMPUTED_VALUE"""),-0.82)</f>
        <v>-0.82</v>
      </c>
      <c r="G3" s="1">
        <f ca="1">IFERROR(__xludf.DUMMYFUNCTION("""COMPUTED_VALUE"""),2.59)</f>
        <v>2.59</v>
      </c>
      <c r="H3" s="1">
        <f ca="1">IFERROR(__xludf.DUMMYFUNCTION("""COMPUTED_VALUE"""),5)</f>
        <v>5</v>
      </c>
      <c r="I3" s="1">
        <f ca="1">IFERROR(__xludf.DUMMYFUNCTION("""COMPUTED_VALUE"""),13)</f>
        <v>13</v>
      </c>
      <c r="J3" s="1">
        <f ca="1">IFERROR(__xludf.DUMMYFUNCTION("""COMPUTED_VALUE"""),8)</f>
        <v>8</v>
      </c>
      <c r="K3" s="1">
        <f ca="1">IFERROR(__xludf.DUMMYFUNCTION("""COMPUTED_VALUE"""),7)</f>
        <v>7</v>
      </c>
      <c r="L3" s="1">
        <f ca="1">IFERROR(__xludf.DUMMYFUNCTION("""COMPUTED_VALUE"""),3)</f>
        <v>3</v>
      </c>
      <c r="M3" s="1">
        <f ca="1">IFERROR(__xludf.DUMMYFUNCTION("""COMPUTED_VALUE"""),9)</f>
        <v>9</v>
      </c>
      <c r="N3" s="1">
        <f ca="1">IFERROR(__xludf.DUMMYFUNCTION("""COMPUTED_VALUE"""),2201)</f>
        <v>2201</v>
      </c>
      <c r="O3" s="1">
        <f ca="1">IFERROR(__xludf.DUMMYFUNCTION("""COMPUTED_VALUE"""),2243)</f>
        <v>2243</v>
      </c>
      <c r="P3" s="1">
        <f ca="1">IFERROR(__xludf.DUMMYFUNCTION("""COMPUTED_VALUE"""),1200)</f>
        <v>1200</v>
      </c>
      <c r="Q3" s="1">
        <f ca="1">IFERROR(__xludf.DUMMYFUNCTION("""COMPUTED_VALUE"""),752)</f>
        <v>752</v>
      </c>
      <c r="R3" s="1">
        <f ca="1">IFERROR(__xludf.DUMMYFUNCTION("""COMPUTED_VALUE"""),1658)</f>
        <v>1658</v>
      </c>
      <c r="S3" s="1">
        <f ca="1">IFERROR(__xludf.DUMMYFUNCTION("""COMPUTED_VALUE"""),0.454)</f>
        <v>0.45400000000000001</v>
      </c>
      <c r="T3" s="1">
        <f ca="1">IFERROR(__xludf.DUMMYFUNCTION("""COMPUTED_VALUE"""),257)</f>
        <v>257</v>
      </c>
      <c r="U3" s="1">
        <f ca="1">IFERROR(__xludf.DUMMYFUNCTION("""COMPUTED_VALUE"""),690)</f>
        <v>690</v>
      </c>
      <c r="V3" s="1">
        <f ca="1">IFERROR(__xludf.DUMMYFUNCTION("""COMPUTED_VALUE"""),0.372)</f>
        <v>0.372</v>
      </c>
      <c r="W3" s="1">
        <f ca="1">IFERROR(__xludf.DUMMYFUNCTION("""COMPUTED_VALUE"""),440)</f>
        <v>440</v>
      </c>
      <c r="X3" s="1">
        <f ca="1">IFERROR(__xludf.DUMMYFUNCTION("""COMPUTED_VALUE"""),603)</f>
        <v>603</v>
      </c>
      <c r="Y3" s="1">
        <f ca="1">IFERROR(__xludf.DUMMYFUNCTION("""COMPUTED_VALUE"""),0.73)</f>
        <v>0.73</v>
      </c>
      <c r="Z3" s="1">
        <f ca="1">IFERROR(__xludf.DUMMYFUNCTION("""COMPUTED_VALUE"""),228)</f>
        <v>228</v>
      </c>
      <c r="AA3" s="1">
        <f ca="1">IFERROR(__xludf.DUMMYFUNCTION("""COMPUTED_VALUE"""),986)</f>
        <v>986</v>
      </c>
      <c r="AB3" s="1">
        <f ca="1">IFERROR(__xludf.DUMMYFUNCTION("""COMPUTED_VALUE"""),442)</f>
        <v>442</v>
      </c>
      <c r="AC3" s="1">
        <f ca="1">IFERROR(__xludf.DUMMYFUNCTION("""COMPUTED_VALUE"""),146)</f>
        <v>146</v>
      </c>
      <c r="AD3" s="1">
        <f ca="1">IFERROR(__xludf.DUMMYFUNCTION("""COMPUTED_VALUE"""),43)</f>
        <v>43</v>
      </c>
      <c r="AE3" s="1">
        <f ca="1">IFERROR(__xludf.DUMMYFUNCTION("""COMPUTED_VALUE"""),372)</f>
        <v>372</v>
      </c>
      <c r="AF3" s="1">
        <f ca="1">IFERROR(__xludf.DUMMYFUNCTION("""COMPUTED_VALUE"""),506)</f>
        <v>506</v>
      </c>
    </row>
    <row r="4" spans="1:32" ht="15.75" customHeight="1" x14ac:dyDescent="0.25">
      <c r="A4" s="1" t="str">
        <f ca="1">IFERROR(__xludf.DUMMYFUNCTION("""COMPUTED_VALUE"""),"Akron")</f>
        <v>Akron</v>
      </c>
      <c r="B4" s="1">
        <f ca="1">IFERROR(__xludf.DUMMYFUNCTION("""COMPUTED_VALUE"""),29)</f>
        <v>29</v>
      </c>
      <c r="C4" s="1">
        <f ca="1">IFERROR(__xludf.DUMMYFUNCTION("""COMPUTED_VALUE"""),22)</f>
        <v>22</v>
      </c>
      <c r="D4" s="1">
        <f ca="1">IFERROR(__xludf.DUMMYFUNCTION("""COMPUTED_VALUE"""),7)</f>
        <v>7</v>
      </c>
      <c r="E4" s="1">
        <f ca="1">IFERROR(__xludf.DUMMYFUNCTION("""COMPUTED_VALUE"""),0.759)</f>
        <v>0.75900000000000001</v>
      </c>
      <c r="F4" s="1">
        <f ca="1">IFERROR(__xludf.DUMMYFUNCTION("""COMPUTED_VALUE"""),7.17)</f>
        <v>7.17</v>
      </c>
      <c r="G4" s="1">
        <f ca="1">IFERROR(__xludf.DUMMYFUNCTION("""COMPUTED_VALUE"""),-0.57)</f>
        <v>-0.56999999999999995</v>
      </c>
      <c r="H4" s="1">
        <f ca="1">IFERROR(__xludf.DUMMYFUNCTION("""COMPUTED_VALUE"""),12)</f>
        <v>12</v>
      </c>
      <c r="I4" s="1">
        <f ca="1">IFERROR(__xludf.DUMMYFUNCTION("""COMPUTED_VALUE"""),4)</f>
        <v>4</v>
      </c>
      <c r="J4" s="1">
        <f ca="1">IFERROR(__xludf.DUMMYFUNCTION("""COMPUTED_VALUE"""),13)</f>
        <v>13</v>
      </c>
      <c r="K4" s="1">
        <f ca="1">IFERROR(__xludf.DUMMYFUNCTION("""COMPUTED_VALUE"""),2)</f>
        <v>2</v>
      </c>
      <c r="L4" s="1">
        <f ca="1">IFERROR(__xludf.DUMMYFUNCTION("""COMPUTED_VALUE"""),8)</f>
        <v>8</v>
      </c>
      <c r="M4" s="1">
        <f ca="1">IFERROR(__xludf.DUMMYFUNCTION("""COMPUTED_VALUE"""),4)</f>
        <v>4</v>
      </c>
      <c r="N4" s="1">
        <f ca="1">IFERROR(__xludf.DUMMYFUNCTION("""COMPUTED_VALUE"""),2195)</f>
        <v>2195</v>
      </c>
      <c r="O4" s="1">
        <f ca="1">IFERROR(__xludf.DUMMYFUNCTION("""COMPUTED_VALUE"""),1919)</f>
        <v>1919</v>
      </c>
      <c r="P4" s="1">
        <f ca="1">IFERROR(__xludf.DUMMYFUNCTION("""COMPUTED_VALUE"""),1160)</f>
        <v>1160</v>
      </c>
      <c r="Q4" s="1">
        <f ca="1">IFERROR(__xludf.DUMMYFUNCTION("""COMPUTED_VALUE"""),743)</f>
        <v>743</v>
      </c>
      <c r="R4" s="1">
        <f ca="1">IFERROR(__xludf.DUMMYFUNCTION("""COMPUTED_VALUE"""),1690)</f>
        <v>1690</v>
      </c>
      <c r="S4" s="1">
        <f ca="1">IFERROR(__xludf.DUMMYFUNCTION("""COMPUTED_VALUE"""),0.44)</f>
        <v>0.44</v>
      </c>
      <c r="T4" s="1">
        <f ca="1">IFERROR(__xludf.DUMMYFUNCTION("""COMPUTED_VALUE"""),269)</f>
        <v>269</v>
      </c>
      <c r="U4" s="1">
        <f ca="1">IFERROR(__xludf.DUMMYFUNCTION("""COMPUTED_VALUE"""),743)</f>
        <v>743</v>
      </c>
      <c r="V4" s="1">
        <f ca="1">IFERROR(__xludf.DUMMYFUNCTION("""COMPUTED_VALUE"""),0.362)</f>
        <v>0.36199999999999999</v>
      </c>
      <c r="W4" s="1">
        <f ca="1">IFERROR(__xludf.DUMMYFUNCTION("""COMPUTED_VALUE"""),440)</f>
        <v>440</v>
      </c>
      <c r="X4" s="1">
        <f ca="1">IFERROR(__xludf.DUMMYFUNCTION("""COMPUTED_VALUE"""),576)</f>
        <v>576</v>
      </c>
      <c r="Y4" s="1">
        <f ca="1">IFERROR(__xludf.DUMMYFUNCTION("""COMPUTED_VALUE"""),0.764)</f>
        <v>0.76400000000000001</v>
      </c>
      <c r="Z4" s="1">
        <f ca="1">IFERROR(__xludf.DUMMYFUNCTION("""COMPUTED_VALUE"""),292)</f>
        <v>292</v>
      </c>
      <c r="AA4" s="1">
        <f ca="1">IFERROR(__xludf.DUMMYFUNCTION("""COMPUTED_VALUE"""),1104)</f>
        <v>1104</v>
      </c>
      <c r="AB4" s="1">
        <f ca="1">IFERROR(__xludf.DUMMYFUNCTION("""COMPUTED_VALUE"""),379)</f>
        <v>379</v>
      </c>
      <c r="AC4" s="1">
        <f ca="1">IFERROR(__xludf.DUMMYFUNCTION("""COMPUTED_VALUE"""),145)</f>
        <v>145</v>
      </c>
      <c r="AD4" s="1">
        <f ca="1">IFERROR(__xludf.DUMMYFUNCTION("""COMPUTED_VALUE"""),87)</f>
        <v>87</v>
      </c>
      <c r="AE4" s="1">
        <f ca="1">IFERROR(__xludf.DUMMYFUNCTION("""COMPUTED_VALUE"""),376)</f>
        <v>376</v>
      </c>
      <c r="AF4" s="1">
        <f ca="1">IFERROR(__xludf.DUMMYFUNCTION("""COMPUTED_VALUE"""),512)</f>
        <v>512</v>
      </c>
    </row>
    <row r="5" spans="1:32" ht="15.75" customHeight="1" x14ac:dyDescent="0.25">
      <c r="A5" s="1" t="str">
        <f ca="1">IFERROR(__xludf.DUMMYFUNCTION("""COMPUTED_VALUE"""),"Alabama A&amp;M")</f>
        <v>Alabama A&amp;M</v>
      </c>
      <c r="B5" s="1">
        <f ca="1">IFERROR(__xludf.DUMMYFUNCTION("""COMPUTED_VALUE"""),27)</f>
        <v>27</v>
      </c>
      <c r="C5" s="1">
        <f ca="1">IFERROR(__xludf.DUMMYFUNCTION("""COMPUTED_VALUE"""),7)</f>
        <v>7</v>
      </c>
      <c r="D5" s="1">
        <f ca="1">IFERROR(__xludf.DUMMYFUNCTION("""COMPUTED_VALUE"""),20)</f>
        <v>20</v>
      </c>
      <c r="E5" s="1">
        <f ca="1">IFERROR(__xludf.DUMMYFUNCTION("""COMPUTED_VALUE"""),0.259)</f>
        <v>0.25900000000000001</v>
      </c>
      <c r="F5" s="1">
        <f ca="1">IFERROR(__xludf.DUMMYFUNCTION("""COMPUTED_VALUE"""),-18.98)</f>
        <v>-18.98</v>
      </c>
      <c r="G5" s="1">
        <f ca="1">IFERROR(__xludf.DUMMYFUNCTION("""COMPUTED_VALUE"""),-8.72)</f>
        <v>-8.7200000000000006</v>
      </c>
      <c r="H5" s="1">
        <f ca="1">IFERROR(__xludf.DUMMYFUNCTION("""COMPUTED_VALUE"""),4)</f>
        <v>4</v>
      </c>
      <c r="I5" s="1">
        <f ca="1">IFERROR(__xludf.DUMMYFUNCTION("""COMPUTED_VALUE"""),12)</f>
        <v>12</v>
      </c>
      <c r="J5" s="1">
        <f ca="1">IFERROR(__xludf.DUMMYFUNCTION("""COMPUTED_VALUE"""),5)</f>
        <v>5</v>
      </c>
      <c r="K5" s="1">
        <f ca="1">IFERROR(__xludf.DUMMYFUNCTION("""COMPUTED_VALUE"""),4)</f>
        <v>4</v>
      </c>
      <c r="L5" s="1">
        <f ca="1">IFERROR(__xludf.DUMMYFUNCTION("""COMPUTED_VALUE"""),2)</f>
        <v>2</v>
      </c>
      <c r="M5" s="1">
        <f ca="1">IFERROR(__xludf.DUMMYFUNCTION("""COMPUTED_VALUE"""),15)</f>
        <v>15</v>
      </c>
      <c r="N5" s="1">
        <f ca="1">IFERROR(__xludf.DUMMYFUNCTION("""COMPUTED_VALUE"""),1676)</f>
        <v>1676</v>
      </c>
      <c r="O5" s="1">
        <f ca="1">IFERROR(__xludf.DUMMYFUNCTION("""COMPUTED_VALUE"""),1953)</f>
        <v>1953</v>
      </c>
      <c r="P5" s="1">
        <f ca="1">IFERROR(__xludf.DUMMYFUNCTION("""COMPUTED_VALUE"""),1085)</f>
        <v>1085</v>
      </c>
      <c r="Q5" s="1">
        <f ca="1">IFERROR(__xludf.DUMMYFUNCTION("""COMPUTED_VALUE"""),592)</f>
        <v>592</v>
      </c>
      <c r="R5" s="1">
        <f ca="1">IFERROR(__xludf.DUMMYFUNCTION("""COMPUTED_VALUE"""),1564)</f>
        <v>1564</v>
      </c>
      <c r="S5" s="1">
        <f ca="1">IFERROR(__xludf.DUMMYFUNCTION("""COMPUTED_VALUE"""),0.379)</f>
        <v>0.379</v>
      </c>
      <c r="T5" s="1">
        <f ca="1">IFERROR(__xludf.DUMMYFUNCTION("""COMPUTED_VALUE"""),144)</f>
        <v>144</v>
      </c>
      <c r="U5" s="1">
        <f ca="1">IFERROR(__xludf.DUMMYFUNCTION("""COMPUTED_VALUE"""),509)</f>
        <v>509</v>
      </c>
      <c r="V5" s="1">
        <f ca="1">IFERROR(__xludf.DUMMYFUNCTION("""COMPUTED_VALUE"""),0.283)</f>
        <v>0.28299999999999997</v>
      </c>
      <c r="W5" s="1">
        <f ca="1">IFERROR(__xludf.DUMMYFUNCTION("""COMPUTED_VALUE"""),348)</f>
        <v>348</v>
      </c>
      <c r="X5" s="1">
        <f ca="1">IFERROR(__xludf.DUMMYFUNCTION("""COMPUTED_VALUE"""),514)</f>
        <v>514</v>
      </c>
      <c r="Y5" s="1">
        <f ca="1">IFERROR(__xludf.DUMMYFUNCTION("""COMPUTED_VALUE"""),0.677)</f>
        <v>0.67700000000000005</v>
      </c>
      <c r="Z5" s="1">
        <f ca="1">IFERROR(__xludf.DUMMYFUNCTION("""COMPUTED_VALUE"""),261)</f>
        <v>261</v>
      </c>
      <c r="AA5" s="1">
        <f ca="1">IFERROR(__xludf.DUMMYFUNCTION("""COMPUTED_VALUE"""),929)</f>
        <v>929</v>
      </c>
      <c r="AB5" s="1">
        <f ca="1">IFERROR(__xludf.DUMMYFUNCTION("""COMPUTED_VALUE"""),285)</f>
        <v>285</v>
      </c>
      <c r="AC5" s="1">
        <f ca="1">IFERROR(__xludf.DUMMYFUNCTION("""COMPUTED_VALUE"""),158)</f>
        <v>158</v>
      </c>
      <c r="AD5" s="1">
        <f ca="1">IFERROR(__xludf.DUMMYFUNCTION("""COMPUTED_VALUE"""),59)</f>
        <v>59</v>
      </c>
      <c r="AE5" s="1">
        <f ca="1">IFERROR(__xludf.DUMMYFUNCTION("""COMPUTED_VALUE"""),336)</f>
        <v>336</v>
      </c>
      <c r="AF5" s="1">
        <f ca="1">IFERROR(__xludf.DUMMYFUNCTION("""COMPUTED_VALUE"""),486)</f>
        <v>486</v>
      </c>
    </row>
    <row r="6" spans="1:32" ht="15.75" customHeight="1" x14ac:dyDescent="0.25">
      <c r="A6" s="1" t="str">
        <f ca="1">IFERROR(__xludf.DUMMYFUNCTION("""COMPUTED_VALUE"""),"Alabama-Birmingham")</f>
        <v>Alabama-Birmingham</v>
      </c>
      <c r="B6" s="1">
        <f ca="1">IFERROR(__xludf.DUMMYFUNCTION("""COMPUTED_VALUE"""),30)</f>
        <v>30</v>
      </c>
      <c r="C6" s="1">
        <f ca="1">IFERROR(__xludf.DUMMYFUNCTION("""COMPUTED_VALUE"""),17)</f>
        <v>17</v>
      </c>
      <c r="D6" s="1">
        <f ca="1">IFERROR(__xludf.DUMMYFUNCTION("""COMPUTED_VALUE"""),13)</f>
        <v>13</v>
      </c>
      <c r="E6" s="1">
        <f ca="1">IFERROR(__xludf.DUMMYFUNCTION("""COMPUTED_VALUE"""),0.567)</f>
        <v>0.56699999999999995</v>
      </c>
      <c r="F6" s="1">
        <f ca="1">IFERROR(__xludf.DUMMYFUNCTION("""COMPUTED_VALUE"""),-1.25)</f>
        <v>-1.25</v>
      </c>
      <c r="G6" s="1">
        <f ca="1">IFERROR(__xludf.DUMMYFUNCTION("""COMPUTED_VALUE"""),-1.5)</f>
        <v>-1.5</v>
      </c>
      <c r="H6" s="1">
        <f ca="1">IFERROR(__xludf.DUMMYFUNCTION("""COMPUTED_VALUE"""),8)</f>
        <v>8</v>
      </c>
      <c r="I6" s="1">
        <f ca="1">IFERROR(__xludf.DUMMYFUNCTION("""COMPUTED_VALUE"""),9)</f>
        <v>9</v>
      </c>
      <c r="J6" s="1">
        <f ca="1">IFERROR(__xludf.DUMMYFUNCTION("""COMPUTED_VALUE"""),10)</f>
        <v>10</v>
      </c>
      <c r="K6" s="1">
        <f ca="1">IFERROR(__xludf.DUMMYFUNCTION("""COMPUTED_VALUE"""),6)</f>
        <v>6</v>
      </c>
      <c r="L6" s="1">
        <f ca="1">IFERROR(__xludf.DUMMYFUNCTION("""COMPUTED_VALUE"""),5)</f>
        <v>5</v>
      </c>
      <c r="M6" s="1">
        <f ca="1">IFERROR(__xludf.DUMMYFUNCTION("""COMPUTED_VALUE"""),7)</f>
        <v>7</v>
      </c>
      <c r="N6" s="1">
        <f ca="1">IFERROR(__xludf.DUMMYFUNCTION("""COMPUTED_VALUE"""),2008)</f>
        <v>2008</v>
      </c>
      <c r="O6" s="1">
        <f ca="1">IFERROR(__xludf.DUMMYFUNCTION("""COMPUTED_VALUE"""),1956)</f>
        <v>1956</v>
      </c>
      <c r="P6" s="1">
        <f ca="1">IFERROR(__xludf.DUMMYFUNCTION("""COMPUTED_VALUE"""),1200)</f>
        <v>1200</v>
      </c>
      <c r="Q6" s="1">
        <f ca="1">IFERROR(__xludf.DUMMYFUNCTION("""COMPUTED_VALUE"""),731)</f>
        <v>731</v>
      </c>
      <c r="R6" s="1">
        <f ca="1">IFERROR(__xludf.DUMMYFUNCTION("""COMPUTED_VALUE"""),1621)</f>
        <v>1621</v>
      </c>
      <c r="S6" s="1">
        <f ca="1">IFERROR(__xludf.DUMMYFUNCTION("""COMPUTED_VALUE"""),0.451)</f>
        <v>0.45100000000000001</v>
      </c>
      <c r="T6" s="1">
        <f ca="1">IFERROR(__xludf.DUMMYFUNCTION("""COMPUTED_VALUE"""),156)</f>
        <v>156</v>
      </c>
      <c r="U6" s="1">
        <f ca="1">IFERROR(__xludf.DUMMYFUNCTION("""COMPUTED_VALUE"""),489)</f>
        <v>489</v>
      </c>
      <c r="V6" s="1">
        <f ca="1">IFERROR(__xludf.DUMMYFUNCTION("""COMPUTED_VALUE"""),0.319)</f>
        <v>0.31900000000000001</v>
      </c>
      <c r="W6" s="1">
        <f ca="1">IFERROR(__xludf.DUMMYFUNCTION("""COMPUTED_VALUE"""),390)</f>
        <v>390</v>
      </c>
      <c r="X6" s="1">
        <f ca="1">IFERROR(__xludf.DUMMYFUNCTION("""COMPUTED_VALUE"""),561)</f>
        <v>561</v>
      </c>
      <c r="Y6" s="1">
        <f ca="1">IFERROR(__xludf.DUMMYFUNCTION("""COMPUTED_VALUE"""),0.695)</f>
        <v>0.69499999999999995</v>
      </c>
      <c r="Z6" s="1">
        <f ca="1">IFERROR(__xludf.DUMMYFUNCTION("""COMPUTED_VALUE"""),316)</f>
        <v>316</v>
      </c>
      <c r="AA6" s="1">
        <f ca="1">IFERROR(__xludf.DUMMYFUNCTION("""COMPUTED_VALUE"""),1115)</f>
        <v>1115</v>
      </c>
      <c r="AB6" s="1">
        <f ca="1">IFERROR(__xludf.DUMMYFUNCTION("""COMPUTED_VALUE"""),314)</f>
        <v>314</v>
      </c>
      <c r="AC6" s="1">
        <f ca="1">IFERROR(__xludf.DUMMYFUNCTION("""COMPUTED_VALUE"""),178)</f>
        <v>178</v>
      </c>
      <c r="AD6" s="1">
        <f ca="1">IFERROR(__xludf.DUMMYFUNCTION("""COMPUTED_VALUE"""),85)</f>
        <v>85</v>
      </c>
      <c r="AE6" s="1">
        <f ca="1">IFERROR(__xludf.DUMMYFUNCTION("""COMPUTED_VALUE"""),443)</f>
        <v>443</v>
      </c>
      <c r="AF6" s="1">
        <f ca="1">IFERROR(__xludf.DUMMYFUNCTION("""COMPUTED_VALUE"""),489)</f>
        <v>489</v>
      </c>
    </row>
    <row r="7" spans="1:32" ht="15.75" customHeight="1" x14ac:dyDescent="0.25">
      <c r="A7" s="1" t="str">
        <f ca="1">IFERROR(__xludf.DUMMYFUNCTION("""COMPUTED_VALUE"""),"Alabama State")</f>
        <v>Alabama State</v>
      </c>
      <c r="B7" s="1">
        <f ca="1">IFERROR(__xludf.DUMMYFUNCTION("""COMPUTED_VALUE"""),29)</f>
        <v>29</v>
      </c>
      <c r="C7" s="1">
        <f ca="1">IFERROR(__xludf.DUMMYFUNCTION("""COMPUTED_VALUE"""),8)</f>
        <v>8</v>
      </c>
      <c r="D7" s="1">
        <f ca="1">IFERROR(__xludf.DUMMYFUNCTION("""COMPUTED_VALUE"""),21)</f>
        <v>21</v>
      </c>
      <c r="E7" s="1">
        <f ca="1">IFERROR(__xludf.DUMMYFUNCTION("""COMPUTED_VALUE"""),0.276)</f>
        <v>0.27600000000000002</v>
      </c>
      <c r="F7" s="1">
        <f ca="1">IFERROR(__xludf.DUMMYFUNCTION("""COMPUTED_VALUE"""),-15.42)</f>
        <v>-15.42</v>
      </c>
      <c r="G7" s="1">
        <f ca="1">IFERROR(__xludf.DUMMYFUNCTION("""COMPUTED_VALUE"""),-6.11)</f>
        <v>-6.11</v>
      </c>
      <c r="H7" s="1">
        <f ca="1">IFERROR(__xludf.DUMMYFUNCTION("""COMPUTED_VALUE"""),7)</f>
        <v>7</v>
      </c>
      <c r="I7" s="1">
        <f ca="1">IFERROR(__xludf.DUMMYFUNCTION("""COMPUTED_VALUE"""),9)</f>
        <v>9</v>
      </c>
      <c r="J7" s="1">
        <f ca="1">IFERROR(__xludf.DUMMYFUNCTION("""COMPUTED_VALUE"""),4)</f>
        <v>4</v>
      </c>
      <c r="K7" s="1">
        <f ca="1">IFERROR(__xludf.DUMMYFUNCTION("""COMPUTED_VALUE"""),3)</f>
        <v>3</v>
      </c>
      <c r="L7" s="1">
        <f ca="1">IFERROR(__xludf.DUMMYFUNCTION("""COMPUTED_VALUE"""),2)</f>
        <v>2</v>
      </c>
      <c r="M7" s="1">
        <f ca="1">IFERROR(__xludf.DUMMYFUNCTION("""COMPUTED_VALUE"""),15)</f>
        <v>15</v>
      </c>
      <c r="N7" s="1">
        <f ca="1">IFERROR(__xludf.DUMMYFUNCTION("""COMPUTED_VALUE"""),1795)</f>
        <v>1795</v>
      </c>
      <c r="O7" s="1">
        <f ca="1">IFERROR(__xludf.DUMMYFUNCTION("""COMPUTED_VALUE"""),2065)</f>
        <v>2065</v>
      </c>
      <c r="P7" s="1">
        <f ca="1">IFERROR(__xludf.DUMMYFUNCTION("""COMPUTED_VALUE"""),1160)</f>
        <v>1160</v>
      </c>
      <c r="Q7" s="1">
        <f ca="1">IFERROR(__xludf.DUMMYFUNCTION("""COMPUTED_VALUE"""),623)</f>
        <v>623</v>
      </c>
      <c r="R7" s="1">
        <f ca="1">IFERROR(__xludf.DUMMYFUNCTION("""COMPUTED_VALUE"""),1591)</f>
        <v>1591</v>
      </c>
      <c r="S7" s="1">
        <f ca="1">IFERROR(__xludf.DUMMYFUNCTION("""COMPUTED_VALUE"""),0.392)</f>
        <v>0.39200000000000002</v>
      </c>
      <c r="T7" s="1">
        <f ca="1">IFERROR(__xludf.DUMMYFUNCTION("""COMPUTED_VALUE"""),190)</f>
        <v>190</v>
      </c>
      <c r="U7" s="1">
        <f ca="1">IFERROR(__xludf.DUMMYFUNCTION("""COMPUTED_VALUE"""),616)</f>
        <v>616</v>
      </c>
      <c r="V7" s="1">
        <f ca="1">IFERROR(__xludf.DUMMYFUNCTION("""COMPUTED_VALUE"""),0.308)</f>
        <v>0.308</v>
      </c>
      <c r="W7" s="1">
        <f ca="1">IFERROR(__xludf.DUMMYFUNCTION("""COMPUTED_VALUE"""),359)</f>
        <v>359</v>
      </c>
      <c r="X7" s="1">
        <f ca="1">IFERROR(__xludf.DUMMYFUNCTION("""COMPUTED_VALUE"""),575)</f>
        <v>575</v>
      </c>
      <c r="Y7" s="1">
        <f ca="1">IFERROR(__xludf.DUMMYFUNCTION("""COMPUTED_VALUE"""),0.624)</f>
        <v>0.624</v>
      </c>
      <c r="Z7" s="1">
        <f ca="1">IFERROR(__xludf.DUMMYFUNCTION("""COMPUTED_VALUE"""),256)</f>
        <v>256</v>
      </c>
      <c r="AA7" s="1">
        <f ca="1">IFERROR(__xludf.DUMMYFUNCTION("""COMPUTED_VALUE"""),928)</f>
        <v>928</v>
      </c>
      <c r="AB7" s="1">
        <f ca="1">IFERROR(__xludf.DUMMYFUNCTION("""COMPUTED_VALUE"""),297)</f>
        <v>297</v>
      </c>
      <c r="AC7" s="1">
        <f ca="1">IFERROR(__xludf.DUMMYFUNCTION("""COMPUTED_VALUE"""),179)</f>
        <v>179</v>
      </c>
      <c r="AD7" s="1">
        <f ca="1">IFERROR(__xludf.DUMMYFUNCTION("""COMPUTED_VALUE"""),59)</f>
        <v>59</v>
      </c>
      <c r="AE7" s="1">
        <f ca="1">IFERROR(__xludf.DUMMYFUNCTION("""COMPUTED_VALUE"""),459)</f>
        <v>459</v>
      </c>
      <c r="AF7" s="1">
        <f ca="1">IFERROR(__xludf.DUMMYFUNCTION("""COMPUTED_VALUE"""),574)</f>
        <v>574</v>
      </c>
    </row>
    <row r="8" spans="1:32" ht="15.75" customHeight="1" x14ac:dyDescent="0.25">
      <c r="A8" s="1" t="str">
        <f ca="1">IFERROR(__xludf.DUMMYFUNCTION("""COMPUTED_VALUE"""),"Alabama")</f>
        <v>Alabama</v>
      </c>
      <c r="B8" s="1">
        <f ca="1">IFERROR(__xludf.DUMMYFUNCTION("""COMPUTED_VALUE"""),29)</f>
        <v>29</v>
      </c>
      <c r="C8" s="1">
        <f ca="1">IFERROR(__xludf.DUMMYFUNCTION("""COMPUTED_VALUE"""),16)</f>
        <v>16</v>
      </c>
      <c r="D8" s="1">
        <f ca="1">IFERROR(__xludf.DUMMYFUNCTION("""COMPUTED_VALUE"""),13)</f>
        <v>13</v>
      </c>
      <c r="E8" s="1">
        <f ca="1">IFERROR(__xludf.DUMMYFUNCTION("""COMPUTED_VALUE"""),0.552)</f>
        <v>0.55200000000000005</v>
      </c>
      <c r="F8" s="1">
        <f ca="1">IFERROR(__xludf.DUMMYFUNCTION("""COMPUTED_VALUE"""),12.43)</f>
        <v>12.43</v>
      </c>
      <c r="G8" s="1">
        <f ca="1">IFERROR(__xludf.DUMMYFUNCTION("""COMPUTED_VALUE"""),8.3)</f>
        <v>8.3000000000000007</v>
      </c>
      <c r="H8" s="1">
        <f ca="1">IFERROR(__xludf.DUMMYFUNCTION("""COMPUTED_VALUE"""),8)</f>
        <v>8</v>
      </c>
      <c r="I8" s="1">
        <f ca="1">IFERROR(__xludf.DUMMYFUNCTION("""COMPUTED_VALUE"""),8)</f>
        <v>8</v>
      </c>
      <c r="J8" s="1">
        <f ca="1">IFERROR(__xludf.DUMMYFUNCTION("""COMPUTED_VALUE"""),10)</f>
        <v>10</v>
      </c>
      <c r="K8" s="1">
        <f ca="1">IFERROR(__xludf.DUMMYFUNCTION("""COMPUTED_VALUE"""),4)</f>
        <v>4</v>
      </c>
      <c r="L8" s="1">
        <f ca="1">IFERROR(__xludf.DUMMYFUNCTION("""COMPUTED_VALUE"""),4)</f>
        <v>4</v>
      </c>
      <c r="M8" s="1">
        <f ca="1">IFERROR(__xludf.DUMMYFUNCTION("""COMPUTED_VALUE"""),7)</f>
        <v>7</v>
      </c>
      <c r="N8" s="1">
        <f ca="1">IFERROR(__xludf.DUMMYFUNCTION("""COMPUTED_VALUE"""),2413)</f>
        <v>2413</v>
      </c>
      <c r="O8" s="1">
        <f ca="1">IFERROR(__xludf.DUMMYFUNCTION("""COMPUTED_VALUE"""),2293)</f>
        <v>2293</v>
      </c>
      <c r="P8" s="1">
        <f ca="1">IFERROR(__xludf.DUMMYFUNCTION("""COMPUTED_VALUE"""),1180)</f>
        <v>1180</v>
      </c>
      <c r="Q8" s="1">
        <f ca="1">IFERROR(__xludf.DUMMYFUNCTION("""COMPUTED_VALUE"""),814)</f>
        <v>814</v>
      </c>
      <c r="R8" s="1">
        <f ca="1">IFERROR(__xludf.DUMMYFUNCTION("""COMPUTED_VALUE"""),1847)</f>
        <v>1847</v>
      </c>
      <c r="S8" s="1">
        <f ca="1">IFERROR(__xludf.DUMMYFUNCTION("""COMPUTED_VALUE"""),0.441)</f>
        <v>0.441</v>
      </c>
      <c r="T8" s="1">
        <f ca="1">IFERROR(__xludf.DUMMYFUNCTION("""COMPUTED_VALUE"""),318)</f>
        <v>318</v>
      </c>
      <c r="U8" s="1">
        <f ca="1">IFERROR(__xludf.DUMMYFUNCTION("""COMPUTED_VALUE"""),896)</f>
        <v>896</v>
      </c>
      <c r="V8" s="1">
        <f ca="1">IFERROR(__xludf.DUMMYFUNCTION("""COMPUTED_VALUE"""),0.355)</f>
        <v>0.35499999999999998</v>
      </c>
      <c r="W8" s="1">
        <f ca="1">IFERROR(__xludf.DUMMYFUNCTION("""COMPUTED_VALUE"""),467)</f>
        <v>467</v>
      </c>
      <c r="X8" s="1">
        <f ca="1">IFERROR(__xludf.DUMMYFUNCTION("""COMPUTED_VALUE"""),674)</f>
        <v>674</v>
      </c>
      <c r="Y8" s="1">
        <f ca="1">IFERROR(__xludf.DUMMYFUNCTION("""COMPUTED_VALUE"""),0.693)</f>
        <v>0.69299999999999995</v>
      </c>
      <c r="Z8" s="1">
        <f ca="1">IFERROR(__xludf.DUMMYFUNCTION("""COMPUTED_VALUE"""),337)</f>
        <v>337</v>
      </c>
      <c r="AA8" s="1">
        <f ca="1">IFERROR(__xludf.DUMMYFUNCTION("""COMPUTED_VALUE"""),1160)</f>
        <v>1160</v>
      </c>
      <c r="AB8" s="1">
        <f ca="1">IFERROR(__xludf.DUMMYFUNCTION("""COMPUTED_VALUE"""),421)</f>
        <v>421</v>
      </c>
      <c r="AC8" s="1">
        <f ca="1">IFERROR(__xludf.DUMMYFUNCTION("""COMPUTED_VALUE"""),185)</f>
        <v>185</v>
      </c>
      <c r="AD8" s="1">
        <f ca="1">IFERROR(__xludf.DUMMYFUNCTION("""COMPUTED_VALUE"""),132)</f>
        <v>132</v>
      </c>
      <c r="AE8" s="1">
        <f ca="1">IFERROR(__xludf.DUMMYFUNCTION("""COMPUTED_VALUE"""),431)</f>
        <v>431</v>
      </c>
      <c r="AF8" s="1">
        <f ca="1">IFERROR(__xludf.DUMMYFUNCTION("""COMPUTED_VALUE"""),583)</f>
        <v>583</v>
      </c>
    </row>
    <row r="9" spans="1:32" ht="15.75" customHeight="1" x14ac:dyDescent="0.25">
      <c r="A9" s="1" t="str">
        <f ca="1">IFERROR(__xludf.DUMMYFUNCTION("""COMPUTED_VALUE"""),"Albany (NY)")</f>
        <v>Albany (NY)</v>
      </c>
      <c r="B9" s="1">
        <f ca="1">IFERROR(__xludf.DUMMYFUNCTION("""COMPUTED_VALUE"""),30)</f>
        <v>30</v>
      </c>
      <c r="C9" s="1">
        <f ca="1">IFERROR(__xludf.DUMMYFUNCTION("""COMPUTED_VALUE"""),14)</f>
        <v>14</v>
      </c>
      <c r="D9" s="1">
        <f ca="1">IFERROR(__xludf.DUMMYFUNCTION("""COMPUTED_VALUE"""),16)</f>
        <v>16</v>
      </c>
      <c r="E9" s="1">
        <f ca="1">IFERROR(__xludf.DUMMYFUNCTION("""COMPUTED_VALUE"""),0.467)</f>
        <v>0.46700000000000003</v>
      </c>
      <c r="F9" s="1">
        <f ca="1">IFERROR(__xludf.DUMMYFUNCTION("""COMPUTED_VALUE"""),-8.47)</f>
        <v>-8.4700000000000006</v>
      </c>
      <c r="G9" s="1">
        <f ca="1">IFERROR(__xludf.DUMMYFUNCTION("""COMPUTED_VALUE"""),-6.3)</f>
        <v>-6.3</v>
      </c>
      <c r="H9" s="1">
        <f ca="1">IFERROR(__xludf.DUMMYFUNCTION("""COMPUTED_VALUE"""),7)</f>
        <v>7</v>
      </c>
      <c r="I9" s="1">
        <f ca="1">IFERROR(__xludf.DUMMYFUNCTION("""COMPUTED_VALUE"""),8)</f>
        <v>8</v>
      </c>
      <c r="J9" s="1">
        <f ca="1">IFERROR(__xludf.DUMMYFUNCTION("""COMPUTED_VALUE"""),7)</f>
        <v>7</v>
      </c>
      <c r="K9" s="1">
        <f ca="1">IFERROR(__xludf.DUMMYFUNCTION("""COMPUTED_VALUE"""),7)</f>
        <v>7</v>
      </c>
      <c r="L9" s="1">
        <f ca="1">IFERROR(__xludf.DUMMYFUNCTION("""COMPUTED_VALUE"""),5)</f>
        <v>5</v>
      </c>
      <c r="M9" s="1">
        <f ca="1">IFERROR(__xludf.DUMMYFUNCTION("""COMPUTED_VALUE"""),9)</f>
        <v>9</v>
      </c>
      <c r="N9" s="1">
        <f ca="1">IFERROR(__xludf.DUMMYFUNCTION("""COMPUTED_VALUE"""),1992)</f>
        <v>1992</v>
      </c>
      <c r="O9" s="1">
        <f ca="1">IFERROR(__xludf.DUMMYFUNCTION("""COMPUTED_VALUE"""),2029)</f>
        <v>2029</v>
      </c>
      <c r="P9" s="1">
        <f ca="1">IFERROR(__xludf.DUMMYFUNCTION("""COMPUTED_VALUE"""),1205)</f>
        <v>1205</v>
      </c>
      <c r="Q9" s="1">
        <f ca="1">IFERROR(__xludf.DUMMYFUNCTION("""COMPUTED_VALUE"""),678)</f>
        <v>678</v>
      </c>
      <c r="R9" s="1">
        <f ca="1">IFERROR(__xludf.DUMMYFUNCTION("""COMPUTED_VALUE"""),1653)</f>
        <v>1653</v>
      </c>
      <c r="S9" s="1">
        <f ca="1">IFERROR(__xludf.DUMMYFUNCTION("""COMPUTED_VALUE"""),0.41)</f>
        <v>0.41</v>
      </c>
      <c r="T9" s="1">
        <f ca="1">IFERROR(__xludf.DUMMYFUNCTION("""COMPUTED_VALUE"""),232)</f>
        <v>232</v>
      </c>
      <c r="U9" s="1">
        <f ca="1">IFERROR(__xludf.DUMMYFUNCTION("""COMPUTED_VALUE"""),718)</f>
        <v>718</v>
      </c>
      <c r="V9" s="1">
        <f ca="1">IFERROR(__xludf.DUMMYFUNCTION("""COMPUTED_VALUE"""),0.323)</f>
        <v>0.32300000000000001</v>
      </c>
      <c r="W9" s="1">
        <f ca="1">IFERROR(__xludf.DUMMYFUNCTION("""COMPUTED_VALUE"""),404)</f>
        <v>404</v>
      </c>
      <c r="X9" s="1">
        <f ca="1">IFERROR(__xludf.DUMMYFUNCTION("""COMPUTED_VALUE"""),573)</f>
        <v>573</v>
      </c>
      <c r="Y9" s="1">
        <f ca="1">IFERROR(__xludf.DUMMYFUNCTION("""COMPUTED_VALUE"""),0.705)</f>
        <v>0.70499999999999996</v>
      </c>
      <c r="Z9" s="1">
        <f ca="1">IFERROR(__xludf.DUMMYFUNCTION("""COMPUTED_VALUE"""),243)</f>
        <v>243</v>
      </c>
      <c r="AA9" s="1">
        <f ca="1">IFERROR(__xludf.DUMMYFUNCTION("""COMPUTED_VALUE"""),1036)</f>
        <v>1036</v>
      </c>
      <c r="AB9" s="1">
        <f ca="1">IFERROR(__xludf.DUMMYFUNCTION("""COMPUTED_VALUE"""),383)</f>
        <v>383</v>
      </c>
      <c r="AC9" s="1">
        <f ca="1">IFERROR(__xludf.DUMMYFUNCTION("""COMPUTED_VALUE"""),167)</f>
        <v>167</v>
      </c>
      <c r="AD9" s="1">
        <f ca="1">IFERROR(__xludf.DUMMYFUNCTION("""COMPUTED_VALUE"""),89)</f>
        <v>89</v>
      </c>
      <c r="AE9" s="1">
        <f ca="1">IFERROR(__xludf.DUMMYFUNCTION("""COMPUTED_VALUE"""),410)</f>
        <v>410</v>
      </c>
      <c r="AF9" s="1">
        <f ca="1">IFERROR(__xludf.DUMMYFUNCTION("""COMPUTED_VALUE"""),496)</f>
        <v>496</v>
      </c>
    </row>
    <row r="10" spans="1:32" ht="15.75" customHeight="1" x14ac:dyDescent="0.25">
      <c r="A10" s="1" t="str">
        <f ca="1">IFERROR(__xludf.DUMMYFUNCTION("""COMPUTED_VALUE"""),"Alcorn State")</f>
        <v>Alcorn State</v>
      </c>
      <c r="B10" s="1">
        <f ca="1">IFERROR(__xludf.DUMMYFUNCTION("""COMPUTED_VALUE"""),27)</f>
        <v>27</v>
      </c>
      <c r="C10" s="1">
        <f ca="1">IFERROR(__xludf.DUMMYFUNCTION("""COMPUTED_VALUE"""),13)</f>
        <v>13</v>
      </c>
      <c r="D10" s="1">
        <f ca="1">IFERROR(__xludf.DUMMYFUNCTION("""COMPUTED_VALUE"""),14)</f>
        <v>14</v>
      </c>
      <c r="E10" s="1">
        <f ca="1">IFERROR(__xludf.DUMMYFUNCTION("""COMPUTED_VALUE"""),0.481)</f>
        <v>0.48099999999999998</v>
      </c>
      <c r="F10" s="1">
        <f ca="1">IFERROR(__xludf.DUMMYFUNCTION("""COMPUTED_VALUE"""),-15.62)</f>
        <v>-15.62</v>
      </c>
      <c r="G10" s="1">
        <f ca="1">IFERROR(__xludf.DUMMYFUNCTION("""COMPUTED_VALUE"""),-9.66)</f>
        <v>-9.66</v>
      </c>
      <c r="H10" s="1">
        <f ca="1">IFERROR(__xludf.DUMMYFUNCTION("""COMPUTED_VALUE"""),9)</f>
        <v>9</v>
      </c>
      <c r="I10" s="1">
        <f ca="1">IFERROR(__xludf.DUMMYFUNCTION("""COMPUTED_VALUE"""),7)</f>
        <v>7</v>
      </c>
      <c r="J10" s="1">
        <f ca="1">IFERROR(__xludf.DUMMYFUNCTION("""COMPUTED_VALUE"""),9)</f>
        <v>9</v>
      </c>
      <c r="K10" s="1">
        <f ca="1">IFERROR(__xludf.DUMMYFUNCTION("""COMPUTED_VALUE"""),2)</f>
        <v>2</v>
      </c>
      <c r="L10" s="1">
        <f ca="1">IFERROR(__xludf.DUMMYFUNCTION("""COMPUTED_VALUE"""),4)</f>
        <v>4</v>
      </c>
      <c r="M10" s="1">
        <f ca="1">IFERROR(__xludf.DUMMYFUNCTION("""COMPUTED_VALUE"""),12)</f>
        <v>12</v>
      </c>
      <c r="N10" s="1">
        <f ca="1">IFERROR(__xludf.DUMMYFUNCTION("""COMPUTED_VALUE"""),2029)</f>
        <v>2029</v>
      </c>
      <c r="O10" s="1">
        <f ca="1">IFERROR(__xludf.DUMMYFUNCTION("""COMPUTED_VALUE"""),1981)</f>
        <v>1981</v>
      </c>
      <c r="P10" s="1">
        <f ca="1">IFERROR(__xludf.DUMMYFUNCTION("""COMPUTED_VALUE"""),1090)</f>
        <v>1090</v>
      </c>
      <c r="Q10" s="1">
        <f ca="1">IFERROR(__xludf.DUMMYFUNCTION("""COMPUTED_VALUE"""),710)</f>
        <v>710</v>
      </c>
      <c r="R10" s="1">
        <f ca="1">IFERROR(__xludf.DUMMYFUNCTION("""COMPUTED_VALUE"""),1663)</f>
        <v>1663</v>
      </c>
      <c r="S10" s="1">
        <f ca="1">IFERROR(__xludf.DUMMYFUNCTION("""COMPUTED_VALUE"""),0.427)</f>
        <v>0.42699999999999999</v>
      </c>
      <c r="T10" s="1">
        <f ca="1">IFERROR(__xludf.DUMMYFUNCTION("""COMPUTED_VALUE"""),250)</f>
        <v>250</v>
      </c>
      <c r="U10" s="1">
        <f ca="1">IFERROR(__xludf.DUMMYFUNCTION("""COMPUTED_VALUE"""),671)</f>
        <v>671</v>
      </c>
      <c r="V10" s="1">
        <f ca="1">IFERROR(__xludf.DUMMYFUNCTION("""COMPUTED_VALUE"""),0.373)</f>
        <v>0.373</v>
      </c>
      <c r="W10" s="1">
        <f ca="1">IFERROR(__xludf.DUMMYFUNCTION("""COMPUTED_VALUE"""),359)</f>
        <v>359</v>
      </c>
      <c r="X10" s="1">
        <f ca="1">IFERROR(__xludf.DUMMYFUNCTION("""COMPUTED_VALUE"""),487)</f>
        <v>487</v>
      </c>
      <c r="Y10" s="1">
        <f ca="1">IFERROR(__xludf.DUMMYFUNCTION("""COMPUTED_VALUE"""),0.737)</f>
        <v>0.73699999999999999</v>
      </c>
      <c r="Z10" s="1">
        <f ca="1">IFERROR(__xludf.DUMMYFUNCTION("""COMPUTED_VALUE"""),300)</f>
        <v>300</v>
      </c>
      <c r="AA10" s="1">
        <f ca="1">IFERROR(__xludf.DUMMYFUNCTION("""COMPUTED_VALUE"""),1009)</f>
        <v>1009</v>
      </c>
      <c r="AB10" s="1">
        <f ca="1">IFERROR(__xludf.DUMMYFUNCTION("""COMPUTED_VALUE"""),364)</f>
        <v>364</v>
      </c>
      <c r="AC10" s="1">
        <f ca="1">IFERROR(__xludf.DUMMYFUNCTION("""COMPUTED_VALUE"""),215)</f>
        <v>215</v>
      </c>
      <c r="AD10" s="1">
        <f ca="1">IFERROR(__xludf.DUMMYFUNCTION("""COMPUTED_VALUE"""),89)</f>
        <v>89</v>
      </c>
      <c r="AE10" s="1">
        <f ca="1">IFERROR(__xludf.DUMMYFUNCTION("""COMPUTED_VALUE"""),391)</f>
        <v>391</v>
      </c>
      <c r="AF10" s="1">
        <f ca="1">IFERROR(__xludf.DUMMYFUNCTION("""COMPUTED_VALUE"""),490)</f>
        <v>490</v>
      </c>
    </row>
    <row r="11" spans="1:32" ht="15.75" customHeight="1" x14ac:dyDescent="0.25">
      <c r="A11" s="1" t="str">
        <f ca="1">IFERROR(__xludf.DUMMYFUNCTION("""COMPUTED_VALUE"""),"American")</f>
        <v>American</v>
      </c>
      <c r="B11" s="1">
        <f ca="1">IFERROR(__xludf.DUMMYFUNCTION("""COMPUTED_VALUE"""),29)</f>
        <v>29</v>
      </c>
      <c r="C11" s="1">
        <f ca="1">IFERROR(__xludf.DUMMYFUNCTION("""COMPUTED_VALUE"""),16)</f>
        <v>16</v>
      </c>
      <c r="D11" s="1">
        <f ca="1">IFERROR(__xludf.DUMMYFUNCTION("""COMPUTED_VALUE"""),13)</f>
        <v>13</v>
      </c>
      <c r="E11" s="1">
        <f ca="1">IFERROR(__xludf.DUMMYFUNCTION("""COMPUTED_VALUE"""),0.552)</f>
        <v>0.55200000000000005</v>
      </c>
      <c r="F11" s="1">
        <f ca="1">IFERROR(__xludf.DUMMYFUNCTION("""COMPUTED_VALUE"""),-4)</f>
        <v>-4</v>
      </c>
      <c r="G11" s="1">
        <f ca="1">IFERROR(__xludf.DUMMYFUNCTION("""COMPUTED_VALUE"""),-6.38)</f>
        <v>-6.38</v>
      </c>
      <c r="H11" s="1">
        <f ca="1">IFERROR(__xludf.DUMMYFUNCTION("""COMPUTED_VALUE"""),12)</f>
        <v>12</v>
      </c>
      <c r="I11" s="1">
        <f ca="1">IFERROR(__xludf.DUMMYFUNCTION("""COMPUTED_VALUE"""),6)</f>
        <v>6</v>
      </c>
      <c r="J11" s="1">
        <f ca="1">IFERROR(__xludf.DUMMYFUNCTION("""COMPUTED_VALUE"""),10)</f>
        <v>10</v>
      </c>
      <c r="K11" s="1">
        <f ca="1">IFERROR(__xludf.DUMMYFUNCTION("""COMPUTED_VALUE"""),3)</f>
        <v>3</v>
      </c>
      <c r="L11" s="1">
        <f ca="1">IFERROR(__xludf.DUMMYFUNCTION("""COMPUTED_VALUE"""),6)</f>
        <v>6</v>
      </c>
      <c r="M11" s="1">
        <f ca="1">IFERROR(__xludf.DUMMYFUNCTION("""COMPUTED_VALUE"""),10)</f>
        <v>10</v>
      </c>
      <c r="N11" s="1">
        <f ca="1">IFERROR(__xludf.DUMMYFUNCTION("""COMPUTED_VALUE"""),2090)</f>
        <v>2090</v>
      </c>
      <c r="O11" s="1">
        <f ca="1">IFERROR(__xludf.DUMMYFUNCTION("""COMPUTED_VALUE"""),2021)</f>
        <v>2021</v>
      </c>
      <c r="P11" s="1">
        <f ca="1">IFERROR(__xludf.DUMMYFUNCTION("""COMPUTED_VALUE"""),1165)</f>
        <v>1165</v>
      </c>
      <c r="Q11" s="1">
        <f ca="1">IFERROR(__xludf.DUMMYFUNCTION("""COMPUTED_VALUE"""),775)</f>
        <v>775</v>
      </c>
      <c r="R11" s="1">
        <f ca="1">IFERROR(__xludf.DUMMYFUNCTION("""COMPUTED_VALUE"""),1684)</f>
        <v>1684</v>
      </c>
      <c r="S11" s="1">
        <f ca="1">IFERROR(__xludf.DUMMYFUNCTION("""COMPUTED_VALUE"""),0.46)</f>
        <v>0.46</v>
      </c>
      <c r="T11" s="1">
        <f ca="1">IFERROR(__xludf.DUMMYFUNCTION("""COMPUTED_VALUE"""),201)</f>
        <v>201</v>
      </c>
      <c r="U11" s="1">
        <f ca="1">IFERROR(__xludf.DUMMYFUNCTION("""COMPUTED_VALUE"""),582)</f>
        <v>582</v>
      </c>
      <c r="V11" s="1">
        <f ca="1">IFERROR(__xludf.DUMMYFUNCTION("""COMPUTED_VALUE"""),0.345)</f>
        <v>0.34499999999999997</v>
      </c>
      <c r="W11" s="1">
        <f ca="1">IFERROR(__xludf.DUMMYFUNCTION("""COMPUTED_VALUE"""),339)</f>
        <v>339</v>
      </c>
      <c r="X11" s="1">
        <f ca="1">IFERROR(__xludf.DUMMYFUNCTION("""COMPUTED_VALUE"""),478)</f>
        <v>478</v>
      </c>
      <c r="Y11" s="1">
        <f ca="1">IFERROR(__xludf.DUMMYFUNCTION("""COMPUTED_VALUE"""),0.709)</f>
        <v>0.70899999999999996</v>
      </c>
      <c r="Z11" s="1">
        <f ca="1">IFERROR(__xludf.DUMMYFUNCTION("""COMPUTED_VALUE"""),257)</f>
        <v>257</v>
      </c>
      <c r="AA11" s="1">
        <f ca="1">IFERROR(__xludf.DUMMYFUNCTION("""COMPUTED_VALUE"""),948)</f>
        <v>948</v>
      </c>
      <c r="AB11" s="1">
        <f ca="1">IFERROR(__xludf.DUMMYFUNCTION("""COMPUTED_VALUE"""),375)</f>
        <v>375</v>
      </c>
      <c r="AC11" s="1">
        <f ca="1">IFERROR(__xludf.DUMMYFUNCTION("""COMPUTED_VALUE"""),230)</f>
        <v>230</v>
      </c>
      <c r="AD11" s="1">
        <f ca="1">IFERROR(__xludf.DUMMYFUNCTION("""COMPUTED_VALUE"""),102)</f>
        <v>102</v>
      </c>
      <c r="AE11" s="1">
        <f ca="1">IFERROR(__xludf.DUMMYFUNCTION("""COMPUTED_VALUE"""),360)</f>
        <v>360</v>
      </c>
      <c r="AF11" s="1">
        <f ca="1">IFERROR(__xludf.DUMMYFUNCTION("""COMPUTED_VALUE"""),509)</f>
        <v>509</v>
      </c>
    </row>
    <row r="12" spans="1:32" ht="15.75" customHeight="1" x14ac:dyDescent="0.25">
      <c r="A12" s="1" t="str">
        <f ca="1">IFERROR(__xludf.DUMMYFUNCTION("""COMPUTED_VALUE"""),"Appalachian State")</f>
        <v>Appalachian State</v>
      </c>
      <c r="B12" s="1">
        <f ca="1">IFERROR(__xludf.DUMMYFUNCTION("""COMPUTED_VALUE"""),30)</f>
        <v>30</v>
      </c>
      <c r="C12" s="1">
        <f ca="1">IFERROR(__xludf.DUMMYFUNCTION("""COMPUTED_VALUE"""),16)</f>
        <v>16</v>
      </c>
      <c r="D12" s="1">
        <f ca="1">IFERROR(__xludf.DUMMYFUNCTION("""COMPUTED_VALUE"""),14)</f>
        <v>14</v>
      </c>
      <c r="E12" s="1">
        <f ca="1">IFERROR(__xludf.DUMMYFUNCTION("""COMPUTED_VALUE"""),0.533)</f>
        <v>0.53300000000000003</v>
      </c>
      <c r="F12" s="1">
        <f ca="1">IFERROR(__xludf.DUMMYFUNCTION("""COMPUTED_VALUE"""),-0.49)</f>
        <v>-0.49</v>
      </c>
      <c r="G12" s="1">
        <f ca="1">IFERROR(__xludf.DUMMYFUNCTION("""COMPUTED_VALUE"""),0.11)</f>
        <v>0.11</v>
      </c>
      <c r="H12" s="1">
        <f ca="1">IFERROR(__xludf.DUMMYFUNCTION("""COMPUTED_VALUE"""),10)</f>
        <v>10</v>
      </c>
      <c r="I12" s="1">
        <f ca="1">IFERROR(__xludf.DUMMYFUNCTION("""COMPUTED_VALUE"""),9)</f>
        <v>9</v>
      </c>
      <c r="J12" s="1">
        <f ca="1">IFERROR(__xludf.DUMMYFUNCTION("""COMPUTED_VALUE"""),9)</f>
        <v>9</v>
      </c>
      <c r="K12" s="1">
        <f ca="1">IFERROR(__xludf.DUMMYFUNCTION("""COMPUTED_VALUE"""),5)</f>
        <v>5</v>
      </c>
      <c r="L12" s="1">
        <f ca="1">IFERROR(__xludf.DUMMYFUNCTION("""COMPUTED_VALUE"""),6)</f>
        <v>6</v>
      </c>
      <c r="M12" s="1">
        <f ca="1">IFERROR(__xludf.DUMMYFUNCTION("""COMPUTED_VALUE"""),8)</f>
        <v>8</v>
      </c>
      <c r="N12" s="1">
        <f ca="1">IFERROR(__xludf.DUMMYFUNCTION("""COMPUTED_VALUE"""),2057)</f>
        <v>2057</v>
      </c>
      <c r="O12" s="1">
        <f ca="1">IFERROR(__xludf.DUMMYFUNCTION("""COMPUTED_VALUE"""),2015)</f>
        <v>2015</v>
      </c>
      <c r="P12" s="1">
        <f ca="1">IFERROR(__xludf.DUMMYFUNCTION("""COMPUTED_VALUE"""),1205)</f>
        <v>1205</v>
      </c>
      <c r="Q12" s="1">
        <f ca="1">IFERROR(__xludf.DUMMYFUNCTION("""COMPUTED_VALUE"""),712)</f>
        <v>712</v>
      </c>
      <c r="R12" s="1">
        <f ca="1">IFERROR(__xludf.DUMMYFUNCTION("""COMPUTED_VALUE"""),1653)</f>
        <v>1653</v>
      </c>
      <c r="S12" s="1">
        <f ca="1">IFERROR(__xludf.DUMMYFUNCTION("""COMPUTED_VALUE"""),0.431)</f>
        <v>0.43099999999999999</v>
      </c>
      <c r="T12" s="1">
        <f ca="1">IFERROR(__xludf.DUMMYFUNCTION("""COMPUTED_VALUE"""),201)</f>
        <v>201</v>
      </c>
      <c r="U12" s="1">
        <f ca="1">IFERROR(__xludf.DUMMYFUNCTION("""COMPUTED_VALUE"""),648)</f>
        <v>648</v>
      </c>
      <c r="V12" s="1">
        <f ca="1">IFERROR(__xludf.DUMMYFUNCTION("""COMPUTED_VALUE"""),0.31)</f>
        <v>0.31</v>
      </c>
      <c r="W12" s="1">
        <f ca="1">IFERROR(__xludf.DUMMYFUNCTION("""COMPUTED_VALUE"""),432)</f>
        <v>432</v>
      </c>
      <c r="X12" s="1">
        <f ca="1">IFERROR(__xludf.DUMMYFUNCTION("""COMPUTED_VALUE"""),646)</f>
        <v>646</v>
      </c>
      <c r="Y12" s="1">
        <f ca="1">IFERROR(__xludf.DUMMYFUNCTION("""COMPUTED_VALUE"""),0.669)</f>
        <v>0.66900000000000004</v>
      </c>
      <c r="Z12" s="1">
        <f ca="1">IFERROR(__xludf.DUMMYFUNCTION("""COMPUTED_VALUE"""),298)</f>
        <v>298</v>
      </c>
      <c r="AA12" s="1">
        <f ca="1">IFERROR(__xludf.DUMMYFUNCTION("""COMPUTED_VALUE"""),1062)</f>
        <v>1062</v>
      </c>
      <c r="AB12" s="1">
        <f ca="1">IFERROR(__xludf.DUMMYFUNCTION("""COMPUTED_VALUE"""),352)</f>
        <v>352</v>
      </c>
      <c r="AC12" s="1">
        <f ca="1">IFERROR(__xludf.DUMMYFUNCTION("""COMPUTED_VALUE"""),223)</f>
        <v>223</v>
      </c>
      <c r="AD12" s="1">
        <f ca="1">IFERROR(__xludf.DUMMYFUNCTION("""COMPUTED_VALUE"""),68)</f>
        <v>68</v>
      </c>
      <c r="AE12" s="1">
        <f ca="1">IFERROR(__xludf.DUMMYFUNCTION("""COMPUTED_VALUE"""),399)</f>
        <v>399</v>
      </c>
      <c r="AF12" s="1">
        <f ca="1">IFERROR(__xludf.DUMMYFUNCTION("""COMPUTED_VALUE"""),471)</f>
        <v>471</v>
      </c>
    </row>
    <row r="13" spans="1:32" ht="15.75" customHeight="1" x14ac:dyDescent="0.25">
      <c r="A13" s="1" t="str">
        <f ca="1">IFERROR(__xludf.DUMMYFUNCTION("""COMPUTED_VALUE"""),"Arizona State")</f>
        <v>Arizona State</v>
      </c>
      <c r="B13" s="1">
        <f ca="1">IFERROR(__xludf.DUMMYFUNCTION("""COMPUTED_VALUE"""),29)</f>
        <v>29</v>
      </c>
      <c r="C13" s="1">
        <f ca="1">IFERROR(__xludf.DUMMYFUNCTION("""COMPUTED_VALUE"""),19)</f>
        <v>19</v>
      </c>
      <c r="D13" s="1">
        <f ca="1">IFERROR(__xludf.DUMMYFUNCTION("""COMPUTED_VALUE"""),10)</f>
        <v>10</v>
      </c>
      <c r="E13" s="1">
        <f ca="1">IFERROR(__xludf.DUMMYFUNCTION("""COMPUTED_VALUE"""),0.655)</f>
        <v>0.65500000000000003</v>
      </c>
      <c r="F13" s="1">
        <f ca="1">IFERROR(__xludf.DUMMYFUNCTION("""COMPUTED_VALUE"""),11.62)</f>
        <v>11.62</v>
      </c>
      <c r="G13" s="1">
        <f ca="1">IFERROR(__xludf.DUMMYFUNCTION("""COMPUTED_VALUE"""),8.11)</f>
        <v>8.11</v>
      </c>
      <c r="H13" s="1">
        <f ca="1">IFERROR(__xludf.DUMMYFUNCTION("""COMPUTED_VALUE"""),10)</f>
        <v>10</v>
      </c>
      <c r="I13" s="1">
        <f ca="1">IFERROR(__xludf.DUMMYFUNCTION("""COMPUTED_VALUE"""),6)</f>
        <v>6</v>
      </c>
      <c r="J13" s="1">
        <f ca="1">IFERROR(__xludf.DUMMYFUNCTION("""COMPUTED_VALUE"""),12)</f>
        <v>12</v>
      </c>
      <c r="K13" s="1">
        <f ca="1">IFERROR(__xludf.DUMMYFUNCTION("""COMPUTED_VALUE"""),2)</f>
        <v>2</v>
      </c>
      <c r="L13" s="1">
        <f ca="1">IFERROR(__xludf.DUMMYFUNCTION("""COMPUTED_VALUE"""),6)</f>
        <v>6</v>
      </c>
      <c r="M13" s="1">
        <f ca="1">IFERROR(__xludf.DUMMYFUNCTION("""COMPUTED_VALUE"""),5)</f>
        <v>5</v>
      </c>
      <c r="N13" s="1">
        <f ca="1">IFERROR(__xludf.DUMMYFUNCTION("""COMPUTED_VALUE"""),2122)</f>
        <v>2122</v>
      </c>
      <c r="O13" s="1">
        <f ca="1">IFERROR(__xludf.DUMMYFUNCTION("""COMPUTED_VALUE"""),2020)</f>
        <v>2020</v>
      </c>
      <c r="P13" s="1">
        <f ca="1">IFERROR(__xludf.DUMMYFUNCTION("""COMPUTED_VALUE"""),1160)</f>
        <v>1160</v>
      </c>
      <c r="Q13" s="1">
        <f ca="1">IFERROR(__xludf.DUMMYFUNCTION("""COMPUTED_VALUE"""),759)</f>
        <v>759</v>
      </c>
      <c r="R13" s="1">
        <f ca="1">IFERROR(__xludf.DUMMYFUNCTION("""COMPUTED_VALUE"""),1764)</f>
        <v>1764</v>
      </c>
      <c r="S13" s="1">
        <f ca="1">IFERROR(__xludf.DUMMYFUNCTION("""COMPUTED_VALUE"""),0.43)</f>
        <v>0.43</v>
      </c>
      <c r="T13" s="1">
        <f ca="1">IFERROR(__xludf.DUMMYFUNCTION("""COMPUTED_VALUE"""),209)</f>
        <v>209</v>
      </c>
      <c r="U13" s="1">
        <f ca="1">IFERROR(__xludf.DUMMYFUNCTION("""COMPUTED_VALUE"""),643)</f>
        <v>643</v>
      </c>
      <c r="V13" s="1">
        <f ca="1">IFERROR(__xludf.DUMMYFUNCTION("""COMPUTED_VALUE"""),0.325)</f>
        <v>0.32500000000000001</v>
      </c>
      <c r="W13" s="1">
        <f ca="1">IFERROR(__xludf.DUMMYFUNCTION("""COMPUTED_VALUE"""),395)</f>
        <v>395</v>
      </c>
      <c r="X13" s="1">
        <f ca="1">IFERROR(__xludf.DUMMYFUNCTION("""COMPUTED_VALUE"""),574)</f>
        <v>574</v>
      </c>
      <c r="Y13" s="1">
        <f ca="1">IFERROR(__xludf.DUMMYFUNCTION("""COMPUTED_VALUE"""),0.688)</f>
        <v>0.68799999999999994</v>
      </c>
      <c r="Z13" s="1">
        <f ca="1">IFERROR(__xludf.DUMMYFUNCTION("""COMPUTED_VALUE"""),284)</f>
        <v>284</v>
      </c>
      <c r="AA13" s="1">
        <f ca="1">IFERROR(__xludf.DUMMYFUNCTION("""COMPUTED_VALUE"""),1036)</f>
        <v>1036</v>
      </c>
      <c r="AB13" s="1">
        <f ca="1">IFERROR(__xludf.DUMMYFUNCTION("""COMPUTED_VALUE"""),313)</f>
        <v>313</v>
      </c>
      <c r="AC13" s="1">
        <f ca="1">IFERROR(__xludf.DUMMYFUNCTION("""COMPUTED_VALUE"""),228)</f>
        <v>228</v>
      </c>
      <c r="AD13" s="1">
        <f ca="1">IFERROR(__xludf.DUMMYFUNCTION("""COMPUTED_VALUE"""),97)</f>
        <v>97</v>
      </c>
      <c r="AE13" s="1">
        <f ca="1">IFERROR(__xludf.DUMMYFUNCTION("""COMPUTED_VALUE"""),383)</f>
        <v>383</v>
      </c>
      <c r="AF13" s="1">
        <f ca="1">IFERROR(__xludf.DUMMYFUNCTION("""COMPUTED_VALUE"""),537)</f>
        <v>537</v>
      </c>
    </row>
    <row r="14" spans="1:32" ht="15.75" customHeight="1" x14ac:dyDescent="0.25">
      <c r="A14" s="1" t="str">
        <f ca="1">IFERROR(__xludf.DUMMYFUNCTION("""COMPUTED_VALUE"""),"Arizona")</f>
        <v>Arizona</v>
      </c>
      <c r="B14" s="1">
        <f ca="1">IFERROR(__xludf.DUMMYFUNCTION("""COMPUTED_VALUE"""),29)</f>
        <v>29</v>
      </c>
      <c r="C14" s="1">
        <f ca="1">IFERROR(__xludf.DUMMYFUNCTION("""COMPUTED_VALUE"""),19)</f>
        <v>19</v>
      </c>
      <c r="D14" s="1">
        <f ca="1">IFERROR(__xludf.DUMMYFUNCTION("""COMPUTED_VALUE"""),10)</f>
        <v>10</v>
      </c>
      <c r="E14" s="1">
        <f ca="1">IFERROR(__xludf.DUMMYFUNCTION("""COMPUTED_VALUE"""),0.655)</f>
        <v>0.65500000000000003</v>
      </c>
      <c r="F14" s="1">
        <f ca="1">IFERROR(__xludf.DUMMYFUNCTION("""COMPUTED_VALUE"""),19.81)</f>
        <v>19.809999999999999</v>
      </c>
      <c r="G14" s="1">
        <f ca="1">IFERROR(__xludf.DUMMYFUNCTION("""COMPUTED_VALUE"""),8.33)</f>
        <v>8.33</v>
      </c>
      <c r="H14" s="1">
        <f ca="1">IFERROR(__xludf.DUMMYFUNCTION("""COMPUTED_VALUE"""),9)</f>
        <v>9</v>
      </c>
      <c r="I14" s="1">
        <f ca="1">IFERROR(__xludf.DUMMYFUNCTION("""COMPUTED_VALUE"""),7)</f>
        <v>7</v>
      </c>
      <c r="J14" s="1">
        <f ca="1">IFERROR(__xludf.DUMMYFUNCTION("""COMPUTED_VALUE"""),12)</f>
        <v>12</v>
      </c>
      <c r="K14" s="1">
        <f ca="1">IFERROR(__xludf.DUMMYFUNCTION("""COMPUTED_VALUE"""),3)</f>
        <v>3</v>
      </c>
      <c r="L14" s="1">
        <f ca="1">IFERROR(__xludf.DUMMYFUNCTION("""COMPUTED_VALUE"""),4)</f>
        <v>4</v>
      </c>
      <c r="M14" s="1">
        <f ca="1">IFERROR(__xludf.DUMMYFUNCTION("""COMPUTED_VALUE"""),6)</f>
        <v>6</v>
      </c>
      <c r="N14" s="1">
        <f ca="1">IFERROR(__xludf.DUMMYFUNCTION("""COMPUTED_VALUE"""),2222)</f>
        <v>2222</v>
      </c>
      <c r="O14" s="1">
        <f ca="1">IFERROR(__xludf.DUMMYFUNCTION("""COMPUTED_VALUE"""),1889)</f>
        <v>1889</v>
      </c>
      <c r="P14" s="1">
        <f ca="1">IFERROR(__xludf.DUMMYFUNCTION("""COMPUTED_VALUE"""),1170)</f>
        <v>1170</v>
      </c>
      <c r="Q14" s="1">
        <f ca="1">IFERROR(__xludf.DUMMYFUNCTION("""COMPUTED_VALUE"""),775)</f>
        <v>775</v>
      </c>
      <c r="R14" s="1">
        <f ca="1">IFERROR(__xludf.DUMMYFUNCTION("""COMPUTED_VALUE"""),1722)</f>
        <v>1722</v>
      </c>
      <c r="S14" s="1">
        <f ca="1">IFERROR(__xludf.DUMMYFUNCTION("""COMPUTED_VALUE"""),0.45)</f>
        <v>0.45</v>
      </c>
      <c r="T14" s="1">
        <f ca="1">IFERROR(__xludf.DUMMYFUNCTION("""COMPUTED_VALUE"""),207)</f>
        <v>207</v>
      </c>
      <c r="U14" s="1">
        <f ca="1">IFERROR(__xludf.DUMMYFUNCTION("""COMPUTED_VALUE"""),598)</f>
        <v>598</v>
      </c>
      <c r="V14" s="1">
        <f ca="1">IFERROR(__xludf.DUMMYFUNCTION("""COMPUTED_VALUE"""),0.346)</f>
        <v>0.34599999999999997</v>
      </c>
      <c r="W14" s="1">
        <f ca="1">IFERROR(__xludf.DUMMYFUNCTION("""COMPUTED_VALUE"""),465)</f>
        <v>465</v>
      </c>
      <c r="X14" s="1">
        <f ca="1">IFERROR(__xludf.DUMMYFUNCTION("""COMPUTED_VALUE"""),635)</f>
        <v>635</v>
      </c>
      <c r="Y14" s="1">
        <f ca="1">IFERROR(__xludf.DUMMYFUNCTION("""COMPUTED_VALUE"""),0.732)</f>
        <v>0.73199999999999998</v>
      </c>
      <c r="Z14" s="1">
        <f ca="1">IFERROR(__xludf.DUMMYFUNCTION("""COMPUTED_VALUE"""),313)</f>
        <v>313</v>
      </c>
      <c r="AA14" s="1">
        <f ca="1">IFERROR(__xludf.DUMMYFUNCTION("""COMPUTED_VALUE"""),1087)</f>
        <v>1087</v>
      </c>
      <c r="AB14" s="1">
        <f ca="1">IFERROR(__xludf.DUMMYFUNCTION("""COMPUTED_VALUE"""),440)</f>
        <v>440</v>
      </c>
      <c r="AC14" s="1">
        <f ca="1">IFERROR(__xludf.DUMMYFUNCTION("""COMPUTED_VALUE"""),195)</f>
        <v>195</v>
      </c>
      <c r="AD14" s="1">
        <f ca="1">IFERROR(__xludf.DUMMYFUNCTION("""COMPUTED_VALUE"""),106)</f>
        <v>106</v>
      </c>
      <c r="AE14" s="1">
        <f ca="1">IFERROR(__xludf.DUMMYFUNCTION("""COMPUTED_VALUE"""),334)</f>
        <v>334</v>
      </c>
      <c r="AF14" s="1">
        <f ca="1">IFERROR(__xludf.DUMMYFUNCTION("""COMPUTED_VALUE"""),534)</f>
        <v>534</v>
      </c>
    </row>
    <row r="15" spans="1:32" ht="15.75" customHeight="1" x14ac:dyDescent="0.25">
      <c r="A15" s="1" t="str">
        <f ca="1">IFERROR(__xludf.DUMMYFUNCTION("""COMPUTED_VALUE"""),"Little Rock")</f>
        <v>Little Rock</v>
      </c>
      <c r="B15" s="1">
        <f ca="1">IFERROR(__xludf.DUMMYFUNCTION("""COMPUTED_VALUE"""),30)</f>
        <v>30</v>
      </c>
      <c r="C15" s="1">
        <f ca="1">IFERROR(__xludf.DUMMYFUNCTION("""COMPUTED_VALUE"""),21)</f>
        <v>21</v>
      </c>
      <c r="D15" s="1">
        <f ca="1">IFERROR(__xludf.DUMMYFUNCTION("""COMPUTED_VALUE"""),9)</f>
        <v>9</v>
      </c>
      <c r="E15" s="1">
        <f ca="1">IFERROR(__xludf.DUMMYFUNCTION("""COMPUTED_VALUE"""),0.7)</f>
        <v>0.7</v>
      </c>
      <c r="F15" s="1">
        <f ca="1">IFERROR(__xludf.DUMMYFUNCTION("""COMPUTED_VALUE"""),2.85)</f>
        <v>2.85</v>
      </c>
      <c r="G15" s="1">
        <f ca="1">IFERROR(__xludf.DUMMYFUNCTION("""COMPUTED_VALUE"""),-1.26)</f>
        <v>-1.26</v>
      </c>
      <c r="H15" s="1">
        <f ca="1">IFERROR(__xludf.DUMMYFUNCTION("""COMPUTED_VALUE"""),15)</f>
        <v>15</v>
      </c>
      <c r="I15" s="1">
        <f ca="1">IFERROR(__xludf.DUMMYFUNCTION("""COMPUTED_VALUE"""),4)</f>
        <v>4</v>
      </c>
      <c r="J15" s="1">
        <f ca="1">IFERROR(__xludf.DUMMYFUNCTION("""COMPUTED_VALUE"""),13)</f>
        <v>13</v>
      </c>
      <c r="K15" s="1">
        <f ca="1">IFERROR(__xludf.DUMMYFUNCTION("""COMPUTED_VALUE"""),2)</f>
        <v>2</v>
      </c>
      <c r="L15" s="1">
        <f ca="1">IFERROR(__xludf.DUMMYFUNCTION("""COMPUTED_VALUE"""),8)</f>
        <v>8</v>
      </c>
      <c r="M15" s="1">
        <f ca="1">IFERROR(__xludf.DUMMYFUNCTION("""COMPUTED_VALUE"""),7)</f>
        <v>7</v>
      </c>
      <c r="N15" s="1">
        <f ca="1">IFERROR(__xludf.DUMMYFUNCTION("""COMPUTED_VALUE"""),2200)</f>
        <v>2200</v>
      </c>
      <c r="O15" s="1">
        <f ca="1">IFERROR(__xludf.DUMMYFUNCTION("""COMPUTED_VALUE"""),2063)</f>
        <v>2063</v>
      </c>
      <c r="P15" s="1">
        <f ca="1">IFERROR(__xludf.DUMMYFUNCTION("""COMPUTED_VALUE"""),1200)</f>
        <v>1200</v>
      </c>
      <c r="Q15" s="1">
        <f ca="1">IFERROR(__xludf.DUMMYFUNCTION("""COMPUTED_VALUE"""),758)</f>
        <v>758</v>
      </c>
      <c r="R15" s="1">
        <f ca="1">IFERROR(__xludf.DUMMYFUNCTION("""COMPUTED_VALUE"""),1607)</f>
        <v>1607</v>
      </c>
      <c r="S15" s="1">
        <f ca="1">IFERROR(__xludf.DUMMYFUNCTION("""COMPUTED_VALUE"""),0.472)</f>
        <v>0.47199999999999998</v>
      </c>
      <c r="T15" s="1">
        <f ca="1">IFERROR(__xludf.DUMMYFUNCTION("""COMPUTED_VALUE"""),184)</f>
        <v>184</v>
      </c>
      <c r="U15" s="1">
        <f ca="1">IFERROR(__xludf.DUMMYFUNCTION("""COMPUTED_VALUE"""),530)</f>
        <v>530</v>
      </c>
      <c r="V15" s="1">
        <f ca="1">IFERROR(__xludf.DUMMYFUNCTION("""COMPUTED_VALUE"""),0.347)</f>
        <v>0.34699999999999998</v>
      </c>
      <c r="W15" s="1">
        <f ca="1">IFERROR(__xludf.DUMMYFUNCTION("""COMPUTED_VALUE"""),500)</f>
        <v>500</v>
      </c>
      <c r="X15" s="1">
        <f ca="1">IFERROR(__xludf.DUMMYFUNCTION("""COMPUTED_VALUE"""),698)</f>
        <v>698</v>
      </c>
      <c r="Y15" s="1">
        <f ca="1">IFERROR(__xludf.DUMMYFUNCTION("""COMPUTED_VALUE"""),0.716)</f>
        <v>0.71599999999999997</v>
      </c>
      <c r="Z15" s="1">
        <f ca="1">IFERROR(__xludf.DUMMYFUNCTION("""COMPUTED_VALUE"""),296)</f>
        <v>296</v>
      </c>
      <c r="AA15" s="1">
        <f ca="1">IFERROR(__xludf.DUMMYFUNCTION("""COMPUTED_VALUE"""),1067)</f>
        <v>1067</v>
      </c>
      <c r="AB15" s="1">
        <f ca="1">IFERROR(__xludf.DUMMYFUNCTION("""COMPUTED_VALUE"""),450)</f>
        <v>450</v>
      </c>
      <c r="AC15" s="1">
        <f ca="1">IFERROR(__xludf.DUMMYFUNCTION("""COMPUTED_VALUE"""),211)</f>
        <v>211</v>
      </c>
      <c r="AD15" s="1">
        <f ca="1">IFERROR(__xludf.DUMMYFUNCTION("""COMPUTED_VALUE"""),109)</f>
        <v>109</v>
      </c>
      <c r="AE15" s="1">
        <f ca="1">IFERROR(__xludf.DUMMYFUNCTION("""COMPUTED_VALUE"""),463)</f>
        <v>463</v>
      </c>
      <c r="AF15" s="1">
        <f ca="1">IFERROR(__xludf.DUMMYFUNCTION("""COMPUTED_VALUE"""),555)</f>
        <v>555</v>
      </c>
    </row>
    <row r="16" spans="1:32" ht="15.75" customHeight="1" x14ac:dyDescent="0.25">
      <c r="A16" s="1" t="str">
        <f ca="1">IFERROR(__xludf.DUMMYFUNCTION("""COMPUTED_VALUE"""),"Arkansas-Pine Bluff")</f>
        <v>Arkansas-Pine Bluff</v>
      </c>
      <c r="B16" s="1">
        <f ca="1">IFERROR(__xludf.DUMMYFUNCTION("""COMPUTED_VALUE"""),29)</f>
        <v>29</v>
      </c>
      <c r="C16" s="1">
        <f ca="1">IFERROR(__xludf.DUMMYFUNCTION("""COMPUTED_VALUE"""),4)</f>
        <v>4</v>
      </c>
      <c r="D16" s="1">
        <f ca="1">IFERROR(__xludf.DUMMYFUNCTION("""COMPUTED_VALUE"""),25)</f>
        <v>25</v>
      </c>
      <c r="E16" s="1">
        <f ca="1">IFERROR(__xludf.DUMMYFUNCTION("""COMPUTED_VALUE"""),0.138)</f>
        <v>0.13800000000000001</v>
      </c>
      <c r="F16" s="1">
        <f ca="1">IFERROR(__xludf.DUMMYFUNCTION("""COMPUTED_VALUE"""),-21.27)</f>
        <v>-21.27</v>
      </c>
      <c r="G16" s="1">
        <f ca="1">IFERROR(__xludf.DUMMYFUNCTION("""COMPUTED_VALUE"""),-5.59)</f>
        <v>-5.59</v>
      </c>
      <c r="H16" s="1">
        <f ca="1">IFERROR(__xludf.DUMMYFUNCTION("""COMPUTED_VALUE"""),3)</f>
        <v>3</v>
      </c>
      <c r="I16" s="1">
        <f ca="1">IFERROR(__xludf.DUMMYFUNCTION("""COMPUTED_VALUE"""),14)</f>
        <v>14</v>
      </c>
      <c r="J16" s="1">
        <f ca="1">IFERROR(__xludf.DUMMYFUNCTION("""COMPUTED_VALUE"""),2)</f>
        <v>2</v>
      </c>
      <c r="K16" s="1">
        <f ca="1">IFERROR(__xludf.DUMMYFUNCTION("""COMPUTED_VALUE"""),7)</f>
        <v>7</v>
      </c>
      <c r="L16" s="1">
        <f ca="1">IFERROR(__xludf.DUMMYFUNCTION("""COMPUTED_VALUE"""),2)</f>
        <v>2</v>
      </c>
      <c r="M16" s="1">
        <f ca="1">IFERROR(__xludf.DUMMYFUNCTION("""COMPUTED_VALUE"""),18)</f>
        <v>18</v>
      </c>
      <c r="N16" s="1">
        <f ca="1">IFERROR(__xludf.DUMMYFUNCTION("""COMPUTED_VALUE"""),1544)</f>
        <v>1544</v>
      </c>
      <c r="O16" s="1">
        <f ca="1">IFERROR(__xludf.DUMMYFUNCTION("""COMPUTED_VALUE"""),1975)</f>
        <v>1975</v>
      </c>
      <c r="P16" s="1">
        <f ca="1">IFERROR(__xludf.DUMMYFUNCTION("""COMPUTED_VALUE"""),1165)</f>
        <v>1165</v>
      </c>
      <c r="Q16" s="1">
        <f ca="1">IFERROR(__xludf.DUMMYFUNCTION("""COMPUTED_VALUE"""),564)</f>
        <v>564</v>
      </c>
      <c r="R16" s="1">
        <f ca="1">IFERROR(__xludf.DUMMYFUNCTION("""COMPUTED_VALUE"""),1424)</f>
        <v>1424</v>
      </c>
      <c r="S16" s="1">
        <f ca="1">IFERROR(__xludf.DUMMYFUNCTION("""COMPUTED_VALUE"""),0.396)</f>
        <v>0.39600000000000002</v>
      </c>
      <c r="T16" s="1">
        <f ca="1">IFERROR(__xludf.DUMMYFUNCTION("""COMPUTED_VALUE"""),113)</f>
        <v>113</v>
      </c>
      <c r="U16" s="1">
        <f ca="1">IFERROR(__xludf.DUMMYFUNCTION("""COMPUTED_VALUE"""),414)</f>
        <v>414</v>
      </c>
      <c r="V16" s="1">
        <f ca="1">IFERROR(__xludf.DUMMYFUNCTION("""COMPUTED_VALUE"""),0.273)</f>
        <v>0.27300000000000002</v>
      </c>
      <c r="W16" s="1">
        <f ca="1">IFERROR(__xludf.DUMMYFUNCTION("""COMPUTED_VALUE"""),303)</f>
        <v>303</v>
      </c>
      <c r="X16" s="1">
        <f ca="1">IFERROR(__xludf.DUMMYFUNCTION("""COMPUTED_VALUE"""),522)</f>
        <v>522</v>
      </c>
      <c r="Y16" s="1">
        <f ca="1">IFERROR(__xludf.DUMMYFUNCTION("""COMPUTED_VALUE"""),0.58)</f>
        <v>0.57999999999999996</v>
      </c>
      <c r="Z16" s="1">
        <f ca="1">IFERROR(__xludf.DUMMYFUNCTION("""COMPUTED_VALUE"""),255)</f>
        <v>255</v>
      </c>
      <c r="AA16" s="1">
        <f ca="1">IFERROR(__xludf.DUMMYFUNCTION("""COMPUTED_VALUE"""),904)</f>
        <v>904</v>
      </c>
      <c r="AB16" s="1">
        <f ca="1">IFERROR(__xludf.DUMMYFUNCTION("""COMPUTED_VALUE"""),277)</f>
        <v>277</v>
      </c>
      <c r="AC16" s="1">
        <f ca="1">IFERROR(__xludf.DUMMYFUNCTION("""COMPUTED_VALUE"""),206)</f>
        <v>206</v>
      </c>
      <c r="AD16" s="1">
        <f ca="1">IFERROR(__xludf.DUMMYFUNCTION("""COMPUTED_VALUE"""),96)</f>
        <v>96</v>
      </c>
      <c r="AE16" s="1">
        <f ca="1">IFERROR(__xludf.DUMMYFUNCTION("""COMPUTED_VALUE"""),512)</f>
        <v>512</v>
      </c>
      <c r="AF16" s="1">
        <f ca="1">IFERROR(__xludf.DUMMYFUNCTION("""COMPUTED_VALUE"""),595)</f>
        <v>595</v>
      </c>
    </row>
    <row r="17" spans="1:32" ht="15.75" customHeight="1" x14ac:dyDescent="0.25">
      <c r="A17" s="1" t="str">
        <f ca="1">IFERROR(__xludf.DUMMYFUNCTION("""COMPUTED_VALUE"""),"Arkansas State")</f>
        <v>Arkansas State</v>
      </c>
      <c r="B17" s="1">
        <f ca="1">IFERROR(__xludf.DUMMYFUNCTION("""COMPUTED_VALUE"""),30)</f>
        <v>30</v>
      </c>
      <c r="C17" s="1">
        <f ca="1">IFERROR(__xludf.DUMMYFUNCTION("""COMPUTED_VALUE"""),15)</f>
        <v>15</v>
      </c>
      <c r="D17" s="1">
        <f ca="1">IFERROR(__xludf.DUMMYFUNCTION("""COMPUTED_VALUE"""),15)</f>
        <v>15</v>
      </c>
      <c r="E17" s="1">
        <f ca="1">IFERROR(__xludf.DUMMYFUNCTION("""COMPUTED_VALUE"""),0.5)</f>
        <v>0.5</v>
      </c>
      <c r="F17" s="1">
        <f ca="1">IFERROR(__xludf.DUMMYFUNCTION("""COMPUTED_VALUE"""),-2.73)</f>
        <v>-2.73</v>
      </c>
      <c r="G17" s="1">
        <f ca="1">IFERROR(__xludf.DUMMYFUNCTION("""COMPUTED_VALUE"""),-0.59)</f>
        <v>-0.59</v>
      </c>
      <c r="H17" s="1">
        <f ca="1">IFERROR(__xludf.DUMMYFUNCTION("""COMPUTED_VALUE"""),7)</f>
        <v>7</v>
      </c>
      <c r="I17" s="1">
        <f ca="1">IFERROR(__xludf.DUMMYFUNCTION("""COMPUTED_VALUE"""),12)</f>
        <v>12</v>
      </c>
      <c r="J17" s="1">
        <f ca="1">IFERROR(__xludf.DUMMYFUNCTION("""COMPUTED_VALUE"""),10)</f>
        <v>10</v>
      </c>
      <c r="K17" s="1">
        <f ca="1">IFERROR(__xludf.DUMMYFUNCTION("""COMPUTED_VALUE"""),7)</f>
        <v>7</v>
      </c>
      <c r="L17" s="1">
        <f ca="1">IFERROR(__xludf.DUMMYFUNCTION("""COMPUTED_VALUE"""),5)</f>
        <v>5</v>
      </c>
      <c r="M17" s="1">
        <f ca="1">IFERROR(__xludf.DUMMYFUNCTION("""COMPUTED_VALUE"""),8)</f>
        <v>8</v>
      </c>
      <c r="N17" s="1">
        <f ca="1">IFERROR(__xludf.DUMMYFUNCTION("""COMPUTED_VALUE"""),2120)</f>
        <v>2120</v>
      </c>
      <c r="O17" s="1">
        <f ca="1">IFERROR(__xludf.DUMMYFUNCTION("""COMPUTED_VALUE"""),2153)</f>
        <v>2153</v>
      </c>
      <c r="P17" s="1">
        <f ca="1">IFERROR(__xludf.DUMMYFUNCTION("""COMPUTED_VALUE"""),1210)</f>
        <v>1210</v>
      </c>
      <c r="Q17" s="1">
        <f ca="1">IFERROR(__xludf.DUMMYFUNCTION("""COMPUTED_VALUE"""),699)</f>
        <v>699</v>
      </c>
      <c r="R17" s="1">
        <f ca="1">IFERROR(__xludf.DUMMYFUNCTION("""COMPUTED_VALUE"""),1596)</f>
        <v>1596</v>
      </c>
      <c r="S17" s="1">
        <f ca="1">IFERROR(__xludf.DUMMYFUNCTION("""COMPUTED_VALUE"""),0.438)</f>
        <v>0.438</v>
      </c>
      <c r="T17" s="1">
        <f ca="1">IFERROR(__xludf.DUMMYFUNCTION("""COMPUTED_VALUE"""),173)</f>
        <v>173</v>
      </c>
      <c r="U17" s="1">
        <f ca="1">IFERROR(__xludf.DUMMYFUNCTION("""COMPUTED_VALUE"""),505)</f>
        <v>505</v>
      </c>
      <c r="V17" s="1">
        <f ca="1">IFERROR(__xludf.DUMMYFUNCTION("""COMPUTED_VALUE"""),0.343)</f>
        <v>0.34300000000000003</v>
      </c>
      <c r="W17" s="1">
        <f ca="1">IFERROR(__xludf.DUMMYFUNCTION("""COMPUTED_VALUE"""),549)</f>
        <v>549</v>
      </c>
      <c r="X17" s="1">
        <f ca="1">IFERROR(__xludf.DUMMYFUNCTION("""COMPUTED_VALUE"""),772)</f>
        <v>772</v>
      </c>
      <c r="Y17" s="1">
        <f ca="1">IFERROR(__xludf.DUMMYFUNCTION("""COMPUTED_VALUE"""),0.711)</f>
        <v>0.71099999999999997</v>
      </c>
      <c r="Z17" s="1">
        <f ca="1">IFERROR(__xludf.DUMMYFUNCTION("""COMPUTED_VALUE"""),295)</f>
        <v>295</v>
      </c>
      <c r="AA17" s="1">
        <f ca="1">IFERROR(__xludf.DUMMYFUNCTION("""COMPUTED_VALUE"""),980)</f>
        <v>980</v>
      </c>
      <c r="AB17" s="1">
        <f ca="1">IFERROR(__xludf.DUMMYFUNCTION("""COMPUTED_VALUE"""),422)</f>
        <v>422</v>
      </c>
      <c r="AC17" s="1">
        <f ca="1">IFERROR(__xludf.DUMMYFUNCTION("""COMPUTED_VALUE"""),201)</f>
        <v>201</v>
      </c>
      <c r="AD17" s="1">
        <f ca="1">IFERROR(__xludf.DUMMYFUNCTION("""COMPUTED_VALUE"""),81)</f>
        <v>81</v>
      </c>
      <c r="AE17" s="1">
        <f ca="1">IFERROR(__xludf.DUMMYFUNCTION("""COMPUTED_VALUE"""),389)</f>
        <v>389</v>
      </c>
      <c r="AF17" s="1">
        <f ca="1">IFERROR(__xludf.DUMMYFUNCTION("""COMPUTED_VALUE"""),616)</f>
        <v>616</v>
      </c>
    </row>
    <row r="18" spans="1:32" ht="15.75" customHeight="1" x14ac:dyDescent="0.25">
      <c r="A18" s="1" t="str">
        <f ca="1">IFERROR(__xludf.DUMMYFUNCTION("""COMPUTED_VALUE"""),"Arkansas")</f>
        <v>Arkansas</v>
      </c>
      <c r="B18" s="1">
        <f ca="1">IFERROR(__xludf.DUMMYFUNCTION("""COMPUTED_VALUE"""),29)</f>
        <v>29</v>
      </c>
      <c r="C18" s="1">
        <f ca="1">IFERROR(__xludf.DUMMYFUNCTION("""COMPUTED_VALUE"""),18)</f>
        <v>18</v>
      </c>
      <c r="D18" s="1">
        <f ca="1">IFERROR(__xludf.DUMMYFUNCTION("""COMPUTED_VALUE"""),11)</f>
        <v>11</v>
      </c>
      <c r="E18" s="1">
        <f ca="1">IFERROR(__xludf.DUMMYFUNCTION("""COMPUTED_VALUE"""),0.621)</f>
        <v>0.621</v>
      </c>
      <c r="F18" s="1">
        <f ca="1">IFERROR(__xludf.DUMMYFUNCTION("""COMPUTED_VALUE"""),13.62)</f>
        <v>13.62</v>
      </c>
      <c r="G18" s="1">
        <f ca="1">IFERROR(__xludf.DUMMYFUNCTION("""COMPUTED_VALUE"""),7.27)</f>
        <v>7.27</v>
      </c>
      <c r="H18" s="1">
        <f ca="1">IFERROR(__xludf.DUMMYFUNCTION("""COMPUTED_VALUE"""),6)</f>
        <v>6</v>
      </c>
      <c r="I18" s="1">
        <f ca="1">IFERROR(__xludf.DUMMYFUNCTION("""COMPUTED_VALUE"""),10)</f>
        <v>10</v>
      </c>
      <c r="J18" s="1">
        <f ca="1">IFERROR(__xludf.DUMMYFUNCTION("""COMPUTED_VALUE"""),13)</f>
        <v>13</v>
      </c>
      <c r="K18" s="1">
        <f ca="1">IFERROR(__xludf.DUMMYFUNCTION("""COMPUTED_VALUE"""),4)</f>
        <v>4</v>
      </c>
      <c r="L18" s="1">
        <f ca="1">IFERROR(__xludf.DUMMYFUNCTION("""COMPUTED_VALUE"""),4)</f>
        <v>4</v>
      </c>
      <c r="M18" s="1">
        <f ca="1">IFERROR(__xludf.DUMMYFUNCTION("""COMPUTED_VALUE"""),7)</f>
        <v>7</v>
      </c>
      <c r="N18" s="1">
        <f ca="1">IFERROR(__xludf.DUMMYFUNCTION("""COMPUTED_VALUE"""),2172)</f>
        <v>2172</v>
      </c>
      <c r="O18" s="1">
        <f ca="1">IFERROR(__xludf.DUMMYFUNCTION("""COMPUTED_VALUE"""),1988)</f>
        <v>1988</v>
      </c>
      <c r="P18" s="1">
        <f ca="1">IFERROR(__xludf.DUMMYFUNCTION("""COMPUTED_VALUE"""),1180)</f>
        <v>1180</v>
      </c>
      <c r="Q18" s="1">
        <f ca="1">IFERROR(__xludf.DUMMYFUNCTION("""COMPUTED_VALUE"""),733)</f>
        <v>733</v>
      </c>
      <c r="R18" s="1">
        <f ca="1">IFERROR(__xludf.DUMMYFUNCTION("""COMPUTED_VALUE"""),1667)</f>
        <v>1667</v>
      </c>
      <c r="S18" s="1">
        <f ca="1">IFERROR(__xludf.DUMMYFUNCTION("""COMPUTED_VALUE"""),0.44)</f>
        <v>0.44</v>
      </c>
      <c r="T18" s="1">
        <f ca="1">IFERROR(__xludf.DUMMYFUNCTION("""COMPUTED_VALUE"""),210)</f>
        <v>210</v>
      </c>
      <c r="U18" s="1">
        <f ca="1">IFERROR(__xludf.DUMMYFUNCTION("""COMPUTED_VALUE"""),647)</f>
        <v>647</v>
      </c>
      <c r="V18" s="1">
        <f ca="1">IFERROR(__xludf.DUMMYFUNCTION("""COMPUTED_VALUE"""),0.325)</f>
        <v>0.32500000000000001</v>
      </c>
      <c r="W18" s="1">
        <f ca="1">IFERROR(__xludf.DUMMYFUNCTION("""COMPUTED_VALUE"""),496)</f>
        <v>496</v>
      </c>
      <c r="X18" s="1">
        <f ca="1">IFERROR(__xludf.DUMMYFUNCTION("""COMPUTED_VALUE"""),676)</f>
        <v>676</v>
      </c>
      <c r="Y18" s="1">
        <f ca="1">IFERROR(__xludf.DUMMYFUNCTION("""COMPUTED_VALUE"""),0.734)</f>
        <v>0.73399999999999999</v>
      </c>
      <c r="Z18" s="1">
        <f ca="1">IFERROR(__xludf.DUMMYFUNCTION("""COMPUTED_VALUE"""),220)</f>
        <v>220</v>
      </c>
      <c r="AA18" s="1">
        <f ca="1">IFERROR(__xludf.DUMMYFUNCTION("""COMPUTED_VALUE"""),916)</f>
        <v>916</v>
      </c>
      <c r="AB18" s="1">
        <f ca="1">IFERROR(__xludf.DUMMYFUNCTION("""COMPUTED_VALUE"""),337)</f>
        <v>337</v>
      </c>
      <c r="AC18" s="1">
        <f ca="1">IFERROR(__xludf.DUMMYFUNCTION("""COMPUTED_VALUE"""),238)</f>
        <v>238</v>
      </c>
      <c r="AD18" s="1">
        <f ca="1">IFERROR(__xludf.DUMMYFUNCTION("""COMPUTED_VALUE"""),105)</f>
        <v>105</v>
      </c>
      <c r="AE18" s="1">
        <f ca="1">IFERROR(__xludf.DUMMYFUNCTION("""COMPUTED_VALUE"""),335)</f>
        <v>335</v>
      </c>
      <c r="AF18" s="1">
        <f ca="1">IFERROR(__xludf.DUMMYFUNCTION("""COMPUTED_VALUE"""),574)</f>
        <v>574</v>
      </c>
    </row>
    <row r="19" spans="1:32" x14ac:dyDescent="0.25">
      <c r="A19" s="1" t="str">
        <f ca="1">IFERROR(__xludf.DUMMYFUNCTION("""COMPUTED_VALUE"""),"Army")</f>
        <v>Army</v>
      </c>
      <c r="B19" s="1">
        <f ca="1">IFERROR(__xludf.DUMMYFUNCTION("""COMPUTED_VALUE"""),29)</f>
        <v>29</v>
      </c>
      <c r="C19" s="1">
        <f ca="1">IFERROR(__xludf.DUMMYFUNCTION("""COMPUTED_VALUE"""),15)</f>
        <v>15</v>
      </c>
      <c r="D19" s="1">
        <f ca="1">IFERROR(__xludf.DUMMYFUNCTION("""COMPUTED_VALUE"""),14)</f>
        <v>14</v>
      </c>
      <c r="E19" s="1">
        <f ca="1">IFERROR(__xludf.DUMMYFUNCTION("""COMPUTED_VALUE"""),0.517)</f>
        <v>0.51700000000000002</v>
      </c>
      <c r="F19" s="1">
        <f ca="1">IFERROR(__xludf.DUMMYFUNCTION("""COMPUTED_VALUE"""),-8.94)</f>
        <v>-8.94</v>
      </c>
      <c r="G19" s="1">
        <f ca="1">IFERROR(__xludf.DUMMYFUNCTION("""COMPUTED_VALUE"""),-6.62)</f>
        <v>-6.62</v>
      </c>
      <c r="H19" s="1">
        <f ca="1">IFERROR(__xludf.DUMMYFUNCTION("""COMPUTED_VALUE"""),10)</f>
        <v>10</v>
      </c>
      <c r="I19" s="1">
        <f ca="1">IFERROR(__xludf.DUMMYFUNCTION("""COMPUTED_VALUE"""),8)</f>
        <v>8</v>
      </c>
      <c r="J19" s="1">
        <f ca="1">IFERROR(__xludf.DUMMYFUNCTION("""COMPUTED_VALUE"""),9)</f>
        <v>9</v>
      </c>
      <c r="K19" s="1">
        <f ca="1">IFERROR(__xludf.DUMMYFUNCTION("""COMPUTED_VALUE"""),5)</f>
        <v>5</v>
      </c>
      <c r="L19" s="1">
        <f ca="1">IFERROR(__xludf.DUMMYFUNCTION("""COMPUTED_VALUE"""),6)</f>
        <v>6</v>
      </c>
      <c r="M19" s="1">
        <f ca="1">IFERROR(__xludf.DUMMYFUNCTION("""COMPUTED_VALUE"""),9)</f>
        <v>9</v>
      </c>
      <c r="N19" s="1">
        <f ca="1">IFERROR(__xludf.DUMMYFUNCTION("""COMPUTED_VALUE"""),2060)</f>
        <v>2060</v>
      </c>
      <c r="O19" s="1">
        <f ca="1">IFERROR(__xludf.DUMMYFUNCTION("""COMPUTED_VALUE"""),2088)</f>
        <v>2088</v>
      </c>
      <c r="P19" s="1">
        <f ca="1">IFERROR(__xludf.DUMMYFUNCTION("""COMPUTED_VALUE"""),1170)</f>
        <v>1170</v>
      </c>
      <c r="Q19" s="1">
        <f ca="1">IFERROR(__xludf.DUMMYFUNCTION("""COMPUTED_VALUE"""),793)</f>
        <v>793</v>
      </c>
      <c r="R19" s="1">
        <f ca="1">IFERROR(__xludf.DUMMYFUNCTION("""COMPUTED_VALUE"""),1674)</f>
        <v>1674</v>
      </c>
      <c r="S19" s="1">
        <f ca="1">IFERROR(__xludf.DUMMYFUNCTION("""COMPUTED_VALUE"""),0.474)</f>
        <v>0.47399999999999998</v>
      </c>
      <c r="T19" s="1">
        <f ca="1">IFERROR(__xludf.DUMMYFUNCTION("""COMPUTED_VALUE"""),206)</f>
        <v>206</v>
      </c>
      <c r="U19" s="1">
        <f ca="1">IFERROR(__xludf.DUMMYFUNCTION("""COMPUTED_VALUE"""),622)</f>
        <v>622</v>
      </c>
      <c r="V19" s="1">
        <f ca="1">IFERROR(__xludf.DUMMYFUNCTION("""COMPUTED_VALUE"""),0.331)</f>
        <v>0.33100000000000002</v>
      </c>
      <c r="W19" s="1">
        <f ca="1">IFERROR(__xludf.DUMMYFUNCTION("""COMPUTED_VALUE"""),268)</f>
        <v>268</v>
      </c>
      <c r="X19" s="1">
        <f ca="1">IFERROR(__xludf.DUMMYFUNCTION("""COMPUTED_VALUE"""),433)</f>
        <v>433</v>
      </c>
      <c r="Y19" s="1">
        <f ca="1">IFERROR(__xludf.DUMMYFUNCTION("""COMPUTED_VALUE"""),0.619)</f>
        <v>0.61899999999999999</v>
      </c>
      <c r="Z19" s="1">
        <f ca="1">IFERROR(__xludf.DUMMYFUNCTION("""COMPUTED_VALUE"""),190)</f>
        <v>190</v>
      </c>
      <c r="AA19" s="1">
        <f ca="1">IFERROR(__xludf.DUMMYFUNCTION("""COMPUTED_VALUE"""),982)</f>
        <v>982</v>
      </c>
      <c r="AB19" s="1">
        <f ca="1">IFERROR(__xludf.DUMMYFUNCTION("""COMPUTED_VALUE"""),472)</f>
        <v>472</v>
      </c>
      <c r="AC19" s="1">
        <f ca="1">IFERROR(__xludf.DUMMYFUNCTION("""COMPUTED_VALUE"""),162)</f>
        <v>162</v>
      </c>
      <c r="AD19" s="1">
        <f ca="1">IFERROR(__xludf.DUMMYFUNCTION("""COMPUTED_VALUE"""),48)</f>
        <v>48</v>
      </c>
      <c r="AE19" s="1">
        <f ca="1">IFERROR(__xludf.DUMMYFUNCTION("""COMPUTED_VALUE"""),346)</f>
        <v>346</v>
      </c>
      <c r="AF19" s="1">
        <f ca="1">IFERROR(__xludf.DUMMYFUNCTION("""COMPUTED_VALUE"""),432)</f>
        <v>432</v>
      </c>
    </row>
    <row r="20" spans="1:32" x14ac:dyDescent="0.25">
      <c r="A20" s="1" t="str">
        <f ca="1">IFERROR(__xludf.DUMMYFUNCTION("""COMPUTED_VALUE"""),"Auburn")</f>
        <v>Auburn</v>
      </c>
      <c r="B20" s="1">
        <f ca="1">IFERROR(__xludf.DUMMYFUNCTION("""COMPUTED_VALUE"""),29)</f>
        <v>29</v>
      </c>
      <c r="C20" s="1">
        <f ca="1">IFERROR(__xludf.DUMMYFUNCTION("""COMPUTED_VALUE"""),24)</f>
        <v>24</v>
      </c>
      <c r="D20" s="1">
        <f ca="1">IFERROR(__xludf.DUMMYFUNCTION("""COMPUTED_VALUE"""),5)</f>
        <v>5</v>
      </c>
      <c r="E20" s="1">
        <f ca="1">IFERROR(__xludf.DUMMYFUNCTION("""COMPUTED_VALUE"""),0.828)</f>
        <v>0.82799999999999996</v>
      </c>
      <c r="F20" s="1">
        <f ca="1">IFERROR(__xludf.DUMMYFUNCTION("""COMPUTED_VALUE"""),14.91)</f>
        <v>14.91</v>
      </c>
      <c r="G20" s="1">
        <f ca="1">IFERROR(__xludf.DUMMYFUNCTION("""COMPUTED_VALUE"""),7.39)</f>
        <v>7.39</v>
      </c>
      <c r="H20" s="1">
        <f ca="1">IFERROR(__xludf.DUMMYFUNCTION("""COMPUTED_VALUE"""),11)</f>
        <v>11</v>
      </c>
      <c r="I20" s="1">
        <f ca="1">IFERROR(__xludf.DUMMYFUNCTION("""COMPUTED_VALUE"""),5)</f>
        <v>5</v>
      </c>
      <c r="J20" s="1">
        <f ca="1">IFERROR(__xludf.DUMMYFUNCTION("""COMPUTED_VALUE"""),16)</f>
        <v>16</v>
      </c>
      <c r="K20" s="1">
        <f ca="1">IFERROR(__xludf.DUMMYFUNCTION("""COMPUTED_VALUE"""),0)</f>
        <v>0</v>
      </c>
      <c r="L20" s="1">
        <f ca="1">IFERROR(__xludf.DUMMYFUNCTION("""COMPUTED_VALUE"""),4)</f>
        <v>4</v>
      </c>
      <c r="M20" s="1">
        <f ca="1">IFERROR(__xludf.DUMMYFUNCTION("""COMPUTED_VALUE"""),5)</f>
        <v>5</v>
      </c>
      <c r="N20" s="1">
        <f ca="1">IFERROR(__xludf.DUMMYFUNCTION("""COMPUTED_VALUE"""),2259)</f>
        <v>2259</v>
      </c>
      <c r="O20" s="1">
        <f ca="1">IFERROR(__xludf.DUMMYFUNCTION("""COMPUTED_VALUE"""),2041)</f>
        <v>2041</v>
      </c>
      <c r="P20" s="1">
        <f ca="1">IFERROR(__xludf.DUMMYFUNCTION("""COMPUTED_VALUE"""),1190)</f>
        <v>1190</v>
      </c>
      <c r="Q20" s="1">
        <f ca="1">IFERROR(__xludf.DUMMYFUNCTION("""COMPUTED_VALUE"""),754)</f>
        <v>754</v>
      </c>
      <c r="R20" s="1">
        <f ca="1">IFERROR(__xludf.DUMMYFUNCTION("""COMPUTED_VALUE"""),1752)</f>
        <v>1752</v>
      </c>
      <c r="S20" s="1">
        <f ca="1">IFERROR(__xludf.DUMMYFUNCTION("""COMPUTED_VALUE"""),0.43)</f>
        <v>0.43</v>
      </c>
      <c r="T20" s="1">
        <f ca="1">IFERROR(__xludf.DUMMYFUNCTION("""COMPUTED_VALUE"""),228)</f>
        <v>228</v>
      </c>
      <c r="U20" s="1">
        <f ca="1">IFERROR(__xludf.DUMMYFUNCTION("""COMPUTED_VALUE"""),762)</f>
        <v>762</v>
      </c>
      <c r="V20" s="1">
        <f ca="1">IFERROR(__xludf.DUMMYFUNCTION("""COMPUTED_VALUE"""),0.299)</f>
        <v>0.29899999999999999</v>
      </c>
      <c r="W20" s="1">
        <f ca="1">IFERROR(__xludf.DUMMYFUNCTION("""COMPUTED_VALUE"""),523)</f>
        <v>523</v>
      </c>
      <c r="X20" s="1">
        <f ca="1">IFERROR(__xludf.DUMMYFUNCTION("""COMPUTED_VALUE"""),781)</f>
        <v>781</v>
      </c>
      <c r="Y20" s="1">
        <f ca="1">IFERROR(__xludf.DUMMYFUNCTION("""COMPUTED_VALUE"""),0.67)</f>
        <v>0.67</v>
      </c>
      <c r="Z20" s="1">
        <f ca="1">IFERROR(__xludf.DUMMYFUNCTION("""COMPUTED_VALUE"""),399)</f>
        <v>399</v>
      </c>
      <c r="AA20" s="1">
        <f ca="1">IFERROR(__xludf.DUMMYFUNCTION("""COMPUTED_VALUE"""),1191)</f>
        <v>1191</v>
      </c>
      <c r="AB20" s="1">
        <f ca="1">IFERROR(__xludf.DUMMYFUNCTION("""COMPUTED_VALUE"""),369)</f>
        <v>369</v>
      </c>
      <c r="AC20" s="1">
        <f ca="1">IFERROR(__xludf.DUMMYFUNCTION("""COMPUTED_VALUE"""),184)</f>
        <v>184</v>
      </c>
      <c r="AD20" s="1">
        <f ca="1">IFERROR(__xludf.DUMMYFUNCTION("""COMPUTED_VALUE"""),141)</f>
        <v>141</v>
      </c>
      <c r="AE20" s="1">
        <f ca="1">IFERROR(__xludf.DUMMYFUNCTION("""COMPUTED_VALUE"""),371)</f>
        <v>371</v>
      </c>
      <c r="AF20" s="1">
        <f ca="1">IFERROR(__xludf.DUMMYFUNCTION("""COMPUTED_VALUE"""),552)</f>
        <v>552</v>
      </c>
    </row>
    <row r="21" spans="1:32" x14ac:dyDescent="0.25">
      <c r="A21" s="1" t="str">
        <f ca="1">IFERROR(__xludf.DUMMYFUNCTION("""COMPUTED_VALUE"""),"Austin Peay")</f>
        <v>Austin Peay</v>
      </c>
      <c r="B21" s="1">
        <f ca="1">IFERROR(__xludf.DUMMYFUNCTION("""COMPUTED_VALUE"""),31)</f>
        <v>31</v>
      </c>
      <c r="C21" s="1">
        <f ca="1">IFERROR(__xludf.DUMMYFUNCTION("""COMPUTED_VALUE"""),20)</f>
        <v>20</v>
      </c>
      <c r="D21" s="1">
        <f ca="1">IFERROR(__xludf.DUMMYFUNCTION("""COMPUTED_VALUE"""),11)</f>
        <v>11</v>
      </c>
      <c r="E21" s="1">
        <f ca="1">IFERROR(__xludf.DUMMYFUNCTION("""COMPUTED_VALUE"""),0.645)</f>
        <v>0.64500000000000002</v>
      </c>
      <c r="F21" s="1">
        <f ca="1">IFERROR(__xludf.DUMMYFUNCTION("""COMPUTED_VALUE"""),-0.84)</f>
        <v>-0.84</v>
      </c>
      <c r="G21" s="1">
        <f ca="1">IFERROR(__xludf.DUMMYFUNCTION("""COMPUTED_VALUE"""),-4.25)</f>
        <v>-4.25</v>
      </c>
      <c r="H21" s="1">
        <f ca="1">IFERROR(__xludf.DUMMYFUNCTION("""COMPUTED_VALUE"""),14)</f>
        <v>14</v>
      </c>
      <c r="I21" s="1">
        <f ca="1">IFERROR(__xludf.DUMMYFUNCTION("""COMPUTED_VALUE"""),4)</f>
        <v>4</v>
      </c>
      <c r="J21" s="1">
        <f ca="1">IFERROR(__xludf.DUMMYFUNCTION("""COMPUTED_VALUE"""),14)</f>
        <v>14</v>
      </c>
      <c r="K21" s="1">
        <f ca="1">IFERROR(__xludf.DUMMYFUNCTION("""COMPUTED_VALUE"""),0)</f>
        <v>0</v>
      </c>
      <c r="L21" s="1">
        <f ca="1">IFERROR(__xludf.DUMMYFUNCTION("""COMPUTED_VALUE"""),5)</f>
        <v>5</v>
      </c>
      <c r="M21" s="1">
        <f ca="1">IFERROR(__xludf.DUMMYFUNCTION("""COMPUTED_VALUE"""),10)</f>
        <v>10</v>
      </c>
      <c r="N21" s="1">
        <f ca="1">IFERROR(__xludf.DUMMYFUNCTION("""COMPUTED_VALUE"""),2382)</f>
        <v>2382</v>
      </c>
      <c r="O21" s="1">
        <f ca="1">IFERROR(__xludf.DUMMYFUNCTION("""COMPUTED_VALUE"""),2221)</f>
        <v>2221</v>
      </c>
      <c r="P21" s="1">
        <f ca="1">IFERROR(__xludf.DUMMYFUNCTION("""COMPUTED_VALUE"""),1245)</f>
        <v>1245</v>
      </c>
      <c r="Q21" s="1">
        <f ca="1">IFERROR(__xludf.DUMMYFUNCTION("""COMPUTED_VALUE"""),839)</f>
        <v>839</v>
      </c>
      <c r="R21" s="1">
        <f ca="1">IFERROR(__xludf.DUMMYFUNCTION("""COMPUTED_VALUE"""),1827)</f>
        <v>1827</v>
      </c>
      <c r="S21" s="1">
        <f ca="1">IFERROR(__xludf.DUMMYFUNCTION("""COMPUTED_VALUE"""),0.459)</f>
        <v>0.45900000000000002</v>
      </c>
      <c r="T21" s="1">
        <f ca="1">IFERROR(__xludf.DUMMYFUNCTION("""COMPUTED_VALUE"""),210)</f>
        <v>210</v>
      </c>
      <c r="U21" s="1">
        <f ca="1">IFERROR(__xludf.DUMMYFUNCTION("""COMPUTED_VALUE"""),614)</f>
        <v>614</v>
      </c>
      <c r="V21" s="1">
        <f ca="1">IFERROR(__xludf.DUMMYFUNCTION("""COMPUTED_VALUE"""),0.342)</f>
        <v>0.34200000000000003</v>
      </c>
      <c r="W21" s="1">
        <f ca="1">IFERROR(__xludf.DUMMYFUNCTION("""COMPUTED_VALUE"""),494)</f>
        <v>494</v>
      </c>
      <c r="X21" s="1">
        <f ca="1">IFERROR(__xludf.DUMMYFUNCTION("""COMPUTED_VALUE"""),683)</f>
        <v>683</v>
      </c>
      <c r="Y21" s="1">
        <f ca="1">IFERROR(__xludf.DUMMYFUNCTION("""COMPUTED_VALUE"""),0.723)</f>
        <v>0.72299999999999998</v>
      </c>
      <c r="Z21" s="1">
        <f ca="1">IFERROR(__xludf.DUMMYFUNCTION("""COMPUTED_VALUE"""),372)</f>
        <v>372</v>
      </c>
      <c r="AA21" s="1">
        <f ca="1">IFERROR(__xludf.DUMMYFUNCTION("""COMPUTED_VALUE"""),1112)</f>
        <v>1112</v>
      </c>
      <c r="AB21" s="1">
        <f ca="1">IFERROR(__xludf.DUMMYFUNCTION("""COMPUTED_VALUE"""),403)</f>
        <v>403</v>
      </c>
      <c r="AC21" s="1">
        <f ca="1">IFERROR(__xludf.DUMMYFUNCTION("""COMPUTED_VALUE"""),206)</f>
        <v>206</v>
      </c>
      <c r="AD21" s="1">
        <f ca="1">IFERROR(__xludf.DUMMYFUNCTION("""COMPUTED_VALUE"""),96)</f>
        <v>96</v>
      </c>
      <c r="AE21" s="1">
        <f ca="1">IFERROR(__xludf.DUMMYFUNCTION("""COMPUTED_VALUE"""),399)</f>
        <v>399</v>
      </c>
      <c r="AF21" s="1">
        <f ca="1">IFERROR(__xludf.DUMMYFUNCTION("""COMPUTED_VALUE"""),565)</f>
        <v>565</v>
      </c>
    </row>
    <row r="22" spans="1:32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x14ac:dyDescent="0.25">
      <c r="A24" s="1" t="str">
        <f ca="1">IFERROR(__xludf.DUMMYFUNCTION("""COMPUTED_VALUE"""),"Ball State")</f>
        <v>Ball State</v>
      </c>
      <c r="B24" s="1">
        <f ca="1">IFERROR(__xludf.DUMMYFUNCTION("""COMPUTED_VALUE"""),29)</f>
        <v>29</v>
      </c>
      <c r="C24" s="1">
        <f ca="1">IFERROR(__xludf.DUMMYFUNCTION("""COMPUTED_VALUE"""),16)</f>
        <v>16</v>
      </c>
      <c r="D24" s="1">
        <f ca="1">IFERROR(__xludf.DUMMYFUNCTION("""COMPUTED_VALUE"""),13)</f>
        <v>13</v>
      </c>
      <c r="E24" s="1">
        <f ca="1">IFERROR(__xludf.DUMMYFUNCTION("""COMPUTED_VALUE"""),0.552)</f>
        <v>0.55200000000000005</v>
      </c>
      <c r="F24" s="1">
        <f ca="1">IFERROR(__xludf.DUMMYFUNCTION("""COMPUTED_VALUE"""),3.33)</f>
        <v>3.33</v>
      </c>
      <c r="G24" s="1">
        <f ca="1">IFERROR(__xludf.DUMMYFUNCTION("""COMPUTED_VALUE"""),-1.49)</f>
        <v>-1.49</v>
      </c>
      <c r="H24" s="1">
        <f ca="1">IFERROR(__xludf.DUMMYFUNCTION("""COMPUTED_VALUE"""),9)</f>
        <v>9</v>
      </c>
      <c r="I24" s="1">
        <f ca="1">IFERROR(__xludf.DUMMYFUNCTION("""COMPUTED_VALUE"""),7)</f>
        <v>7</v>
      </c>
      <c r="J24" s="1">
        <f ca="1">IFERROR(__xludf.DUMMYFUNCTION("""COMPUTED_VALUE"""),10)</f>
        <v>10</v>
      </c>
      <c r="K24" s="1">
        <f ca="1">IFERROR(__xludf.DUMMYFUNCTION("""COMPUTED_VALUE"""),4)</f>
        <v>4</v>
      </c>
      <c r="L24" s="1">
        <f ca="1">IFERROR(__xludf.DUMMYFUNCTION("""COMPUTED_VALUE"""),4)</f>
        <v>4</v>
      </c>
      <c r="M24" s="1">
        <f ca="1">IFERROR(__xludf.DUMMYFUNCTION("""COMPUTED_VALUE"""),7)</f>
        <v>7</v>
      </c>
      <c r="N24" s="1">
        <f ca="1">IFERROR(__xludf.DUMMYFUNCTION("""COMPUTED_VALUE"""),1995)</f>
        <v>1995</v>
      </c>
      <c r="O24" s="1">
        <f ca="1">IFERROR(__xludf.DUMMYFUNCTION("""COMPUTED_VALUE"""),1816)</f>
        <v>1816</v>
      </c>
      <c r="P24" s="1">
        <f ca="1">IFERROR(__xludf.DUMMYFUNCTION("""COMPUTED_VALUE"""),1160)</f>
        <v>1160</v>
      </c>
      <c r="Q24" s="1">
        <f ca="1">IFERROR(__xludf.DUMMYFUNCTION("""COMPUTED_VALUE"""),702)</f>
        <v>702</v>
      </c>
      <c r="R24" s="1">
        <f ca="1">IFERROR(__xludf.DUMMYFUNCTION("""COMPUTED_VALUE"""),1653)</f>
        <v>1653</v>
      </c>
      <c r="S24" s="1">
        <f ca="1">IFERROR(__xludf.DUMMYFUNCTION("""COMPUTED_VALUE"""),0.425)</f>
        <v>0.42499999999999999</v>
      </c>
      <c r="T24" s="1">
        <f ca="1">IFERROR(__xludf.DUMMYFUNCTION("""COMPUTED_VALUE"""),262)</f>
        <v>262</v>
      </c>
      <c r="U24" s="1">
        <f ca="1">IFERROR(__xludf.DUMMYFUNCTION("""COMPUTED_VALUE"""),787)</f>
        <v>787</v>
      </c>
      <c r="V24" s="1">
        <f ca="1">IFERROR(__xludf.DUMMYFUNCTION("""COMPUTED_VALUE"""),0.333)</f>
        <v>0.33300000000000002</v>
      </c>
      <c r="W24" s="1">
        <f ca="1">IFERROR(__xludf.DUMMYFUNCTION("""COMPUTED_VALUE"""),329)</f>
        <v>329</v>
      </c>
      <c r="X24" s="1">
        <f ca="1">IFERROR(__xludf.DUMMYFUNCTION("""COMPUTED_VALUE"""),486)</f>
        <v>486</v>
      </c>
      <c r="Y24" s="1">
        <f ca="1">IFERROR(__xludf.DUMMYFUNCTION("""COMPUTED_VALUE"""),0.677)</f>
        <v>0.67700000000000005</v>
      </c>
      <c r="Z24" s="1">
        <f ca="1">IFERROR(__xludf.DUMMYFUNCTION("""COMPUTED_VALUE"""),252)</f>
        <v>252</v>
      </c>
      <c r="AA24" s="1">
        <f ca="1">IFERROR(__xludf.DUMMYFUNCTION("""COMPUTED_VALUE"""),1032)</f>
        <v>1032</v>
      </c>
      <c r="AB24" s="1">
        <f ca="1">IFERROR(__xludf.DUMMYFUNCTION("""COMPUTED_VALUE"""),391)</f>
        <v>391</v>
      </c>
      <c r="AC24" s="1">
        <f ca="1">IFERROR(__xludf.DUMMYFUNCTION("""COMPUTED_VALUE"""),198)</f>
        <v>198</v>
      </c>
      <c r="AD24" s="1">
        <f ca="1">IFERROR(__xludf.DUMMYFUNCTION("""COMPUTED_VALUE"""),97)</f>
        <v>97</v>
      </c>
      <c r="AE24" s="1">
        <f ca="1">IFERROR(__xludf.DUMMYFUNCTION("""COMPUTED_VALUE"""),377)</f>
        <v>377</v>
      </c>
      <c r="AF24" s="1">
        <f ca="1">IFERROR(__xludf.DUMMYFUNCTION("""COMPUTED_VALUE"""),459)</f>
        <v>459</v>
      </c>
    </row>
    <row r="25" spans="1:32" x14ac:dyDescent="0.25">
      <c r="A25" s="1" t="str">
        <f ca="1">IFERROR(__xludf.DUMMYFUNCTION("""COMPUTED_VALUE"""),"Baylor")</f>
        <v>Baylor</v>
      </c>
      <c r="B25" s="1">
        <f ca="1">IFERROR(__xludf.DUMMYFUNCTION("""COMPUTED_VALUE"""),29)</f>
        <v>29</v>
      </c>
      <c r="C25" s="1">
        <f ca="1">IFERROR(__xludf.DUMMYFUNCTION("""COMPUTED_VALUE"""),26)</f>
        <v>26</v>
      </c>
      <c r="D25" s="1">
        <f ca="1">IFERROR(__xludf.DUMMYFUNCTION("""COMPUTED_VALUE"""),3)</f>
        <v>3</v>
      </c>
      <c r="E25" s="1">
        <f ca="1">IFERROR(__xludf.DUMMYFUNCTION("""COMPUTED_VALUE"""),0.897)</f>
        <v>0.89700000000000002</v>
      </c>
      <c r="F25" s="1">
        <f ca="1">IFERROR(__xludf.DUMMYFUNCTION("""COMPUTED_VALUE"""),20.65)</f>
        <v>20.65</v>
      </c>
      <c r="G25" s="1">
        <f ca="1">IFERROR(__xludf.DUMMYFUNCTION("""COMPUTED_VALUE"""),8.86)</f>
        <v>8.86</v>
      </c>
      <c r="H25" s="1">
        <f ca="1">IFERROR(__xludf.DUMMYFUNCTION("""COMPUTED_VALUE"""),15)</f>
        <v>15</v>
      </c>
      <c r="I25" s="1">
        <f ca="1">IFERROR(__xludf.DUMMYFUNCTION("""COMPUTED_VALUE"""),2)</f>
        <v>2</v>
      </c>
      <c r="J25" s="1">
        <f ca="1">IFERROR(__xludf.DUMMYFUNCTION("""COMPUTED_VALUE"""),14)</f>
        <v>14</v>
      </c>
      <c r="K25" s="1">
        <f ca="1">IFERROR(__xludf.DUMMYFUNCTION("""COMPUTED_VALUE"""),1)</f>
        <v>1</v>
      </c>
      <c r="L25" s="1">
        <f ca="1">IFERROR(__xludf.DUMMYFUNCTION("""COMPUTED_VALUE"""),8)</f>
        <v>8</v>
      </c>
      <c r="M25" s="1">
        <f ca="1">IFERROR(__xludf.DUMMYFUNCTION("""COMPUTED_VALUE"""),1)</f>
        <v>1</v>
      </c>
      <c r="N25" s="1">
        <f ca="1">IFERROR(__xludf.DUMMYFUNCTION("""COMPUTED_VALUE"""),2070)</f>
        <v>2070</v>
      </c>
      <c r="O25" s="1">
        <f ca="1">IFERROR(__xludf.DUMMYFUNCTION("""COMPUTED_VALUE"""),1728)</f>
        <v>1728</v>
      </c>
      <c r="P25" s="1">
        <f ca="1">IFERROR(__xludf.DUMMYFUNCTION("""COMPUTED_VALUE"""),1165)</f>
        <v>1165</v>
      </c>
      <c r="Q25" s="1">
        <f ca="1">IFERROR(__xludf.DUMMYFUNCTION("""COMPUTED_VALUE"""),738)</f>
        <v>738</v>
      </c>
      <c r="R25" s="1">
        <f ca="1">IFERROR(__xludf.DUMMYFUNCTION("""COMPUTED_VALUE"""),1719)</f>
        <v>1719</v>
      </c>
      <c r="S25" s="1">
        <f ca="1">IFERROR(__xludf.DUMMYFUNCTION("""COMPUTED_VALUE"""),0.429)</f>
        <v>0.42899999999999999</v>
      </c>
      <c r="T25" s="1">
        <f ca="1">IFERROR(__xludf.DUMMYFUNCTION("""COMPUTED_VALUE"""),226)</f>
        <v>226</v>
      </c>
      <c r="U25" s="1">
        <f ca="1">IFERROR(__xludf.DUMMYFUNCTION("""COMPUTED_VALUE"""),638)</f>
        <v>638</v>
      </c>
      <c r="V25" s="1">
        <f ca="1">IFERROR(__xludf.DUMMYFUNCTION("""COMPUTED_VALUE"""),0.354)</f>
        <v>0.35399999999999998</v>
      </c>
      <c r="W25" s="1">
        <f ca="1">IFERROR(__xludf.DUMMYFUNCTION("""COMPUTED_VALUE"""),368)</f>
        <v>368</v>
      </c>
      <c r="X25" s="1">
        <f ca="1">IFERROR(__xludf.DUMMYFUNCTION("""COMPUTED_VALUE"""),531)</f>
        <v>531</v>
      </c>
      <c r="Y25" s="1">
        <f ca="1">IFERROR(__xludf.DUMMYFUNCTION("""COMPUTED_VALUE"""),0.693)</f>
        <v>0.69299999999999995</v>
      </c>
      <c r="Z25" s="1">
        <f ca="1">IFERROR(__xludf.DUMMYFUNCTION("""COMPUTED_VALUE"""),376)</f>
        <v>376</v>
      </c>
      <c r="AA25" s="1">
        <f ca="1">IFERROR(__xludf.DUMMYFUNCTION("""COMPUTED_VALUE"""),1078)</f>
        <v>1078</v>
      </c>
      <c r="AB25" s="1">
        <f ca="1">IFERROR(__xludf.DUMMYFUNCTION("""COMPUTED_VALUE"""),404)</f>
        <v>404</v>
      </c>
      <c r="AC25" s="1">
        <f ca="1">IFERROR(__xludf.DUMMYFUNCTION("""COMPUTED_VALUE"""),235)</f>
        <v>235</v>
      </c>
      <c r="AD25" s="1">
        <f ca="1">IFERROR(__xludf.DUMMYFUNCTION("""COMPUTED_VALUE"""),130)</f>
        <v>130</v>
      </c>
      <c r="AE25" s="1">
        <f ca="1">IFERROR(__xludf.DUMMYFUNCTION("""COMPUTED_VALUE"""),341)</f>
        <v>341</v>
      </c>
      <c r="AF25" s="1">
        <f ca="1">IFERROR(__xludf.DUMMYFUNCTION("""COMPUTED_VALUE"""),481)</f>
        <v>481</v>
      </c>
    </row>
    <row r="26" spans="1:32" x14ac:dyDescent="0.25">
      <c r="A26" s="1" t="str">
        <f ca="1">IFERROR(__xludf.DUMMYFUNCTION("""COMPUTED_VALUE"""),"Belmont")</f>
        <v>Belmont</v>
      </c>
      <c r="B26" s="1">
        <f ca="1">IFERROR(__xludf.DUMMYFUNCTION("""COMPUTED_VALUE"""),31)</f>
        <v>31</v>
      </c>
      <c r="C26" s="1">
        <f ca="1">IFERROR(__xludf.DUMMYFUNCTION("""COMPUTED_VALUE"""),24)</f>
        <v>24</v>
      </c>
      <c r="D26" s="1">
        <f ca="1">IFERROR(__xludf.DUMMYFUNCTION("""COMPUTED_VALUE"""),7)</f>
        <v>7</v>
      </c>
      <c r="E26" s="1">
        <f ca="1">IFERROR(__xludf.DUMMYFUNCTION("""COMPUTED_VALUE"""),0.774)</f>
        <v>0.77400000000000002</v>
      </c>
      <c r="F26" s="1">
        <f ca="1">IFERROR(__xludf.DUMMYFUNCTION("""COMPUTED_VALUE"""),4.53)</f>
        <v>4.53</v>
      </c>
      <c r="G26" s="1">
        <f ca="1">IFERROR(__xludf.DUMMYFUNCTION("""COMPUTED_VALUE"""),-6.34)</f>
        <v>-6.34</v>
      </c>
      <c r="H26" s="1">
        <f ca="1">IFERROR(__xludf.DUMMYFUNCTION("""COMPUTED_VALUE"""),15)</f>
        <v>15</v>
      </c>
      <c r="I26" s="1">
        <f ca="1">IFERROR(__xludf.DUMMYFUNCTION("""COMPUTED_VALUE"""),3)</f>
        <v>3</v>
      </c>
      <c r="J26" s="1">
        <f ca="1">IFERROR(__xludf.DUMMYFUNCTION("""COMPUTED_VALUE"""),13)</f>
        <v>13</v>
      </c>
      <c r="K26" s="1">
        <f ca="1">IFERROR(__xludf.DUMMYFUNCTION("""COMPUTED_VALUE"""),1)</f>
        <v>1</v>
      </c>
      <c r="L26" s="1">
        <f ca="1">IFERROR(__xludf.DUMMYFUNCTION("""COMPUTED_VALUE"""),11)</f>
        <v>11</v>
      </c>
      <c r="M26" s="1">
        <f ca="1">IFERROR(__xludf.DUMMYFUNCTION("""COMPUTED_VALUE"""),5)</f>
        <v>5</v>
      </c>
      <c r="N26" s="1">
        <f ca="1">IFERROR(__xludf.DUMMYFUNCTION("""COMPUTED_VALUE"""),2491)</f>
        <v>2491</v>
      </c>
      <c r="O26" s="1">
        <f ca="1">IFERROR(__xludf.DUMMYFUNCTION("""COMPUTED_VALUE"""),2116)</f>
        <v>2116</v>
      </c>
      <c r="P26" s="1">
        <f ca="1">IFERROR(__xludf.DUMMYFUNCTION("""COMPUTED_VALUE"""),1240)</f>
        <v>1240</v>
      </c>
      <c r="Q26" s="1">
        <f ca="1">IFERROR(__xludf.DUMMYFUNCTION("""COMPUTED_VALUE"""),934)</f>
        <v>934</v>
      </c>
      <c r="R26" s="1">
        <f ca="1">IFERROR(__xludf.DUMMYFUNCTION("""COMPUTED_VALUE"""),1945)</f>
        <v>1945</v>
      </c>
      <c r="S26" s="1">
        <f ca="1">IFERROR(__xludf.DUMMYFUNCTION("""COMPUTED_VALUE"""),0.48)</f>
        <v>0.48</v>
      </c>
      <c r="T26" s="1">
        <f ca="1">IFERROR(__xludf.DUMMYFUNCTION("""COMPUTED_VALUE"""),308)</f>
        <v>308</v>
      </c>
      <c r="U26" s="1">
        <f ca="1">IFERROR(__xludf.DUMMYFUNCTION("""COMPUTED_VALUE"""),857)</f>
        <v>857</v>
      </c>
      <c r="V26" s="1">
        <f ca="1">IFERROR(__xludf.DUMMYFUNCTION("""COMPUTED_VALUE"""),0.359)</f>
        <v>0.35899999999999999</v>
      </c>
      <c r="W26" s="1">
        <f ca="1">IFERROR(__xludf.DUMMYFUNCTION("""COMPUTED_VALUE"""),315)</f>
        <v>315</v>
      </c>
      <c r="X26" s="1">
        <f ca="1">IFERROR(__xludf.DUMMYFUNCTION("""COMPUTED_VALUE"""),445)</f>
        <v>445</v>
      </c>
      <c r="Y26" s="1">
        <f ca="1">IFERROR(__xludf.DUMMYFUNCTION("""COMPUTED_VALUE"""),0.708)</f>
        <v>0.70799999999999996</v>
      </c>
      <c r="Z26" s="1">
        <f ca="1">IFERROR(__xludf.DUMMYFUNCTION("""COMPUTED_VALUE"""),268)</f>
        <v>268</v>
      </c>
      <c r="AA26" s="1">
        <f ca="1">IFERROR(__xludf.DUMMYFUNCTION("""COMPUTED_VALUE"""),1148)</f>
        <v>1148</v>
      </c>
      <c r="AB26" s="1">
        <f ca="1">IFERROR(__xludf.DUMMYFUNCTION("""COMPUTED_VALUE"""),575)</f>
        <v>575</v>
      </c>
      <c r="AC26" s="1">
        <f ca="1">IFERROR(__xludf.DUMMYFUNCTION("""COMPUTED_VALUE"""),238)</f>
        <v>238</v>
      </c>
      <c r="AD26" s="1">
        <f ca="1">IFERROR(__xludf.DUMMYFUNCTION("""COMPUTED_VALUE"""),99)</f>
        <v>99</v>
      </c>
      <c r="AE26" s="1">
        <f ca="1">IFERROR(__xludf.DUMMYFUNCTION("""COMPUTED_VALUE"""),370)</f>
        <v>370</v>
      </c>
      <c r="AF26" s="1">
        <f ca="1">IFERROR(__xludf.DUMMYFUNCTION("""COMPUTED_VALUE"""),466)</f>
        <v>466</v>
      </c>
    </row>
    <row r="27" spans="1:32" x14ac:dyDescent="0.25">
      <c r="A27" s="1" t="str">
        <f ca="1">IFERROR(__xludf.DUMMYFUNCTION("""COMPUTED_VALUE"""),"Bethune-Cookman")</f>
        <v>Bethune-Cookman</v>
      </c>
      <c r="B27" s="1">
        <f ca="1">IFERROR(__xludf.DUMMYFUNCTION("""COMPUTED_VALUE"""),29)</f>
        <v>29</v>
      </c>
      <c r="C27" s="1">
        <f ca="1">IFERROR(__xludf.DUMMYFUNCTION("""COMPUTED_VALUE"""),15)</f>
        <v>15</v>
      </c>
      <c r="D27" s="1">
        <f ca="1">IFERROR(__xludf.DUMMYFUNCTION("""COMPUTED_VALUE"""),14)</f>
        <v>14</v>
      </c>
      <c r="E27" s="1">
        <f ca="1">IFERROR(__xludf.DUMMYFUNCTION("""COMPUTED_VALUE"""),0.517)</f>
        <v>0.51700000000000002</v>
      </c>
      <c r="F27" s="1">
        <f ca="1">IFERROR(__xludf.DUMMYFUNCTION("""COMPUTED_VALUE"""),-10.1)</f>
        <v>-10.1</v>
      </c>
      <c r="G27" s="1">
        <f ca="1">IFERROR(__xludf.DUMMYFUNCTION("""COMPUTED_VALUE"""),-8.8)</f>
        <v>-8.8000000000000007</v>
      </c>
      <c r="H27" s="1">
        <f ca="1">IFERROR(__xludf.DUMMYFUNCTION("""COMPUTED_VALUE"""),9)</f>
        <v>9</v>
      </c>
      <c r="I27" s="1">
        <f ca="1">IFERROR(__xludf.DUMMYFUNCTION("""COMPUTED_VALUE"""),6)</f>
        <v>6</v>
      </c>
      <c r="J27" s="1">
        <f ca="1">IFERROR(__xludf.DUMMYFUNCTION("""COMPUTED_VALUE"""),9)</f>
        <v>9</v>
      </c>
      <c r="K27" s="1">
        <f ca="1">IFERROR(__xludf.DUMMYFUNCTION("""COMPUTED_VALUE"""),1)</f>
        <v>1</v>
      </c>
      <c r="L27" s="1">
        <f ca="1">IFERROR(__xludf.DUMMYFUNCTION("""COMPUTED_VALUE"""),4)</f>
        <v>4</v>
      </c>
      <c r="M27" s="1">
        <f ca="1">IFERROR(__xludf.DUMMYFUNCTION("""COMPUTED_VALUE"""),13)</f>
        <v>13</v>
      </c>
      <c r="N27" s="1">
        <f ca="1">IFERROR(__xludf.DUMMYFUNCTION("""COMPUTED_VALUE"""),2167)</f>
        <v>2167</v>
      </c>
      <c r="O27" s="1">
        <f ca="1">IFERROR(__xludf.DUMMYFUNCTION("""COMPUTED_VALUE"""),2097)</f>
        <v>2097</v>
      </c>
      <c r="P27" s="1">
        <f ca="1">IFERROR(__xludf.DUMMYFUNCTION("""COMPUTED_VALUE"""),1170)</f>
        <v>1170</v>
      </c>
      <c r="Q27" s="1">
        <f ca="1">IFERROR(__xludf.DUMMYFUNCTION("""COMPUTED_VALUE"""),755)</f>
        <v>755</v>
      </c>
      <c r="R27" s="1">
        <f ca="1">IFERROR(__xludf.DUMMYFUNCTION("""COMPUTED_VALUE"""),1780)</f>
        <v>1780</v>
      </c>
      <c r="S27" s="1">
        <f ca="1">IFERROR(__xludf.DUMMYFUNCTION("""COMPUTED_VALUE"""),0.424)</f>
        <v>0.42399999999999999</v>
      </c>
      <c r="T27" s="1">
        <f ca="1">IFERROR(__xludf.DUMMYFUNCTION("""COMPUTED_VALUE"""),180)</f>
        <v>180</v>
      </c>
      <c r="U27" s="1">
        <f ca="1">IFERROR(__xludf.DUMMYFUNCTION("""COMPUTED_VALUE"""),561)</f>
        <v>561</v>
      </c>
      <c r="V27" s="1">
        <f ca="1">IFERROR(__xludf.DUMMYFUNCTION("""COMPUTED_VALUE"""),0.321)</f>
        <v>0.32100000000000001</v>
      </c>
      <c r="W27" s="1">
        <f ca="1">IFERROR(__xludf.DUMMYFUNCTION("""COMPUTED_VALUE"""),477)</f>
        <v>477</v>
      </c>
      <c r="X27" s="1">
        <f ca="1">IFERROR(__xludf.DUMMYFUNCTION("""COMPUTED_VALUE"""),675)</f>
        <v>675</v>
      </c>
      <c r="Y27" s="1">
        <f ca="1">IFERROR(__xludf.DUMMYFUNCTION("""COMPUTED_VALUE"""),0.707)</f>
        <v>0.70699999999999996</v>
      </c>
      <c r="Z27" s="1">
        <f ca="1">IFERROR(__xludf.DUMMYFUNCTION("""COMPUTED_VALUE"""),339)</f>
        <v>339</v>
      </c>
      <c r="AA27" s="1">
        <f ca="1">IFERROR(__xludf.DUMMYFUNCTION("""COMPUTED_VALUE"""),1133)</f>
        <v>1133</v>
      </c>
      <c r="AB27" s="1">
        <f ca="1">IFERROR(__xludf.DUMMYFUNCTION("""COMPUTED_VALUE"""),350)</f>
        <v>350</v>
      </c>
      <c r="AC27" s="1">
        <f ca="1">IFERROR(__xludf.DUMMYFUNCTION("""COMPUTED_VALUE"""),206)</f>
        <v>206</v>
      </c>
      <c r="AD27" s="1">
        <f ca="1">IFERROR(__xludf.DUMMYFUNCTION("""COMPUTED_VALUE"""),84)</f>
        <v>84</v>
      </c>
      <c r="AE27" s="1">
        <f ca="1">IFERROR(__xludf.DUMMYFUNCTION("""COMPUTED_VALUE"""),448)</f>
        <v>448</v>
      </c>
      <c r="AF27" s="1">
        <f ca="1">IFERROR(__xludf.DUMMYFUNCTION("""COMPUTED_VALUE"""),574)</f>
        <v>574</v>
      </c>
    </row>
    <row r="28" spans="1:32" x14ac:dyDescent="0.25">
      <c r="A28" s="1" t="str">
        <f ca="1">IFERROR(__xludf.DUMMYFUNCTION("""COMPUTED_VALUE"""),"Binghamton")</f>
        <v>Binghamton</v>
      </c>
      <c r="B28" s="1">
        <f ca="1">IFERROR(__xludf.DUMMYFUNCTION("""COMPUTED_VALUE"""),29)</f>
        <v>29</v>
      </c>
      <c r="C28" s="1">
        <f ca="1">IFERROR(__xludf.DUMMYFUNCTION("""COMPUTED_VALUE"""),10)</f>
        <v>10</v>
      </c>
      <c r="D28" s="1">
        <f ca="1">IFERROR(__xludf.DUMMYFUNCTION("""COMPUTED_VALUE"""),19)</f>
        <v>19</v>
      </c>
      <c r="E28" s="1">
        <f ca="1">IFERROR(__xludf.DUMMYFUNCTION("""COMPUTED_VALUE"""),0.345)</f>
        <v>0.34499999999999997</v>
      </c>
      <c r="F28" s="1">
        <f ca="1">IFERROR(__xludf.DUMMYFUNCTION("""COMPUTED_VALUE"""),-14.95)</f>
        <v>-14.95</v>
      </c>
      <c r="G28" s="1">
        <f ca="1">IFERROR(__xludf.DUMMYFUNCTION("""COMPUTED_VALUE"""),-4.54)</f>
        <v>-4.54</v>
      </c>
      <c r="H28" s="1">
        <f ca="1">IFERROR(__xludf.DUMMYFUNCTION("""COMPUTED_VALUE"""),4)</f>
        <v>4</v>
      </c>
      <c r="I28" s="1">
        <f ca="1">IFERROR(__xludf.DUMMYFUNCTION("""COMPUTED_VALUE"""),12)</f>
        <v>12</v>
      </c>
      <c r="J28" s="1">
        <f ca="1">IFERROR(__xludf.DUMMYFUNCTION("""COMPUTED_VALUE"""),7)</f>
        <v>7</v>
      </c>
      <c r="K28" s="1">
        <f ca="1">IFERROR(__xludf.DUMMYFUNCTION("""COMPUTED_VALUE"""),7)</f>
        <v>7</v>
      </c>
      <c r="L28" s="1">
        <f ca="1">IFERROR(__xludf.DUMMYFUNCTION("""COMPUTED_VALUE"""),3)</f>
        <v>3</v>
      </c>
      <c r="M28" s="1">
        <f ca="1">IFERROR(__xludf.DUMMYFUNCTION("""COMPUTED_VALUE"""),12)</f>
        <v>12</v>
      </c>
      <c r="N28" s="1">
        <f ca="1">IFERROR(__xludf.DUMMYFUNCTION("""COMPUTED_VALUE"""),2014)</f>
        <v>2014</v>
      </c>
      <c r="O28" s="1">
        <f ca="1">IFERROR(__xludf.DUMMYFUNCTION("""COMPUTED_VALUE"""),2221)</f>
        <v>2221</v>
      </c>
      <c r="P28" s="1">
        <f ca="1">IFERROR(__xludf.DUMMYFUNCTION("""COMPUTED_VALUE"""),1165)</f>
        <v>1165</v>
      </c>
      <c r="Q28" s="1">
        <f ca="1">IFERROR(__xludf.DUMMYFUNCTION("""COMPUTED_VALUE"""),717)</f>
        <v>717</v>
      </c>
      <c r="R28" s="1">
        <f ca="1">IFERROR(__xludf.DUMMYFUNCTION("""COMPUTED_VALUE"""),1750)</f>
        <v>1750</v>
      </c>
      <c r="S28" s="1">
        <f ca="1">IFERROR(__xludf.DUMMYFUNCTION("""COMPUTED_VALUE"""),0.41)</f>
        <v>0.41</v>
      </c>
      <c r="T28" s="1">
        <f ca="1">IFERROR(__xludf.DUMMYFUNCTION("""COMPUTED_VALUE"""),278)</f>
        <v>278</v>
      </c>
      <c r="U28" s="1">
        <f ca="1">IFERROR(__xludf.DUMMYFUNCTION("""COMPUTED_VALUE"""),839)</f>
        <v>839</v>
      </c>
      <c r="V28" s="1">
        <f ca="1">IFERROR(__xludf.DUMMYFUNCTION("""COMPUTED_VALUE"""),0.331)</f>
        <v>0.33100000000000002</v>
      </c>
      <c r="W28" s="1">
        <f ca="1">IFERROR(__xludf.DUMMYFUNCTION("""COMPUTED_VALUE"""),302)</f>
        <v>302</v>
      </c>
      <c r="X28" s="1">
        <f ca="1">IFERROR(__xludf.DUMMYFUNCTION("""COMPUTED_VALUE"""),417)</f>
        <v>417</v>
      </c>
      <c r="Y28" s="1">
        <f ca="1">IFERROR(__xludf.DUMMYFUNCTION("""COMPUTED_VALUE"""),0.724)</f>
        <v>0.72399999999999998</v>
      </c>
      <c r="Z28" s="1">
        <f ca="1">IFERROR(__xludf.DUMMYFUNCTION("""COMPUTED_VALUE"""),278)</f>
        <v>278</v>
      </c>
      <c r="AA28" s="1">
        <f ca="1">IFERROR(__xludf.DUMMYFUNCTION("""COMPUTED_VALUE"""),1013)</f>
        <v>1013</v>
      </c>
      <c r="AB28" s="1">
        <f ca="1">IFERROR(__xludf.DUMMYFUNCTION("""COMPUTED_VALUE"""),339)</f>
        <v>339</v>
      </c>
      <c r="AC28" s="1">
        <f ca="1">IFERROR(__xludf.DUMMYFUNCTION("""COMPUTED_VALUE"""),151)</f>
        <v>151</v>
      </c>
      <c r="AD28" s="1">
        <f ca="1">IFERROR(__xludf.DUMMYFUNCTION("""COMPUTED_VALUE"""),88)</f>
        <v>88</v>
      </c>
      <c r="AE28" s="1">
        <f ca="1">IFERROR(__xludf.DUMMYFUNCTION("""COMPUTED_VALUE"""),358)</f>
        <v>358</v>
      </c>
      <c r="AF28" s="1">
        <f ca="1">IFERROR(__xludf.DUMMYFUNCTION("""COMPUTED_VALUE"""),479)</f>
        <v>479</v>
      </c>
    </row>
    <row r="29" spans="1:32" x14ac:dyDescent="0.25">
      <c r="A29" s="1" t="str">
        <f ca="1">IFERROR(__xludf.DUMMYFUNCTION("""COMPUTED_VALUE"""),"Boise State")</f>
        <v>Boise State</v>
      </c>
      <c r="B29" s="1">
        <f ca="1">IFERROR(__xludf.DUMMYFUNCTION("""COMPUTED_VALUE"""),30)</f>
        <v>30</v>
      </c>
      <c r="C29" s="1">
        <f ca="1">IFERROR(__xludf.DUMMYFUNCTION("""COMPUTED_VALUE"""),19)</f>
        <v>19</v>
      </c>
      <c r="D29" s="1">
        <f ca="1">IFERROR(__xludf.DUMMYFUNCTION("""COMPUTED_VALUE"""),11)</f>
        <v>11</v>
      </c>
      <c r="E29" s="1">
        <f ca="1">IFERROR(__xludf.DUMMYFUNCTION("""COMPUTED_VALUE"""),0.633)</f>
        <v>0.63300000000000001</v>
      </c>
      <c r="F29" s="1">
        <f ca="1">IFERROR(__xludf.DUMMYFUNCTION("""COMPUTED_VALUE"""),8.62)</f>
        <v>8.6199999999999992</v>
      </c>
      <c r="G29" s="1">
        <f ca="1">IFERROR(__xludf.DUMMYFUNCTION("""COMPUTED_VALUE"""),3.89)</f>
        <v>3.89</v>
      </c>
      <c r="H29" s="1">
        <f ca="1">IFERROR(__xludf.DUMMYFUNCTION("""COMPUTED_VALUE"""),11)</f>
        <v>11</v>
      </c>
      <c r="I29" s="1">
        <f ca="1">IFERROR(__xludf.DUMMYFUNCTION("""COMPUTED_VALUE"""),7)</f>
        <v>7</v>
      </c>
      <c r="J29" s="1">
        <f ca="1">IFERROR(__xludf.DUMMYFUNCTION("""COMPUTED_VALUE"""),13)</f>
        <v>13</v>
      </c>
      <c r="K29" s="1">
        <f ca="1">IFERROR(__xludf.DUMMYFUNCTION("""COMPUTED_VALUE"""),2)</f>
        <v>2</v>
      </c>
      <c r="L29" s="1">
        <f ca="1">IFERROR(__xludf.DUMMYFUNCTION("""COMPUTED_VALUE"""),4)</f>
        <v>4</v>
      </c>
      <c r="M29" s="1">
        <f ca="1">IFERROR(__xludf.DUMMYFUNCTION("""COMPUTED_VALUE"""),8)</f>
        <v>8</v>
      </c>
      <c r="N29" s="1">
        <f ca="1">IFERROR(__xludf.DUMMYFUNCTION("""COMPUTED_VALUE"""),2295)</f>
        <v>2295</v>
      </c>
      <c r="O29" s="1">
        <f ca="1">IFERROR(__xludf.DUMMYFUNCTION("""COMPUTED_VALUE"""),2081)</f>
        <v>2081</v>
      </c>
      <c r="P29" s="1">
        <f ca="1">IFERROR(__xludf.DUMMYFUNCTION("""COMPUTED_VALUE"""),1225)</f>
        <v>1225</v>
      </c>
      <c r="Q29" s="1">
        <f ca="1">IFERROR(__xludf.DUMMYFUNCTION("""COMPUTED_VALUE"""),786)</f>
        <v>786</v>
      </c>
      <c r="R29" s="1">
        <f ca="1">IFERROR(__xludf.DUMMYFUNCTION("""COMPUTED_VALUE"""),1740)</f>
        <v>1740</v>
      </c>
      <c r="S29" s="1">
        <f ca="1">IFERROR(__xludf.DUMMYFUNCTION("""COMPUTED_VALUE"""),0.452)</f>
        <v>0.45200000000000001</v>
      </c>
      <c r="T29" s="1">
        <f ca="1">IFERROR(__xludf.DUMMYFUNCTION("""COMPUTED_VALUE"""),257)</f>
        <v>257</v>
      </c>
      <c r="U29" s="1">
        <f ca="1">IFERROR(__xludf.DUMMYFUNCTION("""COMPUTED_VALUE"""),739)</f>
        <v>739</v>
      </c>
      <c r="V29" s="1">
        <f ca="1">IFERROR(__xludf.DUMMYFUNCTION("""COMPUTED_VALUE"""),0.348)</f>
        <v>0.34799999999999998</v>
      </c>
      <c r="W29" s="1">
        <f ca="1">IFERROR(__xludf.DUMMYFUNCTION("""COMPUTED_VALUE"""),466)</f>
        <v>466</v>
      </c>
      <c r="X29" s="1">
        <f ca="1">IFERROR(__xludf.DUMMYFUNCTION("""COMPUTED_VALUE"""),622)</f>
        <v>622</v>
      </c>
      <c r="Y29" s="1">
        <f ca="1">IFERROR(__xludf.DUMMYFUNCTION("""COMPUTED_VALUE"""),0.749)</f>
        <v>0.749</v>
      </c>
      <c r="Z29" s="1">
        <f ca="1">IFERROR(__xludf.DUMMYFUNCTION("""COMPUTED_VALUE"""),258)</f>
        <v>258</v>
      </c>
      <c r="AA29" s="1">
        <f ca="1">IFERROR(__xludf.DUMMYFUNCTION("""COMPUTED_VALUE"""),1036)</f>
        <v>1036</v>
      </c>
      <c r="AB29" s="1">
        <f ca="1">IFERROR(__xludf.DUMMYFUNCTION("""COMPUTED_VALUE"""),395)</f>
        <v>395</v>
      </c>
      <c r="AC29" s="1">
        <f ca="1">IFERROR(__xludf.DUMMYFUNCTION("""COMPUTED_VALUE"""),176)</f>
        <v>176</v>
      </c>
      <c r="AD29" s="1">
        <f ca="1">IFERROR(__xludf.DUMMYFUNCTION("""COMPUTED_VALUE"""),42)</f>
        <v>42</v>
      </c>
      <c r="AE29" s="1">
        <f ca="1">IFERROR(__xludf.DUMMYFUNCTION("""COMPUTED_VALUE"""),376)</f>
        <v>376</v>
      </c>
      <c r="AF29" s="1">
        <f ca="1">IFERROR(__xludf.DUMMYFUNCTION("""COMPUTED_VALUE"""),511)</f>
        <v>511</v>
      </c>
    </row>
    <row r="30" spans="1:32" x14ac:dyDescent="0.25">
      <c r="A30" s="1" t="str">
        <f ca="1">IFERROR(__xludf.DUMMYFUNCTION("""COMPUTED_VALUE"""),"Boston College")</f>
        <v>Boston College</v>
      </c>
      <c r="B30" s="1">
        <f ca="1">IFERROR(__xludf.DUMMYFUNCTION("""COMPUTED_VALUE"""),29)</f>
        <v>29</v>
      </c>
      <c r="C30" s="1">
        <f ca="1">IFERROR(__xludf.DUMMYFUNCTION("""COMPUTED_VALUE"""),13)</f>
        <v>13</v>
      </c>
      <c r="D30" s="1">
        <f ca="1">IFERROR(__xludf.DUMMYFUNCTION("""COMPUTED_VALUE"""),16)</f>
        <v>16</v>
      </c>
      <c r="E30" s="1">
        <f ca="1">IFERROR(__xludf.DUMMYFUNCTION("""COMPUTED_VALUE"""),0.448)</f>
        <v>0.44800000000000001</v>
      </c>
      <c r="F30" s="1">
        <f ca="1">IFERROR(__xludf.DUMMYFUNCTION("""COMPUTED_VALUE"""),2.48)</f>
        <v>2.48</v>
      </c>
      <c r="G30" s="1">
        <f ca="1">IFERROR(__xludf.DUMMYFUNCTION("""COMPUTED_VALUE"""),7.31)</f>
        <v>7.31</v>
      </c>
      <c r="H30" s="1">
        <f ca="1">IFERROR(__xludf.DUMMYFUNCTION("""COMPUTED_VALUE"""),7)</f>
        <v>7</v>
      </c>
      <c r="I30" s="1">
        <f ca="1">IFERROR(__xludf.DUMMYFUNCTION("""COMPUTED_VALUE"""),11)</f>
        <v>11</v>
      </c>
      <c r="J30" s="1">
        <f ca="1">IFERROR(__xludf.DUMMYFUNCTION("""COMPUTED_VALUE"""),8)</f>
        <v>8</v>
      </c>
      <c r="K30" s="1">
        <f ca="1">IFERROR(__xludf.DUMMYFUNCTION("""COMPUTED_VALUE"""),9)</f>
        <v>9</v>
      </c>
      <c r="L30" s="1">
        <f ca="1">IFERROR(__xludf.DUMMYFUNCTION("""COMPUTED_VALUE"""),4)</f>
        <v>4</v>
      </c>
      <c r="M30" s="1">
        <f ca="1">IFERROR(__xludf.DUMMYFUNCTION("""COMPUTED_VALUE"""),7)</f>
        <v>7</v>
      </c>
      <c r="N30" s="1">
        <f ca="1">IFERROR(__xludf.DUMMYFUNCTION("""COMPUTED_VALUE"""),1876)</f>
        <v>1876</v>
      </c>
      <c r="O30" s="1">
        <f ca="1">IFERROR(__xludf.DUMMYFUNCTION("""COMPUTED_VALUE"""),2016)</f>
        <v>2016</v>
      </c>
      <c r="P30" s="1">
        <f ca="1">IFERROR(__xludf.DUMMYFUNCTION("""COMPUTED_VALUE"""),1165)</f>
        <v>1165</v>
      </c>
      <c r="Q30" s="1">
        <f ca="1">IFERROR(__xludf.DUMMYFUNCTION("""COMPUTED_VALUE"""),678)</f>
        <v>678</v>
      </c>
      <c r="R30" s="1">
        <f ca="1">IFERROR(__xludf.DUMMYFUNCTION("""COMPUTED_VALUE"""),1670)</f>
        <v>1670</v>
      </c>
      <c r="S30" s="1">
        <f ca="1">IFERROR(__xludf.DUMMYFUNCTION("""COMPUTED_VALUE"""),0.406)</f>
        <v>0.40600000000000003</v>
      </c>
      <c r="T30" s="1">
        <f ca="1">IFERROR(__xludf.DUMMYFUNCTION("""COMPUTED_VALUE"""),196)</f>
        <v>196</v>
      </c>
      <c r="U30" s="1">
        <f ca="1">IFERROR(__xludf.DUMMYFUNCTION("""COMPUTED_VALUE"""),652)</f>
        <v>652</v>
      </c>
      <c r="V30" s="1">
        <f ca="1">IFERROR(__xludf.DUMMYFUNCTION("""COMPUTED_VALUE"""),0.301)</f>
        <v>0.30099999999999999</v>
      </c>
      <c r="W30" s="1">
        <f ca="1">IFERROR(__xludf.DUMMYFUNCTION("""COMPUTED_VALUE"""),324)</f>
        <v>324</v>
      </c>
      <c r="X30" s="1">
        <f ca="1">IFERROR(__xludf.DUMMYFUNCTION("""COMPUTED_VALUE"""),487)</f>
        <v>487</v>
      </c>
      <c r="Y30" s="1">
        <f ca="1">IFERROR(__xludf.DUMMYFUNCTION("""COMPUTED_VALUE"""),0.665)</f>
        <v>0.66500000000000004</v>
      </c>
      <c r="Z30" s="1">
        <f ca="1">IFERROR(__xludf.DUMMYFUNCTION("""COMPUTED_VALUE"""),271)</f>
        <v>271</v>
      </c>
      <c r="AA30" s="1">
        <f ca="1">IFERROR(__xludf.DUMMYFUNCTION("""COMPUTED_VALUE"""),952)</f>
        <v>952</v>
      </c>
      <c r="AB30" s="1">
        <f ca="1">IFERROR(__xludf.DUMMYFUNCTION("""COMPUTED_VALUE"""),362)</f>
        <v>362</v>
      </c>
      <c r="AC30" s="1">
        <f ca="1">IFERROR(__xludf.DUMMYFUNCTION("""COMPUTED_VALUE"""),234)</f>
        <v>234</v>
      </c>
      <c r="AD30" s="1">
        <f ca="1">IFERROR(__xludf.DUMMYFUNCTION("""COMPUTED_VALUE"""),76)</f>
        <v>76</v>
      </c>
      <c r="AE30" s="1">
        <f ca="1">IFERROR(__xludf.DUMMYFUNCTION("""COMPUTED_VALUE"""),388)</f>
        <v>388</v>
      </c>
      <c r="AF30" s="1">
        <f ca="1">IFERROR(__xludf.DUMMYFUNCTION("""COMPUTED_VALUE"""),451)</f>
        <v>451</v>
      </c>
    </row>
    <row r="31" spans="1:32" x14ac:dyDescent="0.25">
      <c r="A31" s="1" t="str">
        <f ca="1">IFERROR(__xludf.DUMMYFUNCTION("""COMPUTED_VALUE"""),"Boston University")</f>
        <v>Boston University</v>
      </c>
      <c r="B31" s="1">
        <f ca="1">IFERROR(__xludf.DUMMYFUNCTION("""COMPUTED_VALUE"""),31)</f>
        <v>31</v>
      </c>
      <c r="C31" s="1">
        <f ca="1">IFERROR(__xludf.DUMMYFUNCTION("""COMPUTED_VALUE"""),18)</f>
        <v>18</v>
      </c>
      <c r="D31" s="1">
        <f ca="1">IFERROR(__xludf.DUMMYFUNCTION("""COMPUTED_VALUE"""),13)</f>
        <v>13</v>
      </c>
      <c r="E31" s="1">
        <f ca="1">IFERROR(__xludf.DUMMYFUNCTION("""COMPUTED_VALUE"""),0.581)</f>
        <v>0.58099999999999996</v>
      </c>
      <c r="F31" s="1">
        <f ca="1">IFERROR(__xludf.DUMMYFUNCTION("""COMPUTED_VALUE"""),-1.85)</f>
        <v>-1.85</v>
      </c>
      <c r="G31" s="1">
        <f ca="1">IFERROR(__xludf.DUMMYFUNCTION("""COMPUTED_VALUE"""),-5.22)</f>
        <v>-5.22</v>
      </c>
      <c r="H31" s="1">
        <f ca="1">IFERROR(__xludf.DUMMYFUNCTION("""COMPUTED_VALUE"""),12)</f>
        <v>12</v>
      </c>
      <c r="I31" s="1">
        <f ca="1">IFERROR(__xludf.DUMMYFUNCTION("""COMPUTED_VALUE"""),6)</f>
        <v>6</v>
      </c>
      <c r="J31" s="1">
        <f ca="1">IFERROR(__xludf.DUMMYFUNCTION("""COMPUTED_VALUE"""),10)</f>
        <v>10</v>
      </c>
      <c r="K31" s="1">
        <f ca="1">IFERROR(__xludf.DUMMYFUNCTION("""COMPUTED_VALUE"""),3)</f>
        <v>3</v>
      </c>
      <c r="L31" s="1">
        <f ca="1">IFERROR(__xludf.DUMMYFUNCTION("""COMPUTED_VALUE"""),8)</f>
        <v>8</v>
      </c>
      <c r="M31" s="1">
        <f ca="1">IFERROR(__xludf.DUMMYFUNCTION("""COMPUTED_VALUE"""),8)</f>
        <v>8</v>
      </c>
      <c r="N31" s="1">
        <f ca="1">IFERROR(__xludf.DUMMYFUNCTION("""COMPUTED_VALUE"""),2213)</f>
        <v>2213</v>
      </c>
      <c r="O31" s="1">
        <f ca="1">IFERROR(__xludf.DUMMYFUNCTION("""COMPUTED_VALUE"""),2084)</f>
        <v>2084</v>
      </c>
      <c r="P31" s="1">
        <f ca="1">IFERROR(__xludf.DUMMYFUNCTION("""COMPUTED_VALUE"""),1255)</f>
        <v>1255</v>
      </c>
      <c r="Q31" s="1">
        <f ca="1">IFERROR(__xludf.DUMMYFUNCTION("""COMPUTED_VALUE"""),843)</f>
        <v>843</v>
      </c>
      <c r="R31" s="1">
        <f ca="1">IFERROR(__xludf.DUMMYFUNCTION("""COMPUTED_VALUE"""),1831)</f>
        <v>1831</v>
      </c>
      <c r="S31" s="1">
        <f ca="1">IFERROR(__xludf.DUMMYFUNCTION("""COMPUTED_VALUE"""),0.46)</f>
        <v>0.46</v>
      </c>
      <c r="T31" s="1">
        <f ca="1">IFERROR(__xludf.DUMMYFUNCTION("""COMPUTED_VALUE"""),202)</f>
        <v>202</v>
      </c>
      <c r="U31" s="1">
        <f ca="1">IFERROR(__xludf.DUMMYFUNCTION("""COMPUTED_VALUE"""),627)</f>
        <v>627</v>
      </c>
      <c r="V31" s="1">
        <f ca="1">IFERROR(__xludf.DUMMYFUNCTION("""COMPUTED_VALUE"""),0.322)</f>
        <v>0.32200000000000001</v>
      </c>
      <c r="W31" s="1">
        <f ca="1">IFERROR(__xludf.DUMMYFUNCTION("""COMPUTED_VALUE"""),325)</f>
        <v>325</v>
      </c>
      <c r="X31" s="1">
        <f ca="1">IFERROR(__xludf.DUMMYFUNCTION("""COMPUTED_VALUE"""),495)</f>
        <v>495</v>
      </c>
      <c r="Y31" s="1">
        <f ca="1">IFERROR(__xludf.DUMMYFUNCTION("""COMPUTED_VALUE"""),0.657)</f>
        <v>0.65700000000000003</v>
      </c>
      <c r="Z31" s="1">
        <f ca="1">IFERROR(__xludf.DUMMYFUNCTION("""COMPUTED_VALUE"""),315)</f>
        <v>315</v>
      </c>
      <c r="AA31" s="1">
        <f ca="1">IFERROR(__xludf.DUMMYFUNCTION("""COMPUTED_VALUE"""),1114)</f>
        <v>1114</v>
      </c>
      <c r="AB31" s="1">
        <f ca="1">IFERROR(__xludf.DUMMYFUNCTION("""COMPUTED_VALUE"""),387)</f>
        <v>387</v>
      </c>
      <c r="AC31" s="1">
        <f ca="1">IFERROR(__xludf.DUMMYFUNCTION("""COMPUTED_VALUE"""),171)</f>
        <v>171</v>
      </c>
      <c r="AD31" s="1">
        <f ca="1">IFERROR(__xludf.DUMMYFUNCTION("""COMPUTED_VALUE"""),69)</f>
        <v>69</v>
      </c>
      <c r="AE31" s="1">
        <f ca="1">IFERROR(__xludf.DUMMYFUNCTION("""COMPUTED_VALUE"""),351)</f>
        <v>351</v>
      </c>
      <c r="AF31" s="1">
        <f ca="1">IFERROR(__xludf.DUMMYFUNCTION("""COMPUTED_VALUE"""),471)</f>
        <v>471</v>
      </c>
    </row>
    <row r="32" spans="1:32" x14ac:dyDescent="0.25">
      <c r="A32" s="1" t="str">
        <f ca="1">IFERROR(__xludf.DUMMYFUNCTION("""COMPUTED_VALUE"""),"Bowling Green State")</f>
        <v>Bowling Green State</v>
      </c>
      <c r="B32" s="1">
        <f ca="1">IFERROR(__xludf.DUMMYFUNCTION("""COMPUTED_VALUE"""),29)</f>
        <v>29</v>
      </c>
      <c r="C32" s="1">
        <f ca="1">IFERROR(__xludf.DUMMYFUNCTION("""COMPUTED_VALUE"""),21)</f>
        <v>21</v>
      </c>
      <c r="D32" s="1">
        <f ca="1">IFERROR(__xludf.DUMMYFUNCTION("""COMPUTED_VALUE"""),8)</f>
        <v>8</v>
      </c>
      <c r="E32" s="1">
        <f ca="1">IFERROR(__xludf.DUMMYFUNCTION("""COMPUTED_VALUE"""),0.724)</f>
        <v>0.72399999999999998</v>
      </c>
      <c r="F32" s="1">
        <f ca="1">IFERROR(__xludf.DUMMYFUNCTION("""COMPUTED_VALUE"""),0.96)</f>
        <v>0.96</v>
      </c>
      <c r="G32" s="1">
        <f ca="1">IFERROR(__xludf.DUMMYFUNCTION("""COMPUTED_VALUE"""),-0.01)</f>
        <v>-0.01</v>
      </c>
      <c r="H32" s="1">
        <f ca="1">IFERROR(__xludf.DUMMYFUNCTION("""COMPUTED_VALUE"""),12)</f>
        <v>12</v>
      </c>
      <c r="I32" s="1">
        <f ca="1">IFERROR(__xludf.DUMMYFUNCTION("""COMPUTED_VALUE"""),4)</f>
        <v>4</v>
      </c>
      <c r="J32" s="1">
        <f ca="1">IFERROR(__xludf.DUMMYFUNCTION("""COMPUTED_VALUE"""),13)</f>
        <v>13</v>
      </c>
      <c r="K32" s="1">
        <f ca="1">IFERROR(__xludf.DUMMYFUNCTION("""COMPUTED_VALUE"""),1)</f>
        <v>1</v>
      </c>
      <c r="L32" s="1">
        <f ca="1">IFERROR(__xludf.DUMMYFUNCTION("""COMPUTED_VALUE"""),5)</f>
        <v>5</v>
      </c>
      <c r="M32" s="1">
        <f ca="1">IFERROR(__xludf.DUMMYFUNCTION("""COMPUTED_VALUE"""),4)</f>
        <v>4</v>
      </c>
      <c r="N32" s="1">
        <f ca="1">IFERROR(__xludf.DUMMYFUNCTION("""COMPUTED_VALUE"""),2157)</f>
        <v>2157</v>
      </c>
      <c r="O32" s="1">
        <f ca="1">IFERROR(__xludf.DUMMYFUNCTION("""COMPUTED_VALUE"""),2088)</f>
        <v>2088</v>
      </c>
      <c r="P32" s="1">
        <f ca="1">IFERROR(__xludf.DUMMYFUNCTION("""COMPUTED_VALUE"""),1170)</f>
        <v>1170</v>
      </c>
      <c r="Q32" s="1">
        <f ca="1">IFERROR(__xludf.DUMMYFUNCTION("""COMPUTED_VALUE"""),771)</f>
        <v>771</v>
      </c>
      <c r="R32" s="1">
        <f ca="1">IFERROR(__xludf.DUMMYFUNCTION("""COMPUTED_VALUE"""),1833)</f>
        <v>1833</v>
      </c>
      <c r="S32" s="1">
        <f ca="1">IFERROR(__xludf.DUMMYFUNCTION("""COMPUTED_VALUE"""),0.421)</f>
        <v>0.42099999999999999</v>
      </c>
      <c r="T32" s="1">
        <f ca="1">IFERROR(__xludf.DUMMYFUNCTION("""COMPUTED_VALUE"""),226)</f>
        <v>226</v>
      </c>
      <c r="U32" s="1">
        <f ca="1">IFERROR(__xludf.DUMMYFUNCTION("""COMPUTED_VALUE"""),668)</f>
        <v>668</v>
      </c>
      <c r="V32" s="1">
        <f ca="1">IFERROR(__xludf.DUMMYFUNCTION("""COMPUTED_VALUE"""),0.338)</f>
        <v>0.33800000000000002</v>
      </c>
      <c r="W32" s="1">
        <f ca="1">IFERROR(__xludf.DUMMYFUNCTION("""COMPUTED_VALUE"""),389)</f>
        <v>389</v>
      </c>
      <c r="X32" s="1">
        <f ca="1">IFERROR(__xludf.DUMMYFUNCTION("""COMPUTED_VALUE"""),522)</f>
        <v>522</v>
      </c>
      <c r="Y32" s="1">
        <f ca="1">IFERROR(__xludf.DUMMYFUNCTION("""COMPUTED_VALUE"""),0.745)</f>
        <v>0.745</v>
      </c>
      <c r="Z32" s="1">
        <f ca="1">IFERROR(__xludf.DUMMYFUNCTION("""COMPUTED_VALUE"""),317)</f>
        <v>317</v>
      </c>
      <c r="AA32" s="1">
        <f ca="1">IFERROR(__xludf.DUMMYFUNCTION("""COMPUTED_VALUE"""),1156)</f>
        <v>1156</v>
      </c>
      <c r="AB32" s="1">
        <f ca="1">IFERROR(__xludf.DUMMYFUNCTION("""COMPUTED_VALUE"""),355)</f>
        <v>355</v>
      </c>
      <c r="AC32" s="1">
        <f ca="1">IFERROR(__xludf.DUMMYFUNCTION("""COMPUTED_VALUE"""),158)</f>
        <v>158</v>
      </c>
      <c r="AD32" s="1">
        <f ca="1">IFERROR(__xludf.DUMMYFUNCTION("""COMPUTED_VALUE"""),65)</f>
        <v>65</v>
      </c>
      <c r="AE32" s="1">
        <f ca="1">IFERROR(__xludf.DUMMYFUNCTION("""COMPUTED_VALUE"""),312)</f>
        <v>312</v>
      </c>
      <c r="AF32" s="1">
        <f ca="1">IFERROR(__xludf.DUMMYFUNCTION("""COMPUTED_VALUE"""),510)</f>
        <v>510</v>
      </c>
    </row>
    <row r="33" spans="1:32" x14ac:dyDescent="0.25">
      <c r="A33" s="1" t="str">
        <f ca="1">IFERROR(__xludf.DUMMYFUNCTION("""COMPUTED_VALUE"""),"Bradley")</f>
        <v>Bradley</v>
      </c>
      <c r="B33" s="1">
        <f ca="1">IFERROR(__xludf.DUMMYFUNCTION("""COMPUTED_VALUE"""),31)</f>
        <v>31</v>
      </c>
      <c r="C33" s="1">
        <f ca="1">IFERROR(__xludf.DUMMYFUNCTION("""COMPUTED_VALUE"""),20)</f>
        <v>20</v>
      </c>
      <c r="D33" s="1">
        <f ca="1">IFERROR(__xludf.DUMMYFUNCTION("""COMPUTED_VALUE"""),11)</f>
        <v>11</v>
      </c>
      <c r="E33" s="1">
        <f ca="1">IFERROR(__xludf.DUMMYFUNCTION("""COMPUTED_VALUE"""),0.645)</f>
        <v>0.64500000000000002</v>
      </c>
      <c r="F33" s="1">
        <f ca="1">IFERROR(__xludf.DUMMYFUNCTION("""COMPUTED_VALUE"""),4.84)</f>
        <v>4.84</v>
      </c>
      <c r="G33" s="1">
        <f ca="1">IFERROR(__xludf.DUMMYFUNCTION("""COMPUTED_VALUE"""),0.31)</f>
        <v>0.31</v>
      </c>
      <c r="H33" s="1">
        <f ca="1">IFERROR(__xludf.DUMMYFUNCTION("""COMPUTED_VALUE"""),11)</f>
        <v>11</v>
      </c>
      <c r="I33" s="1">
        <f ca="1">IFERROR(__xludf.DUMMYFUNCTION("""COMPUTED_VALUE"""),7)</f>
        <v>7</v>
      </c>
      <c r="J33" s="1">
        <f ca="1">IFERROR(__xludf.DUMMYFUNCTION("""COMPUTED_VALUE"""),15)</f>
        <v>15</v>
      </c>
      <c r="K33" s="1">
        <f ca="1">IFERROR(__xludf.DUMMYFUNCTION("""COMPUTED_VALUE"""),2)</f>
        <v>2</v>
      </c>
      <c r="L33" s="1">
        <f ca="1">IFERROR(__xludf.DUMMYFUNCTION("""COMPUTED_VALUE"""),4)</f>
        <v>4</v>
      </c>
      <c r="M33" s="1">
        <f ca="1">IFERROR(__xludf.DUMMYFUNCTION("""COMPUTED_VALUE"""),8)</f>
        <v>8</v>
      </c>
      <c r="N33" s="1">
        <f ca="1">IFERROR(__xludf.DUMMYFUNCTION("""COMPUTED_VALUE"""),2218)</f>
        <v>2218</v>
      </c>
      <c r="O33" s="1">
        <f ca="1">IFERROR(__xludf.DUMMYFUNCTION("""COMPUTED_VALUE"""),2049)</f>
        <v>2049</v>
      </c>
      <c r="P33" s="1">
        <f ca="1">IFERROR(__xludf.DUMMYFUNCTION("""COMPUTED_VALUE"""),1250)</f>
        <v>1250</v>
      </c>
      <c r="Q33" s="1">
        <f ca="1">IFERROR(__xludf.DUMMYFUNCTION("""COMPUTED_VALUE"""),792)</f>
        <v>792</v>
      </c>
      <c r="R33" s="1">
        <f ca="1">IFERROR(__xludf.DUMMYFUNCTION("""COMPUTED_VALUE"""),1801)</f>
        <v>1801</v>
      </c>
      <c r="S33" s="1">
        <f ca="1">IFERROR(__xludf.DUMMYFUNCTION("""COMPUTED_VALUE"""),0.44)</f>
        <v>0.44</v>
      </c>
      <c r="T33" s="1">
        <f ca="1">IFERROR(__xludf.DUMMYFUNCTION("""COMPUTED_VALUE"""),212)</f>
        <v>212</v>
      </c>
      <c r="U33" s="1">
        <f ca="1">IFERROR(__xludf.DUMMYFUNCTION("""COMPUTED_VALUE"""),572)</f>
        <v>572</v>
      </c>
      <c r="V33" s="1">
        <f ca="1">IFERROR(__xludf.DUMMYFUNCTION("""COMPUTED_VALUE"""),0.371)</f>
        <v>0.371</v>
      </c>
      <c r="W33" s="1">
        <f ca="1">IFERROR(__xludf.DUMMYFUNCTION("""COMPUTED_VALUE"""),422)</f>
        <v>422</v>
      </c>
      <c r="X33" s="1">
        <f ca="1">IFERROR(__xludf.DUMMYFUNCTION("""COMPUTED_VALUE"""),578)</f>
        <v>578</v>
      </c>
      <c r="Y33" s="1">
        <f ca="1">IFERROR(__xludf.DUMMYFUNCTION("""COMPUTED_VALUE"""),0.73)</f>
        <v>0.73</v>
      </c>
      <c r="Z33" s="1">
        <f ca="1">IFERROR(__xludf.DUMMYFUNCTION("""COMPUTED_VALUE"""),347)</f>
        <v>347</v>
      </c>
      <c r="AA33" s="1">
        <f ca="1">IFERROR(__xludf.DUMMYFUNCTION("""COMPUTED_VALUE"""),1196)</f>
        <v>1196</v>
      </c>
      <c r="AB33" s="1">
        <f ca="1">IFERROR(__xludf.DUMMYFUNCTION("""COMPUTED_VALUE"""),418)</f>
        <v>418</v>
      </c>
      <c r="AC33" s="1">
        <f ca="1">IFERROR(__xludf.DUMMYFUNCTION("""COMPUTED_VALUE"""),150)</f>
        <v>150</v>
      </c>
      <c r="AD33" s="1">
        <f ca="1">IFERROR(__xludf.DUMMYFUNCTION("""COMPUTED_VALUE"""),119)</f>
        <v>119</v>
      </c>
      <c r="AE33" s="1">
        <f ca="1">IFERROR(__xludf.DUMMYFUNCTION("""COMPUTED_VALUE"""),371)</f>
        <v>371</v>
      </c>
      <c r="AF33" s="1">
        <f ca="1">IFERROR(__xludf.DUMMYFUNCTION("""COMPUTED_VALUE"""),521)</f>
        <v>521</v>
      </c>
    </row>
    <row r="34" spans="1:32" x14ac:dyDescent="0.25">
      <c r="A34" s="1" t="str">
        <f ca="1">IFERROR(__xludf.DUMMYFUNCTION("""COMPUTED_VALUE"""),"Brigham Young")</f>
        <v>Brigham Young</v>
      </c>
      <c r="B34" s="1">
        <f ca="1">IFERROR(__xludf.DUMMYFUNCTION("""COMPUTED_VALUE"""),31)</f>
        <v>31</v>
      </c>
      <c r="C34" s="1">
        <f ca="1">IFERROR(__xludf.DUMMYFUNCTION("""COMPUTED_VALUE"""),24)</f>
        <v>24</v>
      </c>
      <c r="D34" s="1">
        <f ca="1">IFERROR(__xludf.DUMMYFUNCTION("""COMPUTED_VALUE"""),7)</f>
        <v>7</v>
      </c>
      <c r="E34" s="1">
        <f ca="1">IFERROR(__xludf.DUMMYFUNCTION("""COMPUTED_VALUE"""),0.774)</f>
        <v>0.77400000000000002</v>
      </c>
      <c r="F34" s="1">
        <f ca="1">IFERROR(__xludf.DUMMYFUNCTION("""COMPUTED_VALUE"""),17.24)</f>
        <v>17.239999999999998</v>
      </c>
      <c r="G34" s="1">
        <f ca="1">IFERROR(__xludf.DUMMYFUNCTION("""COMPUTED_VALUE"""),6.38)</f>
        <v>6.38</v>
      </c>
      <c r="H34" s="1">
        <f ca="1">IFERROR(__xludf.DUMMYFUNCTION("""COMPUTED_VALUE"""),13)</f>
        <v>13</v>
      </c>
      <c r="I34" s="1">
        <f ca="1">IFERROR(__xludf.DUMMYFUNCTION("""COMPUTED_VALUE"""),3)</f>
        <v>3</v>
      </c>
      <c r="J34" s="1">
        <f ca="1">IFERROR(__xludf.DUMMYFUNCTION("""COMPUTED_VALUE"""),14)</f>
        <v>14</v>
      </c>
      <c r="K34" s="1">
        <f ca="1">IFERROR(__xludf.DUMMYFUNCTION("""COMPUTED_VALUE"""),1)</f>
        <v>1</v>
      </c>
      <c r="L34" s="1">
        <f ca="1">IFERROR(__xludf.DUMMYFUNCTION("""COMPUTED_VALUE"""),6)</f>
        <v>6</v>
      </c>
      <c r="M34" s="1">
        <f ca="1">IFERROR(__xludf.DUMMYFUNCTION("""COMPUTED_VALUE"""),5)</f>
        <v>5</v>
      </c>
      <c r="N34" s="1">
        <f ca="1">IFERROR(__xludf.DUMMYFUNCTION("""COMPUTED_VALUE"""),2498)</f>
        <v>2498</v>
      </c>
      <c r="O34" s="1">
        <f ca="1">IFERROR(__xludf.DUMMYFUNCTION("""COMPUTED_VALUE"""),2137)</f>
        <v>2137</v>
      </c>
      <c r="P34" s="1">
        <f ca="1">IFERROR(__xludf.DUMMYFUNCTION("""COMPUTED_VALUE"""),1255)</f>
        <v>1255</v>
      </c>
      <c r="Q34" s="1">
        <f ca="1">IFERROR(__xludf.DUMMYFUNCTION("""COMPUTED_VALUE"""),932)</f>
        <v>932</v>
      </c>
      <c r="R34" s="1">
        <f ca="1">IFERROR(__xludf.DUMMYFUNCTION("""COMPUTED_VALUE"""),1850)</f>
        <v>1850</v>
      </c>
      <c r="S34" s="1">
        <f ca="1">IFERROR(__xludf.DUMMYFUNCTION("""COMPUTED_VALUE"""),0.504)</f>
        <v>0.504</v>
      </c>
      <c r="T34" s="1">
        <f ca="1">IFERROR(__xludf.DUMMYFUNCTION("""COMPUTED_VALUE"""),325)</f>
        <v>325</v>
      </c>
      <c r="U34" s="1">
        <f ca="1">IFERROR(__xludf.DUMMYFUNCTION("""COMPUTED_VALUE"""),767)</f>
        <v>767</v>
      </c>
      <c r="V34" s="1">
        <f ca="1">IFERROR(__xludf.DUMMYFUNCTION("""COMPUTED_VALUE"""),0.424)</f>
        <v>0.42399999999999999</v>
      </c>
      <c r="W34" s="1">
        <f ca="1">IFERROR(__xludf.DUMMYFUNCTION("""COMPUTED_VALUE"""),309)</f>
        <v>309</v>
      </c>
      <c r="X34" s="1">
        <f ca="1">IFERROR(__xludf.DUMMYFUNCTION("""COMPUTED_VALUE"""),439)</f>
        <v>439</v>
      </c>
      <c r="Y34" s="1">
        <f ca="1">IFERROR(__xludf.DUMMYFUNCTION("""COMPUTED_VALUE"""),0.704)</f>
        <v>0.70399999999999996</v>
      </c>
      <c r="Z34" s="1">
        <f ca="1">IFERROR(__xludf.DUMMYFUNCTION("""COMPUTED_VALUE"""),203)</f>
        <v>203</v>
      </c>
      <c r="AA34" s="1">
        <f ca="1">IFERROR(__xludf.DUMMYFUNCTION("""COMPUTED_VALUE"""),1027)</f>
        <v>1027</v>
      </c>
      <c r="AB34" s="1">
        <f ca="1">IFERROR(__xludf.DUMMYFUNCTION("""COMPUTED_VALUE"""),547)</f>
        <v>547</v>
      </c>
      <c r="AC34" s="1">
        <f ca="1">IFERROR(__xludf.DUMMYFUNCTION("""COMPUTED_VALUE"""),182)</f>
        <v>182</v>
      </c>
      <c r="AD34" s="1">
        <f ca="1">IFERROR(__xludf.DUMMYFUNCTION("""COMPUTED_VALUE"""),66)</f>
        <v>66</v>
      </c>
      <c r="AE34" s="1">
        <f ca="1">IFERROR(__xludf.DUMMYFUNCTION("""COMPUTED_VALUE"""),338)</f>
        <v>338</v>
      </c>
      <c r="AF34" s="1">
        <f ca="1">IFERROR(__xludf.DUMMYFUNCTION("""COMPUTED_VALUE"""),499)</f>
        <v>499</v>
      </c>
    </row>
    <row r="35" spans="1:32" x14ac:dyDescent="0.25">
      <c r="A35" s="1" t="str">
        <f ca="1">IFERROR(__xludf.DUMMYFUNCTION("""COMPUTED_VALUE"""),"Brown")</f>
        <v>Brown</v>
      </c>
      <c r="B35" s="1">
        <f ca="1">IFERROR(__xludf.DUMMYFUNCTION("""COMPUTED_VALUE"""),25)</f>
        <v>25</v>
      </c>
      <c r="C35" s="1">
        <f ca="1">IFERROR(__xludf.DUMMYFUNCTION("""COMPUTED_VALUE"""),13)</f>
        <v>13</v>
      </c>
      <c r="D35" s="1">
        <f ca="1">IFERROR(__xludf.DUMMYFUNCTION("""COMPUTED_VALUE"""),12)</f>
        <v>12</v>
      </c>
      <c r="E35" s="1">
        <f ca="1">IFERROR(__xludf.DUMMYFUNCTION("""COMPUTED_VALUE"""),0.52)</f>
        <v>0.52</v>
      </c>
      <c r="F35" s="1">
        <f ca="1">IFERROR(__xludf.DUMMYFUNCTION("""COMPUTED_VALUE"""),-5.47)</f>
        <v>-5.47</v>
      </c>
      <c r="G35" s="1">
        <f ca="1">IFERROR(__xludf.DUMMYFUNCTION("""COMPUTED_VALUE"""),-1.64)</f>
        <v>-1.64</v>
      </c>
      <c r="H35" s="1">
        <f ca="1">IFERROR(__xludf.DUMMYFUNCTION("""COMPUTED_VALUE"""),6)</f>
        <v>6</v>
      </c>
      <c r="I35" s="1">
        <f ca="1">IFERROR(__xludf.DUMMYFUNCTION("""COMPUTED_VALUE"""),6)</f>
        <v>6</v>
      </c>
      <c r="J35" s="1">
        <f ca="1">IFERROR(__xludf.DUMMYFUNCTION("""COMPUTED_VALUE"""),10)</f>
        <v>10</v>
      </c>
      <c r="K35" s="1">
        <f ca="1">IFERROR(__xludf.DUMMYFUNCTION("""COMPUTED_VALUE"""),4)</f>
        <v>4</v>
      </c>
      <c r="L35" s="1">
        <f ca="1">IFERROR(__xludf.DUMMYFUNCTION("""COMPUTED_VALUE"""),3)</f>
        <v>3</v>
      </c>
      <c r="M35" s="1">
        <f ca="1">IFERROR(__xludf.DUMMYFUNCTION("""COMPUTED_VALUE"""),8)</f>
        <v>8</v>
      </c>
      <c r="N35" s="1">
        <f ca="1">IFERROR(__xludf.DUMMYFUNCTION("""COMPUTED_VALUE"""),1675)</f>
        <v>1675</v>
      </c>
      <c r="O35" s="1">
        <f ca="1">IFERROR(__xludf.DUMMYFUNCTION("""COMPUTED_VALUE"""),1741)</f>
        <v>1741</v>
      </c>
      <c r="P35" s="1">
        <f ca="1">IFERROR(__xludf.DUMMYFUNCTION("""COMPUTED_VALUE"""),1000)</f>
        <v>1000</v>
      </c>
      <c r="Q35" s="1">
        <f ca="1">IFERROR(__xludf.DUMMYFUNCTION("""COMPUTED_VALUE"""),583)</f>
        <v>583</v>
      </c>
      <c r="R35" s="1">
        <f ca="1">IFERROR(__xludf.DUMMYFUNCTION("""COMPUTED_VALUE"""),1456)</f>
        <v>1456</v>
      </c>
      <c r="S35" s="1">
        <f ca="1">IFERROR(__xludf.DUMMYFUNCTION("""COMPUTED_VALUE"""),0.4)</f>
        <v>0.4</v>
      </c>
      <c r="T35" s="1">
        <f ca="1">IFERROR(__xludf.DUMMYFUNCTION("""COMPUTED_VALUE"""),166)</f>
        <v>166</v>
      </c>
      <c r="U35" s="1">
        <f ca="1">IFERROR(__xludf.DUMMYFUNCTION("""COMPUTED_VALUE"""),552)</f>
        <v>552</v>
      </c>
      <c r="V35" s="1">
        <f ca="1">IFERROR(__xludf.DUMMYFUNCTION("""COMPUTED_VALUE"""),0.301)</f>
        <v>0.30099999999999999</v>
      </c>
      <c r="W35" s="1">
        <f ca="1">IFERROR(__xludf.DUMMYFUNCTION("""COMPUTED_VALUE"""),343)</f>
        <v>343</v>
      </c>
      <c r="X35" s="1">
        <f ca="1">IFERROR(__xludf.DUMMYFUNCTION("""COMPUTED_VALUE"""),474)</f>
        <v>474</v>
      </c>
      <c r="Y35" s="1">
        <f ca="1">IFERROR(__xludf.DUMMYFUNCTION("""COMPUTED_VALUE"""),0.724)</f>
        <v>0.72399999999999998</v>
      </c>
      <c r="Z35" s="1">
        <f ca="1">IFERROR(__xludf.DUMMYFUNCTION("""COMPUTED_VALUE"""),310)</f>
        <v>310</v>
      </c>
      <c r="AA35" s="1">
        <f ca="1">IFERROR(__xludf.DUMMYFUNCTION("""COMPUTED_VALUE"""),961)</f>
        <v>961</v>
      </c>
      <c r="AB35" s="1">
        <f ca="1">IFERROR(__xludf.DUMMYFUNCTION("""COMPUTED_VALUE"""),288)</f>
        <v>288</v>
      </c>
      <c r="AC35" s="1">
        <f ca="1">IFERROR(__xludf.DUMMYFUNCTION("""COMPUTED_VALUE"""),158)</f>
        <v>158</v>
      </c>
      <c r="AD35" s="1">
        <f ca="1">IFERROR(__xludf.DUMMYFUNCTION("""COMPUTED_VALUE"""),110)</f>
        <v>110</v>
      </c>
      <c r="AE35" s="1">
        <f ca="1">IFERROR(__xludf.DUMMYFUNCTION("""COMPUTED_VALUE"""),386)</f>
        <v>386</v>
      </c>
      <c r="AF35" s="1">
        <f ca="1">IFERROR(__xludf.DUMMYFUNCTION("""COMPUTED_VALUE"""),426)</f>
        <v>426</v>
      </c>
    </row>
    <row r="36" spans="1:32" x14ac:dyDescent="0.25">
      <c r="A36" s="1" t="str">
        <f ca="1">IFERROR(__xludf.DUMMYFUNCTION("""COMPUTED_VALUE"""),"Bryant")</f>
        <v>Bryant</v>
      </c>
      <c r="B36" s="1">
        <f ca="1">IFERROR(__xludf.DUMMYFUNCTION("""COMPUTED_VALUE"""),31)</f>
        <v>31</v>
      </c>
      <c r="C36" s="1">
        <f ca="1">IFERROR(__xludf.DUMMYFUNCTION("""COMPUTED_VALUE"""),15)</f>
        <v>15</v>
      </c>
      <c r="D36" s="1">
        <f ca="1">IFERROR(__xludf.DUMMYFUNCTION("""COMPUTED_VALUE"""),16)</f>
        <v>16</v>
      </c>
      <c r="E36" s="1">
        <f ca="1">IFERROR(__xludf.DUMMYFUNCTION("""COMPUTED_VALUE"""),0.484)</f>
        <v>0.48399999999999999</v>
      </c>
      <c r="F36" s="1">
        <f ca="1">IFERROR(__xludf.DUMMYFUNCTION("""COMPUTED_VALUE"""),-5.99)</f>
        <v>-5.99</v>
      </c>
      <c r="G36" s="1">
        <f ca="1">IFERROR(__xludf.DUMMYFUNCTION("""COMPUTED_VALUE"""),-6.82)</f>
        <v>-6.82</v>
      </c>
      <c r="H36" s="1">
        <f ca="1">IFERROR(__xludf.DUMMYFUNCTION("""COMPUTED_VALUE"""),7)</f>
        <v>7</v>
      </c>
      <c r="I36" s="1">
        <f ca="1">IFERROR(__xludf.DUMMYFUNCTION("""COMPUTED_VALUE"""),11)</f>
        <v>11</v>
      </c>
      <c r="J36" s="1">
        <f ca="1">IFERROR(__xludf.DUMMYFUNCTION("""COMPUTED_VALUE"""),9)</f>
        <v>9</v>
      </c>
      <c r="K36" s="1">
        <f ca="1">IFERROR(__xludf.DUMMYFUNCTION("""COMPUTED_VALUE"""),5)</f>
        <v>5</v>
      </c>
      <c r="L36" s="1">
        <f ca="1">IFERROR(__xludf.DUMMYFUNCTION("""COMPUTED_VALUE"""),6)</f>
        <v>6</v>
      </c>
      <c r="M36" s="1">
        <f ca="1">IFERROR(__xludf.DUMMYFUNCTION("""COMPUTED_VALUE"""),11)</f>
        <v>11</v>
      </c>
      <c r="N36" s="1">
        <f ca="1">IFERROR(__xludf.DUMMYFUNCTION("""COMPUTED_VALUE"""),2210)</f>
        <v>2210</v>
      </c>
      <c r="O36" s="1">
        <f ca="1">IFERROR(__xludf.DUMMYFUNCTION("""COMPUTED_VALUE"""),2136)</f>
        <v>2136</v>
      </c>
      <c r="P36" s="1">
        <f ca="1">IFERROR(__xludf.DUMMYFUNCTION("""COMPUTED_VALUE"""),1245)</f>
        <v>1245</v>
      </c>
      <c r="Q36" s="1">
        <f ca="1">IFERROR(__xludf.DUMMYFUNCTION("""COMPUTED_VALUE"""),779)</f>
        <v>779</v>
      </c>
      <c r="R36" s="1">
        <f ca="1">IFERROR(__xludf.DUMMYFUNCTION("""COMPUTED_VALUE"""),1864)</f>
        <v>1864</v>
      </c>
      <c r="S36" s="1">
        <f ca="1">IFERROR(__xludf.DUMMYFUNCTION("""COMPUTED_VALUE"""),0.418)</f>
        <v>0.41799999999999998</v>
      </c>
      <c r="T36" s="1">
        <f ca="1">IFERROR(__xludf.DUMMYFUNCTION("""COMPUTED_VALUE"""),262)</f>
        <v>262</v>
      </c>
      <c r="U36" s="1">
        <f ca="1">IFERROR(__xludf.DUMMYFUNCTION("""COMPUTED_VALUE"""),809)</f>
        <v>809</v>
      </c>
      <c r="V36" s="1">
        <f ca="1">IFERROR(__xludf.DUMMYFUNCTION("""COMPUTED_VALUE"""),0.324)</f>
        <v>0.32400000000000001</v>
      </c>
      <c r="W36" s="1">
        <f ca="1">IFERROR(__xludf.DUMMYFUNCTION("""COMPUTED_VALUE"""),390)</f>
        <v>390</v>
      </c>
      <c r="X36" s="1">
        <f ca="1">IFERROR(__xludf.DUMMYFUNCTION("""COMPUTED_VALUE"""),576)</f>
        <v>576</v>
      </c>
      <c r="Y36" s="1">
        <f ca="1">IFERROR(__xludf.DUMMYFUNCTION("""COMPUTED_VALUE"""),0.677)</f>
        <v>0.67700000000000005</v>
      </c>
      <c r="Z36" s="1">
        <f ca="1">IFERROR(__xludf.DUMMYFUNCTION("""COMPUTED_VALUE"""),373)</f>
        <v>373</v>
      </c>
      <c r="AA36" s="1">
        <f ca="1">IFERROR(__xludf.DUMMYFUNCTION("""COMPUTED_VALUE"""),1251)</f>
        <v>1251</v>
      </c>
      <c r="AB36" s="1">
        <f ca="1">IFERROR(__xludf.DUMMYFUNCTION("""COMPUTED_VALUE"""),430)</f>
        <v>430</v>
      </c>
      <c r="AC36" s="1">
        <f ca="1">IFERROR(__xludf.DUMMYFUNCTION("""COMPUTED_VALUE"""),203)</f>
        <v>203</v>
      </c>
      <c r="AD36" s="1">
        <f ca="1">IFERROR(__xludf.DUMMYFUNCTION("""COMPUTED_VALUE"""),135)</f>
        <v>135</v>
      </c>
      <c r="AE36" s="1">
        <f ca="1">IFERROR(__xludf.DUMMYFUNCTION("""COMPUTED_VALUE"""),449)</f>
        <v>449</v>
      </c>
      <c r="AF36" s="1">
        <f ca="1">IFERROR(__xludf.DUMMYFUNCTION("""COMPUTED_VALUE"""),570)</f>
        <v>570</v>
      </c>
    </row>
    <row r="37" spans="1:32" x14ac:dyDescent="0.25">
      <c r="A37" s="1" t="str">
        <f ca="1">IFERROR(__xludf.DUMMYFUNCTION("""COMPUTED_VALUE"""),"Bucknell")</f>
        <v>Bucknell</v>
      </c>
      <c r="B37" s="1">
        <f ca="1">IFERROR(__xludf.DUMMYFUNCTION("""COMPUTED_VALUE"""),31)</f>
        <v>31</v>
      </c>
      <c r="C37" s="1">
        <f ca="1">IFERROR(__xludf.DUMMYFUNCTION("""COMPUTED_VALUE"""),12)</f>
        <v>12</v>
      </c>
      <c r="D37" s="1">
        <f ca="1">IFERROR(__xludf.DUMMYFUNCTION("""COMPUTED_VALUE"""),19)</f>
        <v>19</v>
      </c>
      <c r="E37" s="1">
        <f ca="1">IFERROR(__xludf.DUMMYFUNCTION("""COMPUTED_VALUE"""),0.387)</f>
        <v>0.38700000000000001</v>
      </c>
      <c r="F37" s="1">
        <f ca="1">IFERROR(__xludf.DUMMYFUNCTION("""COMPUTED_VALUE"""),-7.77)</f>
        <v>-7.77</v>
      </c>
      <c r="G37" s="1">
        <f ca="1">IFERROR(__xludf.DUMMYFUNCTION("""COMPUTED_VALUE"""),-3.87)</f>
        <v>-3.87</v>
      </c>
      <c r="H37" s="1">
        <f ca="1">IFERROR(__xludf.DUMMYFUNCTION("""COMPUTED_VALUE"""),8)</f>
        <v>8</v>
      </c>
      <c r="I37" s="1">
        <f ca="1">IFERROR(__xludf.DUMMYFUNCTION("""COMPUTED_VALUE"""),10)</f>
        <v>10</v>
      </c>
      <c r="J37" s="1">
        <f ca="1">IFERROR(__xludf.DUMMYFUNCTION("""COMPUTED_VALUE"""),8)</f>
        <v>8</v>
      </c>
      <c r="K37" s="1">
        <f ca="1">IFERROR(__xludf.DUMMYFUNCTION("""COMPUTED_VALUE"""),4)</f>
        <v>4</v>
      </c>
      <c r="L37" s="1">
        <f ca="1">IFERROR(__xludf.DUMMYFUNCTION("""COMPUTED_VALUE"""),3)</f>
        <v>3</v>
      </c>
      <c r="M37" s="1">
        <f ca="1">IFERROR(__xludf.DUMMYFUNCTION("""COMPUTED_VALUE"""),13)</f>
        <v>13</v>
      </c>
      <c r="N37" s="1">
        <f ca="1">IFERROR(__xludf.DUMMYFUNCTION("""COMPUTED_VALUE"""),2109)</f>
        <v>2109</v>
      </c>
      <c r="O37" s="1">
        <f ca="1">IFERROR(__xludf.DUMMYFUNCTION("""COMPUTED_VALUE"""),2230)</f>
        <v>2230</v>
      </c>
      <c r="P37" s="1">
        <f ca="1">IFERROR(__xludf.DUMMYFUNCTION("""COMPUTED_VALUE"""),1240)</f>
        <v>1240</v>
      </c>
      <c r="Q37" s="1">
        <f ca="1">IFERROR(__xludf.DUMMYFUNCTION("""COMPUTED_VALUE"""),746)</f>
        <v>746</v>
      </c>
      <c r="R37" s="1">
        <f ca="1">IFERROR(__xludf.DUMMYFUNCTION("""COMPUTED_VALUE"""),1790)</f>
        <v>1790</v>
      </c>
      <c r="S37" s="1">
        <f ca="1">IFERROR(__xludf.DUMMYFUNCTION("""COMPUTED_VALUE"""),0.417)</f>
        <v>0.41699999999999998</v>
      </c>
      <c r="T37" s="1">
        <f ca="1">IFERROR(__xludf.DUMMYFUNCTION("""COMPUTED_VALUE"""),258)</f>
        <v>258</v>
      </c>
      <c r="U37" s="1">
        <f ca="1">IFERROR(__xludf.DUMMYFUNCTION("""COMPUTED_VALUE"""),756)</f>
        <v>756</v>
      </c>
      <c r="V37" s="1">
        <f ca="1">IFERROR(__xludf.DUMMYFUNCTION("""COMPUTED_VALUE"""),0.341)</f>
        <v>0.34100000000000003</v>
      </c>
      <c r="W37" s="1">
        <f ca="1">IFERROR(__xludf.DUMMYFUNCTION("""COMPUTED_VALUE"""),359)</f>
        <v>359</v>
      </c>
      <c r="X37" s="1">
        <f ca="1">IFERROR(__xludf.DUMMYFUNCTION("""COMPUTED_VALUE"""),516)</f>
        <v>516</v>
      </c>
      <c r="Y37" s="1">
        <f ca="1">IFERROR(__xludf.DUMMYFUNCTION("""COMPUTED_VALUE"""),0.696)</f>
        <v>0.69599999999999995</v>
      </c>
      <c r="Z37" s="1">
        <f ca="1">IFERROR(__xludf.DUMMYFUNCTION("""COMPUTED_VALUE"""),272)</f>
        <v>272</v>
      </c>
      <c r="AA37" s="1">
        <f ca="1">IFERROR(__xludf.DUMMYFUNCTION("""COMPUTED_VALUE"""),1017)</f>
        <v>1017</v>
      </c>
      <c r="AB37" s="1">
        <f ca="1">IFERROR(__xludf.DUMMYFUNCTION("""COMPUTED_VALUE"""),376)</f>
        <v>376</v>
      </c>
      <c r="AC37" s="1">
        <f ca="1">IFERROR(__xludf.DUMMYFUNCTION("""COMPUTED_VALUE"""),218)</f>
        <v>218</v>
      </c>
      <c r="AD37" s="1">
        <f ca="1">IFERROR(__xludf.DUMMYFUNCTION("""COMPUTED_VALUE"""),108)</f>
        <v>108</v>
      </c>
      <c r="AE37" s="1">
        <f ca="1">IFERROR(__xludf.DUMMYFUNCTION("""COMPUTED_VALUE"""),412)</f>
        <v>412</v>
      </c>
      <c r="AF37" s="1">
        <f ca="1">IFERROR(__xludf.DUMMYFUNCTION("""COMPUTED_VALUE"""),593)</f>
        <v>593</v>
      </c>
    </row>
    <row r="38" spans="1:32" x14ac:dyDescent="0.25">
      <c r="A38" s="1" t="str">
        <f ca="1">IFERROR(__xludf.DUMMYFUNCTION("""COMPUTED_VALUE"""),"Buffalo")</f>
        <v>Buffalo</v>
      </c>
      <c r="B38" s="1">
        <f ca="1">IFERROR(__xludf.DUMMYFUNCTION("""COMPUTED_VALUE"""),29)</f>
        <v>29</v>
      </c>
      <c r="C38" s="1">
        <f ca="1">IFERROR(__xludf.DUMMYFUNCTION("""COMPUTED_VALUE"""),18)</f>
        <v>18</v>
      </c>
      <c r="D38" s="1">
        <f ca="1">IFERROR(__xludf.DUMMYFUNCTION("""COMPUTED_VALUE"""),11)</f>
        <v>11</v>
      </c>
      <c r="E38" s="1">
        <f ca="1">IFERROR(__xludf.DUMMYFUNCTION("""COMPUTED_VALUE"""),0.621)</f>
        <v>0.621</v>
      </c>
      <c r="F38" s="1">
        <f ca="1">IFERROR(__xludf.DUMMYFUNCTION("""COMPUTED_VALUE"""),2.14)</f>
        <v>2.14</v>
      </c>
      <c r="G38" s="1">
        <f ca="1">IFERROR(__xludf.DUMMYFUNCTION("""COMPUTED_VALUE"""),0.35)</f>
        <v>0.35</v>
      </c>
      <c r="H38" s="1">
        <f ca="1">IFERROR(__xludf.DUMMYFUNCTION("""COMPUTED_VALUE"""),9)</f>
        <v>9</v>
      </c>
      <c r="I38" s="1">
        <f ca="1">IFERROR(__xludf.DUMMYFUNCTION("""COMPUTED_VALUE"""),7)</f>
        <v>7</v>
      </c>
      <c r="J38" s="1">
        <f ca="1">IFERROR(__xludf.DUMMYFUNCTION("""COMPUTED_VALUE"""),9)</f>
        <v>9</v>
      </c>
      <c r="K38" s="1">
        <f ca="1">IFERROR(__xludf.DUMMYFUNCTION("""COMPUTED_VALUE"""),6)</f>
        <v>6</v>
      </c>
      <c r="L38" s="1">
        <f ca="1">IFERROR(__xludf.DUMMYFUNCTION("""COMPUTED_VALUE"""),6)</f>
        <v>6</v>
      </c>
      <c r="M38" s="1">
        <f ca="1">IFERROR(__xludf.DUMMYFUNCTION("""COMPUTED_VALUE"""),4)</f>
        <v>4</v>
      </c>
      <c r="N38" s="1">
        <f ca="1">IFERROR(__xludf.DUMMYFUNCTION("""COMPUTED_VALUE"""),2274)</f>
        <v>2274</v>
      </c>
      <c r="O38" s="1">
        <f ca="1">IFERROR(__xludf.DUMMYFUNCTION("""COMPUTED_VALUE"""),2187)</f>
        <v>2187</v>
      </c>
      <c r="P38" s="1">
        <f ca="1">IFERROR(__xludf.DUMMYFUNCTION("""COMPUTED_VALUE"""),1170)</f>
        <v>1170</v>
      </c>
      <c r="Q38" s="1">
        <f ca="1">IFERROR(__xludf.DUMMYFUNCTION("""COMPUTED_VALUE"""),841)</f>
        <v>841</v>
      </c>
      <c r="R38" s="1">
        <f ca="1">IFERROR(__xludf.DUMMYFUNCTION("""COMPUTED_VALUE"""),1953)</f>
        <v>1953</v>
      </c>
      <c r="S38" s="1">
        <f ca="1">IFERROR(__xludf.DUMMYFUNCTION("""COMPUTED_VALUE"""),0.431)</f>
        <v>0.43099999999999999</v>
      </c>
      <c r="T38" s="1">
        <f ca="1">IFERROR(__xludf.DUMMYFUNCTION("""COMPUTED_VALUE"""),241)</f>
        <v>241</v>
      </c>
      <c r="U38" s="1">
        <f ca="1">IFERROR(__xludf.DUMMYFUNCTION("""COMPUTED_VALUE"""),748)</f>
        <v>748</v>
      </c>
      <c r="V38" s="1">
        <f ca="1">IFERROR(__xludf.DUMMYFUNCTION("""COMPUTED_VALUE"""),0.322)</f>
        <v>0.32200000000000001</v>
      </c>
      <c r="W38" s="1">
        <f ca="1">IFERROR(__xludf.DUMMYFUNCTION("""COMPUTED_VALUE"""),351)</f>
        <v>351</v>
      </c>
      <c r="X38" s="1">
        <f ca="1">IFERROR(__xludf.DUMMYFUNCTION("""COMPUTED_VALUE"""),524)</f>
        <v>524</v>
      </c>
      <c r="Y38" s="1">
        <f ca="1">IFERROR(__xludf.DUMMYFUNCTION("""COMPUTED_VALUE"""),0.67)</f>
        <v>0.67</v>
      </c>
      <c r="Z38" s="1">
        <f ca="1">IFERROR(__xludf.DUMMYFUNCTION("""COMPUTED_VALUE"""),428)</f>
        <v>428</v>
      </c>
      <c r="AA38" s="1">
        <f ca="1">IFERROR(__xludf.DUMMYFUNCTION("""COMPUTED_VALUE"""),1228)</f>
        <v>1228</v>
      </c>
      <c r="AB38" s="1">
        <f ca="1">IFERROR(__xludf.DUMMYFUNCTION("""COMPUTED_VALUE"""),439)</f>
        <v>439</v>
      </c>
      <c r="AC38" s="1">
        <f ca="1">IFERROR(__xludf.DUMMYFUNCTION("""COMPUTED_VALUE"""),231)</f>
        <v>231</v>
      </c>
      <c r="AD38" s="1">
        <f ca="1">IFERROR(__xludf.DUMMYFUNCTION("""COMPUTED_VALUE"""),134)</f>
        <v>134</v>
      </c>
      <c r="AE38" s="1">
        <f ca="1">IFERROR(__xludf.DUMMYFUNCTION("""COMPUTED_VALUE"""),405)</f>
        <v>405</v>
      </c>
      <c r="AF38" s="1">
        <f ca="1">IFERROR(__xludf.DUMMYFUNCTION("""COMPUTED_VALUE"""),539)</f>
        <v>539</v>
      </c>
    </row>
    <row r="39" spans="1:32" x14ac:dyDescent="0.25">
      <c r="A39" s="1" t="str">
        <f ca="1">IFERROR(__xludf.DUMMYFUNCTION("""COMPUTED_VALUE"""),"Butler")</f>
        <v>Butler</v>
      </c>
      <c r="B39" s="1">
        <f ca="1">IFERROR(__xludf.DUMMYFUNCTION("""COMPUTED_VALUE"""),29)</f>
        <v>29</v>
      </c>
      <c r="C39" s="1">
        <f ca="1">IFERROR(__xludf.DUMMYFUNCTION("""COMPUTED_VALUE"""),20)</f>
        <v>20</v>
      </c>
      <c r="D39" s="1">
        <f ca="1">IFERROR(__xludf.DUMMYFUNCTION("""COMPUTED_VALUE"""),9)</f>
        <v>9</v>
      </c>
      <c r="E39" s="1">
        <f ca="1">IFERROR(__xludf.DUMMYFUNCTION("""COMPUTED_VALUE"""),0.69)</f>
        <v>0.69</v>
      </c>
      <c r="F39" s="1">
        <f ca="1">IFERROR(__xludf.DUMMYFUNCTION("""COMPUTED_VALUE"""),15.13)</f>
        <v>15.13</v>
      </c>
      <c r="G39" s="1">
        <f ca="1">IFERROR(__xludf.DUMMYFUNCTION("""COMPUTED_VALUE"""),9.06)</f>
        <v>9.06</v>
      </c>
      <c r="H39" s="1">
        <f ca="1">IFERROR(__xludf.DUMMYFUNCTION("""COMPUTED_VALUE"""),8)</f>
        <v>8</v>
      </c>
      <c r="I39" s="1">
        <f ca="1">IFERROR(__xludf.DUMMYFUNCTION("""COMPUTED_VALUE"""),8)</f>
        <v>8</v>
      </c>
      <c r="J39" s="1">
        <f ca="1">IFERROR(__xludf.DUMMYFUNCTION("""COMPUTED_VALUE"""),13)</f>
        <v>13</v>
      </c>
      <c r="K39" s="1">
        <f ca="1">IFERROR(__xludf.DUMMYFUNCTION("""COMPUTED_VALUE"""),3)</f>
        <v>3</v>
      </c>
      <c r="L39" s="1">
        <f ca="1">IFERROR(__xludf.DUMMYFUNCTION("""COMPUTED_VALUE"""),4)</f>
        <v>4</v>
      </c>
      <c r="M39" s="1">
        <f ca="1">IFERROR(__xludf.DUMMYFUNCTION("""COMPUTED_VALUE"""),6)</f>
        <v>6</v>
      </c>
      <c r="N39" s="1">
        <f ca="1">IFERROR(__xludf.DUMMYFUNCTION("""COMPUTED_VALUE"""),1976)</f>
        <v>1976</v>
      </c>
      <c r="O39" s="1">
        <f ca="1">IFERROR(__xludf.DUMMYFUNCTION("""COMPUTED_VALUE"""),1800)</f>
        <v>1800</v>
      </c>
      <c r="P39" s="1">
        <f ca="1">IFERROR(__xludf.DUMMYFUNCTION("""COMPUTED_VALUE"""),1165)</f>
        <v>1165</v>
      </c>
      <c r="Q39" s="1">
        <f ca="1">IFERROR(__xludf.DUMMYFUNCTION("""COMPUTED_VALUE"""),721)</f>
        <v>721</v>
      </c>
      <c r="R39" s="1">
        <f ca="1">IFERROR(__xludf.DUMMYFUNCTION("""COMPUTED_VALUE"""),1576)</f>
        <v>1576</v>
      </c>
      <c r="S39" s="1">
        <f ca="1">IFERROR(__xludf.DUMMYFUNCTION("""COMPUTED_VALUE"""),0.457)</f>
        <v>0.45700000000000002</v>
      </c>
      <c r="T39" s="1">
        <f ca="1">IFERROR(__xludf.DUMMYFUNCTION("""COMPUTED_VALUE"""),195)</f>
        <v>195</v>
      </c>
      <c r="U39" s="1">
        <f ca="1">IFERROR(__xludf.DUMMYFUNCTION("""COMPUTED_VALUE"""),584)</f>
        <v>584</v>
      </c>
      <c r="V39" s="1">
        <f ca="1">IFERROR(__xludf.DUMMYFUNCTION("""COMPUTED_VALUE"""),0.334)</f>
        <v>0.33400000000000002</v>
      </c>
      <c r="W39" s="1">
        <f ca="1">IFERROR(__xludf.DUMMYFUNCTION("""COMPUTED_VALUE"""),339)</f>
        <v>339</v>
      </c>
      <c r="X39" s="1">
        <f ca="1">IFERROR(__xludf.DUMMYFUNCTION("""COMPUTED_VALUE"""),464)</f>
        <v>464</v>
      </c>
      <c r="Y39" s="1">
        <f ca="1">IFERROR(__xludf.DUMMYFUNCTION("""COMPUTED_VALUE"""),0.731)</f>
        <v>0.73099999999999998</v>
      </c>
      <c r="Z39" s="1">
        <f ca="1">IFERROR(__xludf.DUMMYFUNCTION("""COMPUTED_VALUE"""),260)</f>
        <v>260</v>
      </c>
      <c r="AA39" s="1">
        <f ca="1">IFERROR(__xludf.DUMMYFUNCTION("""COMPUTED_VALUE"""),1003)</f>
        <v>1003</v>
      </c>
      <c r="AB39" s="1">
        <f ca="1">IFERROR(__xludf.DUMMYFUNCTION("""COMPUTED_VALUE"""),373)</f>
        <v>373</v>
      </c>
      <c r="AC39" s="1">
        <f ca="1">IFERROR(__xludf.DUMMYFUNCTION("""COMPUTED_VALUE"""),153)</f>
        <v>153</v>
      </c>
      <c r="AD39" s="1">
        <f ca="1">IFERROR(__xludf.DUMMYFUNCTION("""COMPUTED_VALUE"""),79)</f>
        <v>79</v>
      </c>
      <c r="AE39" s="1">
        <f ca="1">IFERROR(__xludf.DUMMYFUNCTION("""COMPUTED_VALUE"""),329)</f>
        <v>329</v>
      </c>
      <c r="AF39" s="1">
        <f ca="1">IFERROR(__xludf.DUMMYFUNCTION("""COMPUTED_VALUE"""),485)</f>
        <v>485</v>
      </c>
    </row>
    <row r="40" spans="1:32" x14ac:dyDescent="0.25">
      <c r="A40" s="1" t="str">
        <f ca="1">IFERROR(__xludf.DUMMYFUNCTION("""COMPUTED_VALUE"""),"Cal Poly")</f>
        <v>Cal Poly</v>
      </c>
      <c r="B40" s="1">
        <f ca="1">IFERROR(__xludf.DUMMYFUNCTION("""COMPUTED_VALUE"""),28)</f>
        <v>28</v>
      </c>
      <c r="C40" s="1">
        <f ca="1">IFERROR(__xludf.DUMMYFUNCTION("""COMPUTED_VALUE"""),7)</f>
        <v>7</v>
      </c>
      <c r="D40" s="1">
        <f ca="1">IFERROR(__xludf.DUMMYFUNCTION("""COMPUTED_VALUE"""),21)</f>
        <v>21</v>
      </c>
      <c r="E40" s="1">
        <f ca="1">IFERROR(__xludf.DUMMYFUNCTION("""COMPUTED_VALUE"""),0.25)</f>
        <v>0.25</v>
      </c>
      <c r="F40" s="1">
        <f ca="1">IFERROR(__xludf.DUMMYFUNCTION("""COMPUTED_VALUE"""),-10.02)</f>
        <v>-10.02</v>
      </c>
      <c r="G40" s="1">
        <f ca="1">IFERROR(__xludf.DUMMYFUNCTION("""COMPUTED_VALUE"""),-0.06)</f>
        <v>-0.06</v>
      </c>
      <c r="H40" s="1">
        <f ca="1">IFERROR(__xludf.DUMMYFUNCTION("""COMPUTED_VALUE"""),4)</f>
        <v>4</v>
      </c>
      <c r="I40" s="1">
        <f ca="1">IFERROR(__xludf.DUMMYFUNCTION("""COMPUTED_VALUE"""),10)</f>
        <v>10</v>
      </c>
      <c r="J40" s="1">
        <f ca="1">IFERROR(__xludf.DUMMYFUNCTION("""COMPUTED_VALUE"""),7)</f>
        <v>7</v>
      </c>
      <c r="K40" s="1">
        <f ca="1">IFERROR(__xludf.DUMMYFUNCTION("""COMPUTED_VALUE"""),6)</f>
        <v>6</v>
      </c>
      <c r="L40" s="1">
        <f ca="1">IFERROR(__xludf.DUMMYFUNCTION("""COMPUTED_VALUE"""),0)</f>
        <v>0</v>
      </c>
      <c r="M40" s="1">
        <f ca="1">IFERROR(__xludf.DUMMYFUNCTION("""COMPUTED_VALUE"""),13)</f>
        <v>13</v>
      </c>
      <c r="N40" s="1">
        <f ca="1">IFERROR(__xludf.DUMMYFUNCTION("""COMPUTED_VALUE"""),1887)</f>
        <v>1887</v>
      </c>
      <c r="O40" s="1">
        <f ca="1">IFERROR(__xludf.DUMMYFUNCTION("""COMPUTED_VALUE"""),2099)</f>
        <v>2099</v>
      </c>
      <c r="P40" s="1">
        <f ca="1">IFERROR(__xludf.DUMMYFUNCTION("""COMPUTED_VALUE"""),1150)</f>
        <v>1150</v>
      </c>
      <c r="Q40" s="1">
        <f ca="1">IFERROR(__xludf.DUMMYFUNCTION("""COMPUTED_VALUE"""),662)</f>
        <v>662</v>
      </c>
      <c r="R40" s="1">
        <f ca="1">IFERROR(__xludf.DUMMYFUNCTION("""COMPUTED_VALUE"""),1572)</f>
        <v>1572</v>
      </c>
      <c r="S40" s="1">
        <f ca="1">IFERROR(__xludf.DUMMYFUNCTION("""COMPUTED_VALUE"""),0.421)</f>
        <v>0.42099999999999999</v>
      </c>
      <c r="T40" s="1">
        <f ca="1">IFERROR(__xludf.DUMMYFUNCTION("""COMPUTED_VALUE"""),182)</f>
        <v>182</v>
      </c>
      <c r="U40" s="1">
        <f ca="1">IFERROR(__xludf.DUMMYFUNCTION("""COMPUTED_VALUE"""),530)</f>
        <v>530</v>
      </c>
      <c r="V40" s="1">
        <f ca="1">IFERROR(__xludf.DUMMYFUNCTION("""COMPUTED_VALUE"""),0.343)</f>
        <v>0.34300000000000003</v>
      </c>
      <c r="W40" s="1">
        <f ca="1">IFERROR(__xludf.DUMMYFUNCTION("""COMPUTED_VALUE"""),381)</f>
        <v>381</v>
      </c>
      <c r="X40" s="1">
        <f ca="1">IFERROR(__xludf.DUMMYFUNCTION("""COMPUTED_VALUE"""),553)</f>
        <v>553</v>
      </c>
      <c r="Y40" s="1">
        <f ca="1">IFERROR(__xludf.DUMMYFUNCTION("""COMPUTED_VALUE"""),0.689)</f>
        <v>0.68899999999999995</v>
      </c>
      <c r="Z40" s="1">
        <f ca="1">IFERROR(__xludf.DUMMYFUNCTION("""COMPUTED_VALUE"""),225)</f>
        <v>225</v>
      </c>
      <c r="AA40" s="1">
        <f ca="1">IFERROR(__xludf.DUMMYFUNCTION("""COMPUTED_VALUE"""),910)</f>
        <v>910</v>
      </c>
      <c r="AB40" s="1">
        <f ca="1">IFERROR(__xludf.DUMMYFUNCTION("""COMPUTED_VALUE"""),289)</f>
        <v>289</v>
      </c>
      <c r="AC40" s="1">
        <f ca="1">IFERROR(__xludf.DUMMYFUNCTION("""COMPUTED_VALUE"""),178)</f>
        <v>178</v>
      </c>
      <c r="AD40" s="1">
        <f ca="1">IFERROR(__xludf.DUMMYFUNCTION("""COMPUTED_VALUE"""),69)</f>
        <v>69</v>
      </c>
      <c r="AE40" s="1">
        <f ca="1">IFERROR(__xludf.DUMMYFUNCTION("""COMPUTED_VALUE"""),379)</f>
        <v>379</v>
      </c>
      <c r="AF40" s="1">
        <f ca="1">IFERROR(__xludf.DUMMYFUNCTION("""COMPUTED_VALUE"""),585)</f>
        <v>585</v>
      </c>
    </row>
    <row r="41" spans="1:32" x14ac:dyDescent="0.25">
      <c r="A41" s="1" t="str">
        <f ca="1">IFERROR(__xludf.DUMMYFUNCTION("""COMPUTED_VALUE"""),"Cal State Bakersfield")</f>
        <v>Cal State Bakersfield</v>
      </c>
      <c r="B41" s="1">
        <f ca="1">IFERROR(__xludf.DUMMYFUNCTION("""COMPUTED_VALUE"""),30)</f>
        <v>30</v>
      </c>
      <c r="C41" s="1">
        <f ca="1">IFERROR(__xludf.DUMMYFUNCTION("""COMPUTED_VALUE"""),12)</f>
        <v>12</v>
      </c>
      <c r="D41" s="1">
        <f ca="1">IFERROR(__xludf.DUMMYFUNCTION("""COMPUTED_VALUE"""),18)</f>
        <v>18</v>
      </c>
      <c r="E41" s="1">
        <f ca="1">IFERROR(__xludf.DUMMYFUNCTION("""COMPUTED_VALUE"""),0.4)</f>
        <v>0.4</v>
      </c>
      <c r="F41" s="1">
        <f ca="1">IFERROR(__xludf.DUMMYFUNCTION("""COMPUTED_VALUE"""),-6.97)</f>
        <v>-6.97</v>
      </c>
      <c r="G41" s="1">
        <f ca="1">IFERROR(__xludf.DUMMYFUNCTION("""COMPUTED_VALUE"""),-3.08)</f>
        <v>-3.08</v>
      </c>
      <c r="H41" s="1">
        <f ca="1">IFERROR(__xludf.DUMMYFUNCTION("""COMPUTED_VALUE"""),6)</f>
        <v>6</v>
      </c>
      <c r="I41" s="1">
        <f ca="1">IFERROR(__xludf.DUMMYFUNCTION("""COMPUTED_VALUE"""),9)</f>
        <v>9</v>
      </c>
      <c r="J41" s="1">
        <f ca="1">IFERROR(__xludf.DUMMYFUNCTION("""COMPUTED_VALUE"""),9)</f>
        <v>9</v>
      </c>
      <c r="K41" s="1">
        <f ca="1">IFERROR(__xludf.DUMMYFUNCTION("""COMPUTED_VALUE"""),7)</f>
        <v>7</v>
      </c>
      <c r="L41" s="1">
        <f ca="1">IFERROR(__xludf.DUMMYFUNCTION("""COMPUTED_VALUE"""),3)</f>
        <v>3</v>
      </c>
      <c r="M41" s="1">
        <f ca="1">IFERROR(__xludf.DUMMYFUNCTION("""COMPUTED_VALUE"""),11)</f>
        <v>11</v>
      </c>
      <c r="N41" s="1">
        <f ca="1">IFERROR(__xludf.DUMMYFUNCTION("""COMPUTED_VALUE"""),2048)</f>
        <v>2048</v>
      </c>
      <c r="O41" s="1">
        <f ca="1">IFERROR(__xludf.DUMMYFUNCTION("""COMPUTED_VALUE"""),2033)</f>
        <v>2033</v>
      </c>
      <c r="P41" s="1">
        <f ca="1">IFERROR(__xludf.DUMMYFUNCTION("""COMPUTED_VALUE"""),1225)</f>
        <v>1225</v>
      </c>
      <c r="Q41" s="1">
        <f ca="1">IFERROR(__xludf.DUMMYFUNCTION("""COMPUTED_VALUE"""),761)</f>
        <v>761</v>
      </c>
      <c r="R41" s="1">
        <f ca="1">IFERROR(__xludf.DUMMYFUNCTION("""COMPUTED_VALUE"""),1735)</f>
        <v>1735</v>
      </c>
      <c r="S41" s="1">
        <f ca="1">IFERROR(__xludf.DUMMYFUNCTION("""COMPUTED_VALUE"""),0.439)</f>
        <v>0.439</v>
      </c>
      <c r="T41" s="1">
        <f ca="1">IFERROR(__xludf.DUMMYFUNCTION("""COMPUTED_VALUE"""),150)</f>
        <v>150</v>
      </c>
      <c r="U41" s="1">
        <f ca="1">IFERROR(__xludf.DUMMYFUNCTION("""COMPUTED_VALUE"""),468)</f>
        <v>468</v>
      </c>
      <c r="V41" s="1">
        <f ca="1">IFERROR(__xludf.DUMMYFUNCTION("""COMPUTED_VALUE"""),0.321)</f>
        <v>0.32100000000000001</v>
      </c>
      <c r="W41" s="1">
        <f ca="1">IFERROR(__xludf.DUMMYFUNCTION("""COMPUTED_VALUE"""),376)</f>
        <v>376</v>
      </c>
      <c r="X41" s="1">
        <f ca="1">IFERROR(__xludf.DUMMYFUNCTION("""COMPUTED_VALUE"""),553)</f>
        <v>553</v>
      </c>
      <c r="Y41" s="1">
        <f ca="1">IFERROR(__xludf.DUMMYFUNCTION("""COMPUTED_VALUE"""),0.68)</f>
        <v>0.68</v>
      </c>
      <c r="Z41" s="1">
        <f ca="1">IFERROR(__xludf.DUMMYFUNCTION("""COMPUTED_VALUE"""),382)</f>
        <v>382</v>
      </c>
      <c r="AA41" s="1">
        <f ca="1">IFERROR(__xludf.DUMMYFUNCTION("""COMPUTED_VALUE"""),1112)</f>
        <v>1112</v>
      </c>
      <c r="AB41" s="1">
        <f ca="1">IFERROR(__xludf.DUMMYFUNCTION("""COMPUTED_VALUE"""),353)</f>
        <v>353</v>
      </c>
      <c r="AC41" s="1">
        <f ca="1">IFERROR(__xludf.DUMMYFUNCTION("""COMPUTED_VALUE"""),189)</f>
        <v>189</v>
      </c>
      <c r="AD41" s="1">
        <f ca="1">IFERROR(__xludf.DUMMYFUNCTION("""COMPUTED_VALUE"""),93)</f>
        <v>93</v>
      </c>
      <c r="AE41" s="1">
        <f ca="1">IFERROR(__xludf.DUMMYFUNCTION("""COMPUTED_VALUE"""),413)</f>
        <v>413</v>
      </c>
      <c r="AF41" s="1">
        <f ca="1">IFERROR(__xludf.DUMMYFUNCTION("""COMPUTED_VALUE"""),645)</f>
        <v>645</v>
      </c>
    </row>
    <row r="42" spans="1:32" x14ac:dyDescent="0.25">
      <c r="A42" s="1" t="str">
        <f ca="1">IFERROR(__xludf.DUMMYFUNCTION("""COMPUTED_VALUE"""),"Cal State Fullerton")</f>
        <v>Cal State Fullerton</v>
      </c>
      <c r="B42" s="1">
        <f ca="1">IFERROR(__xludf.DUMMYFUNCTION("""COMPUTED_VALUE"""),29)</f>
        <v>29</v>
      </c>
      <c r="C42" s="1">
        <f ca="1">IFERROR(__xludf.DUMMYFUNCTION("""COMPUTED_VALUE"""),10)</f>
        <v>10</v>
      </c>
      <c r="D42" s="1">
        <f ca="1">IFERROR(__xludf.DUMMYFUNCTION("""COMPUTED_VALUE"""),19)</f>
        <v>19</v>
      </c>
      <c r="E42" s="1">
        <f ca="1">IFERROR(__xludf.DUMMYFUNCTION("""COMPUTED_VALUE"""),0.345)</f>
        <v>0.34499999999999997</v>
      </c>
      <c r="F42" s="1">
        <f ca="1">IFERROR(__xludf.DUMMYFUNCTION("""COMPUTED_VALUE"""),-7.06)</f>
        <v>-7.06</v>
      </c>
      <c r="G42" s="1">
        <f ca="1">IFERROR(__xludf.DUMMYFUNCTION("""COMPUTED_VALUE"""),-1.1)</f>
        <v>-1.1000000000000001</v>
      </c>
      <c r="H42" s="1">
        <f ca="1">IFERROR(__xludf.DUMMYFUNCTION("""COMPUTED_VALUE"""),5)</f>
        <v>5</v>
      </c>
      <c r="I42" s="1">
        <f ca="1">IFERROR(__xludf.DUMMYFUNCTION("""COMPUTED_VALUE"""),9)</f>
        <v>9</v>
      </c>
      <c r="J42" s="1">
        <f ca="1">IFERROR(__xludf.DUMMYFUNCTION("""COMPUTED_VALUE"""),5)</f>
        <v>5</v>
      </c>
      <c r="K42" s="1">
        <f ca="1">IFERROR(__xludf.DUMMYFUNCTION("""COMPUTED_VALUE"""),8)</f>
        <v>8</v>
      </c>
      <c r="L42" s="1">
        <f ca="1">IFERROR(__xludf.DUMMYFUNCTION("""COMPUTED_VALUE"""),4)</f>
        <v>4</v>
      </c>
      <c r="M42" s="1">
        <f ca="1">IFERROR(__xludf.DUMMYFUNCTION("""COMPUTED_VALUE"""),10)</f>
        <v>10</v>
      </c>
      <c r="N42" s="1">
        <f ca="1">IFERROR(__xludf.DUMMYFUNCTION("""COMPUTED_VALUE"""),1999)</f>
        <v>1999</v>
      </c>
      <c r="O42" s="1">
        <f ca="1">IFERROR(__xludf.DUMMYFUNCTION("""COMPUTED_VALUE"""),2089)</f>
        <v>2089</v>
      </c>
      <c r="P42" s="1">
        <f ca="1">IFERROR(__xludf.DUMMYFUNCTION("""COMPUTED_VALUE"""),1185)</f>
        <v>1185</v>
      </c>
      <c r="Q42" s="1">
        <f ca="1">IFERROR(__xludf.DUMMYFUNCTION("""COMPUTED_VALUE"""),701)</f>
        <v>701</v>
      </c>
      <c r="R42" s="1">
        <f ca="1">IFERROR(__xludf.DUMMYFUNCTION("""COMPUTED_VALUE"""),1617)</f>
        <v>1617</v>
      </c>
      <c r="S42" s="1">
        <f ca="1">IFERROR(__xludf.DUMMYFUNCTION("""COMPUTED_VALUE"""),0.434)</f>
        <v>0.434</v>
      </c>
      <c r="T42" s="1">
        <f ca="1">IFERROR(__xludf.DUMMYFUNCTION("""COMPUTED_VALUE"""),181)</f>
        <v>181</v>
      </c>
      <c r="U42" s="1">
        <f ca="1">IFERROR(__xludf.DUMMYFUNCTION("""COMPUTED_VALUE"""),542)</f>
        <v>542</v>
      </c>
      <c r="V42" s="1">
        <f ca="1">IFERROR(__xludf.DUMMYFUNCTION("""COMPUTED_VALUE"""),0.334)</f>
        <v>0.33400000000000002</v>
      </c>
      <c r="W42" s="1">
        <f ca="1">IFERROR(__xludf.DUMMYFUNCTION("""COMPUTED_VALUE"""),416)</f>
        <v>416</v>
      </c>
      <c r="X42" s="1">
        <f ca="1">IFERROR(__xludf.DUMMYFUNCTION("""COMPUTED_VALUE"""),614)</f>
        <v>614</v>
      </c>
      <c r="Y42" s="1">
        <f ca="1">IFERROR(__xludf.DUMMYFUNCTION("""COMPUTED_VALUE"""),0.678)</f>
        <v>0.67800000000000005</v>
      </c>
      <c r="Z42" s="1">
        <f ca="1">IFERROR(__xludf.DUMMYFUNCTION("""COMPUTED_VALUE"""),232)</f>
        <v>232</v>
      </c>
      <c r="AA42" s="1">
        <f ca="1">IFERROR(__xludf.DUMMYFUNCTION("""COMPUTED_VALUE"""),977)</f>
        <v>977</v>
      </c>
      <c r="AB42" s="1">
        <f ca="1">IFERROR(__xludf.DUMMYFUNCTION("""COMPUTED_VALUE"""),330)</f>
        <v>330</v>
      </c>
      <c r="AC42" s="1">
        <f ca="1">IFERROR(__xludf.DUMMYFUNCTION("""COMPUTED_VALUE"""),147)</f>
        <v>147</v>
      </c>
      <c r="AD42" s="1">
        <f ca="1">IFERROR(__xludf.DUMMYFUNCTION("""COMPUTED_VALUE"""),85)</f>
        <v>85</v>
      </c>
      <c r="AE42" s="1">
        <f ca="1">IFERROR(__xludf.DUMMYFUNCTION("""COMPUTED_VALUE"""),381)</f>
        <v>381</v>
      </c>
      <c r="AF42" s="1">
        <f ca="1">IFERROR(__xludf.DUMMYFUNCTION("""COMPUTED_VALUE"""),538)</f>
        <v>538</v>
      </c>
    </row>
    <row r="43" spans="1:32" x14ac:dyDescent="0.25">
      <c r="A43" s="1" t="str">
        <f ca="1">IFERROR(__xludf.DUMMYFUNCTION("""COMPUTED_VALUE"""),"Cal State Northridge")</f>
        <v>Cal State Northridge</v>
      </c>
      <c r="B43" s="1">
        <f ca="1">IFERROR(__xludf.DUMMYFUNCTION("""COMPUTED_VALUE"""),30)</f>
        <v>30</v>
      </c>
      <c r="C43" s="1">
        <f ca="1">IFERROR(__xludf.DUMMYFUNCTION("""COMPUTED_VALUE"""),13)</f>
        <v>13</v>
      </c>
      <c r="D43" s="1">
        <f ca="1">IFERROR(__xludf.DUMMYFUNCTION("""COMPUTED_VALUE"""),17)</f>
        <v>17</v>
      </c>
      <c r="E43" s="1">
        <f ca="1">IFERROR(__xludf.DUMMYFUNCTION("""COMPUTED_VALUE"""),0.433)</f>
        <v>0.433</v>
      </c>
      <c r="F43" s="1">
        <f ca="1">IFERROR(__xludf.DUMMYFUNCTION("""COMPUTED_VALUE"""),-7.16)</f>
        <v>-7.16</v>
      </c>
      <c r="G43" s="1">
        <f ca="1">IFERROR(__xludf.DUMMYFUNCTION("""COMPUTED_VALUE"""),-1.16)</f>
        <v>-1.1599999999999999</v>
      </c>
      <c r="H43" s="1">
        <f ca="1">IFERROR(__xludf.DUMMYFUNCTION("""COMPUTED_VALUE"""),8)</f>
        <v>8</v>
      </c>
      <c r="I43" s="1">
        <f ca="1">IFERROR(__xludf.DUMMYFUNCTION("""COMPUTED_VALUE"""),6)</f>
        <v>6</v>
      </c>
      <c r="J43" s="1">
        <f ca="1">IFERROR(__xludf.DUMMYFUNCTION("""COMPUTED_VALUE"""),9)</f>
        <v>9</v>
      </c>
      <c r="K43" s="1">
        <f ca="1">IFERROR(__xludf.DUMMYFUNCTION("""COMPUTED_VALUE"""),4)</f>
        <v>4</v>
      </c>
      <c r="L43" s="1">
        <f ca="1">IFERROR(__xludf.DUMMYFUNCTION("""COMPUTED_VALUE"""),4)</f>
        <v>4</v>
      </c>
      <c r="M43" s="1">
        <f ca="1">IFERROR(__xludf.DUMMYFUNCTION("""COMPUTED_VALUE"""),12)</f>
        <v>12</v>
      </c>
      <c r="N43" s="1">
        <f ca="1">IFERROR(__xludf.DUMMYFUNCTION("""COMPUTED_VALUE"""),2277)</f>
        <v>2277</v>
      </c>
      <c r="O43" s="1">
        <f ca="1">IFERROR(__xludf.DUMMYFUNCTION("""COMPUTED_VALUE"""),2376)</f>
        <v>2376</v>
      </c>
      <c r="P43" s="1">
        <f ca="1">IFERROR(__xludf.DUMMYFUNCTION("""COMPUTED_VALUE"""),1200)</f>
        <v>1200</v>
      </c>
      <c r="Q43" s="1">
        <f ca="1">IFERROR(__xludf.DUMMYFUNCTION("""COMPUTED_VALUE"""),818)</f>
        <v>818</v>
      </c>
      <c r="R43" s="1">
        <f ca="1">IFERROR(__xludf.DUMMYFUNCTION("""COMPUTED_VALUE"""),1806)</f>
        <v>1806</v>
      </c>
      <c r="S43" s="1">
        <f ca="1">IFERROR(__xludf.DUMMYFUNCTION("""COMPUTED_VALUE"""),0.453)</f>
        <v>0.45300000000000001</v>
      </c>
      <c r="T43" s="1">
        <f ca="1">IFERROR(__xludf.DUMMYFUNCTION("""COMPUTED_VALUE"""),229)</f>
        <v>229</v>
      </c>
      <c r="U43" s="1">
        <f ca="1">IFERROR(__xludf.DUMMYFUNCTION("""COMPUTED_VALUE"""),620)</f>
        <v>620</v>
      </c>
      <c r="V43" s="1">
        <f ca="1">IFERROR(__xludf.DUMMYFUNCTION("""COMPUTED_VALUE"""),0.369)</f>
        <v>0.36899999999999999</v>
      </c>
      <c r="W43" s="1">
        <f ca="1">IFERROR(__xludf.DUMMYFUNCTION("""COMPUTED_VALUE"""),412)</f>
        <v>412</v>
      </c>
      <c r="X43" s="1">
        <f ca="1">IFERROR(__xludf.DUMMYFUNCTION("""COMPUTED_VALUE"""),568)</f>
        <v>568</v>
      </c>
      <c r="Y43" s="1">
        <f ca="1">IFERROR(__xludf.DUMMYFUNCTION("""COMPUTED_VALUE"""),0.725)</f>
        <v>0.72499999999999998</v>
      </c>
      <c r="Z43" s="1">
        <f ca="1">IFERROR(__xludf.DUMMYFUNCTION("""COMPUTED_VALUE"""),265)</f>
        <v>265</v>
      </c>
      <c r="AA43" s="1">
        <f ca="1">IFERROR(__xludf.DUMMYFUNCTION("""COMPUTED_VALUE"""),996)</f>
        <v>996</v>
      </c>
      <c r="AB43" s="1">
        <f ca="1">IFERROR(__xludf.DUMMYFUNCTION("""COMPUTED_VALUE"""),424)</f>
        <v>424</v>
      </c>
      <c r="AC43" s="1">
        <f ca="1">IFERROR(__xludf.DUMMYFUNCTION("""COMPUTED_VALUE"""),172)</f>
        <v>172</v>
      </c>
      <c r="AD43" s="1">
        <f ca="1">IFERROR(__xludf.DUMMYFUNCTION("""COMPUTED_VALUE"""),89)</f>
        <v>89</v>
      </c>
      <c r="AE43" s="1">
        <f ca="1">IFERROR(__xludf.DUMMYFUNCTION("""COMPUTED_VALUE"""),340)</f>
        <v>340</v>
      </c>
      <c r="AF43" s="1">
        <f ca="1">IFERROR(__xludf.DUMMYFUNCTION("""COMPUTED_VALUE"""),529)</f>
        <v>529</v>
      </c>
    </row>
    <row r="44" spans="1:32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x14ac:dyDescent="0.25">
      <c r="A46" s="1" t="str">
        <f ca="1">IFERROR(__xludf.DUMMYFUNCTION("""COMPUTED_VALUE"""),"California Baptist")</f>
        <v>California Baptist</v>
      </c>
      <c r="B46" s="1">
        <f ca="1">IFERROR(__xludf.DUMMYFUNCTION("""COMPUTED_VALUE"""),29)</f>
        <v>29</v>
      </c>
      <c r="C46" s="1">
        <f ca="1">IFERROR(__xludf.DUMMYFUNCTION("""COMPUTED_VALUE"""),21)</f>
        <v>21</v>
      </c>
      <c r="D46" s="1">
        <f ca="1">IFERROR(__xludf.DUMMYFUNCTION("""COMPUTED_VALUE"""),8)</f>
        <v>8</v>
      </c>
      <c r="E46" s="1">
        <f ca="1">IFERROR(__xludf.DUMMYFUNCTION("""COMPUTED_VALUE"""),0.724)</f>
        <v>0.72399999999999998</v>
      </c>
      <c r="F46" s="1">
        <f ca="1">IFERROR(__xludf.DUMMYFUNCTION("""COMPUTED_VALUE"""),-0.53)</f>
        <v>-0.53</v>
      </c>
      <c r="G46" s="1">
        <f ca="1">IFERROR(__xludf.DUMMYFUNCTION("""COMPUTED_VALUE"""),-7.01)</f>
        <v>-7.01</v>
      </c>
      <c r="H46" s="1">
        <f ca="1">IFERROR(__xludf.DUMMYFUNCTION("""COMPUTED_VALUE"""),10)</f>
        <v>10</v>
      </c>
      <c r="I46" s="1">
        <f ca="1">IFERROR(__xludf.DUMMYFUNCTION("""COMPUTED_VALUE"""),4)</f>
        <v>4</v>
      </c>
      <c r="J46" s="1">
        <f ca="1">IFERROR(__xludf.DUMMYFUNCTION("""COMPUTED_VALUE"""),15)</f>
        <v>15</v>
      </c>
      <c r="K46" s="1">
        <f ca="1">IFERROR(__xludf.DUMMYFUNCTION("""COMPUTED_VALUE"""),5)</f>
        <v>5</v>
      </c>
      <c r="L46" s="1">
        <f ca="1">IFERROR(__xludf.DUMMYFUNCTION("""COMPUTED_VALUE"""),6)</f>
        <v>6</v>
      </c>
      <c r="M46" s="1">
        <f ca="1">IFERROR(__xludf.DUMMYFUNCTION("""COMPUTED_VALUE"""),3)</f>
        <v>3</v>
      </c>
      <c r="N46" s="1">
        <f ca="1">IFERROR(__xludf.DUMMYFUNCTION("""COMPUTED_VALUE"""),2339)</f>
        <v>2339</v>
      </c>
      <c r="O46" s="1">
        <f ca="1">IFERROR(__xludf.DUMMYFUNCTION("""COMPUTED_VALUE"""),2008)</f>
        <v>2008</v>
      </c>
      <c r="P46" s="1">
        <f ca="1">IFERROR(__xludf.DUMMYFUNCTION("""COMPUTED_VALUE"""),1170)</f>
        <v>1170</v>
      </c>
      <c r="Q46" s="1">
        <f ca="1">IFERROR(__xludf.DUMMYFUNCTION("""COMPUTED_VALUE"""),786)</f>
        <v>786</v>
      </c>
      <c r="R46" s="1">
        <f ca="1">IFERROR(__xludf.DUMMYFUNCTION("""COMPUTED_VALUE"""),1749)</f>
        <v>1749</v>
      </c>
      <c r="S46" s="1">
        <f ca="1">IFERROR(__xludf.DUMMYFUNCTION("""COMPUTED_VALUE"""),0.449)</f>
        <v>0.44900000000000001</v>
      </c>
      <c r="T46" s="1">
        <f ca="1">IFERROR(__xludf.DUMMYFUNCTION("""COMPUTED_VALUE"""),289)</f>
        <v>289</v>
      </c>
      <c r="U46" s="1">
        <f ca="1">IFERROR(__xludf.DUMMYFUNCTION("""COMPUTED_VALUE"""),757)</f>
        <v>757</v>
      </c>
      <c r="V46" s="1">
        <f ca="1">IFERROR(__xludf.DUMMYFUNCTION("""COMPUTED_VALUE"""),0.382)</f>
        <v>0.38200000000000001</v>
      </c>
      <c r="W46" s="1">
        <f ca="1">IFERROR(__xludf.DUMMYFUNCTION("""COMPUTED_VALUE"""),478)</f>
        <v>478</v>
      </c>
      <c r="X46" s="1">
        <f ca="1">IFERROR(__xludf.DUMMYFUNCTION("""COMPUTED_VALUE"""),610)</f>
        <v>610</v>
      </c>
      <c r="Y46" s="1">
        <f ca="1">IFERROR(__xludf.DUMMYFUNCTION("""COMPUTED_VALUE"""),0.784)</f>
        <v>0.78400000000000003</v>
      </c>
      <c r="Z46" s="1">
        <f ca="1">IFERROR(__xludf.DUMMYFUNCTION("""COMPUTED_VALUE"""),336)</f>
        <v>336</v>
      </c>
      <c r="AA46" s="1">
        <f ca="1">IFERROR(__xludf.DUMMYFUNCTION("""COMPUTED_VALUE"""),1189)</f>
        <v>1189</v>
      </c>
      <c r="AB46" s="1">
        <f ca="1">IFERROR(__xludf.DUMMYFUNCTION("""COMPUTED_VALUE"""),423)</f>
        <v>423</v>
      </c>
      <c r="AC46" s="1">
        <f ca="1">IFERROR(__xludf.DUMMYFUNCTION("""COMPUTED_VALUE"""),124)</f>
        <v>124</v>
      </c>
      <c r="AD46" s="1">
        <f ca="1">IFERROR(__xludf.DUMMYFUNCTION("""COMPUTED_VALUE"""),107)</f>
        <v>107</v>
      </c>
      <c r="AE46" s="1">
        <f ca="1">IFERROR(__xludf.DUMMYFUNCTION("""COMPUTED_VALUE"""),364)</f>
        <v>364</v>
      </c>
      <c r="AF46" s="1">
        <f ca="1">IFERROR(__xludf.DUMMYFUNCTION("""COMPUTED_VALUE"""),532)</f>
        <v>532</v>
      </c>
    </row>
    <row r="47" spans="1:32" x14ac:dyDescent="0.25">
      <c r="A47" s="1" t="str">
        <f ca="1">IFERROR(__xludf.DUMMYFUNCTION("""COMPUTED_VALUE"""),"UC-Davis")</f>
        <v>UC-Davis</v>
      </c>
      <c r="B47" s="1">
        <f ca="1">IFERROR(__xludf.DUMMYFUNCTION("""COMPUTED_VALUE"""),30)</f>
        <v>30</v>
      </c>
      <c r="C47" s="1">
        <f ca="1">IFERROR(__xludf.DUMMYFUNCTION("""COMPUTED_VALUE"""),14)</f>
        <v>14</v>
      </c>
      <c r="D47" s="1">
        <f ca="1">IFERROR(__xludf.DUMMYFUNCTION("""COMPUTED_VALUE"""),16)</f>
        <v>16</v>
      </c>
      <c r="E47" s="1">
        <f ca="1">IFERROR(__xludf.DUMMYFUNCTION("""COMPUTED_VALUE"""),0.467)</f>
        <v>0.46700000000000003</v>
      </c>
      <c r="F47" s="1">
        <f ca="1">IFERROR(__xludf.DUMMYFUNCTION("""COMPUTED_VALUE"""),-4.57)</f>
        <v>-4.57</v>
      </c>
      <c r="G47" s="1">
        <f ca="1">IFERROR(__xludf.DUMMYFUNCTION("""COMPUTED_VALUE"""),-2.61)</f>
        <v>-2.61</v>
      </c>
      <c r="H47" s="1">
        <f ca="1">IFERROR(__xludf.DUMMYFUNCTION("""COMPUTED_VALUE"""),8)</f>
        <v>8</v>
      </c>
      <c r="I47" s="1">
        <f ca="1">IFERROR(__xludf.DUMMYFUNCTION("""COMPUTED_VALUE"""),6)</f>
        <v>6</v>
      </c>
      <c r="J47" s="1">
        <f ca="1">IFERROR(__xludf.DUMMYFUNCTION("""COMPUTED_VALUE"""),8)</f>
        <v>8</v>
      </c>
      <c r="K47" s="1">
        <f ca="1">IFERROR(__xludf.DUMMYFUNCTION("""COMPUTED_VALUE"""),3)</f>
        <v>3</v>
      </c>
      <c r="L47" s="1">
        <f ca="1">IFERROR(__xludf.DUMMYFUNCTION("""COMPUTED_VALUE"""),5)</f>
        <v>5</v>
      </c>
      <c r="M47" s="1">
        <f ca="1">IFERROR(__xludf.DUMMYFUNCTION("""COMPUTED_VALUE"""),11)</f>
        <v>11</v>
      </c>
      <c r="N47" s="1">
        <f ca="1">IFERROR(__xludf.DUMMYFUNCTION("""COMPUTED_VALUE"""),2204)</f>
        <v>2204</v>
      </c>
      <c r="O47" s="1">
        <f ca="1">IFERROR(__xludf.DUMMYFUNCTION("""COMPUTED_VALUE"""),2153)</f>
        <v>2153</v>
      </c>
      <c r="P47" s="1">
        <f ca="1">IFERROR(__xludf.DUMMYFUNCTION("""COMPUTED_VALUE"""),1210)</f>
        <v>1210</v>
      </c>
      <c r="Q47" s="1">
        <f ca="1">IFERROR(__xludf.DUMMYFUNCTION("""COMPUTED_VALUE"""),769)</f>
        <v>769</v>
      </c>
      <c r="R47" s="1">
        <f ca="1">IFERROR(__xludf.DUMMYFUNCTION("""COMPUTED_VALUE"""),1659)</f>
        <v>1659</v>
      </c>
      <c r="S47" s="1">
        <f ca="1">IFERROR(__xludf.DUMMYFUNCTION("""COMPUTED_VALUE"""),0.464)</f>
        <v>0.46400000000000002</v>
      </c>
      <c r="T47" s="1">
        <f ca="1">IFERROR(__xludf.DUMMYFUNCTION("""COMPUTED_VALUE"""),242)</f>
        <v>242</v>
      </c>
      <c r="U47" s="1">
        <f ca="1">IFERROR(__xludf.DUMMYFUNCTION("""COMPUTED_VALUE"""),615)</f>
        <v>615</v>
      </c>
      <c r="V47" s="1">
        <f ca="1">IFERROR(__xludf.DUMMYFUNCTION("""COMPUTED_VALUE"""),0.393)</f>
        <v>0.39300000000000002</v>
      </c>
      <c r="W47" s="1">
        <f ca="1">IFERROR(__xludf.DUMMYFUNCTION("""COMPUTED_VALUE"""),424)</f>
        <v>424</v>
      </c>
      <c r="X47" s="1">
        <f ca="1">IFERROR(__xludf.DUMMYFUNCTION("""COMPUTED_VALUE"""),539)</f>
        <v>539</v>
      </c>
      <c r="Y47" s="1">
        <f ca="1">IFERROR(__xludf.DUMMYFUNCTION("""COMPUTED_VALUE"""),0.787)</f>
        <v>0.78700000000000003</v>
      </c>
      <c r="Z47" s="1">
        <f ca="1">IFERROR(__xludf.DUMMYFUNCTION("""COMPUTED_VALUE"""),217)</f>
        <v>217</v>
      </c>
      <c r="AA47" s="1">
        <f ca="1">IFERROR(__xludf.DUMMYFUNCTION("""COMPUTED_VALUE"""),919)</f>
        <v>919</v>
      </c>
      <c r="AB47" s="1">
        <f ca="1">IFERROR(__xludf.DUMMYFUNCTION("""COMPUTED_VALUE"""),383)</f>
        <v>383</v>
      </c>
      <c r="AC47" s="1">
        <f ca="1">IFERROR(__xludf.DUMMYFUNCTION("""COMPUTED_VALUE"""),174)</f>
        <v>174</v>
      </c>
      <c r="AD47" s="1">
        <f ca="1">IFERROR(__xludf.DUMMYFUNCTION("""COMPUTED_VALUE"""),53)</f>
        <v>53</v>
      </c>
      <c r="AE47" s="1">
        <f ca="1">IFERROR(__xludf.DUMMYFUNCTION("""COMPUTED_VALUE"""),384)</f>
        <v>384</v>
      </c>
      <c r="AF47" s="1">
        <f ca="1">IFERROR(__xludf.DUMMYFUNCTION("""COMPUTED_VALUE"""),563)</f>
        <v>563</v>
      </c>
    </row>
    <row r="48" spans="1:32" x14ac:dyDescent="0.25">
      <c r="A48" s="1" t="str">
        <f ca="1">IFERROR(__xludf.DUMMYFUNCTION("""COMPUTED_VALUE"""),"UC-Irvine")</f>
        <v>UC-Irvine</v>
      </c>
      <c r="B48" s="1">
        <f ca="1">IFERROR(__xludf.DUMMYFUNCTION("""COMPUTED_VALUE"""),31)</f>
        <v>31</v>
      </c>
      <c r="C48" s="1">
        <f ca="1">IFERROR(__xludf.DUMMYFUNCTION("""COMPUTED_VALUE"""),21)</f>
        <v>21</v>
      </c>
      <c r="D48" s="1">
        <f ca="1">IFERROR(__xludf.DUMMYFUNCTION("""COMPUTED_VALUE"""),10)</f>
        <v>10</v>
      </c>
      <c r="E48" s="1">
        <f ca="1">IFERROR(__xludf.DUMMYFUNCTION("""COMPUTED_VALUE"""),0.677)</f>
        <v>0.67700000000000005</v>
      </c>
      <c r="F48" s="1">
        <f ca="1">IFERROR(__xludf.DUMMYFUNCTION("""COMPUTED_VALUE"""),4.25)</f>
        <v>4.25</v>
      </c>
      <c r="G48" s="1">
        <f ca="1">IFERROR(__xludf.DUMMYFUNCTION("""COMPUTED_VALUE"""),-1.92)</f>
        <v>-1.92</v>
      </c>
      <c r="H48" s="1">
        <f ca="1">IFERROR(__xludf.DUMMYFUNCTION("""COMPUTED_VALUE"""),13)</f>
        <v>13</v>
      </c>
      <c r="I48" s="1">
        <f ca="1">IFERROR(__xludf.DUMMYFUNCTION("""COMPUTED_VALUE"""),2)</f>
        <v>2</v>
      </c>
      <c r="J48" s="1">
        <f ca="1">IFERROR(__xludf.DUMMYFUNCTION("""COMPUTED_VALUE"""),11)</f>
        <v>11</v>
      </c>
      <c r="K48" s="1">
        <f ca="1">IFERROR(__xludf.DUMMYFUNCTION("""COMPUTED_VALUE"""),1)</f>
        <v>1</v>
      </c>
      <c r="L48" s="1">
        <f ca="1">IFERROR(__xludf.DUMMYFUNCTION("""COMPUTED_VALUE"""),8)</f>
        <v>8</v>
      </c>
      <c r="M48" s="1">
        <f ca="1">IFERROR(__xludf.DUMMYFUNCTION("""COMPUTED_VALUE"""),8)</f>
        <v>8</v>
      </c>
      <c r="N48" s="1">
        <f ca="1">IFERROR(__xludf.DUMMYFUNCTION("""COMPUTED_VALUE"""),2297)</f>
        <v>2297</v>
      </c>
      <c r="O48" s="1">
        <f ca="1">IFERROR(__xludf.DUMMYFUNCTION("""COMPUTED_VALUE"""),2015)</f>
        <v>2015</v>
      </c>
      <c r="P48" s="1">
        <f ca="1">IFERROR(__xludf.DUMMYFUNCTION("""COMPUTED_VALUE"""),1240)</f>
        <v>1240</v>
      </c>
      <c r="Q48" s="1">
        <f ca="1">IFERROR(__xludf.DUMMYFUNCTION("""COMPUTED_VALUE"""),859)</f>
        <v>859</v>
      </c>
      <c r="R48" s="1">
        <f ca="1">IFERROR(__xludf.DUMMYFUNCTION("""COMPUTED_VALUE"""),1812)</f>
        <v>1812</v>
      </c>
      <c r="S48" s="1">
        <f ca="1">IFERROR(__xludf.DUMMYFUNCTION("""COMPUTED_VALUE"""),0.474)</f>
        <v>0.47399999999999998</v>
      </c>
      <c r="T48" s="1">
        <f ca="1">IFERROR(__xludf.DUMMYFUNCTION("""COMPUTED_VALUE"""),190)</f>
        <v>190</v>
      </c>
      <c r="U48" s="1">
        <f ca="1">IFERROR(__xludf.DUMMYFUNCTION("""COMPUTED_VALUE"""),537)</f>
        <v>537</v>
      </c>
      <c r="V48" s="1">
        <f ca="1">IFERROR(__xludf.DUMMYFUNCTION("""COMPUTED_VALUE"""),0.354)</f>
        <v>0.35399999999999998</v>
      </c>
      <c r="W48" s="1">
        <f ca="1">IFERROR(__xludf.DUMMYFUNCTION("""COMPUTED_VALUE"""),389)</f>
        <v>389</v>
      </c>
      <c r="X48" s="1">
        <f ca="1">IFERROR(__xludf.DUMMYFUNCTION("""COMPUTED_VALUE"""),525)</f>
        <v>525</v>
      </c>
      <c r="Y48" s="1">
        <f ca="1">IFERROR(__xludf.DUMMYFUNCTION("""COMPUTED_VALUE"""),0.741)</f>
        <v>0.74099999999999999</v>
      </c>
      <c r="Z48" s="1">
        <f ca="1">IFERROR(__xludf.DUMMYFUNCTION("""COMPUTED_VALUE"""),349)</f>
        <v>349</v>
      </c>
      <c r="AA48" s="1">
        <f ca="1">IFERROR(__xludf.DUMMYFUNCTION("""COMPUTED_VALUE"""),1226)</f>
        <v>1226</v>
      </c>
      <c r="AB48" s="1">
        <f ca="1">IFERROR(__xludf.DUMMYFUNCTION("""COMPUTED_VALUE"""),457)</f>
        <v>457</v>
      </c>
      <c r="AC48" s="1">
        <f ca="1">IFERROR(__xludf.DUMMYFUNCTION("""COMPUTED_VALUE"""),199)</f>
        <v>199</v>
      </c>
      <c r="AD48" s="1">
        <f ca="1">IFERROR(__xludf.DUMMYFUNCTION("""COMPUTED_VALUE"""),114)</f>
        <v>114</v>
      </c>
      <c r="AE48" s="1">
        <f ca="1">IFERROR(__xludf.DUMMYFUNCTION("""COMPUTED_VALUE"""),433)</f>
        <v>433</v>
      </c>
      <c r="AF48" s="1">
        <f ca="1">IFERROR(__xludf.DUMMYFUNCTION("""COMPUTED_VALUE"""),573)</f>
        <v>573</v>
      </c>
    </row>
    <row r="49" spans="1:32" x14ac:dyDescent="0.25">
      <c r="A49" s="1" t="str">
        <f ca="1">IFERROR(__xludf.DUMMYFUNCTION("""COMPUTED_VALUE"""),"UC-Riverside")</f>
        <v>UC-Riverside</v>
      </c>
      <c r="B49" s="1">
        <f ca="1">IFERROR(__xludf.DUMMYFUNCTION("""COMPUTED_VALUE"""),31)</f>
        <v>31</v>
      </c>
      <c r="C49" s="1">
        <f ca="1">IFERROR(__xludf.DUMMYFUNCTION("""COMPUTED_VALUE"""),16)</f>
        <v>16</v>
      </c>
      <c r="D49" s="1">
        <f ca="1">IFERROR(__xludf.DUMMYFUNCTION("""COMPUTED_VALUE"""),15)</f>
        <v>15</v>
      </c>
      <c r="E49" s="1">
        <f ca="1">IFERROR(__xludf.DUMMYFUNCTION("""COMPUTED_VALUE"""),0.516)</f>
        <v>0.51600000000000001</v>
      </c>
      <c r="F49" s="1">
        <f ca="1">IFERROR(__xludf.DUMMYFUNCTION("""COMPUTED_VALUE"""),-3.59)</f>
        <v>-3.59</v>
      </c>
      <c r="G49" s="1">
        <f ca="1">IFERROR(__xludf.DUMMYFUNCTION("""COMPUTED_VALUE"""),-3.99)</f>
        <v>-3.99</v>
      </c>
      <c r="H49" s="1">
        <f ca="1">IFERROR(__xludf.DUMMYFUNCTION("""COMPUTED_VALUE"""),6)</f>
        <v>6</v>
      </c>
      <c r="I49" s="1">
        <f ca="1">IFERROR(__xludf.DUMMYFUNCTION("""COMPUTED_VALUE"""),9)</f>
        <v>9</v>
      </c>
      <c r="J49" s="1">
        <f ca="1">IFERROR(__xludf.DUMMYFUNCTION("""COMPUTED_VALUE"""),10)</f>
        <v>10</v>
      </c>
      <c r="K49" s="1">
        <f ca="1">IFERROR(__xludf.DUMMYFUNCTION("""COMPUTED_VALUE"""),5)</f>
        <v>5</v>
      </c>
      <c r="L49" s="1">
        <f ca="1">IFERROR(__xludf.DUMMYFUNCTION("""COMPUTED_VALUE"""),6)</f>
        <v>6</v>
      </c>
      <c r="M49" s="1">
        <f ca="1">IFERROR(__xludf.DUMMYFUNCTION("""COMPUTED_VALUE"""),10)</f>
        <v>10</v>
      </c>
      <c r="N49" s="1">
        <f ca="1">IFERROR(__xludf.DUMMYFUNCTION("""COMPUTED_VALUE"""),1993)</f>
        <v>1993</v>
      </c>
      <c r="O49" s="1">
        <f ca="1">IFERROR(__xludf.DUMMYFUNCTION("""COMPUTED_VALUE"""),1878)</f>
        <v>1878</v>
      </c>
      <c r="P49" s="1">
        <f ca="1">IFERROR(__xludf.DUMMYFUNCTION("""COMPUTED_VALUE"""),1245)</f>
        <v>1245</v>
      </c>
      <c r="Q49" s="1">
        <f ca="1">IFERROR(__xludf.DUMMYFUNCTION("""COMPUTED_VALUE"""),720)</f>
        <v>720</v>
      </c>
      <c r="R49" s="1">
        <f ca="1">IFERROR(__xludf.DUMMYFUNCTION("""COMPUTED_VALUE"""),1659)</f>
        <v>1659</v>
      </c>
      <c r="S49" s="1">
        <f ca="1">IFERROR(__xludf.DUMMYFUNCTION("""COMPUTED_VALUE"""),0.434)</f>
        <v>0.434</v>
      </c>
      <c r="T49" s="1">
        <f ca="1">IFERROR(__xludf.DUMMYFUNCTION("""COMPUTED_VALUE"""),243)</f>
        <v>243</v>
      </c>
      <c r="U49" s="1">
        <f ca="1">IFERROR(__xludf.DUMMYFUNCTION("""COMPUTED_VALUE"""),698)</f>
        <v>698</v>
      </c>
      <c r="V49" s="1">
        <f ca="1">IFERROR(__xludf.DUMMYFUNCTION("""COMPUTED_VALUE"""),0.348)</f>
        <v>0.34799999999999998</v>
      </c>
      <c r="W49" s="1">
        <f ca="1">IFERROR(__xludf.DUMMYFUNCTION("""COMPUTED_VALUE"""),310)</f>
        <v>310</v>
      </c>
      <c r="X49" s="1">
        <f ca="1">IFERROR(__xludf.DUMMYFUNCTION("""COMPUTED_VALUE"""),449)</f>
        <v>449</v>
      </c>
      <c r="Y49" s="1">
        <f ca="1">IFERROR(__xludf.DUMMYFUNCTION("""COMPUTED_VALUE"""),0.69)</f>
        <v>0.69</v>
      </c>
      <c r="Z49" s="1">
        <f ca="1">IFERROR(__xludf.DUMMYFUNCTION("""COMPUTED_VALUE"""),277)</f>
        <v>277</v>
      </c>
      <c r="AA49" s="1">
        <f ca="1">IFERROR(__xludf.DUMMYFUNCTION("""COMPUTED_VALUE"""),1116)</f>
        <v>1116</v>
      </c>
      <c r="AB49" s="1">
        <f ca="1">IFERROR(__xludf.DUMMYFUNCTION("""COMPUTED_VALUE"""),378)</f>
        <v>378</v>
      </c>
      <c r="AC49" s="1">
        <f ca="1">IFERROR(__xludf.DUMMYFUNCTION("""COMPUTED_VALUE"""),156)</f>
        <v>156</v>
      </c>
      <c r="AD49" s="1">
        <f ca="1">IFERROR(__xludf.DUMMYFUNCTION("""COMPUTED_VALUE"""),80)</f>
        <v>80</v>
      </c>
      <c r="AE49" s="1">
        <f ca="1">IFERROR(__xludf.DUMMYFUNCTION("""COMPUTED_VALUE"""),409)</f>
        <v>409</v>
      </c>
      <c r="AF49" s="1">
        <f ca="1">IFERROR(__xludf.DUMMYFUNCTION("""COMPUTED_VALUE"""),545)</f>
        <v>545</v>
      </c>
    </row>
    <row r="50" spans="1:32" x14ac:dyDescent="0.25">
      <c r="A50" s="1" t="str">
        <f ca="1">IFERROR(__xludf.DUMMYFUNCTION("""COMPUTED_VALUE"""),"UC-Santa Barbara")</f>
        <v>UC-Santa Barbara</v>
      </c>
      <c r="B50" s="1">
        <f ca="1">IFERROR(__xludf.DUMMYFUNCTION("""COMPUTED_VALUE"""),29)</f>
        <v>29</v>
      </c>
      <c r="C50" s="1">
        <f ca="1">IFERROR(__xludf.DUMMYFUNCTION("""COMPUTED_VALUE"""),19)</f>
        <v>19</v>
      </c>
      <c r="D50" s="1">
        <f ca="1">IFERROR(__xludf.DUMMYFUNCTION("""COMPUTED_VALUE"""),10)</f>
        <v>10</v>
      </c>
      <c r="E50" s="1">
        <f ca="1">IFERROR(__xludf.DUMMYFUNCTION("""COMPUTED_VALUE"""),0.655)</f>
        <v>0.65500000000000003</v>
      </c>
      <c r="F50" s="1">
        <f ca="1">IFERROR(__xludf.DUMMYFUNCTION("""COMPUTED_VALUE"""),-0.18)</f>
        <v>-0.18</v>
      </c>
      <c r="G50" s="1">
        <f ca="1">IFERROR(__xludf.DUMMYFUNCTION("""COMPUTED_VALUE"""),-3.77)</f>
        <v>-3.77</v>
      </c>
      <c r="H50" s="1">
        <f ca="1">IFERROR(__xludf.DUMMYFUNCTION("""COMPUTED_VALUE"""),8)</f>
        <v>8</v>
      </c>
      <c r="I50" s="1">
        <f ca="1">IFERROR(__xludf.DUMMYFUNCTION("""COMPUTED_VALUE"""),6)</f>
        <v>6</v>
      </c>
      <c r="J50" s="1">
        <f ca="1">IFERROR(__xludf.DUMMYFUNCTION("""COMPUTED_VALUE"""),11)</f>
        <v>11</v>
      </c>
      <c r="K50" s="1">
        <f ca="1">IFERROR(__xludf.DUMMYFUNCTION("""COMPUTED_VALUE"""),3)</f>
        <v>3</v>
      </c>
      <c r="L50" s="1">
        <f ca="1">IFERROR(__xludf.DUMMYFUNCTION("""COMPUTED_VALUE"""),8)</f>
        <v>8</v>
      </c>
      <c r="M50" s="1">
        <f ca="1">IFERROR(__xludf.DUMMYFUNCTION("""COMPUTED_VALUE"""),7)</f>
        <v>7</v>
      </c>
      <c r="N50" s="1">
        <f ca="1">IFERROR(__xludf.DUMMYFUNCTION("""COMPUTED_VALUE"""),2071)</f>
        <v>2071</v>
      </c>
      <c r="O50" s="1">
        <f ca="1">IFERROR(__xludf.DUMMYFUNCTION("""COMPUTED_VALUE"""),1934)</f>
        <v>1934</v>
      </c>
      <c r="P50" s="1">
        <f ca="1">IFERROR(__xludf.DUMMYFUNCTION("""COMPUTED_VALUE"""),1165)</f>
        <v>1165</v>
      </c>
      <c r="Q50" s="1">
        <f ca="1">IFERROR(__xludf.DUMMYFUNCTION("""COMPUTED_VALUE"""),726)</f>
        <v>726</v>
      </c>
      <c r="R50" s="1">
        <f ca="1">IFERROR(__xludf.DUMMYFUNCTION("""COMPUTED_VALUE"""),1568)</f>
        <v>1568</v>
      </c>
      <c r="S50" s="1">
        <f ca="1">IFERROR(__xludf.DUMMYFUNCTION("""COMPUTED_VALUE"""),0.463)</f>
        <v>0.46300000000000002</v>
      </c>
      <c r="T50" s="1">
        <f ca="1">IFERROR(__xludf.DUMMYFUNCTION("""COMPUTED_VALUE"""),188)</f>
        <v>188</v>
      </c>
      <c r="U50" s="1">
        <f ca="1">IFERROR(__xludf.DUMMYFUNCTION("""COMPUTED_VALUE"""),547)</f>
        <v>547</v>
      </c>
      <c r="V50" s="1">
        <f ca="1">IFERROR(__xludf.DUMMYFUNCTION("""COMPUTED_VALUE"""),0.344)</f>
        <v>0.34399999999999997</v>
      </c>
      <c r="W50" s="1">
        <f ca="1">IFERROR(__xludf.DUMMYFUNCTION("""COMPUTED_VALUE"""),431)</f>
        <v>431</v>
      </c>
      <c r="X50" s="1">
        <f ca="1">IFERROR(__xludf.DUMMYFUNCTION("""COMPUTED_VALUE"""),570)</f>
        <v>570</v>
      </c>
      <c r="Y50" s="1">
        <f ca="1">IFERROR(__xludf.DUMMYFUNCTION("""COMPUTED_VALUE"""),0.756)</f>
        <v>0.75600000000000001</v>
      </c>
      <c r="Z50" s="1">
        <f ca="1">IFERROR(__xludf.DUMMYFUNCTION("""COMPUTED_VALUE"""),293)</f>
        <v>293</v>
      </c>
      <c r="AA50" s="1">
        <f ca="1">IFERROR(__xludf.DUMMYFUNCTION("""COMPUTED_VALUE"""),984)</f>
        <v>984</v>
      </c>
      <c r="AB50" s="1">
        <f ca="1">IFERROR(__xludf.DUMMYFUNCTION("""COMPUTED_VALUE"""),400)</f>
        <v>400</v>
      </c>
      <c r="AC50" s="1">
        <f ca="1">IFERROR(__xludf.DUMMYFUNCTION("""COMPUTED_VALUE"""),135)</f>
        <v>135</v>
      </c>
      <c r="AD50" s="1">
        <f ca="1">IFERROR(__xludf.DUMMYFUNCTION("""COMPUTED_VALUE"""),74)</f>
        <v>74</v>
      </c>
      <c r="AE50" s="1">
        <f ca="1">IFERROR(__xludf.DUMMYFUNCTION("""COMPUTED_VALUE"""),338)</f>
        <v>338</v>
      </c>
      <c r="AF50" s="1">
        <f ca="1">IFERROR(__xludf.DUMMYFUNCTION("""COMPUTED_VALUE"""),493)</f>
        <v>493</v>
      </c>
    </row>
    <row r="51" spans="1:32" x14ac:dyDescent="0.25">
      <c r="A51" s="1" t="str">
        <f ca="1">IFERROR(__xludf.DUMMYFUNCTION("""COMPUTED_VALUE"""),"University of California")</f>
        <v>University of California</v>
      </c>
      <c r="B51" s="1">
        <f ca="1">IFERROR(__xludf.DUMMYFUNCTION("""COMPUTED_VALUE"""),29)</f>
        <v>29</v>
      </c>
      <c r="C51" s="1">
        <f ca="1">IFERROR(__xludf.DUMMYFUNCTION("""COMPUTED_VALUE"""),13)</f>
        <v>13</v>
      </c>
      <c r="D51" s="1">
        <f ca="1">IFERROR(__xludf.DUMMYFUNCTION("""COMPUTED_VALUE"""),16)</f>
        <v>16</v>
      </c>
      <c r="E51" s="1">
        <f ca="1">IFERROR(__xludf.DUMMYFUNCTION("""COMPUTED_VALUE"""),0.448)</f>
        <v>0.44800000000000001</v>
      </c>
      <c r="F51" s="1">
        <f ca="1">IFERROR(__xludf.DUMMYFUNCTION("""COMPUTED_VALUE"""),3.71)</f>
        <v>3.71</v>
      </c>
      <c r="G51" s="1">
        <f ca="1">IFERROR(__xludf.DUMMYFUNCTION("""COMPUTED_VALUE"""),8.78)</f>
        <v>8.7799999999999994</v>
      </c>
      <c r="H51" s="1">
        <f ca="1">IFERROR(__xludf.DUMMYFUNCTION("""COMPUTED_VALUE"""),7)</f>
        <v>7</v>
      </c>
      <c r="I51" s="1">
        <f ca="1">IFERROR(__xludf.DUMMYFUNCTION("""COMPUTED_VALUE"""),9)</f>
        <v>9</v>
      </c>
      <c r="J51" s="1">
        <f ca="1">IFERROR(__xludf.DUMMYFUNCTION("""COMPUTED_VALUE"""),12)</f>
        <v>12</v>
      </c>
      <c r="K51" s="1">
        <f ca="1">IFERROR(__xludf.DUMMYFUNCTION("""COMPUTED_VALUE"""),5)</f>
        <v>5</v>
      </c>
      <c r="L51" s="1">
        <f ca="1">IFERROR(__xludf.DUMMYFUNCTION("""COMPUTED_VALUE"""),1)</f>
        <v>1</v>
      </c>
      <c r="M51" s="1">
        <f ca="1">IFERROR(__xludf.DUMMYFUNCTION("""COMPUTED_VALUE"""),8)</f>
        <v>8</v>
      </c>
      <c r="N51" s="1">
        <f ca="1">IFERROR(__xludf.DUMMYFUNCTION("""COMPUTED_VALUE"""),1848)</f>
        <v>1848</v>
      </c>
      <c r="O51" s="1">
        <f ca="1">IFERROR(__xludf.DUMMYFUNCTION("""COMPUTED_VALUE"""),1995)</f>
        <v>1995</v>
      </c>
      <c r="P51" s="1">
        <f ca="1">IFERROR(__xludf.DUMMYFUNCTION("""COMPUTED_VALUE"""),1175)</f>
        <v>1175</v>
      </c>
      <c r="Q51" s="1">
        <f ca="1">IFERROR(__xludf.DUMMYFUNCTION("""COMPUTED_VALUE"""),649)</f>
        <v>649</v>
      </c>
      <c r="R51" s="1">
        <f ca="1">IFERROR(__xludf.DUMMYFUNCTION("""COMPUTED_VALUE"""),1533)</f>
        <v>1533</v>
      </c>
      <c r="S51" s="1">
        <f ca="1">IFERROR(__xludf.DUMMYFUNCTION("""COMPUTED_VALUE"""),0.423)</f>
        <v>0.42299999999999999</v>
      </c>
      <c r="T51" s="1">
        <f ca="1">IFERROR(__xludf.DUMMYFUNCTION("""COMPUTED_VALUE"""),146)</f>
        <v>146</v>
      </c>
      <c r="U51" s="1">
        <f ca="1">IFERROR(__xludf.DUMMYFUNCTION("""COMPUTED_VALUE"""),425)</f>
        <v>425</v>
      </c>
      <c r="V51" s="1">
        <f ca="1">IFERROR(__xludf.DUMMYFUNCTION("""COMPUTED_VALUE"""),0.344)</f>
        <v>0.34399999999999997</v>
      </c>
      <c r="W51" s="1">
        <f ca="1">IFERROR(__xludf.DUMMYFUNCTION("""COMPUTED_VALUE"""),404)</f>
        <v>404</v>
      </c>
      <c r="X51" s="1">
        <f ca="1">IFERROR(__xludf.DUMMYFUNCTION("""COMPUTED_VALUE"""),554)</f>
        <v>554</v>
      </c>
      <c r="Y51" s="1">
        <f ca="1">IFERROR(__xludf.DUMMYFUNCTION("""COMPUTED_VALUE"""),0.729)</f>
        <v>0.72899999999999998</v>
      </c>
      <c r="Z51" s="1">
        <f ca="1">IFERROR(__xludf.DUMMYFUNCTION("""COMPUTED_VALUE"""),240)</f>
        <v>240</v>
      </c>
      <c r="AA51" s="1">
        <f ca="1">IFERROR(__xludf.DUMMYFUNCTION("""COMPUTED_VALUE"""),950)</f>
        <v>950</v>
      </c>
      <c r="AB51" s="1">
        <f ca="1">IFERROR(__xludf.DUMMYFUNCTION("""COMPUTED_VALUE"""),265)</f>
        <v>265</v>
      </c>
      <c r="AC51" s="1">
        <f ca="1">IFERROR(__xludf.DUMMYFUNCTION("""COMPUTED_VALUE"""),117)</f>
        <v>117</v>
      </c>
      <c r="AD51" s="1">
        <f ca="1">IFERROR(__xludf.DUMMYFUNCTION("""COMPUTED_VALUE"""),69)</f>
        <v>69</v>
      </c>
      <c r="AE51" s="1">
        <f ca="1">IFERROR(__xludf.DUMMYFUNCTION("""COMPUTED_VALUE"""),369)</f>
        <v>369</v>
      </c>
      <c r="AF51" s="1">
        <f ca="1">IFERROR(__xludf.DUMMYFUNCTION("""COMPUTED_VALUE"""),547)</f>
        <v>547</v>
      </c>
    </row>
    <row r="52" spans="1:32" x14ac:dyDescent="0.25">
      <c r="A52" s="1" t="str">
        <f ca="1">IFERROR(__xludf.DUMMYFUNCTION("""COMPUTED_VALUE"""),"Campbell")</f>
        <v>Campbell</v>
      </c>
      <c r="B52" s="1">
        <f ca="1">IFERROR(__xludf.DUMMYFUNCTION("""COMPUTED_VALUE"""),30)</f>
        <v>30</v>
      </c>
      <c r="C52" s="1">
        <f ca="1">IFERROR(__xludf.DUMMYFUNCTION("""COMPUTED_VALUE"""),15)</f>
        <v>15</v>
      </c>
      <c r="D52" s="1">
        <f ca="1">IFERROR(__xludf.DUMMYFUNCTION("""COMPUTED_VALUE"""),15)</f>
        <v>15</v>
      </c>
      <c r="E52" s="1">
        <f ca="1">IFERROR(__xludf.DUMMYFUNCTION("""COMPUTED_VALUE"""),0.5)</f>
        <v>0.5</v>
      </c>
      <c r="F52" s="1">
        <f ca="1">IFERROR(__xludf.DUMMYFUNCTION("""COMPUTED_VALUE"""),-8.27)</f>
        <v>-8.27</v>
      </c>
      <c r="G52" s="1">
        <f ca="1">IFERROR(__xludf.DUMMYFUNCTION("""COMPUTED_VALUE"""),-7.99)</f>
        <v>-7.99</v>
      </c>
      <c r="H52" s="1">
        <f ca="1">IFERROR(__xludf.DUMMYFUNCTION("""COMPUTED_VALUE"""),6)</f>
        <v>6</v>
      </c>
      <c r="I52" s="1">
        <f ca="1">IFERROR(__xludf.DUMMYFUNCTION("""COMPUTED_VALUE"""),12)</f>
        <v>12</v>
      </c>
      <c r="J52" s="1">
        <f ca="1">IFERROR(__xludf.DUMMYFUNCTION("""COMPUTED_VALUE"""),8)</f>
        <v>8</v>
      </c>
      <c r="K52" s="1">
        <f ca="1">IFERROR(__xludf.DUMMYFUNCTION("""COMPUTED_VALUE"""),5)</f>
        <v>5</v>
      </c>
      <c r="L52" s="1">
        <f ca="1">IFERROR(__xludf.DUMMYFUNCTION("""COMPUTED_VALUE"""),6)</f>
        <v>6</v>
      </c>
      <c r="M52" s="1">
        <f ca="1">IFERROR(__xludf.DUMMYFUNCTION("""COMPUTED_VALUE"""),9)</f>
        <v>9</v>
      </c>
      <c r="N52" s="1">
        <f ca="1">IFERROR(__xludf.DUMMYFUNCTION("""COMPUTED_VALUE"""),2062)</f>
        <v>2062</v>
      </c>
      <c r="O52" s="1">
        <f ca="1">IFERROR(__xludf.DUMMYFUNCTION("""COMPUTED_VALUE"""),1993)</f>
        <v>1993</v>
      </c>
      <c r="P52" s="1">
        <f ca="1">IFERROR(__xludf.DUMMYFUNCTION("""COMPUTED_VALUE"""),1205)</f>
        <v>1205</v>
      </c>
      <c r="Q52" s="1">
        <f ca="1">IFERROR(__xludf.DUMMYFUNCTION("""COMPUTED_VALUE"""),756)</f>
        <v>756</v>
      </c>
      <c r="R52" s="1">
        <f ca="1">IFERROR(__xludf.DUMMYFUNCTION("""COMPUTED_VALUE"""),1644)</f>
        <v>1644</v>
      </c>
      <c r="S52" s="1">
        <f ca="1">IFERROR(__xludf.DUMMYFUNCTION("""COMPUTED_VALUE"""),0.46)</f>
        <v>0.46</v>
      </c>
      <c r="T52" s="1">
        <f ca="1">IFERROR(__xludf.DUMMYFUNCTION("""COMPUTED_VALUE"""),239)</f>
        <v>239</v>
      </c>
      <c r="U52" s="1">
        <f ca="1">IFERROR(__xludf.DUMMYFUNCTION("""COMPUTED_VALUE"""),684)</f>
        <v>684</v>
      </c>
      <c r="V52" s="1">
        <f ca="1">IFERROR(__xludf.DUMMYFUNCTION("""COMPUTED_VALUE"""),0.349)</f>
        <v>0.34899999999999998</v>
      </c>
      <c r="W52" s="1">
        <f ca="1">IFERROR(__xludf.DUMMYFUNCTION("""COMPUTED_VALUE"""),311)</f>
        <v>311</v>
      </c>
      <c r="X52" s="1">
        <f ca="1">IFERROR(__xludf.DUMMYFUNCTION("""COMPUTED_VALUE"""),425)</f>
        <v>425</v>
      </c>
      <c r="Y52" s="1">
        <f ca="1">IFERROR(__xludf.DUMMYFUNCTION("""COMPUTED_VALUE"""),0.732)</f>
        <v>0.73199999999999998</v>
      </c>
      <c r="Z52" s="1">
        <f ca="1">IFERROR(__xludf.DUMMYFUNCTION("""COMPUTED_VALUE"""),211)</f>
        <v>211</v>
      </c>
      <c r="AA52" s="1">
        <f ca="1">IFERROR(__xludf.DUMMYFUNCTION("""COMPUTED_VALUE"""),909)</f>
        <v>909</v>
      </c>
      <c r="AB52" s="1">
        <f ca="1">IFERROR(__xludf.DUMMYFUNCTION("""COMPUTED_VALUE"""),449)</f>
        <v>449</v>
      </c>
      <c r="AC52" s="1">
        <f ca="1">IFERROR(__xludf.DUMMYFUNCTION("""COMPUTED_VALUE"""),222)</f>
        <v>222</v>
      </c>
      <c r="AD52" s="1">
        <f ca="1">IFERROR(__xludf.DUMMYFUNCTION("""COMPUTED_VALUE"""),91)</f>
        <v>91</v>
      </c>
      <c r="AE52" s="1">
        <f ca="1">IFERROR(__xludf.DUMMYFUNCTION("""COMPUTED_VALUE"""),384)</f>
        <v>384</v>
      </c>
      <c r="AF52" s="1">
        <f ca="1">IFERROR(__xludf.DUMMYFUNCTION("""COMPUTED_VALUE"""),519)</f>
        <v>519</v>
      </c>
    </row>
    <row r="53" spans="1:32" x14ac:dyDescent="0.25">
      <c r="A53" s="1" t="str">
        <f ca="1">IFERROR(__xludf.DUMMYFUNCTION("""COMPUTED_VALUE"""),"Canisius")</f>
        <v>Canisius</v>
      </c>
      <c r="B53" s="1">
        <f ca="1">IFERROR(__xludf.DUMMYFUNCTION("""COMPUTED_VALUE"""),29)</f>
        <v>29</v>
      </c>
      <c r="C53" s="1">
        <f ca="1">IFERROR(__xludf.DUMMYFUNCTION("""COMPUTED_VALUE"""),10)</f>
        <v>10</v>
      </c>
      <c r="D53" s="1">
        <f ca="1">IFERROR(__xludf.DUMMYFUNCTION("""COMPUTED_VALUE"""),19)</f>
        <v>19</v>
      </c>
      <c r="E53" s="1">
        <f ca="1">IFERROR(__xludf.DUMMYFUNCTION("""COMPUTED_VALUE"""),0.345)</f>
        <v>0.34499999999999997</v>
      </c>
      <c r="F53" s="1">
        <f ca="1">IFERROR(__xludf.DUMMYFUNCTION("""COMPUTED_VALUE"""),-7.79)</f>
        <v>-7.79</v>
      </c>
      <c r="G53" s="1">
        <f ca="1">IFERROR(__xludf.DUMMYFUNCTION("""COMPUTED_VALUE"""),-5.07)</f>
        <v>-5.07</v>
      </c>
      <c r="H53" s="1">
        <f ca="1">IFERROR(__xludf.DUMMYFUNCTION("""COMPUTED_VALUE"""),5)</f>
        <v>5</v>
      </c>
      <c r="I53" s="1">
        <f ca="1">IFERROR(__xludf.DUMMYFUNCTION("""COMPUTED_VALUE"""),13)</f>
        <v>13</v>
      </c>
      <c r="J53" s="1">
        <f ca="1">IFERROR(__xludf.DUMMYFUNCTION("""COMPUTED_VALUE"""),6)</f>
        <v>6</v>
      </c>
      <c r="K53" s="1">
        <f ca="1">IFERROR(__xludf.DUMMYFUNCTION("""COMPUTED_VALUE"""),6)</f>
        <v>6</v>
      </c>
      <c r="L53" s="1">
        <f ca="1">IFERROR(__xludf.DUMMYFUNCTION("""COMPUTED_VALUE"""),3)</f>
        <v>3</v>
      </c>
      <c r="M53" s="1">
        <f ca="1">IFERROR(__xludf.DUMMYFUNCTION("""COMPUTED_VALUE"""),12)</f>
        <v>12</v>
      </c>
      <c r="N53" s="1">
        <f ca="1">IFERROR(__xludf.DUMMYFUNCTION("""COMPUTED_VALUE"""),1984)</f>
        <v>1984</v>
      </c>
      <c r="O53" s="1">
        <f ca="1">IFERROR(__xludf.DUMMYFUNCTION("""COMPUTED_VALUE"""),2063)</f>
        <v>2063</v>
      </c>
      <c r="P53" s="1">
        <f ca="1">IFERROR(__xludf.DUMMYFUNCTION("""COMPUTED_VALUE"""),1160)</f>
        <v>1160</v>
      </c>
      <c r="Q53" s="1">
        <f ca="1">IFERROR(__xludf.DUMMYFUNCTION("""COMPUTED_VALUE"""),726)</f>
        <v>726</v>
      </c>
      <c r="R53" s="1">
        <f ca="1">IFERROR(__xludf.DUMMYFUNCTION("""COMPUTED_VALUE"""),1673)</f>
        <v>1673</v>
      </c>
      <c r="S53" s="1">
        <f ca="1">IFERROR(__xludf.DUMMYFUNCTION("""COMPUTED_VALUE"""),0.434)</f>
        <v>0.434</v>
      </c>
      <c r="T53" s="1">
        <f ca="1">IFERROR(__xludf.DUMMYFUNCTION("""COMPUTED_VALUE"""),175)</f>
        <v>175</v>
      </c>
      <c r="U53" s="1">
        <f ca="1">IFERROR(__xludf.DUMMYFUNCTION("""COMPUTED_VALUE"""),585)</f>
        <v>585</v>
      </c>
      <c r="V53" s="1">
        <f ca="1">IFERROR(__xludf.DUMMYFUNCTION("""COMPUTED_VALUE"""),0.299)</f>
        <v>0.29899999999999999</v>
      </c>
      <c r="W53" s="1">
        <f ca="1">IFERROR(__xludf.DUMMYFUNCTION("""COMPUTED_VALUE"""),357)</f>
        <v>357</v>
      </c>
      <c r="X53" s="1">
        <f ca="1">IFERROR(__xludf.DUMMYFUNCTION("""COMPUTED_VALUE"""),509)</f>
        <v>509</v>
      </c>
      <c r="Y53" s="1">
        <f ca="1">IFERROR(__xludf.DUMMYFUNCTION("""COMPUTED_VALUE"""),0.701)</f>
        <v>0.70099999999999996</v>
      </c>
      <c r="Z53" s="1">
        <f ca="1">IFERROR(__xludf.DUMMYFUNCTION("""COMPUTED_VALUE"""),292)</f>
        <v>292</v>
      </c>
      <c r="AA53" s="1">
        <f ca="1">IFERROR(__xludf.DUMMYFUNCTION("""COMPUTED_VALUE"""),958)</f>
        <v>958</v>
      </c>
      <c r="AB53" s="1">
        <f ca="1">IFERROR(__xludf.DUMMYFUNCTION("""COMPUTED_VALUE"""),407)</f>
        <v>407</v>
      </c>
      <c r="AC53" s="1">
        <f ca="1">IFERROR(__xludf.DUMMYFUNCTION("""COMPUTED_VALUE"""),205)</f>
        <v>205</v>
      </c>
      <c r="AD53" s="1">
        <f ca="1">IFERROR(__xludf.DUMMYFUNCTION("""COMPUTED_VALUE"""),72)</f>
        <v>72</v>
      </c>
      <c r="AE53" s="1">
        <f ca="1">IFERROR(__xludf.DUMMYFUNCTION("""COMPUTED_VALUE"""),425)</f>
        <v>425</v>
      </c>
      <c r="AF53" s="1">
        <f ca="1">IFERROR(__xludf.DUMMYFUNCTION("""COMPUTED_VALUE"""),547)</f>
        <v>547</v>
      </c>
    </row>
    <row r="54" spans="1:32" x14ac:dyDescent="0.25">
      <c r="A54" s="1" t="str">
        <f ca="1">IFERROR(__xludf.DUMMYFUNCTION("""COMPUTED_VALUE"""),"Central Arkansas")</f>
        <v>Central Arkansas</v>
      </c>
      <c r="B54" s="1">
        <f ca="1">IFERROR(__xludf.DUMMYFUNCTION("""COMPUTED_VALUE"""),29)</f>
        <v>29</v>
      </c>
      <c r="C54" s="1">
        <f ca="1">IFERROR(__xludf.DUMMYFUNCTION("""COMPUTED_VALUE"""),10)</f>
        <v>10</v>
      </c>
      <c r="D54" s="1">
        <f ca="1">IFERROR(__xludf.DUMMYFUNCTION("""COMPUTED_VALUE"""),19)</f>
        <v>19</v>
      </c>
      <c r="E54" s="1">
        <f ca="1">IFERROR(__xludf.DUMMYFUNCTION("""COMPUTED_VALUE"""),0.345)</f>
        <v>0.34499999999999997</v>
      </c>
      <c r="F54" s="1">
        <f ca="1">IFERROR(__xludf.DUMMYFUNCTION("""COMPUTED_VALUE"""),-10.28)</f>
        <v>-10.28</v>
      </c>
      <c r="G54" s="1">
        <f ca="1">IFERROR(__xludf.DUMMYFUNCTION("""COMPUTED_VALUE"""),-1.78)</f>
        <v>-1.78</v>
      </c>
      <c r="H54" s="1">
        <f ca="1">IFERROR(__xludf.DUMMYFUNCTION("""COMPUTED_VALUE"""),9)</f>
        <v>9</v>
      </c>
      <c r="I54" s="1">
        <f ca="1">IFERROR(__xludf.DUMMYFUNCTION("""COMPUTED_VALUE"""),9)</f>
        <v>9</v>
      </c>
      <c r="J54" s="1">
        <f ca="1">IFERROR(__xludf.DUMMYFUNCTION("""COMPUTED_VALUE"""),8)</f>
        <v>8</v>
      </c>
      <c r="K54" s="1">
        <f ca="1">IFERROR(__xludf.DUMMYFUNCTION("""COMPUTED_VALUE"""),3)</f>
        <v>3</v>
      </c>
      <c r="L54" s="1">
        <f ca="1">IFERROR(__xludf.DUMMYFUNCTION("""COMPUTED_VALUE"""),2)</f>
        <v>2</v>
      </c>
      <c r="M54" s="1">
        <f ca="1">IFERROR(__xludf.DUMMYFUNCTION("""COMPUTED_VALUE"""),15)</f>
        <v>15</v>
      </c>
      <c r="N54" s="1">
        <f ca="1">IFERROR(__xludf.DUMMYFUNCTION("""COMPUTED_VALUE"""),2166)</f>
        <v>2166</v>
      </c>
      <c r="O54" s="1">
        <f ca="1">IFERROR(__xludf.DUMMYFUNCTION("""COMPUTED_VALUE"""),2384)</f>
        <v>2384</v>
      </c>
      <c r="P54" s="1">
        <f ca="1">IFERROR(__xludf.DUMMYFUNCTION("""COMPUTED_VALUE"""),1190)</f>
        <v>1190</v>
      </c>
      <c r="Q54" s="1">
        <f ca="1">IFERROR(__xludf.DUMMYFUNCTION("""COMPUTED_VALUE"""),724)</f>
        <v>724</v>
      </c>
      <c r="R54" s="1">
        <f ca="1">IFERROR(__xludf.DUMMYFUNCTION("""COMPUTED_VALUE"""),1718)</f>
        <v>1718</v>
      </c>
      <c r="S54" s="1">
        <f ca="1">IFERROR(__xludf.DUMMYFUNCTION("""COMPUTED_VALUE"""),0.421)</f>
        <v>0.42099999999999999</v>
      </c>
      <c r="T54" s="1">
        <f ca="1">IFERROR(__xludf.DUMMYFUNCTION("""COMPUTED_VALUE"""),218)</f>
        <v>218</v>
      </c>
      <c r="U54" s="1">
        <f ca="1">IFERROR(__xludf.DUMMYFUNCTION("""COMPUTED_VALUE"""),694)</f>
        <v>694</v>
      </c>
      <c r="V54" s="1">
        <f ca="1">IFERROR(__xludf.DUMMYFUNCTION("""COMPUTED_VALUE"""),0.314)</f>
        <v>0.314</v>
      </c>
      <c r="W54" s="1">
        <f ca="1">IFERROR(__xludf.DUMMYFUNCTION("""COMPUTED_VALUE"""),500)</f>
        <v>500</v>
      </c>
      <c r="X54" s="1">
        <f ca="1">IFERROR(__xludf.DUMMYFUNCTION("""COMPUTED_VALUE"""),699)</f>
        <v>699</v>
      </c>
      <c r="Y54" s="1">
        <f ca="1">IFERROR(__xludf.DUMMYFUNCTION("""COMPUTED_VALUE"""),0.715)</f>
        <v>0.71499999999999997</v>
      </c>
      <c r="Z54" s="1">
        <f ca="1">IFERROR(__xludf.DUMMYFUNCTION("""COMPUTED_VALUE"""),304)</f>
        <v>304</v>
      </c>
      <c r="AA54" s="1">
        <f ca="1">IFERROR(__xludf.DUMMYFUNCTION("""COMPUTED_VALUE"""),1116)</f>
        <v>1116</v>
      </c>
      <c r="AB54" s="1">
        <f ca="1">IFERROR(__xludf.DUMMYFUNCTION("""COMPUTED_VALUE"""),422)</f>
        <v>422</v>
      </c>
      <c r="AC54" s="1">
        <f ca="1">IFERROR(__xludf.DUMMYFUNCTION("""COMPUTED_VALUE"""),154)</f>
        <v>154</v>
      </c>
      <c r="AD54" s="1">
        <f ca="1">IFERROR(__xludf.DUMMYFUNCTION("""COMPUTED_VALUE"""),150)</f>
        <v>150</v>
      </c>
      <c r="AE54" s="1">
        <f ca="1">IFERROR(__xludf.DUMMYFUNCTION("""COMPUTED_VALUE"""),519)</f>
        <v>519</v>
      </c>
      <c r="AF54" s="1">
        <f ca="1">IFERROR(__xludf.DUMMYFUNCTION("""COMPUTED_VALUE"""),596)</f>
        <v>596</v>
      </c>
    </row>
    <row r="55" spans="1:32" x14ac:dyDescent="0.25">
      <c r="A55" s="1" t="str">
        <f ca="1">IFERROR(__xludf.DUMMYFUNCTION("""COMPUTED_VALUE"""),"Central Connecticut State")</f>
        <v>Central Connecticut State</v>
      </c>
      <c r="B55" s="1">
        <f ca="1">IFERROR(__xludf.DUMMYFUNCTION("""COMPUTED_VALUE"""),31)</f>
        <v>31</v>
      </c>
      <c r="C55" s="1">
        <f ca="1">IFERROR(__xludf.DUMMYFUNCTION("""COMPUTED_VALUE"""),4)</f>
        <v>4</v>
      </c>
      <c r="D55" s="1">
        <f ca="1">IFERROR(__xludf.DUMMYFUNCTION("""COMPUTED_VALUE"""),27)</f>
        <v>27</v>
      </c>
      <c r="E55" s="1">
        <f ca="1">IFERROR(__xludf.DUMMYFUNCTION("""COMPUTED_VALUE"""),0.129)</f>
        <v>0.129</v>
      </c>
      <c r="F55" s="1">
        <f ca="1">IFERROR(__xludf.DUMMYFUNCTION("""COMPUTED_VALUE"""),-20.2)</f>
        <v>-20.2</v>
      </c>
      <c r="G55" s="1">
        <f ca="1">IFERROR(__xludf.DUMMYFUNCTION("""COMPUTED_VALUE"""),-4.5)</f>
        <v>-4.5</v>
      </c>
      <c r="H55" s="1">
        <f ca="1">IFERROR(__xludf.DUMMYFUNCTION("""COMPUTED_VALUE"""),3)</f>
        <v>3</v>
      </c>
      <c r="I55" s="1">
        <f ca="1">IFERROR(__xludf.DUMMYFUNCTION("""COMPUTED_VALUE"""),15)</f>
        <v>15</v>
      </c>
      <c r="J55" s="1">
        <f ca="1">IFERROR(__xludf.DUMMYFUNCTION("""COMPUTED_VALUE"""),4)</f>
        <v>4</v>
      </c>
      <c r="K55" s="1">
        <f ca="1">IFERROR(__xludf.DUMMYFUNCTION("""COMPUTED_VALUE"""),9)</f>
        <v>9</v>
      </c>
      <c r="L55" s="1">
        <f ca="1">IFERROR(__xludf.DUMMYFUNCTION("""COMPUTED_VALUE"""),0)</f>
        <v>0</v>
      </c>
      <c r="M55" s="1">
        <f ca="1">IFERROR(__xludf.DUMMYFUNCTION("""COMPUTED_VALUE"""),16)</f>
        <v>16</v>
      </c>
      <c r="N55" s="1">
        <f ca="1">IFERROR(__xludf.DUMMYFUNCTION("""COMPUTED_VALUE"""),1959)</f>
        <v>1959</v>
      </c>
      <c r="O55" s="1">
        <f ca="1">IFERROR(__xludf.DUMMYFUNCTION("""COMPUTED_VALUE"""),2396)</f>
        <v>2396</v>
      </c>
      <c r="P55" s="1">
        <f ca="1">IFERROR(__xludf.DUMMYFUNCTION("""COMPUTED_VALUE"""),1240)</f>
        <v>1240</v>
      </c>
      <c r="Q55" s="1">
        <f ca="1">IFERROR(__xludf.DUMMYFUNCTION("""COMPUTED_VALUE"""),705)</f>
        <v>705</v>
      </c>
      <c r="R55" s="1">
        <f ca="1">IFERROR(__xludf.DUMMYFUNCTION("""COMPUTED_VALUE"""),1772)</f>
        <v>1772</v>
      </c>
      <c r="S55" s="1">
        <f ca="1">IFERROR(__xludf.DUMMYFUNCTION("""COMPUTED_VALUE"""),0.398)</f>
        <v>0.39800000000000002</v>
      </c>
      <c r="T55" s="1">
        <f ca="1">IFERROR(__xludf.DUMMYFUNCTION("""COMPUTED_VALUE"""),200)</f>
        <v>200</v>
      </c>
      <c r="U55" s="1">
        <f ca="1">IFERROR(__xludf.DUMMYFUNCTION("""COMPUTED_VALUE"""),560)</f>
        <v>560</v>
      </c>
      <c r="V55" s="1">
        <f ca="1">IFERROR(__xludf.DUMMYFUNCTION("""COMPUTED_VALUE"""),0.357)</f>
        <v>0.35699999999999998</v>
      </c>
      <c r="W55" s="1">
        <f ca="1">IFERROR(__xludf.DUMMYFUNCTION("""COMPUTED_VALUE"""),349)</f>
        <v>349</v>
      </c>
      <c r="X55" s="1">
        <f ca="1">IFERROR(__xludf.DUMMYFUNCTION("""COMPUTED_VALUE"""),516)</f>
        <v>516</v>
      </c>
      <c r="Y55" s="1">
        <f ca="1">IFERROR(__xludf.DUMMYFUNCTION("""COMPUTED_VALUE"""),0.676)</f>
        <v>0.67600000000000005</v>
      </c>
      <c r="Z55" s="1">
        <f ca="1">IFERROR(__xludf.DUMMYFUNCTION("""COMPUTED_VALUE"""),263)</f>
        <v>263</v>
      </c>
      <c r="AA55" s="1">
        <f ca="1">IFERROR(__xludf.DUMMYFUNCTION("""COMPUTED_VALUE"""),989)</f>
        <v>989</v>
      </c>
      <c r="AB55" s="1">
        <f ca="1">IFERROR(__xludf.DUMMYFUNCTION("""COMPUTED_VALUE"""),313)</f>
        <v>313</v>
      </c>
      <c r="AC55" s="1">
        <f ca="1">IFERROR(__xludf.DUMMYFUNCTION("""COMPUTED_VALUE"""),199)</f>
        <v>199</v>
      </c>
      <c r="AD55" s="1">
        <f ca="1">IFERROR(__xludf.DUMMYFUNCTION("""COMPUTED_VALUE"""),105)</f>
        <v>105</v>
      </c>
      <c r="AE55" s="1">
        <f ca="1">IFERROR(__xludf.DUMMYFUNCTION("""COMPUTED_VALUE"""),440)</f>
        <v>440</v>
      </c>
      <c r="AF55" s="1">
        <f ca="1">IFERROR(__xludf.DUMMYFUNCTION("""COMPUTED_VALUE"""),581)</f>
        <v>581</v>
      </c>
    </row>
    <row r="56" spans="1:32" x14ac:dyDescent="0.25">
      <c r="A56" s="1" t="str">
        <f ca="1">IFERROR(__xludf.DUMMYFUNCTION("""COMPUTED_VALUE"""),"Central Florida")</f>
        <v>Central Florida</v>
      </c>
      <c r="B56" s="1">
        <f ca="1">IFERROR(__xludf.DUMMYFUNCTION("""COMPUTED_VALUE"""),28)</f>
        <v>28</v>
      </c>
      <c r="C56" s="1">
        <f ca="1">IFERROR(__xludf.DUMMYFUNCTION("""COMPUTED_VALUE"""),14)</f>
        <v>14</v>
      </c>
      <c r="D56" s="1">
        <f ca="1">IFERROR(__xludf.DUMMYFUNCTION("""COMPUTED_VALUE"""),14)</f>
        <v>14</v>
      </c>
      <c r="E56" s="1">
        <f ca="1">IFERROR(__xludf.DUMMYFUNCTION("""COMPUTED_VALUE"""),0.5)</f>
        <v>0.5</v>
      </c>
      <c r="F56" s="1">
        <f ca="1">IFERROR(__xludf.DUMMYFUNCTION("""COMPUTED_VALUE"""),4.1)</f>
        <v>4.0999999999999996</v>
      </c>
      <c r="G56" s="1">
        <f ca="1">IFERROR(__xludf.DUMMYFUNCTION("""COMPUTED_VALUE"""),4.28)</f>
        <v>4.28</v>
      </c>
      <c r="H56" s="1">
        <f ca="1">IFERROR(__xludf.DUMMYFUNCTION("""COMPUTED_VALUE"""),5)</f>
        <v>5</v>
      </c>
      <c r="I56" s="1">
        <f ca="1">IFERROR(__xludf.DUMMYFUNCTION("""COMPUTED_VALUE"""),11)</f>
        <v>11</v>
      </c>
      <c r="J56" s="1">
        <f ca="1">IFERROR(__xludf.DUMMYFUNCTION("""COMPUTED_VALUE"""),8)</f>
        <v>8</v>
      </c>
      <c r="K56" s="1">
        <f ca="1">IFERROR(__xludf.DUMMYFUNCTION("""COMPUTED_VALUE"""),6)</f>
        <v>6</v>
      </c>
      <c r="L56" s="1">
        <f ca="1">IFERROR(__xludf.DUMMYFUNCTION("""COMPUTED_VALUE"""),4)</f>
        <v>4</v>
      </c>
      <c r="M56" s="1">
        <f ca="1">IFERROR(__xludf.DUMMYFUNCTION("""COMPUTED_VALUE"""),7)</f>
        <v>7</v>
      </c>
      <c r="N56" s="1">
        <f ca="1">IFERROR(__xludf.DUMMYFUNCTION("""COMPUTED_VALUE"""),1912)</f>
        <v>1912</v>
      </c>
      <c r="O56" s="1">
        <f ca="1">IFERROR(__xludf.DUMMYFUNCTION("""COMPUTED_VALUE"""),1917)</f>
        <v>1917</v>
      </c>
      <c r="P56" s="1">
        <f ca="1">IFERROR(__xludf.DUMMYFUNCTION("""COMPUTED_VALUE"""),1130)</f>
        <v>1130</v>
      </c>
      <c r="Q56" s="1">
        <f ca="1">IFERROR(__xludf.DUMMYFUNCTION("""COMPUTED_VALUE"""),687)</f>
        <v>687</v>
      </c>
      <c r="R56" s="1">
        <f ca="1">IFERROR(__xludf.DUMMYFUNCTION("""COMPUTED_VALUE"""),1603)</f>
        <v>1603</v>
      </c>
      <c r="S56" s="1">
        <f ca="1">IFERROR(__xludf.DUMMYFUNCTION("""COMPUTED_VALUE"""),0.429)</f>
        <v>0.42899999999999999</v>
      </c>
      <c r="T56" s="1">
        <f ca="1">IFERROR(__xludf.DUMMYFUNCTION("""COMPUTED_VALUE"""),191)</f>
        <v>191</v>
      </c>
      <c r="U56" s="1">
        <f ca="1">IFERROR(__xludf.DUMMYFUNCTION("""COMPUTED_VALUE"""),605)</f>
        <v>605</v>
      </c>
      <c r="V56" s="1">
        <f ca="1">IFERROR(__xludf.DUMMYFUNCTION("""COMPUTED_VALUE"""),0.316)</f>
        <v>0.316</v>
      </c>
      <c r="W56" s="1">
        <f ca="1">IFERROR(__xludf.DUMMYFUNCTION("""COMPUTED_VALUE"""),347)</f>
        <v>347</v>
      </c>
      <c r="X56" s="1">
        <f ca="1">IFERROR(__xludf.DUMMYFUNCTION("""COMPUTED_VALUE"""),491)</f>
        <v>491</v>
      </c>
      <c r="Y56" s="1">
        <f ca="1">IFERROR(__xludf.DUMMYFUNCTION("""COMPUTED_VALUE"""),0.707)</f>
        <v>0.70699999999999996</v>
      </c>
      <c r="Z56" s="1">
        <f ca="1">IFERROR(__xludf.DUMMYFUNCTION("""COMPUTED_VALUE"""),282)</f>
        <v>282</v>
      </c>
      <c r="AA56" s="1">
        <f ca="1">IFERROR(__xludf.DUMMYFUNCTION("""COMPUTED_VALUE"""),974)</f>
        <v>974</v>
      </c>
      <c r="AB56" s="1">
        <f ca="1">IFERROR(__xludf.DUMMYFUNCTION("""COMPUTED_VALUE"""),368)</f>
        <v>368</v>
      </c>
      <c r="AC56" s="1">
        <f ca="1">IFERROR(__xludf.DUMMYFUNCTION("""COMPUTED_VALUE"""),182)</f>
        <v>182</v>
      </c>
      <c r="AD56" s="1">
        <f ca="1">IFERROR(__xludf.DUMMYFUNCTION("""COMPUTED_VALUE"""),84)</f>
        <v>84</v>
      </c>
      <c r="AE56" s="1">
        <f ca="1">IFERROR(__xludf.DUMMYFUNCTION("""COMPUTED_VALUE"""),391)</f>
        <v>391</v>
      </c>
      <c r="AF56" s="1">
        <f ca="1">IFERROR(__xludf.DUMMYFUNCTION("""COMPUTED_VALUE"""),467)</f>
        <v>467</v>
      </c>
    </row>
    <row r="57" spans="1:32" x14ac:dyDescent="0.25">
      <c r="A57" s="1" t="str">
        <f ca="1">IFERROR(__xludf.DUMMYFUNCTION("""COMPUTED_VALUE"""),"Central Michigan")</f>
        <v>Central Michigan</v>
      </c>
      <c r="B57" s="1">
        <f ca="1">IFERROR(__xludf.DUMMYFUNCTION("""COMPUTED_VALUE"""),29)</f>
        <v>29</v>
      </c>
      <c r="C57" s="1">
        <f ca="1">IFERROR(__xludf.DUMMYFUNCTION("""COMPUTED_VALUE"""),13)</f>
        <v>13</v>
      </c>
      <c r="D57" s="1">
        <f ca="1">IFERROR(__xludf.DUMMYFUNCTION("""COMPUTED_VALUE"""),16)</f>
        <v>16</v>
      </c>
      <c r="E57" s="1">
        <f ca="1">IFERROR(__xludf.DUMMYFUNCTION("""COMPUTED_VALUE"""),0.448)</f>
        <v>0.44800000000000001</v>
      </c>
      <c r="F57" s="1">
        <f ca="1">IFERROR(__xludf.DUMMYFUNCTION("""COMPUTED_VALUE"""),-2.92)</f>
        <v>-2.92</v>
      </c>
      <c r="G57" s="1">
        <f ca="1">IFERROR(__xludf.DUMMYFUNCTION("""COMPUTED_VALUE"""),-0.19)</f>
        <v>-0.19</v>
      </c>
      <c r="H57" s="1">
        <f ca="1">IFERROR(__xludf.DUMMYFUNCTION("""COMPUTED_VALUE"""),6)</f>
        <v>6</v>
      </c>
      <c r="I57" s="1">
        <f ca="1">IFERROR(__xludf.DUMMYFUNCTION("""COMPUTED_VALUE"""),10)</f>
        <v>10</v>
      </c>
      <c r="J57" s="1">
        <f ca="1">IFERROR(__xludf.DUMMYFUNCTION("""COMPUTED_VALUE"""),11)</f>
        <v>11</v>
      </c>
      <c r="K57" s="1">
        <f ca="1">IFERROR(__xludf.DUMMYFUNCTION("""COMPUTED_VALUE"""),4)</f>
        <v>4</v>
      </c>
      <c r="L57" s="1">
        <f ca="1">IFERROR(__xludf.DUMMYFUNCTION("""COMPUTED_VALUE"""),2)</f>
        <v>2</v>
      </c>
      <c r="M57" s="1">
        <f ca="1">IFERROR(__xludf.DUMMYFUNCTION("""COMPUTED_VALUE"""),12)</f>
        <v>12</v>
      </c>
      <c r="N57" s="1">
        <f ca="1">IFERROR(__xludf.DUMMYFUNCTION("""COMPUTED_VALUE"""),2288)</f>
        <v>2288</v>
      </c>
      <c r="O57" s="1">
        <f ca="1">IFERROR(__xludf.DUMMYFUNCTION("""COMPUTED_VALUE"""),2216)</f>
        <v>2216</v>
      </c>
      <c r="P57" s="1">
        <f ca="1">IFERROR(__xludf.DUMMYFUNCTION("""COMPUTED_VALUE"""),1165)</f>
        <v>1165</v>
      </c>
      <c r="Q57" s="1">
        <f ca="1">IFERROR(__xludf.DUMMYFUNCTION("""COMPUTED_VALUE"""),801)</f>
        <v>801</v>
      </c>
      <c r="R57" s="1">
        <f ca="1">IFERROR(__xludf.DUMMYFUNCTION("""COMPUTED_VALUE"""),1843)</f>
        <v>1843</v>
      </c>
      <c r="S57" s="1">
        <f ca="1">IFERROR(__xludf.DUMMYFUNCTION("""COMPUTED_VALUE"""),0.435)</f>
        <v>0.435</v>
      </c>
      <c r="T57" s="1">
        <f ca="1">IFERROR(__xludf.DUMMYFUNCTION("""COMPUTED_VALUE"""),229)</f>
        <v>229</v>
      </c>
      <c r="U57" s="1">
        <f ca="1">IFERROR(__xludf.DUMMYFUNCTION("""COMPUTED_VALUE"""),692)</f>
        <v>692</v>
      </c>
      <c r="V57" s="1">
        <f ca="1">IFERROR(__xludf.DUMMYFUNCTION("""COMPUTED_VALUE"""),0.331)</f>
        <v>0.33100000000000002</v>
      </c>
      <c r="W57" s="1">
        <f ca="1">IFERROR(__xludf.DUMMYFUNCTION("""COMPUTED_VALUE"""),457)</f>
        <v>457</v>
      </c>
      <c r="X57" s="1">
        <f ca="1">IFERROR(__xludf.DUMMYFUNCTION("""COMPUTED_VALUE"""),621)</f>
        <v>621</v>
      </c>
      <c r="Y57" s="1">
        <f ca="1">IFERROR(__xludf.DUMMYFUNCTION("""COMPUTED_VALUE"""),0.736)</f>
        <v>0.73599999999999999</v>
      </c>
      <c r="Z57" s="1">
        <f ca="1">IFERROR(__xludf.DUMMYFUNCTION("""COMPUTED_VALUE"""),319)</f>
        <v>319</v>
      </c>
      <c r="AA57" s="1">
        <f ca="1">IFERROR(__xludf.DUMMYFUNCTION("""COMPUTED_VALUE"""),1057)</f>
        <v>1057</v>
      </c>
      <c r="AB57" s="1">
        <f ca="1">IFERROR(__xludf.DUMMYFUNCTION("""COMPUTED_VALUE"""),337)</f>
        <v>337</v>
      </c>
      <c r="AC57" s="1">
        <f ca="1">IFERROR(__xludf.DUMMYFUNCTION("""COMPUTED_VALUE"""),262)</f>
        <v>262</v>
      </c>
      <c r="AD57" s="1">
        <f ca="1">IFERROR(__xludf.DUMMYFUNCTION("""COMPUTED_VALUE"""),74)</f>
        <v>74</v>
      </c>
      <c r="AE57" s="1">
        <f ca="1">IFERROR(__xludf.DUMMYFUNCTION("""COMPUTED_VALUE"""),380)</f>
        <v>380</v>
      </c>
      <c r="AF57" s="1">
        <f ca="1">IFERROR(__xludf.DUMMYFUNCTION("""COMPUTED_VALUE"""),464)</f>
        <v>464</v>
      </c>
    </row>
    <row r="58" spans="1:32" x14ac:dyDescent="0.25">
      <c r="A58" s="1" t="str">
        <f ca="1">IFERROR(__xludf.DUMMYFUNCTION("""COMPUTED_VALUE"""),"Charleston Southern")</f>
        <v>Charleston Southern</v>
      </c>
      <c r="B58" s="1">
        <f ca="1">IFERROR(__xludf.DUMMYFUNCTION("""COMPUTED_VALUE"""),30)</f>
        <v>30</v>
      </c>
      <c r="C58" s="1">
        <f ca="1">IFERROR(__xludf.DUMMYFUNCTION("""COMPUTED_VALUE"""),13)</f>
        <v>13</v>
      </c>
      <c r="D58" s="1">
        <f ca="1">IFERROR(__xludf.DUMMYFUNCTION("""COMPUTED_VALUE"""),17)</f>
        <v>17</v>
      </c>
      <c r="E58" s="1">
        <f ca="1">IFERROR(__xludf.DUMMYFUNCTION("""COMPUTED_VALUE"""),0.433)</f>
        <v>0.433</v>
      </c>
      <c r="F58" s="1">
        <f ca="1">IFERROR(__xludf.DUMMYFUNCTION("""COMPUTED_VALUE"""),-13.5)</f>
        <v>-13.5</v>
      </c>
      <c r="G58" s="1">
        <f ca="1">IFERROR(__xludf.DUMMYFUNCTION("""COMPUTED_VALUE"""),-6.79)</f>
        <v>-6.79</v>
      </c>
      <c r="H58" s="1">
        <f ca="1">IFERROR(__xludf.DUMMYFUNCTION("""COMPUTED_VALUE"""),7)</f>
        <v>7</v>
      </c>
      <c r="I58" s="1">
        <f ca="1">IFERROR(__xludf.DUMMYFUNCTION("""COMPUTED_VALUE"""),11)</f>
        <v>11</v>
      </c>
      <c r="J58" s="1">
        <f ca="1">IFERROR(__xludf.DUMMYFUNCTION("""COMPUTED_VALUE"""),8)</f>
        <v>8</v>
      </c>
      <c r="K58" s="1">
        <f ca="1">IFERROR(__xludf.DUMMYFUNCTION("""COMPUTED_VALUE"""),6)</f>
        <v>6</v>
      </c>
      <c r="L58" s="1">
        <f ca="1">IFERROR(__xludf.DUMMYFUNCTION("""COMPUTED_VALUE"""),5)</f>
        <v>5</v>
      </c>
      <c r="M58" s="1">
        <f ca="1">IFERROR(__xludf.DUMMYFUNCTION("""COMPUTED_VALUE"""),10)</f>
        <v>10</v>
      </c>
      <c r="N58" s="1">
        <f ca="1">IFERROR(__xludf.DUMMYFUNCTION("""COMPUTED_VALUE"""),2074)</f>
        <v>2074</v>
      </c>
      <c r="O58" s="1">
        <f ca="1">IFERROR(__xludf.DUMMYFUNCTION("""COMPUTED_VALUE"""),2178)</f>
        <v>2178</v>
      </c>
      <c r="P58" s="1">
        <f ca="1">IFERROR(__xludf.DUMMYFUNCTION("""COMPUTED_VALUE"""),1215)</f>
        <v>1215</v>
      </c>
      <c r="Q58" s="1">
        <f ca="1">IFERROR(__xludf.DUMMYFUNCTION("""COMPUTED_VALUE"""),745)</f>
        <v>745</v>
      </c>
      <c r="R58" s="1">
        <f ca="1">IFERROR(__xludf.DUMMYFUNCTION("""COMPUTED_VALUE"""),1747)</f>
        <v>1747</v>
      </c>
      <c r="S58" s="1">
        <f ca="1">IFERROR(__xludf.DUMMYFUNCTION("""COMPUTED_VALUE"""),0.426)</f>
        <v>0.42599999999999999</v>
      </c>
      <c r="T58" s="1">
        <f ca="1">IFERROR(__xludf.DUMMYFUNCTION("""COMPUTED_VALUE"""),239)</f>
        <v>239</v>
      </c>
      <c r="U58" s="1">
        <f ca="1">IFERROR(__xludf.DUMMYFUNCTION("""COMPUTED_VALUE"""),744)</f>
        <v>744</v>
      </c>
      <c r="V58" s="1">
        <f ca="1">IFERROR(__xludf.DUMMYFUNCTION("""COMPUTED_VALUE"""),0.321)</f>
        <v>0.32100000000000001</v>
      </c>
      <c r="W58" s="1">
        <f ca="1">IFERROR(__xludf.DUMMYFUNCTION("""COMPUTED_VALUE"""),345)</f>
        <v>345</v>
      </c>
      <c r="X58" s="1">
        <f ca="1">IFERROR(__xludf.DUMMYFUNCTION("""COMPUTED_VALUE"""),466)</f>
        <v>466</v>
      </c>
      <c r="Y58" s="1">
        <f ca="1">IFERROR(__xludf.DUMMYFUNCTION("""COMPUTED_VALUE"""),0.74)</f>
        <v>0.74</v>
      </c>
      <c r="Z58" s="1">
        <f ca="1">IFERROR(__xludf.DUMMYFUNCTION("""COMPUTED_VALUE"""),247)</f>
        <v>247</v>
      </c>
      <c r="AA58" s="1">
        <f ca="1">IFERROR(__xludf.DUMMYFUNCTION("""COMPUTED_VALUE"""),971)</f>
        <v>971</v>
      </c>
      <c r="AB58" s="1">
        <f ca="1">IFERROR(__xludf.DUMMYFUNCTION("""COMPUTED_VALUE"""),398)</f>
        <v>398</v>
      </c>
      <c r="AC58" s="1">
        <f ca="1">IFERROR(__xludf.DUMMYFUNCTION("""COMPUTED_VALUE"""),183)</f>
        <v>183</v>
      </c>
      <c r="AD58" s="1">
        <f ca="1">IFERROR(__xludf.DUMMYFUNCTION("""COMPUTED_VALUE"""),74)</f>
        <v>74</v>
      </c>
      <c r="AE58" s="1">
        <f ca="1">IFERROR(__xludf.DUMMYFUNCTION("""COMPUTED_VALUE"""),386)</f>
        <v>386</v>
      </c>
      <c r="AF58" s="1">
        <f ca="1">IFERROR(__xludf.DUMMYFUNCTION("""COMPUTED_VALUE"""),465)</f>
        <v>465</v>
      </c>
    </row>
    <row r="59" spans="1:32" x14ac:dyDescent="0.25">
      <c r="A59" s="1" t="str">
        <f ca="1">IFERROR(__xludf.DUMMYFUNCTION("""COMPUTED_VALUE"""),"Charlotte")</f>
        <v>Charlotte</v>
      </c>
      <c r="B59" s="1">
        <f ca="1">IFERROR(__xludf.DUMMYFUNCTION("""COMPUTED_VALUE"""),27)</f>
        <v>27</v>
      </c>
      <c r="C59" s="1">
        <f ca="1">IFERROR(__xludf.DUMMYFUNCTION("""COMPUTED_VALUE"""),15)</f>
        <v>15</v>
      </c>
      <c r="D59" s="1">
        <f ca="1">IFERROR(__xludf.DUMMYFUNCTION("""COMPUTED_VALUE"""),12)</f>
        <v>12</v>
      </c>
      <c r="E59" s="1">
        <f ca="1">IFERROR(__xludf.DUMMYFUNCTION("""COMPUTED_VALUE"""),0.556)</f>
        <v>0.55600000000000005</v>
      </c>
      <c r="F59" s="1">
        <f ca="1">IFERROR(__xludf.DUMMYFUNCTION("""COMPUTED_VALUE"""),0.55)</f>
        <v>0.55000000000000004</v>
      </c>
      <c r="G59" s="1">
        <f ca="1">IFERROR(__xludf.DUMMYFUNCTION("""COMPUTED_VALUE"""),-1.49)</f>
        <v>-1.49</v>
      </c>
      <c r="H59" s="1">
        <f ca="1">IFERROR(__xludf.DUMMYFUNCTION("""COMPUTED_VALUE"""),9)</f>
        <v>9</v>
      </c>
      <c r="I59" s="1">
        <f ca="1">IFERROR(__xludf.DUMMYFUNCTION("""COMPUTED_VALUE"""),7)</f>
        <v>7</v>
      </c>
      <c r="J59" s="1">
        <f ca="1">IFERROR(__xludf.DUMMYFUNCTION("""COMPUTED_VALUE"""),12)</f>
        <v>12</v>
      </c>
      <c r="K59" s="1">
        <f ca="1">IFERROR(__xludf.DUMMYFUNCTION("""COMPUTED_VALUE"""),2)</f>
        <v>2</v>
      </c>
      <c r="L59" s="1">
        <f ca="1">IFERROR(__xludf.DUMMYFUNCTION("""COMPUTED_VALUE"""),3)</f>
        <v>3</v>
      </c>
      <c r="M59" s="1">
        <f ca="1">IFERROR(__xludf.DUMMYFUNCTION("""COMPUTED_VALUE"""),10)</f>
        <v>10</v>
      </c>
      <c r="N59" s="1">
        <f ca="1">IFERROR(__xludf.DUMMYFUNCTION("""COMPUTED_VALUE"""),1823)</f>
        <v>1823</v>
      </c>
      <c r="O59" s="1">
        <f ca="1">IFERROR(__xludf.DUMMYFUNCTION("""COMPUTED_VALUE"""),1768)</f>
        <v>1768</v>
      </c>
      <c r="P59" s="1">
        <f ca="1">IFERROR(__xludf.DUMMYFUNCTION("""COMPUTED_VALUE"""),1095)</f>
        <v>1095</v>
      </c>
      <c r="Q59" s="1">
        <f ca="1">IFERROR(__xludf.DUMMYFUNCTION("""COMPUTED_VALUE"""),637)</f>
        <v>637</v>
      </c>
      <c r="R59" s="1">
        <f ca="1">IFERROR(__xludf.DUMMYFUNCTION("""COMPUTED_VALUE"""),1391)</f>
        <v>1391</v>
      </c>
      <c r="S59" s="1">
        <f ca="1">IFERROR(__xludf.DUMMYFUNCTION("""COMPUTED_VALUE"""),0.458)</f>
        <v>0.45800000000000002</v>
      </c>
      <c r="T59" s="1">
        <f ca="1">IFERROR(__xludf.DUMMYFUNCTION("""COMPUTED_VALUE"""),176)</f>
        <v>176</v>
      </c>
      <c r="U59" s="1">
        <f ca="1">IFERROR(__xludf.DUMMYFUNCTION("""COMPUTED_VALUE"""),512)</f>
        <v>512</v>
      </c>
      <c r="V59" s="1">
        <f ca="1">IFERROR(__xludf.DUMMYFUNCTION("""COMPUTED_VALUE"""),0.344)</f>
        <v>0.34399999999999997</v>
      </c>
      <c r="W59" s="1">
        <f ca="1">IFERROR(__xludf.DUMMYFUNCTION("""COMPUTED_VALUE"""),373)</f>
        <v>373</v>
      </c>
      <c r="X59" s="1">
        <f ca="1">IFERROR(__xludf.DUMMYFUNCTION("""COMPUTED_VALUE"""),529)</f>
        <v>529</v>
      </c>
      <c r="Y59" s="1">
        <f ca="1">IFERROR(__xludf.DUMMYFUNCTION("""COMPUTED_VALUE"""),0.705)</f>
        <v>0.70499999999999996</v>
      </c>
      <c r="Z59" s="1">
        <f ca="1">IFERROR(__xludf.DUMMYFUNCTION("""COMPUTED_VALUE"""),176)</f>
        <v>176</v>
      </c>
      <c r="AA59" s="1">
        <f ca="1">IFERROR(__xludf.DUMMYFUNCTION("""COMPUTED_VALUE"""),847)</f>
        <v>847</v>
      </c>
      <c r="AB59" s="1">
        <f ca="1">IFERROR(__xludf.DUMMYFUNCTION("""COMPUTED_VALUE"""),333)</f>
        <v>333</v>
      </c>
      <c r="AC59" s="1">
        <f ca="1">IFERROR(__xludf.DUMMYFUNCTION("""COMPUTED_VALUE"""),208)</f>
        <v>208</v>
      </c>
      <c r="AD59" s="1">
        <f ca="1">IFERROR(__xludf.DUMMYFUNCTION("""COMPUTED_VALUE"""),92)</f>
        <v>92</v>
      </c>
      <c r="AE59" s="1">
        <f ca="1">IFERROR(__xludf.DUMMYFUNCTION("""COMPUTED_VALUE"""),376)</f>
        <v>376</v>
      </c>
      <c r="AF59" s="1">
        <f ca="1">IFERROR(__xludf.DUMMYFUNCTION("""COMPUTED_VALUE"""),416)</f>
        <v>416</v>
      </c>
    </row>
    <row r="60" spans="1:32" x14ac:dyDescent="0.25">
      <c r="A60" s="1" t="str">
        <f ca="1">IFERROR(__xludf.DUMMYFUNCTION("""COMPUTED_VALUE"""),"Chattanooga")</f>
        <v>Chattanooga</v>
      </c>
      <c r="B60" s="1">
        <f ca="1">IFERROR(__xludf.DUMMYFUNCTION("""COMPUTED_VALUE"""),31)</f>
        <v>31</v>
      </c>
      <c r="C60" s="1">
        <f ca="1">IFERROR(__xludf.DUMMYFUNCTION("""COMPUTED_VALUE"""),19)</f>
        <v>19</v>
      </c>
      <c r="D60" s="1">
        <f ca="1">IFERROR(__xludf.DUMMYFUNCTION("""COMPUTED_VALUE"""),12)</f>
        <v>12</v>
      </c>
      <c r="E60" s="1">
        <f ca="1">IFERROR(__xludf.DUMMYFUNCTION("""COMPUTED_VALUE"""),0.613)</f>
        <v>0.61299999999999999</v>
      </c>
      <c r="F60" s="1">
        <f ca="1">IFERROR(__xludf.DUMMYFUNCTION("""COMPUTED_VALUE"""),0.07)</f>
        <v>7.0000000000000007E-2</v>
      </c>
      <c r="G60" s="1">
        <f ca="1">IFERROR(__xludf.DUMMYFUNCTION("""COMPUTED_VALUE"""),-2.1)</f>
        <v>-2.1</v>
      </c>
      <c r="H60" s="1">
        <f ca="1">IFERROR(__xludf.DUMMYFUNCTION("""COMPUTED_VALUE"""),10)</f>
        <v>10</v>
      </c>
      <c r="I60" s="1">
        <f ca="1">IFERROR(__xludf.DUMMYFUNCTION("""COMPUTED_VALUE"""),8)</f>
        <v>8</v>
      </c>
      <c r="J60" s="1">
        <f ca="1">IFERROR(__xludf.DUMMYFUNCTION("""COMPUTED_VALUE"""),10)</f>
        <v>10</v>
      </c>
      <c r="K60" s="1">
        <f ca="1">IFERROR(__xludf.DUMMYFUNCTION("""COMPUTED_VALUE"""),4)</f>
        <v>4</v>
      </c>
      <c r="L60" s="1">
        <f ca="1">IFERROR(__xludf.DUMMYFUNCTION("""COMPUTED_VALUE"""),7)</f>
        <v>7</v>
      </c>
      <c r="M60" s="1">
        <f ca="1">IFERROR(__xludf.DUMMYFUNCTION("""COMPUTED_VALUE"""),8)</f>
        <v>8</v>
      </c>
      <c r="N60" s="1">
        <f ca="1">IFERROR(__xludf.DUMMYFUNCTION("""COMPUTED_VALUE"""),2262)</f>
        <v>2262</v>
      </c>
      <c r="O60" s="1">
        <f ca="1">IFERROR(__xludf.DUMMYFUNCTION("""COMPUTED_VALUE"""),2121)</f>
        <v>2121</v>
      </c>
      <c r="P60" s="1">
        <f ca="1">IFERROR(__xludf.DUMMYFUNCTION("""COMPUTED_VALUE"""),1245)</f>
        <v>1245</v>
      </c>
      <c r="Q60" s="1">
        <f ca="1">IFERROR(__xludf.DUMMYFUNCTION("""COMPUTED_VALUE"""),813)</f>
        <v>813</v>
      </c>
      <c r="R60" s="1">
        <f ca="1">IFERROR(__xludf.DUMMYFUNCTION("""COMPUTED_VALUE"""),1801)</f>
        <v>1801</v>
      </c>
      <c r="S60" s="1">
        <f ca="1">IFERROR(__xludf.DUMMYFUNCTION("""COMPUTED_VALUE"""),0.451)</f>
        <v>0.45100000000000001</v>
      </c>
      <c r="T60" s="1">
        <f ca="1">IFERROR(__xludf.DUMMYFUNCTION("""COMPUTED_VALUE"""),268)</f>
        <v>268</v>
      </c>
      <c r="U60" s="1">
        <f ca="1">IFERROR(__xludf.DUMMYFUNCTION("""COMPUTED_VALUE"""),754)</f>
        <v>754</v>
      </c>
      <c r="V60" s="1">
        <f ca="1">IFERROR(__xludf.DUMMYFUNCTION("""COMPUTED_VALUE"""),0.355)</f>
        <v>0.35499999999999998</v>
      </c>
      <c r="W60" s="1">
        <f ca="1">IFERROR(__xludf.DUMMYFUNCTION("""COMPUTED_VALUE"""),368)</f>
        <v>368</v>
      </c>
      <c r="X60" s="1">
        <f ca="1">IFERROR(__xludf.DUMMYFUNCTION("""COMPUTED_VALUE"""),516)</f>
        <v>516</v>
      </c>
      <c r="Y60" s="1">
        <f ca="1">IFERROR(__xludf.DUMMYFUNCTION("""COMPUTED_VALUE"""),0.713)</f>
        <v>0.71299999999999997</v>
      </c>
      <c r="Z60" s="1">
        <f ca="1">IFERROR(__xludf.DUMMYFUNCTION("""COMPUTED_VALUE"""),286)</f>
        <v>286</v>
      </c>
      <c r="AA60" s="1">
        <f ca="1">IFERROR(__xludf.DUMMYFUNCTION("""COMPUTED_VALUE"""),1094)</f>
        <v>1094</v>
      </c>
      <c r="AB60" s="1">
        <f ca="1">IFERROR(__xludf.DUMMYFUNCTION("""COMPUTED_VALUE"""),438)</f>
        <v>438</v>
      </c>
      <c r="AC60" s="1">
        <f ca="1">IFERROR(__xludf.DUMMYFUNCTION("""COMPUTED_VALUE"""),152)</f>
        <v>152</v>
      </c>
      <c r="AD60" s="1">
        <f ca="1">IFERROR(__xludf.DUMMYFUNCTION("""COMPUTED_VALUE"""),47)</f>
        <v>47</v>
      </c>
      <c r="AE60" s="1">
        <f ca="1">IFERROR(__xludf.DUMMYFUNCTION("""COMPUTED_VALUE"""),370)</f>
        <v>370</v>
      </c>
      <c r="AF60" s="1">
        <f ca="1">IFERROR(__xludf.DUMMYFUNCTION("""COMPUTED_VALUE"""),474)</f>
        <v>474</v>
      </c>
    </row>
    <row r="61" spans="1:32" x14ac:dyDescent="0.25">
      <c r="A61" s="1" t="str">
        <f ca="1">IFERROR(__xludf.DUMMYFUNCTION("""COMPUTED_VALUE"""),"Chicago State")</f>
        <v>Chicago State</v>
      </c>
      <c r="B61" s="1">
        <f ca="1">IFERROR(__xludf.DUMMYFUNCTION("""COMPUTED_VALUE"""),29)</f>
        <v>29</v>
      </c>
      <c r="C61" s="1">
        <f ca="1">IFERROR(__xludf.DUMMYFUNCTION("""COMPUTED_VALUE"""),4)</f>
        <v>4</v>
      </c>
      <c r="D61" s="1">
        <f ca="1">IFERROR(__xludf.DUMMYFUNCTION("""COMPUTED_VALUE"""),25)</f>
        <v>25</v>
      </c>
      <c r="E61" s="1">
        <f ca="1">IFERROR(__xludf.DUMMYFUNCTION("""COMPUTED_VALUE"""),0.138)</f>
        <v>0.13800000000000001</v>
      </c>
      <c r="F61" s="1">
        <f ca="1">IFERROR(__xludf.DUMMYFUNCTION("""COMPUTED_VALUE"""),-28.1)</f>
        <v>-28.1</v>
      </c>
      <c r="G61" s="1">
        <f ca="1">IFERROR(__xludf.DUMMYFUNCTION("""COMPUTED_VALUE"""),-2.76)</f>
        <v>-2.76</v>
      </c>
      <c r="H61" s="1">
        <f ca="1">IFERROR(__xludf.DUMMYFUNCTION("""COMPUTED_VALUE"""),0)</f>
        <v>0</v>
      </c>
      <c r="I61" s="1">
        <f ca="1">IFERROR(__xludf.DUMMYFUNCTION("""COMPUTED_VALUE"""),14)</f>
        <v>14</v>
      </c>
      <c r="J61" s="1">
        <f ca="1">IFERROR(__xludf.DUMMYFUNCTION("""COMPUTED_VALUE"""),3)</f>
        <v>3</v>
      </c>
      <c r="K61" s="1">
        <f ca="1">IFERROR(__xludf.DUMMYFUNCTION("""COMPUTED_VALUE"""),11)</f>
        <v>11</v>
      </c>
      <c r="L61" s="1">
        <f ca="1">IFERROR(__xludf.DUMMYFUNCTION("""COMPUTED_VALUE"""),1)</f>
        <v>1</v>
      </c>
      <c r="M61" s="1">
        <f ca="1">IFERROR(__xludf.DUMMYFUNCTION("""COMPUTED_VALUE"""),12)</f>
        <v>12</v>
      </c>
      <c r="N61" s="1">
        <f ca="1">IFERROR(__xludf.DUMMYFUNCTION("""COMPUTED_VALUE"""),1781)</f>
        <v>1781</v>
      </c>
      <c r="O61" s="1">
        <f ca="1">IFERROR(__xludf.DUMMYFUNCTION("""COMPUTED_VALUE"""),2372)</f>
        <v>2372</v>
      </c>
      <c r="P61" s="1">
        <f ca="1">IFERROR(__xludf.DUMMYFUNCTION("""COMPUTED_VALUE"""),1160)</f>
        <v>1160</v>
      </c>
      <c r="Q61" s="1">
        <f ca="1">IFERROR(__xludf.DUMMYFUNCTION("""COMPUTED_VALUE"""),596)</f>
        <v>596</v>
      </c>
      <c r="R61" s="1">
        <f ca="1">IFERROR(__xludf.DUMMYFUNCTION("""COMPUTED_VALUE"""),1446)</f>
        <v>1446</v>
      </c>
      <c r="S61" s="1">
        <f ca="1">IFERROR(__xludf.DUMMYFUNCTION("""COMPUTED_VALUE"""),0.412)</f>
        <v>0.41199999999999998</v>
      </c>
      <c r="T61" s="1">
        <f ca="1">IFERROR(__xludf.DUMMYFUNCTION("""COMPUTED_VALUE"""),162)</f>
        <v>162</v>
      </c>
      <c r="U61" s="1">
        <f ca="1">IFERROR(__xludf.DUMMYFUNCTION("""COMPUTED_VALUE"""),507)</f>
        <v>507</v>
      </c>
      <c r="V61" s="1">
        <f ca="1">IFERROR(__xludf.DUMMYFUNCTION("""COMPUTED_VALUE"""),0.32)</f>
        <v>0.32</v>
      </c>
      <c r="W61" s="1">
        <f ca="1">IFERROR(__xludf.DUMMYFUNCTION("""COMPUTED_VALUE"""),427)</f>
        <v>427</v>
      </c>
      <c r="X61" s="1">
        <f ca="1">IFERROR(__xludf.DUMMYFUNCTION("""COMPUTED_VALUE"""),592)</f>
        <v>592</v>
      </c>
      <c r="Y61" s="1">
        <f ca="1">IFERROR(__xludf.DUMMYFUNCTION("""COMPUTED_VALUE"""),0.721)</f>
        <v>0.72099999999999997</v>
      </c>
      <c r="Z61" s="1">
        <f ca="1">IFERROR(__xludf.DUMMYFUNCTION("""COMPUTED_VALUE"""),207)</f>
        <v>207</v>
      </c>
      <c r="AA61" s="1">
        <f ca="1">IFERROR(__xludf.DUMMYFUNCTION("""COMPUTED_VALUE"""),848)</f>
        <v>848</v>
      </c>
      <c r="AB61" s="1">
        <f ca="1">IFERROR(__xludf.DUMMYFUNCTION("""COMPUTED_VALUE"""),300)</f>
        <v>300</v>
      </c>
      <c r="AC61" s="1">
        <f ca="1">IFERROR(__xludf.DUMMYFUNCTION("""COMPUTED_VALUE"""),144)</f>
        <v>144</v>
      </c>
      <c r="AD61" s="1">
        <f ca="1">IFERROR(__xludf.DUMMYFUNCTION("""COMPUTED_VALUE"""),73)</f>
        <v>73</v>
      </c>
      <c r="AE61" s="1">
        <f ca="1">IFERROR(__xludf.DUMMYFUNCTION("""COMPUTED_VALUE"""),513)</f>
        <v>513</v>
      </c>
      <c r="AF61" s="1">
        <f ca="1">IFERROR(__xludf.DUMMYFUNCTION("""COMPUTED_VALUE"""),593)</f>
        <v>593</v>
      </c>
    </row>
    <row r="62" spans="1:32" x14ac:dyDescent="0.25">
      <c r="A62" s="1" t="str">
        <f ca="1">IFERROR(__xludf.DUMMYFUNCTION("""COMPUTED_VALUE"""),"Cincinnati")</f>
        <v>Cincinnati</v>
      </c>
      <c r="B62" s="1">
        <f ca="1">IFERROR(__xludf.DUMMYFUNCTION("""COMPUTED_VALUE"""),28)</f>
        <v>28</v>
      </c>
      <c r="C62" s="1">
        <f ca="1">IFERROR(__xludf.DUMMYFUNCTION("""COMPUTED_VALUE"""),18)</f>
        <v>18</v>
      </c>
      <c r="D62" s="1">
        <f ca="1">IFERROR(__xludf.DUMMYFUNCTION("""COMPUTED_VALUE"""),10)</f>
        <v>10</v>
      </c>
      <c r="E62" s="1">
        <f ca="1">IFERROR(__xludf.DUMMYFUNCTION("""COMPUTED_VALUE"""),0.643)</f>
        <v>0.64300000000000002</v>
      </c>
      <c r="F62" s="1">
        <f ca="1">IFERROR(__xludf.DUMMYFUNCTION("""COMPUTED_VALUE"""),12.35)</f>
        <v>12.35</v>
      </c>
      <c r="G62" s="1">
        <f ca="1">IFERROR(__xludf.DUMMYFUNCTION("""COMPUTED_VALUE"""),6.81)</f>
        <v>6.81</v>
      </c>
      <c r="H62" s="1">
        <f ca="1">IFERROR(__xludf.DUMMYFUNCTION("""COMPUTED_VALUE"""),11)</f>
        <v>11</v>
      </c>
      <c r="I62" s="1">
        <f ca="1">IFERROR(__xludf.DUMMYFUNCTION("""COMPUTED_VALUE"""),5)</f>
        <v>5</v>
      </c>
      <c r="J62" s="1">
        <f ca="1">IFERROR(__xludf.DUMMYFUNCTION("""COMPUTED_VALUE"""),12)</f>
        <v>12</v>
      </c>
      <c r="K62" s="1">
        <f ca="1">IFERROR(__xludf.DUMMYFUNCTION("""COMPUTED_VALUE"""),2)</f>
        <v>2</v>
      </c>
      <c r="L62" s="1">
        <f ca="1">IFERROR(__xludf.DUMMYFUNCTION("""COMPUTED_VALUE"""),4)</f>
        <v>4</v>
      </c>
      <c r="M62" s="1">
        <f ca="1">IFERROR(__xludf.DUMMYFUNCTION("""COMPUTED_VALUE"""),6)</f>
        <v>6</v>
      </c>
      <c r="N62" s="1">
        <f ca="1">IFERROR(__xludf.DUMMYFUNCTION("""COMPUTED_VALUE"""),2039)</f>
        <v>2039</v>
      </c>
      <c r="O62" s="1">
        <f ca="1">IFERROR(__xludf.DUMMYFUNCTION("""COMPUTED_VALUE"""),1884)</f>
        <v>1884</v>
      </c>
      <c r="P62" s="1">
        <f ca="1">IFERROR(__xludf.DUMMYFUNCTION("""COMPUTED_VALUE"""),1160)</f>
        <v>1160</v>
      </c>
      <c r="Q62" s="1">
        <f ca="1">IFERROR(__xludf.DUMMYFUNCTION("""COMPUTED_VALUE"""),713)</f>
        <v>713</v>
      </c>
      <c r="R62" s="1">
        <f ca="1">IFERROR(__xludf.DUMMYFUNCTION("""COMPUTED_VALUE"""),1607)</f>
        <v>1607</v>
      </c>
      <c r="S62" s="1">
        <f ca="1">IFERROR(__xludf.DUMMYFUNCTION("""COMPUTED_VALUE"""),0.444)</f>
        <v>0.44400000000000001</v>
      </c>
      <c r="T62" s="1">
        <f ca="1">IFERROR(__xludf.DUMMYFUNCTION("""COMPUTED_VALUE"""),184)</f>
        <v>184</v>
      </c>
      <c r="U62" s="1">
        <f ca="1">IFERROR(__xludf.DUMMYFUNCTION("""COMPUTED_VALUE"""),582)</f>
        <v>582</v>
      </c>
      <c r="V62" s="1">
        <f ca="1">IFERROR(__xludf.DUMMYFUNCTION("""COMPUTED_VALUE"""),0.316)</f>
        <v>0.316</v>
      </c>
      <c r="W62" s="1">
        <f ca="1">IFERROR(__xludf.DUMMYFUNCTION("""COMPUTED_VALUE"""),429)</f>
        <v>429</v>
      </c>
      <c r="X62" s="1">
        <f ca="1">IFERROR(__xludf.DUMMYFUNCTION("""COMPUTED_VALUE"""),633)</f>
        <v>633</v>
      </c>
      <c r="Y62" s="1">
        <f ca="1">IFERROR(__xludf.DUMMYFUNCTION("""COMPUTED_VALUE"""),0.678)</f>
        <v>0.67800000000000005</v>
      </c>
      <c r="Z62" s="1">
        <f ca="1">IFERROR(__xludf.DUMMYFUNCTION("""COMPUTED_VALUE"""),309)</f>
        <v>309</v>
      </c>
      <c r="AA62" s="1">
        <f ca="1">IFERROR(__xludf.DUMMYFUNCTION("""COMPUTED_VALUE"""),1066)</f>
        <v>1066</v>
      </c>
      <c r="AB62" s="1">
        <f ca="1">IFERROR(__xludf.DUMMYFUNCTION("""COMPUTED_VALUE"""),414)</f>
        <v>414</v>
      </c>
      <c r="AC62" s="1">
        <f ca="1">IFERROR(__xludf.DUMMYFUNCTION("""COMPUTED_VALUE"""),185)</f>
        <v>185</v>
      </c>
      <c r="AD62" s="1">
        <f ca="1">IFERROR(__xludf.DUMMYFUNCTION("""COMPUTED_VALUE"""),133)</f>
        <v>133</v>
      </c>
      <c r="AE62" s="1">
        <f ca="1">IFERROR(__xludf.DUMMYFUNCTION("""COMPUTED_VALUE"""),409)</f>
        <v>409</v>
      </c>
      <c r="AF62" s="1">
        <f ca="1">IFERROR(__xludf.DUMMYFUNCTION("""COMPUTED_VALUE"""),505)</f>
        <v>505</v>
      </c>
    </row>
    <row r="63" spans="1:32" x14ac:dyDescent="0.25">
      <c r="A63" s="1" t="str">
        <f ca="1">IFERROR(__xludf.DUMMYFUNCTION("""COMPUTED_VALUE"""),"Citadel")</f>
        <v>Citadel</v>
      </c>
      <c r="B63" s="1">
        <f ca="1">IFERROR(__xludf.DUMMYFUNCTION("""COMPUTED_VALUE"""),29)</f>
        <v>29</v>
      </c>
      <c r="C63" s="1">
        <f ca="1">IFERROR(__xludf.DUMMYFUNCTION("""COMPUTED_VALUE"""),6)</f>
        <v>6</v>
      </c>
      <c r="D63" s="1">
        <f ca="1">IFERROR(__xludf.DUMMYFUNCTION("""COMPUTED_VALUE"""),23)</f>
        <v>23</v>
      </c>
      <c r="E63" s="1">
        <f ca="1">IFERROR(__xludf.DUMMYFUNCTION("""COMPUTED_VALUE"""),0.207)</f>
        <v>0.20699999999999999</v>
      </c>
      <c r="F63" s="1">
        <f ca="1">IFERROR(__xludf.DUMMYFUNCTION("""COMPUTED_VALUE"""),-13.59)</f>
        <v>-13.59</v>
      </c>
      <c r="G63" s="1">
        <f ca="1">IFERROR(__xludf.DUMMYFUNCTION("""COMPUTED_VALUE"""),-0.94)</f>
        <v>-0.94</v>
      </c>
      <c r="H63" s="1">
        <f ca="1">IFERROR(__xludf.DUMMYFUNCTION("""COMPUTED_VALUE"""),0)</f>
        <v>0</v>
      </c>
      <c r="I63" s="1">
        <f ca="1">IFERROR(__xludf.DUMMYFUNCTION("""COMPUTED_VALUE"""),18)</f>
        <v>18</v>
      </c>
      <c r="J63" s="1">
        <f ca="1">IFERROR(__xludf.DUMMYFUNCTION("""COMPUTED_VALUE"""),3)</f>
        <v>3</v>
      </c>
      <c r="K63" s="1">
        <f ca="1">IFERROR(__xludf.DUMMYFUNCTION("""COMPUTED_VALUE"""),11)</f>
        <v>11</v>
      </c>
      <c r="L63" s="1">
        <f ca="1">IFERROR(__xludf.DUMMYFUNCTION("""COMPUTED_VALUE"""),3)</f>
        <v>3</v>
      </c>
      <c r="M63" s="1">
        <f ca="1">IFERROR(__xludf.DUMMYFUNCTION("""COMPUTED_VALUE"""),12)</f>
        <v>12</v>
      </c>
      <c r="N63" s="1">
        <f ca="1">IFERROR(__xludf.DUMMYFUNCTION("""COMPUTED_VALUE"""),2168)</f>
        <v>2168</v>
      </c>
      <c r="O63" s="1">
        <f ca="1">IFERROR(__xludf.DUMMYFUNCTION("""COMPUTED_VALUE"""),2340)</f>
        <v>2340</v>
      </c>
      <c r="P63" s="1">
        <f ca="1">IFERROR(__xludf.DUMMYFUNCTION("""COMPUTED_VALUE"""),1175)</f>
        <v>1175</v>
      </c>
      <c r="Q63" s="1">
        <f ca="1">IFERROR(__xludf.DUMMYFUNCTION("""COMPUTED_VALUE"""),766)</f>
        <v>766</v>
      </c>
      <c r="R63" s="1">
        <f ca="1">IFERROR(__xludf.DUMMYFUNCTION("""COMPUTED_VALUE"""),1764)</f>
        <v>1764</v>
      </c>
      <c r="S63" s="1">
        <f ca="1">IFERROR(__xludf.DUMMYFUNCTION("""COMPUTED_VALUE"""),0.434)</f>
        <v>0.434</v>
      </c>
      <c r="T63" s="1">
        <f ca="1">IFERROR(__xludf.DUMMYFUNCTION("""COMPUTED_VALUE"""),270)</f>
        <v>270</v>
      </c>
      <c r="U63" s="1">
        <f ca="1">IFERROR(__xludf.DUMMYFUNCTION("""COMPUTED_VALUE"""),827)</f>
        <v>827</v>
      </c>
      <c r="V63" s="1">
        <f ca="1">IFERROR(__xludf.DUMMYFUNCTION("""COMPUTED_VALUE"""),0.326)</f>
        <v>0.32600000000000001</v>
      </c>
      <c r="W63" s="1">
        <f ca="1">IFERROR(__xludf.DUMMYFUNCTION("""COMPUTED_VALUE"""),366)</f>
        <v>366</v>
      </c>
      <c r="X63" s="1">
        <f ca="1">IFERROR(__xludf.DUMMYFUNCTION("""COMPUTED_VALUE"""),534)</f>
        <v>534</v>
      </c>
      <c r="Y63" s="1">
        <f ca="1">IFERROR(__xludf.DUMMYFUNCTION("""COMPUTED_VALUE"""),0.685)</f>
        <v>0.68500000000000005</v>
      </c>
      <c r="Z63" s="1">
        <f ca="1">IFERROR(__xludf.DUMMYFUNCTION("""COMPUTED_VALUE"""),243)</f>
        <v>243</v>
      </c>
      <c r="AA63" s="1">
        <f ca="1">IFERROR(__xludf.DUMMYFUNCTION("""COMPUTED_VALUE"""),1000)</f>
        <v>1000</v>
      </c>
      <c r="AB63" s="1">
        <f ca="1">IFERROR(__xludf.DUMMYFUNCTION("""COMPUTED_VALUE"""),424)</f>
        <v>424</v>
      </c>
      <c r="AC63" s="1">
        <f ca="1">IFERROR(__xludf.DUMMYFUNCTION("""COMPUTED_VALUE"""),194)</f>
        <v>194</v>
      </c>
      <c r="AD63" s="1">
        <f ca="1">IFERROR(__xludf.DUMMYFUNCTION("""COMPUTED_VALUE"""),84)</f>
        <v>84</v>
      </c>
      <c r="AE63" s="1">
        <f ca="1">IFERROR(__xludf.DUMMYFUNCTION("""COMPUTED_VALUE"""),450)</f>
        <v>450</v>
      </c>
      <c r="AF63" s="1">
        <f ca="1">IFERROR(__xludf.DUMMYFUNCTION("""COMPUTED_VALUE"""),502)</f>
        <v>502</v>
      </c>
    </row>
    <row r="64" spans="1:32" x14ac:dyDescent="0.25">
      <c r="A64" s="1" t="str">
        <f ca="1">IFERROR(__xludf.DUMMYFUNCTION("""COMPUTED_VALUE"""),"Clemson")</f>
        <v>Clemson</v>
      </c>
      <c r="B64" s="1">
        <f ca="1">IFERROR(__xludf.DUMMYFUNCTION("""COMPUTED_VALUE"""),28)</f>
        <v>28</v>
      </c>
      <c r="C64" s="1">
        <f ca="1">IFERROR(__xludf.DUMMYFUNCTION("""COMPUTED_VALUE"""),15)</f>
        <v>15</v>
      </c>
      <c r="D64" s="1">
        <f ca="1">IFERROR(__xludf.DUMMYFUNCTION("""COMPUTED_VALUE"""),13)</f>
        <v>13</v>
      </c>
      <c r="E64" s="1">
        <f ca="1">IFERROR(__xludf.DUMMYFUNCTION("""COMPUTED_VALUE"""),0.536)</f>
        <v>0.53600000000000003</v>
      </c>
      <c r="F64" s="1">
        <f ca="1">IFERROR(__xludf.DUMMYFUNCTION("""COMPUTED_VALUE"""),10.9)</f>
        <v>10.9</v>
      </c>
      <c r="G64" s="1">
        <f ca="1">IFERROR(__xludf.DUMMYFUNCTION("""COMPUTED_VALUE"""),7.9)</f>
        <v>7.9</v>
      </c>
      <c r="H64" s="1">
        <f ca="1">IFERROR(__xludf.DUMMYFUNCTION("""COMPUTED_VALUE"""),9)</f>
        <v>9</v>
      </c>
      <c r="I64" s="1">
        <f ca="1">IFERROR(__xludf.DUMMYFUNCTION("""COMPUTED_VALUE"""),9)</f>
        <v>9</v>
      </c>
      <c r="J64" s="1">
        <f ca="1">IFERROR(__xludf.DUMMYFUNCTION("""COMPUTED_VALUE"""),11)</f>
        <v>11</v>
      </c>
      <c r="K64" s="1">
        <f ca="1">IFERROR(__xludf.DUMMYFUNCTION("""COMPUTED_VALUE"""),5)</f>
        <v>5</v>
      </c>
      <c r="L64" s="1">
        <f ca="1">IFERROR(__xludf.DUMMYFUNCTION("""COMPUTED_VALUE"""),3)</f>
        <v>3</v>
      </c>
      <c r="M64" s="1">
        <f ca="1">IFERROR(__xludf.DUMMYFUNCTION("""COMPUTED_VALUE"""),7)</f>
        <v>7</v>
      </c>
      <c r="N64" s="1">
        <f ca="1">IFERROR(__xludf.DUMMYFUNCTION("""COMPUTED_VALUE"""),1873)</f>
        <v>1873</v>
      </c>
      <c r="O64" s="1">
        <f ca="1">IFERROR(__xludf.DUMMYFUNCTION("""COMPUTED_VALUE"""),1789)</f>
        <v>1789</v>
      </c>
      <c r="P64" s="1">
        <f ca="1">IFERROR(__xludf.DUMMYFUNCTION("""COMPUTED_VALUE"""),1135)</f>
        <v>1135</v>
      </c>
      <c r="Q64" s="1">
        <f ca="1">IFERROR(__xludf.DUMMYFUNCTION("""COMPUTED_VALUE"""),672)</f>
        <v>672</v>
      </c>
      <c r="R64" s="1">
        <f ca="1">IFERROR(__xludf.DUMMYFUNCTION("""COMPUTED_VALUE"""),1553)</f>
        <v>1553</v>
      </c>
      <c r="S64" s="1">
        <f ca="1">IFERROR(__xludf.DUMMYFUNCTION("""COMPUTED_VALUE"""),0.433)</f>
        <v>0.433</v>
      </c>
      <c r="T64" s="1">
        <f ca="1">IFERROR(__xludf.DUMMYFUNCTION("""COMPUTED_VALUE"""),229)</f>
        <v>229</v>
      </c>
      <c r="U64" s="1">
        <f ca="1">IFERROR(__xludf.DUMMYFUNCTION("""COMPUTED_VALUE"""),714)</f>
        <v>714</v>
      </c>
      <c r="V64" s="1">
        <f ca="1">IFERROR(__xludf.DUMMYFUNCTION("""COMPUTED_VALUE"""),0.321)</f>
        <v>0.32100000000000001</v>
      </c>
      <c r="W64" s="1">
        <f ca="1">IFERROR(__xludf.DUMMYFUNCTION("""COMPUTED_VALUE"""),300)</f>
        <v>300</v>
      </c>
      <c r="X64" s="1">
        <f ca="1">IFERROR(__xludf.DUMMYFUNCTION("""COMPUTED_VALUE"""),447)</f>
        <v>447</v>
      </c>
      <c r="Y64" s="1">
        <f ca="1">IFERROR(__xludf.DUMMYFUNCTION("""COMPUTED_VALUE"""),0.671)</f>
        <v>0.67100000000000004</v>
      </c>
      <c r="Z64" s="1">
        <f ca="1">IFERROR(__xludf.DUMMYFUNCTION("""COMPUTED_VALUE"""),227)</f>
        <v>227</v>
      </c>
      <c r="AA64" s="1">
        <f ca="1">IFERROR(__xludf.DUMMYFUNCTION("""COMPUTED_VALUE"""),951)</f>
        <v>951</v>
      </c>
      <c r="AB64" s="1">
        <f ca="1">IFERROR(__xludf.DUMMYFUNCTION("""COMPUTED_VALUE"""),369)</f>
        <v>369</v>
      </c>
      <c r="AC64" s="1">
        <f ca="1">IFERROR(__xludf.DUMMYFUNCTION("""COMPUTED_VALUE"""),190)</f>
        <v>190</v>
      </c>
      <c r="AD64" s="1">
        <f ca="1">IFERROR(__xludf.DUMMYFUNCTION("""COMPUTED_VALUE"""),69)</f>
        <v>69</v>
      </c>
      <c r="AE64" s="1">
        <f ca="1">IFERROR(__xludf.DUMMYFUNCTION("""COMPUTED_VALUE"""),353)</f>
        <v>353</v>
      </c>
      <c r="AF64" s="1">
        <f ca="1">IFERROR(__xludf.DUMMYFUNCTION("""COMPUTED_VALUE"""),429)</f>
        <v>429</v>
      </c>
    </row>
    <row r="65" spans="1:32" x14ac:dyDescent="0.25">
      <c r="A65" s="1" t="str">
        <f ca="1">IFERROR(__xludf.DUMMYFUNCTION("""COMPUTED_VALUE"""),"Cleveland State")</f>
        <v>Cleveland State</v>
      </c>
      <c r="B65" s="1">
        <f ca="1">IFERROR(__xludf.DUMMYFUNCTION("""COMPUTED_VALUE"""),31)</f>
        <v>31</v>
      </c>
      <c r="C65" s="1">
        <f ca="1">IFERROR(__xludf.DUMMYFUNCTION("""COMPUTED_VALUE"""),11)</f>
        <v>11</v>
      </c>
      <c r="D65" s="1">
        <f ca="1">IFERROR(__xludf.DUMMYFUNCTION("""COMPUTED_VALUE"""),20)</f>
        <v>20</v>
      </c>
      <c r="E65" s="1">
        <f ca="1">IFERROR(__xludf.DUMMYFUNCTION("""COMPUTED_VALUE"""),0.355)</f>
        <v>0.35499999999999998</v>
      </c>
      <c r="F65" s="1">
        <f ca="1">IFERROR(__xludf.DUMMYFUNCTION("""COMPUTED_VALUE"""),-10.76)</f>
        <v>-10.76</v>
      </c>
      <c r="G65" s="1">
        <f ca="1">IFERROR(__xludf.DUMMYFUNCTION("""COMPUTED_VALUE"""),-2.46)</f>
        <v>-2.46</v>
      </c>
      <c r="H65" s="1">
        <f ca="1">IFERROR(__xludf.DUMMYFUNCTION("""COMPUTED_VALUE"""),7)</f>
        <v>7</v>
      </c>
      <c r="I65" s="1">
        <f ca="1">IFERROR(__xludf.DUMMYFUNCTION("""COMPUTED_VALUE"""),11)</f>
        <v>11</v>
      </c>
      <c r="J65" s="1">
        <f ca="1">IFERROR(__xludf.DUMMYFUNCTION("""COMPUTED_VALUE"""),6)</f>
        <v>6</v>
      </c>
      <c r="K65" s="1">
        <f ca="1">IFERROR(__xludf.DUMMYFUNCTION("""COMPUTED_VALUE"""),8)</f>
        <v>8</v>
      </c>
      <c r="L65" s="1">
        <f ca="1">IFERROR(__xludf.DUMMYFUNCTION("""COMPUTED_VALUE"""),3)</f>
        <v>3</v>
      </c>
      <c r="M65" s="1">
        <f ca="1">IFERROR(__xludf.DUMMYFUNCTION("""COMPUTED_VALUE"""),12)</f>
        <v>12</v>
      </c>
      <c r="N65" s="1">
        <f ca="1">IFERROR(__xludf.DUMMYFUNCTION("""COMPUTED_VALUE"""),1994)</f>
        <v>1994</v>
      </c>
      <c r="O65" s="1">
        <f ca="1">IFERROR(__xludf.DUMMYFUNCTION("""COMPUTED_VALUE"""),2218)</f>
        <v>2218</v>
      </c>
      <c r="P65" s="1">
        <f ca="1">IFERROR(__xludf.DUMMYFUNCTION("""COMPUTED_VALUE"""),1250)</f>
        <v>1250</v>
      </c>
      <c r="Q65" s="1">
        <f ca="1">IFERROR(__xludf.DUMMYFUNCTION("""COMPUTED_VALUE"""),714)</f>
        <v>714</v>
      </c>
      <c r="R65" s="1">
        <f ca="1">IFERROR(__xludf.DUMMYFUNCTION("""COMPUTED_VALUE"""),1710)</f>
        <v>1710</v>
      </c>
      <c r="S65" s="1">
        <f ca="1">IFERROR(__xludf.DUMMYFUNCTION("""COMPUTED_VALUE"""),0.418)</f>
        <v>0.41799999999999998</v>
      </c>
      <c r="T65" s="1">
        <f ca="1">IFERROR(__xludf.DUMMYFUNCTION("""COMPUTED_VALUE"""),118)</f>
        <v>118</v>
      </c>
      <c r="U65" s="1">
        <f ca="1">IFERROR(__xludf.DUMMYFUNCTION("""COMPUTED_VALUE"""),397)</f>
        <v>397</v>
      </c>
      <c r="V65" s="1">
        <f ca="1">IFERROR(__xludf.DUMMYFUNCTION("""COMPUTED_VALUE"""),0.297)</f>
        <v>0.29699999999999999</v>
      </c>
      <c r="W65" s="1">
        <f ca="1">IFERROR(__xludf.DUMMYFUNCTION("""COMPUTED_VALUE"""),448)</f>
        <v>448</v>
      </c>
      <c r="X65" s="1">
        <f ca="1">IFERROR(__xludf.DUMMYFUNCTION("""COMPUTED_VALUE"""),672)</f>
        <v>672</v>
      </c>
      <c r="Y65" s="1">
        <f ca="1">IFERROR(__xludf.DUMMYFUNCTION("""COMPUTED_VALUE"""),0.667)</f>
        <v>0.66700000000000004</v>
      </c>
      <c r="Z65" s="1">
        <f ca="1">IFERROR(__xludf.DUMMYFUNCTION("""COMPUTED_VALUE"""),357)</f>
        <v>357</v>
      </c>
      <c r="AA65" s="1">
        <f ca="1">IFERROR(__xludf.DUMMYFUNCTION("""COMPUTED_VALUE"""),1080)</f>
        <v>1080</v>
      </c>
      <c r="AB65" s="1">
        <f ca="1">IFERROR(__xludf.DUMMYFUNCTION("""COMPUTED_VALUE"""),368)</f>
        <v>368</v>
      </c>
      <c r="AC65" s="1">
        <f ca="1">IFERROR(__xludf.DUMMYFUNCTION("""COMPUTED_VALUE"""),243)</f>
        <v>243</v>
      </c>
      <c r="AD65" s="1">
        <f ca="1">IFERROR(__xludf.DUMMYFUNCTION("""COMPUTED_VALUE"""),83)</f>
        <v>83</v>
      </c>
      <c r="AE65" s="1">
        <f ca="1">IFERROR(__xludf.DUMMYFUNCTION("""COMPUTED_VALUE"""),475)</f>
        <v>475</v>
      </c>
      <c r="AF65" s="1">
        <f ca="1">IFERROR(__xludf.DUMMYFUNCTION("""COMPUTED_VALUE"""),626)</f>
        <v>626</v>
      </c>
    </row>
    <row r="66" spans="1:32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x14ac:dyDescent="0.25">
      <c r="A68" s="1" t="str">
        <f ca="1">IFERROR(__xludf.DUMMYFUNCTION("""COMPUTED_VALUE"""),"Coastal Carolina")</f>
        <v>Coastal Carolina</v>
      </c>
      <c r="B68" s="1">
        <f ca="1">IFERROR(__xludf.DUMMYFUNCTION("""COMPUTED_VALUE"""),30)</f>
        <v>30</v>
      </c>
      <c r="C68" s="1">
        <f ca="1">IFERROR(__xludf.DUMMYFUNCTION("""COMPUTED_VALUE"""),15)</f>
        <v>15</v>
      </c>
      <c r="D68" s="1">
        <f ca="1">IFERROR(__xludf.DUMMYFUNCTION("""COMPUTED_VALUE"""),15)</f>
        <v>15</v>
      </c>
      <c r="E68" s="1">
        <f ca="1">IFERROR(__xludf.DUMMYFUNCTION("""COMPUTED_VALUE"""),0.5)</f>
        <v>0.5</v>
      </c>
      <c r="F68" s="1">
        <f ca="1">IFERROR(__xludf.DUMMYFUNCTION("""COMPUTED_VALUE"""),-0.41)</f>
        <v>-0.41</v>
      </c>
      <c r="G68" s="1">
        <f ca="1">IFERROR(__xludf.DUMMYFUNCTION("""COMPUTED_VALUE"""),-0.23)</f>
        <v>-0.23</v>
      </c>
      <c r="H68" s="1">
        <f ca="1">IFERROR(__xludf.DUMMYFUNCTION("""COMPUTED_VALUE"""),8)</f>
        <v>8</v>
      </c>
      <c r="I68" s="1">
        <f ca="1">IFERROR(__xludf.DUMMYFUNCTION("""COMPUTED_VALUE"""),11)</f>
        <v>11</v>
      </c>
      <c r="J68" s="1">
        <f ca="1">IFERROR(__xludf.DUMMYFUNCTION("""COMPUTED_VALUE"""),9)</f>
        <v>9</v>
      </c>
      <c r="K68" s="1">
        <f ca="1">IFERROR(__xludf.DUMMYFUNCTION("""COMPUTED_VALUE"""),9)</f>
        <v>9</v>
      </c>
      <c r="L68" s="1">
        <f ca="1">IFERROR(__xludf.DUMMYFUNCTION("""COMPUTED_VALUE"""),6)</f>
        <v>6</v>
      </c>
      <c r="M68" s="1">
        <f ca="1">IFERROR(__xludf.DUMMYFUNCTION("""COMPUTED_VALUE"""),5)</f>
        <v>5</v>
      </c>
      <c r="N68" s="1">
        <f ca="1">IFERROR(__xludf.DUMMYFUNCTION("""COMPUTED_VALUE"""),2344)</f>
        <v>2344</v>
      </c>
      <c r="O68" s="1">
        <f ca="1">IFERROR(__xludf.DUMMYFUNCTION("""COMPUTED_VALUE"""),2278)</f>
        <v>2278</v>
      </c>
      <c r="P68" s="1">
        <f ca="1">IFERROR(__xludf.DUMMYFUNCTION("""COMPUTED_VALUE"""),1200)</f>
        <v>1200</v>
      </c>
      <c r="Q68" s="1">
        <f ca="1">IFERROR(__xludf.DUMMYFUNCTION("""COMPUTED_VALUE"""),831)</f>
        <v>831</v>
      </c>
      <c r="R68" s="1">
        <f ca="1">IFERROR(__xludf.DUMMYFUNCTION("""COMPUTED_VALUE"""),1841)</f>
        <v>1841</v>
      </c>
      <c r="S68" s="1">
        <f ca="1">IFERROR(__xludf.DUMMYFUNCTION("""COMPUTED_VALUE"""),0.451)</f>
        <v>0.45100000000000001</v>
      </c>
      <c r="T68" s="1">
        <f ca="1">IFERROR(__xludf.DUMMYFUNCTION("""COMPUTED_VALUE"""),223)</f>
        <v>223</v>
      </c>
      <c r="U68" s="1">
        <f ca="1">IFERROR(__xludf.DUMMYFUNCTION("""COMPUTED_VALUE"""),666)</f>
        <v>666</v>
      </c>
      <c r="V68" s="1">
        <f ca="1">IFERROR(__xludf.DUMMYFUNCTION("""COMPUTED_VALUE"""),0.335)</f>
        <v>0.33500000000000002</v>
      </c>
      <c r="W68" s="1">
        <f ca="1">IFERROR(__xludf.DUMMYFUNCTION("""COMPUTED_VALUE"""),459)</f>
        <v>459</v>
      </c>
      <c r="X68" s="1">
        <f ca="1">IFERROR(__xludf.DUMMYFUNCTION("""COMPUTED_VALUE"""),650)</f>
        <v>650</v>
      </c>
      <c r="Y68" s="1">
        <f ca="1">IFERROR(__xludf.DUMMYFUNCTION("""COMPUTED_VALUE"""),0.706)</f>
        <v>0.70599999999999996</v>
      </c>
      <c r="Z68" s="1">
        <f ca="1">IFERROR(__xludf.DUMMYFUNCTION("""COMPUTED_VALUE"""),401)</f>
        <v>401</v>
      </c>
      <c r="AA68" s="1">
        <f ca="1">IFERROR(__xludf.DUMMYFUNCTION("""COMPUTED_VALUE"""),1205)</f>
        <v>1205</v>
      </c>
      <c r="AB68" s="1">
        <f ca="1">IFERROR(__xludf.DUMMYFUNCTION("""COMPUTED_VALUE"""),411)</f>
        <v>411</v>
      </c>
      <c r="AC68" s="1">
        <f ca="1">IFERROR(__xludf.DUMMYFUNCTION("""COMPUTED_VALUE"""),233)</f>
        <v>233</v>
      </c>
      <c r="AD68" s="1">
        <f ca="1">IFERROR(__xludf.DUMMYFUNCTION("""COMPUTED_VALUE"""),87)</f>
        <v>87</v>
      </c>
      <c r="AE68" s="1">
        <f ca="1">IFERROR(__xludf.DUMMYFUNCTION("""COMPUTED_VALUE"""),488)</f>
        <v>488</v>
      </c>
      <c r="AF68" s="1">
        <f ca="1">IFERROR(__xludf.DUMMYFUNCTION("""COMPUTED_VALUE"""),657)</f>
        <v>657</v>
      </c>
    </row>
    <row r="69" spans="1:32" x14ac:dyDescent="0.25">
      <c r="A69" s="1" t="str">
        <f ca="1">IFERROR(__xludf.DUMMYFUNCTION("""COMPUTED_VALUE"""),"Colgate")</f>
        <v>Colgate</v>
      </c>
      <c r="B69" s="1">
        <f ca="1">IFERROR(__xludf.DUMMYFUNCTION("""COMPUTED_VALUE"""),31)</f>
        <v>31</v>
      </c>
      <c r="C69" s="1">
        <f ca="1">IFERROR(__xludf.DUMMYFUNCTION("""COMPUTED_VALUE"""),23)</f>
        <v>23</v>
      </c>
      <c r="D69" s="1">
        <f ca="1">IFERROR(__xludf.DUMMYFUNCTION("""COMPUTED_VALUE"""),8)</f>
        <v>8</v>
      </c>
      <c r="E69" s="1">
        <f ca="1">IFERROR(__xludf.DUMMYFUNCTION("""COMPUTED_VALUE"""),0.742)</f>
        <v>0.74199999999999999</v>
      </c>
      <c r="F69" s="1">
        <f ca="1">IFERROR(__xludf.DUMMYFUNCTION("""COMPUTED_VALUE"""),1.11)</f>
        <v>1.1100000000000001</v>
      </c>
      <c r="G69" s="1">
        <f ca="1">IFERROR(__xludf.DUMMYFUNCTION("""COMPUTED_VALUE"""),-5.52)</f>
        <v>-5.52</v>
      </c>
      <c r="H69" s="1">
        <f ca="1">IFERROR(__xludf.DUMMYFUNCTION("""COMPUTED_VALUE"""),14)</f>
        <v>14</v>
      </c>
      <c r="I69" s="1">
        <f ca="1">IFERROR(__xludf.DUMMYFUNCTION("""COMPUTED_VALUE"""),4)</f>
        <v>4</v>
      </c>
      <c r="J69" s="1">
        <f ca="1">IFERROR(__xludf.DUMMYFUNCTION("""COMPUTED_VALUE"""),13)</f>
        <v>13</v>
      </c>
      <c r="K69" s="1">
        <f ca="1">IFERROR(__xludf.DUMMYFUNCTION("""COMPUTED_VALUE"""),1)</f>
        <v>1</v>
      </c>
      <c r="L69" s="1">
        <f ca="1">IFERROR(__xludf.DUMMYFUNCTION("""COMPUTED_VALUE"""),9)</f>
        <v>9</v>
      </c>
      <c r="M69" s="1">
        <f ca="1">IFERROR(__xludf.DUMMYFUNCTION("""COMPUTED_VALUE"""),7)</f>
        <v>7</v>
      </c>
      <c r="N69" s="1">
        <f ca="1">IFERROR(__xludf.DUMMYFUNCTION("""COMPUTED_VALUE"""),2355)</f>
        <v>2355</v>
      </c>
      <c r="O69" s="1">
        <f ca="1">IFERROR(__xludf.DUMMYFUNCTION("""COMPUTED_VALUE"""),2117)</f>
        <v>2117</v>
      </c>
      <c r="P69" s="1">
        <f ca="1">IFERROR(__xludf.DUMMYFUNCTION("""COMPUTED_VALUE"""),1245)</f>
        <v>1245</v>
      </c>
      <c r="Q69" s="1">
        <f ca="1">IFERROR(__xludf.DUMMYFUNCTION("""COMPUTED_VALUE"""),844)</f>
        <v>844</v>
      </c>
      <c r="R69" s="1">
        <f ca="1">IFERROR(__xludf.DUMMYFUNCTION("""COMPUTED_VALUE"""),1884)</f>
        <v>1884</v>
      </c>
      <c r="S69" s="1">
        <f ca="1">IFERROR(__xludf.DUMMYFUNCTION("""COMPUTED_VALUE"""),0.448)</f>
        <v>0.44800000000000001</v>
      </c>
      <c r="T69" s="1">
        <f ca="1">IFERROR(__xludf.DUMMYFUNCTION("""COMPUTED_VALUE"""),316)</f>
        <v>316</v>
      </c>
      <c r="U69" s="1">
        <f ca="1">IFERROR(__xludf.DUMMYFUNCTION("""COMPUTED_VALUE"""),873)</f>
        <v>873</v>
      </c>
      <c r="V69" s="1">
        <f ca="1">IFERROR(__xludf.DUMMYFUNCTION("""COMPUTED_VALUE"""),0.362)</f>
        <v>0.36199999999999999</v>
      </c>
      <c r="W69" s="1">
        <f ca="1">IFERROR(__xludf.DUMMYFUNCTION("""COMPUTED_VALUE"""),351)</f>
        <v>351</v>
      </c>
      <c r="X69" s="1">
        <f ca="1">IFERROR(__xludf.DUMMYFUNCTION("""COMPUTED_VALUE"""),468)</f>
        <v>468</v>
      </c>
      <c r="Y69" s="1">
        <f ca="1">IFERROR(__xludf.DUMMYFUNCTION("""COMPUTED_VALUE"""),0.75)</f>
        <v>0.75</v>
      </c>
      <c r="Z69" s="1">
        <f ca="1">IFERROR(__xludf.DUMMYFUNCTION("""COMPUTED_VALUE"""),301)</f>
        <v>301</v>
      </c>
      <c r="AA69" s="1">
        <f ca="1">IFERROR(__xludf.DUMMYFUNCTION("""COMPUTED_VALUE"""),1125)</f>
        <v>1125</v>
      </c>
      <c r="AB69" s="1">
        <f ca="1">IFERROR(__xludf.DUMMYFUNCTION("""COMPUTED_VALUE"""),448)</f>
        <v>448</v>
      </c>
      <c r="AC69" s="1">
        <f ca="1">IFERROR(__xludf.DUMMYFUNCTION("""COMPUTED_VALUE"""),190)</f>
        <v>190</v>
      </c>
      <c r="AD69" s="1">
        <f ca="1">IFERROR(__xludf.DUMMYFUNCTION("""COMPUTED_VALUE"""),91)</f>
        <v>91</v>
      </c>
      <c r="AE69" s="1">
        <f ca="1">IFERROR(__xludf.DUMMYFUNCTION("""COMPUTED_VALUE"""),349)</f>
        <v>349</v>
      </c>
      <c r="AF69" s="1">
        <f ca="1">IFERROR(__xludf.DUMMYFUNCTION("""COMPUTED_VALUE"""),477)</f>
        <v>477</v>
      </c>
    </row>
    <row r="70" spans="1:32" x14ac:dyDescent="0.25">
      <c r="A70" s="1" t="str">
        <f ca="1">IFERROR(__xludf.DUMMYFUNCTION("""COMPUTED_VALUE"""),"College of Charleston")</f>
        <v>College of Charleston</v>
      </c>
      <c r="B70" s="1">
        <f ca="1">IFERROR(__xludf.DUMMYFUNCTION("""COMPUTED_VALUE"""),30)</f>
        <v>30</v>
      </c>
      <c r="C70" s="1">
        <f ca="1">IFERROR(__xludf.DUMMYFUNCTION("""COMPUTED_VALUE"""),17)</f>
        <v>17</v>
      </c>
      <c r="D70" s="1">
        <f ca="1">IFERROR(__xludf.DUMMYFUNCTION("""COMPUTED_VALUE"""),13)</f>
        <v>13</v>
      </c>
      <c r="E70" s="1">
        <f ca="1">IFERROR(__xludf.DUMMYFUNCTION("""COMPUTED_VALUE"""),0.567)</f>
        <v>0.56699999999999995</v>
      </c>
      <c r="F70" s="1">
        <f ca="1">IFERROR(__xludf.DUMMYFUNCTION("""COMPUTED_VALUE"""),0.99)</f>
        <v>0.99</v>
      </c>
      <c r="G70" s="1">
        <f ca="1">IFERROR(__xludf.DUMMYFUNCTION("""COMPUTED_VALUE"""),-0.84)</f>
        <v>-0.84</v>
      </c>
      <c r="H70" s="1">
        <f ca="1">IFERROR(__xludf.DUMMYFUNCTION("""COMPUTED_VALUE"""),11)</f>
        <v>11</v>
      </c>
      <c r="I70" s="1">
        <f ca="1">IFERROR(__xludf.DUMMYFUNCTION("""COMPUTED_VALUE"""),7)</f>
        <v>7</v>
      </c>
      <c r="J70" s="1">
        <f ca="1">IFERROR(__xludf.DUMMYFUNCTION("""COMPUTED_VALUE"""),10)</f>
        <v>10</v>
      </c>
      <c r="K70" s="1">
        <f ca="1">IFERROR(__xludf.DUMMYFUNCTION("""COMPUTED_VALUE"""),5)</f>
        <v>5</v>
      </c>
      <c r="L70" s="1">
        <f ca="1">IFERROR(__xludf.DUMMYFUNCTION("""COMPUTED_VALUE"""),6)</f>
        <v>6</v>
      </c>
      <c r="M70" s="1">
        <f ca="1">IFERROR(__xludf.DUMMYFUNCTION("""COMPUTED_VALUE"""),6)</f>
        <v>6</v>
      </c>
      <c r="N70" s="1">
        <f ca="1">IFERROR(__xludf.DUMMYFUNCTION("""COMPUTED_VALUE"""),2109)</f>
        <v>2109</v>
      </c>
      <c r="O70" s="1">
        <f ca="1">IFERROR(__xludf.DUMMYFUNCTION("""COMPUTED_VALUE"""),2030)</f>
        <v>2030</v>
      </c>
      <c r="P70" s="1">
        <f ca="1">IFERROR(__xludf.DUMMYFUNCTION("""COMPUTED_VALUE"""),1200)</f>
        <v>1200</v>
      </c>
      <c r="Q70" s="1">
        <f ca="1">IFERROR(__xludf.DUMMYFUNCTION("""COMPUTED_VALUE"""),731)</f>
        <v>731</v>
      </c>
      <c r="R70" s="1">
        <f ca="1">IFERROR(__xludf.DUMMYFUNCTION("""COMPUTED_VALUE"""),1661)</f>
        <v>1661</v>
      </c>
      <c r="S70" s="1">
        <f ca="1">IFERROR(__xludf.DUMMYFUNCTION("""COMPUTED_VALUE"""),0.44)</f>
        <v>0.44</v>
      </c>
      <c r="T70" s="1">
        <f ca="1">IFERROR(__xludf.DUMMYFUNCTION("""COMPUTED_VALUE"""),227)</f>
        <v>227</v>
      </c>
      <c r="U70" s="1">
        <f ca="1">IFERROR(__xludf.DUMMYFUNCTION("""COMPUTED_VALUE"""),661)</f>
        <v>661</v>
      </c>
      <c r="V70" s="1">
        <f ca="1">IFERROR(__xludf.DUMMYFUNCTION("""COMPUTED_VALUE"""),0.343)</f>
        <v>0.34300000000000003</v>
      </c>
      <c r="W70" s="1">
        <f ca="1">IFERROR(__xludf.DUMMYFUNCTION("""COMPUTED_VALUE"""),420)</f>
        <v>420</v>
      </c>
      <c r="X70" s="1">
        <f ca="1">IFERROR(__xludf.DUMMYFUNCTION("""COMPUTED_VALUE"""),550)</f>
        <v>550</v>
      </c>
      <c r="Y70" s="1">
        <f ca="1">IFERROR(__xludf.DUMMYFUNCTION("""COMPUTED_VALUE"""),0.764)</f>
        <v>0.76400000000000001</v>
      </c>
      <c r="Z70" s="1">
        <f ca="1">IFERROR(__xludf.DUMMYFUNCTION("""COMPUTED_VALUE"""),228)</f>
        <v>228</v>
      </c>
      <c r="AA70" s="1">
        <f ca="1">IFERROR(__xludf.DUMMYFUNCTION("""COMPUTED_VALUE"""),975)</f>
        <v>975</v>
      </c>
      <c r="AB70" s="1">
        <f ca="1">IFERROR(__xludf.DUMMYFUNCTION("""COMPUTED_VALUE"""),327)</f>
        <v>327</v>
      </c>
      <c r="AC70" s="1">
        <f ca="1">IFERROR(__xludf.DUMMYFUNCTION("""COMPUTED_VALUE"""),202)</f>
        <v>202</v>
      </c>
      <c r="AD70" s="1">
        <f ca="1">IFERROR(__xludf.DUMMYFUNCTION("""COMPUTED_VALUE"""),77)</f>
        <v>77</v>
      </c>
      <c r="AE70" s="1">
        <f ca="1">IFERROR(__xludf.DUMMYFUNCTION("""COMPUTED_VALUE"""),323)</f>
        <v>323</v>
      </c>
      <c r="AF70" s="1">
        <f ca="1">IFERROR(__xludf.DUMMYFUNCTION("""COMPUTED_VALUE"""),508)</f>
        <v>508</v>
      </c>
    </row>
    <row r="71" spans="1:32" x14ac:dyDescent="0.25">
      <c r="A71" s="1" t="str">
        <f ca="1">IFERROR(__xludf.DUMMYFUNCTION("""COMPUTED_VALUE"""),"Colorado State")</f>
        <v>Colorado State</v>
      </c>
      <c r="B71" s="1">
        <f ca="1">IFERROR(__xludf.DUMMYFUNCTION("""COMPUTED_VALUE"""),31)</f>
        <v>31</v>
      </c>
      <c r="C71" s="1">
        <f ca="1">IFERROR(__xludf.DUMMYFUNCTION("""COMPUTED_VALUE"""),20)</f>
        <v>20</v>
      </c>
      <c r="D71" s="1">
        <f ca="1">IFERROR(__xludf.DUMMYFUNCTION("""COMPUTED_VALUE"""),11)</f>
        <v>11</v>
      </c>
      <c r="E71" s="1">
        <f ca="1">IFERROR(__xludf.DUMMYFUNCTION("""COMPUTED_VALUE"""),0.645)</f>
        <v>0.64500000000000002</v>
      </c>
      <c r="F71" s="1">
        <f ca="1">IFERROR(__xludf.DUMMYFUNCTION("""COMPUTED_VALUE"""),7.32)</f>
        <v>7.32</v>
      </c>
      <c r="G71" s="1">
        <f ca="1">IFERROR(__xludf.DUMMYFUNCTION("""COMPUTED_VALUE"""),4.29)</f>
        <v>4.29</v>
      </c>
      <c r="H71" s="1">
        <f ca="1">IFERROR(__xludf.DUMMYFUNCTION("""COMPUTED_VALUE"""),11)</f>
        <v>11</v>
      </c>
      <c r="I71" s="1">
        <f ca="1">IFERROR(__xludf.DUMMYFUNCTION("""COMPUTED_VALUE"""),7)</f>
        <v>7</v>
      </c>
      <c r="J71" s="1">
        <f ca="1">IFERROR(__xludf.DUMMYFUNCTION("""COMPUTED_VALUE"""),12)</f>
        <v>12</v>
      </c>
      <c r="K71" s="1">
        <f ca="1">IFERROR(__xludf.DUMMYFUNCTION("""COMPUTED_VALUE"""),4)</f>
        <v>4</v>
      </c>
      <c r="L71" s="1">
        <f ca="1">IFERROR(__xludf.DUMMYFUNCTION("""COMPUTED_VALUE"""),5)</f>
        <v>5</v>
      </c>
      <c r="M71" s="1">
        <f ca="1">IFERROR(__xludf.DUMMYFUNCTION("""COMPUTED_VALUE"""),6)</f>
        <v>6</v>
      </c>
      <c r="N71" s="1">
        <f ca="1">IFERROR(__xludf.DUMMYFUNCTION("""COMPUTED_VALUE"""),2343)</f>
        <v>2343</v>
      </c>
      <c r="O71" s="1">
        <f ca="1">IFERROR(__xludf.DUMMYFUNCTION("""COMPUTED_VALUE"""),2227)</f>
        <v>2227</v>
      </c>
      <c r="P71" s="1">
        <f ca="1">IFERROR(__xludf.DUMMYFUNCTION("""COMPUTED_VALUE"""),1260)</f>
        <v>1260</v>
      </c>
      <c r="Q71" s="1">
        <f ca="1">IFERROR(__xludf.DUMMYFUNCTION("""COMPUTED_VALUE"""),816)</f>
        <v>816</v>
      </c>
      <c r="R71" s="1">
        <f ca="1">IFERROR(__xludf.DUMMYFUNCTION("""COMPUTED_VALUE"""),1730)</f>
        <v>1730</v>
      </c>
      <c r="S71" s="1">
        <f ca="1">IFERROR(__xludf.DUMMYFUNCTION("""COMPUTED_VALUE"""),0.472)</f>
        <v>0.47199999999999998</v>
      </c>
      <c r="T71" s="1">
        <f ca="1">IFERROR(__xludf.DUMMYFUNCTION("""COMPUTED_VALUE"""),250)</f>
        <v>250</v>
      </c>
      <c r="U71" s="1">
        <f ca="1">IFERROR(__xludf.DUMMYFUNCTION("""COMPUTED_VALUE"""),686)</f>
        <v>686</v>
      </c>
      <c r="V71" s="1">
        <f ca="1">IFERROR(__xludf.DUMMYFUNCTION("""COMPUTED_VALUE"""),0.364)</f>
        <v>0.36399999999999999</v>
      </c>
      <c r="W71" s="1">
        <f ca="1">IFERROR(__xludf.DUMMYFUNCTION("""COMPUTED_VALUE"""),459)</f>
        <v>459</v>
      </c>
      <c r="X71" s="1">
        <f ca="1">IFERROR(__xludf.DUMMYFUNCTION("""COMPUTED_VALUE"""),681)</f>
        <v>681</v>
      </c>
      <c r="Y71" s="1">
        <f ca="1">IFERROR(__xludf.DUMMYFUNCTION("""COMPUTED_VALUE"""),0.674)</f>
        <v>0.67400000000000004</v>
      </c>
      <c r="Z71" s="1">
        <f ca="1">IFERROR(__xludf.DUMMYFUNCTION("""COMPUTED_VALUE"""),270)</f>
        <v>270</v>
      </c>
      <c r="AA71" s="1">
        <f ca="1">IFERROR(__xludf.DUMMYFUNCTION("""COMPUTED_VALUE"""),1095)</f>
        <v>1095</v>
      </c>
      <c r="AB71" s="1">
        <f ca="1">IFERROR(__xludf.DUMMYFUNCTION("""COMPUTED_VALUE"""),483)</f>
        <v>483</v>
      </c>
      <c r="AC71" s="1">
        <f ca="1">IFERROR(__xludf.DUMMYFUNCTION("""COMPUTED_VALUE"""),206)</f>
        <v>206</v>
      </c>
      <c r="AD71" s="1">
        <f ca="1">IFERROR(__xludf.DUMMYFUNCTION("""COMPUTED_VALUE"""),60)</f>
        <v>60</v>
      </c>
      <c r="AE71" s="1">
        <f ca="1">IFERROR(__xludf.DUMMYFUNCTION("""COMPUTED_VALUE"""),402)</f>
        <v>402</v>
      </c>
      <c r="AF71" s="1">
        <f ca="1">IFERROR(__xludf.DUMMYFUNCTION("""COMPUTED_VALUE"""),467)</f>
        <v>467</v>
      </c>
    </row>
    <row r="72" spans="1:32" x14ac:dyDescent="0.25">
      <c r="A72" s="1" t="str">
        <f ca="1">IFERROR(__xludf.DUMMYFUNCTION("""COMPUTED_VALUE"""),"Colorado")</f>
        <v>Colorado</v>
      </c>
      <c r="B72" s="1">
        <f ca="1">IFERROR(__xludf.DUMMYFUNCTION("""COMPUTED_VALUE"""),30)</f>
        <v>30</v>
      </c>
      <c r="C72" s="1">
        <f ca="1">IFERROR(__xludf.DUMMYFUNCTION("""COMPUTED_VALUE"""),21)</f>
        <v>21</v>
      </c>
      <c r="D72" s="1">
        <f ca="1">IFERROR(__xludf.DUMMYFUNCTION("""COMPUTED_VALUE"""),9)</f>
        <v>9</v>
      </c>
      <c r="E72" s="1">
        <f ca="1">IFERROR(__xludf.DUMMYFUNCTION("""COMPUTED_VALUE"""),0.7)</f>
        <v>0.7</v>
      </c>
      <c r="F72" s="1">
        <f ca="1">IFERROR(__xludf.DUMMYFUNCTION("""COMPUTED_VALUE"""),16.14)</f>
        <v>16.14</v>
      </c>
      <c r="G72" s="1">
        <f ca="1">IFERROR(__xludf.DUMMYFUNCTION("""COMPUTED_VALUE"""),8.58)</f>
        <v>8.58</v>
      </c>
      <c r="H72" s="1">
        <f ca="1">IFERROR(__xludf.DUMMYFUNCTION("""COMPUTED_VALUE"""),10)</f>
        <v>10</v>
      </c>
      <c r="I72" s="1">
        <f ca="1">IFERROR(__xludf.DUMMYFUNCTION("""COMPUTED_VALUE"""),7)</f>
        <v>7</v>
      </c>
      <c r="J72" s="1">
        <f ca="1">IFERROR(__xludf.DUMMYFUNCTION("""COMPUTED_VALUE"""),13)</f>
        <v>13</v>
      </c>
      <c r="K72" s="1">
        <f ca="1">IFERROR(__xludf.DUMMYFUNCTION("""COMPUTED_VALUE"""),3)</f>
        <v>3</v>
      </c>
      <c r="L72" s="1">
        <f ca="1">IFERROR(__xludf.DUMMYFUNCTION("""COMPUTED_VALUE"""),4)</f>
        <v>4</v>
      </c>
      <c r="M72" s="1">
        <f ca="1">IFERROR(__xludf.DUMMYFUNCTION("""COMPUTED_VALUE"""),6)</f>
        <v>6</v>
      </c>
      <c r="N72" s="1">
        <f ca="1">IFERROR(__xludf.DUMMYFUNCTION("""COMPUTED_VALUE"""),2128)</f>
        <v>2128</v>
      </c>
      <c r="O72" s="1">
        <f ca="1">IFERROR(__xludf.DUMMYFUNCTION("""COMPUTED_VALUE"""),1901)</f>
        <v>1901</v>
      </c>
      <c r="P72" s="1">
        <f ca="1">IFERROR(__xludf.DUMMYFUNCTION("""COMPUTED_VALUE"""),1205)</f>
        <v>1205</v>
      </c>
      <c r="Q72" s="1">
        <f ca="1">IFERROR(__xludf.DUMMYFUNCTION("""COMPUTED_VALUE"""),728)</f>
        <v>728</v>
      </c>
      <c r="R72" s="1">
        <f ca="1">IFERROR(__xludf.DUMMYFUNCTION("""COMPUTED_VALUE"""),1657)</f>
        <v>1657</v>
      </c>
      <c r="S72" s="1">
        <f ca="1">IFERROR(__xludf.DUMMYFUNCTION("""COMPUTED_VALUE"""),0.439)</f>
        <v>0.439</v>
      </c>
      <c r="T72" s="1">
        <f ca="1">IFERROR(__xludf.DUMMYFUNCTION("""COMPUTED_VALUE"""),230)</f>
        <v>230</v>
      </c>
      <c r="U72" s="1">
        <f ca="1">IFERROR(__xludf.DUMMYFUNCTION("""COMPUTED_VALUE"""),638)</f>
        <v>638</v>
      </c>
      <c r="V72" s="1">
        <f ca="1">IFERROR(__xludf.DUMMYFUNCTION("""COMPUTED_VALUE"""),0.361)</f>
        <v>0.36099999999999999</v>
      </c>
      <c r="W72" s="1">
        <f ca="1">IFERROR(__xludf.DUMMYFUNCTION("""COMPUTED_VALUE"""),442)</f>
        <v>442</v>
      </c>
      <c r="X72" s="1">
        <f ca="1">IFERROR(__xludf.DUMMYFUNCTION("""COMPUTED_VALUE"""),599)</f>
        <v>599</v>
      </c>
      <c r="Y72" s="1">
        <f ca="1">IFERROR(__xludf.DUMMYFUNCTION("""COMPUTED_VALUE"""),0.738)</f>
        <v>0.73799999999999999</v>
      </c>
      <c r="Z72" s="1">
        <f ca="1">IFERROR(__xludf.DUMMYFUNCTION("""COMPUTED_VALUE"""),308)</f>
        <v>308</v>
      </c>
      <c r="AA72" s="1">
        <f ca="1">IFERROR(__xludf.DUMMYFUNCTION("""COMPUTED_VALUE"""),1111)</f>
        <v>1111</v>
      </c>
      <c r="AB72" s="1">
        <f ca="1">IFERROR(__xludf.DUMMYFUNCTION("""COMPUTED_VALUE"""),401)</f>
        <v>401</v>
      </c>
      <c r="AC72" s="1">
        <f ca="1">IFERROR(__xludf.DUMMYFUNCTION("""COMPUTED_VALUE"""),172)</f>
        <v>172</v>
      </c>
      <c r="AD72" s="1">
        <f ca="1">IFERROR(__xludf.DUMMYFUNCTION("""COMPUTED_VALUE"""),91)</f>
        <v>91</v>
      </c>
      <c r="AE72" s="1">
        <f ca="1">IFERROR(__xludf.DUMMYFUNCTION("""COMPUTED_VALUE"""),401)</f>
        <v>401</v>
      </c>
      <c r="AF72" s="1">
        <f ca="1">IFERROR(__xludf.DUMMYFUNCTION("""COMPUTED_VALUE"""),438)</f>
        <v>438</v>
      </c>
    </row>
    <row r="73" spans="1:32" x14ac:dyDescent="0.25">
      <c r="A73" s="1" t="str">
        <f ca="1">IFERROR(__xludf.DUMMYFUNCTION("""COMPUTED_VALUE"""),"Columbia")</f>
        <v>Columbia</v>
      </c>
      <c r="B73" s="1">
        <f ca="1">IFERROR(__xludf.DUMMYFUNCTION("""COMPUTED_VALUE"""),28)</f>
        <v>28</v>
      </c>
      <c r="C73" s="1">
        <f ca="1">IFERROR(__xludf.DUMMYFUNCTION("""COMPUTED_VALUE"""),6)</f>
        <v>6</v>
      </c>
      <c r="D73" s="1">
        <f ca="1">IFERROR(__xludf.DUMMYFUNCTION("""COMPUTED_VALUE"""),22)</f>
        <v>22</v>
      </c>
      <c r="E73" s="1">
        <f ca="1">IFERROR(__xludf.DUMMYFUNCTION("""COMPUTED_VALUE"""),0.214)</f>
        <v>0.214</v>
      </c>
      <c r="F73" s="1">
        <f ca="1">IFERROR(__xludf.DUMMYFUNCTION("""COMPUTED_VALUE"""),-9.31)</f>
        <v>-9.31</v>
      </c>
      <c r="G73" s="1">
        <f ca="1">IFERROR(__xludf.DUMMYFUNCTION("""COMPUTED_VALUE"""),-2.64)</f>
        <v>-2.64</v>
      </c>
      <c r="H73" s="1">
        <f ca="1">IFERROR(__xludf.DUMMYFUNCTION("""COMPUTED_VALUE"""),1)</f>
        <v>1</v>
      </c>
      <c r="I73" s="1">
        <f ca="1">IFERROR(__xludf.DUMMYFUNCTION("""COMPUTED_VALUE"""),11)</f>
        <v>11</v>
      </c>
      <c r="J73" s="1">
        <f ca="1">IFERROR(__xludf.DUMMYFUNCTION("""COMPUTED_VALUE"""),5)</f>
        <v>5</v>
      </c>
      <c r="K73" s="1">
        <f ca="1">IFERROR(__xludf.DUMMYFUNCTION("""COMPUTED_VALUE"""),7)</f>
        <v>7</v>
      </c>
      <c r="L73" s="1">
        <f ca="1">IFERROR(__xludf.DUMMYFUNCTION("""COMPUTED_VALUE"""),0)</f>
        <v>0</v>
      </c>
      <c r="M73" s="1">
        <f ca="1">IFERROR(__xludf.DUMMYFUNCTION("""COMPUTED_VALUE"""),14)</f>
        <v>14</v>
      </c>
      <c r="N73" s="1">
        <f ca="1">IFERROR(__xludf.DUMMYFUNCTION("""COMPUTED_VALUE"""),1865)</f>
        <v>1865</v>
      </c>
      <c r="O73" s="1">
        <f ca="1">IFERROR(__xludf.DUMMYFUNCTION("""COMPUTED_VALUE"""),2015)</f>
        <v>2015</v>
      </c>
      <c r="P73" s="1">
        <f ca="1">IFERROR(__xludf.DUMMYFUNCTION("""COMPUTED_VALUE"""),1135)</f>
        <v>1135</v>
      </c>
      <c r="Q73" s="1">
        <f ca="1">IFERROR(__xludf.DUMMYFUNCTION("""COMPUTED_VALUE"""),696)</f>
        <v>696</v>
      </c>
      <c r="R73" s="1">
        <f ca="1">IFERROR(__xludf.DUMMYFUNCTION("""COMPUTED_VALUE"""),1690)</f>
        <v>1690</v>
      </c>
      <c r="S73" s="1">
        <f ca="1">IFERROR(__xludf.DUMMYFUNCTION("""COMPUTED_VALUE"""),0.412)</f>
        <v>0.41199999999999998</v>
      </c>
      <c r="T73" s="1">
        <f ca="1">IFERROR(__xludf.DUMMYFUNCTION("""COMPUTED_VALUE"""),190)</f>
        <v>190</v>
      </c>
      <c r="U73" s="1">
        <f ca="1">IFERROR(__xludf.DUMMYFUNCTION("""COMPUTED_VALUE"""),638)</f>
        <v>638</v>
      </c>
      <c r="V73" s="1">
        <f ca="1">IFERROR(__xludf.DUMMYFUNCTION("""COMPUTED_VALUE"""),0.298)</f>
        <v>0.29799999999999999</v>
      </c>
      <c r="W73" s="1">
        <f ca="1">IFERROR(__xludf.DUMMYFUNCTION("""COMPUTED_VALUE"""),283)</f>
        <v>283</v>
      </c>
      <c r="X73" s="1">
        <f ca="1">IFERROR(__xludf.DUMMYFUNCTION("""COMPUTED_VALUE"""),384)</f>
        <v>384</v>
      </c>
      <c r="Y73" s="1">
        <f ca="1">IFERROR(__xludf.DUMMYFUNCTION("""COMPUTED_VALUE"""),0.737)</f>
        <v>0.73699999999999999</v>
      </c>
      <c r="Z73" s="1">
        <f ca="1">IFERROR(__xludf.DUMMYFUNCTION("""COMPUTED_VALUE"""),212)</f>
        <v>212</v>
      </c>
      <c r="AA73" s="1">
        <f ca="1">IFERROR(__xludf.DUMMYFUNCTION("""COMPUTED_VALUE"""),967)</f>
        <v>967</v>
      </c>
      <c r="AB73" s="1">
        <f ca="1">IFERROR(__xludf.DUMMYFUNCTION("""COMPUTED_VALUE"""),311)</f>
        <v>311</v>
      </c>
      <c r="AC73" s="1">
        <f ca="1">IFERROR(__xludf.DUMMYFUNCTION("""COMPUTED_VALUE"""),154)</f>
        <v>154</v>
      </c>
      <c r="AD73" s="1">
        <f ca="1">IFERROR(__xludf.DUMMYFUNCTION("""COMPUTED_VALUE"""),89)</f>
        <v>89</v>
      </c>
      <c r="AE73" s="1">
        <f ca="1">IFERROR(__xludf.DUMMYFUNCTION("""COMPUTED_VALUE"""),319)</f>
        <v>319</v>
      </c>
      <c r="AF73" s="1">
        <f ca="1">IFERROR(__xludf.DUMMYFUNCTION("""COMPUTED_VALUE"""),435)</f>
        <v>435</v>
      </c>
    </row>
    <row r="74" spans="1:32" x14ac:dyDescent="0.25">
      <c r="A74" s="1" t="str">
        <f ca="1">IFERROR(__xludf.DUMMYFUNCTION("""COMPUTED_VALUE"""),"Connecticut")</f>
        <v>Connecticut</v>
      </c>
      <c r="B74" s="1">
        <f ca="1">IFERROR(__xludf.DUMMYFUNCTION("""COMPUTED_VALUE"""),29)</f>
        <v>29</v>
      </c>
      <c r="C74" s="1">
        <f ca="1">IFERROR(__xludf.DUMMYFUNCTION("""COMPUTED_VALUE"""),17)</f>
        <v>17</v>
      </c>
      <c r="D74" s="1">
        <f ca="1">IFERROR(__xludf.DUMMYFUNCTION("""COMPUTED_VALUE"""),12)</f>
        <v>12</v>
      </c>
      <c r="E74" s="1">
        <f ca="1">IFERROR(__xludf.DUMMYFUNCTION("""COMPUTED_VALUE"""),0.586)</f>
        <v>0.58599999999999997</v>
      </c>
      <c r="F74" s="1">
        <f ca="1">IFERROR(__xludf.DUMMYFUNCTION("""COMPUTED_VALUE"""),10.97)</f>
        <v>10.97</v>
      </c>
      <c r="G74" s="1">
        <f ca="1">IFERROR(__xludf.DUMMYFUNCTION("""COMPUTED_VALUE"""),5.11)</f>
        <v>5.1100000000000003</v>
      </c>
      <c r="H74" s="1">
        <f ca="1">IFERROR(__xludf.DUMMYFUNCTION("""COMPUTED_VALUE"""),8)</f>
        <v>8</v>
      </c>
      <c r="I74" s="1">
        <f ca="1">IFERROR(__xludf.DUMMYFUNCTION("""COMPUTED_VALUE"""),8)</f>
        <v>8</v>
      </c>
      <c r="J74" s="1">
        <f ca="1">IFERROR(__xludf.DUMMYFUNCTION("""COMPUTED_VALUE"""),13)</f>
        <v>13</v>
      </c>
      <c r="K74" s="1">
        <f ca="1">IFERROR(__xludf.DUMMYFUNCTION("""COMPUTED_VALUE"""),3)</f>
        <v>3</v>
      </c>
      <c r="L74" s="1">
        <f ca="1">IFERROR(__xludf.DUMMYFUNCTION("""COMPUTED_VALUE"""),2)</f>
        <v>2</v>
      </c>
      <c r="M74" s="1">
        <f ca="1">IFERROR(__xludf.DUMMYFUNCTION("""COMPUTED_VALUE"""),7)</f>
        <v>7</v>
      </c>
      <c r="N74" s="1">
        <f ca="1">IFERROR(__xludf.DUMMYFUNCTION("""COMPUTED_VALUE"""),2101)</f>
        <v>2101</v>
      </c>
      <c r="O74" s="1">
        <f ca="1">IFERROR(__xludf.DUMMYFUNCTION("""COMPUTED_VALUE"""),1931)</f>
        <v>1931</v>
      </c>
      <c r="P74" s="1">
        <f ca="1">IFERROR(__xludf.DUMMYFUNCTION("""COMPUTED_VALUE"""),1200)</f>
        <v>1200</v>
      </c>
      <c r="Q74" s="1">
        <f ca="1">IFERROR(__xludf.DUMMYFUNCTION("""COMPUTED_VALUE"""),729)</f>
        <v>729</v>
      </c>
      <c r="R74" s="1">
        <f ca="1">IFERROR(__xludf.DUMMYFUNCTION("""COMPUTED_VALUE"""),1747)</f>
        <v>1747</v>
      </c>
      <c r="S74" s="1">
        <f ca="1">IFERROR(__xludf.DUMMYFUNCTION("""COMPUTED_VALUE"""),0.417)</f>
        <v>0.41699999999999998</v>
      </c>
      <c r="T74" s="1">
        <f ca="1">IFERROR(__xludf.DUMMYFUNCTION("""COMPUTED_VALUE"""),207)</f>
        <v>207</v>
      </c>
      <c r="U74" s="1">
        <f ca="1">IFERROR(__xludf.DUMMYFUNCTION("""COMPUTED_VALUE"""),630)</f>
        <v>630</v>
      </c>
      <c r="V74" s="1">
        <f ca="1">IFERROR(__xludf.DUMMYFUNCTION("""COMPUTED_VALUE"""),0.329)</f>
        <v>0.32900000000000001</v>
      </c>
      <c r="W74" s="1">
        <f ca="1">IFERROR(__xludf.DUMMYFUNCTION("""COMPUTED_VALUE"""),436)</f>
        <v>436</v>
      </c>
      <c r="X74" s="1">
        <f ca="1">IFERROR(__xludf.DUMMYFUNCTION("""COMPUTED_VALUE"""),588)</f>
        <v>588</v>
      </c>
      <c r="Y74" s="1">
        <f ca="1">IFERROR(__xludf.DUMMYFUNCTION("""COMPUTED_VALUE"""),0.741)</f>
        <v>0.74099999999999999</v>
      </c>
      <c r="Z74" s="1">
        <f ca="1">IFERROR(__xludf.DUMMYFUNCTION("""COMPUTED_VALUE"""),368)</f>
        <v>368</v>
      </c>
      <c r="AA74" s="1">
        <f ca="1">IFERROR(__xludf.DUMMYFUNCTION("""COMPUTED_VALUE"""),1101)</f>
        <v>1101</v>
      </c>
      <c r="AB74" s="1">
        <f ca="1">IFERROR(__xludf.DUMMYFUNCTION("""COMPUTED_VALUE"""),378)</f>
        <v>378</v>
      </c>
      <c r="AC74" s="1">
        <f ca="1">IFERROR(__xludf.DUMMYFUNCTION("""COMPUTED_VALUE"""),208)</f>
        <v>208</v>
      </c>
      <c r="AD74" s="1">
        <f ca="1">IFERROR(__xludf.DUMMYFUNCTION("""COMPUTED_VALUE"""),175)</f>
        <v>175</v>
      </c>
      <c r="AE74" s="1">
        <f ca="1">IFERROR(__xludf.DUMMYFUNCTION("""COMPUTED_VALUE"""),415)</f>
        <v>415</v>
      </c>
      <c r="AF74" s="1">
        <f ca="1">IFERROR(__xludf.DUMMYFUNCTION("""COMPUTED_VALUE"""),542)</f>
        <v>542</v>
      </c>
    </row>
    <row r="75" spans="1:32" x14ac:dyDescent="0.25">
      <c r="A75" s="1" t="str">
        <f ca="1">IFERROR(__xludf.DUMMYFUNCTION("""COMPUTED_VALUE"""),"Coppin State")</f>
        <v>Coppin State</v>
      </c>
      <c r="B75" s="1">
        <f ca="1">IFERROR(__xludf.DUMMYFUNCTION("""COMPUTED_VALUE"""),30)</f>
        <v>30</v>
      </c>
      <c r="C75" s="1">
        <f ca="1">IFERROR(__xludf.DUMMYFUNCTION("""COMPUTED_VALUE"""),10)</f>
        <v>10</v>
      </c>
      <c r="D75" s="1">
        <f ca="1">IFERROR(__xludf.DUMMYFUNCTION("""COMPUTED_VALUE"""),20)</f>
        <v>20</v>
      </c>
      <c r="E75" s="1">
        <f ca="1">IFERROR(__xludf.DUMMYFUNCTION("""COMPUTED_VALUE"""),0.333)</f>
        <v>0.33300000000000002</v>
      </c>
      <c r="F75" s="1">
        <f ca="1">IFERROR(__xludf.DUMMYFUNCTION("""COMPUTED_VALUE"""),-14.17)</f>
        <v>-14.17</v>
      </c>
      <c r="G75" s="1">
        <f ca="1">IFERROR(__xludf.DUMMYFUNCTION("""COMPUTED_VALUE"""),-7.77)</f>
        <v>-7.77</v>
      </c>
      <c r="H75" s="1">
        <f ca="1">IFERROR(__xludf.DUMMYFUNCTION("""COMPUTED_VALUE"""),6)</f>
        <v>6</v>
      </c>
      <c r="I75" s="1">
        <f ca="1">IFERROR(__xludf.DUMMYFUNCTION("""COMPUTED_VALUE"""),9)</f>
        <v>9</v>
      </c>
      <c r="J75" s="1">
        <f ca="1">IFERROR(__xludf.DUMMYFUNCTION("""COMPUTED_VALUE"""),5)</f>
        <v>5</v>
      </c>
      <c r="K75" s="1">
        <f ca="1">IFERROR(__xludf.DUMMYFUNCTION("""COMPUTED_VALUE"""),5)</f>
        <v>5</v>
      </c>
      <c r="L75" s="1">
        <f ca="1">IFERROR(__xludf.DUMMYFUNCTION("""COMPUTED_VALUE"""),5)</f>
        <v>5</v>
      </c>
      <c r="M75" s="1">
        <f ca="1">IFERROR(__xludf.DUMMYFUNCTION("""COMPUTED_VALUE"""),15)</f>
        <v>15</v>
      </c>
      <c r="N75" s="1">
        <f ca="1">IFERROR(__xludf.DUMMYFUNCTION("""COMPUTED_VALUE"""),2046)</f>
        <v>2046</v>
      </c>
      <c r="O75" s="1">
        <f ca="1">IFERROR(__xludf.DUMMYFUNCTION("""COMPUTED_VALUE"""),2238)</f>
        <v>2238</v>
      </c>
      <c r="P75" s="1">
        <f ca="1">IFERROR(__xludf.DUMMYFUNCTION("""COMPUTED_VALUE"""),1210)</f>
        <v>1210</v>
      </c>
      <c r="Q75" s="1">
        <f ca="1">IFERROR(__xludf.DUMMYFUNCTION("""COMPUTED_VALUE"""),716)</f>
        <v>716</v>
      </c>
      <c r="R75" s="1">
        <f ca="1">IFERROR(__xludf.DUMMYFUNCTION("""COMPUTED_VALUE"""),1815)</f>
        <v>1815</v>
      </c>
      <c r="S75" s="1">
        <f ca="1">IFERROR(__xludf.DUMMYFUNCTION("""COMPUTED_VALUE"""),0.394)</f>
        <v>0.39400000000000002</v>
      </c>
      <c r="T75" s="1">
        <f ca="1">IFERROR(__xludf.DUMMYFUNCTION("""COMPUTED_VALUE"""),240)</f>
        <v>240</v>
      </c>
      <c r="U75" s="1">
        <f ca="1">IFERROR(__xludf.DUMMYFUNCTION("""COMPUTED_VALUE"""),852)</f>
        <v>852</v>
      </c>
      <c r="V75" s="1">
        <f ca="1">IFERROR(__xludf.DUMMYFUNCTION("""COMPUTED_VALUE"""),0.282)</f>
        <v>0.28199999999999997</v>
      </c>
      <c r="W75" s="1">
        <f ca="1">IFERROR(__xludf.DUMMYFUNCTION("""COMPUTED_VALUE"""),374)</f>
        <v>374</v>
      </c>
      <c r="X75" s="1">
        <f ca="1">IFERROR(__xludf.DUMMYFUNCTION("""COMPUTED_VALUE"""),586)</f>
        <v>586</v>
      </c>
      <c r="Y75" s="1">
        <f ca="1">IFERROR(__xludf.DUMMYFUNCTION("""COMPUTED_VALUE"""),0.638)</f>
        <v>0.63800000000000001</v>
      </c>
      <c r="Z75" s="1">
        <f ca="1">IFERROR(__xludf.DUMMYFUNCTION("""COMPUTED_VALUE"""),284)</f>
        <v>284</v>
      </c>
      <c r="AA75" s="1">
        <f ca="1">IFERROR(__xludf.DUMMYFUNCTION("""COMPUTED_VALUE"""),1139)</f>
        <v>1139</v>
      </c>
      <c r="AB75" s="1">
        <f ca="1">IFERROR(__xludf.DUMMYFUNCTION("""COMPUTED_VALUE"""),300)</f>
        <v>300</v>
      </c>
      <c r="AC75" s="1">
        <f ca="1">IFERROR(__xludf.DUMMYFUNCTION("""COMPUTED_VALUE"""),196)</f>
        <v>196</v>
      </c>
      <c r="AD75" s="1">
        <f ca="1">IFERROR(__xludf.DUMMYFUNCTION("""COMPUTED_VALUE"""),84)</f>
        <v>84</v>
      </c>
      <c r="AE75" s="1">
        <f ca="1">IFERROR(__xludf.DUMMYFUNCTION("""COMPUTED_VALUE"""),428)</f>
        <v>428</v>
      </c>
      <c r="AF75" s="1">
        <f ca="1">IFERROR(__xludf.DUMMYFUNCTION("""COMPUTED_VALUE"""),532)</f>
        <v>532</v>
      </c>
    </row>
    <row r="76" spans="1:32" x14ac:dyDescent="0.25">
      <c r="A76" s="1" t="str">
        <f ca="1">IFERROR(__xludf.DUMMYFUNCTION("""COMPUTED_VALUE"""),"Cornell")</f>
        <v>Cornell</v>
      </c>
      <c r="B76" s="1">
        <f ca="1">IFERROR(__xludf.DUMMYFUNCTION("""COMPUTED_VALUE"""),25)</f>
        <v>25</v>
      </c>
      <c r="C76" s="1">
        <f ca="1">IFERROR(__xludf.DUMMYFUNCTION("""COMPUTED_VALUE"""),6)</f>
        <v>6</v>
      </c>
      <c r="D76" s="1">
        <f ca="1">IFERROR(__xludf.DUMMYFUNCTION("""COMPUTED_VALUE"""),19)</f>
        <v>19</v>
      </c>
      <c r="E76" s="1">
        <f ca="1">IFERROR(__xludf.DUMMYFUNCTION("""COMPUTED_VALUE"""),0.24)</f>
        <v>0.24</v>
      </c>
      <c r="F76" s="1">
        <f ca="1">IFERROR(__xludf.DUMMYFUNCTION("""COMPUTED_VALUE"""),-8.52)</f>
        <v>-8.52</v>
      </c>
      <c r="G76" s="1">
        <f ca="1">IFERROR(__xludf.DUMMYFUNCTION("""COMPUTED_VALUE"""),-1.91)</f>
        <v>-1.91</v>
      </c>
      <c r="H76" s="1">
        <f ca="1">IFERROR(__xludf.DUMMYFUNCTION("""COMPUTED_VALUE"""),3)</f>
        <v>3</v>
      </c>
      <c r="I76" s="1">
        <f ca="1">IFERROR(__xludf.DUMMYFUNCTION("""COMPUTED_VALUE"""),9)</f>
        <v>9</v>
      </c>
      <c r="J76" s="1">
        <f ca="1">IFERROR(__xludf.DUMMYFUNCTION("""COMPUTED_VALUE"""),6)</f>
        <v>6</v>
      </c>
      <c r="K76" s="1">
        <f ca="1">IFERROR(__xludf.DUMMYFUNCTION("""COMPUTED_VALUE"""),6)</f>
        <v>6</v>
      </c>
      <c r="L76" s="1">
        <f ca="1">IFERROR(__xludf.DUMMYFUNCTION("""COMPUTED_VALUE"""),0)</f>
        <v>0</v>
      </c>
      <c r="M76" s="1">
        <f ca="1">IFERROR(__xludf.DUMMYFUNCTION("""COMPUTED_VALUE"""),13)</f>
        <v>13</v>
      </c>
      <c r="N76" s="1">
        <f ca="1">IFERROR(__xludf.DUMMYFUNCTION("""COMPUTED_VALUE"""),1669)</f>
        <v>1669</v>
      </c>
      <c r="O76" s="1">
        <f ca="1">IFERROR(__xludf.DUMMYFUNCTION("""COMPUTED_VALUE"""),1752)</f>
        <v>1752</v>
      </c>
      <c r="P76" s="1">
        <f ca="1">IFERROR(__xludf.DUMMYFUNCTION("""COMPUTED_VALUE"""),1015)</f>
        <v>1015</v>
      </c>
      <c r="Q76" s="1">
        <f ca="1">IFERROR(__xludf.DUMMYFUNCTION("""COMPUTED_VALUE"""),611)</f>
        <v>611</v>
      </c>
      <c r="R76" s="1">
        <f ca="1">IFERROR(__xludf.DUMMYFUNCTION("""COMPUTED_VALUE"""),1408)</f>
        <v>1408</v>
      </c>
      <c r="S76" s="1">
        <f ca="1">IFERROR(__xludf.DUMMYFUNCTION("""COMPUTED_VALUE"""),0.434)</f>
        <v>0.434</v>
      </c>
      <c r="T76" s="1">
        <f ca="1">IFERROR(__xludf.DUMMYFUNCTION("""COMPUTED_VALUE"""),174)</f>
        <v>174</v>
      </c>
      <c r="U76" s="1">
        <f ca="1">IFERROR(__xludf.DUMMYFUNCTION("""COMPUTED_VALUE"""),565)</f>
        <v>565</v>
      </c>
      <c r="V76" s="1">
        <f ca="1">IFERROR(__xludf.DUMMYFUNCTION("""COMPUTED_VALUE"""),0.308)</f>
        <v>0.308</v>
      </c>
      <c r="W76" s="1">
        <f ca="1">IFERROR(__xludf.DUMMYFUNCTION("""COMPUTED_VALUE"""),273)</f>
        <v>273</v>
      </c>
      <c r="X76" s="1">
        <f ca="1">IFERROR(__xludf.DUMMYFUNCTION("""COMPUTED_VALUE"""),393)</f>
        <v>393</v>
      </c>
      <c r="Y76" s="1">
        <f ca="1">IFERROR(__xludf.DUMMYFUNCTION("""COMPUTED_VALUE"""),0.695)</f>
        <v>0.69499999999999995</v>
      </c>
      <c r="Z76" s="1">
        <f ca="1">IFERROR(__xludf.DUMMYFUNCTION("""COMPUTED_VALUE"""),218)</f>
        <v>218</v>
      </c>
      <c r="AA76" s="1">
        <f ca="1">IFERROR(__xludf.DUMMYFUNCTION("""COMPUTED_VALUE"""),815)</f>
        <v>815</v>
      </c>
      <c r="AB76" s="1">
        <f ca="1">IFERROR(__xludf.DUMMYFUNCTION("""COMPUTED_VALUE"""),356)</f>
        <v>356</v>
      </c>
      <c r="AC76" s="1">
        <f ca="1">IFERROR(__xludf.DUMMYFUNCTION("""COMPUTED_VALUE"""),170)</f>
        <v>170</v>
      </c>
      <c r="AD76" s="1">
        <f ca="1">IFERROR(__xludf.DUMMYFUNCTION("""COMPUTED_VALUE"""),71)</f>
        <v>71</v>
      </c>
      <c r="AE76" s="1">
        <f ca="1">IFERROR(__xludf.DUMMYFUNCTION("""COMPUTED_VALUE"""),288)</f>
        <v>288</v>
      </c>
      <c r="AF76" s="1">
        <f ca="1">IFERROR(__xludf.DUMMYFUNCTION("""COMPUTED_VALUE"""),431)</f>
        <v>431</v>
      </c>
    </row>
    <row r="77" spans="1:32" x14ac:dyDescent="0.25">
      <c r="A77" s="1" t="str">
        <f ca="1">IFERROR(__xludf.DUMMYFUNCTION("""COMPUTED_VALUE"""),"Creighton")</f>
        <v>Creighton</v>
      </c>
      <c r="B77" s="1">
        <f ca="1">IFERROR(__xludf.DUMMYFUNCTION("""COMPUTED_VALUE"""),29)</f>
        <v>29</v>
      </c>
      <c r="C77" s="1">
        <f ca="1">IFERROR(__xludf.DUMMYFUNCTION("""COMPUTED_VALUE"""),22)</f>
        <v>22</v>
      </c>
      <c r="D77" s="1">
        <f ca="1">IFERROR(__xludf.DUMMYFUNCTION("""COMPUTED_VALUE"""),7)</f>
        <v>7</v>
      </c>
      <c r="E77" s="1">
        <f ca="1">IFERROR(__xludf.DUMMYFUNCTION("""COMPUTED_VALUE"""),0.759)</f>
        <v>0.75900000000000001</v>
      </c>
      <c r="F77" s="1">
        <f ca="1">IFERROR(__xludf.DUMMYFUNCTION("""COMPUTED_VALUE"""),16.47)</f>
        <v>16.47</v>
      </c>
      <c r="G77" s="1">
        <f ca="1">IFERROR(__xludf.DUMMYFUNCTION("""COMPUTED_VALUE"""),9.43)</f>
        <v>9.43</v>
      </c>
      <c r="H77" s="1">
        <f ca="1">IFERROR(__xludf.DUMMYFUNCTION("""COMPUTED_VALUE"""),11)</f>
        <v>11</v>
      </c>
      <c r="I77" s="1">
        <f ca="1">IFERROR(__xludf.DUMMYFUNCTION("""COMPUTED_VALUE"""),5)</f>
        <v>5</v>
      </c>
      <c r="J77" s="1">
        <f ca="1">IFERROR(__xludf.DUMMYFUNCTION("""COMPUTED_VALUE"""),15)</f>
        <v>15</v>
      </c>
      <c r="K77" s="1">
        <f ca="1">IFERROR(__xludf.DUMMYFUNCTION("""COMPUTED_VALUE"""),1)</f>
        <v>1</v>
      </c>
      <c r="L77" s="1">
        <f ca="1">IFERROR(__xludf.DUMMYFUNCTION("""COMPUTED_VALUE"""),6)</f>
        <v>6</v>
      </c>
      <c r="M77" s="1">
        <f ca="1">IFERROR(__xludf.DUMMYFUNCTION("""COMPUTED_VALUE"""),5)</f>
        <v>5</v>
      </c>
      <c r="N77" s="1">
        <f ca="1">IFERROR(__xludf.DUMMYFUNCTION("""COMPUTED_VALUE"""),2260)</f>
        <v>2260</v>
      </c>
      <c r="O77" s="1">
        <f ca="1">IFERROR(__xludf.DUMMYFUNCTION("""COMPUTED_VALUE"""),2026)</f>
        <v>2026</v>
      </c>
      <c r="P77" s="1">
        <f ca="1">IFERROR(__xludf.DUMMYFUNCTION("""COMPUTED_VALUE"""),1165)</f>
        <v>1165</v>
      </c>
      <c r="Q77" s="1">
        <f ca="1">IFERROR(__xludf.DUMMYFUNCTION("""COMPUTED_VALUE"""),804)</f>
        <v>804</v>
      </c>
      <c r="R77" s="1">
        <f ca="1">IFERROR(__xludf.DUMMYFUNCTION("""COMPUTED_VALUE"""),1720)</f>
        <v>1720</v>
      </c>
      <c r="S77" s="1">
        <f ca="1">IFERROR(__xludf.DUMMYFUNCTION("""COMPUTED_VALUE"""),0.467)</f>
        <v>0.46700000000000003</v>
      </c>
      <c r="T77" s="1">
        <f ca="1">IFERROR(__xludf.DUMMYFUNCTION("""COMPUTED_VALUE"""),271)</f>
        <v>271</v>
      </c>
      <c r="U77" s="1">
        <f ca="1">IFERROR(__xludf.DUMMYFUNCTION("""COMPUTED_VALUE"""),721)</f>
        <v>721</v>
      </c>
      <c r="V77" s="1">
        <f ca="1">IFERROR(__xludf.DUMMYFUNCTION("""COMPUTED_VALUE"""),0.376)</f>
        <v>0.376</v>
      </c>
      <c r="W77" s="1">
        <f ca="1">IFERROR(__xludf.DUMMYFUNCTION("""COMPUTED_VALUE"""),381)</f>
        <v>381</v>
      </c>
      <c r="X77" s="1">
        <f ca="1">IFERROR(__xludf.DUMMYFUNCTION("""COMPUTED_VALUE"""),516)</f>
        <v>516</v>
      </c>
      <c r="Y77" s="1">
        <f ca="1">IFERROR(__xludf.DUMMYFUNCTION("""COMPUTED_VALUE"""),0.738)</f>
        <v>0.73799999999999999</v>
      </c>
      <c r="Z77" s="1">
        <f ca="1">IFERROR(__xludf.DUMMYFUNCTION("""COMPUTED_VALUE"""),234)</f>
        <v>234</v>
      </c>
      <c r="AA77" s="1">
        <f ca="1">IFERROR(__xludf.DUMMYFUNCTION("""COMPUTED_VALUE"""),1020)</f>
        <v>1020</v>
      </c>
      <c r="AB77" s="1">
        <f ca="1">IFERROR(__xludf.DUMMYFUNCTION("""COMPUTED_VALUE"""),453)</f>
        <v>453</v>
      </c>
      <c r="AC77" s="1">
        <f ca="1">IFERROR(__xludf.DUMMYFUNCTION("""COMPUTED_VALUE"""),191)</f>
        <v>191</v>
      </c>
      <c r="AD77" s="1">
        <f ca="1">IFERROR(__xludf.DUMMYFUNCTION("""COMPUTED_VALUE"""),70)</f>
        <v>70</v>
      </c>
      <c r="AE77" s="1">
        <f ca="1">IFERROR(__xludf.DUMMYFUNCTION("""COMPUTED_VALUE"""),321)</f>
        <v>321</v>
      </c>
      <c r="AF77" s="1">
        <f ca="1">IFERROR(__xludf.DUMMYFUNCTION("""COMPUTED_VALUE"""),442)</f>
        <v>442</v>
      </c>
    </row>
    <row r="78" spans="1:32" x14ac:dyDescent="0.25">
      <c r="A78" s="1" t="str">
        <f ca="1">IFERROR(__xludf.DUMMYFUNCTION("""COMPUTED_VALUE"""),"Dartmouth")</f>
        <v>Dartmouth</v>
      </c>
      <c r="B78" s="1">
        <f ca="1">IFERROR(__xludf.DUMMYFUNCTION("""COMPUTED_VALUE"""),27)</f>
        <v>27</v>
      </c>
      <c r="C78" s="1">
        <f ca="1">IFERROR(__xludf.DUMMYFUNCTION("""COMPUTED_VALUE"""),12)</f>
        <v>12</v>
      </c>
      <c r="D78" s="1">
        <f ca="1">IFERROR(__xludf.DUMMYFUNCTION("""COMPUTED_VALUE"""),15)</f>
        <v>15</v>
      </c>
      <c r="E78" s="1">
        <f ca="1">IFERROR(__xludf.DUMMYFUNCTION("""COMPUTED_VALUE"""),0.444)</f>
        <v>0.44400000000000001</v>
      </c>
      <c r="F78" s="1">
        <f ca="1">IFERROR(__xludf.DUMMYFUNCTION("""COMPUTED_VALUE"""),-3.6)</f>
        <v>-3.6</v>
      </c>
      <c r="G78" s="1">
        <f ca="1">IFERROR(__xludf.DUMMYFUNCTION("""COMPUTED_VALUE"""),-3.45)</f>
        <v>-3.45</v>
      </c>
      <c r="H78" s="1">
        <f ca="1">IFERROR(__xludf.DUMMYFUNCTION("""COMPUTED_VALUE"""),5)</f>
        <v>5</v>
      </c>
      <c r="I78" s="1">
        <f ca="1">IFERROR(__xludf.DUMMYFUNCTION("""COMPUTED_VALUE"""),7)</f>
        <v>7</v>
      </c>
      <c r="J78" s="1">
        <f ca="1">IFERROR(__xludf.DUMMYFUNCTION("""COMPUTED_VALUE"""),6)</f>
        <v>6</v>
      </c>
      <c r="K78" s="1">
        <f ca="1">IFERROR(__xludf.DUMMYFUNCTION("""COMPUTED_VALUE"""),4)</f>
        <v>4</v>
      </c>
      <c r="L78" s="1">
        <f ca="1">IFERROR(__xludf.DUMMYFUNCTION("""COMPUTED_VALUE"""),5)</f>
        <v>5</v>
      </c>
      <c r="M78" s="1">
        <f ca="1">IFERROR(__xludf.DUMMYFUNCTION("""COMPUTED_VALUE"""),10)</f>
        <v>10</v>
      </c>
      <c r="N78" s="1">
        <f ca="1">IFERROR(__xludf.DUMMYFUNCTION("""COMPUTED_VALUE"""),1775)</f>
        <v>1775</v>
      </c>
      <c r="O78" s="1">
        <f ca="1">IFERROR(__xludf.DUMMYFUNCTION("""COMPUTED_VALUE"""),1730)</f>
        <v>1730</v>
      </c>
      <c r="P78" s="1">
        <f ca="1">IFERROR(__xludf.DUMMYFUNCTION("""COMPUTED_VALUE"""),1090)</f>
        <v>1090</v>
      </c>
      <c r="Q78" s="1">
        <f ca="1">IFERROR(__xludf.DUMMYFUNCTION("""COMPUTED_VALUE"""),654)</f>
        <v>654</v>
      </c>
      <c r="R78" s="1">
        <f ca="1">IFERROR(__xludf.DUMMYFUNCTION("""COMPUTED_VALUE"""),1481)</f>
        <v>1481</v>
      </c>
      <c r="S78" s="1">
        <f ca="1">IFERROR(__xludf.DUMMYFUNCTION("""COMPUTED_VALUE"""),0.442)</f>
        <v>0.442</v>
      </c>
      <c r="T78" s="1">
        <f ca="1">IFERROR(__xludf.DUMMYFUNCTION("""COMPUTED_VALUE"""),190)</f>
        <v>190</v>
      </c>
      <c r="U78" s="1">
        <f ca="1">IFERROR(__xludf.DUMMYFUNCTION("""COMPUTED_VALUE"""),587)</f>
        <v>587</v>
      </c>
      <c r="V78" s="1">
        <f ca="1">IFERROR(__xludf.DUMMYFUNCTION("""COMPUTED_VALUE"""),0.324)</f>
        <v>0.32400000000000001</v>
      </c>
      <c r="W78" s="1">
        <f ca="1">IFERROR(__xludf.DUMMYFUNCTION("""COMPUTED_VALUE"""),277)</f>
        <v>277</v>
      </c>
      <c r="X78" s="1">
        <f ca="1">IFERROR(__xludf.DUMMYFUNCTION("""COMPUTED_VALUE"""),408)</f>
        <v>408</v>
      </c>
      <c r="Y78" s="1">
        <f ca="1">IFERROR(__xludf.DUMMYFUNCTION("""COMPUTED_VALUE"""),0.679)</f>
        <v>0.67900000000000005</v>
      </c>
      <c r="Z78" s="1">
        <f ca="1">IFERROR(__xludf.DUMMYFUNCTION("""COMPUTED_VALUE"""),183)</f>
        <v>183</v>
      </c>
      <c r="AA78" s="1">
        <f ca="1">IFERROR(__xludf.DUMMYFUNCTION("""COMPUTED_VALUE"""),945)</f>
        <v>945</v>
      </c>
      <c r="AB78" s="1">
        <f ca="1">IFERROR(__xludf.DUMMYFUNCTION("""COMPUTED_VALUE"""),340)</f>
        <v>340</v>
      </c>
      <c r="AC78" s="1">
        <f ca="1">IFERROR(__xludf.DUMMYFUNCTION("""COMPUTED_VALUE"""),125)</f>
        <v>125</v>
      </c>
      <c r="AD78" s="1">
        <f ca="1">IFERROR(__xludf.DUMMYFUNCTION("""COMPUTED_VALUE"""),68)</f>
        <v>68</v>
      </c>
      <c r="AE78" s="1">
        <f ca="1">IFERROR(__xludf.DUMMYFUNCTION("""COMPUTED_VALUE"""),327)</f>
        <v>327</v>
      </c>
      <c r="AF78" s="1">
        <f ca="1">IFERROR(__xludf.DUMMYFUNCTION("""COMPUTED_VALUE"""),450)</f>
        <v>450</v>
      </c>
    </row>
    <row r="79" spans="1:32" x14ac:dyDescent="0.25">
      <c r="A79" s="1" t="str">
        <f ca="1">IFERROR(__xludf.DUMMYFUNCTION("""COMPUTED_VALUE"""),"Davidson")</f>
        <v>Davidson</v>
      </c>
      <c r="B79" s="1">
        <f ca="1">IFERROR(__xludf.DUMMYFUNCTION("""COMPUTED_VALUE"""),28)</f>
        <v>28</v>
      </c>
      <c r="C79" s="1">
        <f ca="1">IFERROR(__xludf.DUMMYFUNCTION("""COMPUTED_VALUE"""),15)</f>
        <v>15</v>
      </c>
      <c r="D79" s="1">
        <f ca="1">IFERROR(__xludf.DUMMYFUNCTION("""COMPUTED_VALUE"""),13)</f>
        <v>13</v>
      </c>
      <c r="E79" s="1">
        <f ca="1">IFERROR(__xludf.DUMMYFUNCTION("""COMPUTED_VALUE"""),0.536)</f>
        <v>0.53600000000000003</v>
      </c>
      <c r="F79" s="1">
        <f ca="1">IFERROR(__xludf.DUMMYFUNCTION("""COMPUTED_VALUE"""),9.13)</f>
        <v>9.1300000000000008</v>
      </c>
      <c r="G79" s="1">
        <f ca="1">IFERROR(__xludf.DUMMYFUNCTION("""COMPUTED_VALUE"""),3.27)</f>
        <v>3.27</v>
      </c>
      <c r="H79" s="1">
        <f ca="1">IFERROR(__xludf.DUMMYFUNCTION("""COMPUTED_VALUE"""),9)</f>
        <v>9</v>
      </c>
      <c r="I79" s="1">
        <f ca="1">IFERROR(__xludf.DUMMYFUNCTION("""COMPUTED_VALUE"""),7)</f>
        <v>7</v>
      </c>
      <c r="J79" s="1">
        <f ca="1">IFERROR(__xludf.DUMMYFUNCTION("""COMPUTED_VALUE"""),10)</f>
        <v>10</v>
      </c>
      <c r="K79" s="1">
        <f ca="1">IFERROR(__xludf.DUMMYFUNCTION("""COMPUTED_VALUE"""),1)</f>
        <v>1</v>
      </c>
      <c r="L79" s="1">
        <f ca="1">IFERROR(__xludf.DUMMYFUNCTION("""COMPUTED_VALUE"""),4)</f>
        <v>4</v>
      </c>
      <c r="M79" s="1">
        <f ca="1">IFERROR(__xludf.DUMMYFUNCTION("""COMPUTED_VALUE"""),8)</f>
        <v>8</v>
      </c>
      <c r="N79" s="1">
        <f ca="1">IFERROR(__xludf.DUMMYFUNCTION("""COMPUTED_VALUE"""),2044)</f>
        <v>2044</v>
      </c>
      <c r="O79" s="1">
        <f ca="1">IFERROR(__xludf.DUMMYFUNCTION("""COMPUTED_VALUE"""),1880)</f>
        <v>1880</v>
      </c>
      <c r="P79" s="1">
        <f ca="1">IFERROR(__xludf.DUMMYFUNCTION("""COMPUTED_VALUE"""),1150)</f>
        <v>1150</v>
      </c>
      <c r="Q79" s="1">
        <f ca="1">IFERROR(__xludf.DUMMYFUNCTION("""COMPUTED_VALUE"""),711)</f>
        <v>711</v>
      </c>
      <c r="R79" s="1">
        <f ca="1">IFERROR(__xludf.DUMMYFUNCTION("""COMPUTED_VALUE"""),1569)</f>
        <v>1569</v>
      </c>
      <c r="S79" s="1">
        <f ca="1">IFERROR(__xludf.DUMMYFUNCTION("""COMPUTED_VALUE"""),0.453)</f>
        <v>0.45300000000000001</v>
      </c>
      <c r="T79" s="1">
        <f ca="1">IFERROR(__xludf.DUMMYFUNCTION("""COMPUTED_VALUE"""),258)</f>
        <v>258</v>
      </c>
      <c r="U79" s="1">
        <f ca="1">IFERROR(__xludf.DUMMYFUNCTION("""COMPUTED_VALUE"""),699)</f>
        <v>699</v>
      </c>
      <c r="V79" s="1">
        <f ca="1">IFERROR(__xludf.DUMMYFUNCTION("""COMPUTED_VALUE"""),0.369)</f>
        <v>0.36899999999999999</v>
      </c>
      <c r="W79" s="1">
        <f ca="1">IFERROR(__xludf.DUMMYFUNCTION("""COMPUTED_VALUE"""),364)</f>
        <v>364</v>
      </c>
      <c r="X79" s="1">
        <f ca="1">IFERROR(__xludf.DUMMYFUNCTION("""COMPUTED_VALUE"""),479)</f>
        <v>479</v>
      </c>
      <c r="Y79" s="1">
        <f ca="1">IFERROR(__xludf.DUMMYFUNCTION("""COMPUTED_VALUE"""),0.76)</f>
        <v>0.76</v>
      </c>
      <c r="Z79" s="1">
        <f ca="1">IFERROR(__xludf.DUMMYFUNCTION("""COMPUTED_VALUE"""),226)</f>
        <v>226</v>
      </c>
      <c r="AA79" s="1">
        <f ca="1">IFERROR(__xludf.DUMMYFUNCTION("""COMPUTED_VALUE"""),938)</f>
        <v>938</v>
      </c>
      <c r="AB79" s="1">
        <f ca="1">IFERROR(__xludf.DUMMYFUNCTION("""COMPUTED_VALUE"""),397)</f>
        <v>397</v>
      </c>
      <c r="AC79" s="1">
        <f ca="1">IFERROR(__xludf.DUMMYFUNCTION("""COMPUTED_VALUE"""),157)</f>
        <v>157</v>
      </c>
      <c r="AD79" s="1">
        <f ca="1">IFERROR(__xludf.DUMMYFUNCTION("""COMPUTED_VALUE"""),74)</f>
        <v>74</v>
      </c>
      <c r="AE79" s="1">
        <f ca="1">IFERROR(__xludf.DUMMYFUNCTION("""COMPUTED_VALUE"""),312)</f>
        <v>312</v>
      </c>
      <c r="AF79" s="1">
        <f ca="1">IFERROR(__xludf.DUMMYFUNCTION("""COMPUTED_VALUE"""),455)</f>
        <v>455</v>
      </c>
    </row>
    <row r="80" spans="1:32" x14ac:dyDescent="0.25">
      <c r="A80" s="1" t="str">
        <f ca="1">IFERROR(__xludf.DUMMYFUNCTION("""COMPUTED_VALUE"""),"Dayton")</f>
        <v>Dayton</v>
      </c>
      <c r="B80" s="1">
        <f ca="1">IFERROR(__xludf.DUMMYFUNCTION("""COMPUTED_VALUE"""),29)</f>
        <v>29</v>
      </c>
      <c r="C80" s="1">
        <f ca="1">IFERROR(__xludf.DUMMYFUNCTION("""COMPUTED_VALUE"""),27)</f>
        <v>27</v>
      </c>
      <c r="D80" s="1">
        <f ca="1">IFERROR(__xludf.DUMMYFUNCTION("""COMPUTED_VALUE"""),2)</f>
        <v>2</v>
      </c>
      <c r="E80" s="1">
        <f ca="1">IFERROR(__xludf.DUMMYFUNCTION("""COMPUTED_VALUE"""),0.931)</f>
        <v>0.93100000000000005</v>
      </c>
      <c r="F80" s="1">
        <f ca="1">IFERROR(__xludf.DUMMYFUNCTION("""COMPUTED_VALUE"""),18.66)</f>
        <v>18.66</v>
      </c>
      <c r="G80" s="1">
        <f ca="1">IFERROR(__xludf.DUMMYFUNCTION("""COMPUTED_VALUE"""),3.9)</f>
        <v>3.9</v>
      </c>
      <c r="H80" s="1">
        <f ca="1">IFERROR(__xludf.DUMMYFUNCTION("""COMPUTED_VALUE"""),16)</f>
        <v>16</v>
      </c>
      <c r="I80" s="1">
        <f ca="1">IFERROR(__xludf.DUMMYFUNCTION("""COMPUTED_VALUE"""),0)</f>
        <v>0</v>
      </c>
      <c r="J80" s="1">
        <f ca="1">IFERROR(__xludf.DUMMYFUNCTION("""COMPUTED_VALUE"""),16)</f>
        <v>16</v>
      </c>
      <c r="K80" s="1">
        <f ca="1">IFERROR(__xludf.DUMMYFUNCTION("""COMPUTED_VALUE"""),0)</f>
        <v>0</v>
      </c>
      <c r="L80" s="1">
        <f ca="1">IFERROR(__xludf.DUMMYFUNCTION("""COMPUTED_VALUE"""),8)</f>
        <v>8</v>
      </c>
      <c r="M80" s="1">
        <f ca="1">IFERROR(__xludf.DUMMYFUNCTION("""COMPUTED_VALUE"""),0)</f>
        <v>0</v>
      </c>
      <c r="N80" s="1">
        <f ca="1">IFERROR(__xludf.DUMMYFUNCTION("""COMPUTED_VALUE"""),2320)</f>
        <v>2320</v>
      </c>
      <c r="O80" s="1">
        <f ca="1">IFERROR(__xludf.DUMMYFUNCTION("""COMPUTED_VALUE"""),1892)</f>
        <v>1892</v>
      </c>
      <c r="P80" s="1">
        <f ca="1">IFERROR(__xludf.DUMMYFUNCTION("""COMPUTED_VALUE"""),1175)</f>
        <v>1175</v>
      </c>
      <c r="Q80" s="1">
        <f ca="1">IFERROR(__xludf.DUMMYFUNCTION("""COMPUTED_VALUE"""),848)</f>
        <v>848</v>
      </c>
      <c r="R80" s="1">
        <f ca="1">IFERROR(__xludf.DUMMYFUNCTION("""COMPUTED_VALUE"""),1612)</f>
        <v>1612</v>
      </c>
      <c r="S80" s="1">
        <f ca="1">IFERROR(__xludf.DUMMYFUNCTION("""COMPUTED_VALUE"""),0.526)</f>
        <v>0.52600000000000002</v>
      </c>
      <c r="T80" s="1">
        <f ca="1">IFERROR(__xludf.DUMMYFUNCTION("""COMPUTED_VALUE"""),230)</f>
        <v>230</v>
      </c>
      <c r="U80" s="1">
        <f ca="1">IFERROR(__xludf.DUMMYFUNCTION("""COMPUTED_VALUE"""),632)</f>
        <v>632</v>
      </c>
      <c r="V80" s="1">
        <f ca="1">IFERROR(__xludf.DUMMYFUNCTION("""COMPUTED_VALUE"""),0.364)</f>
        <v>0.36399999999999999</v>
      </c>
      <c r="W80" s="1">
        <f ca="1">IFERROR(__xludf.DUMMYFUNCTION("""COMPUTED_VALUE"""),394)</f>
        <v>394</v>
      </c>
      <c r="X80" s="1">
        <f ca="1">IFERROR(__xludf.DUMMYFUNCTION("""COMPUTED_VALUE"""),549)</f>
        <v>549</v>
      </c>
      <c r="Y80" s="1">
        <f ca="1">IFERROR(__xludf.DUMMYFUNCTION("""COMPUTED_VALUE"""),0.718)</f>
        <v>0.71799999999999997</v>
      </c>
      <c r="Z80" s="1">
        <f ca="1">IFERROR(__xludf.DUMMYFUNCTION("""COMPUTED_VALUE"""),228)</f>
        <v>228</v>
      </c>
      <c r="AA80" s="1">
        <f ca="1">IFERROR(__xludf.DUMMYFUNCTION("""COMPUTED_VALUE"""),1006)</f>
        <v>1006</v>
      </c>
      <c r="AB80" s="1">
        <f ca="1">IFERROR(__xludf.DUMMYFUNCTION("""COMPUTED_VALUE"""),511)</f>
        <v>511</v>
      </c>
      <c r="AC80" s="1">
        <f ca="1">IFERROR(__xludf.DUMMYFUNCTION("""COMPUTED_VALUE"""),168)</f>
        <v>168</v>
      </c>
      <c r="AD80" s="1">
        <f ca="1">IFERROR(__xludf.DUMMYFUNCTION("""COMPUTED_VALUE"""),100)</f>
        <v>100</v>
      </c>
      <c r="AE80" s="1">
        <f ca="1">IFERROR(__xludf.DUMMYFUNCTION("""COMPUTED_VALUE"""),363)</f>
        <v>363</v>
      </c>
      <c r="AF80" s="1">
        <f ca="1">IFERROR(__xludf.DUMMYFUNCTION("""COMPUTED_VALUE"""),493)</f>
        <v>493</v>
      </c>
    </row>
    <row r="81" spans="1:32" x14ac:dyDescent="0.25">
      <c r="A81" s="1" t="str">
        <f ca="1">IFERROR(__xludf.DUMMYFUNCTION("""COMPUTED_VALUE"""),"Delaware State")</f>
        <v>Delaware State</v>
      </c>
      <c r="B81" s="1">
        <f ca="1">IFERROR(__xludf.DUMMYFUNCTION("""COMPUTED_VALUE"""),29)</f>
        <v>29</v>
      </c>
      <c r="C81" s="1">
        <f ca="1">IFERROR(__xludf.DUMMYFUNCTION("""COMPUTED_VALUE"""),4)</f>
        <v>4</v>
      </c>
      <c r="D81" s="1">
        <f ca="1">IFERROR(__xludf.DUMMYFUNCTION("""COMPUTED_VALUE"""),25)</f>
        <v>25</v>
      </c>
      <c r="E81" s="1">
        <f ca="1">IFERROR(__xludf.DUMMYFUNCTION("""COMPUTED_VALUE"""),0.138)</f>
        <v>0.13800000000000001</v>
      </c>
      <c r="F81" s="1">
        <f ca="1">IFERROR(__xludf.DUMMYFUNCTION("""COMPUTED_VALUE"""),-21.01)</f>
        <v>-21.01</v>
      </c>
      <c r="G81" s="1">
        <f ca="1">IFERROR(__xludf.DUMMYFUNCTION("""COMPUTED_VALUE"""),-8.45)</f>
        <v>-8.4499999999999993</v>
      </c>
      <c r="H81" s="1">
        <f ca="1">IFERROR(__xludf.DUMMYFUNCTION("""COMPUTED_VALUE"""),3)</f>
        <v>3</v>
      </c>
      <c r="I81" s="1">
        <f ca="1">IFERROR(__xludf.DUMMYFUNCTION("""COMPUTED_VALUE"""),12)</f>
        <v>12</v>
      </c>
      <c r="J81" s="1">
        <f ca="1">IFERROR(__xludf.DUMMYFUNCTION("""COMPUTED_VALUE"""),3)</f>
        <v>3</v>
      </c>
      <c r="K81" s="1">
        <f ca="1">IFERROR(__xludf.DUMMYFUNCTION("""COMPUTED_VALUE"""),11)</f>
        <v>11</v>
      </c>
      <c r="L81" s="1">
        <f ca="1">IFERROR(__xludf.DUMMYFUNCTION("""COMPUTED_VALUE"""),1)</f>
        <v>1</v>
      </c>
      <c r="M81" s="1">
        <f ca="1">IFERROR(__xludf.DUMMYFUNCTION("""COMPUTED_VALUE"""),13)</f>
        <v>13</v>
      </c>
      <c r="N81" s="1">
        <f ca="1">IFERROR(__xludf.DUMMYFUNCTION("""COMPUTED_VALUE"""),2107)</f>
        <v>2107</v>
      </c>
      <c r="O81" s="1">
        <f ca="1">IFERROR(__xludf.DUMMYFUNCTION("""COMPUTED_VALUE"""),2411)</f>
        <v>2411</v>
      </c>
      <c r="P81" s="1">
        <f ca="1">IFERROR(__xludf.DUMMYFUNCTION("""COMPUTED_VALUE"""),1170)</f>
        <v>1170</v>
      </c>
      <c r="Q81" s="1">
        <f ca="1">IFERROR(__xludf.DUMMYFUNCTION("""COMPUTED_VALUE"""),743)</f>
        <v>743</v>
      </c>
      <c r="R81" s="1">
        <f ca="1">IFERROR(__xludf.DUMMYFUNCTION("""COMPUTED_VALUE"""),1805)</f>
        <v>1805</v>
      </c>
      <c r="S81" s="1">
        <f ca="1">IFERROR(__xludf.DUMMYFUNCTION("""COMPUTED_VALUE"""),0.412)</f>
        <v>0.41199999999999998</v>
      </c>
      <c r="T81" s="1">
        <f ca="1">IFERROR(__xludf.DUMMYFUNCTION("""COMPUTED_VALUE"""),223)</f>
        <v>223</v>
      </c>
      <c r="U81" s="1">
        <f ca="1">IFERROR(__xludf.DUMMYFUNCTION("""COMPUTED_VALUE"""),716)</f>
        <v>716</v>
      </c>
      <c r="V81" s="1">
        <f ca="1">IFERROR(__xludf.DUMMYFUNCTION("""COMPUTED_VALUE"""),0.311)</f>
        <v>0.311</v>
      </c>
      <c r="W81" s="1">
        <f ca="1">IFERROR(__xludf.DUMMYFUNCTION("""COMPUTED_VALUE"""),398)</f>
        <v>398</v>
      </c>
      <c r="X81" s="1">
        <f ca="1">IFERROR(__xludf.DUMMYFUNCTION("""COMPUTED_VALUE"""),586)</f>
        <v>586</v>
      </c>
      <c r="Y81" s="1">
        <f ca="1">IFERROR(__xludf.DUMMYFUNCTION("""COMPUTED_VALUE"""),0.679)</f>
        <v>0.67900000000000005</v>
      </c>
      <c r="Z81" s="1">
        <f ca="1">IFERROR(__xludf.DUMMYFUNCTION("""COMPUTED_VALUE"""),287)</f>
        <v>287</v>
      </c>
      <c r="AA81" s="1">
        <f ca="1">IFERROR(__xludf.DUMMYFUNCTION("""COMPUTED_VALUE"""),1018)</f>
        <v>1018</v>
      </c>
      <c r="AB81" s="1">
        <f ca="1">IFERROR(__xludf.DUMMYFUNCTION("""COMPUTED_VALUE"""),313)</f>
        <v>313</v>
      </c>
      <c r="AC81" s="1">
        <f ca="1">IFERROR(__xludf.DUMMYFUNCTION("""COMPUTED_VALUE"""),203)</f>
        <v>203</v>
      </c>
      <c r="AD81" s="1">
        <f ca="1">IFERROR(__xludf.DUMMYFUNCTION("""COMPUTED_VALUE"""),65)</f>
        <v>65</v>
      </c>
      <c r="AE81" s="1">
        <f ca="1">IFERROR(__xludf.DUMMYFUNCTION("""COMPUTED_VALUE"""),435)</f>
        <v>435</v>
      </c>
      <c r="AF81" s="1">
        <f ca="1">IFERROR(__xludf.DUMMYFUNCTION("""COMPUTED_VALUE"""),604)</f>
        <v>604</v>
      </c>
    </row>
    <row r="82" spans="1:32" x14ac:dyDescent="0.25">
      <c r="A82" s="1" t="str">
        <f ca="1">IFERROR(__xludf.DUMMYFUNCTION("""COMPUTED_VALUE"""),"Delaware")</f>
        <v>Delaware</v>
      </c>
      <c r="B82" s="1">
        <f ca="1">IFERROR(__xludf.DUMMYFUNCTION("""COMPUTED_VALUE"""),31)</f>
        <v>31</v>
      </c>
      <c r="C82" s="1">
        <f ca="1">IFERROR(__xludf.DUMMYFUNCTION("""COMPUTED_VALUE"""),21)</f>
        <v>21</v>
      </c>
      <c r="D82" s="1">
        <f ca="1">IFERROR(__xludf.DUMMYFUNCTION("""COMPUTED_VALUE"""),10)</f>
        <v>10</v>
      </c>
      <c r="E82" s="1">
        <f ca="1">IFERROR(__xludf.DUMMYFUNCTION("""COMPUTED_VALUE"""),0.677)</f>
        <v>0.67700000000000005</v>
      </c>
      <c r="F82" s="1">
        <f ca="1">IFERROR(__xludf.DUMMYFUNCTION("""COMPUTED_VALUE"""),-1.46)</f>
        <v>-1.46</v>
      </c>
      <c r="G82" s="1">
        <f ca="1">IFERROR(__xludf.DUMMYFUNCTION("""COMPUTED_VALUE"""),-4)</f>
        <v>-4</v>
      </c>
      <c r="H82" s="1">
        <f ca="1">IFERROR(__xludf.DUMMYFUNCTION("""COMPUTED_VALUE"""),11)</f>
        <v>11</v>
      </c>
      <c r="I82" s="1">
        <f ca="1">IFERROR(__xludf.DUMMYFUNCTION("""COMPUTED_VALUE"""),7)</f>
        <v>7</v>
      </c>
      <c r="J82" s="1">
        <f ca="1">IFERROR(__xludf.DUMMYFUNCTION("""COMPUTED_VALUE"""),10)</f>
        <v>10</v>
      </c>
      <c r="K82" s="1">
        <f ca="1">IFERROR(__xludf.DUMMYFUNCTION("""COMPUTED_VALUE"""),3)</f>
        <v>3</v>
      </c>
      <c r="L82" s="1">
        <f ca="1">IFERROR(__xludf.DUMMYFUNCTION("""COMPUTED_VALUE"""),7)</f>
        <v>7</v>
      </c>
      <c r="M82" s="1">
        <f ca="1">IFERROR(__xludf.DUMMYFUNCTION("""COMPUTED_VALUE"""),6)</f>
        <v>6</v>
      </c>
      <c r="N82" s="1">
        <f ca="1">IFERROR(__xludf.DUMMYFUNCTION("""COMPUTED_VALUE"""),2312)</f>
        <v>2312</v>
      </c>
      <c r="O82" s="1">
        <f ca="1">IFERROR(__xludf.DUMMYFUNCTION("""COMPUTED_VALUE"""),2190)</f>
        <v>2190</v>
      </c>
      <c r="P82" s="1">
        <f ca="1">IFERROR(__xludf.DUMMYFUNCTION("""COMPUTED_VALUE"""),1245)</f>
        <v>1245</v>
      </c>
      <c r="Q82" s="1">
        <f ca="1">IFERROR(__xludf.DUMMYFUNCTION("""COMPUTED_VALUE"""),829)</f>
        <v>829</v>
      </c>
      <c r="R82" s="1">
        <f ca="1">IFERROR(__xludf.DUMMYFUNCTION("""COMPUTED_VALUE"""),1721)</f>
        <v>1721</v>
      </c>
      <c r="S82" s="1">
        <f ca="1">IFERROR(__xludf.DUMMYFUNCTION("""COMPUTED_VALUE"""),0.482)</f>
        <v>0.48199999999999998</v>
      </c>
      <c r="T82" s="1">
        <f ca="1">IFERROR(__xludf.DUMMYFUNCTION("""COMPUTED_VALUE"""),238)</f>
        <v>238</v>
      </c>
      <c r="U82" s="1">
        <f ca="1">IFERROR(__xludf.DUMMYFUNCTION("""COMPUTED_VALUE"""),666)</f>
        <v>666</v>
      </c>
      <c r="V82" s="1">
        <f ca="1">IFERROR(__xludf.DUMMYFUNCTION("""COMPUTED_VALUE"""),0.357)</f>
        <v>0.35699999999999998</v>
      </c>
      <c r="W82" s="1">
        <f ca="1">IFERROR(__xludf.DUMMYFUNCTION("""COMPUTED_VALUE"""),416)</f>
        <v>416</v>
      </c>
      <c r="X82" s="1">
        <f ca="1">IFERROR(__xludf.DUMMYFUNCTION("""COMPUTED_VALUE"""),546)</f>
        <v>546</v>
      </c>
      <c r="Y82" s="1">
        <f ca="1">IFERROR(__xludf.DUMMYFUNCTION("""COMPUTED_VALUE"""),0.762)</f>
        <v>0.76200000000000001</v>
      </c>
      <c r="Z82" s="1">
        <f ca="1">IFERROR(__xludf.DUMMYFUNCTION("""COMPUTED_VALUE"""),232)</f>
        <v>232</v>
      </c>
      <c r="AA82" s="1">
        <f ca="1">IFERROR(__xludf.DUMMYFUNCTION("""COMPUTED_VALUE"""),1045)</f>
        <v>1045</v>
      </c>
      <c r="AB82" s="1">
        <f ca="1">IFERROR(__xludf.DUMMYFUNCTION("""COMPUTED_VALUE"""),405)</f>
        <v>405</v>
      </c>
      <c r="AC82" s="1">
        <f ca="1">IFERROR(__xludf.DUMMYFUNCTION("""COMPUTED_VALUE"""),164)</f>
        <v>164</v>
      </c>
      <c r="AD82" s="1">
        <f ca="1">IFERROR(__xludf.DUMMYFUNCTION("""COMPUTED_VALUE"""),99)</f>
        <v>99</v>
      </c>
      <c r="AE82" s="1">
        <f ca="1">IFERROR(__xludf.DUMMYFUNCTION("""COMPUTED_VALUE"""),402)</f>
        <v>402</v>
      </c>
      <c r="AF82" s="1">
        <f ca="1">IFERROR(__xludf.DUMMYFUNCTION("""COMPUTED_VALUE"""),509)</f>
        <v>509</v>
      </c>
    </row>
    <row r="83" spans="1:32" x14ac:dyDescent="0.25">
      <c r="A83" s="1" t="str">
        <f ca="1">IFERROR(__xludf.DUMMYFUNCTION("""COMPUTED_VALUE"""),"Denver")</f>
        <v>Denver</v>
      </c>
      <c r="B83" s="1">
        <f ca="1">IFERROR(__xludf.DUMMYFUNCTION("""COMPUTED_VALUE"""),30)</f>
        <v>30</v>
      </c>
      <c r="C83" s="1">
        <f ca="1">IFERROR(__xludf.DUMMYFUNCTION("""COMPUTED_VALUE"""),7)</f>
        <v>7</v>
      </c>
      <c r="D83" s="1">
        <f ca="1">IFERROR(__xludf.DUMMYFUNCTION("""COMPUTED_VALUE"""),23)</f>
        <v>23</v>
      </c>
      <c r="E83" s="1">
        <f ca="1">IFERROR(__xludf.DUMMYFUNCTION("""COMPUTED_VALUE"""),0.233)</f>
        <v>0.23300000000000001</v>
      </c>
      <c r="F83" s="1">
        <f ca="1">IFERROR(__xludf.DUMMYFUNCTION("""COMPUTED_VALUE"""),-10.46)</f>
        <v>-10.46</v>
      </c>
      <c r="G83" s="1">
        <f ca="1">IFERROR(__xludf.DUMMYFUNCTION("""COMPUTED_VALUE"""),-2.18)</f>
        <v>-2.1800000000000002</v>
      </c>
      <c r="H83" s="1">
        <f ca="1">IFERROR(__xludf.DUMMYFUNCTION("""COMPUTED_VALUE"""),3)</f>
        <v>3</v>
      </c>
      <c r="I83" s="1">
        <f ca="1">IFERROR(__xludf.DUMMYFUNCTION("""COMPUTED_VALUE"""),13)</f>
        <v>13</v>
      </c>
      <c r="J83" s="1">
        <f ca="1">IFERROR(__xludf.DUMMYFUNCTION("""COMPUTED_VALUE"""),6)</f>
        <v>6</v>
      </c>
      <c r="K83" s="1">
        <f ca="1">IFERROR(__xludf.DUMMYFUNCTION("""COMPUTED_VALUE"""),8)</f>
        <v>8</v>
      </c>
      <c r="L83" s="1">
        <f ca="1">IFERROR(__xludf.DUMMYFUNCTION("""COMPUTED_VALUE"""),0)</f>
        <v>0</v>
      </c>
      <c r="M83" s="1">
        <f ca="1">IFERROR(__xludf.DUMMYFUNCTION("""COMPUTED_VALUE"""),14)</f>
        <v>14</v>
      </c>
      <c r="N83" s="1">
        <f ca="1">IFERROR(__xludf.DUMMYFUNCTION("""COMPUTED_VALUE"""),2066)</f>
        <v>2066</v>
      </c>
      <c r="O83" s="1">
        <f ca="1">IFERROR(__xludf.DUMMYFUNCTION("""COMPUTED_VALUE"""),2289)</f>
        <v>2289</v>
      </c>
      <c r="P83" s="1">
        <f ca="1">IFERROR(__xludf.DUMMYFUNCTION("""COMPUTED_VALUE"""),1210)</f>
        <v>1210</v>
      </c>
      <c r="Q83" s="1">
        <f ca="1">IFERROR(__xludf.DUMMYFUNCTION("""COMPUTED_VALUE"""),739)</f>
        <v>739</v>
      </c>
      <c r="R83" s="1">
        <f ca="1">IFERROR(__xludf.DUMMYFUNCTION("""COMPUTED_VALUE"""),1672)</f>
        <v>1672</v>
      </c>
      <c r="S83" s="1">
        <f ca="1">IFERROR(__xludf.DUMMYFUNCTION("""COMPUTED_VALUE"""),0.442)</f>
        <v>0.442</v>
      </c>
      <c r="T83" s="1">
        <f ca="1">IFERROR(__xludf.DUMMYFUNCTION("""COMPUTED_VALUE"""),159)</f>
        <v>159</v>
      </c>
      <c r="U83" s="1">
        <f ca="1">IFERROR(__xludf.DUMMYFUNCTION("""COMPUTED_VALUE"""),494)</f>
        <v>494</v>
      </c>
      <c r="V83" s="1">
        <f ca="1">IFERROR(__xludf.DUMMYFUNCTION("""COMPUTED_VALUE"""),0.322)</f>
        <v>0.32200000000000001</v>
      </c>
      <c r="W83" s="1">
        <f ca="1">IFERROR(__xludf.DUMMYFUNCTION("""COMPUTED_VALUE"""),429)</f>
        <v>429</v>
      </c>
      <c r="X83" s="1">
        <f ca="1">IFERROR(__xludf.DUMMYFUNCTION("""COMPUTED_VALUE"""),620)</f>
        <v>620</v>
      </c>
      <c r="Y83" s="1">
        <f ca="1">IFERROR(__xludf.DUMMYFUNCTION("""COMPUTED_VALUE"""),0.692)</f>
        <v>0.69199999999999995</v>
      </c>
      <c r="Z83" s="1">
        <f ca="1">IFERROR(__xludf.DUMMYFUNCTION("""COMPUTED_VALUE"""),212)</f>
        <v>212</v>
      </c>
      <c r="AA83" s="1">
        <f ca="1">IFERROR(__xludf.DUMMYFUNCTION("""COMPUTED_VALUE"""),998)</f>
        <v>998</v>
      </c>
      <c r="AB83" s="1">
        <f ca="1">IFERROR(__xludf.DUMMYFUNCTION("""COMPUTED_VALUE"""),336)</f>
        <v>336</v>
      </c>
      <c r="AC83" s="1">
        <f ca="1">IFERROR(__xludf.DUMMYFUNCTION("""COMPUTED_VALUE"""),178)</f>
        <v>178</v>
      </c>
      <c r="AD83" s="1">
        <f ca="1">IFERROR(__xludf.DUMMYFUNCTION("""COMPUTED_VALUE"""),66)</f>
        <v>66</v>
      </c>
      <c r="AE83" s="1">
        <f ca="1">IFERROR(__xludf.DUMMYFUNCTION("""COMPUTED_VALUE"""),417)</f>
        <v>417</v>
      </c>
      <c r="AF83" s="1">
        <f ca="1">IFERROR(__xludf.DUMMYFUNCTION("""COMPUTED_VALUE"""),603)</f>
        <v>603</v>
      </c>
    </row>
    <row r="84" spans="1:32" x14ac:dyDescent="0.25">
      <c r="A84" s="1" t="str">
        <f ca="1">IFERROR(__xludf.DUMMYFUNCTION("""COMPUTED_VALUE"""),"DePaul")</f>
        <v>DePaul</v>
      </c>
      <c r="B84" s="1">
        <f ca="1">IFERROR(__xludf.DUMMYFUNCTION("""COMPUTED_VALUE"""),29)</f>
        <v>29</v>
      </c>
      <c r="C84" s="1">
        <f ca="1">IFERROR(__xludf.DUMMYFUNCTION("""COMPUTED_VALUE"""),14)</f>
        <v>14</v>
      </c>
      <c r="D84" s="1">
        <f ca="1">IFERROR(__xludf.DUMMYFUNCTION("""COMPUTED_VALUE"""),15)</f>
        <v>15</v>
      </c>
      <c r="E84" s="1">
        <f ca="1">IFERROR(__xludf.DUMMYFUNCTION("""COMPUTED_VALUE"""),0.483)</f>
        <v>0.48299999999999998</v>
      </c>
      <c r="F84" s="1">
        <f ca="1">IFERROR(__xludf.DUMMYFUNCTION("""COMPUTED_VALUE"""),8.14)</f>
        <v>8.14</v>
      </c>
      <c r="G84" s="1">
        <f ca="1">IFERROR(__xludf.DUMMYFUNCTION("""COMPUTED_VALUE"""),8.43)</f>
        <v>8.43</v>
      </c>
      <c r="H84" s="1">
        <f ca="1">IFERROR(__xludf.DUMMYFUNCTION("""COMPUTED_VALUE"""),2)</f>
        <v>2</v>
      </c>
      <c r="I84" s="1">
        <f ca="1">IFERROR(__xludf.DUMMYFUNCTION("""COMPUTED_VALUE"""),14)</f>
        <v>14</v>
      </c>
      <c r="J84" s="1">
        <f ca="1">IFERROR(__xludf.DUMMYFUNCTION("""COMPUTED_VALUE"""),10)</f>
        <v>10</v>
      </c>
      <c r="K84" s="1">
        <f ca="1">IFERROR(__xludf.DUMMYFUNCTION("""COMPUTED_VALUE"""),7)</f>
        <v>7</v>
      </c>
      <c r="L84" s="1">
        <f ca="1">IFERROR(__xludf.DUMMYFUNCTION("""COMPUTED_VALUE"""),4)</f>
        <v>4</v>
      </c>
      <c r="M84" s="1">
        <f ca="1">IFERROR(__xludf.DUMMYFUNCTION("""COMPUTED_VALUE"""),8)</f>
        <v>8</v>
      </c>
      <c r="N84" s="1">
        <f ca="1">IFERROR(__xludf.DUMMYFUNCTION("""COMPUTED_VALUE"""),2067)</f>
        <v>2067</v>
      </c>
      <c r="O84" s="1">
        <f ca="1">IFERROR(__xludf.DUMMYFUNCTION("""COMPUTED_VALUE"""),2046)</f>
        <v>2046</v>
      </c>
      <c r="P84" s="1">
        <f ca="1">IFERROR(__xludf.DUMMYFUNCTION("""COMPUTED_VALUE"""),1170)</f>
        <v>1170</v>
      </c>
      <c r="Q84" s="1">
        <f ca="1">IFERROR(__xludf.DUMMYFUNCTION("""COMPUTED_VALUE"""),768)</f>
        <v>768</v>
      </c>
      <c r="R84" s="1">
        <f ca="1">IFERROR(__xludf.DUMMYFUNCTION("""COMPUTED_VALUE"""),1732)</f>
        <v>1732</v>
      </c>
      <c r="S84" s="1">
        <f ca="1">IFERROR(__xludf.DUMMYFUNCTION("""COMPUTED_VALUE"""),0.443)</f>
        <v>0.443</v>
      </c>
      <c r="T84" s="1">
        <f ca="1">IFERROR(__xludf.DUMMYFUNCTION("""COMPUTED_VALUE"""),167)</f>
        <v>167</v>
      </c>
      <c r="U84" s="1">
        <f ca="1">IFERROR(__xludf.DUMMYFUNCTION("""COMPUTED_VALUE"""),522)</f>
        <v>522</v>
      </c>
      <c r="V84" s="1">
        <f ca="1">IFERROR(__xludf.DUMMYFUNCTION("""COMPUTED_VALUE"""),0.32)</f>
        <v>0.32</v>
      </c>
      <c r="W84" s="1">
        <f ca="1">IFERROR(__xludf.DUMMYFUNCTION("""COMPUTED_VALUE"""),364)</f>
        <v>364</v>
      </c>
      <c r="X84" s="1">
        <f ca="1">IFERROR(__xludf.DUMMYFUNCTION("""COMPUTED_VALUE"""),568)</f>
        <v>568</v>
      </c>
      <c r="Y84" s="1">
        <f ca="1">IFERROR(__xludf.DUMMYFUNCTION("""COMPUTED_VALUE"""),0.641)</f>
        <v>0.64100000000000001</v>
      </c>
      <c r="Z84" s="1">
        <f ca="1">IFERROR(__xludf.DUMMYFUNCTION("""COMPUTED_VALUE"""),336)</f>
        <v>336</v>
      </c>
      <c r="AA84" s="1">
        <f ca="1">IFERROR(__xludf.DUMMYFUNCTION("""COMPUTED_VALUE"""),1085)</f>
        <v>1085</v>
      </c>
      <c r="AB84" s="1">
        <f ca="1">IFERROR(__xludf.DUMMYFUNCTION("""COMPUTED_VALUE"""),402)</f>
        <v>402</v>
      </c>
      <c r="AC84" s="1">
        <f ca="1">IFERROR(__xludf.DUMMYFUNCTION("""COMPUTED_VALUE"""),242)</f>
        <v>242</v>
      </c>
      <c r="AD84" s="1">
        <f ca="1">IFERROR(__xludf.DUMMYFUNCTION("""COMPUTED_VALUE"""),149)</f>
        <v>149</v>
      </c>
      <c r="AE84" s="1">
        <f ca="1">IFERROR(__xludf.DUMMYFUNCTION("""COMPUTED_VALUE"""),431)</f>
        <v>431</v>
      </c>
      <c r="AF84" s="1">
        <f ca="1">IFERROR(__xludf.DUMMYFUNCTION("""COMPUTED_VALUE"""),557)</f>
        <v>557</v>
      </c>
    </row>
    <row r="85" spans="1:32" x14ac:dyDescent="0.25">
      <c r="A85" s="1" t="str">
        <f ca="1">IFERROR(__xludf.DUMMYFUNCTION("""COMPUTED_VALUE"""),"Detroit Mercy")</f>
        <v>Detroit Mercy</v>
      </c>
      <c r="B85" s="1">
        <f ca="1">IFERROR(__xludf.DUMMYFUNCTION("""COMPUTED_VALUE"""),31)</f>
        <v>31</v>
      </c>
      <c r="C85" s="1">
        <f ca="1">IFERROR(__xludf.DUMMYFUNCTION("""COMPUTED_VALUE"""),8)</f>
        <v>8</v>
      </c>
      <c r="D85" s="1">
        <f ca="1">IFERROR(__xludf.DUMMYFUNCTION("""COMPUTED_VALUE"""),23)</f>
        <v>23</v>
      </c>
      <c r="E85" s="1">
        <f ca="1">IFERROR(__xludf.DUMMYFUNCTION("""COMPUTED_VALUE"""),0.258)</f>
        <v>0.25800000000000001</v>
      </c>
      <c r="F85" s="1">
        <f ca="1">IFERROR(__xludf.DUMMYFUNCTION("""COMPUTED_VALUE"""),-9.95)</f>
        <v>-9.9499999999999993</v>
      </c>
      <c r="G85" s="1">
        <f ca="1">IFERROR(__xludf.DUMMYFUNCTION("""COMPUTED_VALUE"""),-1.98)</f>
        <v>-1.98</v>
      </c>
      <c r="H85" s="1">
        <f ca="1">IFERROR(__xludf.DUMMYFUNCTION("""COMPUTED_VALUE"""),6)</f>
        <v>6</v>
      </c>
      <c r="I85" s="1">
        <f ca="1">IFERROR(__xludf.DUMMYFUNCTION("""COMPUTED_VALUE"""),12)</f>
        <v>12</v>
      </c>
      <c r="J85" s="1">
        <f ca="1">IFERROR(__xludf.DUMMYFUNCTION("""COMPUTED_VALUE"""),5)</f>
        <v>5</v>
      </c>
      <c r="K85" s="1">
        <f ca="1">IFERROR(__xludf.DUMMYFUNCTION("""COMPUTED_VALUE"""),8)</f>
        <v>8</v>
      </c>
      <c r="L85" s="1">
        <f ca="1">IFERROR(__xludf.DUMMYFUNCTION("""COMPUTED_VALUE"""),2)</f>
        <v>2</v>
      </c>
      <c r="M85" s="1">
        <f ca="1">IFERROR(__xludf.DUMMYFUNCTION("""COMPUTED_VALUE"""),14)</f>
        <v>14</v>
      </c>
      <c r="N85" s="1">
        <f ca="1">IFERROR(__xludf.DUMMYFUNCTION("""COMPUTED_VALUE"""),2175)</f>
        <v>2175</v>
      </c>
      <c r="O85" s="1">
        <f ca="1">IFERROR(__xludf.DUMMYFUNCTION("""COMPUTED_VALUE"""),2422)</f>
        <v>2422</v>
      </c>
      <c r="P85" s="1">
        <f ca="1">IFERROR(__xludf.DUMMYFUNCTION("""COMPUTED_VALUE"""),1245)</f>
        <v>1245</v>
      </c>
      <c r="Q85" s="1">
        <f ca="1">IFERROR(__xludf.DUMMYFUNCTION("""COMPUTED_VALUE"""),724)</f>
        <v>724</v>
      </c>
      <c r="R85" s="1">
        <f ca="1">IFERROR(__xludf.DUMMYFUNCTION("""COMPUTED_VALUE"""),1850)</f>
        <v>1850</v>
      </c>
      <c r="S85" s="1">
        <f ca="1">IFERROR(__xludf.DUMMYFUNCTION("""COMPUTED_VALUE"""),0.391)</f>
        <v>0.39100000000000001</v>
      </c>
      <c r="T85" s="1">
        <f ca="1">IFERROR(__xludf.DUMMYFUNCTION("""COMPUTED_VALUE"""),263)</f>
        <v>263</v>
      </c>
      <c r="U85" s="1">
        <f ca="1">IFERROR(__xludf.DUMMYFUNCTION("""COMPUTED_VALUE"""),815)</f>
        <v>815</v>
      </c>
      <c r="V85" s="1">
        <f ca="1">IFERROR(__xludf.DUMMYFUNCTION("""COMPUTED_VALUE"""),0.323)</f>
        <v>0.32300000000000001</v>
      </c>
      <c r="W85" s="1">
        <f ca="1">IFERROR(__xludf.DUMMYFUNCTION("""COMPUTED_VALUE"""),464)</f>
        <v>464</v>
      </c>
      <c r="X85" s="1">
        <f ca="1">IFERROR(__xludf.DUMMYFUNCTION("""COMPUTED_VALUE"""),593)</f>
        <v>593</v>
      </c>
      <c r="Y85" s="1">
        <f ca="1">IFERROR(__xludf.DUMMYFUNCTION("""COMPUTED_VALUE"""),0.782)</f>
        <v>0.78200000000000003</v>
      </c>
      <c r="Z85" s="1">
        <f ca="1">IFERROR(__xludf.DUMMYFUNCTION("""COMPUTED_VALUE"""),360)</f>
        <v>360</v>
      </c>
      <c r="AA85" s="1">
        <f ca="1">IFERROR(__xludf.DUMMYFUNCTION("""COMPUTED_VALUE"""),1118)</f>
        <v>1118</v>
      </c>
      <c r="AB85" s="1">
        <f ca="1">IFERROR(__xludf.DUMMYFUNCTION("""COMPUTED_VALUE"""),322)</f>
        <v>322</v>
      </c>
      <c r="AC85" s="1">
        <f ca="1">IFERROR(__xludf.DUMMYFUNCTION("""COMPUTED_VALUE"""),179)</f>
        <v>179</v>
      </c>
      <c r="AD85" s="1">
        <f ca="1">IFERROR(__xludf.DUMMYFUNCTION("""COMPUTED_VALUE"""),94)</f>
        <v>94</v>
      </c>
      <c r="AE85" s="1">
        <f ca="1">IFERROR(__xludf.DUMMYFUNCTION("""COMPUTED_VALUE"""),421)</f>
        <v>421</v>
      </c>
      <c r="AF85" s="1">
        <f ca="1">IFERROR(__xludf.DUMMYFUNCTION("""COMPUTED_VALUE"""),520)</f>
        <v>520</v>
      </c>
    </row>
    <row r="86" spans="1:32" x14ac:dyDescent="0.25">
      <c r="A86" s="1" t="str">
        <f ca="1">IFERROR(__xludf.DUMMYFUNCTION("""COMPUTED_VALUE"""),"Drake")</f>
        <v>Drake</v>
      </c>
      <c r="B86" s="1">
        <f ca="1">IFERROR(__xludf.DUMMYFUNCTION("""COMPUTED_VALUE"""),31)</f>
        <v>31</v>
      </c>
      <c r="C86" s="1">
        <f ca="1">IFERROR(__xludf.DUMMYFUNCTION("""COMPUTED_VALUE"""),18)</f>
        <v>18</v>
      </c>
      <c r="D86" s="1">
        <f ca="1">IFERROR(__xludf.DUMMYFUNCTION("""COMPUTED_VALUE"""),13)</f>
        <v>13</v>
      </c>
      <c r="E86" s="1">
        <f ca="1">IFERROR(__xludf.DUMMYFUNCTION("""COMPUTED_VALUE"""),0.581)</f>
        <v>0.58099999999999996</v>
      </c>
      <c r="F86" s="1">
        <f ca="1">IFERROR(__xludf.DUMMYFUNCTION("""COMPUTED_VALUE"""),-0.65)</f>
        <v>-0.65</v>
      </c>
      <c r="G86" s="1">
        <f ca="1">IFERROR(__xludf.DUMMYFUNCTION("""COMPUTED_VALUE"""),0.28)</f>
        <v>0.28000000000000003</v>
      </c>
      <c r="H86" s="1">
        <f ca="1">IFERROR(__xludf.DUMMYFUNCTION("""COMPUTED_VALUE"""),8)</f>
        <v>8</v>
      </c>
      <c r="I86" s="1">
        <f ca="1">IFERROR(__xludf.DUMMYFUNCTION("""COMPUTED_VALUE"""),10)</f>
        <v>10</v>
      </c>
      <c r="J86" s="1">
        <f ca="1">IFERROR(__xludf.DUMMYFUNCTION("""COMPUTED_VALUE"""),14)</f>
        <v>14</v>
      </c>
      <c r="K86" s="1">
        <f ca="1">IFERROR(__xludf.DUMMYFUNCTION("""COMPUTED_VALUE"""),2)</f>
        <v>2</v>
      </c>
      <c r="L86" s="1">
        <f ca="1">IFERROR(__xludf.DUMMYFUNCTION("""COMPUTED_VALUE"""),2)</f>
        <v>2</v>
      </c>
      <c r="M86" s="1">
        <f ca="1">IFERROR(__xludf.DUMMYFUNCTION("""COMPUTED_VALUE"""),10)</f>
        <v>10</v>
      </c>
      <c r="N86" s="1">
        <f ca="1">IFERROR(__xludf.DUMMYFUNCTION("""COMPUTED_VALUE"""),2141)</f>
        <v>2141</v>
      </c>
      <c r="O86" s="1">
        <f ca="1">IFERROR(__xludf.DUMMYFUNCTION("""COMPUTED_VALUE"""),2105)</f>
        <v>2105</v>
      </c>
      <c r="P86" s="1">
        <f ca="1">IFERROR(__xludf.DUMMYFUNCTION("""COMPUTED_VALUE"""),1245)</f>
        <v>1245</v>
      </c>
      <c r="Q86" s="1">
        <f ca="1">IFERROR(__xludf.DUMMYFUNCTION("""COMPUTED_VALUE"""),779)</f>
        <v>779</v>
      </c>
      <c r="R86" s="1">
        <f ca="1">IFERROR(__xludf.DUMMYFUNCTION("""COMPUTED_VALUE"""),1708)</f>
        <v>1708</v>
      </c>
      <c r="S86" s="1">
        <f ca="1">IFERROR(__xludf.DUMMYFUNCTION("""COMPUTED_VALUE"""),0.456)</f>
        <v>0.45600000000000002</v>
      </c>
      <c r="T86" s="1">
        <f ca="1">IFERROR(__xludf.DUMMYFUNCTION("""COMPUTED_VALUE"""),223)</f>
        <v>223</v>
      </c>
      <c r="U86" s="1">
        <f ca="1">IFERROR(__xludf.DUMMYFUNCTION("""COMPUTED_VALUE"""),656)</f>
        <v>656</v>
      </c>
      <c r="V86" s="1">
        <f ca="1">IFERROR(__xludf.DUMMYFUNCTION("""COMPUTED_VALUE"""),0.34)</f>
        <v>0.34</v>
      </c>
      <c r="W86" s="1">
        <f ca="1">IFERROR(__xludf.DUMMYFUNCTION("""COMPUTED_VALUE"""),360)</f>
        <v>360</v>
      </c>
      <c r="X86" s="1">
        <f ca="1">IFERROR(__xludf.DUMMYFUNCTION("""COMPUTED_VALUE"""),507)</f>
        <v>507</v>
      </c>
      <c r="Y86" s="1">
        <f ca="1">IFERROR(__xludf.DUMMYFUNCTION("""COMPUTED_VALUE"""),0.71)</f>
        <v>0.71</v>
      </c>
      <c r="Z86" s="1">
        <f ca="1">IFERROR(__xludf.DUMMYFUNCTION("""COMPUTED_VALUE"""),234)</f>
        <v>234</v>
      </c>
      <c r="AA86" s="1">
        <f ca="1">IFERROR(__xludf.DUMMYFUNCTION("""COMPUTED_VALUE"""),1040)</f>
        <v>1040</v>
      </c>
      <c r="AB86" s="1">
        <f ca="1">IFERROR(__xludf.DUMMYFUNCTION("""COMPUTED_VALUE"""),464)</f>
        <v>464</v>
      </c>
      <c r="AC86" s="1">
        <f ca="1">IFERROR(__xludf.DUMMYFUNCTION("""COMPUTED_VALUE"""),173)</f>
        <v>173</v>
      </c>
      <c r="AD86" s="1">
        <f ca="1">IFERROR(__xludf.DUMMYFUNCTION("""COMPUTED_VALUE"""),116)</f>
        <v>116</v>
      </c>
      <c r="AE86" s="1">
        <f ca="1">IFERROR(__xludf.DUMMYFUNCTION("""COMPUTED_VALUE"""),402)</f>
        <v>402</v>
      </c>
      <c r="AF86" s="1">
        <f ca="1">IFERROR(__xludf.DUMMYFUNCTION("""COMPUTED_VALUE"""),512)</f>
        <v>512</v>
      </c>
    </row>
    <row r="87" spans="1:32" x14ac:dyDescent="0.25">
      <c r="A87" s="1" t="str">
        <f ca="1">IFERROR(__xludf.DUMMYFUNCTION("""COMPUTED_VALUE"""),"Drexel")</f>
        <v>Drexel</v>
      </c>
      <c r="B87" s="1">
        <f ca="1">IFERROR(__xludf.DUMMYFUNCTION("""COMPUTED_VALUE"""),31)</f>
        <v>31</v>
      </c>
      <c r="C87" s="1">
        <f ca="1">IFERROR(__xludf.DUMMYFUNCTION("""COMPUTED_VALUE"""),13)</f>
        <v>13</v>
      </c>
      <c r="D87" s="1">
        <f ca="1">IFERROR(__xludf.DUMMYFUNCTION("""COMPUTED_VALUE"""),18)</f>
        <v>18</v>
      </c>
      <c r="E87" s="1">
        <f ca="1">IFERROR(__xludf.DUMMYFUNCTION("""COMPUTED_VALUE"""),0.419)</f>
        <v>0.41899999999999998</v>
      </c>
      <c r="F87" s="1">
        <f ca="1">IFERROR(__xludf.DUMMYFUNCTION("""COMPUTED_VALUE"""),-5.22)</f>
        <v>-5.22</v>
      </c>
      <c r="G87" s="1">
        <f ca="1">IFERROR(__xludf.DUMMYFUNCTION("""COMPUTED_VALUE"""),-2.05)</f>
        <v>-2.0499999999999998</v>
      </c>
      <c r="H87" s="1">
        <f ca="1">IFERROR(__xludf.DUMMYFUNCTION("""COMPUTED_VALUE"""),6)</f>
        <v>6</v>
      </c>
      <c r="I87" s="1">
        <f ca="1">IFERROR(__xludf.DUMMYFUNCTION("""COMPUTED_VALUE"""),12)</f>
        <v>12</v>
      </c>
      <c r="J87" s="1">
        <f ca="1">IFERROR(__xludf.DUMMYFUNCTION("""COMPUTED_VALUE"""),10)</f>
        <v>10</v>
      </c>
      <c r="K87" s="1">
        <f ca="1">IFERROR(__xludf.DUMMYFUNCTION("""COMPUTED_VALUE"""),5)</f>
        <v>5</v>
      </c>
      <c r="L87" s="1">
        <f ca="1">IFERROR(__xludf.DUMMYFUNCTION("""COMPUTED_VALUE"""),1)</f>
        <v>1</v>
      </c>
      <c r="M87" s="1">
        <f ca="1">IFERROR(__xludf.DUMMYFUNCTION("""COMPUTED_VALUE"""),13)</f>
        <v>13</v>
      </c>
      <c r="N87" s="1">
        <f ca="1">IFERROR(__xludf.DUMMYFUNCTION("""COMPUTED_VALUE"""),2145)</f>
        <v>2145</v>
      </c>
      <c r="O87" s="1">
        <f ca="1">IFERROR(__xludf.DUMMYFUNCTION("""COMPUTED_VALUE"""),2207)</f>
        <v>2207</v>
      </c>
      <c r="P87" s="1">
        <f ca="1">IFERROR(__xludf.DUMMYFUNCTION("""COMPUTED_VALUE"""),1245)</f>
        <v>1245</v>
      </c>
      <c r="Q87" s="1">
        <f ca="1">IFERROR(__xludf.DUMMYFUNCTION("""COMPUTED_VALUE"""),779)</f>
        <v>779</v>
      </c>
      <c r="R87" s="1">
        <f ca="1">IFERROR(__xludf.DUMMYFUNCTION("""COMPUTED_VALUE"""),1747)</f>
        <v>1747</v>
      </c>
      <c r="S87" s="1">
        <f ca="1">IFERROR(__xludf.DUMMYFUNCTION("""COMPUTED_VALUE"""),0.446)</f>
        <v>0.44600000000000001</v>
      </c>
      <c r="T87" s="1">
        <f ca="1">IFERROR(__xludf.DUMMYFUNCTION("""COMPUTED_VALUE"""),230)</f>
        <v>230</v>
      </c>
      <c r="U87" s="1">
        <f ca="1">IFERROR(__xludf.DUMMYFUNCTION("""COMPUTED_VALUE"""),647)</f>
        <v>647</v>
      </c>
      <c r="V87" s="1">
        <f ca="1">IFERROR(__xludf.DUMMYFUNCTION("""COMPUTED_VALUE"""),0.355)</f>
        <v>0.35499999999999998</v>
      </c>
      <c r="W87" s="1">
        <f ca="1">IFERROR(__xludf.DUMMYFUNCTION("""COMPUTED_VALUE"""),357)</f>
        <v>357</v>
      </c>
      <c r="X87" s="1">
        <f ca="1">IFERROR(__xludf.DUMMYFUNCTION("""COMPUTED_VALUE"""),511)</f>
        <v>511</v>
      </c>
      <c r="Y87" s="1">
        <f ca="1">IFERROR(__xludf.DUMMYFUNCTION("""COMPUTED_VALUE"""),0.699)</f>
        <v>0.69899999999999995</v>
      </c>
      <c r="Z87" s="1">
        <f ca="1">IFERROR(__xludf.DUMMYFUNCTION("""COMPUTED_VALUE"""),326)</f>
        <v>326</v>
      </c>
      <c r="AA87" s="1">
        <f ca="1">IFERROR(__xludf.DUMMYFUNCTION("""COMPUTED_VALUE"""),1096)</f>
        <v>1096</v>
      </c>
      <c r="AB87" s="1">
        <f ca="1">IFERROR(__xludf.DUMMYFUNCTION("""COMPUTED_VALUE"""),458)</f>
        <v>458</v>
      </c>
      <c r="AC87" s="1">
        <f ca="1">IFERROR(__xludf.DUMMYFUNCTION("""COMPUTED_VALUE"""),172)</f>
        <v>172</v>
      </c>
      <c r="AD87" s="1">
        <f ca="1">IFERROR(__xludf.DUMMYFUNCTION("""COMPUTED_VALUE"""),89)</f>
        <v>89</v>
      </c>
      <c r="AE87" s="1">
        <f ca="1">IFERROR(__xludf.DUMMYFUNCTION("""COMPUTED_VALUE"""),459)</f>
        <v>459</v>
      </c>
      <c r="AF87" s="1">
        <f ca="1">IFERROR(__xludf.DUMMYFUNCTION("""COMPUTED_VALUE"""),517)</f>
        <v>517</v>
      </c>
    </row>
    <row r="88" spans="1:32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x14ac:dyDescent="0.25">
      <c r="A90" s="1" t="str">
        <f ca="1">IFERROR(__xludf.DUMMYFUNCTION("""COMPUTED_VALUE"""),"Duke")</f>
        <v>Duke</v>
      </c>
      <c r="B90" s="1">
        <f ca="1">IFERROR(__xludf.DUMMYFUNCTION("""COMPUTED_VALUE"""),30)</f>
        <v>30</v>
      </c>
      <c r="C90" s="1">
        <f ca="1">IFERROR(__xludf.DUMMYFUNCTION("""COMPUTED_VALUE"""),24)</f>
        <v>24</v>
      </c>
      <c r="D90" s="1">
        <f ca="1">IFERROR(__xludf.DUMMYFUNCTION("""COMPUTED_VALUE"""),6)</f>
        <v>6</v>
      </c>
      <c r="E90" s="1">
        <f ca="1">IFERROR(__xludf.DUMMYFUNCTION("""COMPUTED_VALUE"""),0.8)</f>
        <v>0.8</v>
      </c>
      <c r="F90" s="1">
        <f ca="1">IFERROR(__xludf.DUMMYFUNCTION("""COMPUTED_VALUE"""),22.65)</f>
        <v>22.65</v>
      </c>
      <c r="G90" s="1">
        <f ca="1">IFERROR(__xludf.DUMMYFUNCTION("""COMPUTED_VALUE"""),8.05)</f>
        <v>8.0500000000000007</v>
      </c>
      <c r="H90" s="1">
        <f ca="1">IFERROR(__xludf.DUMMYFUNCTION("""COMPUTED_VALUE"""),14)</f>
        <v>14</v>
      </c>
      <c r="I90" s="1">
        <f ca="1">IFERROR(__xludf.DUMMYFUNCTION("""COMPUTED_VALUE"""),5)</f>
        <v>5</v>
      </c>
      <c r="J90" s="1">
        <f ca="1">IFERROR(__xludf.DUMMYFUNCTION("""COMPUTED_VALUE"""),14)</f>
        <v>14</v>
      </c>
      <c r="K90" s="1">
        <f ca="1">IFERROR(__xludf.DUMMYFUNCTION("""COMPUTED_VALUE"""),2)</f>
        <v>2</v>
      </c>
      <c r="L90" s="1">
        <f ca="1">IFERROR(__xludf.DUMMYFUNCTION("""COMPUTED_VALUE"""),7)</f>
        <v>7</v>
      </c>
      <c r="M90" s="1">
        <f ca="1">IFERROR(__xludf.DUMMYFUNCTION("""COMPUTED_VALUE"""),4)</f>
        <v>4</v>
      </c>
      <c r="N90" s="1">
        <f ca="1">IFERROR(__xludf.DUMMYFUNCTION("""COMPUTED_VALUE"""),2469)</f>
        <v>2469</v>
      </c>
      <c r="O90" s="1">
        <f ca="1">IFERROR(__xludf.DUMMYFUNCTION("""COMPUTED_VALUE"""),2031)</f>
        <v>2031</v>
      </c>
      <c r="P90" s="1">
        <f ca="1">IFERROR(__xludf.DUMMYFUNCTION("""COMPUTED_VALUE"""),1220)</f>
        <v>1220</v>
      </c>
      <c r="Q90" s="1">
        <f ca="1">IFERROR(__xludf.DUMMYFUNCTION("""COMPUTED_VALUE"""),895)</f>
        <v>895</v>
      </c>
      <c r="R90" s="1">
        <f ca="1">IFERROR(__xludf.DUMMYFUNCTION("""COMPUTED_VALUE"""),1904)</f>
        <v>1904</v>
      </c>
      <c r="S90" s="1">
        <f ca="1">IFERROR(__xludf.DUMMYFUNCTION("""COMPUTED_VALUE"""),0.47)</f>
        <v>0.47</v>
      </c>
      <c r="T90" s="1">
        <f ca="1">IFERROR(__xludf.DUMMYFUNCTION("""COMPUTED_VALUE"""),207)</f>
        <v>207</v>
      </c>
      <c r="U90" s="1">
        <f ca="1">IFERROR(__xludf.DUMMYFUNCTION("""COMPUTED_VALUE"""),596)</f>
        <v>596</v>
      </c>
      <c r="V90" s="1">
        <f ca="1">IFERROR(__xludf.DUMMYFUNCTION("""COMPUTED_VALUE"""),0.347)</f>
        <v>0.34699999999999998</v>
      </c>
      <c r="W90" s="1">
        <f ca="1">IFERROR(__xludf.DUMMYFUNCTION("""COMPUTED_VALUE"""),472)</f>
        <v>472</v>
      </c>
      <c r="X90" s="1">
        <f ca="1">IFERROR(__xludf.DUMMYFUNCTION("""COMPUTED_VALUE"""),663)</f>
        <v>663</v>
      </c>
      <c r="Y90" s="1">
        <f ca="1">IFERROR(__xludf.DUMMYFUNCTION("""COMPUTED_VALUE"""),0.712)</f>
        <v>0.71199999999999997</v>
      </c>
      <c r="Z90" s="1">
        <f ca="1">IFERROR(__xludf.DUMMYFUNCTION("""COMPUTED_VALUE"""),384)</f>
        <v>384</v>
      </c>
      <c r="AA90" s="1">
        <f ca="1">IFERROR(__xludf.DUMMYFUNCTION("""COMPUTED_VALUE"""),1207)</f>
        <v>1207</v>
      </c>
      <c r="AB90" s="1">
        <f ca="1">IFERROR(__xludf.DUMMYFUNCTION("""COMPUTED_VALUE"""),460)</f>
        <v>460</v>
      </c>
      <c r="AC90" s="1">
        <f ca="1">IFERROR(__xludf.DUMMYFUNCTION("""COMPUTED_VALUE"""),252)</f>
        <v>252</v>
      </c>
      <c r="AD90" s="1">
        <f ca="1">IFERROR(__xludf.DUMMYFUNCTION("""COMPUTED_VALUE"""),180)</f>
        <v>180</v>
      </c>
      <c r="AE90" s="1">
        <f ca="1">IFERROR(__xludf.DUMMYFUNCTION("""COMPUTED_VALUE"""),397)</f>
        <v>397</v>
      </c>
      <c r="AF90" s="1">
        <f ca="1">IFERROR(__xludf.DUMMYFUNCTION("""COMPUTED_VALUE"""),542)</f>
        <v>542</v>
      </c>
    </row>
    <row r="91" spans="1:32" x14ac:dyDescent="0.25">
      <c r="A91" s="1" t="str">
        <f ca="1">IFERROR(__xludf.DUMMYFUNCTION("""COMPUTED_VALUE"""),"Duquesne")</f>
        <v>Duquesne</v>
      </c>
      <c r="B91" s="1">
        <f ca="1">IFERROR(__xludf.DUMMYFUNCTION("""COMPUTED_VALUE"""),28)</f>
        <v>28</v>
      </c>
      <c r="C91" s="1">
        <f ca="1">IFERROR(__xludf.DUMMYFUNCTION("""COMPUTED_VALUE"""),20)</f>
        <v>20</v>
      </c>
      <c r="D91" s="1">
        <f ca="1">IFERROR(__xludf.DUMMYFUNCTION("""COMPUTED_VALUE"""),8)</f>
        <v>8</v>
      </c>
      <c r="E91" s="1">
        <f ca="1">IFERROR(__xludf.DUMMYFUNCTION("""COMPUTED_VALUE"""),0.714)</f>
        <v>0.71399999999999997</v>
      </c>
      <c r="F91" s="1">
        <f ca="1">IFERROR(__xludf.DUMMYFUNCTION("""COMPUTED_VALUE"""),6.84)</f>
        <v>6.84</v>
      </c>
      <c r="G91" s="1">
        <f ca="1">IFERROR(__xludf.DUMMYFUNCTION("""COMPUTED_VALUE"""),1.09)</f>
        <v>1.0900000000000001</v>
      </c>
      <c r="H91" s="1">
        <f ca="1">IFERROR(__xludf.DUMMYFUNCTION("""COMPUTED_VALUE"""),10)</f>
        <v>10</v>
      </c>
      <c r="I91" s="1">
        <f ca="1">IFERROR(__xludf.DUMMYFUNCTION("""COMPUTED_VALUE"""),6)</f>
        <v>6</v>
      </c>
      <c r="J91" s="1">
        <f ca="1">IFERROR(__xludf.DUMMYFUNCTION("""COMPUTED_VALUE"""),10)</f>
        <v>10</v>
      </c>
      <c r="K91" s="1">
        <f ca="1">IFERROR(__xludf.DUMMYFUNCTION("""COMPUTED_VALUE"""),3)</f>
        <v>3</v>
      </c>
      <c r="L91" s="1">
        <f ca="1">IFERROR(__xludf.DUMMYFUNCTION("""COMPUTED_VALUE"""),5)</f>
        <v>5</v>
      </c>
      <c r="M91" s="1">
        <f ca="1">IFERROR(__xludf.DUMMYFUNCTION("""COMPUTED_VALUE"""),3)</f>
        <v>3</v>
      </c>
      <c r="N91" s="1">
        <f ca="1">IFERROR(__xludf.DUMMYFUNCTION("""COMPUTED_VALUE"""),2004)</f>
        <v>2004</v>
      </c>
      <c r="O91" s="1">
        <f ca="1">IFERROR(__xludf.DUMMYFUNCTION("""COMPUTED_VALUE"""),1843)</f>
        <v>1843</v>
      </c>
      <c r="P91" s="1">
        <f ca="1">IFERROR(__xludf.DUMMYFUNCTION("""COMPUTED_VALUE"""),1130)</f>
        <v>1130</v>
      </c>
      <c r="Q91" s="1">
        <f ca="1">IFERROR(__xludf.DUMMYFUNCTION("""COMPUTED_VALUE"""),710)</f>
        <v>710</v>
      </c>
      <c r="R91" s="1">
        <f ca="1">IFERROR(__xludf.DUMMYFUNCTION("""COMPUTED_VALUE"""),1594)</f>
        <v>1594</v>
      </c>
      <c r="S91" s="1">
        <f ca="1">IFERROR(__xludf.DUMMYFUNCTION("""COMPUTED_VALUE"""),0.445)</f>
        <v>0.44500000000000001</v>
      </c>
      <c r="T91" s="1">
        <f ca="1">IFERROR(__xludf.DUMMYFUNCTION("""COMPUTED_VALUE"""),216)</f>
        <v>216</v>
      </c>
      <c r="U91" s="1">
        <f ca="1">IFERROR(__xludf.DUMMYFUNCTION("""COMPUTED_VALUE"""),682)</f>
        <v>682</v>
      </c>
      <c r="V91" s="1">
        <f ca="1">IFERROR(__xludf.DUMMYFUNCTION("""COMPUTED_VALUE"""),0.317)</f>
        <v>0.317</v>
      </c>
      <c r="W91" s="1">
        <f ca="1">IFERROR(__xludf.DUMMYFUNCTION("""COMPUTED_VALUE"""),368)</f>
        <v>368</v>
      </c>
      <c r="X91" s="1">
        <f ca="1">IFERROR(__xludf.DUMMYFUNCTION("""COMPUTED_VALUE"""),511)</f>
        <v>511</v>
      </c>
      <c r="Y91" s="1">
        <f ca="1">IFERROR(__xludf.DUMMYFUNCTION("""COMPUTED_VALUE"""),0.72)</f>
        <v>0.72</v>
      </c>
      <c r="Z91" s="1">
        <f ca="1">IFERROR(__xludf.DUMMYFUNCTION("""COMPUTED_VALUE"""),275)</f>
        <v>275</v>
      </c>
      <c r="AA91" s="1">
        <f ca="1">IFERROR(__xludf.DUMMYFUNCTION("""COMPUTED_VALUE"""),959)</f>
        <v>959</v>
      </c>
      <c r="AB91" s="1">
        <f ca="1">IFERROR(__xludf.DUMMYFUNCTION("""COMPUTED_VALUE"""),401)</f>
        <v>401</v>
      </c>
      <c r="AC91" s="1">
        <f ca="1">IFERROR(__xludf.DUMMYFUNCTION("""COMPUTED_VALUE"""),193)</f>
        <v>193</v>
      </c>
      <c r="AD91" s="1">
        <f ca="1">IFERROR(__xludf.DUMMYFUNCTION("""COMPUTED_VALUE"""),156)</f>
        <v>156</v>
      </c>
      <c r="AE91" s="1">
        <f ca="1">IFERROR(__xludf.DUMMYFUNCTION("""COMPUTED_VALUE"""),349)</f>
        <v>349</v>
      </c>
      <c r="AF91" s="1">
        <f ca="1">IFERROR(__xludf.DUMMYFUNCTION("""COMPUTED_VALUE"""),431)</f>
        <v>431</v>
      </c>
    </row>
    <row r="92" spans="1:32" x14ac:dyDescent="0.25">
      <c r="A92" s="1" t="str">
        <f ca="1">IFERROR(__xludf.DUMMYFUNCTION("""COMPUTED_VALUE"""),"East Carolina")</f>
        <v>East Carolina</v>
      </c>
      <c r="B92" s="1">
        <f ca="1">IFERROR(__xludf.DUMMYFUNCTION("""COMPUTED_VALUE"""),30)</f>
        <v>30</v>
      </c>
      <c r="C92" s="1">
        <f ca="1">IFERROR(__xludf.DUMMYFUNCTION("""COMPUTED_VALUE"""),11)</f>
        <v>11</v>
      </c>
      <c r="D92" s="1">
        <f ca="1">IFERROR(__xludf.DUMMYFUNCTION("""COMPUTED_VALUE"""),19)</f>
        <v>19</v>
      </c>
      <c r="E92" s="1">
        <f ca="1">IFERROR(__xludf.DUMMYFUNCTION("""COMPUTED_VALUE"""),0.367)</f>
        <v>0.36699999999999999</v>
      </c>
      <c r="F92" s="1">
        <f ca="1">IFERROR(__xludf.DUMMYFUNCTION("""COMPUTED_VALUE"""),-1.44)</f>
        <v>-1.44</v>
      </c>
      <c r="G92" s="1">
        <f ca="1">IFERROR(__xludf.DUMMYFUNCTION("""COMPUTED_VALUE"""),1.72)</f>
        <v>1.72</v>
      </c>
      <c r="H92" s="1">
        <f ca="1">IFERROR(__xludf.DUMMYFUNCTION("""COMPUTED_VALUE"""),5)</f>
        <v>5</v>
      </c>
      <c r="I92" s="1">
        <f ca="1">IFERROR(__xludf.DUMMYFUNCTION("""COMPUTED_VALUE"""),12)</f>
        <v>12</v>
      </c>
      <c r="J92" s="1">
        <f ca="1">IFERROR(__xludf.DUMMYFUNCTION("""COMPUTED_VALUE"""),9)</f>
        <v>9</v>
      </c>
      <c r="K92" s="1">
        <f ca="1">IFERROR(__xludf.DUMMYFUNCTION("""COMPUTED_VALUE"""),7)</f>
        <v>7</v>
      </c>
      <c r="L92" s="1">
        <f ca="1">IFERROR(__xludf.DUMMYFUNCTION("""COMPUTED_VALUE"""),1)</f>
        <v>1</v>
      </c>
      <c r="M92" s="1">
        <f ca="1">IFERROR(__xludf.DUMMYFUNCTION("""COMPUTED_VALUE"""),10)</f>
        <v>10</v>
      </c>
      <c r="N92" s="1">
        <f ca="1">IFERROR(__xludf.DUMMYFUNCTION("""COMPUTED_VALUE"""),2049)</f>
        <v>2049</v>
      </c>
      <c r="O92" s="1">
        <f ca="1">IFERROR(__xludf.DUMMYFUNCTION("""COMPUTED_VALUE"""),2144)</f>
        <v>2144</v>
      </c>
      <c r="P92" s="1">
        <f ca="1">IFERROR(__xludf.DUMMYFUNCTION("""COMPUTED_VALUE"""),1210)</f>
        <v>1210</v>
      </c>
      <c r="Q92" s="1">
        <f ca="1">IFERROR(__xludf.DUMMYFUNCTION("""COMPUTED_VALUE"""),716)</f>
        <v>716</v>
      </c>
      <c r="R92" s="1">
        <f ca="1">IFERROR(__xludf.DUMMYFUNCTION("""COMPUTED_VALUE"""),1703)</f>
        <v>1703</v>
      </c>
      <c r="S92" s="1">
        <f ca="1">IFERROR(__xludf.DUMMYFUNCTION("""COMPUTED_VALUE"""),0.42)</f>
        <v>0.42</v>
      </c>
      <c r="T92" s="1">
        <f ca="1">IFERROR(__xludf.DUMMYFUNCTION("""COMPUTED_VALUE"""),158)</f>
        <v>158</v>
      </c>
      <c r="U92" s="1">
        <f ca="1">IFERROR(__xludf.DUMMYFUNCTION("""COMPUTED_VALUE"""),559)</f>
        <v>559</v>
      </c>
      <c r="V92" s="1">
        <f ca="1">IFERROR(__xludf.DUMMYFUNCTION("""COMPUTED_VALUE"""),0.283)</f>
        <v>0.28299999999999997</v>
      </c>
      <c r="W92" s="1">
        <f ca="1">IFERROR(__xludf.DUMMYFUNCTION("""COMPUTED_VALUE"""),459)</f>
        <v>459</v>
      </c>
      <c r="X92" s="1">
        <f ca="1">IFERROR(__xludf.DUMMYFUNCTION("""COMPUTED_VALUE"""),635)</f>
        <v>635</v>
      </c>
      <c r="Y92" s="1">
        <f ca="1">IFERROR(__xludf.DUMMYFUNCTION("""COMPUTED_VALUE"""),0.723)</f>
        <v>0.72299999999999998</v>
      </c>
      <c r="Z92" s="1">
        <f ca="1">IFERROR(__xludf.DUMMYFUNCTION("""COMPUTED_VALUE"""),291)</f>
        <v>291</v>
      </c>
      <c r="AA92" s="1">
        <f ca="1">IFERROR(__xludf.DUMMYFUNCTION("""COMPUTED_VALUE"""),1065)</f>
        <v>1065</v>
      </c>
      <c r="AB92" s="1">
        <f ca="1">IFERROR(__xludf.DUMMYFUNCTION("""COMPUTED_VALUE"""),413)</f>
        <v>413</v>
      </c>
      <c r="AC92" s="1">
        <f ca="1">IFERROR(__xludf.DUMMYFUNCTION("""COMPUTED_VALUE"""),199)</f>
        <v>199</v>
      </c>
      <c r="AD92" s="1">
        <f ca="1">IFERROR(__xludf.DUMMYFUNCTION("""COMPUTED_VALUE"""),93)</f>
        <v>93</v>
      </c>
      <c r="AE92" s="1">
        <f ca="1">IFERROR(__xludf.DUMMYFUNCTION("""COMPUTED_VALUE"""),410)</f>
        <v>410</v>
      </c>
      <c r="AF92" s="1">
        <f ca="1">IFERROR(__xludf.DUMMYFUNCTION("""COMPUTED_VALUE"""),625)</f>
        <v>625</v>
      </c>
    </row>
    <row r="93" spans="1:32" x14ac:dyDescent="0.25">
      <c r="A93" s="1" t="str">
        <f ca="1">IFERROR(__xludf.DUMMYFUNCTION("""COMPUTED_VALUE"""),"East Tennessee State")</f>
        <v>East Tennessee State</v>
      </c>
      <c r="B93" s="1">
        <f ca="1">IFERROR(__xludf.DUMMYFUNCTION("""COMPUTED_VALUE"""),31)</f>
        <v>31</v>
      </c>
      <c r="C93" s="1">
        <f ca="1">IFERROR(__xludf.DUMMYFUNCTION("""COMPUTED_VALUE"""),27)</f>
        <v>27</v>
      </c>
      <c r="D93" s="1">
        <f ca="1">IFERROR(__xludf.DUMMYFUNCTION("""COMPUTED_VALUE"""),4)</f>
        <v>4</v>
      </c>
      <c r="E93" s="1">
        <f ca="1">IFERROR(__xludf.DUMMYFUNCTION("""COMPUTED_VALUE"""),0.871)</f>
        <v>0.871</v>
      </c>
      <c r="F93" s="1">
        <f ca="1">IFERROR(__xludf.DUMMYFUNCTION("""COMPUTED_VALUE"""),7.08)</f>
        <v>7.08</v>
      </c>
      <c r="G93" s="1">
        <f ca="1">IFERROR(__xludf.DUMMYFUNCTION("""COMPUTED_VALUE"""),-1.64)</f>
        <v>-1.64</v>
      </c>
      <c r="H93" s="1">
        <f ca="1">IFERROR(__xludf.DUMMYFUNCTION("""COMPUTED_VALUE"""),16)</f>
        <v>16</v>
      </c>
      <c r="I93" s="1">
        <f ca="1">IFERROR(__xludf.DUMMYFUNCTION("""COMPUTED_VALUE"""),2)</f>
        <v>2</v>
      </c>
      <c r="J93" s="1">
        <f ca="1">IFERROR(__xludf.DUMMYFUNCTION("""COMPUTED_VALUE"""),16)</f>
        <v>16</v>
      </c>
      <c r="K93" s="1">
        <f ca="1">IFERROR(__xludf.DUMMYFUNCTION("""COMPUTED_VALUE"""),1)</f>
        <v>1</v>
      </c>
      <c r="L93" s="1">
        <f ca="1">IFERROR(__xludf.DUMMYFUNCTION("""COMPUTED_VALUE"""),11)</f>
        <v>11</v>
      </c>
      <c r="M93" s="1">
        <f ca="1">IFERROR(__xludf.DUMMYFUNCTION("""COMPUTED_VALUE"""),3)</f>
        <v>3</v>
      </c>
      <c r="N93" s="1">
        <f ca="1">IFERROR(__xludf.DUMMYFUNCTION("""COMPUTED_VALUE"""),2354)</f>
        <v>2354</v>
      </c>
      <c r="O93" s="1">
        <f ca="1">IFERROR(__xludf.DUMMYFUNCTION("""COMPUTED_VALUE"""),1956)</f>
        <v>1956</v>
      </c>
      <c r="P93" s="1">
        <f ca="1">IFERROR(__xludf.DUMMYFUNCTION("""COMPUTED_VALUE"""),1240)</f>
        <v>1240</v>
      </c>
      <c r="Q93" s="1">
        <f ca="1">IFERROR(__xludf.DUMMYFUNCTION("""COMPUTED_VALUE"""),836)</f>
        <v>836</v>
      </c>
      <c r="R93" s="1">
        <f ca="1">IFERROR(__xludf.DUMMYFUNCTION("""COMPUTED_VALUE"""),1780)</f>
        <v>1780</v>
      </c>
      <c r="S93" s="1">
        <f ca="1">IFERROR(__xludf.DUMMYFUNCTION("""COMPUTED_VALUE"""),0.47)</f>
        <v>0.47</v>
      </c>
      <c r="T93" s="1">
        <f ca="1">IFERROR(__xludf.DUMMYFUNCTION("""COMPUTED_VALUE"""),237)</f>
        <v>237</v>
      </c>
      <c r="U93" s="1">
        <f ca="1">IFERROR(__xludf.DUMMYFUNCTION("""COMPUTED_VALUE"""),694)</f>
        <v>694</v>
      </c>
      <c r="V93" s="1">
        <f ca="1">IFERROR(__xludf.DUMMYFUNCTION("""COMPUTED_VALUE"""),0.341)</f>
        <v>0.34100000000000003</v>
      </c>
      <c r="W93" s="1">
        <f ca="1">IFERROR(__xludf.DUMMYFUNCTION("""COMPUTED_VALUE"""),445)</f>
        <v>445</v>
      </c>
      <c r="X93" s="1">
        <f ca="1">IFERROR(__xludf.DUMMYFUNCTION("""COMPUTED_VALUE"""),647)</f>
        <v>647</v>
      </c>
      <c r="Y93" s="1">
        <f ca="1">IFERROR(__xludf.DUMMYFUNCTION("""COMPUTED_VALUE"""),0.688)</f>
        <v>0.68799999999999994</v>
      </c>
      <c r="Z93" s="1">
        <f ca="1">IFERROR(__xludf.DUMMYFUNCTION("""COMPUTED_VALUE"""),349)</f>
        <v>349</v>
      </c>
      <c r="AA93" s="1">
        <f ca="1">IFERROR(__xludf.DUMMYFUNCTION("""COMPUTED_VALUE"""),1107)</f>
        <v>1107</v>
      </c>
      <c r="AB93" s="1">
        <f ca="1">IFERROR(__xludf.DUMMYFUNCTION("""COMPUTED_VALUE"""),432)</f>
        <v>432</v>
      </c>
      <c r="AC93" s="1">
        <f ca="1">IFERROR(__xludf.DUMMYFUNCTION("""COMPUTED_VALUE"""),262)</f>
        <v>262</v>
      </c>
      <c r="AD93" s="1">
        <f ca="1">IFERROR(__xludf.DUMMYFUNCTION("""COMPUTED_VALUE"""),113)</f>
        <v>113</v>
      </c>
      <c r="AE93" s="1">
        <f ca="1">IFERROR(__xludf.DUMMYFUNCTION("""COMPUTED_VALUE"""),371)</f>
        <v>371</v>
      </c>
      <c r="AF93" s="1">
        <f ca="1">IFERROR(__xludf.DUMMYFUNCTION("""COMPUTED_VALUE"""),537)</f>
        <v>537</v>
      </c>
    </row>
    <row r="94" spans="1:32" x14ac:dyDescent="0.25">
      <c r="A94" s="1" t="str">
        <f ca="1">IFERROR(__xludf.DUMMYFUNCTION("""COMPUTED_VALUE"""),"Eastern Illinois")</f>
        <v>Eastern Illinois</v>
      </c>
      <c r="B94" s="1">
        <f ca="1">IFERROR(__xludf.DUMMYFUNCTION("""COMPUTED_VALUE"""),30)</f>
        <v>30</v>
      </c>
      <c r="C94" s="1">
        <f ca="1">IFERROR(__xludf.DUMMYFUNCTION("""COMPUTED_VALUE"""),16)</f>
        <v>16</v>
      </c>
      <c r="D94" s="1">
        <f ca="1">IFERROR(__xludf.DUMMYFUNCTION("""COMPUTED_VALUE"""),14)</f>
        <v>14</v>
      </c>
      <c r="E94" s="1">
        <f ca="1">IFERROR(__xludf.DUMMYFUNCTION("""COMPUTED_VALUE"""),0.533)</f>
        <v>0.53300000000000003</v>
      </c>
      <c r="F94" s="1">
        <f ca="1">IFERROR(__xludf.DUMMYFUNCTION("""COMPUTED_VALUE"""),-4.95)</f>
        <v>-4.95</v>
      </c>
      <c r="G94" s="1">
        <f ca="1">IFERROR(__xludf.DUMMYFUNCTION("""COMPUTED_VALUE"""),-7.63)</f>
        <v>-7.63</v>
      </c>
      <c r="H94" s="1">
        <f ca="1">IFERROR(__xludf.DUMMYFUNCTION("""COMPUTED_VALUE"""),9)</f>
        <v>9</v>
      </c>
      <c r="I94" s="1">
        <f ca="1">IFERROR(__xludf.DUMMYFUNCTION("""COMPUTED_VALUE"""),9)</f>
        <v>9</v>
      </c>
      <c r="J94" s="1">
        <f ca="1">IFERROR(__xludf.DUMMYFUNCTION("""COMPUTED_VALUE"""),10)</f>
        <v>10</v>
      </c>
      <c r="K94" s="1">
        <f ca="1">IFERROR(__xludf.DUMMYFUNCTION("""COMPUTED_VALUE"""),2)</f>
        <v>2</v>
      </c>
      <c r="L94" s="1">
        <f ca="1">IFERROR(__xludf.DUMMYFUNCTION("""COMPUTED_VALUE"""),5)</f>
        <v>5</v>
      </c>
      <c r="M94" s="1">
        <f ca="1">IFERROR(__xludf.DUMMYFUNCTION("""COMPUTED_VALUE"""),11)</f>
        <v>11</v>
      </c>
      <c r="N94" s="1">
        <f ca="1">IFERROR(__xludf.DUMMYFUNCTION("""COMPUTED_VALUE"""),2245)</f>
        <v>2245</v>
      </c>
      <c r="O94" s="1">
        <f ca="1">IFERROR(__xludf.DUMMYFUNCTION("""COMPUTED_VALUE"""),2077)</f>
        <v>2077</v>
      </c>
      <c r="P94" s="1">
        <f ca="1">IFERROR(__xludf.DUMMYFUNCTION("""COMPUTED_VALUE"""),1210)</f>
        <v>1210</v>
      </c>
      <c r="Q94" s="1">
        <f ca="1">IFERROR(__xludf.DUMMYFUNCTION("""COMPUTED_VALUE"""),840)</f>
        <v>840</v>
      </c>
      <c r="R94" s="1">
        <f ca="1">IFERROR(__xludf.DUMMYFUNCTION("""COMPUTED_VALUE"""),1828)</f>
        <v>1828</v>
      </c>
      <c r="S94" s="1">
        <f ca="1">IFERROR(__xludf.DUMMYFUNCTION("""COMPUTED_VALUE"""),0.46)</f>
        <v>0.46</v>
      </c>
      <c r="T94" s="1">
        <f ca="1">IFERROR(__xludf.DUMMYFUNCTION("""COMPUTED_VALUE"""),203)</f>
        <v>203</v>
      </c>
      <c r="U94" s="1">
        <f ca="1">IFERROR(__xludf.DUMMYFUNCTION("""COMPUTED_VALUE"""),591)</f>
        <v>591</v>
      </c>
      <c r="V94" s="1">
        <f ca="1">IFERROR(__xludf.DUMMYFUNCTION("""COMPUTED_VALUE"""),0.343)</f>
        <v>0.34300000000000003</v>
      </c>
      <c r="W94" s="1">
        <f ca="1">IFERROR(__xludf.DUMMYFUNCTION("""COMPUTED_VALUE"""),362)</f>
        <v>362</v>
      </c>
      <c r="X94" s="1">
        <f ca="1">IFERROR(__xludf.DUMMYFUNCTION("""COMPUTED_VALUE"""),546)</f>
        <v>546</v>
      </c>
      <c r="Y94" s="1">
        <f ca="1">IFERROR(__xludf.DUMMYFUNCTION("""COMPUTED_VALUE"""),0.663)</f>
        <v>0.66300000000000003</v>
      </c>
      <c r="Z94" s="1">
        <f ca="1">IFERROR(__xludf.DUMMYFUNCTION("""COMPUTED_VALUE"""),325)</f>
        <v>325</v>
      </c>
      <c r="AA94" s="1">
        <f ca="1">IFERROR(__xludf.DUMMYFUNCTION("""COMPUTED_VALUE"""),1102)</f>
        <v>1102</v>
      </c>
      <c r="AB94" s="1">
        <f ca="1">IFERROR(__xludf.DUMMYFUNCTION("""COMPUTED_VALUE"""),420)</f>
        <v>420</v>
      </c>
      <c r="AC94" s="1">
        <f ca="1">IFERROR(__xludf.DUMMYFUNCTION("""COMPUTED_VALUE"""),230)</f>
        <v>230</v>
      </c>
      <c r="AD94" s="1">
        <f ca="1">IFERROR(__xludf.DUMMYFUNCTION("""COMPUTED_VALUE"""),131)</f>
        <v>131</v>
      </c>
      <c r="AE94" s="1">
        <f ca="1">IFERROR(__xludf.DUMMYFUNCTION("""COMPUTED_VALUE"""),377)</f>
        <v>377</v>
      </c>
      <c r="AF94" s="1">
        <f ca="1">IFERROR(__xludf.DUMMYFUNCTION("""COMPUTED_VALUE"""),491)</f>
        <v>491</v>
      </c>
    </row>
    <row r="95" spans="1:32" x14ac:dyDescent="0.25">
      <c r="A95" s="1" t="str">
        <f ca="1">IFERROR(__xludf.DUMMYFUNCTION("""COMPUTED_VALUE"""),"Eastern Kentucky")</f>
        <v>Eastern Kentucky</v>
      </c>
      <c r="B95" s="1">
        <f ca="1">IFERROR(__xludf.DUMMYFUNCTION("""COMPUTED_VALUE"""),31)</f>
        <v>31</v>
      </c>
      <c r="C95" s="1">
        <f ca="1">IFERROR(__xludf.DUMMYFUNCTION("""COMPUTED_VALUE"""),15)</f>
        <v>15</v>
      </c>
      <c r="D95" s="1">
        <f ca="1">IFERROR(__xludf.DUMMYFUNCTION("""COMPUTED_VALUE"""),16)</f>
        <v>16</v>
      </c>
      <c r="E95" s="1">
        <f ca="1">IFERROR(__xludf.DUMMYFUNCTION("""COMPUTED_VALUE"""),0.484)</f>
        <v>0.48399999999999999</v>
      </c>
      <c r="F95" s="1">
        <f ca="1">IFERROR(__xludf.DUMMYFUNCTION("""COMPUTED_VALUE"""),-9.62)</f>
        <v>-9.6199999999999992</v>
      </c>
      <c r="G95" s="1">
        <f ca="1">IFERROR(__xludf.DUMMYFUNCTION("""COMPUTED_VALUE"""),-4.58)</f>
        <v>-4.58</v>
      </c>
      <c r="H95" s="1">
        <f ca="1">IFERROR(__xludf.DUMMYFUNCTION("""COMPUTED_VALUE"""),12)</f>
        <v>12</v>
      </c>
      <c r="I95" s="1">
        <f ca="1">IFERROR(__xludf.DUMMYFUNCTION("""COMPUTED_VALUE"""),6)</f>
        <v>6</v>
      </c>
      <c r="J95" s="1">
        <f ca="1">IFERROR(__xludf.DUMMYFUNCTION("""COMPUTED_VALUE"""),10)</f>
        <v>10</v>
      </c>
      <c r="K95" s="1">
        <f ca="1">IFERROR(__xludf.DUMMYFUNCTION("""COMPUTED_VALUE"""),4)</f>
        <v>4</v>
      </c>
      <c r="L95" s="1">
        <f ca="1">IFERROR(__xludf.DUMMYFUNCTION("""COMPUTED_VALUE"""),5)</f>
        <v>5</v>
      </c>
      <c r="M95" s="1">
        <f ca="1">IFERROR(__xludf.DUMMYFUNCTION("""COMPUTED_VALUE"""),10)</f>
        <v>10</v>
      </c>
      <c r="N95" s="1">
        <f ca="1">IFERROR(__xludf.DUMMYFUNCTION("""COMPUTED_VALUE"""),2356)</f>
        <v>2356</v>
      </c>
      <c r="O95" s="1">
        <f ca="1">IFERROR(__xludf.DUMMYFUNCTION("""COMPUTED_VALUE"""),2380)</f>
        <v>2380</v>
      </c>
      <c r="P95" s="1">
        <f ca="1">IFERROR(__xludf.DUMMYFUNCTION("""COMPUTED_VALUE"""),1240)</f>
        <v>1240</v>
      </c>
      <c r="Q95" s="1">
        <f ca="1">IFERROR(__xludf.DUMMYFUNCTION("""COMPUTED_VALUE"""),820)</f>
        <v>820</v>
      </c>
      <c r="R95" s="1">
        <f ca="1">IFERROR(__xludf.DUMMYFUNCTION("""COMPUTED_VALUE"""),1961)</f>
        <v>1961</v>
      </c>
      <c r="S95" s="1">
        <f ca="1">IFERROR(__xludf.DUMMYFUNCTION("""COMPUTED_VALUE"""),0.418)</f>
        <v>0.41799999999999998</v>
      </c>
      <c r="T95" s="1">
        <f ca="1">IFERROR(__xludf.DUMMYFUNCTION("""COMPUTED_VALUE"""),256)</f>
        <v>256</v>
      </c>
      <c r="U95" s="1">
        <f ca="1">IFERROR(__xludf.DUMMYFUNCTION("""COMPUTED_VALUE"""),790)</f>
        <v>790</v>
      </c>
      <c r="V95" s="1">
        <f ca="1">IFERROR(__xludf.DUMMYFUNCTION("""COMPUTED_VALUE"""),0.324)</f>
        <v>0.32400000000000001</v>
      </c>
      <c r="W95" s="1">
        <f ca="1">IFERROR(__xludf.DUMMYFUNCTION("""COMPUTED_VALUE"""),460)</f>
        <v>460</v>
      </c>
      <c r="X95" s="1">
        <f ca="1">IFERROR(__xludf.DUMMYFUNCTION("""COMPUTED_VALUE"""),628)</f>
        <v>628</v>
      </c>
      <c r="Y95" s="1">
        <f ca="1">IFERROR(__xludf.DUMMYFUNCTION("""COMPUTED_VALUE"""),0.732)</f>
        <v>0.73199999999999998</v>
      </c>
      <c r="Z95" s="1">
        <f ca="1">IFERROR(__xludf.DUMMYFUNCTION("""COMPUTED_VALUE"""),310)</f>
        <v>310</v>
      </c>
      <c r="AA95" s="1">
        <f ca="1">IFERROR(__xludf.DUMMYFUNCTION("""COMPUTED_VALUE"""),1034)</f>
        <v>1034</v>
      </c>
      <c r="AB95" s="1">
        <f ca="1">IFERROR(__xludf.DUMMYFUNCTION("""COMPUTED_VALUE"""),382)</f>
        <v>382</v>
      </c>
      <c r="AC95" s="1">
        <f ca="1">IFERROR(__xludf.DUMMYFUNCTION("""COMPUTED_VALUE"""),284)</f>
        <v>284</v>
      </c>
      <c r="AD95" s="1">
        <f ca="1">IFERROR(__xludf.DUMMYFUNCTION("""COMPUTED_VALUE"""),66)</f>
        <v>66</v>
      </c>
      <c r="AE95" s="1">
        <f ca="1">IFERROR(__xludf.DUMMYFUNCTION("""COMPUTED_VALUE"""),436)</f>
        <v>436</v>
      </c>
      <c r="AF95" s="1">
        <f ca="1">IFERROR(__xludf.DUMMYFUNCTION("""COMPUTED_VALUE"""),572)</f>
        <v>572</v>
      </c>
    </row>
    <row r="96" spans="1:32" x14ac:dyDescent="0.25">
      <c r="A96" s="1" t="str">
        <f ca="1">IFERROR(__xludf.DUMMYFUNCTION("""COMPUTED_VALUE"""),"Eastern Michigan")</f>
        <v>Eastern Michigan</v>
      </c>
      <c r="B96" s="1">
        <f ca="1">IFERROR(__xludf.DUMMYFUNCTION("""COMPUTED_VALUE"""),29)</f>
        <v>29</v>
      </c>
      <c r="C96" s="1">
        <f ca="1">IFERROR(__xludf.DUMMYFUNCTION("""COMPUTED_VALUE"""),16)</f>
        <v>16</v>
      </c>
      <c r="D96" s="1">
        <f ca="1">IFERROR(__xludf.DUMMYFUNCTION("""COMPUTED_VALUE"""),13)</f>
        <v>13</v>
      </c>
      <c r="E96" s="1">
        <f ca="1">IFERROR(__xludf.DUMMYFUNCTION("""COMPUTED_VALUE"""),0.552)</f>
        <v>0.55200000000000005</v>
      </c>
      <c r="F96" s="1">
        <f ca="1">IFERROR(__xludf.DUMMYFUNCTION("""COMPUTED_VALUE"""),-1.57)</f>
        <v>-1.57</v>
      </c>
      <c r="G96" s="1">
        <f ca="1">IFERROR(__xludf.DUMMYFUNCTION("""COMPUTED_VALUE"""),1.07)</f>
        <v>1.07</v>
      </c>
      <c r="H96" s="1">
        <f ca="1">IFERROR(__xludf.DUMMYFUNCTION("""COMPUTED_VALUE"""),6)</f>
        <v>6</v>
      </c>
      <c r="I96" s="1">
        <f ca="1">IFERROR(__xludf.DUMMYFUNCTION("""COMPUTED_VALUE"""),10)</f>
        <v>10</v>
      </c>
      <c r="J96" s="1">
        <f ca="1">IFERROR(__xludf.DUMMYFUNCTION("""COMPUTED_VALUE"""),11)</f>
        <v>11</v>
      </c>
      <c r="K96" s="1">
        <f ca="1">IFERROR(__xludf.DUMMYFUNCTION("""COMPUTED_VALUE"""),4)</f>
        <v>4</v>
      </c>
      <c r="L96" s="1">
        <f ca="1">IFERROR(__xludf.DUMMYFUNCTION("""COMPUTED_VALUE"""),3)</f>
        <v>3</v>
      </c>
      <c r="M96" s="1">
        <f ca="1">IFERROR(__xludf.DUMMYFUNCTION("""COMPUTED_VALUE"""),9)</f>
        <v>9</v>
      </c>
      <c r="N96" s="1">
        <f ca="1">IFERROR(__xludf.DUMMYFUNCTION("""COMPUTED_VALUE"""),1891)</f>
        <v>1891</v>
      </c>
      <c r="O96" s="1">
        <f ca="1">IFERROR(__xludf.DUMMYFUNCTION("""COMPUTED_VALUE"""),1815)</f>
        <v>1815</v>
      </c>
      <c r="P96" s="1">
        <f ca="1">IFERROR(__xludf.DUMMYFUNCTION("""COMPUTED_VALUE"""),1160)</f>
        <v>1160</v>
      </c>
      <c r="Q96" s="1">
        <f ca="1">IFERROR(__xludf.DUMMYFUNCTION("""COMPUTED_VALUE"""),656)</f>
        <v>656</v>
      </c>
      <c r="R96" s="1">
        <f ca="1">IFERROR(__xludf.DUMMYFUNCTION("""COMPUTED_VALUE"""),1525)</f>
        <v>1525</v>
      </c>
      <c r="S96" s="1">
        <f ca="1">IFERROR(__xludf.DUMMYFUNCTION("""COMPUTED_VALUE"""),0.43)</f>
        <v>0.43</v>
      </c>
      <c r="T96" s="1">
        <f ca="1">IFERROR(__xludf.DUMMYFUNCTION("""COMPUTED_VALUE"""),162)</f>
        <v>162</v>
      </c>
      <c r="U96" s="1">
        <f ca="1">IFERROR(__xludf.DUMMYFUNCTION("""COMPUTED_VALUE"""),569)</f>
        <v>569</v>
      </c>
      <c r="V96" s="1">
        <f ca="1">IFERROR(__xludf.DUMMYFUNCTION("""COMPUTED_VALUE"""),0.285)</f>
        <v>0.28499999999999998</v>
      </c>
      <c r="W96" s="1">
        <f ca="1">IFERROR(__xludf.DUMMYFUNCTION("""COMPUTED_VALUE"""),417)</f>
        <v>417</v>
      </c>
      <c r="X96" s="1">
        <f ca="1">IFERROR(__xludf.DUMMYFUNCTION("""COMPUTED_VALUE"""),663)</f>
        <v>663</v>
      </c>
      <c r="Y96" s="1">
        <f ca="1">IFERROR(__xludf.DUMMYFUNCTION("""COMPUTED_VALUE"""),0.629)</f>
        <v>0.629</v>
      </c>
      <c r="Z96" s="1">
        <f ca="1">IFERROR(__xludf.DUMMYFUNCTION("""COMPUTED_VALUE"""),285)</f>
        <v>285</v>
      </c>
      <c r="AA96" s="1">
        <f ca="1">IFERROR(__xludf.DUMMYFUNCTION("""COMPUTED_VALUE"""),993)</f>
        <v>993</v>
      </c>
      <c r="AB96" s="1">
        <f ca="1">IFERROR(__xludf.DUMMYFUNCTION("""COMPUTED_VALUE"""),283)</f>
        <v>283</v>
      </c>
      <c r="AC96" s="1">
        <f ca="1">IFERROR(__xludf.DUMMYFUNCTION("""COMPUTED_VALUE"""),294)</f>
        <v>294</v>
      </c>
      <c r="AD96" s="1">
        <f ca="1">IFERROR(__xludf.DUMMYFUNCTION("""COMPUTED_VALUE"""),97)</f>
        <v>97</v>
      </c>
      <c r="AE96" s="1">
        <f ca="1">IFERROR(__xludf.DUMMYFUNCTION("""COMPUTED_VALUE"""),425)</f>
        <v>425</v>
      </c>
      <c r="AF96" s="1">
        <f ca="1">IFERROR(__xludf.DUMMYFUNCTION("""COMPUTED_VALUE"""),478)</f>
        <v>478</v>
      </c>
    </row>
    <row r="97" spans="1:32" x14ac:dyDescent="0.25">
      <c r="A97" s="1" t="str">
        <f ca="1">IFERROR(__xludf.DUMMYFUNCTION("""COMPUTED_VALUE"""),"Eastern Washington")</f>
        <v>Eastern Washington</v>
      </c>
      <c r="B97" s="1">
        <f ca="1">IFERROR(__xludf.DUMMYFUNCTION("""COMPUTED_VALUE"""),29)</f>
        <v>29</v>
      </c>
      <c r="C97" s="1">
        <f ca="1">IFERROR(__xludf.DUMMYFUNCTION("""COMPUTED_VALUE"""),21)</f>
        <v>21</v>
      </c>
      <c r="D97" s="1">
        <f ca="1">IFERROR(__xludf.DUMMYFUNCTION("""COMPUTED_VALUE"""),8)</f>
        <v>8</v>
      </c>
      <c r="E97" s="1">
        <f ca="1">IFERROR(__xludf.DUMMYFUNCTION("""COMPUTED_VALUE"""),0.724)</f>
        <v>0.72399999999999998</v>
      </c>
      <c r="F97" s="1">
        <f ca="1">IFERROR(__xludf.DUMMYFUNCTION("""COMPUTED_VALUE"""),1.74)</f>
        <v>1.74</v>
      </c>
      <c r="G97" s="1">
        <f ca="1">IFERROR(__xludf.DUMMYFUNCTION("""COMPUTED_VALUE"""),-1.18)</f>
        <v>-1.18</v>
      </c>
      <c r="H97" s="1">
        <f ca="1">IFERROR(__xludf.DUMMYFUNCTION("""COMPUTED_VALUE"""),14)</f>
        <v>14</v>
      </c>
      <c r="I97" s="1">
        <f ca="1">IFERROR(__xludf.DUMMYFUNCTION("""COMPUTED_VALUE"""),4)</f>
        <v>4</v>
      </c>
      <c r="J97" s="1">
        <f ca="1">IFERROR(__xludf.DUMMYFUNCTION("""COMPUTED_VALUE"""),11)</f>
        <v>11</v>
      </c>
      <c r="K97" s="1">
        <f ca="1">IFERROR(__xludf.DUMMYFUNCTION("""COMPUTED_VALUE"""),2)</f>
        <v>2</v>
      </c>
      <c r="L97" s="1">
        <f ca="1">IFERROR(__xludf.DUMMYFUNCTION("""COMPUTED_VALUE"""),10)</f>
        <v>10</v>
      </c>
      <c r="M97" s="1">
        <f ca="1">IFERROR(__xludf.DUMMYFUNCTION("""COMPUTED_VALUE"""),6)</f>
        <v>6</v>
      </c>
      <c r="N97" s="1">
        <f ca="1">IFERROR(__xludf.DUMMYFUNCTION("""COMPUTED_VALUE"""),2331)</f>
        <v>2331</v>
      </c>
      <c r="O97" s="1">
        <f ca="1">IFERROR(__xludf.DUMMYFUNCTION("""COMPUTED_VALUE"""),2113)</f>
        <v>2113</v>
      </c>
      <c r="P97" s="1">
        <f ca="1">IFERROR(__xludf.DUMMYFUNCTION("""COMPUTED_VALUE"""),1170)</f>
        <v>1170</v>
      </c>
      <c r="Q97" s="1">
        <f ca="1">IFERROR(__xludf.DUMMYFUNCTION("""COMPUTED_VALUE"""),844)</f>
        <v>844</v>
      </c>
      <c r="R97" s="1">
        <f ca="1">IFERROR(__xludf.DUMMYFUNCTION("""COMPUTED_VALUE"""),1850)</f>
        <v>1850</v>
      </c>
      <c r="S97" s="1">
        <f ca="1">IFERROR(__xludf.DUMMYFUNCTION("""COMPUTED_VALUE"""),0.456)</f>
        <v>0.45600000000000002</v>
      </c>
      <c r="T97" s="1">
        <f ca="1">IFERROR(__xludf.DUMMYFUNCTION("""COMPUTED_VALUE"""),265)</f>
        <v>265</v>
      </c>
      <c r="U97" s="1">
        <f ca="1">IFERROR(__xludf.DUMMYFUNCTION("""COMPUTED_VALUE"""),767)</f>
        <v>767</v>
      </c>
      <c r="V97" s="1">
        <f ca="1">IFERROR(__xludf.DUMMYFUNCTION("""COMPUTED_VALUE"""),0.346)</f>
        <v>0.34599999999999997</v>
      </c>
      <c r="W97" s="1">
        <f ca="1">IFERROR(__xludf.DUMMYFUNCTION("""COMPUTED_VALUE"""),378)</f>
        <v>378</v>
      </c>
      <c r="X97" s="1">
        <f ca="1">IFERROR(__xludf.DUMMYFUNCTION("""COMPUTED_VALUE"""),545)</f>
        <v>545</v>
      </c>
      <c r="Y97" s="1">
        <f ca="1">IFERROR(__xludf.DUMMYFUNCTION("""COMPUTED_VALUE"""),0.694)</f>
        <v>0.69399999999999995</v>
      </c>
      <c r="Z97" s="1">
        <f ca="1">IFERROR(__xludf.DUMMYFUNCTION("""COMPUTED_VALUE"""),306)</f>
        <v>306</v>
      </c>
      <c r="AA97" s="1">
        <f ca="1">IFERROR(__xludf.DUMMYFUNCTION("""COMPUTED_VALUE"""),1110)</f>
        <v>1110</v>
      </c>
      <c r="AB97" s="1">
        <f ca="1">IFERROR(__xludf.DUMMYFUNCTION("""COMPUTED_VALUE"""),498)</f>
        <v>498</v>
      </c>
      <c r="AC97" s="1">
        <f ca="1">IFERROR(__xludf.DUMMYFUNCTION("""COMPUTED_VALUE"""),206)</f>
        <v>206</v>
      </c>
      <c r="AD97" s="1">
        <f ca="1">IFERROR(__xludf.DUMMYFUNCTION("""COMPUTED_VALUE"""),108)</f>
        <v>108</v>
      </c>
      <c r="AE97" s="1">
        <f ca="1">IFERROR(__xludf.DUMMYFUNCTION("""COMPUTED_VALUE"""),378)</f>
        <v>378</v>
      </c>
      <c r="AF97" s="1">
        <f ca="1">IFERROR(__xludf.DUMMYFUNCTION("""COMPUTED_VALUE"""),549)</f>
        <v>549</v>
      </c>
    </row>
    <row r="98" spans="1:32" x14ac:dyDescent="0.25">
      <c r="A98" s="1" t="str">
        <f ca="1">IFERROR(__xludf.DUMMYFUNCTION("""COMPUTED_VALUE"""),"Elon")</f>
        <v>Elon</v>
      </c>
      <c r="B98" s="1">
        <f ca="1">IFERROR(__xludf.DUMMYFUNCTION("""COMPUTED_VALUE"""),31)</f>
        <v>31</v>
      </c>
      <c r="C98" s="1">
        <f ca="1">IFERROR(__xludf.DUMMYFUNCTION("""COMPUTED_VALUE"""),11)</f>
        <v>11</v>
      </c>
      <c r="D98" s="1">
        <f ca="1">IFERROR(__xludf.DUMMYFUNCTION("""COMPUTED_VALUE"""),20)</f>
        <v>20</v>
      </c>
      <c r="E98" s="1">
        <f ca="1">IFERROR(__xludf.DUMMYFUNCTION("""COMPUTED_VALUE"""),0.355)</f>
        <v>0.35499999999999998</v>
      </c>
      <c r="F98" s="1">
        <f ca="1">IFERROR(__xludf.DUMMYFUNCTION("""COMPUTED_VALUE"""),-8.12)</f>
        <v>-8.1199999999999992</v>
      </c>
      <c r="G98" s="1">
        <f ca="1">IFERROR(__xludf.DUMMYFUNCTION("""COMPUTED_VALUE"""),-1.76)</f>
        <v>-1.76</v>
      </c>
      <c r="H98" s="1">
        <f ca="1">IFERROR(__xludf.DUMMYFUNCTION("""COMPUTED_VALUE"""),7)</f>
        <v>7</v>
      </c>
      <c r="I98" s="1">
        <f ca="1">IFERROR(__xludf.DUMMYFUNCTION("""COMPUTED_VALUE"""),11)</f>
        <v>11</v>
      </c>
      <c r="J98" s="1">
        <f ca="1">IFERROR(__xludf.DUMMYFUNCTION("""COMPUTED_VALUE"""),8)</f>
        <v>8</v>
      </c>
      <c r="K98" s="1">
        <f ca="1">IFERROR(__xludf.DUMMYFUNCTION("""COMPUTED_VALUE"""),8)</f>
        <v>8</v>
      </c>
      <c r="L98" s="1">
        <f ca="1">IFERROR(__xludf.DUMMYFUNCTION("""COMPUTED_VALUE"""),3)</f>
        <v>3</v>
      </c>
      <c r="M98" s="1">
        <f ca="1">IFERROR(__xludf.DUMMYFUNCTION("""COMPUTED_VALUE"""),12)</f>
        <v>12</v>
      </c>
      <c r="N98" s="1">
        <f ca="1">IFERROR(__xludf.DUMMYFUNCTION("""COMPUTED_VALUE"""),2146)</f>
        <v>2146</v>
      </c>
      <c r="O98" s="1">
        <f ca="1">IFERROR(__xludf.DUMMYFUNCTION("""COMPUTED_VALUE"""),2246)</f>
        <v>2246</v>
      </c>
      <c r="P98" s="1">
        <f ca="1">IFERROR(__xludf.DUMMYFUNCTION("""COMPUTED_VALUE"""),1245)</f>
        <v>1245</v>
      </c>
      <c r="Q98" s="1">
        <f ca="1">IFERROR(__xludf.DUMMYFUNCTION("""COMPUTED_VALUE"""),733)</f>
        <v>733</v>
      </c>
      <c r="R98" s="1">
        <f ca="1">IFERROR(__xludf.DUMMYFUNCTION("""COMPUTED_VALUE"""),1758)</f>
        <v>1758</v>
      </c>
      <c r="S98" s="1">
        <f ca="1">IFERROR(__xludf.DUMMYFUNCTION("""COMPUTED_VALUE"""),0.417)</f>
        <v>0.41699999999999998</v>
      </c>
      <c r="T98" s="1">
        <f ca="1">IFERROR(__xludf.DUMMYFUNCTION("""COMPUTED_VALUE"""),316)</f>
        <v>316</v>
      </c>
      <c r="U98" s="1">
        <f ca="1">IFERROR(__xludf.DUMMYFUNCTION("""COMPUTED_VALUE"""),864)</f>
        <v>864</v>
      </c>
      <c r="V98" s="1">
        <f ca="1">IFERROR(__xludf.DUMMYFUNCTION("""COMPUTED_VALUE"""),0.366)</f>
        <v>0.36599999999999999</v>
      </c>
      <c r="W98" s="1">
        <f ca="1">IFERROR(__xludf.DUMMYFUNCTION("""COMPUTED_VALUE"""),364)</f>
        <v>364</v>
      </c>
      <c r="X98" s="1">
        <f ca="1">IFERROR(__xludf.DUMMYFUNCTION("""COMPUTED_VALUE"""),491)</f>
        <v>491</v>
      </c>
      <c r="Y98" s="1">
        <f ca="1">IFERROR(__xludf.DUMMYFUNCTION("""COMPUTED_VALUE"""),0.741)</f>
        <v>0.74099999999999999</v>
      </c>
      <c r="Z98" s="1">
        <f ca="1">IFERROR(__xludf.DUMMYFUNCTION("""COMPUTED_VALUE"""),252)</f>
        <v>252</v>
      </c>
      <c r="AA98" s="1">
        <f ca="1">IFERROR(__xludf.DUMMYFUNCTION("""COMPUTED_VALUE"""),1011)</f>
        <v>1011</v>
      </c>
      <c r="AB98" s="1">
        <f ca="1">IFERROR(__xludf.DUMMYFUNCTION("""COMPUTED_VALUE"""),415)</f>
        <v>415</v>
      </c>
      <c r="AC98" s="1">
        <f ca="1">IFERROR(__xludf.DUMMYFUNCTION("""COMPUTED_VALUE"""),144)</f>
        <v>144</v>
      </c>
      <c r="AD98" s="1">
        <f ca="1">IFERROR(__xludf.DUMMYFUNCTION("""COMPUTED_VALUE"""),58)</f>
        <v>58</v>
      </c>
      <c r="AE98" s="1">
        <f ca="1">IFERROR(__xludf.DUMMYFUNCTION("""COMPUTED_VALUE"""),362)</f>
        <v>362</v>
      </c>
      <c r="AF98" s="1">
        <f ca="1">IFERROR(__xludf.DUMMYFUNCTION("""COMPUTED_VALUE"""),612)</f>
        <v>612</v>
      </c>
    </row>
    <row r="99" spans="1:32" x14ac:dyDescent="0.25">
      <c r="A99" s="1" t="str">
        <f ca="1">IFERROR(__xludf.DUMMYFUNCTION("""COMPUTED_VALUE"""),"Evansville")</f>
        <v>Evansville</v>
      </c>
      <c r="B99" s="1">
        <f ca="1">IFERROR(__xludf.DUMMYFUNCTION("""COMPUTED_VALUE"""),31)</f>
        <v>31</v>
      </c>
      <c r="C99" s="1">
        <f ca="1">IFERROR(__xludf.DUMMYFUNCTION("""COMPUTED_VALUE"""),9)</f>
        <v>9</v>
      </c>
      <c r="D99" s="1">
        <f ca="1">IFERROR(__xludf.DUMMYFUNCTION("""COMPUTED_VALUE"""),22)</f>
        <v>22</v>
      </c>
      <c r="E99" s="1">
        <f ca="1">IFERROR(__xludf.DUMMYFUNCTION("""COMPUTED_VALUE"""),0.29)</f>
        <v>0.28999999999999998</v>
      </c>
      <c r="F99" s="1">
        <f ca="1">IFERROR(__xludf.DUMMYFUNCTION("""COMPUTED_VALUE"""),-7.14)</f>
        <v>-7.14</v>
      </c>
      <c r="G99" s="1">
        <f ca="1">IFERROR(__xludf.DUMMYFUNCTION("""COMPUTED_VALUE"""),0.66)</f>
        <v>0.66</v>
      </c>
      <c r="H99" s="1">
        <f ca="1">IFERROR(__xludf.DUMMYFUNCTION("""COMPUTED_VALUE"""),0)</f>
        <v>0</v>
      </c>
      <c r="I99" s="1">
        <f ca="1">IFERROR(__xludf.DUMMYFUNCTION("""COMPUTED_VALUE"""),18)</f>
        <v>18</v>
      </c>
      <c r="J99" s="1">
        <f ca="1">IFERROR(__xludf.DUMMYFUNCTION("""COMPUTED_VALUE"""),5)</f>
        <v>5</v>
      </c>
      <c r="K99" s="1">
        <f ca="1">IFERROR(__xludf.DUMMYFUNCTION("""COMPUTED_VALUE"""),10)</f>
        <v>10</v>
      </c>
      <c r="L99" s="1">
        <f ca="1">IFERROR(__xludf.DUMMYFUNCTION("""COMPUTED_VALUE"""),3)</f>
        <v>3</v>
      </c>
      <c r="M99" s="1">
        <f ca="1">IFERROR(__xludf.DUMMYFUNCTION("""COMPUTED_VALUE"""),10)</f>
        <v>10</v>
      </c>
      <c r="N99" s="1">
        <f ca="1">IFERROR(__xludf.DUMMYFUNCTION("""COMPUTED_VALUE"""),2094)</f>
        <v>2094</v>
      </c>
      <c r="O99" s="1">
        <f ca="1">IFERROR(__xludf.DUMMYFUNCTION("""COMPUTED_VALUE"""),2310)</f>
        <v>2310</v>
      </c>
      <c r="P99" s="1">
        <f ca="1">IFERROR(__xludf.DUMMYFUNCTION("""COMPUTED_VALUE"""),1270)</f>
        <v>1270</v>
      </c>
      <c r="Q99" s="1">
        <f ca="1">IFERROR(__xludf.DUMMYFUNCTION("""COMPUTED_VALUE"""),726)</f>
        <v>726</v>
      </c>
      <c r="R99" s="1">
        <f ca="1">IFERROR(__xludf.DUMMYFUNCTION("""COMPUTED_VALUE"""),1717)</f>
        <v>1717</v>
      </c>
      <c r="S99" s="1">
        <f ca="1">IFERROR(__xludf.DUMMYFUNCTION("""COMPUTED_VALUE"""),0.423)</f>
        <v>0.42299999999999999</v>
      </c>
      <c r="T99" s="1">
        <f ca="1">IFERROR(__xludf.DUMMYFUNCTION("""COMPUTED_VALUE"""),236)</f>
        <v>236</v>
      </c>
      <c r="U99" s="1">
        <f ca="1">IFERROR(__xludf.DUMMYFUNCTION("""COMPUTED_VALUE"""),730)</f>
        <v>730</v>
      </c>
      <c r="V99" s="1">
        <f ca="1">IFERROR(__xludf.DUMMYFUNCTION("""COMPUTED_VALUE"""),0.323)</f>
        <v>0.32300000000000001</v>
      </c>
      <c r="W99" s="1">
        <f ca="1">IFERROR(__xludf.DUMMYFUNCTION("""COMPUTED_VALUE"""),406)</f>
        <v>406</v>
      </c>
      <c r="X99" s="1">
        <f ca="1">IFERROR(__xludf.DUMMYFUNCTION("""COMPUTED_VALUE"""),555)</f>
        <v>555</v>
      </c>
      <c r="Y99" s="1">
        <f ca="1">IFERROR(__xludf.DUMMYFUNCTION("""COMPUTED_VALUE"""),0.732)</f>
        <v>0.73199999999999998</v>
      </c>
      <c r="Z99" s="1">
        <f ca="1">IFERROR(__xludf.DUMMYFUNCTION("""COMPUTED_VALUE"""),216)</f>
        <v>216</v>
      </c>
      <c r="AA99" s="1">
        <f ca="1">IFERROR(__xludf.DUMMYFUNCTION("""COMPUTED_VALUE"""),972)</f>
        <v>972</v>
      </c>
      <c r="AB99" s="1">
        <f ca="1">IFERROR(__xludf.DUMMYFUNCTION("""COMPUTED_VALUE"""),382)</f>
        <v>382</v>
      </c>
      <c r="AC99" s="1">
        <f ca="1">IFERROR(__xludf.DUMMYFUNCTION("""COMPUTED_VALUE"""),145)</f>
        <v>145</v>
      </c>
      <c r="AD99" s="1">
        <f ca="1">IFERROR(__xludf.DUMMYFUNCTION("""COMPUTED_VALUE"""),71)</f>
        <v>71</v>
      </c>
      <c r="AE99" s="1">
        <f ca="1">IFERROR(__xludf.DUMMYFUNCTION("""COMPUTED_VALUE"""),391)</f>
        <v>391</v>
      </c>
      <c r="AF99" s="1">
        <f ca="1">IFERROR(__xludf.DUMMYFUNCTION("""COMPUTED_VALUE"""),519)</f>
        <v>519</v>
      </c>
    </row>
    <row r="100" spans="1:32" x14ac:dyDescent="0.25">
      <c r="A100" s="1" t="str">
        <f ca="1">IFERROR(__xludf.DUMMYFUNCTION("""COMPUTED_VALUE"""),"Fairfield")</f>
        <v>Fairfield</v>
      </c>
      <c r="B100" s="1">
        <f ca="1">IFERROR(__xludf.DUMMYFUNCTION("""COMPUTED_VALUE"""),29)</f>
        <v>29</v>
      </c>
      <c r="C100" s="1">
        <f ca="1">IFERROR(__xludf.DUMMYFUNCTION("""COMPUTED_VALUE"""),11)</f>
        <v>11</v>
      </c>
      <c r="D100" s="1">
        <f ca="1">IFERROR(__xludf.DUMMYFUNCTION("""COMPUTED_VALUE"""),18)</f>
        <v>18</v>
      </c>
      <c r="E100" s="1">
        <f ca="1">IFERROR(__xludf.DUMMYFUNCTION("""COMPUTED_VALUE"""),0.379)</f>
        <v>0.379</v>
      </c>
      <c r="F100" s="1">
        <f ca="1">IFERROR(__xludf.DUMMYFUNCTION("""COMPUTED_VALUE"""),-9.08)</f>
        <v>-9.08</v>
      </c>
      <c r="G100" s="1">
        <f ca="1">IFERROR(__xludf.DUMMYFUNCTION("""COMPUTED_VALUE"""),-4.63)</f>
        <v>-4.63</v>
      </c>
      <c r="H100" s="1">
        <f ca="1">IFERROR(__xludf.DUMMYFUNCTION("""COMPUTED_VALUE"""),7)</f>
        <v>7</v>
      </c>
      <c r="I100" s="1">
        <f ca="1">IFERROR(__xludf.DUMMYFUNCTION("""COMPUTED_VALUE"""),11)</f>
        <v>11</v>
      </c>
      <c r="J100" s="1">
        <f ca="1">IFERROR(__xludf.DUMMYFUNCTION("""COMPUTED_VALUE"""),5)</f>
        <v>5</v>
      </c>
      <c r="K100" s="1">
        <f ca="1">IFERROR(__xludf.DUMMYFUNCTION("""COMPUTED_VALUE"""),8)</f>
        <v>8</v>
      </c>
      <c r="L100" s="1">
        <f ca="1">IFERROR(__xludf.DUMMYFUNCTION("""COMPUTED_VALUE"""),5)</f>
        <v>5</v>
      </c>
      <c r="M100" s="1">
        <f ca="1">IFERROR(__xludf.DUMMYFUNCTION("""COMPUTED_VALUE"""),8)</f>
        <v>8</v>
      </c>
      <c r="N100" s="1">
        <f ca="1">IFERROR(__xludf.DUMMYFUNCTION("""COMPUTED_VALUE"""),1703)</f>
        <v>1703</v>
      </c>
      <c r="O100" s="1">
        <f ca="1">IFERROR(__xludf.DUMMYFUNCTION("""COMPUTED_VALUE"""),1832)</f>
        <v>1832</v>
      </c>
      <c r="P100" s="1">
        <f ca="1">IFERROR(__xludf.DUMMYFUNCTION("""COMPUTED_VALUE"""),1180)</f>
        <v>1180</v>
      </c>
      <c r="Q100" s="1">
        <f ca="1">IFERROR(__xludf.DUMMYFUNCTION("""COMPUTED_VALUE"""),604)</f>
        <v>604</v>
      </c>
      <c r="R100" s="1">
        <f ca="1">IFERROR(__xludf.DUMMYFUNCTION("""COMPUTED_VALUE"""),1538)</f>
        <v>1538</v>
      </c>
      <c r="S100" s="1">
        <f ca="1">IFERROR(__xludf.DUMMYFUNCTION("""COMPUTED_VALUE"""),0.393)</f>
        <v>0.39300000000000002</v>
      </c>
      <c r="T100" s="1">
        <f ca="1">IFERROR(__xludf.DUMMYFUNCTION("""COMPUTED_VALUE"""),129)</f>
        <v>129</v>
      </c>
      <c r="U100" s="1">
        <f ca="1">IFERROR(__xludf.DUMMYFUNCTION("""COMPUTED_VALUE"""),444)</f>
        <v>444</v>
      </c>
      <c r="V100" s="1">
        <f ca="1">IFERROR(__xludf.DUMMYFUNCTION("""COMPUTED_VALUE"""),0.291)</f>
        <v>0.29099999999999998</v>
      </c>
      <c r="W100" s="1">
        <f ca="1">IFERROR(__xludf.DUMMYFUNCTION("""COMPUTED_VALUE"""),366)</f>
        <v>366</v>
      </c>
      <c r="X100" s="1">
        <f ca="1">IFERROR(__xludf.DUMMYFUNCTION("""COMPUTED_VALUE"""),525)</f>
        <v>525</v>
      </c>
      <c r="Y100" s="1">
        <f ca="1">IFERROR(__xludf.DUMMYFUNCTION("""COMPUTED_VALUE"""),0.697)</f>
        <v>0.69699999999999995</v>
      </c>
      <c r="Z100" s="1">
        <f ca="1">IFERROR(__xludf.DUMMYFUNCTION("""COMPUTED_VALUE"""),301)</f>
        <v>301</v>
      </c>
      <c r="AA100" s="1">
        <f ca="1">IFERROR(__xludf.DUMMYFUNCTION("""COMPUTED_VALUE"""),1008)</f>
        <v>1008</v>
      </c>
      <c r="AB100" s="1">
        <f ca="1">IFERROR(__xludf.DUMMYFUNCTION("""COMPUTED_VALUE"""),255)</f>
        <v>255</v>
      </c>
      <c r="AC100" s="1">
        <f ca="1">IFERROR(__xludf.DUMMYFUNCTION("""COMPUTED_VALUE"""),148)</f>
        <v>148</v>
      </c>
      <c r="AD100" s="1">
        <f ca="1">IFERROR(__xludf.DUMMYFUNCTION("""COMPUTED_VALUE"""),81)</f>
        <v>81</v>
      </c>
      <c r="AE100" s="1">
        <f ca="1">IFERROR(__xludf.DUMMYFUNCTION("""COMPUTED_VALUE"""),399)</f>
        <v>399</v>
      </c>
      <c r="AF100" s="1">
        <f ca="1">IFERROR(__xludf.DUMMYFUNCTION("""COMPUTED_VALUE"""),468)</f>
        <v>468</v>
      </c>
    </row>
    <row r="101" spans="1:32" x14ac:dyDescent="0.25">
      <c r="A101" s="1" t="str">
        <f ca="1">IFERROR(__xludf.DUMMYFUNCTION("""COMPUTED_VALUE"""),"Fairleigh Dickinson")</f>
        <v>Fairleigh Dickinson</v>
      </c>
      <c r="B101" s="1">
        <f ca="1">IFERROR(__xludf.DUMMYFUNCTION("""COMPUTED_VALUE"""),29)</f>
        <v>29</v>
      </c>
      <c r="C101" s="1">
        <f ca="1">IFERROR(__xludf.DUMMYFUNCTION("""COMPUTED_VALUE"""),11)</f>
        <v>11</v>
      </c>
      <c r="D101" s="1">
        <f ca="1">IFERROR(__xludf.DUMMYFUNCTION("""COMPUTED_VALUE"""),18)</f>
        <v>18</v>
      </c>
      <c r="E101" s="1">
        <f ca="1">IFERROR(__xludf.DUMMYFUNCTION("""COMPUTED_VALUE"""),0.379)</f>
        <v>0.379</v>
      </c>
      <c r="F101" s="1">
        <f ca="1">IFERROR(__xludf.DUMMYFUNCTION("""COMPUTED_VALUE"""),-9.91)</f>
        <v>-9.91</v>
      </c>
      <c r="G101" s="1">
        <f ca="1">IFERROR(__xludf.DUMMYFUNCTION("""COMPUTED_VALUE"""),-5.73)</f>
        <v>-5.73</v>
      </c>
      <c r="H101" s="1">
        <f ca="1">IFERROR(__xludf.DUMMYFUNCTION("""COMPUTED_VALUE"""),9)</f>
        <v>9</v>
      </c>
      <c r="I101" s="1">
        <f ca="1">IFERROR(__xludf.DUMMYFUNCTION("""COMPUTED_VALUE"""),9)</f>
        <v>9</v>
      </c>
      <c r="J101" s="1">
        <f ca="1">IFERROR(__xludf.DUMMYFUNCTION("""COMPUTED_VALUE"""),7)</f>
        <v>7</v>
      </c>
      <c r="K101" s="1">
        <f ca="1">IFERROR(__xludf.DUMMYFUNCTION("""COMPUTED_VALUE"""),5)</f>
        <v>5</v>
      </c>
      <c r="L101" s="1">
        <f ca="1">IFERROR(__xludf.DUMMYFUNCTION("""COMPUTED_VALUE"""),4)</f>
        <v>4</v>
      </c>
      <c r="M101" s="1">
        <f ca="1">IFERROR(__xludf.DUMMYFUNCTION("""COMPUTED_VALUE"""),13)</f>
        <v>13</v>
      </c>
      <c r="N101" s="1">
        <f ca="1">IFERROR(__xludf.DUMMYFUNCTION("""COMPUTED_VALUE"""),2095)</f>
        <v>2095</v>
      </c>
      <c r="O101" s="1">
        <f ca="1">IFERROR(__xludf.DUMMYFUNCTION("""COMPUTED_VALUE"""),2163)</f>
        <v>2163</v>
      </c>
      <c r="P101" s="1">
        <f ca="1">IFERROR(__xludf.DUMMYFUNCTION("""COMPUTED_VALUE"""),1170)</f>
        <v>1170</v>
      </c>
      <c r="Q101" s="1">
        <f ca="1">IFERROR(__xludf.DUMMYFUNCTION("""COMPUTED_VALUE"""),759)</f>
        <v>759</v>
      </c>
      <c r="R101" s="1">
        <f ca="1">IFERROR(__xludf.DUMMYFUNCTION("""COMPUTED_VALUE"""),1673)</f>
        <v>1673</v>
      </c>
      <c r="S101" s="1">
        <f ca="1">IFERROR(__xludf.DUMMYFUNCTION("""COMPUTED_VALUE"""),0.454)</f>
        <v>0.45400000000000001</v>
      </c>
      <c r="T101" s="1">
        <f ca="1">IFERROR(__xludf.DUMMYFUNCTION("""COMPUTED_VALUE"""),217)</f>
        <v>217</v>
      </c>
      <c r="U101" s="1">
        <f ca="1">IFERROR(__xludf.DUMMYFUNCTION("""COMPUTED_VALUE"""),598)</f>
        <v>598</v>
      </c>
      <c r="V101" s="1">
        <f ca="1">IFERROR(__xludf.DUMMYFUNCTION("""COMPUTED_VALUE"""),0.363)</f>
        <v>0.36299999999999999</v>
      </c>
      <c r="W101" s="1">
        <f ca="1">IFERROR(__xludf.DUMMYFUNCTION("""COMPUTED_VALUE"""),360)</f>
        <v>360</v>
      </c>
      <c r="X101" s="1">
        <f ca="1">IFERROR(__xludf.DUMMYFUNCTION("""COMPUTED_VALUE"""),498)</f>
        <v>498</v>
      </c>
      <c r="Y101" s="1">
        <f ca="1">IFERROR(__xludf.DUMMYFUNCTION("""COMPUTED_VALUE"""),0.723)</f>
        <v>0.72299999999999998</v>
      </c>
      <c r="Z101" s="1">
        <f ca="1">IFERROR(__xludf.DUMMYFUNCTION("""COMPUTED_VALUE"""),259)</f>
        <v>259</v>
      </c>
      <c r="AA101" s="1">
        <f ca="1">IFERROR(__xludf.DUMMYFUNCTION("""COMPUTED_VALUE"""),967)</f>
        <v>967</v>
      </c>
      <c r="AB101" s="1">
        <f ca="1">IFERROR(__xludf.DUMMYFUNCTION("""COMPUTED_VALUE"""),341)</f>
        <v>341</v>
      </c>
      <c r="AC101" s="1">
        <f ca="1">IFERROR(__xludf.DUMMYFUNCTION("""COMPUTED_VALUE"""),182)</f>
        <v>182</v>
      </c>
      <c r="AD101" s="1">
        <f ca="1">IFERROR(__xludf.DUMMYFUNCTION("""COMPUTED_VALUE"""),96)</f>
        <v>96</v>
      </c>
      <c r="AE101" s="1">
        <f ca="1">IFERROR(__xludf.DUMMYFUNCTION("""COMPUTED_VALUE"""),374)</f>
        <v>374</v>
      </c>
      <c r="AF101" s="1">
        <f ca="1">IFERROR(__xludf.DUMMYFUNCTION("""COMPUTED_VALUE"""),477)</f>
        <v>477</v>
      </c>
    </row>
    <row r="102" spans="1:32" x14ac:dyDescent="0.25">
      <c r="A102" s="1" t="str">
        <f ca="1">IFERROR(__xludf.DUMMYFUNCTION("""COMPUTED_VALUE"""),"Florida A&amp;M")</f>
        <v>Florida A&amp;M</v>
      </c>
      <c r="B102" s="1">
        <f ca="1">IFERROR(__xludf.DUMMYFUNCTION("""COMPUTED_VALUE"""),26)</f>
        <v>26</v>
      </c>
      <c r="C102" s="1">
        <f ca="1">IFERROR(__xludf.DUMMYFUNCTION("""COMPUTED_VALUE"""),12)</f>
        <v>12</v>
      </c>
      <c r="D102" s="1">
        <f ca="1">IFERROR(__xludf.DUMMYFUNCTION("""COMPUTED_VALUE"""),14)</f>
        <v>14</v>
      </c>
      <c r="E102" s="1">
        <f ca="1">IFERROR(__xludf.DUMMYFUNCTION("""COMPUTED_VALUE"""),0.462)</f>
        <v>0.46200000000000002</v>
      </c>
      <c r="F102" s="1">
        <f ca="1">IFERROR(__xludf.DUMMYFUNCTION("""COMPUTED_VALUE"""),-12.01)</f>
        <v>-12.01</v>
      </c>
      <c r="G102" s="1">
        <f ca="1">IFERROR(__xludf.DUMMYFUNCTION("""COMPUTED_VALUE"""),-5.93)</f>
        <v>-5.93</v>
      </c>
      <c r="H102" s="1">
        <f ca="1">IFERROR(__xludf.DUMMYFUNCTION("""COMPUTED_VALUE"""),10)</f>
        <v>10</v>
      </c>
      <c r="I102" s="1">
        <f ca="1">IFERROR(__xludf.DUMMYFUNCTION("""COMPUTED_VALUE"""),5)</f>
        <v>5</v>
      </c>
      <c r="J102" s="1">
        <f ca="1">IFERROR(__xludf.DUMMYFUNCTION("""COMPUTED_VALUE"""),8)</f>
        <v>8</v>
      </c>
      <c r="K102" s="1">
        <f ca="1">IFERROR(__xludf.DUMMYFUNCTION("""COMPUTED_VALUE"""),0)</f>
        <v>0</v>
      </c>
      <c r="L102" s="1">
        <f ca="1">IFERROR(__xludf.DUMMYFUNCTION("""COMPUTED_VALUE"""),4)</f>
        <v>4</v>
      </c>
      <c r="M102" s="1">
        <f ca="1">IFERROR(__xludf.DUMMYFUNCTION("""COMPUTED_VALUE"""),12)</f>
        <v>12</v>
      </c>
      <c r="N102" s="1">
        <f ca="1">IFERROR(__xludf.DUMMYFUNCTION("""COMPUTED_VALUE"""),1754)</f>
        <v>1754</v>
      </c>
      <c r="O102" s="1">
        <f ca="1">IFERROR(__xludf.DUMMYFUNCTION("""COMPUTED_VALUE"""),1912)</f>
        <v>1912</v>
      </c>
      <c r="P102" s="1">
        <f ca="1">IFERROR(__xludf.DUMMYFUNCTION("""COMPUTED_VALUE"""),1060)</f>
        <v>1060</v>
      </c>
      <c r="Q102" s="1">
        <f ca="1">IFERROR(__xludf.DUMMYFUNCTION("""COMPUTED_VALUE"""),638)</f>
        <v>638</v>
      </c>
      <c r="R102" s="1">
        <f ca="1">IFERROR(__xludf.DUMMYFUNCTION("""COMPUTED_VALUE"""),1521)</f>
        <v>1521</v>
      </c>
      <c r="S102" s="1">
        <f ca="1">IFERROR(__xludf.DUMMYFUNCTION("""COMPUTED_VALUE"""),0.419)</f>
        <v>0.41899999999999998</v>
      </c>
      <c r="T102" s="1">
        <f ca="1">IFERROR(__xludf.DUMMYFUNCTION("""COMPUTED_VALUE"""),101)</f>
        <v>101</v>
      </c>
      <c r="U102" s="1">
        <f ca="1">IFERROR(__xludf.DUMMYFUNCTION("""COMPUTED_VALUE"""),357)</f>
        <v>357</v>
      </c>
      <c r="V102" s="1">
        <f ca="1">IFERROR(__xludf.DUMMYFUNCTION("""COMPUTED_VALUE"""),0.283)</f>
        <v>0.28299999999999997</v>
      </c>
      <c r="W102" s="1">
        <f ca="1">IFERROR(__xludf.DUMMYFUNCTION("""COMPUTED_VALUE"""),377)</f>
        <v>377</v>
      </c>
      <c r="X102" s="1">
        <f ca="1">IFERROR(__xludf.DUMMYFUNCTION("""COMPUTED_VALUE"""),592)</f>
        <v>592</v>
      </c>
      <c r="Y102" s="1">
        <f ca="1">IFERROR(__xludf.DUMMYFUNCTION("""COMPUTED_VALUE"""),0.637)</f>
        <v>0.63700000000000001</v>
      </c>
      <c r="Z102" s="1">
        <f ca="1">IFERROR(__xludf.DUMMYFUNCTION("""COMPUTED_VALUE"""),312)</f>
        <v>312</v>
      </c>
      <c r="AA102" s="1">
        <f ca="1">IFERROR(__xludf.DUMMYFUNCTION("""COMPUTED_VALUE"""),906)</f>
        <v>906</v>
      </c>
      <c r="AB102" s="1">
        <f ca="1">IFERROR(__xludf.DUMMYFUNCTION("""COMPUTED_VALUE"""),261)</f>
        <v>261</v>
      </c>
      <c r="AC102" s="1">
        <f ca="1">IFERROR(__xludf.DUMMYFUNCTION("""COMPUTED_VALUE"""),193)</f>
        <v>193</v>
      </c>
      <c r="AD102" s="1">
        <f ca="1">IFERROR(__xludf.DUMMYFUNCTION("""COMPUTED_VALUE"""),49)</f>
        <v>49</v>
      </c>
      <c r="AE102" s="1">
        <f ca="1">IFERROR(__xludf.DUMMYFUNCTION("""COMPUTED_VALUE"""),394)</f>
        <v>394</v>
      </c>
      <c r="AF102" s="1">
        <f ca="1">IFERROR(__xludf.DUMMYFUNCTION("""COMPUTED_VALUE"""),503)</f>
        <v>503</v>
      </c>
    </row>
    <row r="103" spans="1:32" x14ac:dyDescent="0.25">
      <c r="A103" s="1" t="str">
        <f ca="1">IFERROR(__xludf.DUMMYFUNCTION("""COMPUTED_VALUE"""),"Florida Atlantic")</f>
        <v>Florida Atlantic</v>
      </c>
      <c r="B103" s="1">
        <f ca="1">IFERROR(__xludf.DUMMYFUNCTION("""COMPUTED_VALUE"""),30)</f>
        <v>30</v>
      </c>
      <c r="C103" s="1">
        <f ca="1">IFERROR(__xludf.DUMMYFUNCTION("""COMPUTED_VALUE"""),16)</f>
        <v>16</v>
      </c>
      <c r="D103" s="1">
        <f ca="1">IFERROR(__xludf.DUMMYFUNCTION("""COMPUTED_VALUE"""),14)</f>
        <v>14</v>
      </c>
      <c r="E103" s="1">
        <f ca="1">IFERROR(__xludf.DUMMYFUNCTION("""COMPUTED_VALUE"""),0.533)</f>
        <v>0.53300000000000003</v>
      </c>
      <c r="F103" s="1">
        <f ca="1">IFERROR(__xludf.DUMMYFUNCTION("""COMPUTED_VALUE"""),-1.67)</f>
        <v>-1.67</v>
      </c>
      <c r="G103" s="1">
        <f ca="1">IFERROR(__xludf.DUMMYFUNCTION("""COMPUTED_VALUE"""),-1.3)</f>
        <v>-1.3</v>
      </c>
      <c r="H103" s="1">
        <f ca="1">IFERROR(__xludf.DUMMYFUNCTION("""COMPUTED_VALUE"""),8)</f>
        <v>8</v>
      </c>
      <c r="I103" s="1">
        <f ca="1">IFERROR(__xludf.DUMMYFUNCTION("""COMPUTED_VALUE"""),9)</f>
        <v>9</v>
      </c>
      <c r="J103" s="1">
        <f ca="1">IFERROR(__xludf.DUMMYFUNCTION("""COMPUTED_VALUE"""),14)</f>
        <v>14</v>
      </c>
      <c r="K103" s="1">
        <f ca="1">IFERROR(__xludf.DUMMYFUNCTION("""COMPUTED_VALUE"""),3)</f>
        <v>3</v>
      </c>
      <c r="L103" s="1">
        <f ca="1">IFERROR(__xludf.DUMMYFUNCTION("""COMPUTED_VALUE"""),2)</f>
        <v>2</v>
      </c>
      <c r="M103" s="1">
        <f ca="1">IFERROR(__xludf.DUMMYFUNCTION("""COMPUTED_VALUE"""),11)</f>
        <v>11</v>
      </c>
      <c r="N103" s="1">
        <f ca="1">IFERROR(__xludf.DUMMYFUNCTION("""COMPUTED_VALUE"""),2127)</f>
        <v>2127</v>
      </c>
      <c r="O103" s="1">
        <f ca="1">IFERROR(__xludf.DUMMYFUNCTION("""COMPUTED_VALUE"""),2072)</f>
        <v>2072</v>
      </c>
      <c r="P103" s="1">
        <f ca="1">IFERROR(__xludf.DUMMYFUNCTION("""COMPUTED_VALUE"""),1215)</f>
        <v>1215</v>
      </c>
      <c r="Q103" s="1">
        <f ca="1">IFERROR(__xludf.DUMMYFUNCTION("""COMPUTED_VALUE"""),769)</f>
        <v>769</v>
      </c>
      <c r="R103" s="1">
        <f ca="1">IFERROR(__xludf.DUMMYFUNCTION("""COMPUTED_VALUE"""),1799)</f>
        <v>1799</v>
      </c>
      <c r="S103" s="1">
        <f ca="1">IFERROR(__xludf.DUMMYFUNCTION("""COMPUTED_VALUE"""),0.427)</f>
        <v>0.42699999999999999</v>
      </c>
      <c r="T103" s="1">
        <f ca="1">IFERROR(__xludf.DUMMYFUNCTION("""COMPUTED_VALUE"""),246)</f>
        <v>246</v>
      </c>
      <c r="U103" s="1">
        <f ca="1">IFERROR(__xludf.DUMMYFUNCTION("""COMPUTED_VALUE"""),761)</f>
        <v>761</v>
      </c>
      <c r="V103" s="1">
        <f ca="1">IFERROR(__xludf.DUMMYFUNCTION("""COMPUTED_VALUE"""),0.323)</f>
        <v>0.32300000000000001</v>
      </c>
      <c r="W103" s="1">
        <f ca="1">IFERROR(__xludf.DUMMYFUNCTION("""COMPUTED_VALUE"""),343)</f>
        <v>343</v>
      </c>
      <c r="X103" s="1">
        <f ca="1">IFERROR(__xludf.DUMMYFUNCTION("""COMPUTED_VALUE"""),486)</f>
        <v>486</v>
      </c>
      <c r="Y103" s="1">
        <f ca="1">IFERROR(__xludf.DUMMYFUNCTION("""COMPUTED_VALUE"""),0.706)</f>
        <v>0.70599999999999996</v>
      </c>
      <c r="Z103" s="1">
        <f ca="1">IFERROR(__xludf.DUMMYFUNCTION("""COMPUTED_VALUE"""),315)</f>
        <v>315</v>
      </c>
      <c r="AA103" s="1">
        <f ca="1">IFERROR(__xludf.DUMMYFUNCTION("""COMPUTED_VALUE"""),1099)</f>
        <v>1099</v>
      </c>
      <c r="AB103" s="1">
        <f ca="1">IFERROR(__xludf.DUMMYFUNCTION("""COMPUTED_VALUE"""),367)</f>
        <v>367</v>
      </c>
      <c r="AC103" s="1">
        <f ca="1">IFERROR(__xludf.DUMMYFUNCTION("""COMPUTED_VALUE"""),216)</f>
        <v>216</v>
      </c>
      <c r="AD103" s="1">
        <f ca="1">IFERROR(__xludf.DUMMYFUNCTION("""COMPUTED_VALUE"""),61)</f>
        <v>61</v>
      </c>
      <c r="AE103" s="1">
        <f ca="1">IFERROR(__xludf.DUMMYFUNCTION("""COMPUTED_VALUE"""),407)</f>
        <v>407</v>
      </c>
      <c r="AF103" s="1">
        <f ca="1">IFERROR(__xludf.DUMMYFUNCTION("""COMPUTED_VALUE"""),505)</f>
        <v>505</v>
      </c>
    </row>
    <row r="104" spans="1:32" x14ac:dyDescent="0.25">
      <c r="A104" s="1" t="str">
        <f ca="1">IFERROR(__xludf.DUMMYFUNCTION("""COMPUTED_VALUE"""),"Florida Gulf Coast")</f>
        <v>Florida Gulf Coast</v>
      </c>
      <c r="B104" s="1">
        <f ca="1">IFERROR(__xludf.DUMMYFUNCTION("""COMPUTED_VALUE"""),31)</f>
        <v>31</v>
      </c>
      <c r="C104" s="1">
        <f ca="1">IFERROR(__xludf.DUMMYFUNCTION("""COMPUTED_VALUE"""),10)</f>
        <v>10</v>
      </c>
      <c r="D104" s="1">
        <f ca="1">IFERROR(__xludf.DUMMYFUNCTION("""COMPUTED_VALUE"""),21)</f>
        <v>21</v>
      </c>
      <c r="E104" s="1">
        <f ca="1">IFERROR(__xludf.DUMMYFUNCTION("""COMPUTED_VALUE"""),0.323)</f>
        <v>0.32300000000000001</v>
      </c>
      <c r="F104" s="1">
        <f ca="1">IFERROR(__xludf.DUMMYFUNCTION("""COMPUTED_VALUE"""),-10.19)</f>
        <v>-10.19</v>
      </c>
      <c r="G104" s="1">
        <f ca="1">IFERROR(__xludf.DUMMYFUNCTION("""COMPUTED_VALUE"""),-4.19)</f>
        <v>-4.1900000000000004</v>
      </c>
      <c r="H104" s="1">
        <f ca="1">IFERROR(__xludf.DUMMYFUNCTION("""COMPUTED_VALUE"""),7)</f>
        <v>7</v>
      </c>
      <c r="I104" s="1">
        <f ca="1">IFERROR(__xludf.DUMMYFUNCTION("""COMPUTED_VALUE"""),9)</f>
        <v>9</v>
      </c>
      <c r="J104" s="1">
        <f ca="1">IFERROR(__xludf.DUMMYFUNCTION("""COMPUTED_VALUE"""),6)</f>
        <v>6</v>
      </c>
      <c r="K104" s="1">
        <f ca="1">IFERROR(__xludf.DUMMYFUNCTION("""COMPUTED_VALUE"""),10)</f>
        <v>10</v>
      </c>
      <c r="L104" s="1">
        <f ca="1">IFERROR(__xludf.DUMMYFUNCTION("""COMPUTED_VALUE"""),4)</f>
        <v>4</v>
      </c>
      <c r="M104" s="1">
        <f ca="1">IFERROR(__xludf.DUMMYFUNCTION("""COMPUTED_VALUE"""),11)</f>
        <v>11</v>
      </c>
      <c r="N104" s="1">
        <f ca="1">IFERROR(__xludf.DUMMYFUNCTION("""COMPUTED_VALUE"""),1916)</f>
        <v>1916</v>
      </c>
      <c r="O104" s="1">
        <f ca="1">IFERROR(__xludf.DUMMYFUNCTION("""COMPUTED_VALUE"""),2054)</f>
        <v>2054</v>
      </c>
      <c r="P104" s="1">
        <f ca="1">IFERROR(__xludf.DUMMYFUNCTION("""COMPUTED_VALUE"""),1255)</f>
        <v>1255</v>
      </c>
      <c r="Q104" s="1">
        <f ca="1">IFERROR(__xludf.DUMMYFUNCTION("""COMPUTED_VALUE"""),705)</f>
        <v>705</v>
      </c>
      <c r="R104" s="1">
        <f ca="1">IFERROR(__xludf.DUMMYFUNCTION("""COMPUTED_VALUE"""),1721)</f>
        <v>1721</v>
      </c>
      <c r="S104" s="1">
        <f ca="1">IFERROR(__xludf.DUMMYFUNCTION("""COMPUTED_VALUE"""),0.41)</f>
        <v>0.41</v>
      </c>
      <c r="T104" s="1">
        <f ca="1">IFERROR(__xludf.DUMMYFUNCTION("""COMPUTED_VALUE"""),227)</f>
        <v>227</v>
      </c>
      <c r="U104" s="1">
        <f ca="1">IFERROR(__xludf.DUMMYFUNCTION("""COMPUTED_VALUE"""),720)</f>
        <v>720</v>
      </c>
      <c r="V104" s="1">
        <f ca="1">IFERROR(__xludf.DUMMYFUNCTION("""COMPUTED_VALUE"""),0.315)</f>
        <v>0.315</v>
      </c>
      <c r="W104" s="1">
        <f ca="1">IFERROR(__xludf.DUMMYFUNCTION("""COMPUTED_VALUE"""),279)</f>
        <v>279</v>
      </c>
      <c r="X104" s="1">
        <f ca="1">IFERROR(__xludf.DUMMYFUNCTION("""COMPUTED_VALUE"""),404)</f>
        <v>404</v>
      </c>
      <c r="Y104" s="1">
        <f ca="1">IFERROR(__xludf.DUMMYFUNCTION("""COMPUTED_VALUE"""),0.691)</f>
        <v>0.69099999999999995</v>
      </c>
      <c r="Z104" s="1">
        <f ca="1">IFERROR(__xludf.DUMMYFUNCTION("""COMPUTED_VALUE"""),309)</f>
        <v>309</v>
      </c>
      <c r="AA104" s="1">
        <f ca="1">IFERROR(__xludf.DUMMYFUNCTION("""COMPUTED_VALUE"""),1066)</f>
        <v>1066</v>
      </c>
      <c r="AB104" s="1">
        <f ca="1">IFERROR(__xludf.DUMMYFUNCTION("""COMPUTED_VALUE"""),395)</f>
        <v>395</v>
      </c>
      <c r="AC104" s="1">
        <f ca="1">IFERROR(__xludf.DUMMYFUNCTION("""COMPUTED_VALUE"""),191)</f>
        <v>191</v>
      </c>
      <c r="AD104" s="1">
        <f ca="1">IFERROR(__xludf.DUMMYFUNCTION("""COMPUTED_VALUE"""),130)</f>
        <v>130</v>
      </c>
      <c r="AE104" s="1">
        <f ca="1">IFERROR(__xludf.DUMMYFUNCTION("""COMPUTED_VALUE"""),486)</f>
        <v>486</v>
      </c>
      <c r="AF104" s="1">
        <f ca="1">IFERROR(__xludf.DUMMYFUNCTION("""COMPUTED_VALUE"""),493)</f>
        <v>493</v>
      </c>
    </row>
    <row r="105" spans="1:32" x14ac:dyDescent="0.25">
      <c r="A105" s="1" t="str">
        <f ca="1">IFERROR(__xludf.DUMMYFUNCTION("""COMPUTED_VALUE"""),"Florida International")</f>
        <v>Florida International</v>
      </c>
      <c r="B105" s="1">
        <f ca="1">IFERROR(__xludf.DUMMYFUNCTION("""COMPUTED_VALUE"""),29)</f>
        <v>29</v>
      </c>
      <c r="C105" s="1">
        <f ca="1">IFERROR(__xludf.DUMMYFUNCTION("""COMPUTED_VALUE"""),18)</f>
        <v>18</v>
      </c>
      <c r="D105" s="1">
        <f ca="1">IFERROR(__xludf.DUMMYFUNCTION("""COMPUTED_VALUE"""),11)</f>
        <v>11</v>
      </c>
      <c r="E105" s="1">
        <f ca="1">IFERROR(__xludf.DUMMYFUNCTION("""COMPUTED_VALUE"""),0.621)</f>
        <v>0.621</v>
      </c>
      <c r="F105" s="1">
        <f ca="1">IFERROR(__xludf.DUMMYFUNCTION("""COMPUTED_VALUE"""),0.75)</f>
        <v>0.75</v>
      </c>
      <c r="G105" s="1">
        <f ca="1">IFERROR(__xludf.DUMMYFUNCTION("""COMPUTED_VALUE"""),-1.36)</f>
        <v>-1.36</v>
      </c>
      <c r="H105" s="1">
        <f ca="1">IFERROR(__xludf.DUMMYFUNCTION("""COMPUTED_VALUE"""),9)</f>
        <v>9</v>
      </c>
      <c r="I105" s="1">
        <f ca="1">IFERROR(__xludf.DUMMYFUNCTION("""COMPUTED_VALUE"""),7)</f>
        <v>7</v>
      </c>
      <c r="J105" s="1">
        <f ca="1">IFERROR(__xludf.DUMMYFUNCTION("""COMPUTED_VALUE"""),11)</f>
        <v>11</v>
      </c>
      <c r="K105" s="1">
        <f ca="1">IFERROR(__xludf.DUMMYFUNCTION("""COMPUTED_VALUE"""),2)</f>
        <v>2</v>
      </c>
      <c r="L105" s="1">
        <f ca="1">IFERROR(__xludf.DUMMYFUNCTION("""COMPUTED_VALUE"""),6)</f>
        <v>6</v>
      </c>
      <c r="M105" s="1">
        <f ca="1">IFERROR(__xludf.DUMMYFUNCTION("""COMPUTED_VALUE"""),8)</f>
        <v>8</v>
      </c>
      <c r="N105" s="1">
        <f ca="1">IFERROR(__xludf.DUMMYFUNCTION("""COMPUTED_VALUE"""),2212)</f>
        <v>2212</v>
      </c>
      <c r="O105" s="1">
        <f ca="1">IFERROR(__xludf.DUMMYFUNCTION("""COMPUTED_VALUE"""),2076)</f>
        <v>2076</v>
      </c>
      <c r="P105" s="1">
        <f ca="1">IFERROR(__xludf.DUMMYFUNCTION("""COMPUTED_VALUE"""),1165)</f>
        <v>1165</v>
      </c>
      <c r="Q105" s="1">
        <f ca="1">IFERROR(__xludf.DUMMYFUNCTION("""COMPUTED_VALUE"""),809)</f>
        <v>809</v>
      </c>
      <c r="R105" s="1">
        <f ca="1">IFERROR(__xludf.DUMMYFUNCTION("""COMPUTED_VALUE"""),1772)</f>
        <v>1772</v>
      </c>
      <c r="S105" s="1">
        <f ca="1">IFERROR(__xludf.DUMMYFUNCTION("""COMPUTED_VALUE"""),0.457)</f>
        <v>0.45700000000000002</v>
      </c>
      <c r="T105" s="1">
        <f ca="1">IFERROR(__xludf.DUMMYFUNCTION("""COMPUTED_VALUE"""),259)</f>
        <v>259</v>
      </c>
      <c r="U105" s="1">
        <f ca="1">IFERROR(__xludf.DUMMYFUNCTION("""COMPUTED_VALUE"""),742)</f>
        <v>742</v>
      </c>
      <c r="V105" s="1">
        <f ca="1">IFERROR(__xludf.DUMMYFUNCTION("""COMPUTED_VALUE"""),0.349)</f>
        <v>0.34899999999999998</v>
      </c>
      <c r="W105" s="1">
        <f ca="1">IFERROR(__xludf.DUMMYFUNCTION("""COMPUTED_VALUE"""),335)</f>
        <v>335</v>
      </c>
      <c r="X105" s="1">
        <f ca="1">IFERROR(__xludf.DUMMYFUNCTION("""COMPUTED_VALUE"""),516)</f>
        <v>516</v>
      </c>
      <c r="Y105" s="1">
        <f ca="1">IFERROR(__xludf.DUMMYFUNCTION("""COMPUTED_VALUE"""),0.649)</f>
        <v>0.64900000000000002</v>
      </c>
      <c r="Z105" s="1">
        <f ca="1">IFERROR(__xludf.DUMMYFUNCTION("""COMPUTED_VALUE"""),309)</f>
        <v>309</v>
      </c>
      <c r="AA105" s="1">
        <f ca="1">IFERROR(__xludf.DUMMYFUNCTION("""COMPUTED_VALUE"""),1039)</f>
        <v>1039</v>
      </c>
      <c r="AB105" s="1">
        <f ca="1">IFERROR(__xludf.DUMMYFUNCTION("""COMPUTED_VALUE"""),417)</f>
        <v>417</v>
      </c>
      <c r="AC105" s="1">
        <f ca="1">IFERROR(__xludf.DUMMYFUNCTION("""COMPUTED_VALUE"""),260)</f>
        <v>260</v>
      </c>
      <c r="AD105" s="1">
        <f ca="1">IFERROR(__xludf.DUMMYFUNCTION("""COMPUTED_VALUE"""),187)</f>
        <v>187</v>
      </c>
      <c r="AE105" s="1">
        <f ca="1">IFERROR(__xludf.DUMMYFUNCTION("""COMPUTED_VALUE"""),447)</f>
        <v>447</v>
      </c>
      <c r="AF105" s="1">
        <f ca="1">IFERROR(__xludf.DUMMYFUNCTION("""COMPUTED_VALUE"""),504)</f>
        <v>504</v>
      </c>
    </row>
    <row r="106" spans="1:32" x14ac:dyDescent="0.25">
      <c r="A106" s="1" t="str">
        <f ca="1">IFERROR(__xludf.DUMMYFUNCTION("""COMPUTED_VALUE"""),"Florida State")</f>
        <v>Florida State</v>
      </c>
      <c r="B106" s="1">
        <f ca="1">IFERROR(__xludf.DUMMYFUNCTION("""COMPUTED_VALUE"""),29)</f>
        <v>29</v>
      </c>
      <c r="C106" s="1">
        <f ca="1">IFERROR(__xludf.DUMMYFUNCTION("""COMPUTED_VALUE"""),24)</f>
        <v>24</v>
      </c>
      <c r="D106" s="1">
        <f ca="1">IFERROR(__xludf.DUMMYFUNCTION("""COMPUTED_VALUE"""),5)</f>
        <v>5</v>
      </c>
      <c r="E106" s="1">
        <f ca="1">IFERROR(__xludf.DUMMYFUNCTION("""COMPUTED_VALUE"""),0.828)</f>
        <v>0.82799999999999996</v>
      </c>
      <c r="F106" s="1">
        <f ca="1">IFERROR(__xludf.DUMMYFUNCTION("""COMPUTED_VALUE"""),17.35)</f>
        <v>17.350000000000001</v>
      </c>
      <c r="G106" s="1">
        <f ca="1">IFERROR(__xludf.DUMMYFUNCTION("""COMPUTED_VALUE"""),7.73)</f>
        <v>7.73</v>
      </c>
      <c r="H106" s="1">
        <f ca="1">IFERROR(__xludf.DUMMYFUNCTION("""COMPUTED_VALUE"""),14)</f>
        <v>14</v>
      </c>
      <c r="I106" s="1">
        <f ca="1">IFERROR(__xludf.DUMMYFUNCTION("""COMPUTED_VALUE"""),4)</f>
        <v>4</v>
      </c>
      <c r="J106" s="1">
        <f ca="1">IFERROR(__xludf.DUMMYFUNCTION("""COMPUTED_VALUE"""),15)</f>
        <v>15</v>
      </c>
      <c r="K106" s="1">
        <f ca="1">IFERROR(__xludf.DUMMYFUNCTION("""COMPUTED_VALUE"""),0)</f>
        <v>0</v>
      </c>
      <c r="L106" s="1">
        <f ca="1">IFERROR(__xludf.DUMMYFUNCTION("""COMPUTED_VALUE"""),6)</f>
        <v>6</v>
      </c>
      <c r="M106" s="1">
        <f ca="1">IFERROR(__xludf.DUMMYFUNCTION("""COMPUTED_VALUE"""),5)</f>
        <v>5</v>
      </c>
      <c r="N106" s="1">
        <f ca="1">IFERROR(__xludf.DUMMYFUNCTION("""COMPUTED_VALUE"""),2183)</f>
        <v>2183</v>
      </c>
      <c r="O106" s="1">
        <f ca="1">IFERROR(__xludf.DUMMYFUNCTION("""COMPUTED_VALUE"""),1904)</f>
        <v>1904</v>
      </c>
      <c r="P106" s="1">
        <f ca="1">IFERROR(__xludf.DUMMYFUNCTION("""COMPUTED_VALUE"""),1170)</f>
        <v>1170</v>
      </c>
      <c r="Q106" s="1">
        <f ca="1">IFERROR(__xludf.DUMMYFUNCTION("""COMPUTED_VALUE"""),786)</f>
        <v>786</v>
      </c>
      <c r="R106" s="1">
        <f ca="1">IFERROR(__xludf.DUMMYFUNCTION("""COMPUTED_VALUE"""),1713)</f>
        <v>1713</v>
      </c>
      <c r="S106" s="1">
        <f ca="1">IFERROR(__xludf.DUMMYFUNCTION("""COMPUTED_VALUE"""),0.459)</f>
        <v>0.45900000000000002</v>
      </c>
      <c r="T106" s="1">
        <f ca="1">IFERROR(__xludf.DUMMYFUNCTION("""COMPUTED_VALUE"""),220)</f>
        <v>220</v>
      </c>
      <c r="U106" s="1">
        <f ca="1">IFERROR(__xludf.DUMMYFUNCTION("""COMPUTED_VALUE"""),611)</f>
        <v>611</v>
      </c>
      <c r="V106" s="1">
        <f ca="1">IFERROR(__xludf.DUMMYFUNCTION("""COMPUTED_VALUE"""),0.36)</f>
        <v>0.36</v>
      </c>
      <c r="W106" s="1">
        <f ca="1">IFERROR(__xludf.DUMMYFUNCTION("""COMPUTED_VALUE"""),391)</f>
        <v>391</v>
      </c>
      <c r="X106" s="1">
        <f ca="1">IFERROR(__xludf.DUMMYFUNCTION("""COMPUTED_VALUE"""),518)</f>
        <v>518</v>
      </c>
      <c r="Y106" s="1">
        <f ca="1">IFERROR(__xludf.DUMMYFUNCTION("""COMPUTED_VALUE"""),0.755)</f>
        <v>0.755</v>
      </c>
      <c r="Z106" s="1">
        <f ca="1">IFERROR(__xludf.DUMMYFUNCTION("""COMPUTED_VALUE"""),324)</f>
        <v>324</v>
      </c>
      <c r="AA106" s="1">
        <f ca="1">IFERROR(__xludf.DUMMYFUNCTION("""COMPUTED_VALUE"""),1020)</f>
        <v>1020</v>
      </c>
      <c r="AB106" s="1">
        <f ca="1">IFERROR(__xludf.DUMMYFUNCTION("""COMPUTED_VALUE"""),385)</f>
        <v>385</v>
      </c>
      <c r="AC106" s="1">
        <f ca="1">IFERROR(__xludf.DUMMYFUNCTION("""COMPUTED_VALUE"""),256)</f>
        <v>256</v>
      </c>
      <c r="AD106" s="1">
        <f ca="1">IFERROR(__xludf.DUMMYFUNCTION("""COMPUTED_VALUE"""),157)</f>
        <v>157</v>
      </c>
      <c r="AE106" s="1">
        <f ca="1">IFERROR(__xludf.DUMMYFUNCTION("""COMPUTED_VALUE"""),391)</f>
        <v>391</v>
      </c>
      <c r="AF106" s="1">
        <f ca="1">IFERROR(__xludf.DUMMYFUNCTION("""COMPUTED_VALUE"""),506)</f>
        <v>506</v>
      </c>
    </row>
    <row r="107" spans="1:32" x14ac:dyDescent="0.25">
      <c r="A107" s="1" t="str">
        <f ca="1">IFERROR(__xludf.DUMMYFUNCTION("""COMPUTED_VALUE"""),"Florida")</f>
        <v>Florida</v>
      </c>
      <c r="B107" s="1">
        <f ca="1">IFERROR(__xludf.DUMMYFUNCTION("""COMPUTED_VALUE"""),29)</f>
        <v>29</v>
      </c>
      <c r="C107" s="1">
        <f ca="1">IFERROR(__xludf.DUMMYFUNCTION("""COMPUTED_VALUE"""),18)</f>
        <v>18</v>
      </c>
      <c r="D107" s="1">
        <f ca="1">IFERROR(__xludf.DUMMYFUNCTION("""COMPUTED_VALUE"""),11)</f>
        <v>11</v>
      </c>
      <c r="E107" s="1">
        <f ca="1">IFERROR(__xludf.DUMMYFUNCTION("""COMPUTED_VALUE"""),0.621)</f>
        <v>0.621</v>
      </c>
      <c r="F107" s="1">
        <f ca="1">IFERROR(__xludf.DUMMYFUNCTION("""COMPUTED_VALUE"""),14.68)</f>
        <v>14.68</v>
      </c>
      <c r="G107" s="1">
        <f ca="1">IFERROR(__xludf.DUMMYFUNCTION("""COMPUTED_VALUE"""),8.88)</f>
        <v>8.8800000000000008</v>
      </c>
      <c r="H107" s="1">
        <f ca="1">IFERROR(__xludf.DUMMYFUNCTION("""COMPUTED_VALUE"""),10)</f>
        <v>10</v>
      </c>
      <c r="I107" s="1">
        <f ca="1">IFERROR(__xludf.DUMMYFUNCTION("""COMPUTED_VALUE"""),6)</f>
        <v>6</v>
      </c>
      <c r="J107" s="1">
        <f ca="1">IFERROR(__xludf.DUMMYFUNCTION("""COMPUTED_VALUE"""),11)</f>
        <v>11</v>
      </c>
      <c r="K107" s="1">
        <f ca="1">IFERROR(__xludf.DUMMYFUNCTION("""COMPUTED_VALUE"""),3)</f>
        <v>3</v>
      </c>
      <c r="L107" s="1">
        <f ca="1">IFERROR(__xludf.DUMMYFUNCTION("""COMPUTED_VALUE"""),3)</f>
        <v>3</v>
      </c>
      <c r="M107" s="1">
        <f ca="1">IFERROR(__xludf.DUMMYFUNCTION("""COMPUTED_VALUE"""),7)</f>
        <v>7</v>
      </c>
      <c r="N107" s="1">
        <f ca="1">IFERROR(__xludf.DUMMYFUNCTION("""COMPUTED_VALUE"""),2090)</f>
        <v>2090</v>
      </c>
      <c r="O107" s="1">
        <f ca="1">IFERROR(__xludf.DUMMYFUNCTION("""COMPUTED_VALUE"""),1922)</f>
        <v>1922</v>
      </c>
      <c r="P107" s="1">
        <f ca="1">IFERROR(__xludf.DUMMYFUNCTION("""COMPUTED_VALUE"""),1170)</f>
        <v>1170</v>
      </c>
      <c r="Q107" s="1">
        <f ca="1">IFERROR(__xludf.DUMMYFUNCTION("""COMPUTED_VALUE"""),740)</f>
        <v>740</v>
      </c>
      <c r="R107" s="1">
        <f ca="1">IFERROR(__xludf.DUMMYFUNCTION("""COMPUTED_VALUE"""),1625)</f>
        <v>1625</v>
      </c>
      <c r="S107" s="1">
        <f ca="1">IFERROR(__xludf.DUMMYFUNCTION("""COMPUTED_VALUE"""),0.455)</f>
        <v>0.45500000000000002</v>
      </c>
      <c r="T107" s="1">
        <f ca="1">IFERROR(__xludf.DUMMYFUNCTION("""COMPUTED_VALUE"""),207)</f>
        <v>207</v>
      </c>
      <c r="U107" s="1">
        <f ca="1">IFERROR(__xludf.DUMMYFUNCTION("""COMPUTED_VALUE"""),599)</f>
        <v>599</v>
      </c>
      <c r="V107" s="1">
        <f ca="1">IFERROR(__xludf.DUMMYFUNCTION("""COMPUTED_VALUE"""),0.346)</f>
        <v>0.34599999999999997</v>
      </c>
      <c r="W107" s="1">
        <f ca="1">IFERROR(__xludf.DUMMYFUNCTION("""COMPUTED_VALUE"""),403)</f>
        <v>403</v>
      </c>
      <c r="X107" s="1">
        <f ca="1">IFERROR(__xludf.DUMMYFUNCTION("""COMPUTED_VALUE"""),556)</f>
        <v>556</v>
      </c>
      <c r="Y107" s="1">
        <f ca="1">IFERROR(__xludf.DUMMYFUNCTION("""COMPUTED_VALUE"""),0.725)</f>
        <v>0.72499999999999998</v>
      </c>
      <c r="Z107" s="1">
        <f ca="1">IFERROR(__xludf.DUMMYFUNCTION("""COMPUTED_VALUE"""),297)</f>
        <v>297</v>
      </c>
      <c r="AA107" s="1">
        <f ca="1">IFERROR(__xludf.DUMMYFUNCTION("""COMPUTED_VALUE"""),1028)</f>
        <v>1028</v>
      </c>
      <c r="AB107" s="1">
        <f ca="1">IFERROR(__xludf.DUMMYFUNCTION("""COMPUTED_VALUE"""),340)</f>
        <v>340</v>
      </c>
      <c r="AC107" s="1">
        <f ca="1">IFERROR(__xludf.DUMMYFUNCTION("""COMPUTED_VALUE"""),169)</f>
        <v>169</v>
      </c>
      <c r="AD107" s="1">
        <f ca="1">IFERROR(__xludf.DUMMYFUNCTION("""COMPUTED_VALUE"""),114)</f>
        <v>114</v>
      </c>
      <c r="AE107" s="1">
        <f ca="1">IFERROR(__xludf.DUMMYFUNCTION("""COMPUTED_VALUE"""),351)</f>
        <v>351</v>
      </c>
      <c r="AF107" s="1">
        <f ca="1">IFERROR(__xludf.DUMMYFUNCTION("""COMPUTED_VALUE"""),502)</f>
        <v>502</v>
      </c>
    </row>
    <row r="108" spans="1:32" x14ac:dyDescent="0.25">
      <c r="A108" s="1" t="str">
        <f ca="1">IFERROR(__xludf.DUMMYFUNCTION("""COMPUTED_VALUE"""),"Fordham")</f>
        <v>Fordham</v>
      </c>
      <c r="B108" s="1">
        <f ca="1">IFERROR(__xludf.DUMMYFUNCTION("""COMPUTED_VALUE"""),28)</f>
        <v>28</v>
      </c>
      <c r="C108" s="1">
        <f ca="1">IFERROR(__xludf.DUMMYFUNCTION("""COMPUTED_VALUE"""),7)</f>
        <v>7</v>
      </c>
      <c r="D108" s="1">
        <f ca="1">IFERROR(__xludf.DUMMYFUNCTION("""COMPUTED_VALUE"""),21)</f>
        <v>21</v>
      </c>
      <c r="E108" s="1">
        <f ca="1">IFERROR(__xludf.DUMMYFUNCTION("""COMPUTED_VALUE"""),0.25)</f>
        <v>0.25</v>
      </c>
      <c r="F108" s="1">
        <f ca="1">IFERROR(__xludf.DUMMYFUNCTION("""COMPUTED_VALUE"""),-4.46)</f>
        <v>-4.46</v>
      </c>
      <c r="G108" s="1">
        <f ca="1">IFERROR(__xludf.DUMMYFUNCTION("""COMPUTED_VALUE"""),-0.03)</f>
        <v>-0.03</v>
      </c>
      <c r="H108" s="1">
        <f ca="1">IFERROR(__xludf.DUMMYFUNCTION("""COMPUTED_VALUE"""),1)</f>
        <v>1</v>
      </c>
      <c r="I108" s="1">
        <f ca="1">IFERROR(__xludf.DUMMYFUNCTION("""COMPUTED_VALUE"""),15)</f>
        <v>15</v>
      </c>
      <c r="J108" s="1">
        <f ca="1">IFERROR(__xludf.DUMMYFUNCTION("""COMPUTED_VALUE"""),6)</f>
        <v>6</v>
      </c>
      <c r="K108" s="1">
        <f ca="1">IFERROR(__xludf.DUMMYFUNCTION("""COMPUTED_VALUE"""),11)</f>
        <v>11</v>
      </c>
      <c r="L108" s="1">
        <f ca="1">IFERROR(__xludf.DUMMYFUNCTION("""COMPUTED_VALUE"""),0)</f>
        <v>0</v>
      </c>
      <c r="M108" s="1">
        <f ca="1">IFERROR(__xludf.DUMMYFUNCTION("""COMPUTED_VALUE"""),8)</f>
        <v>8</v>
      </c>
      <c r="N108" s="1">
        <f ca="1">IFERROR(__xludf.DUMMYFUNCTION("""COMPUTED_VALUE"""),1620)</f>
        <v>1620</v>
      </c>
      <c r="O108" s="1">
        <f ca="1">IFERROR(__xludf.DUMMYFUNCTION("""COMPUTED_VALUE"""),1744)</f>
        <v>1744</v>
      </c>
      <c r="P108" s="1">
        <f ca="1">IFERROR(__xludf.DUMMYFUNCTION("""COMPUTED_VALUE"""),1135)</f>
        <v>1135</v>
      </c>
      <c r="Q108" s="1">
        <f ca="1">IFERROR(__xludf.DUMMYFUNCTION("""COMPUTED_VALUE"""),578)</f>
        <v>578</v>
      </c>
      <c r="R108" s="1">
        <f ca="1">IFERROR(__xludf.DUMMYFUNCTION("""COMPUTED_VALUE"""),1524)</f>
        <v>1524</v>
      </c>
      <c r="S108" s="1">
        <f ca="1">IFERROR(__xludf.DUMMYFUNCTION("""COMPUTED_VALUE"""),0.379)</f>
        <v>0.379</v>
      </c>
      <c r="T108" s="1">
        <f ca="1">IFERROR(__xludf.DUMMYFUNCTION("""COMPUTED_VALUE"""),204)</f>
        <v>204</v>
      </c>
      <c r="U108" s="1">
        <f ca="1">IFERROR(__xludf.DUMMYFUNCTION("""COMPUTED_VALUE"""),646)</f>
        <v>646</v>
      </c>
      <c r="V108" s="1">
        <f ca="1">IFERROR(__xludf.DUMMYFUNCTION("""COMPUTED_VALUE"""),0.316)</f>
        <v>0.316</v>
      </c>
      <c r="W108" s="1">
        <f ca="1">IFERROR(__xludf.DUMMYFUNCTION("""COMPUTED_VALUE"""),260)</f>
        <v>260</v>
      </c>
      <c r="X108" s="1">
        <f ca="1">IFERROR(__xludf.DUMMYFUNCTION("""COMPUTED_VALUE"""),406)</f>
        <v>406</v>
      </c>
      <c r="Y108" s="1">
        <f ca="1">IFERROR(__xludf.DUMMYFUNCTION("""COMPUTED_VALUE"""),0.64)</f>
        <v>0.64</v>
      </c>
      <c r="Z108" s="1">
        <f ca="1">IFERROR(__xludf.DUMMYFUNCTION("""COMPUTED_VALUE"""),220)</f>
        <v>220</v>
      </c>
      <c r="AA108" s="1">
        <f ca="1">IFERROR(__xludf.DUMMYFUNCTION("""COMPUTED_VALUE"""),922)</f>
        <v>922</v>
      </c>
      <c r="AB108" s="1">
        <f ca="1">IFERROR(__xludf.DUMMYFUNCTION("""COMPUTED_VALUE"""),318)</f>
        <v>318</v>
      </c>
      <c r="AC108" s="1">
        <f ca="1">IFERROR(__xludf.DUMMYFUNCTION("""COMPUTED_VALUE"""),195)</f>
        <v>195</v>
      </c>
      <c r="AD108" s="1">
        <f ca="1">IFERROR(__xludf.DUMMYFUNCTION("""COMPUTED_VALUE"""),70)</f>
        <v>70</v>
      </c>
      <c r="AE108" s="1">
        <f ca="1">IFERROR(__xludf.DUMMYFUNCTION("""COMPUTED_VALUE"""),354)</f>
        <v>354</v>
      </c>
      <c r="AF108" s="1">
        <f ca="1">IFERROR(__xludf.DUMMYFUNCTION("""COMPUTED_VALUE"""),489)</f>
        <v>489</v>
      </c>
    </row>
    <row r="109" spans="1:32" x14ac:dyDescent="0.25">
      <c r="A109" s="1" t="str">
        <f ca="1">IFERROR(__xludf.DUMMYFUNCTION("""COMPUTED_VALUE"""),"Fresno State")</f>
        <v>Fresno State</v>
      </c>
      <c r="B109" s="1">
        <f ca="1">IFERROR(__xludf.DUMMYFUNCTION("""COMPUTED_VALUE"""),29)</f>
        <v>29</v>
      </c>
      <c r="C109" s="1">
        <f ca="1">IFERROR(__xludf.DUMMYFUNCTION("""COMPUTED_VALUE"""),11)</f>
        <v>11</v>
      </c>
      <c r="D109" s="1">
        <f ca="1">IFERROR(__xludf.DUMMYFUNCTION("""COMPUTED_VALUE"""),18)</f>
        <v>18</v>
      </c>
      <c r="E109" s="1">
        <f ca="1">IFERROR(__xludf.DUMMYFUNCTION("""COMPUTED_VALUE"""),0.379)</f>
        <v>0.379</v>
      </c>
      <c r="F109" s="1">
        <f ca="1">IFERROR(__xludf.DUMMYFUNCTION("""COMPUTED_VALUE"""),2.38)</f>
        <v>2.38</v>
      </c>
      <c r="G109" s="1">
        <f ca="1">IFERROR(__xludf.DUMMYFUNCTION("""COMPUTED_VALUE"""),3.49)</f>
        <v>3.49</v>
      </c>
      <c r="H109" s="1">
        <f ca="1">IFERROR(__xludf.DUMMYFUNCTION("""COMPUTED_VALUE"""),7)</f>
        <v>7</v>
      </c>
      <c r="I109" s="1">
        <f ca="1">IFERROR(__xludf.DUMMYFUNCTION("""COMPUTED_VALUE"""),11)</f>
        <v>11</v>
      </c>
      <c r="J109" s="1">
        <f ca="1">IFERROR(__xludf.DUMMYFUNCTION("""COMPUTED_VALUE"""),7)</f>
        <v>7</v>
      </c>
      <c r="K109" s="1">
        <f ca="1">IFERROR(__xludf.DUMMYFUNCTION("""COMPUTED_VALUE"""),7)</f>
        <v>7</v>
      </c>
      <c r="L109" s="1">
        <f ca="1">IFERROR(__xludf.DUMMYFUNCTION("""COMPUTED_VALUE"""),4)</f>
        <v>4</v>
      </c>
      <c r="M109" s="1">
        <f ca="1">IFERROR(__xludf.DUMMYFUNCTION("""COMPUTED_VALUE"""),10)</f>
        <v>10</v>
      </c>
      <c r="N109" s="1">
        <f ca="1">IFERROR(__xludf.DUMMYFUNCTION("""COMPUTED_VALUE"""),2005)</f>
        <v>2005</v>
      </c>
      <c r="O109" s="1">
        <f ca="1">IFERROR(__xludf.DUMMYFUNCTION("""COMPUTED_VALUE"""),1991)</f>
        <v>1991</v>
      </c>
      <c r="P109" s="1">
        <f ca="1">IFERROR(__xludf.DUMMYFUNCTION("""COMPUTED_VALUE"""),1185)</f>
        <v>1185</v>
      </c>
      <c r="Q109" s="1">
        <f ca="1">IFERROR(__xludf.DUMMYFUNCTION("""COMPUTED_VALUE"""),690)</f>
        <v>690</v>
      </c>
      <c r="R109" s="1">
        <f ca="1">IFERROR(__xludf.DUMMYFUNCTION("""COMPUTED_VALUE"""),1652)</f>
        <v>1652</v>
      </c>
      <c r="S109" s="1">
        <f ca="1">IFERROR(__xludf.DUMMYFUNCTION("""COMPUTED_VALUE"""),0.418)</f>
        <v>0.41799999999999998</v>
      </c>
      <c r="T109" s="1">
        <f ca="1">IFERROR(__xludf.DUMMYFUNCTION("""COMPUTED_VALUE"""),268)</f>
        <v>268</v>
      </c>
      <c r="U109" s="1">
        <f ca="1">IFERROR(__xludf.DUMMYFUNCTION("""COMPUTED_VALUE"""),799)</f>
        <v>799</v>
      </c>
      <c r="V109" s="1">
        <f ca="1">IFERROR(__xludf.DUMMYFUNCTION("""COMPUTED_VALUE"""),0.335)</f>
        <v>0.33500000000000002</v>
      </c>
      <c r="W109" s="1">
        <f ca="1">IFERROR(__xludf.DUMMYFUNCTION("""COMPUTED_VALUE"""),357)</f>
        <v>357</v>
      </c>
      <c r="X109" s="1">
        <f ca="1">IFERROR(__xludf.DUMMYFUNCTION("""COMPUTED_VALUE"""),510)</f>
        <v>510</v>
      </c>
      <c r="Y109" s="1">
        <f ca="1">IFERROR(__xludf.DUMMYFUNCTION("""COMPUTED_VALUE"""),0.7)</f>
        <v>0.7</v>
      </c>
      <c r="Z109" s="1">
        <f ca="1">IFERROR(__xludf.DUMMYFUNCTION("""COMPUTED_VALUE"""),324)</f>
        <v>324</v>
      </c>
      <c r="AA109" s="1">
        <f ca="1">IFERROR(__xludf.DUMMYFUNCTION("""COMPUTED_VALUE"""),1085)</f>
        <v>1085</v>
      </c>
      <c r="AB109" s="1">
        <f ca="1">IFERROR(__xludf.DUMMYFUNCTION("""COMPUTED_VALUE"""),358)</f>
        <v>358</v>
      </c>
      <c r="AC109" s="1">
        <f ca="1">IFERROR(__xludf.DUMMYFUNCTION("""COMPUTED_VALUE"""),146)</f>
        <v>146</v>
      </c>
      <c r="AD109" s="1">
        <f ca="1">IFERROR(__xludf.DUMMYFUNCTION("""COMPUTED_VALUE"""),108)</f>
        <v>108</v>
      </c>
      <c r="AE109" s="1">
        <f ca="1">IFERROR(__xludf.DUMMYFUNCTION("""COMPUTED_VALUE"""),368)</f>
        <v>368</v>
      </c>
      <c r="AF109" s="1">
        <f ca="1">IFERROR(__xludf.DUMMYFUNCTION("""COMPUTED_VALUE"""),475)</f>
        <v>475</v>
      </c>
    </row>
    <row r="110" spans="1:32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x14ac:dyDescent="0.25">
      <c r="A112" s="1" t="str">
        <f ca="1">IFERROR(__xludf.DUMMYFUNCTION("""COMPUTED_VALUE"""),"Furman")</f>
        <v>Furman</v>
      </c>
      <c r="B112" s="1">
        <f ca="1">IFERROR(__xludf.DUMMYFUNCTION("""COMPUTED_VALUE"""),31)</f>
        <v>31</v>
      </c>
      <c r="C112" s="1">
        <f ca="1">IFERROR(__xludf.DUMMYFUNCTION("""COMPUTED_VALUE"""),25)</f>
        <v>25</v>
      </c>
      <c r="D112" s="1">
        <f ca="1">IFERROR(__xludf.DUMMYFUNCTION("""COMPUTED_VALUE"""),6)</f>
        <v>6</v>
      </c>
      <c r="E112" s="1">
        <f ca="1">IFERROR(__xludf.DUMMYFUNCTION("""COMPUTED_VALUE"""),0.806)</f>
        <v>0.80600000000000005</v>
      </c>
      <c r="F112" s="1">
        <f ca="1">IFERROR(__xludf.DUMMYFUNCTION("""COMPUTED_VALUE"""),7.42)</f>
        <v>7.42</v>
      </c>
      <c r="G112" s="1">
        <f ca="1">IFERROR(__xludf.DUMMYFUNCTION("""COMPUTED_VALUE"""),-1.55)</f>
        <v>-1.55</v>
      </c>
      <c r="H112" s="1">
        <f ca="1">IFERROR(__xludf.DUMMYFUNCTION("""COMPUTED_VALUE"""),15)</f>
        <v>15</v>
      </c>
      <c r="I112" s="1">
        <f ca="1">IFERROR(__xludf.DUMMYFUNCTION("""COMPUTED_VALUE"""),3)</f>
        <v>3</v>
      </c>
      <c r="J112" s="1">
        <f ca="1">IFERROR(__xludf.DUMMYFUNCTION("""COMPUTED_VALUE"""),14)</f>
        <v>14</v>
      </c>
      <c r="K112" s="1">
        <f ca="1">IFERROR(__xludf.DUMMYFUNCTION("""COMPUTED_VALUE"""),1)</f>
        <v>1</v>
      </c>
      <c r="L112" s="1">
        <f ca="1">IFERROR(__xludf.DUMMYFUNCTION("""COMPUTED_VALUE"""),10)</f>
        <v>10</v>
      </c>
      <c r="M112" s="1">
        <f ca="1">IFERROR(__xludf.DUMMYFUNCTION("""COMPUTED_VALUE"""),5)</f>
        <v>5</v>
      </c>
      <c r="N112" s="1">
        <f ca="1">IFERROR(__xludf.DUMMYFUNCTION("""COMPUTED_VALUE"""),2389)</f>
        <v>2389</v>
      </c>
      <c r="O112" s="1">
        <f ca="1">IFERROR(__xludf.DUMMYFUNCTION("""COMPUTED_VALUE"""),2046)</f>
        <v>2046</v>
      </c>
      <c r="P112" s="1">
        <f ca="1">IFERROR(__xludf.DUMMYFUNCTION("""COMPUTED_VALUE"""),1250)</f>
        <v>1250</v>
      </c>
      <c r="Q112" s="1">
        <f ca="1">IFERROR(__xludf.DUMMYFUNCTION("""COMPUTED_VALUE"""),858)</f>
        <v>858</v>
      </c>
      <c r="R112" s="1">
        <f ca="1">IFERROR(__xludf.DUMMYFUNCTION("""COMPUTED_VALUE"""),1802)</f>
        <v>1802</v>
      </c>
      <c r="S112" s="1">
        <f ca="1">IFERROR(__xludf.DUMMYFUNCTION("""COMPUTED_VALUE"""),0.476)</f>
        <v>0.47599999999999998</v>
      </c>
      <c r="T112" s="1">
        <f ca="1">IFERROR(__xludf.DUMMYFUNCTION("""COMPUTED_VALUE"""),294)</f>
        <v>294</v>
      </c>
      <c r="U112" s="1">
        <f ca="1">IFERROR(__xludf.DUMMYFUNCTION("""COMPUTED_VALUE"""),830)</f>
        <v>830</v>
      </c>
      <c r="V112" s="1">
        <f ca="1">IFERROR(__xludf.DUMMYFUNCTION("""COMPUTED_VALUE"""),0.354)</f>
        <v>0.35399999999999998</v>
      </c>
      <c r="W112" s="1">
        <f ca="1">IFERROR(__xludf.DUMMYFUNCTION("""COMPUTED_VALUE"""),379)</f>
        <v>379</v>
      </c>
      <c r="X112" s="1">
        <f ca="1">IFERROR(__xludf.DUMMYFUNCTION("""COMPUTED_VALUE"""),542)</f>
        <v>542</v>
      </c>
      <c r="Y112" s="1">
        <f ca="1">IFERROR(__xludf.DUMMYFUNCTION("""COMPUTED_VALUE"""),0.699)</f>
        <v>0.69899999999999995</v>
      </c>
      <c r="Z112" s="1">
        <f ca="1">IFERROR(__xludf.DUMMYFUNCTION("""COMPUTED_VALUE"""),247)</f>
        <v>247</v>
      </c>
      <c r="AA112" s="1">
        <f ca="1">IFERROR(__xludf.DUMMYFUNCTION("""COMPUTED_VALUE"""),986)</f>
        <v>986</v>
      </c>
      <c r="AB112" s="1">
        <f ca="1">IFERROR(__xludf.DUMMYFUNCTION("""COMPUTED_VALUE"""),469)</f>
        <v>469</v>
      </c>
      <c r="AC112" s="1">
        <f ca="1">IFERROR(__xludf.DUMMYFUNCTION("""COMPUTED_VALUE"""),257)</f>
        <v>257</v>
      </c>
      <c r="AD112" s="1">
        <f ca="1">IFERROR(__xludf.DUMMYFUNCTION("""COMPUTED_VALUE"""),87)</f>
        <v>87</v>
      </c>
      <c r="AE112" s="1">
        <f ca="1">IFERROR(__xludf.DUMMYFUNCTION("""COMPUTED_VALUE"""),356)</f>
        <v>356</v>
      </c>
      <c r="AF112" s="1">
        <f ca="1">IFERROR(__xludf.DUMMYFUNCTION("""COMPUTED_VALUE"""),472)</f>
        <v>472</v>
      </c>
    </row>
    <row r="113" spans="1:32" x14ac:dyDescent="0.25">
      <c r="A113" s="1" t="str">
        <f ca="1">IFERROR(__xludf.DUMMYFUNCTION("""COMPUTED_VALUE"""),"Gardner-Webb")</f>
        <v>Gardner-Webb</v>
      </c>
      <c r="B113" s="1">
        <f ca="1">IFERROR(__xludf.DUMMYFUNCTION("""COMPUTED_VALUE"""),30)</f>
        <v>30</v>
      </c>
      <c r="C113" s="1">
        <f ca="1">IFERROR(__xludf.DUMMYFUNCTION("""COMPUTED_VALUE"""),15)</f>
        <v>15</v>
      </c>
      <c r="D113" s="1">
        <f ca="1">IFERROR(__xludf.DUMMYFUNCTION("""COMPUTED_VALUE"""),15)</f>
        <v>15</v>
      </c>
      <c r="E113" s="1">
        <f ca="1">IFERROR(__xludf.DUMMYFUNCTION("""COMPUTED_VALUE"""),0.5)</f>
        <v>0.5</v>
      </c>
      <c r="F113" s="1">
        <f ca="1">IFERROR(__xludf.DUMMYFUNCTION("""COMPUTED_VALUE"""),-5.53)</f>
        <v>-5.53</v>
      </c>
      <c r="G113" s="1">
        <f ca="1">IFERROR(__xludf.DUMMYFUNCTION("""COMPUTED_VALUE"""),-5.89)</f>
        <v>-5.89</v>
      </c>
      <c r="H113" s="1">
        <f ca="1">IFERROR(__xludf.DUMMYFUNCTION("""COMPUTED_VALUE"""),11)</f>
        <v>11</v>
      </c>
      <c r="I113" s="1">
        <f ca="1">IFERROR(__xludf.DUMMYFUNCTION("""COMPUTED_VALUE"""),7)</f>
        <v>7</v>
      </c>
      <c r="J113" s="1">
        <f ca="1">IFERROR(__xludf.DUMMYFUNCTION("""COMPUTED_VALUE"""),7)</f>
        <v>7</v>
      </c>
      <c r="K113" s="1">
        <f ca="1">IFERROR(__xludf.DUMMYFUNCTION("""COMPUTED_VALUE"""),5)</f>
        <v>5</v>
      </c>
      <c r="L113" s="1">
        <f ca="1">IFERROR(__xludf.DUMMYFUNCTION("""COMPUTED_VALUE"""),6)</f>
        <v>6</v>
      </c>
      <c r="M113" s="1">
        <f ca="1">IFERROR(__xludf.DUMMYFUNCTION("""COMPUTED_VALUE"""),10)</f>
        <v>10</v>
      </c>
      <c r="N113" s="1">
        <f ca="1">IFERROR(__xludf.DUMMYFUNCTION("""COMPUTED_VALUE"""),2180)</f>
        <v>2180</v>
      </c>
      <c r="O113" s="1">
        <f ca="1">IFERROR(__xludf.DUMMYFUNCTION("""COMPUTED_VALUE"""),2132)</f>
        <v>2132</v>
      </c>
      <c r="P113" s="1">
        <f ca="1">IFERROR(__xludf.DUMMYFUNCTION("""COMPUTED_VALUE"""),1235)</f>
        <v>1235</v>
      </c>
      <c r="Q113" s="1">
        <f ca="1">IFERROR(__xludf.DUMMYFUNCTION("""COMPUTED_VALUE"""),763)</f>
        <v>763</v>
      </c>
      <c r="R113" s="1">
        <f ca="1">IFERROR(__xludf.DUMMYFUNCTION("""COMPUTED_VALUE"""),1703)</f>
        <v>1703</v>
      </c>
      <c r="S113" s="1">
        <f ca="1">IFERROR(__xludf.DUMMYFUNCTION("""COMPUTED_VALUE"""),0.448)</f>
        <v>0.44800000000000001</v>
      </c>
      <c r="T113" s="1">
        <f ca="1">IFERROR(__xludf.DUMMYFUNCTION("""COMPUTED_VALUE"""),242)</f>
        <v>242</v>
      </c>
      <c r="U113" s="1">
        <f ca="1">IFERROR(__xludf.DUMMYFUNCTION("""COMPUTED_VALUE"""),665)</f>
        <v>665</v>
      </c>
      <c r="V113" s="1">
        <f ca="1">IFERROR(__xludf.DUMMYFUNCTION("""COMPUTED_VALUE"""),0.364)</f>
        <v>0.36399999999999999</v>
      </c>
      <c r="W113" s="1">
        <f ca="1">IFERROR(__xludf.DUMMYFUNCTION("""COMPUTED_VALUE"""),412)</f>
        <v>412</v>
      </c>
      <c r="X113" s="1">
        <f ca="1">IFERROR(__xludf.DUMMYFUNCTION("""COMPUTED_VALUE"""),593)</f>
        <v>593</v>
      </c>
      <c r="Y113" s="1">
        <f ca="1">IFERROR(__xludf.DUMMYFUNCTION("""COMPUTED_VALUE"""),0.695)</f>
        <v>0.69499999999999995</v>
      </c>
      <c r="Z113" s="1">
        <f ca="1">IFERROR(__xludf.DUMMYFUNCTION("""COMPUTED_VALUE"""),285)</f>
        <v>285</v>
      </c>
      <c r="AA113" s="1">
        <f ca="1">IFERROR(__xludf.DUMMYFUNCTION("""COMPUTED_VALUE"""),1045)</f>
        <v>1045</v>
      </c>
      <c r="AB113" s="1">
        <f ca="1">IFERROR(__xludf.DUMMYFUNCTION("""COMPUTED_VALUE"""),425)</f>
        <v>425</v>
      </c>
      <c r="AC113" s="1">
        <f ca="1">IFERROR(__xludf.DUMMYFUNCTION("""COMPUTED_VALUE"""),191)</f>
        <v>191</v>
      </c>
      <c r="AD113" s="1">
        <f ca="1">IFERROR(__xludf.DUMMYFUNCTION("""COMPUTED_VALUE"""),142)</f>
        <v>142</v>
      </c>
      <c r="AE113" s="1">
        <f ca="1">IFERROR(__xludf.DUMMYFUNCTION("""COMPUTED_VALUE"""),378)</f>
        <v>378</v>
      </c>
      <c r="AF113" s="1">
        <f ca="1">IFERROR(__xludf.DUMMYFUNCTION("""COMPUTED_VALUE"""),484)</f>
        <v>484</v>
      </c>
    </row>
    <row r="114" spans="1:32" x14ac:dyDescent="0.25">
      <c r="A114" s="1" t="str">
        <f ca="1">IFERROR(__xludf.DUMMYFUNCTION("""COMPUTED_VALUE"""),"George Mason")</f>
        <v>George Mason</v>
      </c>
      <c r="B114" s="1">
        <f ca="1">IFERROR(__xludf.DUMMYFUNCTION("""COMPUTED_VALUE"""),29)</f>
        <v>29</v>
      </c>
      <c r="C114" s="1">
        <f ca="1">IFERROR(__xludf.DUMMYFUNCTION("""COMPUTED_VALUE"""),15)</f>
        <v>15</v>
      </c>
      <c r="D114" s="1">
        <f ca="1">IFERROR(__xludf.DUMMYFUNCTION("""COMPUTED_VALUE"""),14)</f>
        <v>14</v>
      </c>
      <c r="E114" s="1">
        <f ca="1">IFERROR(__xludf.DUMMYFUNCTION("""COMPUTED_VALUE"""),0.517)</f>
        <v>0.51700000000000002</v>
      </c>
      <c r="F114" s="1">
        <f ca="1">IFERROR(__xludf.DUMMYFUNCTION("""COMPUTED_VALUE"""),1.17)</f>
        <v>1.17</v>
      </c>
      <c r="G114" s="1">
        <f ca="1">IFERROR(__xludf.DUMMYFUNCTION("""COMPUTED_VALUE"""),1.83)</f>
        <v>1.83</v>
      </c>
      <c r="H114" s="1">
        <f ca="1">IFERROR(__xludf.DUMMYFUNCTION("""COMPUTED_VALUE"""),4)</f>
        <v>4</v>
      </c>
      <c r="I114" s="1">
        <f ca="1">IFERROR(__xludf.DUMMYFUNCTION("""COMPUTED_VALUE"""),12)</f>
        <v>12</v>
      </c>
      <c r="J114" s="1">
        <f ca="1">IFERROR(__xludf.DUMMYFUNCTION("""COMPUTED_VALUE"""),10)</f>
        <v>10</v>
      </c>
      <c r="K114" s="1">
        <f ca="1">IFERROR(__xludf.DUMMYFUNCTION("""COMPUTED_VALUE"""),6)</f>
        <v>6</v>
      </c>
      <c r="L114" s="1">
        <f ca="1">IFERROR(__xludf.DUMMYFUNCTION("""COMPUTED_VALUE"""),2)</f>
        <v>2</v>
      </c>
      <c r="M114" s="1">
        <f ca="1">IFERROR(__xludf.DUMMYFUNCTION("""COMPUTED_VALUE"""),8)</f>
        <v>8</v>
      </c>
      <c r="N114" s="1">
        <f ca="1">IFERROR(__xludf.DUMMYFUNCTION("""COMPUTED_VALUE"""),1949)</f>
        <v>1949</v>
      </c>
      <c r="O114" s="1">
        <f ca="1">IFERROR(__xludf.DUMMYFUNCTION("""COMPUTED_VALUE"""),1968)</f>
        <v>1968</v>
      </c>
      <c r="P114" s="1">
        <f ca="1">IFERROR(__xludf.DUMMYFUNCTION("""COMPUTED_VALUE"""),1165)</f>
        <v>1165</v>
      </c>
      <c r="Q114" s="1">
        <f ca="1">IFERROR(__xludf.DUMMYFUNCTION("""COMPUTED_VALUE"""),696)</f>
        <v>696</v>
      </c>
      <c r="R114" s="1">
        <f ca="1">IFERROR(__xludf.DUMMYFUNCTION("""COMPUTED_VALUE"""),1646)</f>
        <v>1646</v>
      </c>
      <c r="S114" s="1">
        <f ca="1">IFERROR(__xludf.DUMMYFUNCTION("""COMPUTED_VALUE"""),0.423)</f>
        <v>0.42299999999999999</v>
      </c>
      <c r="T114" s="1">
        <f ca="1">IFERROR(__xludf.DUMMYFUNCTION("""COMPUTED_VALUE"""),170)</f>
        <v>170</v>
      </c>
      <c r="U114" s="1">
        <f ca="1">IFERROR(__xludf.DUMMYFUNCTION("""COMPUTED_VALUE"""),565)</f>
        <v>565</v>
      </c>
      <c r="V114" s="1">
        <f ca="1">IFERROR(__xludf.DUMMYFUNCTION("""COMPUTED_VALUE"""),0.301)</f>
        <v>0.30099999999999999</v>
      </c>
      <c r="W114" s="1">
        <f ca="1">IFERROR(__xludf.DUMMYFUNCTION("""COMPUTED_VALUE"""),387)</f>
        <v>387</v>
      </c>
      <c r="X114" s="1">
        <f ca="1">IFERROR(__xludf.DUMMYFUNCTION("""COMPUTED_VALUE"""),552)</f>
        <v>552</v>
      </c>
      <c r="Y114" s="1">
        <f ca="1">IFERROR(__xludf.DUMMYFUNCTION("""COMPUTED_VALUE"""),0.701)</f>
        <v>0.70099999999999996</v>
      </c>
      <c r="Z114" s="1">
        <f ca="1">IFERROR(__xludf.DUMMYFUNCTION("""COMPUTED_VALUE"""),350)</f>
        <v>350</v>
      </c>
      <c r="AA114" s="1">
        <f ca="1">IFERROR(__xludf.DUMMYFUNCTION("""COMPUTED_VALUE"""),1079)</f>
        <v>1079</v>
      </c>
      <c r="AB114" s="1">
        <f ca="1">IFERROR(__xludf.DUMMYFUNCTION("""COMPUTED_VALUE"""),314)</f>
        <v>314</v>
      </c>
      <c r="AC114" s="1">
        <f ca="1">IFERROR(__xludf.DUMMYFUNCTION("""COMPUTED_VALUE"""),179)</f>
        <v>179</v>
      </c>
      <c r="AD114" s="1">
        <f ca="1">IFERROR(__xludf.DUMMYFUNCTION("""COMPUTED_VALUE"""),134)</f>
        <v>134</v>
      </c>
      <c r="AE114" s="1">
        <f ca="1">IFERROR(__xludf.DUMMYFUNCTION("""COMPUTED_VALUE"""),395)</f>
        <v>395</v>
      </c>
      <c r="AF114" s="1">
        <f ca="1">IFERROR(__xludf.DUMMYFUNCTION("""COMPUTED_VALUE"""),490)</f>
        <v>490</v>
      </c>
    </row>
    <row r="115" spans="1:32" x14ac:dyDescent="0.25">
      <c r="A115" s="1" t="str">
        <f ca="1">IFERROR(__xludf.DUMMYFUNCTION("""COMPUTED_VALUE"""),"George Washington")</f>
        <v>George Washington</v>
      </c>
      <c r="B115" s="1">
        <f ca="1">IFERROR(__xludf.DUMMYFUNCTION("""COMPUTED_VALUE"""),29)</f>
        <v>29</v>
      </c>
      <c r="C115" s="1">
        <f ca="1">IFERROR(__xludf.DUMMYFUNCTION("""COMPUTED_VALUE"""),12)</f>
        <v>12</v>
      </c>
      <c r="D115" s="1">
        <f ca="1">IFERROR(__xludf.DUMMYFUNCTION("""COMPUTED_VALUE"""),17)</f>
        <v>17</v>
      </c>
      <c r="E115" s="1">
        <f ca="1">IFERROR(__xludf.DUMMYFUNCTION("""COMPUTED_VALUE"""),0.414)</f>
        <v>0.41399999999999998</v>
      </c>
      <c r="F115" s="1">
        <f ca="1">IFERROR(__xludf.DUMMYFUNCTION("""COMPUTED_VALUE"""),-2.79)</f>
        <v>-2.79</v>
      </c>
      <c r="G115" s="1">
        <f ca="1">IFERROR(__xludf.DUMMYFUNCTION("""COMPUTED_VALUE"""),0.69)</f>
        <v>0.69</v>
      </c>
      <c r="H115" s="1">
        <f ca="1">IFERROR(__xludf.DUMMYFUNCTION("""COMPUTED_VALUE"""),6)</f>
        <v>6</v>
      </c>
      <c r="I115" s="1">
        <f ca="1">IFERROR(__xludf.DUMMYFUNCTION("""COMPUTED_VALUE"""),10)</f>
        <v>10</v>
      </c>
      <c r="J115" s="1">
        <f ca="1">IFERROR(__xludf.DUMMYFUNCTION("""COMPUTED_VALUE"""),7)</f>
        <v>7</v>
      </c>
      <c r="K115" s="1">
        <f ca="1">IFERROR(__xludf.DUMMYFUNCTION("""COMPUTED_VALUE"""),8)</f>
        <v>8</v>
      </c>
      <c r="L115" s="1">
        <f ca="1">IFERROR(__xludf.DUMMYFUNCTION("""COMPUTED_VALUE"""),3)</f>
        <v>3</v>
      </c>
      <c r="M115" s="1">
        <f ca="1">IFERROR(__xludf.DUMMYFUNCTION("""COMPUTED_VALUE"""),8)</f>
        <v>8</v>
      </c>
      <c r="N115" s="1">
        <f ca="1">IFERROR(__xludf.DUMMYFUNCTION("""COMPUTED_VALUE"""),1931)</f>
        <v>1931</v>
      </c>
      <c r="O115" s="1">
        <f ca="1">IFERROR(__xludf.DUMMYFUNCTION("""COMPUTED_VALUE"""),2032)</f>
        <v>2032</v>
      </c>
      <c r="P115" s="1">
        <f ca="1">IFERROR(__xludf.DUMMYFUNCTION("""COMPUTED_VALUE"""),1180)</f>
        <v>1180</v>
      </c>
      <c r="Q115" s="1">
        <f ca="1">IFERROR(__xludf.DUMMYFUNCTION("""COMPUTED_VALUE"""),672)</f>
        <v>672</v>
      </c>
      <c r="R115" s="1">
        <f ca="1">IFERROR(__xludf.DUMMYFUNCTION("""COMPUTED_VALUE"""),1576)</f>
        <v>1576</v>
      </c>
      <c r="S115" s="1">
        <f ca="1">IFERROR(__xludf.DUMMYFUNCTION("""COMPUTED_VALUE"""),0.426)</f>
        <v>0.42599999999999999</v>
      </c>
      <c r="T115" s="1">
        <f ca="1">IFERROR(__xludf.DUMMYFUNCTION("""COMPUTED_VALUE"""),215)</f>
        <v>215</v>
      </c>
      <c r="U115" s="1">
        <f ca="1">IFERROR(__xludf.DUMMYFUNCTION("""COMPUTED_VALUE"""),660)</f>
        <v>660</v>
      </c>
      <c r="V115" s="1">
        <f ca="1">IFERROR(__xludf.DUMMYFUNCTION("""COMPUTED_VALUE"""),0.326)</f>
        <v>0.32600000000000001</v>
      </c>
      <c r="W115" s="1">
        <f ca="1">IFERROR(__xludf.DUMMYFUNCTION("""COMPUTED_VALUE"""),372)</f>
        <v>372</v>
      </c>
      <c r="X115" s="1">
        <f ca="1">IFERROR(__xludf.DUMMYFUNCTION("""COMPUTED_VALUE"""),530)</f>
        <v>530</v>
      </c>
      <c r="Y115" s="1">
        <f ca="1">IFERROR(__xludf.DUMMYFUNCTION("""COMPUTED_VALUE"""),0.702)</f>
        <v>0.70199999999999996</v>
      </c>
      <c r="Z115" s="1">
        <f ca="1">IFERROR(__xludf.DUMMYFUNCTION("""COMPUTED_VALUE"""),233)</f>
        <v>233</v>
      </c>
      <c r="AA115" s="1">
        <f ca="1">IFERROR(__xludf.DUMMYFUNCTION("""COMPUTED_VALUE"""),965)</f>
        <v>965</v>
      </c>
      <c r="AB115" s="1">
        <f ca="1">IFERROR(__xludf.DUMMYFUNCTION("""COMPUTED_VALUE"""),350)</f>
        <v>350</v>
      </c>
      <c r="AC115" s="1">
        <f ca="1">IFERROR(__xludf.DUMMYFUNCTION("""COMPUTED_VALUE"""),154)</f>
        <v>154</v>
      </c>
      <c r="AD115" s="1">
        <f ca="1">IFERROR(__xludf.DUMMYFUNCTION("""COMPUTED_VALUE"""),123)</f>
        <v>123</v>
      </c>
      <c r="AE115" s="1">
        <f ca="1">IFERROR(__xludf.DUMMYFUNCTION("""COMPUTED_VALUE"""),374)</f>
        <v>374</v>
      </c>
      <c r="AF115" s="1">
        <f ca="1">IFERROR(__xludf.DUMMYFUNCTION("""COMPUTED_VALUE"""),474)</f>
        <v>474</v>
      </c>
    </row>
    <row r="116" spans="1:32" x14ac:dyDescent="0.25">
      <c r="A116" s="1" t="str">
        <f ca="1">IFERROR(__xludf.DUMMYFUNCTION("""COMPUTED_VALUE"""),"Georgetown")</f>
        <v>Georgetown</v>
      </c>
      <c r="B116" s="1">
        <f ca="1">IFERROR(__xludf.DUMMYFUNCTION("""COMPUTED_VALUE"""),29)</f>
        <v>29</v>
      </c>
      <c r="C116" s="1">
        <f ca="1">IFERROR(__xludf.DUMMYFUNCTION("""COMPUTED_VALUE"""),15)</f>
        <v>15</v>
      </c>
      <c r="D116" s="1">
        <f ca="1">IFERROR(__xludf.DUMMYFUNCTION("""COMPUTED_VALUE"""),14)</f>
        <v>14</v>
      </c>
      <c r="E116" s="1">
        <f ca="1">IFERROR(__xludf.DUMMYFUNCTION("""COMPUTED_VALUE"""),0.517)</f>
        <v>0.51700000000000002</v>
      </c>
      <c r="F116" s="1">
        <f ca="1">IFERROR(__xludf.DUMMYFUNCTION("""COMPUTED_VALUE"""),11.03)</f>
        <v>11.03</v>
      </c>
      <c r="G116" s="1">
        <f ca="1">IFERROR(__xludf.DUMMYFUNCTION("""COMPUTED_VALUE"""),9.17)</f>
        <v>9.17</v>
      </c>
      <c r="H116" s="1">
        <f ca="1">IFERROR(__xludf.DUMMYFUNCTION("""COMPUTED_VALUE"""),5)</f>
        <v>5</v>
      </c>
      <c r="I116" s="1">
        <f ca="1">IFERROR(__xludf.DUMMYFUNCTION("""COMPUTED_VALUE"""),11)</f>
        <v>11</v>
      </c>
      <c r="J116" s="1">
        <f ca="1">IFERROR(__xludf.DUMMYFUNCTION("""COMPUTED_VALUE"""),10)</f>
        <v>10</v>
      </c>
      <c r="K116" s="1">
        <f ca="1">IFERROR(__xludf.DUMMYFUNCTION("""COMPUTED_VALUE"""),7)</f>
        <v>7</v>
      </c>
      <c r="L116" s="1">
        <f ca="1">IFERROR(__xludf.DUMMYFUNCTION("""COMPUTED_VALUE"""),4)</f>
        <v>4</v>
      </c>
      <c r="M116" s="1">
        <f ca="1">IFERROR(__xludf.DUMMYFUNCTION("""COMPUTED_VALUE"""),6)</f>
        <v>6</v>
      </c>
      <c r="N116" s="1">
        <f ca="1">IFERROR(__xludf.DUMMYFUNCTION("""COMPUTED_VALUE"""),2182)</f>
        <v>2182</v>
      </c>
      <c r="O116" s="1">
        <f ca="1">IFERROR(__xludf.DUMMYFUNCTION("""COMPUTED_VALUE"""),2128)</f>
        <v>2128</v>
      </c>
      <c r="P116" s="1">
        <f ca="1">IFERROR(__xludf.DUMMYFUNCTION("""COMPUTED_VALUE"""),1160)</f>
        <v>1160</v>
      </c>
      <c r="Q116" s="1">
        <f ca="1">IFERROR(__xludf.DUMMYFUNCTION("""COMPUTED_VALUE"""),762)</f>
        <v>762</v>
      </c>
      <c r="R116" s="1">
        <f ca="1">IFERROR(__xludf.DUMMYFUNCTION("""COMPUTED_VALUE"""),1742)</f>
        <v>1742</v>
      </c>
      <c r="S116" s="1">
        <f ca="1">IFERROR(__xludf.DUMMYFUNCTION("""COMPUTED_VALUE"""),0.437)</f>
        <v>0.437</v>
      </c>
      <c r="T116" s="1">
        <f ca="1">IFERROR(__xludf.DUMMYFUNCTION("""COMPUTED_VALUE"""),182)</f>
        <v>182</v>
      </c>
      <c r="U116" s="1">
        <f ca="1">IFERROR(__xludf.DUMMYFUNCTION("""COMPUTED_VALUE"""),524)</f>
        <v>524</v>
      </c>
      <c r="V116" s="1">
        <f ca="1">IFERROR(__xludf.DUMMYFUNCTION("""COMPUTED_VALUE"""),0.347)</f>
        <v>0.34699999999999998</v>
      </c>
      <c r="W116" s="1">
        <f ca="1">IFERROR(__xludf.DUMMYFUNCTION("""COMPUTED_VALUE"""),476)</f>
        <v>476</v>
      </c>
      <c r="X116" s="1">
        <f ca="1">IFERROR(__xludf.DUMMYFUNCTION("""COMPUTED_VALUE"""),611)</f>
        <v>611</v>
      </c>
      <c r="Y116" s="1">
        <f ca="1">IFERROR(__xludf.DUMMYFUNCTION("""COMPUTED_VALUE"""),0.779)</f>
        <v>0.77900000000000003</v>
      </c>
      <c r="Z116" s="1">
        <f ca="1">IFERROR(__xludf.DUMMYFUNCTION("""COMPUTED_VALUE"""),342)</f>
        <v>342</v>
      </c>
      <c r="AA116" s="1">
        <f ca="1">IFERROR(__xludf.DUMMYFUNCTION("""COMPUTED_VALUE"""),1111)</f>
        <v>1111</v>
      </c>
      <c r="AB116" s="1">
        <f ca="1">IFERROR(__xludf.DUMMYFUNCTION("""COMPUTED_VALUE"""),433)</f>
        <v>433</v>
      </c>
      <c r="AC116" s="1">
        <f ca="1">IFERROR(__xludf.DUMMYFUNCTION("""COMPUTED_VALUE"""),183)</f>
        <v>183</v>
      </c>
      <c r="AD116" s="1">
        <f ca="1">IFERROR(__xludf.DUMMYFUNCTION("""COMPUTED_VALUE"""),118)</f>
        <v>118</v>
      </c>
      <c r="AE116" s="1">
        <f ca="1">IFERROR(__xludf.DUMMYFUNCTION("""COMPUTED_VALUE"""),392)</f>
        <v>392</v>
      </c>
      <c r="AF116" s="1">
        <f ca="1">IFERROR(__xludf.DUMMYFUNCTION("""COMPUTED_VALUE"""),468)</f>
        <v>468</v>
      </c>
    </row>
    <row r="117" spans="1:32" x14ac:dyDescent="0.25">
      <c r="A117" s="1" t="str">
        <f ca="1">IFERROR(__xludf.DUMMYFUNCTION("""COMPUTED_VALUE"""),"Georgia Southern")</f>
        <v>Georgia Southern</v>
      </c>
      <c r="B117" s="1">
        <f ca="1">IFERROR(__xludf.DUMMYFUNCTION("""COMPUTED_VALUE"""),30)</f>
        <v>30</v>
      </c>
      <c r="C117" s="1">
        <f ca="1">IFERROR(__xludf.DUMMYFUNCTION("""COMPUTED_VALUE"""),18)</f>
        <v>18</v>
      </c>
      <c r="D117" s="1">
        <f ca="1">IFERROR(__xludf.DUMMYFUNCTION("""COMPUTED_VALUE"""),12)</f>
        <v>12</v>
      </c>
      <c r="E117" s="1">
        <f ca="1">IFERROR(__xludf.DUMMYFUNCTION("""COMPUTED_VALUE"""),0.6)</f>
        <v>0.6</v>
      </c>
      <c r="F117" s="1">
        <f ca="1">IFERROR(__xludf.DUMMYFUNCTION("""COMPUTED_VALUE"""),1.42)</f>
        <v>1.42</v>
      </c>
      <c r="G117" s="1">
        <f ca="1">IFERROR(__xludf.DUMMYFUNCTION("""COMPUTED_VALUE"""),-0.69)</f>
        <v>-0.69</v>
      </c>
      <c r="H117" s="1">
        <f ca="1">IFERROR(__xludf.DUMMYFUNCTION("""COMPUTED_VALUE"""),12)</f>
        <v>12</v>
      </c>
      <c r="I117" s="1">
        <f ca="1">IFERROR(__xludf.DUMMYFUNCTION("""COMPUTED_VALUE"""),7)</f>
        <v>7</v>
      </c>
      <c r="J117" s="1">
        <f ca="1">IFERROR(__xludf.DUMMYFUNCTION("""COMPUTED_VALUE"""),10)</f>
        <v>10</v>
      </c>
      <c r="K117" s="1">
        <f ca="1">IFERROR(__xludf.DUMMYFUNCTION("""COMPUTED_VALUE"""),3)</f>
        <v>3</v>
      </c>
      <c r="L117" s="1">
        <f ca="1">IFERROR(__xludf.DUMMYFUNCTION("""COMPUTED_VALUE"""),7)</f>
        <v>7</v>
      </c>
      <c r="M117" s="1">
        <f ca="1">IFERROR(__xludf.DUMMYFUNCTION("""COMPUTED_VALUE"""),8)</f>
        <v>8</v>
      </c>
      <c r="N117" s="1">
        <f ca="1">IFERROR(__xludf.DUMMYFUNCTION("""COMPUTED_VALUE"""),2256)</f>
        <v>2256</v>
      </c>
      <c r="O117" s="1">
        <f ca="1">IFERROR(__xludf.DUMMYFUNCTION("""COMPUTED_VALUE"""),2113)</f>
        <v>2113</v>
      </c>
      <c r="P117" s="1">
        <f ca="1">IFERROR(__xludf.DUMMYFUNCTION("""COMPUTED_VALUE"""),1200)</f>
        <v>1200</v>
      </c>
      <c r="Q117" s="1">
        <f ca="1">IFERROR(__xludf.DUMMYFUNCTION("""COMPUTED_VALUE"""),785)</f>
        <v>785</v>
      </c>
      <c r="R117" s="1">
        <f ca="1">IFERROR(__xludf.DUMMYFUNCTION("""COMPUTED_VALUE"""),1800)</f>
        <v>1800</v>
      </c>
      <c r="S117" s="1">
        <f ca="1">IFERROR(__xludf.DUMMYFUNCTION("""COMPUTED_VALUE"""),0.436)</f>
        <v>0.436</v>
      </c>
      <c r="T117" s="1">
        <f ca="1">IFERROR(__xludf.DUMMYFUNCTION("""COMPUTED_VALUE"""),240)</f>
        <v>240</v>
      </c>
      <c r="U117" s="1">
        <f ca="1">IFERROR(__xludf.DUMMYFUNCTION("""COMPUTED_VALUE"""),741)</f>
        <v>741</v>
      </c>
      <c r="V117" s="1">
        <f ca="1">IFERROR(__xludf.DUMMYFUNCTION("""COMPUTED_VALUE"""),0.324)</f>
        <v>0.32400000000000001</v>
      </c>
      <c r="W117" s="1">
        <f ca="1">IFERROR(__xludf.DUMMYFUNCTION("""COMPUTED_VALUE"""),446)</f>
        <v>446</v>
      </c>
      <c r="X117" s="1">
        <f ca="1">IFERROR(__xludf.DUMMYFUNCTION("""COMPUTED_VALUE"""),656)</f>
        <v>656</v>
      </c>
      <c r="Y117" s="1">
        <f ca="1">IFERROR(__xludf.DUMMYFUNCTION("""COMPUTED_VALUE"""),0.68)</f>
        <v>0.68</v>
      </c>
      <c r="Z117" s="1">
        <f ca="1">IFERROR(__xludf.DUMMYFUNCTION("""COMPUTED_VALUE"""),292)</f>
        <v>292</v>
      </c>
      <c r="AA117" s="1">
        <f ca="1">IFERROR(__xludf.DUMMYFUNCTION("""COMPUTED_VALUE"""),1064)</f>
        <v>1064</v>
      </c>
      <c r="AB117" s="1">
        <f ca="1">IFERROR(__xludf.DUMMYFUNCTION("""COMPUTED_VALUE"""),367)</f>
        <v>367</v>
      </c>
      <c r="AC117" s="1">
        <f ca="1">IFERROR(__xludf.DUMMYFUNCTION("""COMPUTED_VALUE"""),239)</f>
        <v>239</v>
      </c>
      <c r="AD117" s="1">
        <f ca="1">IFERROR(__xludf.DUMMYFUNCTION("""COMPUTED_VALUE"""),117)</f>
        <v>117</v>
      </c>
      <c r="AE117" s="1">
        <f ca="1">IFERROR(__xludf.DUMMYFUNCTION("""COMPUTED_VALUE"""),387)</f>
        <v>387</v>
      </c>
      <c r="AF117" s="1">
        <f ca="1">IFERROR(__xludf.DUMMYFUNCTION("""COMPUTED_VALUE"""),493)</f>
        <v>493</v>
      </c>
    </row>
    <row r="118" spans="1:32" x14ac:dyDescent="0.25">
      <c r="A118" s="1" t="str">
        <f ca="1">IFERROR(__xludf.DUMMYFUNCTION("""COMPUTED_VALUE"""),"Georgia State")</f>
        <v>Georgia State</v>
      </c>
      <c r="B118" s="1">
        <f ca="1">IFERROR(__xludf.DUMMYFUNCTION("""COMPUTED_VALUE"""),30)</f>
        <v>30</v>
      </c>
      <c r="C118" s="1">
        <f ca="1">IFERROR(__xludf.DUMMYFUNCTION("""COMPUTED_VALUE"""),18)</f>
        <v>18</v>
      </c>
      <c r="D118" s="1">
        <f ca="1">IFERROR(__xludf.DUMMYFUNCTION("""COMPUTED_VALUE"""),12)</f>
        <v>12</v>
      </c>
      <c r="E118" s="1">
        <f ca="1">IFERROR(__xludf.DUMMYFUNCTION("""COMPUTED_VALUE"""),0.6)</f>
        <v>0.6</v>
      </c>
      <c r="F118" s="1">
        <f ca="1">IFERROR(__xludf.DUMMYFUNCTION("""COMPUTED_VALUE"""),3.32)</f>
        <v>3.32</v>
      </c>
      <c r="G118" s="1">
        <f ca="1">IFERROR(__xludf.DUMMYFUNCTION("""COMPUTED_VALUE"""),0.14)</f>
        <v>0.14000000000000001</v>
      </c>
      <c r="H118" s="1">
        <f ca="1">IFERROR(__xludf.DUMMYFUNCTION("""COMPUTED_VALUE"""),11)</f>
        <v>11</v>
      </c>
      <c r="I118" s="1">
        <f ca="1">IFERROR(__xludf.DUMMYFUNCTION("""COMPUTED_VALUE"""),8)</f>
        <v>8</v>
      </c>
      <c r="J118" s="1">
        <f ca="1">IFERROR(__xludf.DUMMYFUNCTION("""COMPUTED_VALUE"""),11)</f>
        <v>11</v>
      </c>
      <c r="K118" s="1">
        <f ca="1">IFERROR(__xludf.DUMMYFUNCTION("""COMPUTED_VALUE"""),2)</f>
        <v>2</v>
      </c>
      <c r="L118" s="1">
        <f ca="1">IFERROR(__xludf.DUMMYFUNCTION("""COMPUTED_VALUE"""),6)</f>
        <v>6</v>
      </c>
      <c r="M118" s="1">
        <f ca="1">IFERROR(__xludf.DUMMYFUNCTION("""COMPUTED_VALUE"""),10)</f>
        <v>10</v>
      </c>
      <c r="N118" s="1">
        <f ca="1">IFERROR(__xludf.DUMMYFUNCTION("""COMPUTED_VALUE"""),2348)</f>
        <v>2348</v>
      </c>
      <c r="O118" s="1">
        <f ca="1">IFERROR(__xludf.DUMMYFUNCTION("""COMPUTED_VALUE"""),2160)</f>
        <v>2160</v>
      </c>
      <c r="P118" s="1">
        <f ca="1">IFERROR(__xludf.DUMMYFUNCTION("""COMPUTED_VALUE"""),1210)</f>
        <v>1210</v>
      </c>
      <c r="Q118" s="1">
        <f ca="1">IFERROR(__xludf.DUMMYFUNCTION("""COMPUTED_VALUE"""),827)</f>
        <v>827</v>
      </c>
      <c r="R118" s="1">
        <f ca="1">IFERROR(__xludf.DUMMYFUNCTION("""COMPUTED_VALUE"""),1887)</f>
        <v>1887</v>
      </c>
      <c r="S118" s="1">
        <f ca="1">IFERROR(__xludf.DUMMYFUNCTION("""COMPUTED_VALUE"""),0.438)</f>
        <v>0.438</v>
      </c>
      <c r="T118" s="1">
        <f ca="1">IFERROR(__xludf.DUMMYFUNCTION("""COMPUTED_VALUE"""),265)</f>
        <v>265</v>
      </c>
      <c r="U118" s="1">
        <f ca="1">IFERROR(__xludf.DUMMYFUNCTION("""COMPUTED_VALUE"""),722)</f>
        <v>722</v>
      </c>
      <c r="V118" s="1">
        <f ca="1">IFERROR(__xludf.DUMMYFUNCTION("""COMPUTED_VALUE"""),0.367)</f>
        <v>0.36699999999999999</v>
      </c>
      <c r="W118" s="1">
        <f ca="1">IFERROR(__xludf.DUMMYFUNCTION("""COMPUTED_VALUE"""),429)</f>
        <v>429</v>
      </c>
      <c r="X118" s="1">
        <f ca="1">IFERROR(__xludf.DUMMYFUNCTION("""COMPUTED_VALUE"""),582)</f>
        <v>582</v>
      </c>
      <c r="Y118" s="1">
        <f ca="1">IFERROR(__xludf.DUMMYFUNCTION("""COMPUTED_VALUE"""),0.737)</f>
        <v>0.73699999999999999</v>
      </c>
      <c r="Z118" s="1">
        <f ca="1">IFERROR(__xludf.DUMMYFUNCTION("""COMPUTED_VALUE"""),354)</f>
        <v>354</v>
      </c>
      <c r="AA118" s="1">
        <f ca="1">IFERROR(__xludf.DUMMYFUNCTION("""COMPUTED_VALUE"""),1118)</f>
        <v>1118</v>
      </c>
      <c r="AB118" s="1">
        <f ca="1">IFERROR(__xludf.DUMMYFUNCTION("""COMPUTED_VALUE"""),436)</f>
        <v>436</v>
      </c>
      <c r="AC118" s="1">
        <f ca="1">IFERROR(__xludf.DUMMYFUNCTION("""COMPUTED_VALUE"""),240)</f>
        <v>240</v>
      </c>
      <c r="AD118" s="1">
        <f ca="1">IFERROR(__xludf.DUMMYFUNCTION("""COMPUTED_VALUE"""),130)</f>
        <v>130</v>
      </c>
      <c r="AE118" s="1">
        <f ca="1">IFERROR(__xludf.DUMMYFUNCTION("""COMPUTED_VALUE"""),430)</f>
        <v>430</v>
      </c>
      <c r="AF118" s="1">
        <f ca="1">IFERROR(__xludf.DUMMYFUNCTION("""COMPUTED_VALUE"""),632)</f>
        <v>632</v>
      </c>
    </row>
    <row r="119" spans="1:32" x14ac:dyDescent="0.25">
      <c r="A119" s="1" t="str">
        <f ca="1">IFERROR(__xludf.DUMMYFUNCTION("""COMPUTED_VALUE"""),"Georgia Tech")</f>
        <v>Georgia Tech</v>
      </c>
      <c r="B119" s="1">
        <f ca="1">IFERROR(__xludf.DUMMYFUNCTION("""COMPUTED_VALUE"""),29)</f>
        <v>29</v>
      </c>
      <c r="C119" s="1">
        <f ca="1">IFERROR(__xludf.DUMMYFUNCTION("""COMPUTED_VALUE"""),15)</f>
        <v>15</v>
      </c>
      <c r="D119" s="1">
        <f ca="1">IFERROR(__xludf.DUMMYFUNCTION("""COMPUTED_VALUE"""),14)</f>
        <v>14</v>
      </c>
      <c r="E119" s="1">
        <f ca="1">IFERROR(__xludf.DUMMYFUNCTION("""COMPUTED_VALUE"""),0.517)</f>
        <v>0.51700000000000002</v>
      </c>
      <c r="F119" s="1">
        <f ca="1">IFERROR(__xludf.DUMMYFUNCTION("""COMPUTED_VALUE"""),10.01)</f>
        <v>10.01</v>
      </c>
      <c r="G119" s="1">
        <f ca="1">IFERROR(__xludf.DUMMYFUNCTION("""COMPUTED_VALUE"""),9.29)</f>
        <v>9.2899999999999991</v>
      </c>
      <c r="H119" s="1">
        <f ca="1">IFERROR(__xludf.DUMMYFUNCTION("""COMPUTED_VALUE"""),9)</f>
        <v>9</v>
      </c>
      <c r="I119" s="1">
        <f ca="1">IFERROR(__xludf.DUMMYFUNCTION("""COMPUTED_VALUE"""),9)</f>
        <v>9</v>
      </c>
      <c r="J119" s="1">
        <f ca="1">IFERROR(__xludf.DUMMYFUNCTION("""COMPUTED_VALUE"""),9)</f>
        <v>9</v>
      </c>
      <c r="K119" s="1">
        <f ca="1">IFERROR(__xludf.DUMMYFUNCTION("""COMPUTED_VALUE"""),6)</f>
        <v>6</v>
      </c>
      <c r="L119" s="1">
        <f ca="1">IFERROR(__xludf.DUMMYFUNCTION("""COMPUTED_VALUE"""),5)</f>
        <v>5</v>
      </c>
      <c r="M119" s="1">
        <f ca="1">IFERROR(__xludf.DUMMYFUNCTION("""COMPUTED_VALUE"""),7)</f>
        <v>7</v>
      </c>
      <c r="N119" s="1">
        <f ca="1">IFERROR(__xludf.DUMMYFUNCTION("""COMPUTED_VALUE"""),1988)</f>
        <v>1988</v>
      </c>
      <c r="O119" s="1">
        <f ca="1">IFERROR(__xludf.DUMMYFUNCTION("""COMPUTED_VALUE"""),1940)</f>
        <v>1940</v>
      </c>
      <c r="P119" s="1">
        <f ca="1">IFERROR(__xludf.DUMMYFUNCTION("""COMPUTED_VALUE"""),1170)</f>
        <v>1170</v>
      </c>
      <c r="Q119" s="1">
        <f ca="1">IFERROR(__xludf.DUMMYFUNCTION("""COMPUTED_VALUE"""),736)</f>
        <v>736</v>
      </c>
      <c r="R119" s="1">
        <f ca="1">IFERROR(__xludf.DUMMYFUNCTION("""COMPUTED_VALUE"""),1630)</f>
        <v>1630</v>
      </c>
      <c r="S119" s="1">
        <f ca="1">IFERROR(__xludf.DUMMYFUNCTION("""COMPUTED_VALUE"""),0.452)</f>
        <v>0.45200000000000001</v>
      </c>
      <c r="T119" s="1">
        <f ca="1">IFERROR(__xludf.DUMMYFUNCTION("""COMPUTED_VALUE"""),148)</f>
        <v>148</v>
      </c>
      <c r="U119" s="1">
        <f ca="1">IFERROR(__xludf.DUMMYFUNCTION("""COMPUTED_VALUE"""),486)</f>
        <v>486</v>
      </c>
      <c r="V119" s="1">
        <f ca="1">IFERROR(__xludf.DUMMYFUNCTION("""COMPUTED_VALUE"""),0.305)</f>
        <v>0.30499999999999999</v>
      </c>
      <c r="W119" s="1">
        <f ca="1">IFERROR(__xludf.DUMMYFUNCTION("""COMPUTED_VALUE"""),368)</f>
        <v>368</v>
      </c>
      <c r="X119" s="1">
        <f ca="1">IFERROR(__xludf.DUMMYFUNCTION("""COMPUTED_VALUE"""),554)</f>
        <v>554</v>
      </c>
      <c r="Y119" s="1">
        <f ca="1">IFERROR(__xludf.DUMMYFUNCTION("""COMPUTED_VALUE"""),0.664)</f>
        <v>0.66400000000000003</v>
      </c>
      <c r="Z119" s="1">
        <f ca="1">IFERROR(__xludf.DUMMYFUNCTION("""COMPUTED_VALUE"""),282)</f>
        <v>282</v>
      </c>
      <c r="AA119" s="1">
        <f ca="1">IFERROR(__xludf.DUMMYFUNCTION("""COMPUTED_VALUE"""),1045)</f>
        <v>1045</v>
      </c>
      <c r="AB119" s="1">
        <f ca="1">IFERROR(__xludf.DUMMYFUNCTION("""COMPUTED_VALUE"""),398)</f>
        <v>398</v>
      </c>
      <c r="AC119" s="1">
        <f ca="1">IFERROR(__xludf.DUMMYFUNCTION("""COMPUTED_VALUE"""),204)</f>
        <v>204</v>
      </c>
      <c r="AD119" s="1">
        <f ca="1">IFERROR(__xludf.DUMMYFUNCTION("""COMPUTED_VALUE"""),129)</f>
        <v>129</v>
      </c>
      <c r="AE119" s="1">
        <f ca="1">IFERROR(__xludf.DUMMYFUNCTION("""COMPUTED_VALUE"""),465)</f>
        <v>465</v>
      </c>
      <c r="AF119" s="1">
        <f ca="1">IFERROR(__xludf.DUMMYFUNCTION("""COMPUTED_VALUE"""),552)</f>
        <v>552</v>
      </c>
    </row>
    <row r="120" spans="1:32" x14ac:dyDescent="0.25">
      <c r="A120" s="1" t="str">
        <f ca="1">IFERROR(__xludf.DUMMYFUNCTION("""COMPUTED_VALUE"""),"Georgia")</f>
        <v>Georgia</v>
      </c>
      <c r="B120" s="1">
        <f ca="1">IFERROR(__xludf.DUMMYFUNCTION("""COMPUTED_VALUE"""),29)</f>
        <v>29</v>
      </c>
      <c r="C120" s="1">
        <f ca="1">IFERROR(__xludf.DUMMYFUNCTION("""COMPUTED_VALUE"""),15)</f>
        <v>15</v>
      </c>
      <c r="D120" s="1">
        <f ca="1">IFERROR(__xludf.DUMMYFUNCTION("""COMPUTED_VALUE"""),14)</f>
        <v>14</v>
      </c>
      <c r="E120" s="1">
        <f ca="1">IFERROR(__xludf.DUMMYFUNCTION("""COMPUTED_VALUE"""),0.517)</f>
        <v>0.51700000000000002</v>
      </c>
      <c r="F120" s="1">
        <f ca="1">IFERROR(__xludf.DUMMYFUNCTION("""COMPUTED_VALUE"""),8.71)</f>
        <v>8.7100000000000009</v>
      </c>
      <c r="G120" s="1">
        <f ca="1">IFERROR(__xludf.DUMMYFUNCTION("""COMPUTED_VALUE"""),7.53)</f>
        <v>7.53</v>
      </c>
      <c r="H120" s="1">
        <f ca="1">IFERROR(__xludf.DUMMYFUNCTION("""COMPUTED_VALUE"""),5)</f>
        <v>5</v>
      </c>
      <c r="I120" s="1">
        <f ca="1">IFERROR(__xludf.DUMMYFUNCTION("""COMPUTED_VALUE"""),11)</f>
        <v>11</v>
      </c>
      <c r="J120" s="1">
        <f ca="1">IFERROR(__xludf.DUMMYFUNCTION("""COMPUTED_VALUE"""),12)</f>
        <v>12</v>
      </c>
      <c r="K120" s="1">
        <f ca="1">IFERROR(__xludf.DUMMYFUNCTION("""COMPUTED_VALUE"""),4)</f>
        <v>4</v>
      </c>
      <c r="L120" s="1">
        <f ca="1">IFERROR(__xludf.DUMMYFUNCTION("""COMPUTED_VALUE"""),3)</f>
        <v>3</v>
      </c>
      <c r="M120" s="1">
        <f ca="1">IFERROR(__xludf.DUMMYFUNCTION("""COMPUTED_VALUE"""),8)</f>
        <v>8</v>
      </c>
      <c r="N120" s="1">
        <f ca="1">IFERROR(__xludf.DUMMYFUNCTION("""COMPUTED_VALUE"""),2229)</f>
        <v>2229</v>
      </c>
      <c r="O120" s="1">
        <f ca="1">IFERROR(__xludf.DUMMYFUNCTION("""COMPUTED_VALUE"""),2193)</f>
        <v>2193</v>
      </c>
      <c r="P120" s="1">
        <f ca="1">IFERROR(__xludf.DUMMYFUNCTION("""COMPUTED_VALUE"""),1180)</f>
        <v>1180</v>
      </c>
      <c r="Q120" s="1">
        <f ca="1">IFERROR(__xludf.DUMMYFUNCTION("""COMPUTED_VALUE"""),800)</f>
        <v>800</v>
      </c>
      <c r="R120" s="1">
        <f ca="1">IFERROR(__xludf.DUMMYFUNCTION("""COMPUTED_VALUE"""),1771)</f>
        <v>1771</v>
      </c>
      <c r="S120" s="1">
        <f ca="1">IFERROR(__xludf.DUMMYFUNCTION("""COMPUTED_VALUE"""),0.452)</f>
        <v>0.45200000000000001</v>
      </c>
      <c r="T120" s="1">
        <f ca="1">IFERROR(__xludf.DUMMYFUNCTION("""COMPUTED_VALUE"""),208)</f>
        <v>208</v>
      </c>
      <c r="U120" s="1">
        <f ca="1">IFERROR(__xludf.DUMMYFUNCTION("""COMPUTED_VALUE"""),684)</f>
        <v>684</v>
      </c>
      <c r="V120" s="1">
        <f ca="1">IFERROR(__xludf.DUMMYFUNCTION("""COMPUTED_VALUE"""),0.304)</f>
        <v>0.30399999999999999</v>
      </c>
      <c r="W120" s="1">
        <f ca="1">IFERROR(__xludf.DUMMYFUNCTION("""COMPUTED_VALUE"""),421)</f>
        <v>421</v>
      </c>
      <c r="X120" s="1">
        <f ca="1">IFERROR(__xludf.DUMMYFUNCTION("""COMPUTED_VALUE"""),601)</f>
        <v>601</v>
      </c>
      <c r="Y120" s="1">
        <f ca="1">IFERROR(__xludf.DUMMYFUNCTION("""COMPUTED_VALUE"""),0.7)</f>
        <v>0.7</v>
      </c>
      <c r="Z120" s="1">
        <f ca="1">IFERROR(__xludf.DUMMYFUNCTION("""COMPUTED_VALUE"""),349)</f>
        <v>349</v>
      </c>
      <c r="AA120" s="1">
        <f ca="1">IFERROR(__xludf.DUMMYFUNCTION("""COMPUTED_VALUE"""),1110)</f>
        <v>1110</v>
      </c>
      <c r="AB120" s="1">
        <f ca="1">IFERROR(__xludf.DUMMYFUNCTION("""COMPUTED_VALUE"""),392)</f>
        <v>392</v>
      </c>
      <c r="AC120" s="1">
        <f ca="1">IFERROR(__xludf.DUMMYFUNCTION("""COMPUTED_VALUE"""),211)</f>
        <v>211</v>
      </c>
      <c r="AD120" s="1">
        <f ca="1">IFERROR(__xludf.DUMMYFUNCTION("""COMPUTED_VALUE"""),98)</f>
        <v>98</v>
      </c>
      <c r="AE120" s="1">
        <f ca="1">IFERROR(__xludf.DUMMYFUNCTION("""COMPUTED_VALUE"""),432)</f>
        <v>432</v>
      </c>
      <c r="AF120" s="1">
        <f ca="1">IFERROR(__xludf.DUMMYFUNCTION("""COMPUTED_VALUE"""),553)</f>
        <v>553</v>
      </c>
    </row>
    <row r="121" spans="1:32" x14ac:dyDescent="0.25">
      <c r="A121" s="1" t="str">
        <f ca="1">IFERROR(__xludf.DUMMYFUNCTION("""COMPUTED_VALUE"""),"Gonzaga")</f>
        <v>Gonzaga</v>
      </c>
      <c r="B121" s="1">
        <f ca="1">IFERROR(__xludf.DUMMYFUNCTION("""COMPUTED_VALUE"""),31)</f>
        <v>31</v>
      </c>
      <c r="C121" s="1">
        <f ca="1">IFERROR(__xludf.DUMMYFUNCTION("""COMPUTED_VALUE"""),29)</f>
        <v>29</v>
      </c>
      <c r="D121" s="1">
        <f ca="1">IFERROR(__xludf.DUMMYFUNCTION("""COMPUTED_VALUE"""),2)</f>
        <v>2</v>
      </c>
      <c r="E121" s="1">
        <f ca="1">IFERROR(__xludf.DUMMYFUNCTION("""COMPUTED_VALUE"""),0.935)</f>
        <v>0.93500000000000005</v>
      </c>
      <c r="F121" s="1">
        <f ca="1">IFERROR(__xludf.DUMMYFUNCTION("""COMPUTED_VALUE"""),22.86)</f>
        <v>22.86</v>
      </c>
      <c r="G121" s="1">
        <f ca="1">IFERROR(__xludf.DUMMYFUNCTION("""COMPUTED_VALUE"""),2.73)</f>
        <v>2.73</v>
      </c>
      <c r="H121" s="1">
        <f ca="1">IFERROR(__xludf.DUMMYFUNCTION("""COMPUTED_VALUE"""),15)</f>
        <v>15</v>
      </c>
      <c r="I121" s="1">
        <f ca="1">IFERROR(__xludf.DUMMYFUNCTION("""COMPUTED_VALUE"""),1)</f>
        <v>1</v>
      </c>
      <c r="J121" s="1">
        <f ca="1">IFERROR(__xludf.DUMMYFUNCTION("""COMPUTED_VALUE"""),17)</f>
        <v>17</v>
      </c>
      <c r="K121" s="1">
        <f ca="1">IFERROR(__xludf.DUMMYFUNCTION("""COMPUTED_VALUE"""),0)</f>
        <v>0</v>
      </c>
      <c r="L121" s="1">
        <f ca="1">IFERROR(__xludf.DUMMYFUNCTION("""COMPUTED_VALUE"""),10)</f>
        <v>10</v>
      </c>
      <c r="M121" s="1">
        <f ca="1">IFERROR(__xludf.DUMMYFUNCTION("""COMPUTED_VALUE"""),1)</f>
        <v>1</v>
      </c>
      <c r="N121" s="1">
        <f ca="1">IFERROR(__xludf.DUMMYFUNCTION("""COMPUTED_VALUE"""),2720)</f>
        <v>2720</v>
      </c>
      <c r="O121" s="1">
        <f ca="1">IFERROR(__xludf.DUMMYFUNCTION("""COMPUTED_VALUE"""),2096)</f>
        <v>2096</v>
      </c>
      <c r="P121" s="1">
        <f ca="1">IFERROR(__xludf.DUMMYFUNCTION("""COMPUTED_VALUE"""),1245)</f>
        <v>1245</v>
      </c>
      <c r="Q121" s="1">
        <f ca="1">IFERROR(__xludf.DUMMYFUNCTION("""COMPUTED_VALUE"""),987)</f>
        <v>987</v>
      </c>
      <c r="R121" s="1">
        <f ca="1">IFERROR(__xludf.DUMMYFUNCTION("""COMPUTED_VALUE"""),1917)</f>
        <v>1917</v>
      </c>
      <c r="S121" s="1">
        <f ca="1">IFERROR(__xludf.DUMMYFUNCTION("""COMPUTED_VALUE"""),0.515)</f>
        <v>0.51500000000000001</v>
      </c>
      <c r="T121" s="1">
        <f ca="1">IFERROR(__xludf.DUMMYFUNCTION("""COMPUTED_VALUE"""),238)</f>
        <v>238</v>
      </c>
      <c r="U121" s="1">
        <f ca="1">IFERROR(__xludf.DUMMYFUNCTION("""COMPUTED_VALUE"""),610)</f>
        <v>610</v>
      </c>
      <c r="V121" s="1">
        <f ca="1">IFERROR(__xludf.DUMMYFUNCTION("""COMPUTED_VALUE"""),0.39)</f>
        <v>0.39</v>
      </c>
      <c r="W121" s="1">
        <f ca="1">IFERROR(__xludf.DUMMYFUNCTION("""COMPUTED_VALUE"""),508)</f>
        <v>508</v>
      </c>
      <c r="X121" s="1">
        <f ca="1">IFERROR(__xludf.DUMMYFUNCTION("""COMPUTED_VALUE"""),739)</f>
        <v>739</v>
      </c>
      <c r="Y121" s="1">
        <f ca="1">IFERROR(__xludf.DUMMYFUNCTION("""COMPUTED_VALUE"""),0.687)</f>
        <v>0.68700000000000006</v>
      </c>
      <c r="Z121" s="1">
        <f ca="1">IFERROR(__xludf.DUMMYFUNCTION("""COMPUTED_VALUE"""),351)</f>
        <v>351</v>
      </c>
      <c r="AA121" s="1">
        <f ca="1">IFERROR(__xludf.DUMMYFUNCTION("""COMPUTED_VALUE"""),1251)</f>
        <v>1251</v>
      </c>
      <c r="AB121" s="1">
        <f ca="1">IFERROR(__xludf.DUMMYFUNCTION("""COMPUTED_VALUE"""),531)</f>
        <v>531</v>
      </c>
      <c r="AC121" s="1">
        <f ca="1">IFERROR(__xludf.DUMMYFUNCTION("""COMPUTED_VALUE"""),234)</f>
        <v>234</v>
      </c>
      <c r="AD121" s="1">
        <f ca="1">IFERROR(__xludf.DUMMYFUNCTION("""COMPUTED_VALUE"""),121)</f>
        <v>121</v>
      </c>
      <c r="AE121" s="1">
        <f ca="1">IFERROR(__xludf.DUMMYFUNCTION("""COMPUTED_VALUE"""),354)</f>
        <v>354</v>
      </c>
      <c r="AF121" s="1">
        <f ca="1">IFERROR(__xludf.DUMMYFUNCTION("""COMPUTED_VALUE"""),453)</f>
        <v>453</v>
      </c>
    </row>
    <row r="122" spans="1:32" x14ac:dyDescent="0.25">
      <c r="A122" s="1" t="str">
        <f ca="1">IFERROR(__xludf.DUMMYFUNCTION("""COMPUTED_VALUE"""),"Grambling")</f>
        <v>Grambling</v>
      </c>
      <c r="B122" s="1">
        <f ca="1">IFERROR(__xludf.DUMMYFUNCTION("""COMPUTED_VALUE"""),29)</f>
        <v>29</v>
      </c>
      <c r="C122" s="1">
        <f ca="1">IFERROR(__xludf.DUMMYFUNCTION("""COMPUTED_VALUE"""),16)</f>
        <v>16</v>
      </c>
      <c r="D122" s="1">
        <f ca="1">IFERROR(__xludf.DUMMYFUNCTION("""COMPUTED_VALUE"""),13)</f>
        <v>13</v>
      </c>
      <c r="E122" s="1">
        <f ca="1">IFERROR(__xludf.DUMMYFUNCTION("""COMPUTED_VALUE"""),0.552)</f>
        <v>0.55200000000000005</v>
      </c>
      <c r="F122" s="1">
        <f ca="1">IFERROR(__xludf.DUMMYFUNCTION("""COMPUTED_VALUE"""),-12.02)</f>
        <v>-12.02</v>
      </c>
      <c r="G122" s="1">
        <f ca="1">IFERROR(__xludf.DUMMYFUNCTION("""COMPUTED_VALUE"""),-9.18)</f>
        <v>-9.18</v>
      </c>
      <c r="H122" s="1">
        <f ca="1">IFERROR(__xludf.DUMMYFUNCTION("""COMPUTED_VALUE"""),10)</f>
        <v>10</v>
      </c>
      <c r="I122" s="1">
        <f ca="1">IFERROR(__xludf.DUMMYFUNCTION("""COMPUTED_VALUE"""),6)</f>
        <v>6</v>
      </c>
      <c r="J122" s="1">
        <f ca="1">IFERROR(__xludf.DUMMYFUNCTION("""COMPUTED_VALUE"""),11)</f>
        <v>11</v>
      </c>
      <c r="K122" s="1">
        <f ca="1">IFERROR(__xludf.DUMMYFUNCTION("""COMPUTED_VALUE"""),2)</f>
        <v>2</v>
      </c>
      <c r="L122" s="1">
        <f ca="1">IFERROR(__xludf.DUMMYFUNCTION("""COMPUTED_VALUE"""),5)</f>
        <v>5</v>
      </c>
      <c r="M122" s="1">
        <f ca="1">IFERROR(__xludf.DUMMYFUNCTION("""COMPUTED_VALUE"""),10)</f>
        <v>10</v>
      </c>
      <c r="N122" s="1">
        <f ca="1">IFERROR(__xludf.DUMMYFUNCTION("""COMPUTED_VALUE"""),2091)</f>
        <v>2091</v>
      </c>
      <c r="O122" s="1">
        <f ca="1">IFERROR(__xludf.DUMMYFUNCTION("""COMPUTED_VALUE"""),1997)</f>
        <v>1997</v>
      </c>
      <c r="P122" s="1">
        <f ca="1">IFERROR(__xludf.DUMMYFUNCTION("""COMPUTED_VALUE"""),1160)</f>
        <v>1160</v>
      </c>
      <c r="Q122" s="1">
        <f ca="1">IFERROR(__xludf.DUMMYFUNCTION("""COMPUTED_VALUE"""),766)</f>
        <v>766</v>
      </c>
      <c r="R122" s="1">
        <f ca="1">IFERROR(__xludf.DUMMYFUNCTION("""COMPUTED_VALUE"""),1680)</f>
        <v>1680</v>
      </c>
      <c r="S122" s="1">
        <f ca="1">IFERROR(__xludf.DUMMYFUNCTION("""COMPUTED_VALUE"""),0.456)</f>
        <v>0.45600000000000002</v>
      </c>
      <c r="T122" s="1">
        <f ca="1">IFERROR(__xludf.DUMMYFUNCTION("""COMPUTED_VALUE"""),140)</f>
        <v>140</v>
      </c>
      <c r="U122" s="1">
        <f ca="1">IFERROR(__xludf.DUMMYFUNCTION("""COMPUTED_VALUE"""),465)</f>
        <v>465</v>
      </c>
      <c r="V122" s="1">
        <f ca="1">IFERROR(__xludf.DUMMYFUNCTION("""COMPUTED_VALUE"""),0.301)</f>
        <v>0.30099999999999999</v>
      </c>
      <c r="W122" s="1">
        <f ca="1">IFERROR(__xludf.DUMMYFUNCTION("""COMPUTED_VALUE"""),419)</f>
        <v>419</v>
      </c>
      <c r="X122" s="1">
        <f ca="1">IFERROR(__xludf.DUMMYFUNCTION("""COMPUTED_VALUE"""),616)</f>
        <v>616</v>
      </c>
      <c r="Y122" s="1">
        <f ca="1">IFERROR(__xludf.DUMMYFUNCTION("""COMPUTED_VALUE"""),0.68)</f>
        <v>0.68</v>
      </c>
      <c r="Z122" s="1">
        <f ca="1">IFERROR(__xludf.DUMMYFUNCTION("""COMPUTED_VALUE"""),301)</f>
        <v>301</v>
      </c>
      <c r="AA122" s="1">
        <f ca="1">IFERROR(__xludf.DUMMYFUNCTION("""COMPUTED_VALUE"""),1045)</f>
        <v>1045</v>
      </c>
      <c r="AB122" s="1">
        <f ca="1">IFERROR(__xludf.DUMMYFUNCTION("""COMPUTED_VALUE"""),388)</f>
        <v>388</v>
      </c>
      <c r="AC122" s="1">
        <f ca="1">IFERROR(__xludf.DUMMYFUNCTION("""COMPUTED_VALUE"""),213)</f>
        <v>213</v>
      </c>
      <c r="AD122" s="1">
        <f ca="1">IFERROR(__xludf.DUMMYFUNCTION("""COMPUTED_VALUE"""),116)</f>
        <v>116</v>
      </c>
      <c r="AE122" s="1">
        <f ca="1">IFERROR(__xludf.DUMMYFUNCTION("""COMPUTED_VALUE"""),408)</f>
        <v>408</v>
      </c>
      <c r="AF122" s="1">
        <f ca="1">IFERROR(__xludf.DUMMYFUNCTION("""COMPUTED_VALUE"""),532)</f>
        <v>532</v>
      </c>
    </row>
    <row r="123" spans="1:32" x14ac:dyDescent="0.25">
      <c r="A123" s="1" t="str">
        <f ca="1">IFERROR(__xludf.DUMMYFUNCTION("""COMPUTED_VALUE"""),"Grand Canyon")</f>
        <v>Grand Canyon</v>
      </c>
      <c r="B123" s="1">
        <f ca="1">IFERROR(__xludf.DUMMYFUNCTION("""COMPUTED_VALUE"""),29)</f>
        <v>29</v>
      </c>
      <c r="C123" s="1">
        <f ca="1">IFERROR(__xludf.DUMMYFUNCTION("""COMPUTED_VALUE"""),12)</f>
        <v>12</v>
      </c>
      <c r="D123" s="1">
        <f ca="1">IFERROR(__xludf.DUMMYFUNCTION("""COMPUTED_VALUE"""),17)</f>
        <v>17</v>
      </c>
      <c r="E123" s="1">
        <f ca="1">IFERROR(__xludf.DUMMYFUNCTION("""COMPUTED_VALUE"""),0.414)</f>
        <v>0.41399999999999998</v>
      </c>
      <c r="F123" s="1">
        <f ca="1">IFERROR(__xludf.DUMMYFUNCTION("""COMPUTED_VALUE"""),-6.29)</f>
        <v>-6.29</v>
      </c>
      <c r="G123" s="1">
        <f ca="1">IFERROR(__xludf.DUMMYFUNCTION("""COMPUTED_VALUE"""),-3.83)</f>
        <v>-3.83</v>
      </c>
      <c r="H123" s="1">
        <f ca="1">IFERROR(__xludf.DUMMYFUNCTION("""COMPUTED_VALUE"""),7)</f>
        <v>7</v>
      </c>
      <c r="I123" s="1">
        <f ca="1">IFERROR(__xludf.DUMMYFUNCTION("""COMPUTED_VALUE"""),8)</f>
        <v>8</v>
      </c>
      <c r="J123" s="1">
        <f ca="1">IFERROR(__xludf.DUMMYFUNCTION("""COMPUTED_VALUE"""),7)</f>
        <v>7</v>
      </c>
      <c r="K123" s="1">
        <f ca="1">IFERROR(__xludf.DUMMYFUNCTION("""COMPUTED_VALUE"""),8)</f>
        <v>8</v>
      </c>
      <c r="L123" s="1">
        <f ca="1">IFERROR(__xludf.DUMMYFUNCTION("""COMPUTED_VALUE"""),4)</f>
        <v>4</v>
      </c>
      <c r="M123" s="1">
        <f ca="1">IFERROR(__xludf.DUMMYFUNCTION("""COMPUTED_VALUE"""),6)</f>
        <v>6</v>
      </c>
      <c r="N123" s="1">
        <f ca="1">IFERROR(__xludf.DUMMYFUNCTION("""COMPUTED_VALUE"""),2052)</f>
        <v>2052</v>
      </c>
      <c r="O123" s="1">
        <f ca="1">IFERROR(__xludf.DUMMYFUNCTION("""COMPUTED_VALUE"""),2130)</f>
        <v>2130</v>
      </c>
      <c r="P123" s="1">
        <f ca="1">IFERROR(__xludf.DUMMYFUNCTION("""COMPUTED_VALUE"""),1170)</f>
        <v>1170</v>
      </c>
      <c r="Q123" s="1">
        <f ca="1">IFERROR(__xludf.DUMMYFUNCTION("""COMPUTED_VALUE"""),719)</f>
        <v>719</v>
      </c>
      <c r="R123" s="1">
        <f ca="1">IFERROR(__xludf.DUMMYFUNCTION("""COMPUTED_VALUE"""),1587)</f>
        <v>1587</v>
      </c>
      <c r="S123" s="1">
        <f ca="1">IFERROR(__xludf.DUMMYFUNCTION("""COMPUTED_VALUE"""),0.453)</f>
        <v>0.45300000000000001</v>
      </c>
      <c r="T123" s="1">
        <f ca="1">IFERROR(__xludf.DUMMYFUNCTION("""COMPUTED_VALUE"""),172)</f>
        <v>172</v>
      </c>
      <c r="U123" s="1">
        <f ca="1">IFERROR(__xludf.DUMMYFUNCTION("""COMPUTED_VALUE"""),516)</f>
        <v>516</v>
      </c>
      <c r="V123" s="1">
        <f ca="1">IFERROR(__xludf.DUMMYFUNCTION("""COMPUTED_VALUE"""),0.333)</f>
        <v>0.33300000000000002</v>
      </c>
      <c r="W123" s="1">
        <f ca="1">IFERROR(__xludf.DUMMYFUNCTION("""COMPUTED_VALUE"""),442)</f>
        <v>442</v>
      </c>
      <c r="X123" s="1">
        <f ca="1">IFERROR(__xludf.DUMMYFUNCTION("""COMPUTED_VALUE"""),595)</f>
        <v>595</v>
      </c>
      <c r="Y123" s="1">
        <f ca="1">IFERROR(__xludf.DUMMYFUNCTION("""COMPUTED_VALUE"""),0.743)</f>
        <v>0.74299999999999999</v>
      </c>
      <c r="Z123" s="1">
        <f ca="1">IFERROR(__xludf.DUMMYFUNCTION("""COMPUTED_VALUE"""),217)</f>
        <v>217</v>
      </c>
      <c r="AA123" s="1">
        <f ca="1">IFERROR(__xludf.DUMMYFUNCTION("""COMPUTED_VALUE"""),940)</f>
        <v>940</v>
      </c>
      <c r="AB123" s="1">
        <f ca="1">IFERROR(__xludf.DUMMYFUNCTION("""COMPUTED_VALUE"""),347)</f>
        <v>347</v>
      </c>
      <c r="AC123" s="1">
        <f ca="1">IFERROR(__xludf.DUMMYFUNCTION("""COMPUTED_VALUE"""),142)</f>
        <v>142</v>
      </c>
      <c r="AD123" s="1">
        <f ca="1">IFERROR(__xludf.DUMMYFUNCTION("""COMPUTED_VALUE"""),36)</f>
        <v>36</v>
      </c>
      <c r="AE123" s="1">
        <f ca="1">IFERROR(__xludf.DUMMYFUNCTION("""COMPUTED_VALUE"""),333)</f>
        <v>333</v>
      </c>
      <c r="AF123" s="1">
        <f ca="1">IFERROR(__xludf.DUMMYFUNCTION("""COMPUTED_VALUE"""),475)</f>
        <v>475</v>
      </c>
    </row>
    <row r="124" spans="1:32" x14ac:dyDescent="0.25">
      <c r="A124" s="1" t="str">
        <f ca="1">IFERROR(__xludf.DUMMYFUNCTION("""COMPUTED_VALUE"""),"Green Bay")</f>
        <v>Green Bay</v>
      </c>
      <c r="B124" s="1">
        <f ca="1">IFERROR(__xludf.DUMMYFUNCTION("""COMPUTED_VALUE"""),31)</f>
        <v>31</v>
      </c>
      <c r="C124" s="1">
        <f ca="1">IFERROR(__xludf.DUMMYFUNCTION("""COMPUTED_VALUE"""),16)</f>
        <v>16</v>
      </c>
      <c r="D124" s="1">
        <f ca="1">IFERROR(__xludf.DUMMYFUNCTION("""COMPUTED_VALUE"""),15)</f>
        <v>15</v>
      </c>
      <c r="E124" s="1">
        <f ca="1">IFERROR(__xludf.DUMMYFUNCTION("""COMPUTED_VALUE"""),0.516)</f>
        <v>0.51600000000000001</v>
      </c>
      <c r="F124" s="1">
        <f ca="1">IFERROR(__xludf.DUMMYFUNCTION("""COMPUTED_VALUE"""),-5.18)</f>
        <v>-5.18</v>
      </c>
      <c r="G124" s="1">
        <f ca="1">IFERROR(__xludf.DUMMYFUNCTION("""COMPUTED_VALUE"""),-2.91)</f>
        <v>-2.91</v>
      </c>
      <c r="H124" s="1">
        <f ca="1">IFERROR(__xludf.DUMMYFUNCTION("""COMPUTED_VALUE"""),11)</f>
        <v>11</v>
      </c>
      <c r="I124" s="1">
        <f ca="1">IFERROR(__xludf.DUMMYFUNCTION("""COMPUTED_VALUE"""),7)</f>
        <v>7</v>
      </c>
      <c r="J124" s="1">
        <f ca="1">IFERROR(__xludf.DUMMYFUNCTION("""COMPUTED_VALUE"""),9)</f>
        <v>9</v>
      </c>
      <c r="K124" s="1">
        <f ca="1">IFERROR(__xludf.DUMMYFUNCTION("""COMPUTED_VALUE"""),5)</f>
        <v>5</v>
      </c>
      <c r="L124" s="1">
        <f ca="1">IFERROR(__xludf.DUMMYFUNCTION("""COMPUTED_VALUE"""),7)</f>
        <v>7</v>
      </c>
      <c r="M124" s="1">
        <f ca="1">IFERROR(__xludf.DUMMYFUNCTION("""COMPUTED_VALUE"""),10)</f>
        <v>10</v>
      </c>
      <c r="N124" s="1">
        <f ca="1">IFERROR(__xludf.DUMMYFUNCTION("""COMPUTED_VALUE"""),2547)</f>
        <v>2547</v>
      </c>
      <c r="O124" s="1">
        <f ca="1">IFERROR(__xludf.DUMMYFUNCTION("""COMPUTED_VALUE"""),2500)</f>
        <v>2500</v>
      </c>
      <c r="P124" s="1">
        <f ca="1">IFERROR(__xludf.DUMMYFUNCTION("""COMPUTED_VALUE"""),1255)</f>
        <v>1255</v>
      </c>
      <c r="Q124" s="1">
        <f ca="1">IFERROR(__xludf.DUMMYFUNCTION("""COMPUTED_VALUE"""),914)</f>
        <v>914</v>
      </c>
      <c r="R124" s="1">
        <f ca="1">IFERROR(__xludf.DUMMYFUNCTION("""COMPUTED_VALUE"""),1981)</f>
        <v>1981</v>
      </c>
      <c r="S124" s="1">
        <f ca="1">IFERROR(__xludf.DUMMYFUNCTION("""COMPUTED_VALUE"""),0.461)</f>
        <v>0.46100000000000002</v>
      </c>
      <c r="T124" s="1">
        <f ca="1">IFERROR(__xludf.DUMMYFUNCTION("""COMPUTED_VALUE"""),244)</f>
        <v>244</v>
      </c>
      <c r="U124" s="1">
        <f ca="1">IFERROR(__xludf.DUMMYFUNCTION("""COMPUTED_VALUE"""),651)</f>
        <v>651</v>
      </c>
      <c r="V124" s="1">
        <f ca="1">IFERROR(__xludf.DUMMYFUNCTION("""COMPUTED_VALUE"""),0.375)</f>
        <v>0.375</v>
      </c>
      <c r="W124" s="1">
        <f ca="1">IFERROR(__xludf.DUMMYFUNCTION("""COMPUTED_VALUE"""),475)</f>
        <v>475</v>
      </c>
      <c r="X124" s="1">
        <f ca="1">IFERROR(__xludf.DUMMYFUNCTION("""COMPUTED_VALUE"""),631)</f>
        <v>631</v>
      </c>
      <c r="Y124" s="1">
        <f ca="1">IFERROR(__xludf.DUMMYFUNCTION("""COMPUTED_VALUE"""),0.753)</f>
        <v>0.753</v>
      </c>
      <c r="Z124" s="1">
        <f ca="1">IFERROR(__xludf.DUMMYFUNCTION("""COMPUTED_VALUE"""),304)</f>
        <v>304</v>
      </c>
      <c r="AA124" s="1">
        <f ca="1">IFERROR(__xludf.DUMMYFUNCTION("""COMPUTED_VALUE"""),1124)</f>
        <v>1124</v>
      </c>
      <c r="AB124" s="1">
        <f ca="1">IFERROR(__xludf.DUMMYFUNCTION("""COMPUTED_VALUE"""),509)</f>
        <v>509</v>
      </c>
      <c r="AC124" s="1">
        <f ca="1">IFERROR(__xludf.DUMMYFUNCTION("""COMPUTED_VALUE"""),218)</f>
        <v>218</v>
      </c>
      <c r="AD124" s="1">
        <f ca="1">IFERROR(__xludf.DUMMYFUNCTION("""COMPUTED_VALUE"""),101)</f>
        <v>101</v>
      </c>
      <c r="AE124" s="1">
        <f ca="1">IFERROR(__xludf.DUMMYFUNCTION("""COMPUTED_VALUE"""),390)</f>
        <v>390</v>
      </c>
      <c r="AF124" s="1">
        <f ca="1">IFERROR(__xludf.DUMMYFUNCTION("""COMPUTED_VALUE"""),592)</f>
        <v>592</v>
      </c>
    </row>
    <row r="125" spans="1:32" x14ac:dyDescent="0.25">
      <c r="A125" s="1" t="str">
        <f ca="1">IFERROR(__xludf.DUMMYFUNCTION("""COMPUTED_VALUE"""),"Hampton")</f>
        <v>Hampton</v>
      </c>
      <c r="B125" s="1">
        <f ca="1">IFERROR(__xludf.DUMMYFUNCTION("""COMPUTED_VALUE"""),31)</f>
        <v>31</v>
      </c>
      <c r="C125" s="1">
        <f ca="1">IFERROR(__xludf.DUMMYFUNCTION("""COMPUTED_VALUE"""),13)</f>
        <v>13</v>
      </c>
      <c r="D125" s="1">
        <f ca="1">IFERROR(__xludf.DUMMYFUNCTION("""COMPUTED_VALUE"""),18)</f>
        <v>18</v>
      </c>
      <c r="E125" s="1">
        <f ca="1">IFERROR(__xludf.DUMMYFUNCTION("""COMPUTED_VALUE"""),0.419)</f>
        <v>0.41899999999999998</v>
      </c>
      <c r="F125" s="1">
        <f ca="1">IFERROR(__xludf.DUMMYFUNCTION("""COMPUTED_VALUE"""),-13.66)</f>
        <v>-13.66</v>
      </c>
      <c r="G125" s="1">
        <f ca="1">IFERROR(__xludf.DUMMYFUNCTION("""COMPUTED_VALUE"""),-5.87)</f>
        <v>-5.87</v>
      </c>
      <c r="H125" s="1">
        <f ca="1">IFERROR(__xludf.DUMMYFUNCTION("""COMPUTED_VALUE"""),8)</f>
        <v>8</v>
      </c>
      <c r="I125" s="1">
        <f ca="1">IFERROR(__xludf.DUMMYFUNCTION("""COMPUTED_VALUE"""),10)</f>
        <v>10</v>
      </c>
      <c r="J125" s="1">
        <f ca="1">IFERROR(__xludf.DUMMYFUNCTION("""COMPUTED_VALUE"""),11)</f>
        <v>11</v>
      </c>
      <c r="K125" s="1">
        <f ca="1">IFERROR(__xludf.DUMMYFUNCTION("""COMPUTED_VALUE"""),5)</f>
        <v>5</v>
      </c>
      <c r="L125" s="1">
        <f ca="1">IFERROR(__xludf.DUMMYFUNCTION("""COMPUTED_VALUE"""),2)</f>
        <v>2</v>
      </c>
      <c r="M125" s="1">
        <f ca="1">IFERROR(__xludf.DUMMYFUNCTION("""COMPUTED_VALUE"""),13)</f>
        <v>13</v>
      </c>
      <c r="N125" s="1">
        <f ca="1">IFERROR(__xludf.DUMMYFUNCTION("""COMPUTED_VALUE"""),2403)</f>
        <v>2403</v>
      </c>
      <c r="O125" s="1">
        <f ca="1">IFERROR(__xludf.DUMMYFUNCTION("""COMPUTED_VALUE"""),2486)</f>
        <v>2486</v>
      </c>
      <c r="P125" s="1">
        <f ca="1">IFERROR(__xludf.DUMMYFUNCTION("""COMPUTED_VALUE"""),1250)</f>
        <v>1250</v>
      </c>
      <c r="Q125" s="1">
        <f ca="1">IFERROR(__xludf.DUMMYFUNCTION("""COMPUTED_VALUE"""),843)</f>
        <v>843</v>
      </c>
      <c r="R125" s="1">
        <f ca="1">IFERROR(__xludf.DUMMYFUNCTION("""COMPUTED_VALUE"""),1854)</f>
        <v>1854</v>
      </c>
      <c r="S125" s="1">
        <f ca="1">IFERROR(__xludf.DUMMYFUNCTION("""COMPUTED_VALUE"""),0.455)</f>
        <v>0.45500000000000002</v>
      </c>
      <c r="T125" s="1">
        <f ca="1">IFERROR(__xludf.DUMMYFUNCTION("""COMPUTED_VALUE"""),185)</f>
        <v>185</v>
      </c>
      <c r="U125" s="1">
        <f ca="1">IFERROR(__xludf.DUMMYFUNCTION("""COMPUTED_VALUE"""),566)</f>
        <v>566</v>
      </c>
      <c r="V125" s="1">
        <f ca="1">IFERROR(__xludf.DUMMYFUNCTION("""COMPUTED_VALUE"""),0.327)</f>
        <v>0.32700000000000001</v>
      </c>
      <c r="W125" s="1">
        <f ca="1">IFERROR(__xludf.DUMMYFUNCTION("""COMPUTED_VALUE"""),532)</f>
        <v>532</v>
      </c>
      <c r="X125" s="1">
        <f ca="1">IFERROR(__xludf.DUMMYFUNCTION("""COMPUTED_VALUE"""),756)</f>
        <v>756</v>
      </c>
      <c r="Y125" s="1">
        <f ca="1">IFERROR(__xludf.DUMMYFUNCTION("""COMPUTED_VALUE"""),0.704)</f>
        <v>0.70399999999999996</v>
      </c>
      <c r="Z125" s="1">
        <f ca="1">IFERROR(__xludf.DUMMYFUNCTION("""COMPUTED_VALUE"""),338)</f>
        <v>338</v>
      </c>
      <c r="AA125" s="1">
        <f ca="1">IFERROR(__xludf.DUMMYFUNCTION("""COMPUTED_VALUE"""),1139)</f>
        <v>1139</v>
      </c>
      <c r="AB125" s="1">
        <f ca="1">IFERROR(__xludf.DUMMYFUNCTION("""COMPUTED_VALUE"""),460)</f>
        <v>460</v>
      </c>
      <c r="AC125" s="1">
        <f ca="1">IFERROR(__xludf.DUMMYFUNCTION("""COMPUTED_VALUE"""),163)</f>
        <v>163</v>
      </c>
      <c r="AD125" s="1">
        <f ca="1">IFERROR(__xludf.DUMMYFUNCTION("""COMPUTED_VALUE"""),120)</f>
        <v>120</v>
      </c>
      <c r="AE125" s="1">
        <f ca="1">IFERROR(__xludf.DUMMYFUNCTION("""COMPUTED_VALUE"""),373)</f>
        <v>373</v>
      </c>
      <c r="AF125" s="1">
        <f ca="1">IFERROR(__xludf.DUMMYFUNCTION("""COMPUTED_VALUE"""),592)</f>
        <v>592</v>
      </c>
    </row>
    <row r="126" spans="1:32" x14ac:dyDescent="0.25">
      <c r="A126" s="1" t="str">
        <f ca="1">IFERROR(__xludf.DUMMYFUNCTION("""COMPUTED_VALUE"""),"Hartford")</f>
        <v>Hartford</v>
      </c>
      <c r="B126" s="1">
        <f ca="1">IFERROR(__xludf.DUMMYFUNCTION("""COMPUTED_VALUE"""),30)</f>
        <v>30</v>
      </c>
      <c r="C126" s="1">
        <f ca="1">IFERROR(__xludf.DUMMYFUNCTION("""COMPUTED_VALUE"""),16)</f>
        <v>16</v>
      </c>
      <c r="D126" s="1">
        <f ca="1">IFERROR(__xludf.DUMMYFUNCTION("""COMPUTED_VALUE"""),14)</f>
        <v>14</v>
      </c>
      <c r="E126" s="1">
        <f ca="1">IFERROR(__xludf.DUMMYFUNCTION("""COMPUTED_VALUE"""),0.533)</f>
        <v>0.53300000000000003</v>
      </c>
      <c r="F126" s="1">
        <f ca="1">IFERROR(__xludf.DUMMYFUNCTION("""COMPUTED_VALUE"""),-7.11)</f>
        <v>-7.11</v>
      </c>
      <c r="G126" s="1">
        <f ca="1">IFERROR(__xludf.DUMMYFUNCTION("""COMPUTED_VALUE"""),-5.75)</f>
        <v>-5.75</v>
      </c>
      <c r="H126" s="1">
        <f ca="1">IFERROR(__xludf.DUMMYFUNCTION("""COMPUTED_VALUE"""),9)</f>
        <v>9</v>
      </c>
      <c r="I126" s="1">
        <f ca="1">IFERROR(__xludf.DUMMYFUNCTION("""COMPUTED_VALUE"""),6)</f>
        <v>6</v>
      </c>
      <c r="J126" s="1">
        <f ca="1">IFERROR(__xludf.DUMMYFUNCTION("""COMPUTED_VALUE"""),8)</f>
        <v>8</v>
      </c>
      <c r="K126" s="1">
        <f ca="1">IFERROR(__xludf.DUMMYFUNCTION("""COMPUTED_VALUE"""),7)</f>
        <v>7</v>
      </c>
      <c r="L126" s="1">
        <f ca="1">IFERROR(__xludf.DUMMYFUNCTION("""COMPUTED_VALUE"""),8)</f>
        <v>8</v>
      </c>
      <c r="M126" s="1">
        <f ca="1">IFERROR(__xludf.DUMMYFUNCTION("""COMPUTED_VALUE"""),7)</f>
        <v>7</v>
      </c>
      <c r="N126" s="1">
        <f ca="1">IFERROR(__xludf.DUMMYFUNCTION("""COMPUTED_VALUE"""),1983)</f>
        <v>1983</v>
      </c>
      <c r="O126" s="1">
        <f ca="1">IFERROR(__xludf.DUMMYFUNCTION("""COMPUTED_VALUE"""),1999)</f>
        <v>1999</v>
      </c>
      <c r="P126" s="1">
        <f ca="1">IFERROR(__xludf.DUMMYFUNCTION("""COMPUTED_VALUE"""),1205)</f>
        <v>1205</v>
      </c>
      <c r="Q126" s="1">
        <f ca="1">IFERROR(__xludf.DUMMYFUNCTION("""COMPUTED_VALUE"""),699)</f>
        <v>699</v>
      </c>
      <c r="R126" s="1">
        <f ca="1">IFERROR(__xludf.DUMMYFUNCTION("""COMPUTED_VALUE"""),1685)</f>
        <v>1685</v>
      </c>
      <c r="S126" s="1">
        <f ca="1">IFERROR(__xludf.DUMMYFUNCTION("""COMPUTED_VALUE"""),0.415)</f>
        <v>0.41499999999999998</v>
      </c>
      <c r="T126" s="1">
        <f ca="1">IFERROR(__xludf.DUMMYFUNCTION("""COMPUTED_VALUE"""),225)</f>
        <v>225</v>
      </c>
      <c r="U126" s="1">
        <f ca="1">IFERROR(__xludf.DUMMYFUNCTION("""COMPUTED_VALUE"""),670)</f>
        <v>670</v>
      </c>
      <c r="V126" s="1">
        <f ca="1">IFERROR(__xludf.DUMMYFUNCTION("""COMPUTED_VALUE"""),0.336)</f>
        <v>0.33600000000000002</v>
      </c>
      <c r="W126" s="1">
        <f ca="1">IFERROR(__xludf.DUMMYFUNCTION("""COMPUTED_VALUE"""),360)</f>
        <v>360</v>
      </c>
      <c r="X126" s="1">
        <f ca="1">IFERROR(__xludf.DUMMYFUNCTION("""COMPUTED_VALUE"""),520)</f>
        <v>520</v>
      </c>
      <c r="Y126" s="1">
        <f ca="1">IFERROR(__xludf.DUMMYFUNCTION("""COMPUTED_VALUE"""),0.692)</f>
        <v>0.69199999999999995</v>
      </c>
      <c r="Z126" s="1">
        <f ca="1">IFERROR(__xludf.DUMMYFUNCTION("""COMPUTED_VALUE"""),236)</f>
        <v>236</v>
      </c>
      <c r="AA126" s="1">
        <f ca="1">IFERROR(__xludf.DUMMYFUNCTION("""COMPUTED_VALUE"""),1033)</f>
        <v>1033</v>
      </c>
      <c r="AB126" s="1">
        <f ca="1">IFERROR(__xludf.DUMMYFUNCTION("""COMPUTED_VALUE"""),381)</f>
        <v>381</v>
      </c>
      <c r="AC126" s="1">
        <f ca="1">IFERROR(__xludf.DUMMYFUNCTION("""COMPUTED_VALUE"""),221)</f>
        <v>221</v>
      </c>
      <c r="AD126" s="1">
        <f ca="1">IFERROR(__xludf.DUMMYFUNCTION("""COMPUTED_VALUE"""),73)</f>
        <v>73</v>
      </c>
      <c r="AE126" s="1">
        <f ca="1">IFERROR(__xludf.DUMMYFUNCTION("""COMPUTED_VALUE"""),399)</f>
        <v>399</v>
      </c>
      <c r="AF126" s="1">
        <f ca="1">IFERROR(__xludf.DUMMYFUNCTION("""COMPUTED_VALUE"""),518)</f>
        <v>518</v>
      </c>
    </row>
    <row r="127" spans="1:32" x14ac:dyDescent="0.25">
      <c r="A127" s="1" t="str">
        <f ca="1">IFERROR(__xludf.DUMMYFUNCTION("""COMPUTED_VALUE"""),"Harvard")</f>
        <v>Harvard</v>
      </c>
      <c r="B127" s="1">
        <f ca="1">IFERROR(__xludf.DUMMYFUNCTION("""COMPUTED_VALUE"""),27)</f>
        <v>27</v>
      </c>
      <c r="C127" s="1">
        <f ca="1">IFERROR(__xludf.DUMMYFUNCTION("""COMPUTED_VALUE"""),20)</f>
        <v>20</v>
      </c>
      <c r="D127" s="1">
        <f ca="1">IFERROR(__xludf.DUMMYFUNCTION("""COMPUTED_VALUE"""),7)</f>
        <v>7</v>
      </c>
      <c r="E127" s="1">
        <f ca="1">IFERROR(__xludf.DUMMYFUNCTION("""COMPUTED_VALUE"""),0.741)</f>
        <v>0.74099999999999999</v>
      </c>
      <c r="F127" s="1">
        <f ca="1">IFERROR(__xludf.DUMMYFUNCTION("""COMPUTED_VALUE"""),2.98)</f>
        <v>2.98</v>
      </c>
      <c r="G127" s="1">
        <f ca="1">IFERROR(__xludf.DUMMYFUNCTION("""COMPUTED_VALUE"""),-1.79)</f>
        <v>-1.79</v>
      </c>
      <c r="H127" s="1">
        <f ca="1">IFERROR(__xludf.DUMMYFUNCTION("""COMPUTED_VALUE"""),9)</f>
        <v>9</v>
      </c>
      <c r="I127" s="1">
        <f ca="1">IFERROR(__xludf.DUMMYFUNCTION("""COMPUTED_VALUE"""),3)</f>
        <v>3</v>
      </c>
      <c r="J127" s="1">
        <f ca="1">IFERROR(__xludf.DUMMYFUNCTION("""COMPUTED_VALUE"""),10)</f>
        <v>10</v>
      </c>
      <c r="K127" s="1">
        <f ca="1">IFERROR(__xludf.DUMMYFUNCTION("""COMPUTED_VALUE"""),0)</f>
        <v>0</v>
      </c>
      <c r="L127" s="1">
        <f ca="1">IFERROR(__xludf.DUMMYFUNCTION("""COMPUTED_VALUE"""),9)</f>
        <v>9</v>
      </c>
      <c r="M127" s="1">
        <f ca="1">IFERROR(__xludf.DUMMYFUNCTION("""COMPUTED_VALUE"""),4)</f>
        <v>4</v>
      </c>
      <c r="N127" s="1">
        <f ca="1">IFERROR(__xludf.DUMMYFUNCTION("""COMPUTED_VALUE"""),1976)</f>
        <v>1976</v>
      </c>
      <c r="O127" s="1">
        <f ca="1">IFERROR(__xludf.DUMMYFUNCTION("""COMPUTED_VALUE"""),1795)</f>
        <v>1795</v>
      </c>
      <c r="P127" s="1">
        <f ca="1">IFERROR(__xludf.DUMMYFUNCTION("""COMPUTED_VALUE"""),1100)</f>
        <v>1100</v>
      </c>
      <c r="Q127" s="1">
        <f ca="1">IFERROR(__xludf.DUMMYFUNCTION("""COMPUTED_VALUE"""),713)</f>
        <v>713</v>
      </c>
      <c r="R127" s="1">
        <f ca="1">IFERROR(__xludf.DUMMYFUNCTION("""COMPUTED_VALUE"""),1558)</f>
        <v>1558</v>
      </c>
      <c r="S127" s="1">
        <f ca="1">IFERROR(__xludf.DUMMYFUNCTION("""COMPUTED_VALUE"""),0.458)</f>
        <v>0.45800000000000002</v>
      </c>
      <c r="T127" s="1">
        <f ca="1">IFERROR(__xludf.DUMMYFUNCTION("""COMPUTED_VALUE"""),194)</f>
        <v>194</v>
      </c>
      <c r="U127" s="1">
        <f ca="1">IFERROR(__xludf.DUMMYFUNCTION("""COMPUTED_VALUE"""),590)</f>
        <v>590</v>
      </c>
      <c r="V127" s="1">
        <f ca="1">IFERROR(__xludf.DUMMYFUNCTION("""COMPUTED_VALUE"""),0.329)</f>
        <v>0.32900000000000001</v>
      </c>
      <c r="W127" s="1">
        <f ca="1">IFERROR(__xludf.DUMMYFUNCTION("""COMPUTED_VALUE"""),356)</f>
        <v>356</v>
      </c>
      <c r="X127" s="1">
        <f ca="1">IFERROR(__xludf.DUMMYFUNCTION("""COMPUTED_VALUE"""),510)</f>
        <v>510</v>
      </c>
      <c r="Y127" s="1">
        <f ca="1">IFERROR(__xludf.DUMMYFUNCTION("""COMPUTED_VALUE"""),0.698)</f>
        <v>0.69799999999999995</v>
      </c>
      <c r="Z127" s="1">
        <f ca="1">IFERROR(__xludf.DUMMYFUNCTION("""COMPUTED_VALUE"""),281)</f>
        <v>281</v>
      </c>
      <c r="AA127" s="1">
        <f ca="1">IFERROR(__xludf.DUMMYFUNCTION("""COMPUTED_VALUE"""),1031)</f>
        <v>1031</v>
      </c>
      <c r="AB127" s="1">
        <f ca="1">IFERROR(__xludf.DUMMYFUNCTION("""COMPUTED_VALUE"""),323)</f>
        <v>323</v>
      </c>
      <c r="AC127" s="1">
        <f ca="1">IFERROR(__xludf.DUMMYFUNCTION("""COMPUTED_VALUE"""),174)</f>
        <v>174</v>
      </c>
      <c r="AD127" s="1">
        <f ca="1">IFERROR(__xludf.DUMMYFUNCTION("""COMPUTED_VALUE"""),140)</f>
        <v>140</v>
      </c>
      <c r="AE127" s="1">
        <f ca="1">IFERROR(__xludf.DUMMYFUNCTION("""COMPUTED_VALUE"""),380)</f>
        <v>380</v>
      </c>
      <c r="AF127" s="1">
        <f ca="1">IFERROR(__xludf.DUMMYFUNCTION("""COMPUTED_VALUE"""),467)</f>
        <v>467</v>
      </c>
    </row>
    <row r="128" spans="1:32" x14ac:dyDescent="0.25">
      <c r="A128" s="1" t="str">
        <f ca="1">IFERROR(__xludf.DUMMYFUNCTION("""COMPUTED_VALUE"""),"Hawaii")</f>
        <v>Hawaii</v>
      </c>
      <c r="B128" s="1">
        <f ca="1">IFERROR(__xludf.DUMMYFUNCTION("""COMPUTED_VALUE"""),28)</f>
        <v>28</v>
      </c>
      <c r="C128" s="1">
        <f ca="1">IFERROR(__xludf.DUMMYFUNCTION("""COMPUTED_VALUE"""),16)</f>
        <v>16</v>
      </c>
      <c r="D128" s="1">
        <f ca="1">IFERROR(__xludf.DUMMYFUNCTION("""COMPUTED_VALUE"""),12)</f>
        <v>12</v>
      </c>
      <c r="E128" s="1">
        <f ca="1">IFERROR(__xludf.DUMMYFUNCTION("""COMPUTED_VALUE"""),0.571)</f>
        <v>0.57099999999999995</v>
      </c>
      <c r="F128" s="1">
        <f ca="1">IFERROR(__xludf.DUMMYFUNCTION("""COMPUTED_VALUE"""),-0.9)</f>
        <v>-0.9</v>
      </c>
      <c r="G128" s="1">
        <f ca="1">IFERROR(__xludf.DUMMYFUNCTION("""COMPUTED_VALUE"""),-1.87)</f>
        <v>-1.87</v>
      </c>
      <c r="H128" s="1">
        <f ca="1">IFERROR(__xludf.DUMMYFUNCTION("""COMPUTED_VALUE"""),7)</f>
        <v>7</v>
      </c>
      <c r="I128" s="1">
        <f ca="1">IFERROR(__xludf.DUMMYFUNCTION("""COMPUTED_VALUE"""),7)</f>
        <v>7</v>
      </c>
      <c r="J128" s="1">
        <f ca="1">IFERROR(__xludf.DUMMYFUNCTION("""COMPUTED_VALUE"""),14)</f>
        <v>14</v>
      </c>
      <c r="K128" s="1">
        <f ca="1">IFERROR(__xludf.DUMMYFUNCTION("""COMPUTED_VALUE"""),6)</f>
        <v>6</v>
      </c>
      <c r="L128" s="1">
        <f ca="1">IFERROR(__xludf.DUMMYFUNCTION("""COMPUTED_VALUE"""),2)</f>
        <v>2</v>
      </c>
      <c r="M128" s="1">
        <f ca="1">IFERROR(__xludf.DUMMYFUNCTION("""COMPUTED_VALUE"""),6)</f>
        <v>6</v>
      </c>
      <c r="N128" s="1">
        <f ca="1">IFERROR(__xludf.DUMMYFUNCTION("""COMPUTED_VALUE"""),1908)</f>
        <v>1908</v>
      </c>
      <c r="O128" s="1">
        <f ca="1">IFERROR(__xludf.DUMMYFUNCTION("""COMPUTED_VALUE"""),1865)</f>
        <v>1865</v>
      </c>
      <c r="P128" s="1">
        <f ca="1">IFERROR(__xludf.DUMMYFUNCTION("""COMPUTED_VALUE"""),1125)</f>
        <v>1125</v>
      </c>
      <c r="Q128" s="1">
        <f ca="1">IFERROR(__xludf.DUMMYFUNCTION("""COMPUTED_VALUE"""),676)</f>
        <v>676</v>
      </c>
      <c r="R128" s="1">
        <f ca="1">IFERROR(__xludf.DUMMYFUNCTION("""COMPUTED_VALUE"""),1593)</f>
        <v>1593</v>
      </c>
      <c r="S128" s="1">
        <f ca="1">IFERROR(__xludf.DUMMYFUNCTION("""COMPUTED_VALUE"""),0.424)</f>
        <v>0.42399999999999999</v>
      </c>
      <c r="T128" s="1">
        <f ca="1">IFERROR(__xludf.DUMMYFUNCTION("""COMPUTED_VALUE"""),198)</f>
        <v>198</v>
      </c>
      <c r="U128" s="1">
        <f ca="1">IFERROR(__xludf.DUMMYFUNCTION("""COMPUTED_VALUE"""),605)</f>
        <v>605</v>
      </c>
      <c r="V128" s="1">
        <f ca="1">IFERROR(__xludf.DUMMYFUNCTION("""COMPUTED_VALUE"""),0.327)</f>
        <v>0.32700000000000001</v>
      </c>
      <c r="W128" s="1">
        <f ca="1">IFERROR(__xludf.DUMMYFUNCTION("""COMPUTED_VALUE"""),358)</f>
        <v>358</v>
      </c>
      <c r="X128" s="1">
        <f ca="1">IFERROR(__xludf.DUMMYFUNCTION("""COMPUTED_VALUE"""),511)</f>
        <v>511</v>
      </c>
      <c r="Y128" s="1">
        <f ca="1">IFERROR(__xludf.DUMMYFUNCTION("""COMPUTED_VALUE"""),0.701)</f>
        <v>0.70099999999999996</v>
      </c>
      <c r="Z128" s="1">
        <f ca="1">IFERROR(__xludf.DUMMYFUNCTION("""COMPUTED_VALUE"""),267)</f>
        <v>267</v>
      </c>
      <c r="AA128" s="1">
        <f ca="1">IFERROR(__xludf.DUMMYFUNCTION("""COMPUTED_VALUE"""),947)</f>
        <v>947</v>
      </c>
      <c r="AB128" s="1">
        <f ca="1">IFERROR(__xludf.DUMMYFUNCTION("""COMPUTED_VALUE"""),376)</f>
        <v>376</v>
      </c>
      <c r="AC128" s="1">
        <f ca="1">IFERROR(__xludf.DUMMYFUNCTION("""COMPUTED_VALUE"""),151)</f>
        <v>151</v>
      </c>
      <c r="AD128" s="1">
        <f ca="1">IFERROR(__xludf.DUMMYFUNCTION("""COMPUTED_VALUE"""),58)</f>
        <v>58</v>
      </c>
      <c r="AE128" s="1">
        <f ca="1">IFERROR(__xludf.DUMMYFUNCTION("""COMPUTED_VALUE"""),370)</f>
        <v>370</v>
      </c>
      <c r="AF128" s="1">
        <f ca="1">IFERROR(__xludf.DUMMYFUNCTION("""COMPUTED_VALUE"""),493)</f>
        <v>493</v>
      </c>
    </row>
    <row r="129" spans="1:32" x14ac:dyDescent="0.25">
      <c r="A129" s="1" t="str">
        <f ca="1">IFERROR(__xludf.DUMMYFUNCTION("""COMPUTED_VALUE"""),"High Point")</f>
        <v>High Point</v>
      </c>
      <c r="B129" s="1">
        <f ca="1">IFERROR(__xludf.DUMMYFUNCTION("""COMPUTED_VALUE"""),31)</f>
        <v>31</v>
      </c>
      <c r="C129" s="1">
        <f ca="1">IFERROR(__xludf.DUMMYFUNCTION("""COMPUTED_VALUE"""),9)</f>
        <v>9</v>
      </c>
      <c r="D129" s="1">
        <f ca="1">IFERROR(__xludf.DUMMYFUNCTION("""COMPUTED_VALUE"""),22)</f>
        <v>22</v>
      </c>
      <c r="E129" s="1">
        <f ca="1">IFERROR(__xludf.DUMMYFUNCTION("""COMPUTED_VALUE"""),0.29)</f>
        <v>0.28999999999999998</v>
      </c>
      <c r="F129" s="1">
        <f ca="1">IFERROR(__xludf.DUMMYFUNCTION("""COMPUTED_VALUE"""),-15.97)</f>
        <v>-15.97</v>
      </c>
      <c r="G129" s="1">
        <f ca="1">IFERROR(__xludf.DUMMYFUNCTION("""COMPUTED_VALUE"""),-4.97)</f>
        <v>-4.97</v>
      </c>
      <c r="H129" s="1">
        <f ca="1">IFERROR(__xludf.DUMMYFUNCTION("""COMPUTED_VALUE"""),6)</f>
        <v>6</v>
      </c>
      <c r="I129" s="1">
        <f ca="1">IFERROR(__xludf.DUMMYFUNCTION("""COMPUTED_VALUE"""),12)</f>
        <v>12</v>
      </c>
      <c r="J129" s="1">
        <f ca="1">IFERROR(__xludf.DUMMYFUNCTION("""COMPUTED_VALUE"""),6)</f>
        <v>6</v>
      </c>
      <c r="K129" s="1">
        <f ca="1">IFERROR(__xludf.DUMMYFUNCTION("""COMPUTED_VALUE"""),9)</f>
        <v>9</v>
      </c>
      <c r="L129" s="1">
        <f ca="1">IFERROR(__xludf.DUMMYFUNCTION("""COMPUTED_VALUE"""),3)</f>
        <v>3</v>
      </c>
      <c r="M129" s="1">
        <f ca="1">IFERROR(__xludf.DUMMYFUNCTION("""COMPUTED_VALUE"""),13)</f>
        <v>13</v>
      </c>
      <c r="N129" s="1">
        <f ca="1">IFERROR(__xludf.DUMMYFUNCTION("""COMPUTED_VALUE"""),2051)</f>
        <v>2051</v>
      </c>
      <c r="O129" s="1">
        <f ca="1">IFERROR(__xludf.DUMMYFUNCTION("""COMPUTED_VALUE"""),2327)</f>
        <v>2327</v>
      </c>
      <c r="P129" s="1">
        <f ca="1">IFERROR(__xludf.DUMMYFUNCTION("""COMPUTED_VALUE"""),1250)</f>
        <v>1250</v>
      </c>
      <c r="Q129" s="1">
        <f ca="1">IFERROR(__xludf.DUMMYFUNCTION("""COMPUTED_VALUE"""),687)</f>
        <v>687</v>
      </c>
      <c r="R129" s="1">
        <f ca="1">IFERROR(__xludf.DUMMYFUNCTION("""COMPUTED_VALUE"""),1687)</f>
        <v>1687</v>
      </c>
      <c r="S129" s="1">
        <f ca="1">IFERROR(__xludf.DUMMYFUNCTION("""COMPUTED_VALUE"""),0.407)</f>
        <v>0.40699999999999997</v>
      </c>
      <c r="T129" s="1">
        <f ca="1">IFERROR(__xludf.DUMMYFUNCTION("""COMPUTED_VALUE"""),191)</f>
        <v>191</v>
      </c>
      <c r="U129" s="1">
        <f ca="1">IFERROR(__xludf.DUMMYFUNCTION("""COMPUTED_VALUE"""),602)</f>
        <v>602</v>
      </c>
      <c r="V129" s="1">
        <f ca="1">IFERROR(__xludf.DUMMYFUNCTION("""COMPUTED_VALUE"""),0.317)</f>
        <v>0.317</v>
      </c>
      <c r="W129" s="1">
        <f ca="1">IFERROR(__xludf.DUMMYFUNCTION("""COMPUTED_VALUE"""),486)</f>
        <v>486</v>
      </c>
      <c r="X129" s="1">
        <f ca="1">IFERROR(__xludf.DUMMYFUNCTION("""COMPUTED_VALUE"""),688)</f>
        <v>688</v>
      </c>
      <c r="Y129" s="1">
        <f ca="1">IFERROR(__xludf.DUMMYFUNCTION("""COMPUTED_VALUE"""),0.706)</f>
        <v>0.70599999999999996</v>
      </c>
      <c r="Z129" s="1">
        <f ca="1">IFERROR(__xludf.DUMMYFUNCTION("""COMPUTED_VALUE"""),337)</f>
        <v>337</v>
      </c>
      <c r="AA129" s="1">
        <f ca="1">IFERROR(__xludf.DUMMYFUNCTION("""COMPUTED_VALUE"""),1056)</f>
        <v>1056</v>
      </c>
      <c r="AB129" s="1">
        <f ca="1">IFERROR(__xludf.DUMMYFUNCTION("""COMPUTED_VALUE"""),384)</f>
        <v>384</v>
      </c>
      <c r="AC129" s="1">
        <f ca="1">IFERROR(__xludf.DUMMYFUNCTION("""COMPUTED_VALUE"""),161)</f>
        <v>161</v>
      </c>
      <c r="AD129" s="1">
        <f ca="1">IFERROR(__xludf.DUMMYFUNCTION("""COMPUTED_VALUE"""),109)</f>
        <v>109</v>
      </c>
      <c r="AE129" s="1">
        <f ca="1">IFERROR(__xludf.DUMMYFUNCTION("""COMPUTED_VALUE"""),442)</f>
        <v>442</v>
      </c>
      <c r="AF129" s="1">
        <f ca="1">IFERROR(__xludf.DUMMYFUNCTION("""COMPUTED_VALUE"""),569)</f>
        <v>569</v>
      </c>
    </row>
    <row r="130" spans="1:32" x14ac:dyDescent="0.25">
      <c r="A130" s="1" t="str">
        <f ca="1">IFERROR(__xludf.DUMMYFUNCTION("""COMPUTED_VALUE"""),"Hofstra")</f>
        <v>Hofstra</v>
      </c>
      <c r="B130" s="1">
        <f ca="1">IFERROR(__xludf.DUMMYFUNCTION("""COMPUTED_VALUE"""),31)</f>
        <v>31</v>
      </c>
      <c r="C130" s="1">
        <f ca="1">IFERROR(__xludf.DUMMYFUNCTION("""COMPUTED_VALUE"""),23)</f>
        <v>23</v>
      </c>
      <c r="D130" s="1">
        <f ca="1">IFERROR(__xludf.DUMMYFUNCTION("""COMPUTED_VALUE"""),8)</f>
        <v>8</v>
      </c>
      <c r="E130" s="1">
        <f ca="1">IFERROR(__xludf.DUMMYFUNCTION("""COMPUTED_VALUE"""),0.742)</f>
        <v>0.74199999999999999</v>
      </c>
      <c r="F130" s="1">
        <f ca="1">IFERROR(__xludf.DUMMYFUNCTION("""COMPUTED_VALUE"""),2.34)</f>
        <v>2.34</v>
      </c>
      <c r="G130" s="1">
        <f ca="1">IFERROR(__xludf.DUMMYFUNCTION("""COMPUTED_VALUE"""),-3.9)</f>
        <v>-3.9</v>
      </c>
      <c r="H130" s="1">
        <f ca="1">IFERROR(__xludf.DUMMYFUNCTION("""COMPUTED_VALUE"""),14)</f>
        <v>14</v>
      </c>
      <c r="I130" s="1">
        <f ca="1">IFERROR(__xludf.DUMMYFUNCTION("""COMPUTED_VALUE"""),4)</f>
        <v>4</v>
      </c>
      <c r="J130" s="1">
        <f ca="1">IFERROR(__xludf.DUMMYFUNCTION("""COMPUTED_VALUE"""),10)</f>
        <v>10</v>
      </c>
      <c r="K130" s="1">
        <f ca="1">IFERROR(__xludf.DUMMYFUNCTION("""COMPUTED_VALUE"""),4)</f>
        <v>4</v>
      </c>
      <c r="L130" s="1">
        <f ca="1">IFERROR(__xludf.DUMMYFUNCTION("""COMPUTED_VALUE"""),11)</f>
        <v>11</v>
      </c>
      <c r="M130" s="1">
        <f ca="1">IFERROR(__xludf.DUMMYFUNCTION("""COMPUTED_VALUE"""),4)</f>
        <v>4</v>
      </c>
      <c r="N130" s="1">
        <f ca="1">IFERROR(__xludf.DUMMYFUNCTION("""COMPUTED_VALUE"""),2390)</f>
        <v>2390</v>
      </c>
      <c r="O130" s="1">
        <f ca="1">IFERROR(__xludf.DUMMYFUNCTION("""COMPUTED_VALUE"""),2161)</f>
        <v>2161</v>
      </c>
      <c r="P130" s="1">
        <f ca="1">IFERROR(__xludf.DUMMYFUNCTION("""COMPUTED_VALUE"""),1240)</f>
        <v>1240</v>
      </c>
      <c r="Q130" s="1">
        <f ca="1">IFERROR(__xludf.DUMMYFUNCTION("""COMPUTED_VALUE"""),826)</f>
        <v>826</v>
      </c>
      <c r="R130" s="1">
        <f ca="1">IFERROR(__xludf.DUMMYFUNCTION("""COMPUTED_VALUE"""),1826)</f>
        <v>1826</v>
      </c>
      <c r="S130" s="1">
        <f ca="1">IFERROR(__xludf.DUMMYFUNCTION("""COMPUTED_VALUE"""),0.452)</f>
        <v>0.45200000000000001</v>
      </c>
      <c r="T130" s="1">
        <f ca="1">IFERROR(__xludf.DUMMYFUNCTION("""COMPUTED_VALUE"""),255)</f>
        <v>255</v>
      </c>
      <c r="U130" s="1">
        <f ca="1">IFERROR(__xludf.DUMMYFUNCTION("""COMPUTED_VALUE"""),689)</f>
        <v>689</v>
      </c>
      <c r="V130" s="1">
        <f ca="1">IFERROR(__xludf.DUMMYFUNCTION("""COMPUTED_VALUE"""),0.37)</f>
        <v>0.37</v>
      </c>
      <c r="W130" s="1">
        <f ca="1">IFERROR(__xludf.DUMMYFUNCTION("""COMPUTED_VALUE"""),483)</f>
        <v>483</v>
      </c>
      <c r="X130" s="1">
        <f ca="1">IFERROR(__xludf.DUMMYFUNCTION("""COMPUTED_VALUE"""),620)</f>
        <v>620</v>
      </c>
      <c r="Y130" s="1">
        <f ca="1">IFERROR(__xludf.DUMMYFUNCTION("""COMPUTED_VALUE"""),0.779)</f>
        <v>0.77900000000000003</v>
      </c>
      <c r="Z130" s="1">
        <f ca="1">IFERROR(__xludf.DUMMYFUNCTION("""COMPUTED_VALUE"""),316)</f>
        <v>316</v>
      </c>
      <c r="AA130" s="1">
        <f ca="1">IFERROR(__xludf.DUMMYFUNCTION("""COMPUTED_VALUE"""),1068)</f>
        <v>1068</v>
      </c>
      <c r="AB130" s="1">
        <f ca="1">IFERROR(__xludf.DUMMYFUNCTION("""COMPUTED_VALUE"""),389)</f>
        <v>389</v>
      </c>
      <c r="AC130" s="1">
        <f ca="1">IFERROR(__xludf.DUMMYFUNCTION("""COMPUTED_VALUE"""),217)</f>
        <v>217</v>
      </c>
      <c r="AD130" s="1">
        <f ca="1">IFERROR(__xludf.DUMMYFUNCTION("""COMPUTED_VALUE"""),64)</f>
        <v>64</v>
      </c>
      <c r="AE130" s="1">
        <f ca="1">IFERROR(__xludf.DUMMYFUNCTION("""COMPUTED_VALUE"""),349)</f>
        <v>349</v>
      </c>
      <c r="AF130" s="1">
        <f ca="1">IFERROR(__xludf.DUMMYFUNCTION("""COMPUTED_VALUE"""),454)</f>
        <v>454</v>
      </c>
    </row>
    <row r="131" spans="1:32" x14ac:dyDescent="0.25">
      <c r="A131" s="1" t="str">
        <f ca="1">IFERROR(__xludf.DUMMYFUNCTION("""COMPUTED_VALUE"""),"Holy Cross")</f>
        <v>Holy Cross</v>
      </c>
      <c r="B131" s="1">
        <f ca="1">IFERROR(__xludf.DUMMYFUNCTION("""COMPUTED_VALUE"""),31)</f>
        <v>31</v>
      </c>
      <c r="C131" s="1">
        <f ca="1">IFERROR(__xludf.DUMMYFUNCTION("""COMPUTED_VALUE"""),3)</f>
        <v>3</v>
      </c>
      <c r="D131" s="1">
        <f ca="1">IFERROR(__xludf.DUMMYFUNCTION("""COMPUTED_VALUE"""),28)</f>
        <v>28</v>
      </c>
      <c r="E131" s="1">
        <f ca="1">IFERROR(__xludf.DUMMYFUNCTION("""COMPUTED_VALUE"""),0.097)</f>
        <v>9.7000000000000003E-2</v>
      </c>
      <c r="F131" s="1">
        <f ca="1">IFERROR(__xludf.DUMMYFUNCTION("""COMPUTED_VALUE"""),-18.22)</f>
        <v>-18.22</v>
      </c>
      <c r="G131" s="1">
        <f ca="1">IFERROR(__xludf.DUMMYFUNCTION("""COMPUTED_VALUE"""),-4.05)</f>
        <v>-4.05</v>
      </c>
      <c r="H131" s="1">
        <f ca="1">IFERROR(__xludf.DUMMYFUNCTION("""COMPUTED_VALUE"""),2)</f>
        <v>2</v>
      </c>
      <c r="I131" s="1">
        <f ca="1">IFERROR(__xludf.DUMMYFUNCTION("""COMPUTED_VALUE"""),16)</f>
        <v>16</v>
      </c>
      <c r="J131" s="1">
        <f ca="1">IFERROR(__xludf.DUMMYFUNCTION("""COMPUTED_VALUE"""),2)</f>
        <v>2</v>
      </c>
      <c r="K131" s="1">
        <f ca="1">IFERROR(__xludf.DUMMYFUNCTION("""COMPUTED_VALUE"""),12)</f>
        <v>12</v>
      </c>
      <c r="L131" s="1">
        <f ca="1">IFERROR(__xludf.DUMMYFUNCTION("""COMPUTED_VALUE"""),0)</f>
        <v>0</v>
      </c>
      <c r="M131" s="1">
        <f ca="1">IFERROR(__xludf.DUMMYFUNCTION("""COMPUTED_VALUE"""),15)</f>
        <v>15</v>
      </c>
      <c r="N131" s="1">
        <f ca="1">IFERROR(__xludf.DUMMYFUNCTION("""COMPUTED_VALUE"""),2044)</f>
        <v>2044</v>
      </c>
      <c r="O131" s="1">
        <f ca="1">IFERROR(__xludf.DUMMYFUNCTION("""COMPUTED_VALUE"""),2472)</f>
        <v>2472</v>
      </c>
      <c r="P131" s="1">
        <f ca="1">IFERROR(__xludf.DUMMYFUNCTION("""COMPUTED_VALUE"""),1255)</f>
        <v>1255</v>
      </c>
      <c r="Q131" s="1">
        <f ca="1">IFERROR(__xludf.DUMMYFUNCTION("""COMPUTED_VALUE"""),764)</f>
        <v>764</v>
      </c>
      <c r="R131" s="1">
        <f ca="1">IFERROR(__xludf.DUMMYFUNCTION("""COMPUTED_VALUE"""),1779)</f>
        <v>1779</v>
      </c>
      <c r="S131" s="1">
        <f ca="1">IFERROR(__xludf.DUMMYFUNCTION("""COMPUTED_VALUE"""),0.429)</f>
        <v>0.42899999999999999</v>
      </c>
      <c r="T131" s="1">
        <f ca="1">IFERROR(__xludf.DUMMYFUNCTION("""COMPUTED_VALUE"""),214)</f>
        <v>214</v>
      </c>
      <c r="U131" s="1">
        <f ca="1">IFERROR(__xludf.DUMMYFUNCTION("""COMPUTED_VALUE"""),671)</f>
        <v>671</v>
      </c>
      <c r="V131" s="1">
        <f ca="1">IFERROR(__xludf.DUMMYFUNCTION("""COMPUTED_VALUE"""),0.319)</f>
        <v>0.31900000000000001</v>
      </c>
      <c r="W131" s="1">
        <f ca="1">IFERROR(__xludf.DUMMYFUNCTION("""COMPUTED_VALUE"""),302)</f>
        <v>302</v>
      </c>
      <c r="X131" s="1">
        <f ca="1">IFERROR(__xludf.DUMMYFUNCTION("""COMPUTED_VALUE"""),449)</f>
        <v>449</v>
      </c>
      <c r="Y131" s="1">
        <f ca="1">IFERROR(__xludf.DUMMYFUNCTION("""COMPUTED_VALUE"""),0.673)</f>
        <v>0.67300000000000004</v>
      </c>
      <c r="Z131" s="1">
        <f ca="1">IFERROR(__xludf.DUMMYFUNCTION("""COMPUTED_VALUE"""),272)</f>
        <v>272</v>
      </c>
      <c r="AA131" s="1">
        <f ca="1">IFERROR(__xludf.DUMMYFUNCTION("""COMPUTED_VALUE"""),997)</f>
        <v>997</v>
      </c>
      <c r="AB131" s="1">
        <f ca="1">IFERROR(__xludf.DUMMYFUNCTION("""COMPUTED_VALUE"""),356)</f>
        <v>356</v>
      </c>
      <c r="AC131" s="1">
        <f ca="1">IFERROR(__xludf.DUMMYFUNCTION("""COMPUTED_VALUE"""),152)</f>
        <v>152</v>
      </c>
      <c r="AD131" s="1">
        <f ca="1">IFERROR(__xludf.DUMMYFUNCTION("""COMPUTED_VALUE"""),83)</f>
        <v>83</v>
      </c>
      <c r="AE131" s="1">
        <f ca="1">IFERROR(__xludf.DUMMYFUNCTION("""COMPUTED_VALUE"""),434)</f>
        <v>434</v>
      </c>
      <c r="AF131" s="1">
        <f ca="1">IFERROR(__xludf.DUMMYFUNCTION("""COMPUTED_VALUE"""),555)</f>
        <v>555</v>
      </c>
    </row>
    <row r="132" spans="1:32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x14ac:dyDescent="0.25">
      <c r="A134" s="1" t="str">
        <f ca="1">IFERROR(__xludf.DUMMYFUNCTION("""COMPUTED_VALUE"""),"Houston Baptist")</f>
        <v>Houston Baptist</v>
      </c>
      <c r="B134" s="1">
        <f ca="1">IFERROR(__xludf.DUMMYFUNCTION("""COMPUTED_VALUE"""),27)</f>
        <v>27</v>
      </c>
      <c r="C134" s="1">
        <f ca="1">IFERROR(__xludf.DUMMYFUNCTION("""COMPUTED_VALUE"""),3)</f>
        <v>3</v>
      </c>
      <c r="D134" s="1">
        <f ca="1">IFERROR(__xludf.DUMMYFUNCTION("""COMPUTED_VALUE"""),24)</f>
        <v>24</v>
      </c>
      <c r="E134" s="1">
        <f ca="1">IFERROR(__xludf.DUMMYFUNCTION("""COMPUTED_VALUE"""),0.111)</f>
        <v>0.111</v>
      </c>
      <c r="F134" s="1">
        <f ca="1">IFERROR(__xludf.DUMMYFUNCTION("""COMPUTED_VALUE"""),-17.88)</f>
        <v>-17.88</v>
      </c>
      <c r="G134" s="1">
        <f ca="1">IFERROR(__xludf.DUMMYFUNCTION("""COMPUTED_VALUE"""),-2.84)</f>
        <v>-2.84</v>
      </c>
      <c r="H134" s="1">
        <f ca="1">IFERROR(__xludf.DUMMYFUNCTION("""COMPUTED_VALUE"""),3)</f>
        <v>3</v>
      </c>
      <c r="I134" s="1">
        <f ca="1">IFERROR(__xludf.DUMMYFUNCTION("""COMPUTED_VALUE"""),15)</f>
        <v>15</v>
      </c>
      <c r="J134" s="1">
        <f ca="1">IFERROR(__xludf.DUMMYFUNCTION("""COMPUTED_VALUE"""),2)</f>
        <v>2</v>
      </c>
      <c r="K134" s="1">
        <f ca="1">IFERROR(__xludf.DUMMYFUNCTION("""COMPUTED_VALUE"""),9)</f>
        <v>9</v>
      </c>
      <c r="L134" s="1">
        <f ca="1">IFERROR(__xludf.DUMMYFUNCTION("""COMPUTED_VALUE"""),1)</f>
        <v>1</v>
      </c>
      <c r="M134" s="1">
        <f ca="1">IFERROR(__xludf.DUMMYFUNCTION("""COMPUTED_VALUE"""),14)</f>
        <v>14</v>
      </c>
      <c r="N134" s="1">
        <f ca="1">IFERROR(__xludf.DUMMYFUNCTION("""COMPUTED_VALUE"""),2157)</f>
        <v>2157</v>
      </c>
      <c r="O134" s="1">
        <f ca="1">IFERROR(__xludf.DUMMYFUNCTION("""COMPUTED_VALUE"""),2563)</f>
        <v>2563</v>
      </c>
      <c r="P134" s="1">
        <f ca="1">IFERROR(__xludf.DUMMYFUNCTION("""COMPUTED_VALUE"""),1085)</f>
        <v>1085</v>
      </c>
      <c r="Q134" s="1">
        <f ca="1">IFERROR(__xludf.DUMMYFUNCTION("""COMPUTED_VALUE"""),737)</f>
        <v>737</v>
      </c>
      <c r="R134" s="1">
        <f ca="1">IFERROR(__xludf.DUMMYFUNCTION("""COMPUTED_VALUE"""),1682)</f>
        <v>1682</v>
      </c>
      <c r="S134" s="1">
        <f ca="1">IFERROR(__xludf.DUMMYFUNCTION("""COMPUTED_VALUE"""),0.438)</f>
        <v>0.438</v>
      </c>
      <c r="T134" s="1">
        <f ca="1">IFERROR(__xludf.DUMMYFUNCTION("""COMPUTED_VALUE"""),199)</f>
        <v>199</v>
      </c>
      <c r="U134" s="1">
        <f ca="1">IFERROR(__xludf.DUMMYFUNCTION("""COMPUTED_VALUE"""),563)</f>
        <v>563</v>
      </c>
      <c r="V134" s="1">
        <f ca="1">IFERROR(__xludf.DUMMYFUNCTION("""COMPUTED_VALUE"""),0.353)</f>
        <v>0.35299999999999998</v>
      </c>
      <c r="W134" s="1">
        <f ca="1">IFERROR(__xludf.DUMMYFUNCTION("""COMPUTED_VALUE"""),484)</f>
        <v>484</v>
      </c>
      <c r="X134" s="1">
        <f ca="1">IFERROR(__xludf.DUMMYFUNCTION("""COMPUTED_VALUE"""),649)</f>
        <v>649</v>
      </c>
      <c r="Y134" s="1">
        <f ca="1">IFERROR(__xludf.DUMMYFUNCTION("""COMPUTED_VALUE"""),0.746)</f>
        <v>0.746</v>
      </c>
      <c r="Z134" s="1">
        <f ca="1">IFERROR(__xludf.DUMMYFUNCTION("""COMPUTED_VALUE"""),332)</f>
        <v>332</v>
      </c>
      <c r="AA134" s="1">
        <f ca="1">IFERROR(__xludf.DUMMYFUNCTION("""COMPUTED_VALUE"""),974)</f>
        <v>974</v>
      </c>
      <c r="AB134" s="1">
        <f ca="1">IFERROR(__xludf.DUMMYFUNCTION("""COMPUTED_VALUE"""),339)</f>
        <v>339</v>
      </c>
      <c r="AC134" s="1">
        <f ca="1">IFERROR(__xludf.DUMMYFUNCTION("""COMPUTED_VALUE"""),153)</f>
        <v>153</v>
      </c>
      <c r="AD134" s="1">
        <f ca="1">IFERROR(__xludf.DUMMYFUNCTION("""COMPUTED_VALUE"""),61)</f>
        <v>61</v>
      </c>
      <c r="AE134" s="1">
        <f ca="1">IFERROR(__xludf.DUMMYFUNCTION("""COMPUTED_VALUE"""),450)</f>
        <v>450</v>
      </c>
      <c r="AF134" s="1">
        <f ca="1">IFERROR(__xludf.DUMMYFUNCTION("""COMPUTED_VALUE"""),551)</f>
        <v>551</v>
      </c>
    </row>
    <row r="135" spans="1:32" x14ac:dyDescent="0.25">
      <c r="A135" s="1" t="str">
        <f ca="1">IFERROR(__xludf.DUMMYFUNCTION("""COMPUTED_VALUE"""),"Houston")</f>
        <v>Houston</v>
      </c>
      <c r="B135" s="1">
        <f ca="1">IFERROR(__xludf.DUMMYFUNCTION("""COMPUTED_VALUE"""),29)</f>
        <v>29</v>
      </c>
      <c r="C135" s="1">
        <f ca="1">IFERROR(__xludf.DUMMYFUNCTION("""COMPUTED_VALUE"""),22)</f>
        <v>22</v>
      </c>
      <c r="D135" s="1">
        <f ca="1">IFERROR(__xludf.DUMMYFUNCTION("""COMPUTED_VALUE"""),7)</f>
        <v>7</v>
      </c>
      <c r="E135" s="1">
        <f ca="1">IFERROR(__xludf.DUMMYFUNCTION("""COMPUTED_VALUE"""),0.759)</f>
        <v>0.75900000000000001</v>
      </c>
      <c r="F135" s="1">
        <f ca="1">IFERROR(__xludf.DUMMYFUNCTION("""COMPUTED_VALUE"""),16.74)</f>
        <v>16.739999999999998</v>
      </c>
      <c r="G135" s="1">
        <f ca="1">IFERROR(__xludf.DUMMYFUNCTION("""COMPUTED_VALUE"""),5.91)</f>
        <v>5.91</v>
      </c>
      <c r="H135" s="1">
        <f ca="1">IFERROR(__xludf.DUMMYFUNCTION("""COMPUTED_VALUE"""),12)</f>
        <v>12</v>
      </c>
      <c r="I135" s="1">
        <f ca="1">IFERROR(__xludf.DUMMYFUNCTION("""COMPUTED_VALUE"""),4)</f>
        <v>4</v>
      </c>
      <c r="J135" s="1">
        <f ca="1">IFERROR(__xludf.DUMMYFUNCTION("""COMPUTED_VALUE"""),13)</f>
        <v>13</v>
      </c>
      <c r="K135" s="1">
        <f ca="1">IFERROR(__xludf.DUMMYFUNCTION("""COMPUTED_VALUE"""),2)</f>
        <v>2</v>
      </c>
      <c r="L135" s="1">
        <f ca="1">IFERROR(__xludf.DUMMYFUNCTION("""COMPUTED_VALUE"""),6)</f>
        <v>6</v>
      </c>
      <c r="M135" s="1">
        <f ca="1">IFERROR(__xludf.DUMMYFUNCTION("""COMPUTED_VALUE"""),5)</f>
        <v>5</v>
      </c>
      <c r="N135" s="1">
        <f ca="1">IFERROR(__xludf.DUMMYFUNCTION("""COMPUTED_VALUE"""),2106)</f>
        <v>2106</v>
      </c>
      <c r="O135" s="1">
        <f ca="1">IFERROR(__xludf.DUMMYFUNCTION("""COMPUTED_VALUE"""),1792)</f>
        <v>1792</v>
      </c>
      <c r="P135" s="1">
        <f ca="1">IFERROR(__xludf.DUMMYFUNCTION("""COMPUTED_VALUE"""),1165)</f>
        <v>1165</v>
      </c>
      <c r="Q135" s="1">
        <f ca="1">IFERROR(__xludf.DUMMYFUNCTION("""COMPUTED_VALUE"""),739)</f>
        <v>739</v>
      </c>
      <c r="R135" s="1">
        <f ca="1">IFERROR(__xludf.DUMMYFUNCTION("""COMPUTED_VALUE"""),1730)</f>
        <v>1730</v>
      </c>
      <c r="S135" s="1">
        <f ca="1">IFERROR(__xludf.DUMMYFUNCTION("""COMPUTED_VALUE"""),0.427)</f>
        <v>0.42699999999999999</v>
      </c>
      <c r="T135" s="1">
        <f ca="1">IFERROR(__xludf.DUMMYFUNCTION("""COMPUTED_VALUE"""),204)</f>
        <v>204</v>
      </c>
      <c r="U135" s="1">
        <f ca="1">IFERROR(__xludf.DUMMYFUNCTION("""COMPUTED_VALUE"""),602)</f>
        <v>602</v>
      </c>
      <c r="V135" s="1">
        <f ca="1">IFERROR(__xludf.DUMMYFUNCTION("""COMPUTED_VALUE"""),0.339)</f>
        <v>0.33900000000000002</v>
      </c>
      <c r="W135" s="1">
        <f ca="1">IFERROR(__xludf.DUMMYFUNCTION("""COMPUTED_VALUE"""),424)</f>
        <v>424</v>
      </c>
      <c r="X135" s="1">
        <f ca="1">IFERROR(__xludf.DUMMYFUNCTION("""COMPUTED_VALUE"""),582)</f>
        <v>582</v>
      </c>
      <c r="Y135" s="1">
        <f ca="1">IFERROR(__xludf.DUMMYFUNCTION("""COMPUTED_VALUE"""),0.729)</f>
        <v>0.72899999999999998</v>
      </c>
      <c r="Z135" s="1">
        <f ca="1">IFERROR(__xludf.DUMMYFUNCTION("""COMPUTED_VALUE"""),412)</f>
        <v>412</v>
      </c>
      <c r="AA135" s="1">
        <f ca="1">IFERROR(__xludf.DUMMYFUNCTION("""COMPUTED_VALUE"""),1200)</f>
        <v>1200</v>
      </c>
      <c r="AB135" s="1">
        <f ca="1">IFERROR(__xludf.DUMMYFUNCTION("""COMPUTED_VALUE"""),379)</f>
        <v>379</v>
      </c>
      <c r="AC135" s="1">
        <f ca="1">IFERROR(__xludf.DUMMYFUNCTION("""COMPUTED_VALUE"""),147)</f>
        <v>147</v>
      </c>
      <c r="AD135" s="1">
        <f ca="1">IFERROR(__xludf.DUMMYFUNCTION("""COMPUTED_VALUE"""),145)</f>
        <v>145</v>
      </c>
      <c r="AE135" s="1">
        <f ca="1">IFERROR(__xludf.DUMMYFUNCTION("""COMPUTED_VALUE"""),349)</f>
        <v>349</v>
      </c>
      <c r="AF135" s="1">
        <f ca="1">IFERROR(__xludf.DUMMYFUNCTION("""COMPUTED_VALUE"""),568)</f>
        <v>568</v>
      </c>
    </row>
    <row r="136" spans="1:32" x14ac:dyDescent="0.25">
      <c r="A136" s="1" t="str">
        <f ca="1">IFERROR(__xludf.DUMMYFUNCTION("""COMPUTED_VALUE"""),"Howard")</f>
        <v>Howard</v>
      </c>
      <c r="B136" s="1">
        <f ca="1">IFERROR(__xludf.DUMMYFUNCTION("""COMPUTED_VALUE"""),30)</f>
        <v>30</v>
      </c>
      <c r="C136" s="1">
        <f ca="1">IFERROR(__xludf.DUMMYFUNCTION("""COMPUTED_VALUE"""),3)</f>
        <v>3</v>
      </c>
      <c r="D136" s="1">
        <f ca="1">IFERROR(__xludf.DUMMYFUNCTION("""COMPUTED_VALUE"""),27)</f>
        <v>27</v>
      </c>
      <c r="E136" s="1">
        <f ca="1">IFERROR(__xludf.DUMMYFUNCTION("""COMPUTED_VALUE"""),0.1)</f>
        <v>0.1</v>
      </c>
      <c r="F136" s="1">
        <f ca="1">IFERROR(__xludf.DUMMYFUNCTION("""COMPUTED_VALUE"""),-22.06)</f>
        <v>-22.06</v>
      </c>
      <c r="G136" s="1">
        <f ca="1">IFERROR(__xludf.DUMMYFUNCTION("""COMPUTED_VALUE"""),-7.17)</f>
        <v>-7.17</v>
      </c>
      <c r="H136" s="1">
        <f ca="1">IFERROR(__xludf.DUMMYFUNCTION("""COMPUTED_VALUE"""),1)</f>
        <v>1</v>
      </c>
      <c r="I136" s="1">
        <f ca="1">IFERROR(__xludf.DUMMYFUNCTION("""COMPUTED_VALUE"""),14)</f>
        <v>14</v>
      </c>
      <c r="J136" s="1">
        <f ca="1">IFERROR(__xludf.DUMMYFUNCTION("""COMPUTED_VALUE"""),2)</f>
        <v>2</v>
      </c>
      <c r="K136" s="1">
        <f ca="1">IFERROR(__xludf.DUMMYFUNCTION("""COMPUTED_VALUE"""),12)</f>
        <v>12</v>
      </c>
      <c r="L136" s="1">
        <f ca="1">IFERROR(__xludf.DUMMYFUNCTION("""COMPUTED_VALUE"""),1)</f>
        <v>1</v>
      </c>
      <c r="M136" s="1">
        <f ca="1">IFERROR(__xludf.DUMMYFUNCTION("""COMPUTED_VALUE"""),14)</f>
        <v>14</v>
      </c>
      <c r="N136" s="1">
        <f ca="1">IFERROR(__xludf.DUMMYFUNCTION("""COMPUTED_VALUE"""),2071)</f>
        <v>2071</v>
      </c>
      <c r="O136" s="1">
        <f ca="1">IFERROR(__xludf.DUMMYFUNCTION("""COMPUTED_VALUE"""),2433)</f>
        <v>2433</v>
      </c>
      <c r="P136" s="1">
        <f ca="1">IFERROR(__xludf.DUMMYFUNCTION("""COMPUTED_VALUE"""),1215)</f>
        <v>1215</v>
      </c>
      <c r="Q136" s="1">
        <f ca="1">IFERROR(__xludf.DUMMYFUNCTION("""COMPUTED_VALUE"""),732)</f>
        <v>732</v>
      </c>
      <c r="R136" s="1">
        <f ca="1">IFERROR(__xludf.DUMMYFUNCTION("""COMPUTED_VALUE"""),1761)</f>
        <v>1761</v>
      </c>
      <c r="S136" s="1">
        <f ca="1">IFERROR(__xludf.DUMMYFUNCTION("""COMPUTED_VALUE"""),0.416)</f>
        <v>0.41599999999999998</v>
      </c>
      <c r="T136" s="1">
        <f ca="1">IFERROR(__xludf.DUMMYFUNCTION("""COMPUTED_VALUE"""),226)</f>
        <v>226</v>
      </c>
      <c r="U136" s="1">
        <f ca="1">IFERROR(__xludf.DUMMYFUNCTION("""COMPUTED_VALUE"""),657)</f>
        <v>657</v>
      </c>
      <c r="V136" s="1">
        <f ca="1">IFERROR(__xludf.DUMMYFUNCTION("""COMPUTED_VALUE"""),0.344)</f>
        <v>0.34399999999999997</v>
      </c>
      <c r="W136" s="1">
        <f ca="1">IFERROR(__xludf.DUMMYFUNCTION("""COMPUTED_VALUE"""),381)</f>
        <v>381</v>
      </c>
      <c r="X136" s="1">
        <f ca="1">IFERROR(__xludf.DUMMYFUNCTION("""COMPUTED_VALUE"""),555)</f>
        <v>555</v>
      </c>
      <c r="Y136" s="1">
        <f ca="1">IFERROR(__xludf.DUMMYFUNCTION("""COMPUTED_VALUE"""),0.686)</f>
        <v>0.68600000000000005</v>
      </c>
      <c r="Z136" s="1">
        <f ca="1">IFERROR(__xludf.DUMMYFUNCTION("""COMPUTED_VALUE"""),297)</f>
        <v>297</v>
      </c>
      <c r="AA136" s="1">
        <f ca="1">IFERROR(__xludf.DUMMYFUNCTION("""COMPUTED_VALUE"""),992)</f>
        <v>992</v>
      </c>
      <c r="AB136" s="1">
        <f ca="1">IFERROR(__xludf.DUMMYFUNCTION("""COMPUTED_VALUE"""),398)</f>
        <v>398</v>
      </c>
      <c r="AC136" s="1">
        <f ca="1">IFERROR(__xludf.DUMMYFUNCTION("""COMPUTED_VALUE"""),175)</f>
        <v>175</v>
      </c>
      <c r="AD136" s="1">
        <f ca="1">IFERROR(__xludf.DUMMYFUNCTION("""COMPUTED_VALUE"""),100)</f>
        <v>100</v>
      </c>
      <c r="AE136" s="1">
        <f ca="1">IFERROR(__xludf.DUMMYFUNCTION("""COMPUTED_VALUE"""),445)</f>
        <v>445</v>
      </c>
      <c r="AF136" s="1">
        <f ca="1">IFERROR(__xludf.DUMMYFUNCTION("""COMPUTED_VALUE"""),545)</f>
        <v>545</v>
      </c>
    </row>
    <row r="137" spans="1:32" x14ac:dyDescent="0.25">
      <c r="A137" s="1" t="str">
        <f ca="1">IFERROR(__xludf.DUMMYFUNCTION("""COMPUTED_VALUE"""),"Idaho State")</f>
        <v>Idaho State</v>
      </c>
      <c r="B137" s="1">
        <f ca="1">IFERROR(__xludf.DUMMYFUNCTION("""COMPUTED_VALUE"""),27)</f>
        <v>27</v>
      </c>
      <c r="C137" s="1">
        <f ca="1">IFERROR(__xludf.DUMMYFUNCTION("""COMPUTED_VALUE"""),7)</f>
        <v>7</v>
      </c>
      <c r="D137" s="1">
        <f ca="1">IFERROR(__xludf.DUMMYFUNCTION("""COMPUTED_VALUE"""),20)</f>
        <v>20</v>
      </c>
      <c r="E137" s="1">
        <f ca="1">IFERROR(__xludf.DUMMYFUNCTION("""COMPUTED_VALUE"""),0.259)</f>
        <v>0.25900000000000001</v>
      </c>
      <c r="F137" s="1">
        <f ca="1">IFERROR(__xludf.DUMMYFUNCTION("""COMPUTED_VALUE"""),-8.02)</f>
        <v>-8.02</v>
      </c>
      <c r="G137" s="1">
        <f ca="1">IFERROR(__xludf.DUMMYFUNCTION("""COMPUTED_VALUE"""),-1.18)</f>
        <v>-1.18</v>
      </c>
      <c r="H137" s="1">
        <f ca="1">IFERROR(__xludf.DUMMYFUNCTION("""COMPUTED_VALUE"""),4)</f>
        <v>4</v>
      </c>
      <c r="I137" s="1">
        <f ca="1">IFERROR(__xludf.DUMMYFUNCTION("""COMPUTED_VALUE"""),14)</f>
        <v>14</v>
      </c>
      <c r="J137" s="1">
        <f ca="1">IFERROR(__xludf.DUMMYFUNCTION("""COMPUTED_VALUE"""),4)</f>
        <v>4</v>
      </c>
      <c r="K137" s="1">
        <f ca="1">IFERROR(__xludf.DUMMYFUNCTION("""COMPUTED_VALUE"""),9)</f>
        <v>9</v>
      </c>
      <c r="L137" s="1">
        <f ca="1">IFERROR(__xludf.DUMMYFUNCTION("""COMPUTED_VALUE"""),3)</f>
        <v>3</v>
      </c>
      <c r="M137" s="1">
        <f ca="1">IFERROR(__xludf.DUMMYFUNCTION("""COMPUTED_VALUE"""),11)</f>
        <v>11</v>
      </c>
      <c r="N137" s="1">
        <f ca="1">IFERROR(__xludf.DUMMYFUNCTION("""COMPUTED_VALUE"""),1876)</f>
        <v>1876</v>
      </c>
      <c r="O137" s="1">
        <f ca="1">IFERROR(__xludf.DUMMYFUNCTION("""COMPUTED_VALUE"""),1956)</f>
        <v>1956</v>
      </c>
      <c r="P137" s="1">
        <f ca="1">IFERROR(__xludf.DUMMYFUNCTION("""COMPUTED_VALUE"""),1095)</f>
        <v>1095</v>
      </c>
      <c r="Q137" s="1">
        <f ca="1">IFERROR(__xludf.DUMMYFUNCTION("""COMPUTED_VALUE"""),677)</f>
        <v>677</v>
      </c>
      <c r="R137" s="1">
        <f ca="1">IFERROR(__xludf.DUMMYFUNCTION("""COMPUTED_VALUE"""),1489)</f>
        <v>1489</v>
      </c>
      <c r="S137" s="1">
        <f ca="1">IFERROR(__xludf.DUMMYFUNCTION("""COMPUTED_VALUE"""),0.455)</f>
        <v>0.45500000000000002</v>
      </c>
      <c r="T137" s="1">
        <f ca="1">IFERROR(__xludf.DUMMYFUNCTION("""COMPUTED_VALUE"""),175)</f>
        <v>175</v>
      </c>
      <c r="U137" s="1">
        <f ca="1">IFERROR(__xludf.DUMMYFUNCTION("""COMPUTED_VALUE"""),501)</f>
        <v>501</v>
      </c>
      <c r="V137" s="1">
        <f ca="1">IFERROR(__xludf.DUMMYFUNCTION("""COMPUTED_VALUE"""),0.349)</f>
        <v>0.34899999999999998</v>
      </c>
      <c r="W137" s="1">
        <f ca="1">IFERROR(__xludf.DUMMYFUNCTION("""COMPUTED_VALUE"""),347)</f>
        <v>347</v>
      </c>
      <c r="X137" s="1">
        <f ca="1">IFERROR(__xludf.DUMMYFUNCTION("""COMPUTED_VALUE"""),526)</f>
        <v>526</v>
      </c>
      <c r="Y137" s="1">
        <f ca="1">IFERROR(__xludf.DUMMYFUNCTION("""COMPUTED_VALUE"""),0.66)</f>
        <v>0.66</v>
      </c>
      <c r="Z137" s="1">
        <f ca="1">IFERROR(__xludf.DUMMYFUNCTION("""COMPUTED_VALUE"""),268)</f>
        <v>268</v>
      </c>
      <c r="AA137" s="1">
        <f ca="1">IFERROR(__xludf.DUMMYFUNCTION("""COMPUTED_VALUE"""),893)</f>
        <v>893</v>
      </c>
      <c r="AB137" s="1">
        <f ca="1">IFERROR(__xludf.DUMMYFUNCTION("""COMPUTED_VALUE"""),315)</f>
        <v>315</v>
      </c>
      <c r="AC137" s="1">
        <f ca="1">IFERROR(__xludf.DUMMYFUNCTION("""COMPUTED_VALUE"""),129)</f>
        <v>129</v>
      </c>
      <c r="AD137" s="1">
        <f ca="1">IFERROR(__xludf.DUMMYFUNCTION("""COMPUTED_VALUE"""),68)</f>
        <v>68</v>
      </c>
      <c r="AE137" s="1">
        <f ca="1">IFERROR(__xludf.DUMMYFUNCTION("""COMPUTED_VALUE"""),376)</f>
        <v>376</v>
      </c>
      <c r="AF137" s="1">
        <f ca="1">IFERROR(__xludf.DUMMYFUNCTION("""COMPUTED_VALUE"""),421)</f>
        <v>421</v>
      </c>
    </row>
    <row r="138" spans="1:32" x14ac:dyDescent="0.25">
      <c r="A138" s="1" t="str">
        <f ca="1">IFERROR(__xludf.DUMMYFUNCTION("""COMPUTED_VALUE"""),"Idaho")</f>
        <v>Idaho</v>
      </c>
      <c r="B138" s="1">
        <f ca="1">IFERROR(__xludf.DUMMYFUNCTION("""COMPUTED_VALUE"""),29)</f>
        <v>29</v>
      </c>
      <c r="C138" s="1">
        <f ca="1">IFERROR(__xludf.DUMMYFUNCTION("""COMPUTED_VALUE"""),7)</f>
        <v>7</v>
      </c>
      <c r="D138" s="1">
        <f ca="1">IFERROR(__xludf.DUMMYFUNCTION("""COMPUTED_VALUE"""),22)</f>
        <v>22</v>
      </c>
      <c r="E138" s="1">
        <f ca="1">IFERROR(__xludf.DUMMYFUNCTION("""COMPUTED_VALUE"""),0.241)</f>
        <v>0.24099999999999999</v>
      </c>
      <c r="F138" s="1">
        <f ca="1">IFERROR(__xludf.DUMMYFUNCTION("""COMPUTED_VALUE"""),-12.33)</f>
        <v>-12.33</v>
      </c>
      <c r="G138" s="1">
        <f ca="1">IFERROR(__xludf.DUMMYFUNCTION("""COMPUTED_VALUE"""),-1.63)</f>
        <v>-1.63</v>
      </c>
      <c r="H138" s="1">
        <f ca="1">IFERROR(__xludf.DUMMYFUNCTION("""COMPUTED_VALUE"""),3)</f>
        <v>3</v>
      </c>
      <c r="I138" s="1">
        <f ca="1">IFERROR(__xludf.DUMMYFUNCTION("""COMPUTED_VALUE"""),15)</f>
        <v>15</v>
      </c>
      <c r="J138" s="1">
        <f ca="1">IFERROR(__xludf.DUMMYFUNCTION("""COMPUTED_VALUE"""),4)</f>
        <v>4</v>
      </c>
      <c r="K138" s="1">
        <f ca="1">IFERROR(__xludf.DUMMYFUNCTION("""COMPUTED_VALUE"""),9)</f>
        <v>9</v>
      </c>
      <c r="L138" s="1">
        <f ca="1">IFERROR(__xludf.DUMMYFUNCTION("""COMPUTED_VALUE"""),2)</f>
        <v>2</v>
      </c>
      <c r="M138" s="1">
        <f ca="1">IFERROR(__xludf.DUMMYFUNCTION("""COMPUTED_VALUE"""),12)</f>
        <v>12</v>
      </c>
      <c r="N138" s="1">
        <f ca="1">IFERROR(__xludf.DUMMYFUNCTION("""COMPUTED_VALUE"""),1873)</f>
        <v>1873</v>
      </c>
      <c r="O138" s="1">
        <f ca="1">IFERROR(__xludf.DUMMYFUNCTION("""COMPUTED_VALUE"""),2106)</f>
        <v>2106</v>
      </c>
      <c r="P138" s="1">
        <f ca="1">IFERROR(__xludf.DUMMYFUNCTION("""COMPUTED_VALUE"""),1165)</f>
        <v>1165</v>
      </c>
      <c r="Q138" s="1">
        <f ca="1">IFERROR(__xludf.DUMMYFUNCTION("""COMPUTED_VALUE"""),704)</f>
        <v>704</v>
      </c>
      <c r="R138" s="1">
        <f ca="1">IFERROR(__xludf.DUMMYFUNCTION("""COMPUTED_VALUE"""),1612)</f>
        <v>1612</v>
      </c>
      <c r="S138" s="1">
        <f ca="1">IFERROR(__xludf.DUMMYFUNCTION("""COMPUTED_VALUE"""),0.437)</f>
        <v>0.437</v>
      </c>
      <c r="T138" s="1">
        <f ca="1">IFERROR(__xludf.DUMMYFUNCTION("""COMPUTED_VALUE"""),137)</f>
        <v>137</v>
      </c>
      <c r="U138" s="1">
        <f ca="1">IFERROR(__xludf.DUMMYFUNCTION("""COMPUTED_VALUE"""),413)</f>
        <v>413</v>
      </c>
      <c r="V138" s="1">
        <f ca="1">IFERROR(__xludf.DUMMYFUNCTION("""COMPUTED_VALUE"""),0.332)</f>
        <v>0.33200000000000002</v>
      </c>
      <c r="W138" s="1">
        <f ca="1">IFERROR(__xludf.DUMMYFUNCTION("""COMPUTED_VALUE"""),328)</f>
        <v>328</v>
      </c>
      <c r="X138" s="1">
        <f ca="1">IFERROR(__xludf.DUMMYFUNCTION("""COMPUTED_VALUE"""),490)</f>
        <v>490</v>
      </c>
      <c r="Y138" s="1">
        <f ca="1">IFERROR(__xludf.DUMMYFUNCTION("""COMPUTED_VALUE"""),0.669)</f>
        <v>0.66900000000000004</v>
      </c>
      <c r="Z138" s="1">
        <f ca="1">IFERROR(__xludf.DUMMYFUNCTION("""COMPUTED_VALUE"""),233)</f>
        <v>233</v>
      </c>
      <c r="AA138" s="1">
        <f ca="1">IFERROR(__xludf.DUMMYFUNCTION("""COMPUTED_VALUE"""),979)</f>
        <v>979</v>
      </c>
      <c r="AB138" s="1">
        <f ca="1">IFERROR(__xludf.DUMMYFUNCTION("""COMPUTED_VALUE"""),351)</f>
        <v>351</v>
      </c>
      <c r="AC138" s="1">
        <f ca="1">IFERROR(__xludf.DUMMYFUNCTION("""COMPUTED_VALUE"""),165)</f>
        <v>165</v>
      </c>
      <c r="AD138" s="1">
        <f ca="1">IFERROR(__xludf.DUMMYFUNCTION("""COMPUTED_VALUE"""),65)</f>
        <v>65</v>
      </c>
      <c r="AE138" s="1">
        <f ca="1">IFERROR(__xludf.DUMMYFUNCTION("""COMPUTED_VALUE"""),420)</f>
        <v>420</v>
      </c>
      <c r="AF138" s="1">
        <f ca="1">IFERROR(__xludf.DUMMYFUNCTION("""COMPUTED_VALUE"""),493)</f>
        <v>493</v>
      </c>
    </row>
    <row r="139" spans="1:32" x14ac:dyDescent="0.25">
      <c r="A139" s="1" t="str">
        <f ca="1">IFERROR(__xludf.DUMMYFUNCTION("""COMPUTED_VALUE"""),"Illinois-Chicago")</f>
        <v>Illinois-Chicago</v>
      </c>
      <c r="B139" s="1">
        <f ca="1">IFERROR(__xludf.DUMMYFUNCTION("""COMPUTED_VALUE"""),31)</f>
        <v>31</v>
      </c>
      <c r="C139" s="1">
        <f ca="1">IFERROR(__xludf.DUMMYFUNCTION("""COMPUTED_VALUE"""),15)</f>
        <v>15</v>
      </c>
      <c r="D139" s="1">
        <f ca="1">IFERROR(__xludf.DUMMYFUNCTION("""COMPUTED_VALUE"""),16)</f>
        <v>16</v>
      </c>
      <c r="E139" s="1">
        <f ca="1">IFERROR(__xludf.DUMMYFUNCTION("""COMPUTED_VALUE"""),0.484)</f>
        <v>0.48399999999999999</v>
      </c>
      <c r="F139" s="1">
        <f ca="1">IFERROR(__xludf.DUMMYFUNCTION("""COMPUTED_VALUE"""),-5.21)</f>
        <v>-5.21</v>
      </c>
      <c r="G139" s="1">
        <f ca="1">IFERROR(__xludf.DUMMYFUNCTION("""COMPUTED_VALUE"""),-3.68)</f>
        <v>-3.68</v>
      </c>
      <c r="H139" s="1">
        <f ca="1">IFERROR(__xludf.DUMMYFUNCTION("""COMPUTED_VALUE"""),10)</f>
        <v>10</v>
      </c>
      <c r="I139" s="1">
        <f ca="1">IFERROR(__xludf.DUMMYFUNCTION("""COMPUTED_VALUE"""),8)</f>
        <v>8</v>
      </c>
      <c r="J139" s="1">
        <f ca="1">IFERROR(__xludf.DUMMYFUNCTION("""COMPUTED_VALUE"""),9)</f>
        <v>9</v>
      </c>
      <c r="K139" s="1">
        <f ca="1">IFERROR(__xludf.DUMMYFUNCTION("""COMPUTED_VALUE"""),7)</f>
        <v>7</v>
      </c>
      <c r="L139" s="1">
        <f ca="1">IFERROR(__xludf.DUMMYFUNCTION("""COMPUTED_VALUE"""),5)</f>
        <v>5</v>
      </c>
      <c r="M139" s="1">
        <f ca="1">IFERROR(__xludf.DUMMYFUNCTION("""COMPUTED_VALUE"""),9)</f>
        <v>9</v>
      </c>
      <c r="N139" s="1">
        <f ca="1">IFERROR(__xludf.DUMMYFUNCTION("""COMPUTED_VALUE"""),2117)</f>
        <v>2117</v>
      </c>
      <c r="O139" s="1">
        <f ca="1">IFERROR(__xludf.DUMMYFUNCTION("""COMPUTED_VALUE"""),2160)</f>
        <v>2160</v>
      </c>
      <c r="P139" s="1">
        <f ca="1">IFERROR(__xludf.DUMMYFUNCTION("""COMPUTED_VALUE"""),1245)</f>
        <v>1245</v>
      </c>
      <c r="Q139" s="1">
        <f ca="1">IFERROR(__xludf.DUMMYFUNCTION("""COMPUTED_VALUE"""),766)</f>
        <v>766</v>
      </c>
      <c r="R139" s="1">
        <f ca="1">IFERROR(__xludf.DUMMYFUNCTION("""COMPUTED_VALUE"""),1743)</f>
        <v>1743</v>
      </c>
      <c r="S139" s="1">
        <f ca="1">IFERROR(__xludf.DUMMYFUNCTION("""COMPUTED_VALUE"""),0.439)</f>
        <v>0.439</v>
      </c>
      <c r="T139" s="1">
        <f ca="1">IFERROR(__xludf.DUMMYFUNCTION("""COMPUTED_VALUE"""),232)</f>
        <v>232</v>
      </c>
      <c r="U139" s="1">
        <f ca="1">IFERROR(__xludf.DUMMYFUNCTION("""COMPUTED_VALUE"""),676)</f>
        <v>676</v>
      </c>
      <c r="V139" s="1">
        <f ca="1">IFERROR(__xludf.DUMMYFUNCTION("""COMPUTED_VALUE"""),0.343)</f>
        <v>0.34300000000000003</v>
      </c>
      <c r="W139" s="1">
        <f ca="1">IFERROR(__xludf.DUMMYFUNCTION("""COMPUTED_VALUE"""),353)</f>
        <v>353</v>
      </c>
      <c r="X139" s="1">
        <f ca="1">IFERROR(__xludf.DUMMYFUNCTION("""COMPUTED_VALUE"""),516)</f>
        <v>516</v>
      </c>
      <c r="Y139" s="1">
        <f ca="1">IFERROR(__xludf.DUMMYFUNCTION("""COMPUTED_VALUE"""),0.684)</f>
        <v>0.68400000000000005</v>
      </c>
      <c r="Z139" s="1">
        <f ca="1">IFERROR(__xludf.DUMMYFUNCTION("""COMPUTED_VALUE"""),285)</f>
        <v>285</v>
      </c>
      <c r="AA139" s="1">
        <f ca="1">IFERROR(__xludf.DUMMYFUNCTION("""COMPUTED_VALUE"""),1138)</f>
        <v>1138</v>
      </c>
      <c r="AB139" s="1">
        <f ca="1">IFERROR(__xludf.DUMMYFUNCTION("""COMPUTED_VALUE"""),444)</f>
        <v>444</v>
      </c>
      <c r="AC139" s="1">
        <f ca="1">IFERROR(__xludf.DUMMYFUNCTION("""COMPUTED_VALUE"""),173)</f>
        <v>173</v>
      </c>
      <c r="AD139" s="1">
        <f ca="1">IFERROR(__xludf.DUMMYFUNCTION("""COMPUTED_VALUE"""),131)</f>
        <v>131</v>
      </c>
      <c r="AE139" s="1">
        <f ca="1">IFERROR(__xludf.DUMMYFUNCTION("""COMPUTED_VALUE"""),488)</f>
        <v>488</v>
      </c>
      <c r="AF139" s="1">
        <f ca="1">IFERROR(__xludf.DUMMYFUNCTION("""COMPUTED_VALUE"""),597)</f>
        <v>597</v>
      </c>
    </row>
    <row r="140" spans="1:32" x14ac:dyDescent="0.25">
      <c r="A140" s="1" t="str">
        <f ca="1">IFERROR(__xludf.DUMMYFUNCTION("""COMPUTED_VALUE"""),"Illinois State")</f>
        <v>Illinois State</v>
      </c>
      <c r="B140" s="1">
        <f ca="1">IFERROR(__xludf.DUMMYFUNCTION("""COMPUTED_VALUE"""),30)</f>
        <v>30</v>
      </c>
      <c r="C140" s="1">
        <f ca="1">IFERROR(__xludf.DUMMYFUNCTION("""COMPUTED_VALUE"""),10)</f>
        <v>10</v>
      </c>
      <c r="D140" s="1">
        <f ca="1">IFERROR(__xludf.DUMMYFUNCTION("""COMPUTED_VALUE"""),20)</f>
        <v>20</v>
      </c>
      <c r="E140" s="1">
        <f ca="1">IFERROR(__xludf.DUMMYFUNCTION("""COMPUTED_VALUE"""),0.333)</f>
        <v>0.33300000000000002</v>
      </c>
      <c r="F140" s="1">
        <f ca="1">IFERROR(__xludf.DUMMYFUNCTION("""COMPUTED_VALUE"""),-2.49)</f>
        <v>-2.4900000000000002</v>
      </c>
      <c r="G140" s="1">
        <f ca="1">IFERROR(__xludf.DUMMYFUNCTION("""COMPUTED_VALUE"""),2)</f>
        <v>2</v>
      </c>
      <c r="H140" s="1">
        <f ca="1">IFERROR(__xludf.DUMMYFUNCTION("""COMPUTED_VALUE"""),5)</f>
        <v>5</v>
      </c>
      <c r="I140" s="1">
        <f ca="1">IFERROR(__xludf.DUMMYFUNCTION("""COMPUTED_VALUE"""),13)</f>
        <v>13</v>
      </c>
      <c r="J140" s="1">
        <f ca="1">IFERROR(__xludf.DUMMYFUNCTION("""COMPUTED_VALUE"""),9)</f>
        <v>9</v>
      </c>
      <c r="K140" s="1">
        <f ca="1">IFERROR(__xludf.DUMMYFUNCTION("""COMPUTED_VALUE"""),6)</f>
        <v>6</v>
      </c>
      <c r="L140" s="1">
        <f ca="1">IFERROR(__xludf.DUMMYFUNCTION("""COMPUTED_VALUE"""),1)</f>
        <v>1</v>
      </c>
      <c r="M140" s="1">
        <f ca="1">IFERROR(__xludf.DUMMYFUNCTION("""COMPUTED_VALUE"""),11)</f>
        <v>11</v>
      </c>
      <c r="N140" s="1">
        <f ca="1">IFERROR(__xludf.DUMMYFUNCTION("""COMPUTED_VALUE"""),1985)</f>
        <v>1985</v>
      </c>
      <c r="O140" s="1">
        <f ca="1">IFERROR(__xludf.DUMMYFUNCTION("""COMPUTED_VALUE"""),2096)</f>
        <v>2096</v>
      </c>
      <c r="P140" s="1">
        <f ca="1">IFERROR(__xludf.DUMMYFUNCTION("""COMPUTED_VALUE"""),1205)</f>
        <v>1205</v>
      </c>
      <c r="Q140" s="1">
        <f ca="1">IFERROR(__xludf.DUMMYFUNCTION("""COMPUTED_VALUE"""),719)</f>
        <v>719</v>
      </c>
      <c r="R140" s="1">
        <f ca="1">IFERROR(__xludf.DUMMYFUNCTION("""COMPUTED_VALUE"""),1691)</f>
        <v>1691</v>
      </c>
      <c r="S140" s="1">
        <f ca="1">IFERROR(__xludf.DUMMYFUNCTION("""COMPUTED_VALUE"""),0.425)</f>
        <v>0.42499999999999999</v>
      </c>
      <c r="T140" s="1">
        <f ca="1">IFERROR(__xludf.DUMMYFUNCTION("""COMPUTED_VALUE"""),246)</f>
        <v>246</v>
      </c>
      <c r="U140" s="1">
        <f ca="1">IFERROR(__xludf.DUMMYFUNCTION("""COMPUTED_VALUE"""),694)</f>
        <v>694</v>
      </c>
      <c r="V140" s="1">
        <f ca="1">IFERROR(__xludf.DUMMYFUNCTION("""COMPUTED_VALUE"""),0.354)</f>
        <v>0.35399999999999998</v>
      </c>
      <c r="W140" s="1">
        <f ca="1">IFERROR(__xludf.DUMMYFUNCTION("""COMPUTED_VALUE"""),301)</f>
        <v>301</v>
      </c>
      <c r="X140" s="1">
        <f ca="1">IFERROR(__xludf.DUMMYFUNCTION("""COMPUTED_VALUE"""),427)</f>
        <v>427</v>
      </c>
      <c r="Y140" s="1">
        <f ca="1">IFERROR(__xludf.DUMMYFUNCTION("""COMPUTED_VALUE"""),0.705)</f>
        <v>0.70499999999999996</v>
      </c>
      <c r="Z140" s="1">
        <f ca="1">IFERROR(__xludf.DUMMYFUNCTION("""COMPUTED_VALUE"""),269)</f>
        <v>269</v>
      </c>
      <c r="AA140" s="1">
        <f ca="1">IFERROR(__xludf.DUMMYFUNCTION("""COMPUTED_VALUE"""),1012)</f>
        <v>1012</v>
      </c>
      <c r="AB140" s="1">
        <f ca="1">IFERROR(__xludf.DUMMYFUNCTION("""COMPUTED_VALUE"""),364)</f>
        <v>364</v>
      </c>
      <c r="AC140" s="1">
        <f ca="1">IFERROR(__xludf.DUMMYFUNCTION("""COMPUTED_VALUE"""),170)</f>
        <v>170</v>
      </c>
      <c r="AD140" s="1">
        <f ca="1">IFERROR(__xludf.DUMMYFUNCTION("""COMPUTED_VALUE"""),76)</f>
        <v>76</v>
      </c>
      <c r="AE140" s="1">
        <f ca="1">IFERROR(__xludf.DUMMYFUNCTION("""COMPUTED_VALUE"""),429)</f>
        <v>429</v>
      </c>
      <c r="AF140" s="1">
        <f ca="1">IFERROR(__xludf.DUMMYFUNCTION("""COMPUTED_VALUE"""),512)</f>
        <v>512</v>
      </c>
    </row>
    <row r="141" spans="1:32" x14ac:dyDescent="0.25">
      <c r="A141" s="1" t="str">
        <f ca="1">IFERROR(__xludf.DUMMYFUNCTION("""COMPUTED_VALUE"""),"Illinois")</f>
        <v>Illinois</v>
      </c>
      <c r="B141" s="1">
        <f ca="1">IFERROR(__xludf.DUMMYFUNCTION("""COMPUTED_VALUE"""),29)</f>
        <v>29</v>
      </c>
      <c r="C141" s="1">
        <f ca="1">IFERROR(__xludf.DUMMYFUNCTION("""COMPUTED_VALUE"""),20)</f>
        <v>20</v>
      </c>
      <c r="D141" s="1">
        <f ca="1">IFERROR(__xludf.DUMMYFUNCTION("""COMPUTED_VALUE"""),9)</f>
        <v>9</v>
      </c>
      <c r="E141" s="1">
        <f ca="1">IFERROR(__xludf.DUMMYFUNCTION("""COMPUTED_VALUE"""),0.69)</f>
        <v>0.69</v>
      </c>
      <c r="F141" s="1">
        <f ca="1">IFERROR(__xludf.DUMMYFUNCTION("""COMPUTED_VALUE"""),15.25)</f>
        <v>15.25</v>
      </c>
      <c r="G141" s="1">
        <f ca="1">IFERROR(__xludf.DUMMYFUNCTION("""COMPUTED_VALUE"""),9.22)</f>
        <v>9.2200000000000006</v>
      </c>
      <c r="H141" s="1">
        <f ca="1">IFERROR(__xludf.DUMMYFUNCTION("""COMPUTED_VALUE"""),12)</f>
        <v>12</v>
      </c>
      <c r="I141" s="1">
        <f ca="1">IFERROR(__xludf.DUMMYFUNCTION("""COMPUTED_VALUE"""),6)</f>
        <v>6</v>
      </c>
      <c r="J141" s="1">
        <f ca="1">IFERROR(__xludf.DUMMYFUNCTION("""COMPUTED_VALUE"""),14)</f>
        <v>14</v>
      </c>
      <c r="K141" s="1">
        <f ca="1">IFERROR(__xludf.DUMMYFUNCTION("""COMPUTED_VALUE"""),3)</f>
        <v>3</v>
      </c>
      <c r="L141" s="1">
        <f ca="1">IFERROR(__xludf.DUMMYFUNCTION("""COMPUTED_VALUE"""),6)</f>
        <v>6</v>
      </c>
      <c r="M141" s="1">
        <f ca="1">IFERROR(__xludf.DUMMYFUNCTION("""COMPUTED_VALUE"""),5)</f>
        <v>5</v>
      </c>
      <c r="N141" s="1">
        <f ca="1">IFERROR(__xludf.DUMMYFUNCTION("""COMPUTED_VALUE"""),2098)</f>
        <v>2098</v>
      </c>
      <c r="O141" s="1">
        <f ca="1">IFERROR(__xludf.DUMMYFUNCTION("""COMPUTED_VALUE"""),1877)</f>
        <v>1877</v>
      </c>
      <c r="P141" s="1">
        <f ca="1">IFERROR(__xludf.DUMMYFUNCTION("""COMPUTED_VALUE"""),1165)</f>
        <v>1165</v>
      </c>
      <c r="Q141" s="1">
        <f ca="1">IFERROR(__xludf.DUMMYFUNCTION("""COMPUTED_VALUE"""),757)</f>
        <v>757</v>
      </c>
      <c r="R141" s="1">
        <f ca="1">IFERROR(__xludf.DUMMYFUNCTION("""COMPUTED_VALUE"""),1715)</f>
        <v>1715</v>
      </c>
      <c r="S141" s="1">
        <f ca="1">IFERROR(__xludf.DUMMYFUNCTION("""COMPUTED_VALUE"""),0.441)</f>
        <v>0.441</v>
      </c>
      <c r="T141" s="1">
        <f ca="1">IFERROR(__xludf.DUMMYFUNCTION("""COMPUTED_VALUE"""),162)</f>
        <v>162</v>
      </c>
      <c r="U141" s="1">
        <f ca="1">IFERROR(__xludf.DUMMYFUNCTION("""COMPUTED_VALUE"""),520)</f>
        <v>520</v>
      </c>
      <c r="V141" s="1">
        <f ca="1">IFERROR(__xludf.DUMMYFUNCTION("""COMPUTED_VALUE"""),0.312)</f>
        <v>0.312</v>
      </c>
      <c r="W141" s="1">
        <f ca="1">IFERROR(__xludf.DUMMYFUNCTION("""COMPUTED_VALUE"""),422)</f>
        <v>422</v>
      </c>
      <c r="X141" s="1">
        <f ca="1">IFERROR(__xludf.DUMMYFUNCTION("""COMPUTED_VALUE"""),580)</f>
        <v>580</v>
      </c>
      <c r="Y141" s="1">
        <f ca="1">IFERROR(__xludf.DUMMYFUNCTION("""COMPUTED_VALUE"""),0.728)</f>
        <v>0.72799999999999998</v>
      </c>
      <c r="Z141" s="1">
        <f ca="1">IFERROR(__xludf.DUMMYFUNCTION("""COMPUTED_VALUE"""),372)</f>
        <v>372</v>
      </c>
      <c r="AA141" s="1">
        <f ca="1">IFERROR(__xludf.DUMMYFUNCTION("""COMPUTED_VALUE"""),1163)</f>
        <v>1163</v>
      </c>
      <c r="AB141" s="1">
        <f ca="1">IFERROR(__xludf.DUMMYFUNCTION("""COMPUTED_VALUE"""),381)</f>
        <v>381</v>
      </c>
      <c r="AC141" s="1">
        <f ca="1">IFERROR(__xludf.DUMMYFUNCTION("""COMPUTED_VALUE"""),139)</f>
        <v>139</v>
      </c>
      <c r="AD141" s="1">
        <f ca="1">IFERROR(__xludf.DUMMYFUNCTION("""COMPUTED_VALUE"""),83)</f>
        <v>83</v>
      </c>
      <c r="AE141" s="1">
        <f ca="1">IFERROR(__xludf.DUMMYFUNCTION("""COMPUTED_VALUE"""),356)</f>
        <v>356</v>
      </c>
      <c r="AF141" s="1">
        <f ca="1">IFERROR(__xludf.DUMMYFUNCTION("""COMPUTED_VALUE"""),456)</f>
        <v>456</v>
      </c>
    </row>
    <row r="142" spans="1:32" x14ac:dyDescent="0.25">
      <c r="A142" s="1" t="str">
        <f ca="1">IFERROR(__xludf.DUMMYFUNCTION("""COMPUTED_VALUE"""),"Incarnate Word")</f>
        <v>Incarnate Word</v>
      </c>
      <c r="B142" s="1">
        <f ca="1">IFERROR(__xludf.DUMMYFUNCTION("""COMPUTED_VALUE"""),29)</f>
        <v>29</v>
      </c>
      <c r="C142" s="1">
        <f ca="1">IFERROR(__xludf.DUMMYFUNCTION("""COMPUTED_VALUE"""),9)</f>
        <v>9</v>
      </c>
      <c r="D142" s="1">
        <f ca="1">IFERROR(__xludf.DUMMYFUNCTION("""COMPUTED_VALUE"""),20)</f>
        <v>20</v>
      </c>
      <c r="E142" s="1">
        <f ca="1">IFERROR(__xludf.DUMMYFUNCTION("""COMPUTED_VALUE"""),0.31)</f>
        <v>0.31</v>
      </c>
      <c r="F142" s="1">
        <f ca="1">IFERROR(__xludf.DUMMYFUNCTION("""COMPUTED_VALUE"""),-18.71)</f>
        <v>-18.71</v>
      </c>
      <c r="G142" s="1">
        <f ca="1">IFERROR(__xludf.DUMMYFUNCTION("""COMPUTED_VALUE"""),-6.67)</f>
        <v>-6.67</v>
      </c>
      <c r="H142" s="1">
        <f ca="1">IFERROR(__xludf.DUMMYFUNCTION("""COMPUTED_VALUE"""),6)</f>
        <v>6</v>
      </c>
      <c r="I142" s="1">
        <f ca="1">IFERROR(__xludf.DUMMYFUNCTION("""COMPUTED_VALUE"""),12)</f>
        <v>12</v>
      </c>
      <c r="J142" s="1">
        <f ca="1">IFERROR(__xludf.DUMMYFUNCTION("""COMPUTED_VALUE"""),7)</f>
        <v>7</v>
      </c>
      <c r="K142" s="1">
        <f ca="1">IFERROR(__xludf.DUMMYFUNCTION("""COMPUTED_VALUE"""),7)</f>
        <v>7</v>
      </c>
      <c r="L142" s="1">
        <f ca="1">IFERROR(__xludf.DUMMYFUNCTION("""COMPUTED_VALUE"""),2)</f>
        <v>2</v>
      </c>
      <c r="M142" s="1">
        <f ca="1">IFERROR(__xludf.DUMMYFUNCTION("""COMPUTED_VALUE"""),13)</f>
        <v>13</v>
      </c>
      <c r="N142" s="1">
        <f ca="1">IFERROR(__xludf.DUMMYFUNCTION("""COMPUTED_VALUE"""),1906)</f>
        <v>1906</v>
      </c>
      <c r="O142" s="1">
        <f ca="1">IFERROR(__xludf.DUMMYFUNCTION("""COMPUTED_VALUE"""),2133)</f>
        <v>2133</v>
      </c>
      <c r="P142" s="1">
        <f ca="1">IFERROR(__xludf.DUMMYFUNCTION("""COMPUTED_VALUE"""),1175)</f>
        <v>1175</v>
      </c>
      <c r="Q142" s="1">
        <f ca="1">IFERROR(__xludf.DUMMYFUNCTION("""COMPUTED_VALUE"""),680)</f>
        <v>680</v>
      </c>
      <c r="R142" s="1">
        <f ca="1">IFERROR(__xludf.DUMMYFUNCTION("""COMPUTED_VALUE"""),1629)</f>
        <v>1629</v>
      </c>
      <c r="S142" s="1">
        <f ca="1">IFERROR(__xludf.DUMMYFUNCTION("""COMPUTED_VALUE"""),0.417)</f>
        <v>0.41699999999999998</v>
      </c>
      <c r="T142" s="1">
        <f ca="1">IFERROR(__xludf.DUMMYFUNCTION("""COMPUTED_VALUE"""),171)</f>
        <v>171</v>
      </c>
      <c r="U142" s="1">
        <f ca="1">IFERROR(__xludf.DUMMYFUNCTION("""COMPUTED_VALUE"""),573)</f>
        <v>573</v>
      </c>
      <c r="V142" s="1">
        <f ca="1">IFERROR(__xludf.DUMMYFUNCTION("""COMPUTED_VALUE"""),0.298)</f>
        <v>0.29799999999999999</v>
      </c>
      <c r="W142" s="1">
        <f ca="1">IFERROR(__xludf.DUMMYFUNCTION("""COMPUTED_VALUE"""),375)</f>
        <v>375</v>
      </c>
      <c r="X142" s="1">
        <f ca="1">IFERROR(__xludf.DUMMYFUNCTION("""COMPUTED_VALUE"""),519)</f>
        <v>519</v>
      </c>
      <c r="Y142" s="1">
        <f ca="1">IFERROR(__xludf.DUMMYFUNCTION("""COMPUTED_VALUE"""),0.723)</f>
        <v>0.72299999999999998</v>
      </c>
      <c r="Z142" s="1">
        <f ca="1">IFERROR(__xludf.DUMMYFUNCTION("""COMPUTED_VALUE"""),286)</f>
        <v>286</v>
      </c>
      <c r="AA142" s="1">
        <f ca="1">IFERROR(__xludf.DUMMYFUNCTION("""COMPUTED_VALUE"""),937)</f>
        <v>937</v>
      </c>
      <c r="AB142" s="1">
        <f ca="1">IFERROR(__xludf.DUMMYFUNCTION("""COMPUTED_VALUE"""),359)</f>
        <v>359</v>
      </c>
      <c r="AC142" s="1">
        <f ca="1">IFERROR(__xludf.DUMMYFUNCTION("""COMPUTED_VALUE"""),215)</f>
        <v>215</v>
      </c>
      <c r="AD142" s="1">
        <f ca="1">IFERROR(__xludf.DUMMYFUNCTION("""COMPUTED_VALUE"""),70)</f>
        <v>70</v>
      </c>
      <c r="AE142" s="1">
        <f ca="1">IFERROR(__xludf.DUMMYFUNCTION("""COMPUTED_VALUE"""),444)</f>
        <v>444</v>
      </c>
      <c r="AF142" s="1">
        <f ca="1">IFERROR(__xludf.DUMMYFUNCTION("""COMPUTED_VALUE"""),545)</f>
        <v>545</v>
      </c>
    </row>
    <row r="143" spans="1:32" x14ac:dyDescent="0.25">
      <c r="A143" s="1" t="str">
        <f ca="1">IFERROR(__xludf.DUMMYFUNCTION("""COMPUTED_VALUE"""),"Indiana State")</f>
        <v>Indiana State</v>
      </c>
      <c r="B143" s="1">
        <f ca="1">IFERROR(__xludf.DUMMYFUNCTION("""COMPUTED_VALUE"""),29)</f>
        <v>29</v>
      </c>
      <c r="C143" s="1">
        <f ca="1">IFERROR(__xludf.DUMMYFUNCTION("""COMPUTED_VALUE"""),18)</f>
        <v>18</v>
      </c>
      <c r="D143" s="1">
        <f ca="1">IFERROR(__xludf.DUMMYFUNCTION("""COMPUTED_VALUE"""),11)</f>
        <v>11</v>
      </c>
      <c r="E143" s="1">
        <f ca="1">IFERROR(__xludf.DUMMYFUNCTION("""COMPUTED_VALUE"""),0.621)</f>
        <v>0.621</v>
      </c>
      <c r="F143" s="1">
        <f ca="1">IFERROR(__xludf.DUMMYFUNCTION("""COMPUTED_VALUE"""),4.11)</f>
        <v>4.1100000000000003</v>
      </c>
      <c r="G143" s="1">
        <f ca="1">IFERROR(__xludf.DUMMYFUNCTION("""COMPUTED_VALUE"""),1.69)</f>
        <v>1.69</v>
      </c>
      <c r="H143" s="1">
        <f ca="1">IFERROR(__xludf.DUMMYFUNCTION("""COMPUTED_VALUE"""),11)</f>
        <v>11</v>
      </c>
      <c r="I143" s="1">
        <f ca="1">IFERROR(__xludf.DUMMYFUNCTION("""COMPUTED_VALUE"""),7)</f>
        <v>7</v>
      </c>
      <c r="J143" s="1">
        <f ca="1">IFERROR(__xludf.DUMMYFUNCTION("""COMPUTED_VALUE"""),12)</f>
        <v>12</v>
      </c>
      <c r="K143" s="1">
        <f ca="1">IFERROR(__xludf.DUMMYFUNCTION("""COMPUTED_VALUE"""),1)</f>
        <v>1</v>
      </c>
      <c r="L143" s="1">
        <f ca="1">IFERROR(__xludf.DUMMYFUNCTION("""COMPUTED_VALUE"""),4)</f>
        <v>4</v>
      </c>
      <c r="M143" s="1">
        <f ca="1">IFERROR(__xludf.DUMMYFUNCTION("""COMPUTED_VALUE"""),8)</f>
        <v>8</v>
      </c>
      <c r="N143" s="1">
        <f ca="1">IFERROR(__xludf.DUMMYFUNCTION("""COMPUTED_VALUE"""),2001)</f>
        <v>2001</v>
      </c>
      <c r="O143" s="1">
        <f ca="1">IFERROR(__xludf.DUMMYFUNCTION("""COMPUTED_VALUE"""),1926)</f>
        <v>1926</v>
      </c>
      <c r="P143" s="1">
        <f ca="1">IFERROR(__xludf.DUMMYFUNCTION("""COMPUTED_VALUE"""),1165)</f>
        <v>1165</v>
      </c>
      <c r="Q143" s="1">
        <f ca="1">IFERROR(__xludf.DUMMYFUNCTION("""COMPUTED_VALUE"""),712)</f>
        <v>712</v>
      </c>
      <c r="R143" s="1">
        <f ca="1">IFERROR(__xludf.DUMMYFUNCTION("""COMPUTED_VALUE"""),1561)</f>
        <v>1561</v>
      </c>
      <c r="S143" s="1">
        <f ca="1">IFERROR(__xludf.DUMMYFUNCTION("""COMPUTED_VALUE"""),0.456)</f>
        <v>0.45600000000000002</v>
      </c>
      <c r="T143" s="1">
        <f ca="1">IFERROR(__xludf.DUMMYFUNCTION("""COMPUTED_VALUE"""),203)</f>
        <v>203</v>
      </c>
      <c r="U143" s="1">
        <f ca="1">IFERROR(__xludf.DUMMYFUNCTION("""COMPUTED_VALUE"""),530)</f>
        <v>530</v>
      </c>
      <c r="V143" s="1">
        <f ca="1">IFERROR(__xludf.DUMMYFUNCTION("""COMPUTED_VALUE"""),0.383)</f>
        <v>0.38300000000000001</v>
      </c>
      <c r="W143" s="1">
        <f ca="1">IFERROR(__xludf.DUMMYFUNCTION("""COMPUTED_VALUE"""),374)</f>
        <v>374</v>
      </c>
      <c r="X143" s="1">
        <f ca="1">IFERROR(__xludf.DUMMYFUNCTION("""COMPUTED_VALUE"""),523)</f>
        <v>523</v>
      </c>
      <c r="Y143" s="1">
        <f ca="1">IFERROR(__xludf.DUMMYFUNCTION("""COMPUTED_VALUE"""),0.715)</f>
        <v>0.71499999999999997</v>
      </c>
      <c r="Z143" s="1">
        <f ca="1">IFERROR(__xludf.DUMMYFUNCTION("""COMPUTED_VALUE"""),220)</f>
        <v>220</v>
      </c>
      <c r="AA143" s="1">
        <f ca="1">IFERROR(__xludf.DUMMYFUNCTION("""COMPUTED_VALUE"""),931)</f>
        <v>931</v>
      </c>
      <c r="AB143" s="1">
        <f ca="1">IFERROR(__xludf.DUMMYFUNCTION("""COMPUTED_VALUE"""),369)</f>
        <v>369</v>
      </c>
      <c r="AC143" s="1">
        <f ca="1">IFERROR(__xludf.DUMMYFUNCTION("""COMPUTED_VALUE"""),160)</f>
        <v>160</v>
      </c>
      <c r="AD143" s="1">
        <f ca="1">IFERROR(__xludf.DUMMYFUNCTION("""COMPUTED_VALUE"""),99)</f>
        <v>99</v>
      </c>
      <c r="AE143" s="1">
        <f ca="1">IFERROR(__xludf.DUMMYFUNCTION("""COMPUTED_VALUE"""),327)</f>
        <v>327</v>
      </c>
      <c r="AF143" s="1">
        <f ca="1">IFERROR(__xludf.DUMMYFUNCTION("""COMPUTED_VALUE"""),495)</f>
        <v>495</v>
      </c>
    </row>
    <row r="144" spans="1:32" x14ac:dyDescent="0.25">
      <c r="A144" s="1" t="str">
        <f ca="1">IFERROR(__xludf.DUMMYFUNCTION("""COMPUTED_VALUE"""),"Indiana")</f>
        <v>Indiana</v>
      </c>
      <c r="B144" s="1">
        <f ca="1">IFERROR(__xludf.DUMMYFUNCTION("""COMPUTED_VALUE"""),29)</f>
        <v>29</v>
      </c>
      <c r="C144" s="1">
        <f ca="1">IFERROR(__xludf.DUMMYFUNCTION("""COMPUTED_VALUE"""),18)</f>
        <v>18</v>
      </c>
      <c r="D144" s="1">
        <f ca="1">IFERROR(__xludf.DUMMYFUNCTION("""COMPUTED_VALUE"""),11)</f>
        <v>11</v>
      </c>
      <c r="E144" s="1">
        <f ca="1">IFERROR(__xludf.DUMMYFUNCTION("""COMPUTED_VALUE"""),0.621)</f>
        <v>0.621</v>
      </c>
      <c r="F144" s="1">
        <f ca="1">IFERROR(__xludf.DUMMYFUNCTION("""COMPUTED_VALUE"""),14.64)</f>
        <v>14.64</v>
      </c>
      <c r="G144" s="1">
        <f ca="1">IFERROR(__xludf.DUMMYFUNCTION("""COMPUTED_VALUE"""),10.33)</f>
        <v>10.33</v>
      </c>
      <c r="H144" s="1">
        <f ca="1">IFERROR(__xludf.DUMMYFUNCTION("""COMPUTED_VALUE"""),8)</f>
        <v>8</v>
      </c>
      <c r="I144" s="1">
        <f ca="1">IFERROR(__xludf.DUMMYFUNCTION("""COMPUTED_VALUE"""),10)</f>
        <v>10</v>
      </c>
      <c r="J144" s="1">
        <f ca="1">IFERROR(__xludf.DUMMYFUNCTION("""COMPUTED_VALUE"""),14)</f>
        <v>14</v>
      </c>
      <c r="K144" s="1">
        <f ca="1">IFERROR(__xludf.DUMMYFUNCTION("""COMPUTED_VALUE"""),3)</f>
        <v>3</v>
      </c>
      <c r="L144" s="1">
        <f ca="1">IFERROR(__xludf.DUMMYFUNCTION("""COMPUTED_VALUE"""),2)</f>
        <v>2</v>
      </c>
      <c r="M144" s="1">
        <f ca="1">IFERROR(__xludf.DUMMYFUNCTION("""COMPUTED_VALUE"""),8)</f>
        <v>8</v>
      </c>
      <c r="N144" s="1">
        <f ca="1">IFERROR(__xludf.DUMMYFUNCTION("""COMPUTED_VALUE"""),2069)</f>
        <v>2069</v>
      </c>
      <c r="O144" s="1">
        <f ca="1">IFERROR(__xludf.DUMMYFUNCTION("""COMPUTED_VALUE"""),1944)</f>
        <v>1944</v>
      </c>
      <c r="P144" s="1">
        <f ca="1">IFERROR(__xludf.DUMMYFUNCTION("""COMPUTED_VALUE"""),1165)</f>
        <v>1165</v>
      </c>
      <c r="Q144" s="1">
        <f ca="1">IFERROR(__xludf.DUMMYFUNCTION("""COMPUTED_VALUE"""),727)</f>
        <v>727</v>
      </c>
      <c r="R144" s="1">
        <f ca="1">IFERROR(__xludf.DUMMYFUNCTION("""COMPUTED_VALUE"""),1642)</f>
        <v>1642</v>
      </c>
      <c r="S144" s="1">
        <f ca="1">IFERROR(__xludf.DUMMYFUNCTION("""COMPUTED_VALUE"""),0.443)</f>
        <v>0.443</v>
      </c>
      <c r="T144" s="1">
        <f ca="1">IFERROR(__xludf.DUMMYFUNCTION("""COMPUTED_VALUE"""),158)</f>
        <v>158</v>
      </c>
      <c r="U144" s="1">
        <f ca="1">IFERROR(__xludf.DUMMYFUNCTION("""COMPUTED_VALUE"""),488)</f>
        <v>488</v>
      </c>
      <c r="V144" s="1">
        <f ca="1">IFERROR(__xludf.DUMMYFUNCTION("""COMPUTED_VALUE"""),0.324)</f>
        <v>0.32400000000000001</v>
      </c>
      <c r="W144" s="1">
        <f ca="1">IFERROR(__xludf.DUMMYFUNCTION("""COMPUTED_VALUE"""),457)</f>
        <v>457</v>
      </c>
      <c r="X144" s="1">
        <f ca="1">IFERROR(__xludf.DUMMYFUNCTION("""COMPUTED_VALUE"""),667)</f>
        <v>667</v>
      </c>
      <c r="Y144" s="1">
        <f ca="1">IFERROR(__xludf.DUMMYFUNCTION("""COMPUTED_VALUE"""),0.685)</f>
        <v>0.68500000000000005</v>
      </c>
      <c r="Z144" s="1">
        <f ca="1">IFERROR(__xludf.DUMMYFUNCTION("""COMPUTED_VALUE"""),332)</f>
        <v>332</v>
      </c>
      <c r="AA144" s="1">
        <f ca="1">IFERROR(__xludf.DUMMYFUNCTION("""COMPUTED_VALUE"""),1090)</f>
        <v>1090</v>
      </c>
      <c r="AB144" s="1">
        <f ca="1">IFERROR(__xludf.DUMMYFUNCTION("""COMPUTED_VALUE"""),368)</f>
        <v>368</v>
      </c>
      <c r="AC144" s="1">
        <f ca="1">IFERROR(__xludf.DUMMYFUNCTION("""COMPUTED_VALUE"""),162)</f>
        <v>162</v>
      </c>
      <c r="AD144" s="1">
        <f ca="1">IFERROR(__xludf.DUMMYFUNCTION("""COMPUTED_VALUE"""),126)</f>
        <v>126</v>
      </c>
      <c r="AE144" s="1">
        <f ca="1">IFERROR(__xludf.DUMMYFUNCTION("""COMPUTED_VALUE"""),376)</f>
        <v>376</v>
      </c>
      <c r="AF144" s="1">
        <f ca="1">IFERROR(__xludf.DUMMYFUNCTION("""COMPUTED_VALUE"""),507)</f>
        <v>507</v>
      </c>
    </row>
    <row r="145" spans="1:32" x14ac:dyDescent="0.25">
      <c r="A145" s="1" t="str">
        <f ca="1">IFERROR(__xludf.DUMMYFUNCTION("""COMPUTED_VALUE"""),"Iona")</f>
        <v>Iona</v>
      </c>
      <c r="B145" s="1">
        <f ca="1">IFERROR(__xludf.DUMMYFUNCTION("""COMPUTED_VALUE"""),25)</f>
        <v>25</v>
      </c>
      <c r="C145" s="1">
        <f ca="1">IFERROR(__xludf.DUMMYFUNCTION("""COMPUTED_VALUE"""),11)</f>
        <v>11</v>
      </c>
      <c r="D145" s="1">
        <f ca="1">IFERROR(__xludf.DUMMYFUNCTION("""COMPUTED_VALUE"""),14)</f>
        <v>14</v>
      </c>
      <c r="E145" s="1">
        <f ca="1">IFERROR(__xludf.DUMMYFUNCTION("""COMPUTED_VALUE"""),0.44)</f>
        <v>0.44</v>
      </c>
      <c r="F145" s="1">
        <f ca="1">IFERROR(__xludf.DUMMYFUNCTION("""COMPUTED_VALUE"""),-6.45)</f>
        <v>-6.45</v>
      </c>
      <c r="G145" s="1">
        <f ca="1">IFERROR(__xludf.DUMMYFUNCTION("""COMPUTED_VALUE"""),-5.29)</f>
        <v>-5.29</v>
      </c>
      <c r="H145" s="1">
        <f ca="1">IFERROR(__xludf.DUMMYFUNCTION("""COMPUTED_VALUE"""),9)</f>
        <v>9</v>
      </c>
      <c r="I145" s="1">
        <f ca="1">IFERROR(__xludf.DUMMYFUNCTION("""COMPUTED_VALUE"""),9)</f>
        <v>9</v>
      </c>
      <c r="J145" s="1">
        <f ca="1">IFERROR(__xludf.DUMMYFUNCTION("""COMPUTED_VALUE"""),5)</f>
        <v>5</v>
      </c>
      <c r="K145" s="1">
        <f ca="1">IFERROR(__xludf.DUMMYFUNCTION("""COMPUTED_VALUE"""),5)</f>
        <v>5</v>
      </c>
      <c r="L145" s="1">
        <f ca="1">IFERROR(__xludf.DUMMYFUNCTION("""COMPUTED_VALUE"""),4)</f>
        <v>4</v>
      </c>
      <c r="M145" s="1">
        <f ca="1">IFERROR(__xludf.DUMMYFUNCTION("""COMPUTED_VALUE"""),8)</f>
        <v>8</v>
      </c>
      <c r="N145" s="1">
        <f ca="1">IFERROR(__xludf.DUMMYFUNCTION("""COMPUTED_VALUE"""),1773)</f>
        <v>1773</v>
      </c>
      <c r="O145" s="1">
        <f ca="1">IFERROR(__xludf.DUMMYFUNCTION("""COMPUTED_VALUE"""),1802)</f>
        <v>1802</v>
      </c>
      <c r="P145" s="1">
        <f ca="1">IFERROR(__xludf.DUMMYFUNCTION("""COMPUTED_VALUE"""),1015)</f>
        <v>1015</v>
      </c>
      <c r="Q145" s="1">
        <f ca="1">IFERROR(__xludf.DUMMYFUNCTION("""COMPUTED_VALUE"""),614)</f>
        <v>614</v>
      </c>
      <c r="R145" s="1">
        <f ca="1">IFERROR(__xludf.DUMMYFUNCTION("""COMPUTED_VALUE"""),1385)</f>
        <v>1385</v>
      </c>
      <c r="S145" s="1">
        <f ca="1">IFERROR(__xludf.DUMMYFUNCTION("""COMPUTED_VALUE"""),0.443)</f>
        <v>0.443</v>
      </c>
      <c r="T145" s="1">
        <f ca="1">IFERROR(__xludf.DUMMYFUNCTION("""COMPUTED_VALUE"""),204)</f>
        <v>204</v>
      </c>
      <c r="U145" s="1">
        <f ca="1">IFERROR(__xludf.DUMMYFUNCTION("""COMPUTED_VALUE"""),597)</f>
        <v>597</v>
      </c>
      <c r="V145" s="1">
        <f ca="1">IFERROR(__xludf.DUMMYFUNCTION("""COMPUTED_VALUE"""),0.342)</f>
        <v>0.34200000000000003</v>
      </c>
      <c r="W145" s="1">
        <f ca="1">IFERROR(__xludf.DUMMYFUNCTION("""COMPUTED_VALUE"""),341)</f>
        <v>341</v>
      </c>
      <c r="X145" s="1">
        <f ca="1">IFERROR(__xludf.DUMMYFUNCTION("""COMPUTED_VALUE"""),451)</f>
        <v>451</v>
      </c>
      <c r="Y145" s="1">
        <f ca="1">IFERROR(__xludf.DUMMYFUNCTION("""COMPUTED_VALUE"""),0.756)</f>
        <v>0.75600000000000001</v>
      </c>
      <c r="Z145" s="1">
        <f ca="1">IFERROR(__xludf.DUMMYFUNCTION("""COMPUTED_VALUE"""),206)</f>
        <v>206</v>
      </c>
      <c r="AA145" s="1">
        <f ca="1">IFERROR(__xludf.DUMMYFUNCTION("""COMPUTED_VALUE"""),833)</f>
        <v>833</v>
      </c>
      <c r="AB145" s="1">
        <f ca="1">IFERROR(__xludf.DUMMYFUNCTION("""COMPUTED_VALUE"""),344)</f>
        <v>344</v>
      </c>
      <c r="AC145" s="1">
        <f ca="1">IFERROR(__xludf.DUMMYFUNCTION("""COMPUTED_VALUE"""),179)</f>
        <v>179</v>
      </c>
      <c r="AD145" s="1">
        <f ca="1">IFERROR(__xludf.DUMMYFUNCTION("""COMPUTED_VALUE"""),89)</f>
        <v>89</v>
      </c>
      <c r="AE145" s="1">
        <f ca="1">IFERROR(__xludf.DUMMYFUNCTION("""COMPUTED_VALUE"""),352)</f>
        <v>352</v>
      </c>
      <c r="AF145" s="1">
        <f ca="1">IFERROR(__xludf.DUMMYFUNCTION("""COMPUTED_VALUE"""),472)</f>
        <v>472</v>
      </c>
    </row>
    <row r="146" spans="1:32" x14ac:dyDescent="0.25">
      <c r="A146" s="1" t="str">
        <f ca="1">IFERROR(__xludf.DUMMYFUNCTION("""COMPUTED_VALUE"""),"Iowa State")</f>
        <v>Iowa State</v>
      </c>
      <c r="B146" s="1">
        <f ca="1">IFERROR(__xludf.DUMMYFUNCTION("""COMPUTED_VALUE"""),29)</f>
        <v>29</v>
      </c>
      <c r="C146" s="1">
        <f ca="1">IFERROR(__xludf.DUMMYFUNCTION("""COMPUTED_VALUE"""),12)</f>
        <v>12</v>
      </c>
      <c r="D146" s="1">
        <f ca="1">IFERROR(__xludf.DUMMYFUNCTION("""COMPUTED_VALUE"""),17)</f>
        <v>17</v>
      </c>
      <c r="E146" s="1">
        <f ca="1">IFERROR(__xludf.DUMMYFUNCTION("""COMPUTED_VALUE"""),0.414)</f>
        <v>0.41399999999999998</v>
      </c>
      <c r="F146" s="1">
        <f ca="1">IFERROR(__xludf.DUMMYFUNCTION("""COMPUTED_VALUE"""),9.65)</f>
        <v>9.65</v>
      </c>
      <c r="G146" s="1">
        <f ca="1">IFERROR(__xludf.DUMMYFUNCTION("""COMPUTED_VALUE"""),9.92)</f>
        <v>9.92</v>
      </c>
      <c r="H146" s="1">
        <f ca="1">IFERROR(__xludf.DUMMYFUNCTION("""COMPUTED_VALUE"""),5)</f>
        <v>5</v>
      </c>
      <c r="I146" s="1">
        <f ca="1">IFERROR(__xludf.DUMMYFUNCTION("""COMPUTED_VALUE"""),11)</f>
        <v>11</v>
      </c>
      <c r="J146" s="1">
        <f ca="1">IFERROR(__xludf.DUMMYFUNCTION("""COMPUTED_VALUE"""),11)</f>
        <v>11</v>
      </c>
      <c r="K146" s="1">
        <f ca="1">IFERROR(__xludf.DUMMYFUNCTION("""COMPUTED_VALUE"""),5)</f>
        <v>5</v>
      </c>
      <c r="L146" s="1">
        <f ca="1">IFERROR(__xludf.DUMMYFUNCTION("""COMPUTED_VALUE"""),0)</f>
        <v>0</v>
      </c>
      <c r="M146" s="1">
        <f ca="1">IFERROR(__xludf.DUMMYFUNCTION("""COMPUTED_VALUE"""),10)</f>
        <v>10</v>
      </c>
      <c r="N146" s="1">
        <f ca="1">IFERROR(__xludf.DUMMYFUNCTION("""COMPUTED_VALUE"""),2099)</f>
        <v>2099</v>
      </c>
      <c r="O146" s="1">
        <f ca="1">IFERROR(__xludf.DUMMYFUNCTION("""COMPUTED_VALUE"""),2107)</f>
        <v>2107</v>
      </c>
      <c r="P146" s="1">
        <f ca="1">IFERROR(__xludf.DUMMYFUNCTION("""COMPUTED_VALUE"""),1165)</f>
        <v>1165</v>
      </c>
      <c r="Q146" s="1">
        <f ca="1">IFERROR(__xludf.DUMMYFUNCTION("""COMPUTED_VALUE"""),764)</f>
        <v>764</v>
      </c>
      <c r="R146" s="1">
        <f ca="1">IFERROR(__xludf.DUMMYFUNCTION("""COMPUTED_VALUE"""),1736)</f>
        <v>1736</v>
      </c>
      <c r="S146" s="1">
        <f ca="1">IFERROR(__xludf.DUMMYFUNCTION("""COMPUTED_VALUE"""),0.44)</f>
        <v>0.44</v>
      </c>
      <c r="T146" s="1">
        <f ca="1">IFERROR(__xludf.DUMMYFUNCTION("""COMPUTED_VALUE"""),209)</f>
        <v>209</v>
      </c>
      <c r="U146" s="1">
        <f ca="1">IFERROR(__xludf.DUMMYFUNCTION("""COMPUTED_VALUE"""),651)</f>
        <v>651</v>
      </c>
      <c r="V146" s="1">
        <f ca="1">IFERROR(__xludf.DUMMYFUNCTION("""COMPUTED_VALUE"""),0.321)</f>
        <v>0.32100000000000001</v>
      </c>
      <c r="W146" s="1">
        <f ca="1">IFERROR(__xludf.DUMMYFUNCTION("""COMPUTED_VALUE"""),362)</f>
        <v>362</v>
      </c>
      <c r="X146" s="1">
        <f ca="1">IFERROR(__xludf.DUMMYFUNCTION("""COMPUTED_VALUE"""),487)</f>
        <v>487</v>
      </c>
      <c r="Y146" s="1">
        <f ca="1">IFERROR(__xludf.DUMMYFUNCTION("""COMPUTED_VALUE"""),0.743)</f>
        <v>0.74299999999999999</v>
      </c>
      <c r="Z146" s="1">
        <f ca="1">IFERROR(__xludf.DUMMYFUNCTION("""COMPUTED_VALUE"""),291)</f>
        <v>291</v>
      </c>
      <c r="AA146" s="1">
        <f ca="1">IFERROR(__xludf.DUMMYFUNCTION("""COMPUTED_VALUE"""),995)</f>
        <v>995</v>
      </c>
      <c r="AB146" s="1">
        <f ca="1">IFERROR(__xludf.DUMMYFUNCTION("""COMPUTED_VALUE"""),418)</f>
        <v>418</v>
      </c>
      <c r="AC146" s="1">
        <f ca="1">IFERROR(__xludf.DUMMYFUNCTION("""COMPUTED_VALUE"""),220)</f>
        <v>220</v>
      </c>
      <c r="AD146" s="1">
        <f ca="1">IFERROR(__xludf.DUMMYFUNCTION("""COMPUTED_VALUE"""),126)</f>
        <v>126</v>
      </c>
      <c r="AE146" s="1">
        <f ca="1">IFERROR(__xludf.DUMMYFUNCTION("""COMPUTED_VALUE"""),379)</f>
        <v>379</v>
      </c>
      <c r="AF146" s="1">
        <f ca="1">IFERROR(__xludf.DUMMYFUNCTION("""COMPUTED_VALUE"""),457)</f>
        <v>457</v>
      </c>
    </row>
    <row r="147" spans="1:32" x14ac:dyDescent="0.25">
      <c r="A147" s="1" t="str">
        <f ca="1">IFERROR(__xludf.DUMMYFUNCTION("""COMPUTED_VALUE"""),"Iowa")</f>
        <v>Iowa</v>
      </c>
      <c r="B147" s="1">
        <f ca="1">IFERROR(__xludf.DUMMYFUNCTION("""COMPUTED_VALUE"""),29)</f>
        <v>29</v>
      </c>
      <c r="C147" s="1">
        <f ca="1">IFERROR(__xludf.DUMMYFUNCTION("""COMPUTED_VALUE"""),20)</f>
        <v>20</v>
      </c>
      <c r="D147" s="1">
        <f ca="1">IFERROR(__xludf.DUMMYFUNCTION("""COMPUTED_VALUE"""),9)</f>
        <v>9</v>
      </c>
      <c r="E147" s="1">
        <f ca="1">IFERROR(__xludf.DUMMYFUNCTION("""COMPUTED_VALUE"""),0.69)</f>
        <v>0.69</v>
      </c>
      <c r="F147" s="1">
        <f ca="1">IFERROR(__xludf.DUMMYFUNCTION("""COMPUTED_VALUE"""),16.59)</f>
        <v>16.59</v>
      </c>
      <c r="G147" s="1">
        <f ca="1">IFERROR(__xludf.DUMMYFUNCTION("""COMPUTED_VALUE"""),10.38)</f>
        <v>10.38</v>
      </c>
      <c r="H147" s="1">
        <f ca="1">IFERROR(__xludf.DUMMYFUNCTION("""COMPUTED_VALUE"""),11)</f>
        <v>11</v>
      </c>
      <c r="I147" s="1">
        <f ca="1">IFERROR(__xludf.DUMMYFUNCTION("""COMPUTED_VALUE"""),7)</f>
        <v>7</v>
      </c>
      <c r="J147" s="1">
        <f ca="1">IFERROR(__xludf.DUMMYFUNCTION("""COMPUTED_VALUE"""),14)</f>
        <v>14</v>
      </c>
      <c r="K147" s="1">
        <f ca="1">IFERROR(__xludf.DUMMYFUNCTION("""COMPUTED_VALUE"""),1)</f>
        <v>1</v>
      </c>
      <c r="L147" s="1">
        <f ca="1">IFERROR(__xludf.DUMMYFUNCTION("""COMPUTED_VALUE"""),4)</f>
        <v>4</v>
      </c>
      <c r="M147" s="1">
        <f ca="1">IFERROR(__xludf.DUMMYFUNCTION("""COMPUTED_VALUE"""),6)</f>
        <v>6</v>
      </c>
      <c r="N147" s="1">
        <f ca="1">IFERROR(__xludf.DUMMYFUNCTION("""COMPUTED_VALUE"""),2266)</f>
        <v>2266</v>
      </c>
      <c r="O147" s="1">
        <f ca="1">IFERROR(__xludf.DUMMYFUNCTION("""COMPUTED_VALUE"""),2086)</f>
        <v>2086</v>
      </c>
      <c r="P147" s="1">
        <f ca="1">IFERROR(__xludf.DUMMYFUNCTION("""COMPUTED_VALUE"""),1160)</f>
        <v>1160</v>
      </c>
      <c r="Q147" s="1">
        <f ca="1">IFERROR(__xludf.DUMMYFUNCTION("""COMPUTED_VALUE"""),795)</f>
        <v>795</v>
      </c>
      <c r="R147" s="1">
        <f ca="1">IFERROR(__xludf.DUMMYFUNCTION("""COMPUTED_VALUE"""),1760)</f>
        <v>1760</v>
      </c>
      <c r="S147" s="1">
        <f ca="1">IFERROR(__xludf.DUMMYFUNCTION("""COMPUTED_VALUE"""),0.452)</f>
        <v>0.45200000000000001</v>
      </c>
      <c r="T147" s="1">
        <f ca="1">IFERROR(__xludf.DUMMYFUNCTION("""COMPUTED_VALUE"""),227)</f>
        <v>227</v>
      </c>
      <c r="U147" s="1">
        <f ca="1">IFERROR(__xludf.DUMMYFUNCTION("""COMPUTED_VALUE"""),654)</f>
        <v>654</v>
      </c>
      <c r="V147" s="1">
        <f ca="1">IFERROR(__xludf.DUMMYFUNCTION("""COMPUTED_VALUE"""),0.347)</f>
        <v>0.34699999999999998</v>
      </c>
      <c r="W147" s="1">
        <f ca="1">IFERROR(__xludf.DUMMYFUNCTION("""COMPUTED_VALUE"""),449)</f>
        <v>449</v>
      </c>
      <c r="X147" s="1">
        <f ca="1">IFERROR(__xludf.DUMMYFUNCTION("""COMPUTED_VALUE"""),606)</f>
        <v>606</v>
      </c>
      <c r="Y147" s="1">
        <f ca="1">IFERROR(__xludf.DUMMYFUNCTION("""COMPUTED_VALUE"""),0.741)</f>
        <v>0.74099999999999999</v>
      </c>
      <c r="Z147" s="1">
        <f ca="1">IFERROR(__xludf.DUMMYFUNCTION("""COMPUTED_VALUE"""),339)</f>
        <v>339</v>
      </c>
      <c r="AA147" s="1">
        <f ca="1">IFERROR(__xludf.DUMMYFUNCTION("""COMPUTED_VALUE"""),1097)</f>
        <v>1097</v>
      </c>
      <c r="AB147" s="1">
        <f ca="1">IFERROR(__xludf.DUMMYFUNCTION("""COMPUTED_VALUE"""),503)</f>
        <v>503</v>
      </c>
      <c r="AC147" s="1">
        <f ca="1">IFERROR(__xludf.DUMMYFUNCTION("""COMPUTED_VALUE"""),184)</f>
        <v>184</v>
      </c>
      <c r="AD147" s="1">
        <f ca="1">IFERROR(__xludf.DUMMYFUNCTION("""COMPUTED_VALUE"""),110)</f>
        <v>110</v>
      </c>
      <c r="AE147" s="1">
        <f ca="1">IFERROR(__xludf.DUMMYFUNCTION("""COMPUTED_VALUE"""),349)</f>
        <v>349</v>
      </c>
      <c r="AF147" s="1">
        <f ca="1">IFERROR(__xludf.DUMMYFUNCTION("""COMPUTED_VALUE"""),458)</f>
        <v>458</v>
      </c>
    </row>
    <row r="148" spans="1:32" x14ac:dyDescent="0.25">
      <c r="A148" s="1" t="str">
        <f ca="1">IFERROR(__xludf.DUMMYFUNCTION("""COMPUTED_VALUE"""),"Purdue-Fort Wayne")</f>
        <v>Purdue-Fort Wayne</v>
      </c>
      <c r="B148" s="1">
        <f ca="1">IFERROR(__xludf.DUMMYFUNCTION("""COMPUTED_VALUE"""),31)</f>
        <v>31</v>
      </c>
      <c r="C148" s="1">
        <f ca="1">IFERROR(__xludf.DUMMYFUNCTION("""COMPUTED_VALUE"""),13)</f>
        <v>13</v>
      </c>
      <c r="D148" s="1">
        <f ca="1">IFERROR(__xludf.DUMMYFUNCTION("""COMPUTED_VALUE"""),18)</f>
        <v>18</v>
      </c>
      <c r="E148" s="1">
        <f ca="1">IFERROR(__xludf.DUMMYFUNCTION("""COMPUTED_VALUE"""),0.419)</f>
        <v>0.41899999999999998</v>
      </c>
      <c r="F148" s="1">
        <f ca="1">IFERROR(__xludf.DUMMYFUNCTION("""COMPUTED_VALUE"""),-7.83)</f>
        <v>-7.83</v>
      </c>
      <c r="G148" s="1">
        <f ca="1">IFERROR(__xludf.DUMMYFUNCTION("""COMPUTED_VALUE"""),-3.33)</f>
        <v>-3.33</v>
      </c>
      <c r="H148" s="1">
        <f ca="1">IFERROR(__xludf.DUMMYFUNCTION("""COMPUTED_VALUE"""),6)</f>
        <v>6</v>
      </c>
      <c r="I148" s="1">
        <f ca="1">IFERROR(__xludf.DUMMYFUNCTION("""COMPUTED_VALUE"""),10)</f>
        <v>10</v>
      </c>
      <c r="J148" s="1">
        <f ca="1">IFERROR(__xludf.DUMMYFUNCTION("""COMPUTED_VALUE"""),10)</f>
        <v>10</v>
      </c>
      <c r="K148" s="1">
        <f ca="1">IFERROR(__xludf.DUMMYFUNCTION("""COMPUTED_VALUE"""),5)</f>
        <v>5</v>
      </c>
      <c r="L148" s="1">
        <f ca="1">IFERROR(__xludf.DUMMYFUNCTION("""COMPUTED_VALUE"""),3)</f>
        <v>3</v>
      </c>
      <c r="M148" s="1">
        <f ca="1">IFERROR(__xludf.DUMMYFUNCTION("""COMPUTED_VALUE"""),13)</f>
        <v>13</v>
      </c>
      <c r="N148" s="1">
        <f ca="1">IFERROR(__xludf.DUMMYFUNCTION("""COMPUTED_VALUE"""),2128)</f>
        <v>2128</v>
      </c>
      <c r="O148" s="1">
        <f ca="1">IFERROR(__xludf.DUMMYFUNCTION("""COMPUTED_VALUE"""),2173)</f>
        <v>2173</v>
      </c>
      <c r="P148" s="1">
        <f ca="1">IFERROR(__xludf.DUMMYFUNCTION("""COMPUTED_VALUE"""),1240)</f>
        <v>1240</v>
      </c>
      <c r="Q148" s="1">
        <f ca="1">IFERROR(__xludf.DUMMYFUNCTION("""COMPUTED_VALUE"""),781)</f>
        <v>781</v>
      </c>
      <c r="R148" s="1">
        <f ca="1">IFERROR(__xludf.DUMMYFUNCTION("""COMPUTED_VALUE"""),1813)</f>
        <v>1813</v>
      </c>
      <c r="S148" s="1">
        <f ca="1">IFERROR(__xludf.DUMMYFUNCTION("""COMPUTED_VALUE"""),0.431)</f>
        <v>0.43099999999999999</v>
      </c>
      <c r="T148" s="1">
        <f ca="1">IFERROR(__xludf.DUMMYFUNCTION("""COMPUTED_VALUE"""),255)</f>
        <v>255</v>
      </c>
      <c r="U148" s="1">
        <f ca="1">IFERROR(__xludf.DUMMYFUNCTION("""COMPUTED_VALUE"""),800)</f>
        <v>800</v>
      </c>
      <c r="V148" s="1">
        <f ca="1">IFERROR(__xludf.DUMMYFUNCTION("""COMPUTED_VALUE"""),0.319)</f>
        <v>0.31900000000000001</v>
      </c>
      <c r="W148" s="1">
        <f ca="1">IFERROR(__xludf.DUMMYFUNCTION("""COMPUTED_VALUE"""),311)</f>
        <v>311</v>
      </c>
      <c r="X148" s="1">
        <f ca="1">IFERROR(__xludf.DUMMYFUNCTION("""COMPUTED_VALUE"""),463)</f>
        <v>463</v>
      </c>
      <c r="Y148" s="1">
        <f ca="1">IFERROR(__xludf.DUMMYFUNCTION("""COMPUTED_VALUE"""),0.672)</f>
        <v>0.67200000000000004</v>
      </c>
      <c r="Z148" s="1">
        <f ca="1">IFERROR(__xludf.DUMMYFUNCTION("""COMPUTED_VALUE"""),318)</f>
        <v>318</v>
      </c>
      <c r="AA148" s="1">
        <f ca="1">IFERROR(__xludf.DUMMYFUNCTION("""COMPUTED_VALUE"""),1096)</f>
        <v>1096</v>
      </c>
      <c r="AB148" s="1">
        <f ca="1">IFERROR(__xludf.DUMMYFUNCTION("""COMPUTED_VALUE"""),383)</f>
        <v>383</v>
      </c>
      <c r="AC148" s="1">
        <f ca="1">IFERROR(__xludf.DUMMYFUNCTION("""COMPUTED_VALUE"""),226)</f>
        <v>226</v>
      </c>
      <c r="AD148" s="1">
        <f ca="1">IFERROR(__xludf.DUMMYFUNCTION("""COMPUTED_VALUE"""),84)</f>
        <v>84</v>
      </c>
      <c r="AE148" s="1">
        <f ca="1">IFERROR(__xludf.DUMMYFUNCTION("""COMPUTED_VALUE"""),439)</f>
        <v>439</v>
      </c>
      <c r="AF148" s="1">
        <f ca="1">IFERROR(__xludf.DUMMYFUNCTION("""COMPUTED_VALUE"""),484)</f>
        <v>484</v>
      </c>
    </row>
    <row r="149" spans="1:32" x14ac:dyDescent="0.25">
      <c r="A149" s="1" t="str">
        <f ca="1">IFERROR(__xludf.DUMMYFUNCTION("""COMPUTED_VALUE"""),"IUPUI")</f>
        <v>IUPUI</v>
      </c>
      <c r="B149" s="1">
        <f ca="1">IFERROR(__xludf.DUMMYFUNCTION("""COMPUTED_VALUE"""),31)</f>
        <v>31</v>
      </c>
      <c r="C149" s="1">
        <f ca="1">IFERROR(__xludf.DUMMYFUNCTION("""COMPUTED_VALUE"""),7)</f>
        <v>7</v>
      </c>
      <c r="D149" s="1">
        <f ca="1">IFERROR(__xludf.DUMMYFUNCTION("""COMPUTED_VALUE"""),24)</f>
        <v>24</v>
      </c>
      <c r="E149" s="1">
        <f ca="1">IFERROR(__xludf.DUMMYFUNCTION("""COMPUTED_VALUE"""),0.226)</f>
        <v>0.22600000000000001</v>
      </c>
      <c r="F149" s="1">
        <f ca="1">IFERROR(__xludf.DUMMYFUNCTION("""COMPUTED_VALUE"""),-14.25)</f>
        <v>-14.25</v>
      </c>
      <c r="G149" s="1">
        <f ca="1">IFERROR(__xludf.DUMMYFUNCTION("""COMPUTED_VALUE"""),-3.52)</f>
        <v>-3.52</v>
      </c>
      <c r="H149" s="1">
        <f ca="1">IFERROR(__xludf.DUMMYFUNCTION("""COMPUTED_VALUE"""),3)</f>
        <v>3</v>
      </c>
      <c r="I149" s="1">
        <f ca="1">IFERROR(__xludf.DUMMYFUNCTION("""COMPUTED_VALUE"""),15)</f>
        <v>15</v>
      </c>
      <c r="J149" s="1">
        <f ca="1">IFERROR(__xludf.DUMMYFUNCTION("""COMPUTED_VALUE"""),4)</f>
        <v>4</v>
      </c>
      <c r="K149" s="1">
        <f ca="1">IFERROR(__xludf.DUMMYFUNCTION("""COMPUTED_VALUE"""),9)</f>
        <v>9</v>
      </c>
      <c r="L149" s="1">
        <f ca="1">IFERROR(__xludf.DUMMYFUNCTION("""COMPUTED_VALUE"""),3)</f>
        <v>3</v>
      </c>
      <c r="M149" s="1">
        <f ca="1">IFERROR(__xludf.DUMMYFUNCTION("""COMPUTED_VALUE"""),13)</f>
        <v>13</v>
      </c>
      <c r="N149" s="1">
        <f ca="1">IFERROR(__xludf.DUMMYFUNCTION("""COMPUTED_VALUE"""),2197)</f>
        <v>2197</v>
      </c>
      <c r="O149" s="1">
        <f ca="1">IFERROR(__xludf.DUMMYFUNCTION("""COMPUTED_VALUE"""),2471)</f>
        <v>2471</v>
      </c>
      <c r="P149" s="1">
        <f ca="1">IFERROR(__xludf.DUMMYFUNCTION("""COMPUTED_VALUE"""),1250)</f>
        <v>1250</v>
      </c>
      <c r="Q149" s="1">
        <f ca="1">IFERROR(__xludf.DUMMYFUNCTION("""COMPUTED_VALUE"""),785)</f>
        <v>785</v>
      </c>
      <c r="R149" s="1">
        <f ca="1">IFERROR(__xludf.DUMMYFUNCTION("""COMPUTED_VALUE"""),1886)</f>
        <v>1886</v>
      </c>
      <c r="S149" s="1">
        <f ca="1">IFERROR(__xludf.DUMMYFUNCTION("""COMPUTED_VALUE"""),0.416)</f>
        <v>0.41599999999999998</v>
      </c>
      <c r="T149" s="1">
        <f ca="1">IFERROR(__xludf.DUMMYFUNCTION("""COMPUTED_VALUE"""),245)</f>
        <v>245</v>
      </c>
      <c r="U149" s="1">
        <f ca="1">IFERROR(__xludf.DUMMYFUNCTION("""COMPUTED_VALUE"""),725)</f>
        <v>725</v>
      </c>
      <c r="V149" s="1">
        <f ca="1">IFERROR(__xludf.DUMMYFUNCTION("""COMPUTED_VALUE"""),0.338)</f>
        <v>0.33800000000000002</v>
      </c>
      <c r="W149" s="1">
        <f ca="1">IFERROR(__xludf.DUMMYFUNCTION("""COMPUTED_VALUE"""),382)</f>
        <v>382</v>
      </c>
      <c r="X149" s="1">
        <f ca="1">IFERROR(__xludf.DUMMYFUNCTION("""COMPUTED_VALUE"""),595)</f>
        <v>595</v>
      </c>
      <c r="Y149" s="1">
        <f ca="1">IFERROR(__xludf.DUMMYFUNCTION("""COMPUTED_VALUE"""),0.642)</f>
        <v>0.64200000000000002</v>
      </c>
      <c r="Z149" s="1">
        <f ca="1">IFERROR(__xludf.DUMMYFUNCTION("""COMPUTED_VALUE"""),351)</f>
        <v>351</v>
      </c>
      <c r="AA149" s="1">
        <f ca="1">IFERROR(__xludf.DUMMYFUNCTION("""COMPUTED_VALUE"""),1109)</f>
        <v>1109</v>
      </c>
      <c r="AB149" s="1">
        <f ca="1">IFERROR(__xludf.DUMMYFUNCTION("""COMPUTED_VALUE"""),421)</f>
        <v>421</v>
      </c>
      <c r="AC149" s="1">
        <f ca="1">IFERROR(__xludf.DUMMYFUNCTION("""COMPUTED_VALUE"""),203)</f>
        <v>203</v>
      </c>
      <c r="AD149" s="1">
        <f ca="1">IFERROR(__xludf.DUMMYFUNCTION("""COMPUTED_VALUE"""),77)</f>
        <v>77</v>
      </c>
      <c r="AE149" s="1">
        <f ca="1">IFERROR(__xludf.DUMMYFUNCTION("""COMPUTED_VALUE"""),425)</f>
        <v>425</v>
      </c>
      <c r="AF149" s="1">
        <f ca="1">IFERROR(__xludf.DUMMYFUNCTION("""COMPUTED_VALUE"""),559)</f>
        <v>559</v>
      </c>
    </row>
    <row r="150" spans="1:32" x14ac:dyDescent="0.25">
      <c r="A150" s="1" t="str">
        <f ca="1">IFERROR(__xludf.DUMMYFUNCTION("""COMPUTED_VALUE"""),"Jackson State")</f>
        <v>Jackson State</v>
      </c>
      <c r="B150" s="1">
        <f ca="1">IFERROR(__xludf.DUMMYFUNCTION("""COMPUTED_VALUE"""),29)</f>
        <v>29</v>
      </c>
      <c r="C150" s="1">
        <f ca="1">IFERROR(__xludf.DUMMYFUNCTION("""COMPUTED_VALUE"""),12)</f>
        <v>12</v>
      </c>
      <c r="D150" s="1">
        <f ca="1">IFERROR(__xludf.DUMMYFUNCTION("""COMPUTED_VALUE"""),17)</f>
        <v>17</v>
      </c>
      <c r="E150" s="1">
        <f ca="1">IFERROR(__xludf.DUMMYFUNCTION("""COMPUTED_VALUE"""),0.414)</f>
        <v>0.41399999999999998</v>
      </c>
      <c r="F150" s="1">
        <f ca="1">IFERROR(__xludf.DUMMYFUNCTION("""COMPUTED_VALUE"""),-11.36)</f>
        <v>-11.36</v>
      </c>
      <c r="G150" s="1">
        <f ca="1">IFERROR(__xludf.DUMMYFUNCTION("""COMPUTED_VALUE"""),-7.62)</f>
        <v>-7.62</v>
      </c>
      <c r="H150" s="1">
        <f ca="1">IFERROR(__xludf.DUMMYFUNCTION("""COMPUTED_VALUE"""),9)</f>
        <v>9</v>
      </c>
      <c r="I150" s="1">
        <f ca="1">IFERROR(__xludf.DUMMYFUNCTION("""COMPUTED_VALUE"""),7)</f>
        <v>7</v>
      </c>
      <c r="J150" s="1">
        <f ca="1">IFERROR(__xludf.DUMMYFUNCTION("""COMPUTED_VALUE"""),8)</f>
        <v>8</v>
      </c>
      <c r="K150" s="1">
        <f ca="1">IFERROR(__xludf.DUMMYFUNCTION("""COMPUTED_VALUE"""),3)</f>
        <v>3</v>
      </c>
      <c r="L150" s="1">
        <f ca="1">IFERROR(__xludf.DUMMYFUNCTION("""COMPUTED_VALUE"""),4)</f>
        <v>4</v>
      </c>
      <c r="M150" s="1">
        <f ca="1">IFERROR(__xludf.DUMMYFUNCTION("""COMPUTED_VALUE"""),14)</f>
        <v>14</v>
      </c>
      <c r="N150" s="1">
        <f ca="1">IFERROR(__xludf.DUMMYFUNCTION("""COMPUTED_VALUE"""),1959)</f>
        <v>1959</v>
      </c>
      <c r="O150" s="1">
        <f ca="1">IFERROR(__xludf.DUMMYFUNCTION("""COMPUTED_VALUE"""),1995)</f>
        <v>1995</v>
      </c>
      <c r="P150" s="1">
        <f ca="1">IFERROR(__xludf.DUMMYFUNCTION("""COMPUTED_VALUE"""),1160)</f>
        <v>1160</v>
      </c>
      <c r="Q150" s="1">
        <f ca="1">IFERROR(__xludf.DUMMYFUNCTION("""COMPUTED_VALUE"""),713)</f>
        <v>713</v>
      </c>
      <c r="R150" s="1">
        <f ca="1">IFERROR(__xludf.DUMMYFUNCTION("""COMPUTED_VALUE"""),1703)</f>
        <v>1703</v>
      </c>
      <c r="S150" s="1">
        <f ca="1">IFERROR(__xludf.DUMMYFUNCTION("""COMPUTED_VALUE"""),0.419)</f>
        <v>0.41899999999999998</v>
      </c>
      <c r="T150" s="1">
        <f ca="1">IFERROR(__xludf.DUMMYFUNCTION("""COMPUTED_VALUE"""),132)</f>
        <v>132</v>
      </c>
      <c r="U150" s="1">
        <f ca="1">IFERROR(__xludf.DUMMYFUNCTION("""COMPUTED_VALUE"""),504)</f>
        <v>504</v>
      </c>
      <c r="V150" s="1">
        <f ca="1">IFERROR(__xludf.DUMMYFUNCTION("""COMPUTED_VALUE"""),0.262)</f>
        <v>0.26200000000000001</v>
      </c>
      <c r="W150" s="1">
        <f ca="1">IFERROR(__xludf.DUMMYFUNCTION("""COMPUTED_VALUE"""),401)</f>
        <v>401</v>
      </c>
      <c r="X150" s="1">
        <f ca="1">IFERROR(__xludf.DUMMYFUNCTION("""COMPUTED_VALUE"""),584)</f>
        <v>584</v>
      </c>
      <c r="Y150" s="1">
        <f ca="1">IFERROR(__xludf.DUMMYFUNCTION("""COMPUTED_VALUE"""),0.687)</f>
        <v>0.68700000000000006</v>
      </c>
      <c r="Z150" s="1">
        <f ca="1">IFERROR(__xludf.DUMMYFUNCTION("""COMPUTED_VALUE"""),278)</f>
        <v>278</v>
      </c>
      <c r="AA150" s="1">
        <f ca="1">IFERROR(__xludf.DUMMYFUNCTION("""COMPUTED_VALUE"""),934)</f>
        <v>934</v>
      </c>
      <c r="AB150" s="1">
        <f ca="1">IFERROR(__xludf.DUMMYFUNCTION("""COMPUTED_VALUE"""),338)</f>
        <v>338</v>
      </c>
      <c r="AC150" s="1">
        <f ca="1">IFERROR(__xludf.DUMMYFUNCTION("""COMPUTED_VALUE"""),238)</f>
        <v>238</v>
      </c>
      <c r="AD150" s="1">
        <f ca="1">IFERROR(__xludf.DUMMYFUNCTION("""COMPUTED_VALUE"""),108)</f>
        <v>108</v>
      </c>
      <c r="AE150" s="1">
        <f ca="1">IFERROR(__xludf.DUMMYFUNCTION("""COMPUTED_VALUE"""),370)</f>
        <v>370</v>
      </c>
      <c r="AF150" s="1">
        <f ca="1">IFERROR(__xludf.DUMMYFUNCTION("""COMPUTED_VALUE"""),566)</f>
        <v>566</v>
      </c>
    </row>
    <row r="151" spans="1:32" x14ac:dyDescent="0.25">
      <c r="A151" s="1" t="str">
        <f ca="1">IFERROR(__xludf.DUMMYFUNCTION("""COMPUTED_VALUE"""),"Jacksonville State")</f>
        <v>Jacksonville State</v>
      </c>
      <c r="B151" s="1">
        <f ca="1">IFERROR(__xludf.DUMMYFUNCTION("""COMPUTED_VALUE"""),31)</f>
        <v>31</v>
      </c>
      <c r="C151" s="1">
        <f ca="1">IFERROR(__xludf.DUMMYFUNCTION("""COMPUTED_VALUE"""),13)</f>
        <v>13</v>
      </c>
      <c r="D151" s="1">
        <f ca="1">IFERROR(__xludf.DUMMYFUNCTION("""COMPUTED_VALUE"""),18)</f>
        <v>18</v>
      </c>
      <c r="E151" s="1">
        <f ca="1">IFERROR(__xludf.DUMMYFUNCTION("""COMPUTED_VALUE"""),0.419)</f>
        <v>0.41899999999999998</v>
      </c>
      <c r="F151" s="1">
        <f ca="1">IFERROR(__xludf.DUMMYFUNCTION("""COMPUTED_VALUE"""),-8.14)</f>
        <v>-8.14</v>
      </c>
      <c r="G151" s="1">
        <f ca="1">IFERROR(__xludf.DUMMYFUNCTION("""COMPUTED_VALUE"""),-6.35)</f>
        <v>-6.35</v>
      </c>
      <c r="H151" s="1">
        <f ca="1">IFERROR(__xludf.DUMMYFUNCTION("""COMPUTED_VALUE"""),8)</f>
        <v>8</v>
      </c>
      <c r="I151" s="1">
        <f ca="1">IFERROR(__xludf.DUMMYFUNCTION("""COMPUTED_VALUE"""),10)</f>
        <v>10</v>
      </c>
      <c r="J151" s="1">
        <f ca="1">IFERROR(__xludf.DUMMYFUNCTION("""COMPUTED_VALUE"""),8)</f>
        <v>8</v>
      </c>
      <c r="K151" s="1">
        <f ca="1">IFERROR(__xludf.DUMMYFUNCTION("""COMPUTED_VALUE"""),6)</f>
        <v>6</v>
      </c>
      <c r="L151" s="1">
        <f ca="1">IFERROR(__xludf.DUMMYFUNCTION("""COMPUTED_VALUE"""),4)</f>
        <v>4</v>
      </c>
      <c r="M151" s="1">
        <f ca="1">IFERROR(__xludf.DUMMYFUNCTION("""COMPUTED_VALUE"""),11)</f>
        <v>11</v>
      </c>
      <c r="N151" s="1">
        <f ca="1">IFERROR(__xludf.DUMMYFUNCTION("""COMPUTED_VALUE"""),2233)</f>
        <v>2233</v>
      </c>
      <c r="O151" s="1">
        <f ca="1">IFERROR(__xludf.DUMMYFUNCTION("""COMPUTED_VALUE"""),2151)</f>
        <v>2151</v>
      </c>
      <c r="P151" s="1">
        <f ca="1">IFERROR(__xludf.DUMMYFUNCTION("""COMPUTED_VALUE"""),1245)</f>
        <v>1245</v>
      </c>
      <c r="Q151" s="1">
        <f ca="1">IFERROR(__xludf.DUMMYFUNCTION("""COMPUTED_VALUE"""),823)</f>
        <v>823</v>
      </c>
      <c r="R151" s="1">
        <f ca="1">IFERROR(__xludf.DUMMYFUNCTION("""COMPUTED_VALUE"""),1837)</f>
        <v>1837</v>
      </c>
      <c r="S151" s="1">
        <f ca="1">IFERROR(__xludf.DUMMYFUNCTION("""COMPUTED_VALUE"""),0.448)</f>
        <v>0.44800000000000001</v>
      </c>
      <c r="T151" s="1">
        <f ca="1">IFERROR(__xludf.DUMMYFUNCTION("""COMPUTED_VALUE"""),223)</f>
        <v>223</v>
      </c>
      <c r="U151" s="1">
        <f ca="1">IFERROR(__xludf.DUMMYFUNCTION("""COMPUTED_VALUE"""),667)</f>
        <v>667</v>
      </c>
      <c r="V151" s="1">
        <f ca="1">IFERROR(__xludf.DUMMYFUNCTION("""COMPUTED_VALUE"""),0.334)</f>
        <v>0.33400000000000002</v>
      </c>
      <c r="W151" s="1">
        <f ca="1">IFERROR(__xludf.DUMMYFUNCTION("""COMPUTED_VALUE"""),364)</f>
        <v>364</v>
      </c>
      <c r="X151" s="1">
        <f ca="1">IFERROR(__xludf.DUMMYFUNCTION("""COMPUTED_VALUE"""),532)</f>
        <v>532</v>
      </c>
      <c r="Y151" s="1">
        <f ca="1">IFERROR(__xludf.DUMMYFUNCTION("""COMPUTED_VALUE"""),0.684)</f>
        <v>0.68400000000000005</v>
      </c>
      <c r="Z151" s="1">
        <f ca="1">IFERROR(__xludf.DUMMYFUNCTION("""COMPUTED_VALUE"""),341)</f>
        <v>341</v>
      </c>
      <c r="AA151" s="1">
        <f ca="1">IFERROR(__xludf.DUMMYFUNCTION("""COMPUTED_VALUE"""),1128)</f>
        <v>1128</v>
      </c>
      <c r="AB151" s="1">
        <f ca="1">IFERROR(__xludf.DUMMYFUNCTION("""COMPUTED_VALUE"""),428)</f>
        <v>428</v>
      </c>
      <c r="AC151" s="1">
        <f ca="1">IFERROR(__xludf.DUMMYFUNCTION("""COMPUTED_VALUE"""),195)</f>
        <v>195</v>
      </c>
      <c r="AD151" s="1">
        <f ca="1">IFERROR(__xludf.DUMMYFUNCTION("""COMPUTED_VALUE"""),79)</f>
        <v>79</v>
      </c>
      <c r="AE151" s="1">
        <f ca="1">IFERROR(__xludf.DUMMYFUNCTION("""COMPUTED_VALUE"""),437)</f>
        <v>437</v>
      </c>
      <c r="AF151" s="1">
        <f ca="1">IFERROR(__xludf.DUMMYFUNCTION("""COMPUTED_VALUE"""),486)</f>
        <v>486</v>
      </c>
    </row>
    <row r="152" spans="1:32" x14ac:dyDescent="0.25">
      <c r="A152" s="1" t="str">
        <f ca="1">IFERROR(__xludf.DUMMYFUNCTION("""COMPUTED_VALUE"""),"Jacksonville")</f>
        <v>Jacksonville</v>
      </c>
      <c r="B152" s="1">
        <f ca="1">IFERROR(__xludf.DUMMYFUNCTION("""COMPUTED_VALUE"""),31)</f>
        <v>31</v>
      </c>
      <c r="C152" s="1">
        <f ca="1">IFERROR(__xludf.DUMMYFUNCTION("""COMPUTED_VALUE"""),14)</f>
        <v>14</v>
      </c>
      <c r="D152" s="1">
        <f ca="1">IFERROR(__xludf.DUMMYFUNCTION("""COMPUTED_VALUE"""),17)</f>
        <v>17</v>
      </c>
      <c r="E152" s="1">
        <f ca="1">IFERROR(__xludf.DUMMYFUNCTION("""COMPUTED_VALUE"""),0.452)</f>
        <v>0.45200000000000001</v>
      </c>
      <c r="F152" s="1">
        <f ca="1">IFERROR(__xludf.DUMMYFUNCTION("""COMPUTED_VALUE"""),-6.41)</f>
        <v>-6.41</v>
      </c>
      <c r="G152" s="1">
        <f ca="1">IFERROR(__xludf.DUMMYFUNCTION("""COMPUTED_VALUE"""),-5.62)</f>
        <v>-5.62</v>
      </c>
      <c r="H152" s="1">
        <f ca="1">IFERROR(__xludf.DUMMYFUNCTION("""COMPUTED_VALUE"""),7)</f>
        <v>7</v>
      </c>
      <c r="I152" s="1">
        <f ca="1">IFERROR(__xludf.DUMMYFUNCTION("""COMPUTED_VALUE"""),9)</f>
        <v>9</v>
      </c>
      <c r="J152" s="1">
        <f ca="1">IFERROR(__xludf.DUMMYFUNCTION("""COMPUTED_VALUE"""),6)</f>
        <v>6</v>
      </c>
      <c r="K152" s="1">
        <f ca="1">IFERROR(__xludf.DUMMYFUNCTION("""COMPUTED_VALUE"""),7)</f>
        <v>7</v>
      </c>
      <c r="L152" s="1">
        <f ca="1">IFERROR(__xludf.DUMMYFUNCTION("""COMPUTED_VALUE"""),7)</f>
        <v>7</v>
      </c>
      <c r="M152" s="1">
        <f ca="1">IFERROR(__xludf.DUMMYFUNCTION("""COMPUTED_VALUE"""),8)</f>
        <v>8</v>
      </c>
      <c r="N152" s="1">
        <f ca="1">IFERROR(__xludf.DUMMYFUNCTION("""COMPUTED_VALUE"""),2051)</f>
        <v>2051</v>
      </c>
      <c r="O152" s="1">
        <f ca="1">IFERROR(__xludf.DUMMYFUNCTION("""COMPUTED_VALUE"""),2042)</f>
        <v>2042</v>
      </c>
      <c r="P152" s="1">
        <f ca="1">IFERROR(__xludf.DUMMYFUNCTION("""COMPUTED_VALUE"""),1255)</f>
        <v>1255</v>
      </c>
      <c r="Q152" s="1">
        <f ca="1">IFERROR(__xludf.DUMMYFUNCTION("""COMPUTED_VALUE"""),746)</f>
        <v>746</v>
      </c>
      <c r="R152" s="1">
        <f ca="1">IFERROR(__xludf.DUMMYFUNCTION("""COMPUTED_VALUE"""),1752)</f>
        <v>1752</v>
      </c>
      <c r="S152" s="1">
        <f ca="1">IFERROR(__xludf.DUMMYFUNCTION("""COMPUTED_VALUE"""),0.426)</f>
        <v>0.42599999999999999</v>
      </c>
      <c r="T152" s="1">
        <f ca="1">IFERROR(__xludf.DUMMYFUNCTION("""COMPUTED_VALUE"""),199)</f>
        <v>199</v>
      </c>
      <c r="U152" s="1">
        <f ca="1">IFERROR(__xludf.DUMMYFUNCTION("""COMPUTED_VALUE"""),632)</f>
        <v>632</v>
      </c>
      <c r="V152" s="1">
        <f ca="1">IFERROR(__xludf.DUMMYFUNCTION("""COMPUTED_VALUE"""),0.315)</f>
        <v>0.315</v>
      </c>
      <c r="W152" s="1">
        <f ca="1">IFERROR(__xludf.DUMMYFUNCTION("""COMPUTED_VALUE"""),360)</f>
        <v>360</v>
      </c>
      <c r="X152" s="1">
        <f ca="1">IFERROR(__xludf.DUMMYFUNCTION("""COMPUTED_VALUE"""),534)</f>
        <v>534</v>
      </c>
      <c r="Y152" s="1">
        <f ca="1">IFERROR(__xludf.DUMMYFUNCTION("""COMPUTED_VALUE"""),0.674)</f>
        <v>0.67400000000000004</v>
      </c>
      <c r="Z152" s="1">
        <f ca="1">IFERROR(__xludf.DUMMYFUNCTION("""COMPUTED_VALUE"""),310)</f>
        <v>310</v>
      </c>
      <c r="AA152" s="1">
        <f ca="1">IFERROR(__xludf.DUMMYFUNCTION("""COMPUTED_VALUE"""),1171)</f>
        <v>1171</v>
      </c>
      <c r="AB152" s="1">
        <f ca="1">IFERROR(__xludf.DUMMYFUNCTION("""COMPUTED_VALUE"""),337)</f>
        <v>337</v>
      </c>
      <c r="AC152" s="1">
        <f ca="1">IFERROR(__xludf.DUMMYFUNCTION("""COMPUTED_VALUE"""),156)</f>
        <v>156</v>
      </c>
      <c r="AD152" s="1">
        <f ca="1">IFERROR(__xludf.DUMMYFUNCTION("""COMPUTED_VALUE"""),87)</f>
        <v>87</v>
      </c>
      <c r="AE152" s="1">
        <f ca="1">IFERROR(__xludf.DUMMYFUNCTION("""COMPUTED_VALUE"""),426)</f>
        <v>426</v>
      </c>
      <c r="AF152" s="1">
        <f ca="1">IFERROR(__xludf.DUMMYFUNCTION("""COMPUTED_VALUE"""),475)</f>
        <v>475</v>
      </c>
    </row>
    <row r="153" spans="1:32" x14ac:dyDescent="0.25">
      <c r="A153" s="1" t="str">
        <f ca="1">IFERROR(__xludf.DUMMYFUNCTION("""COMPUTED_VALUE"""),"James Madison")</f>
        <v>James Madison</v>
      </c>
      <c r="B153" s="1">
        <f ca="1">IFERROR(__xludf.DUMMYFUNCTION("""COMPUTED_VALUE"""),29)</f>
        <v>29</v>
      </c>
      <c r="C153" s="1">
        <f ca="1">IFERROR(__xludf.DUMMYFUNCTION("""COMPUTED_VALUE"""),9)</f>
        <v>9</v>
      </c>
      <c r="D153" s="1">
        <f ca="1">IFERROR(__xludf.DUMMYFUNCTION("""COMPUTED_VALUE"""),20)</f>
        <v>20</v>
      </c>
      <c r="E153" s="1">
        <f ca="1">IFERROR(__xludf.DUMMYFUNCTION("""COMPUTED_VALUE"""),0.31)</f>
        <v>0.31</v>
      </c>
      <c r="F153" s="1">
        <f ca="1">IFERROR(__xludf.DUMMYFUNCTION("""COMPUTED_VALUE"""),-9.1)</f>
        <v>-9.1</v>
      </c>
      <c r="G153" s="1">
        <f ca="1">IFERROR(__xludf.DUMMYFUNCTION("""COMPUTED_VALUE"""),-2.49)</f>
        <v>-2.4900000000000002</v>
      </c>
      <c r="H153" s="1">
        <f ca="1">IFERROR(__xludf.DUMMYFUNCTION("""COMPUTED_VALUE"""),2)</f>
        <v>2</v>
      </c>
      <c r="I153" s="1">
        <f ca="1">IFERROR(__xludf.DUMMYFUNCTION("""COMPUTED_VALUE"""),16)</f>
        <v>16</v>
      </c>
      <c r="J153" s="1">
        <f ca="1">IFERROR(__xludf.DUMMYFUNCTION("""COMPUTED_VALUE"""),6)</f>
        <v>6</v>
      </c>
      <c r="K153" s="1">
        <f ca="1">IFERROR(__xludf.DUMMYFUNCTION("""COMPUTED_VALUE"""),9)</f>
        <v>9</v>
      </c>
      <c r="L153" s="1">
        <f ca="1">IFERROR(__xludf.DUMMYFUNCTION("""COMPUTED_VALUE"""),3)</f>
        <v>3</v>
      </c>
      <c r="M153" s="1">
        <f ca="1">IFERROR(__xludf.DUMMYFUNCTION("""COMPUTED_VALUE"""),11)</f>
        <v>11</v>
      </c>
      <c r="N153" s="1">
        <f ca="1">IFERROR(__xludf.DUMMYFUNCTION("""COMPUTED_VALUE"""),2096)</f>
        <v>2096</v>
      </c>
      <c r="O153" s="1">
        <f ca="1">IFERROR(__xludf.DUMMYFUNCTION("""COMPUTED_VALUE"""),2233)</f>
        <v>2233</v>
      </c>
      <c r="P153" s="1">
        <f ca="1">IFERROR(__xludf.DUMMYFUNCTION("""COMPUTED_VALUE"""),1160)</f>
        <v>1160</v>
      </c>
      <c r="Q153" s="1">
        <f ca="1">IFERROR(__xludf.DUMMYFUNCTION("""COMPUTED_VALUE"""),726)</f>
        <v>726</v>
      </c>
      <c r="R153" s="1">
        <f ca="1">IFERROR(__xludf.DUMMYFUNCTION("""COMPUTED_VALUE"""),1734)</f>
        <v>1734</v>
      </c>
      <c r="S153" s="1">
        <f ca="1">IFERROR(__xludf.DUMMYFUNCTION("""COMPUTED_VALUE"""),0.419)</f>
        <v>0.41899999999999998</v>
      </c>
      <c r="T153" s="1">
        <f ca="1">IFERROR(__xludf.DUMMYFUNCTION("""COMPUTED_VALUE"""),228)</f>
        <v>228</v>
      </c>
      <c r="U153" s="1">
        <f ca="1">IFERROR(__xludf.DUMMYFUNCTION("""COMPUTED_VALUE"""),705)</f>
        <v>705</v>
      </c>
      <c r="V153" s="1">
        <f ca="1">IFERROR(__xludf.DUMMYFUNCTION("""COMPUTED_VALUE"""),0.323)</f>
        <v>0.32300000000000001</v>
      </c>
      <c r="W153" s="1">
        <f ca="1">IFERROR(__xludf.DUMMYFUNCTION("""COMPUTED_VALUE"""),416)</f>
        <v>416</v>
      </c>
      <c r="X153" s="1">
        <f ca="1">IFERROR(__xludf.DUMMYFUNCTION("""COMPUTED_VALUE"""),635)</f>
        <v>635</v>
      </c>
      <c r="Y153" s="1">
        <f ca="1">IFERROR(__xludf.DUMMYFUNCTION("""COMPUTED_VALUE"""),0.655)</f>
        <v>0.65500000000000003</v>
      </c>
      <c r="Z153" s="1">
        <f ca="1">IFERROR(__xludf.DUMMYFUNCTION("""COMPUTED_VALUE"""),293)</f>
        <v>293</v>
      </c>
      <c r="AA153" s="1">
        <f ca="1">IFERROR(__xludf.DUMMYFUNCTION("""COMPUTED_VALUE"""),1088)</f>
        <v>1088</v>
      </c>
      <c r="AB153" s="1">
        <f ca="1">IFERROR(__xludf.DUMMYFUNCTION("""COMPUTED_VALUE"""),362)</f>
        <v>362</v>
      </c>
      <c r="AC153" s="1">
        <f ca="1">IFERROR(__xludf.DUMMYFUNCTION("""COMPUTED_VALUE"""),183)</f>
        <v>183</v>
      </c>
      <c r="AD153" s="1">
        <f ca="1">IFERROR(__xludf.DUMMYFUNCTION("""COMPUTED_VALUE"""),85)</f>
        <v>85</v>
      </c>
      <c r="AE153" s="1">
        <f ca="1">IFERROR(__xludf.DUMMYFUNCTION("""COMPUTED_VALUE"""),362)</f>
        <v>362</v>
      </c>
      <c r="AF153" s="1">
        <f ca="1">IFERROR(__xludf.DUMMYFUNCTION("""COMPUTED_VALUE"""),511)</f>
        <v>511</v>
      </c>
    </row>
    <row r="154" spans="1:32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x14ac:dyDescent="0.25">
      <c r="A156" s="1" t="str">
        <f ca="1">IFERROR(__xludf.DUMMYFUNCTION("""COMPUTED_VALUE"""),"Kansas State")</f>
        <v>Kansas State</v>
      </c>
      <c r="B156" s="1">
        <f ca="1">IFERROR(__xludf.DUMMYFUNCTION("""COMPUTED_VALUE"""),29)</f>
        <v>29</v>
      </c>
      <c r="C156" s="1">
        <f ca="1">IFERROR(__xludf.DUMMYFUNCTION("""COMPUTED_VALUE"""),9)</f>
        <v>9</v>
      </c>
      <c r="D156" s="1">
        <f ca="1">IFERROR(__xludf.DUMMYFUNCTION("""COMPUTED_VALUE"""),20)</f>
        <v>20</v>
      </c>
      <c r="E156" s="1">
        <f ca="1">IFERROR(__xludf.DUMMYFUNCTION("""COMPUTED_VALUE"""),0.31)</f>
        <v>0.31</v>
      </c>
      <c r="F156" s="1">
        <f ca="1">IFERROR(__xludf.DUMMYFUNCTION("""COMPUTED_VALUE"""),8.2)</f>
        <v>8.1999999999999993</v>
      </c>
      <c r="G156" s="1">
        <f ca="1">IFERROR(__xludf.DUMMYFUNCTION("""COMPUTED_VALUE"""),9.55)</f>
        <v>9.5500000000000007</v>
      </c>
      <c r="H156" s="1">
        <f ca="1">IFERROR(__xludf.DUMMYFUNCTION("""COMPUTED_VALUE"""),2)</f>
        <v>2</v>
      </c>
      <c r="I156" s="1">
        <f ca="1">IFERROR(__xludf.DUMMYFUNCTION("""COMPUTED_VALUE"""),14)</f>
        <v>14</v>
      </c>
      <c r="J156" s="1">
        <f ca="1">IFERROR(__xludf.DUMMYFUNCTION("""COMPUTED_VALUE"""),8)</f>
        <v>8</v>
      </c>
      <c r="K156" s="1">
        <f ca="1">IFERROR(__xludf.DUMMYFUNCTION("""COMPUTED_VALUE"""),7)</f>
        <v>7</v>
      </c>
      <c r="L156" s="1">
        <f ca="1">IFERROR(__xludf.DUMMYFUNCTION("""COMPUTED_VALUE"""),1)</f>
        <v>1</v>
      </c>
      <c r="M156" s="1">
        <f ca="1">IFERROR(__xludf.DUMMYFUNCTION("""COMPUTED_VALUE"""),9)</f>
        <v>9</v>
      </c>
      <c r="N156" s="1">
        <f ca="1">IFERROR(__xludf.DUMMYFUNCTION("""COMPUTED_VALUE"""),1859)</f>
        <v>1859</v>
      </c>
      <c r="O156" s="1">
        <f ca="1">IFERROR(__xludf.DUMMYFUNCTION("""COMPUTED_VALUE"""),1898)</f>
        <v>1898</v>
      </c>
      <c r="P156" s="1">
        <f ca="1">IFERROR(__xludf.DUMMYFUNCTION("""COMPUTED_VALUE"""),1165)</f>
        <v>1165</v>
      </c>
      <c r="Q156" s="1">
        <f ca="1">IFERROR(__xludf.DUMMYFUNCTION("""COMPUTED_VALUE"""),650)</f>
        <v>650</v>
      </c>
      <c r="R156" s="1">
        <f ca="1">IFERROR(__xludf.DUMMYFUNCTION("""COMPUTED_VALUE"""),1574)</f>
        <v>1574</v>
      </c>
      <c r="S156" s="1">
        <f ca="1">IFERROR(__xludf.DUMMYFUNCTION("""COMPUTED_VALUE"""),0.413)</f>
        <v>0.41299999999999998</v>
      </c>
      <c r="T156" s="1">
        <f ca="1">IFERROR(__xludf.DUMMYFUNCTION("""COMPUTED_VALUE"""),197)</f>
        <v>197</v>
      </c>
      <c r="U156" s="1">
        <f ca="1">IFERROR(__xludf.DUMMYFUNCTION("""COMPUTED_VALUE"""),618)</f>
        <v>618</v>
      </c>
      <c r="V156" s="1">
        <f ca="1">IFERROR(__xludf.DUMMYFUNCTION("""COMPUTED_VALUE"""),0.319)</f>
        <v>0.31900000000000001</v>
      </c>
      <c r="W156" s="1">
        <f ca="1">IFERROR(__xludf.DUMMYFUNCTION("""COMPUTED_VALUE"""),362)</f>
        <v>362</v>
      </c>
      <c r="X156" s="1">
        <f ca="1">IFERROR(__xludf.DUMMYFUNCTION("""COMPUTED_VALUE"""),557)</f>
        <v>557</v>
      </c>
      <c r="Y156" s="1">
        <f ca="1">IFERROR(__xludf.DUMMYFUNCTION("""COMPUTED_VALUE"""),0.65)</f>
        <v>0.65</v>
      </c>
      <c r="Z156" s="1">
        <f ca="1">IFERROR(__xludf.DUMMYFUNCTION("""COMPUTED_VALUE"""),301)</f>
        <v>301</v>
      </c>
      <c r="AA156" s="1">
        <f ca="1">IFERROR(__xludf.DUMMYFUNCTION("""COMPUTED_VALUE"""),953)</f>
        <v>953</v>
      </c>
      <c r="AB156" s="1">
        <f ca="1">IFERROR(__xludf.DUMMYFUNCTION("""COMPUTED_VALUE"""),363)</f>
        <v>363</v>
      </c>
      <c r="AC156" s="1">
        <f ca="1">IFERROR(__xludf.DUMMYFUNCTION("""COMPUTED_VALUE"""),248)</f>
        <v>248</v>
      </c>
      <c r="AD156" s="1">
        <f ca="1">IFERROR(__xludf.DUMMYFUNCTION("""COMPUTED_VALUE"""),75)</f>
        <v>75</v>
      </c>
      <c r="AE156" s="1">
        <f ca="1">IFERROR(__xludf.DUMMYFUNCTION("""COMPUTED_VALUE"""),415)</f>
        <v>415</v>
      </c>
      <c r="AF156" s="1">
        <f ca="1">IFERROR(__xludf.DUMMYFUNCTION("""COMPUTED_VALUE"""),552)</f>
        <v>552</v>
      </c>
    </row>
    <row r="157" spans="1:32" x14ac:dyDescent="0.25">
      <c r="A157" s="1" t="str">
        <f ca="1">IFERROR(__xludf.DUMMYFUNCTION("""COMPUTED_VALUE"""),"Kansas")</f>
        <v>Kansas</v>
      </c>
      <c r="B157" s="1">
        <f ca="1">IFERROR(__xludf.DUMMYFUNCTION("""COMPUTED_VALUE"""),29)</f>
        <v>29</v>
      </c>
      <c r="C157" s="1">
        <f ca="1">IFERROR(__xludf.DUMMYFUNCTION("""COMPUTED_VALUE"""),26)</f>
        <v>26</v>
      </c>
      <c r="D157" s="1">
        <f ca="1">IFERROR(__xludf.DUMMYFUNCTION("""COMPUTED_VALUE"""),3)</f>
        <v>3</v>
      </c>
      <c r="E157" s="1">
        <f ca="1">IFERROR(__xludf.DUMMYFUNCTION("""COMPUTED_VALUE"""),0.897)</f>
        <v>0.89700000000000002</v>
      </c>
      <c r="F157" s="1">
        <f ca="1">IFERROR(__xludf.DUMMYFUNCTION("""COMPUTED_VALUE"""),25.46)</f>
        <v>25.46</v>
      </c>
      <c r="G157" s="1">
        <f ca="1">IFERROR(__xludf.DUMMYFUNCTION("""COMPUTED_VALUE"""),11.64)</f>
        <v>11.64</v>
      </c>
      <c r="H157" s="1">
        <f ca="1">IFERROR(__xludf.DUMMYFUNCTION("""COMPUTED_VALUE"""),15)</f>
        <v>15</v>
      </c>
      <c r="I157" s="1">
        <f ca="1">IFERROR(__xludf.DUMMYFUNCTION("""COMPUTED_VALUE"""),1)</f>
        <v>1</v>
      </c>
      <c r="J157" s="1">
        <f ca="1">IFERROR(__xludf.DUMMYFUNCTION("""COMPUTED_VALUE"""),13)</f>
        <v>13</v>
      </c>
      <c r="K157" s="1">
        <f ca="1">IFERROR(__xludf.DUMMYFUNCTION("""COMPUTED_VALUE"""),1)</f>
        <v>1</v>
      </c>
      <c r="L157" s="1">
        <f ca="1">IFERROR(__xludf.DUMMYFUNCTION("""COMPUTED_VALUE"""),10)</f>
        <v>10</v>
      </c>
      <c r="M157" s="1">
        <f ca="1">IFERROR(__xludf.DUMMYFUNCTION("""COMPUTED_VALUE"""),1)</f>
        <v>1</v>
      </c>
      <c r="N157" s="1">
        <f ca="1">IFERROR(__xludf.DUMMYFUNCTION("""COMPUTED_VALUE"""),2171)</f>
        <v>2171</v>
      </c>
      <c r="O157" s="1">
        <f ca="1">IFERROR(__xludf.DUMMYFUNCTION("""COMPUTED_VALUE"""),1754)</f>
        <v>1754</v>
      </c>
      <c r="P157" s="1">
        <f ca="1">IFERROR(__xludf.DUMMYFUNCTION("""COMPUTED_VALUE"""),1165)</f>
        <v>1165</v>
      </c>
      <c r="Q157" s="1">
        <f ca="1">IFERROR(__xludf.DUMMYFUNCTION("""COMPUTED_VALUE"""),797)</f>
        <v>797</v>
      </c>
      <c r="R157" s="1">
        <f ca="1">IFERROR(__xludf.DUMMYFUNCTION("""COMPUTED_VALUE"""),1643)</f>
        <v>1643</v>
      </c>
      <c r="S157" s="1">
        <f ca="1">IFERROR(__xludf.DUMMYFUNCTION("""COMPUTED_VALUE"""),0.485)</f>
        <v>0.48499999999999999</v>
      </c>
      <c r="T157" s="1">
        <f ca="1">IFERROR(__xludf.DUMMYFUNCTION("""COMPUTED_VALUE"""),192)</f>
        <v>192</v>
      </c>
      <c r="U157" s="1">
        <f ca="1">IFERROR(__xludf.DUMMYFUNCTION("""COMPUTED_VALUE"""),549)</f>
        <v>549</v>
      </c>
      <c r="V157" s="1">
        <f ca="1">IFERROR(__xludf.DUMMYFUNCTION("""COMPUTED_VALUE"""),0.35)</f>
        <v>0.35</v>
      </c>
      <c r="W157" s="1">
        <f ca="1">IFERROR(__xludf.DUMMYFUNCTION("""COMPUTED_VALUE"""),385)</f>
        <v>385</v>
      </c>
      <c r="X157" s="1">
        <f ca="1">IFERROR(__xludf.DUMMYFUNCTION("""COMPUTED_VALUE"""),573)</f>
        <v>573</v>
      </c>
      <c r="Y157" s="1">
        <f ca="1">IFERROR(__xludf.DUMMYFUNCTION("""COMPUTED_VALUE"""),0.672)</f>
        <v>0.67200000000000004</v>
      </c>
      <c r="Z157" s="1">
        <f ca="1">IFERROR(__xludf.DUMMYFUNCTION("""COMPUTED_VALUE"""),305)</f>
        <v>305</v>
      </c>
      <c r="AA157" s="1">
        <f ca="1">IFERROR(__xludf.DUMMYFUNCTION("""COMPUTED_VALUE"""),1114)</f>
        <v>1114</v>
      </c>
      <c r="AB157" s="1">
        <f ca="1">IFERROR(__xludf.DUMMYFUNCTION("""COMPUTED_VALUE"""),411)</f>
        <v>411</v>
      </c>
      <c r="AC157" s="1">
        <f ca="1">IFERROR(__xludf.DUMMYFUNCTION("""COMPUTED_VALUE"""),224)</f>
        <v>224</v>
      </c>
      <c r="AD157" s="1">
        <f ca="1">IFERROR(__xludf.DUMMYFUNCTION("""COMPUTED_VALUE"""),139)</f>
        <v>139</v>
      </c>
      <c r="AE157" s="1">
        <f ca="1">IFERROR(__xludf.DUMMYFUNCTION("""COMPUTED_VALUE"""),372)</f>
        <v>372</v>
      </c>
      <c r="AF157" s="1">
        <f ca="1">IFERROR(__xludf.DUMMYFUNCTION("""COMPUTED_VALUE"""),427)</f>
        <v>427</v>
      </c>
    </row>
    <row r="158" spans="1:32" x14ac:dyDescent="0.25">
      <c r="A158" s="1" t="str">
        <f ca="1">IFERROR(__xludf.DUMMYFUNCTION("""COMPUTED_VALUE"""),"Kennesaw State")</f>
        <v>Kennesaw State</v>
      </c>
      <c r="B158" s="1">
        <f ca="1">IFERROR(__xludf.DUMMYFUNCTION("""COMPUTED_VALUE"""),29)</f>
        <v>29</v>
      </c>
      <c r="C158" s="1">
        <f ca="1">IFERROR(__xludf.DUMMYFUNCTION("""COMPUTED_VALUE"""),1)</f>
        <v>1</v>
      </c>
      <c r="D158" s="1">
        <f ca="1">IFERROR(__xludf.DUMMYFUNCTION("""COMPUTED_VALUE"""),28)</f>
        <v>28</v>
      </c>
      <c r="E158" s="1">
        <f ca="1">IFERROR(__xludf.DUMMYFUNCTION("""COMPUTED_VALUE"""),0.034)</f>
        <v>3.4000000000000002E-2</v>
      </c>
      <c r="F158" s="1">
        <f ca="1">IFERROR(__xludf.DUMMYFUNCTION("""COMPUTED_VALUE"""),-22.64)</f>
        <v>-22.64</v>
      </c>
      <c r="G158" s="1">
        <f ca="1">IFERROR(__xludf.DUMMYFUNCTION("""COMPUTED_VALUE"""),-2.67)</f>
        <v>-2.67</v>
      </c>
      <c r="H158" s="1">
        <f ca="1">IFERROR(__xludf.DUMMYFUNCTION("""COMPUTED_VALUE"""),0)</f>
        <v>0</v>
      </c>
      <c r="I158" s="1">
        <f ca="1">IFERROR(__xludf.DUMMYFUNCTION("""COMPUTED_VALUE"""),16)</f>
        <v>16</v>
      </c>
      <c r="J158" s="1">
        <f ca="1">IFERROR(__xludf.DUMMYFUNCTION("""COMPUTED_VALUE"""),1)</f>
        <v>1</v>
      </c>
      <c r="K158" s="1">
        <f ca="1">IFERROR(__xludf.DUMMYFUNCTION("""COMPUTED_VALUE"""),10)</f>
        <v>10</v>
      </c>
      <c r="L158" s="1">
        <f ca="1">IFERROR(__xludf.DUMMYFUNCTION("""COMPUTED_VALUE"""),0)</f>
        <v>0</v>
      </c>
      <c r="M158" s="1">
        <f ca="1">IFERROR(__xludf.DUMMYFUNCTION("""COMPUTED_VALUE"""),16)</f>
        <v>16</v>
      </c>
      <c r="N158" s="1">
        <f ca="1">IFERROR(__xludf.DUMMYFUNCTION("""COMPUTED_VALUE"""),1602)</f>
        <v>1602</v>
      </c>
      <c r="O158" s="1">
        <f ca="1">IFERROR(__xludf.DUMMYFUNCTION("""COMPUTED_VALUE"""),2181)</f>
        <v>2181</v>
      </c>
      <c r="P158" s="1">
        <f ca="1">IFERROR(__xludf.DUMMYFUNCTION("""COMPUTED_VALUE"""),1160)</f>
        <v>1160</v>
      </c>
      <c r="Q158" s="1">
        <f ca="1">IFERROR(__xludf.DUMMYFUNCTION("""COMPUTED_VALUE"""),560)</f>
        <v>560</v>
      </c>
      <c r="R158" s="1">
        <f ca="1">IFERROR(__xludf.DUMMYFUNCTION("""COMPUTED_VALUE"""),1580)</f>
        <v>1580</v>
      </c>
      <c r="S158" s="1">
        <f ca="1">IFERROR(__xludf.DUMMYFUNCTION("""COMPUTED_VALUE"""),0.354)</f>
        <v>0.35399999999999998</v>
      </c>
      <c r="T158" s="1">
        <f ca="1">IFERROR(__xludf.DUMMYFUNCTION("""COMPUTED_VALUE"""),121)</f>
        <v>121</v>
      </c>
      <c r="U158" s="1">
        <f ca="1">IFERROR(__xludf.DUMMYFUNCTION("""COMPUTED_VALUE"""),488)</f>
        <v>488</v>
      </c>
      <c r="V158" s="1">
        <f ca="1">IFERROR(__xludf.DUMMYFUNCTION("""COMPUTED_VALUE"""),0.248)</f>
        <v>0.248</v>
      </c>
      <c r="W158" s="1">
        <f ca="1">IFERROR(__xludf.DUMMYFUNCTION("""COMPUTED_VALUE"""),361)</f>
        <v>361</v>
      </c>
      <c r="X158" s="1">
        <f ca="1">IFERROR(__xludf.DUMMYFUNCTION("""COMPUTED_VALUE"""),513)</f>
        <v>513</v>
      </c>
      <c r="Y158" s="1">
        <f ca="1">IFERROR(__xludf.DUMMYFUNCTION("""COMPUTED_VALUE"""),0.704)</f>
        <v>0.70399999999999996</v>
      </c>
      <c r="Z158" s="1">
        <f ca="1">IFERROR(__xludf.DUMMYFUNCTION("""COMPUTED_VALUE"""),280)</f>
        <v>280</v>
      </c>
      <c r="AA158" s="1">
        <f ca="1">IFERROR(__xludf.DUMMYFUNCTION("""COMPUTED_VALUE"""),932)</f>
        <v>932</v>
      </c>
      <c r="AB158" s="1">
        <f ca="1">IFERROR(__xludf.DUMMYFUNCTION("""COMPUTED_VALUE"""),235)</f>
        <v>235</v>
      </c>
      <c r="AC158" s="1">
        <f ca="1">IFERROR(__xludf.DUMMYFUNCTION("""COMPUTED_VALUE"""),146)</f>
        <v>146</v>
      </c>
      <c r="AD158" s="1">
        <f ca="1">IFERROR(__xludf.DUMMYFUNCTION("""COMPUTED_VALUE"""),57)</f>
        <v>57</v>
      </c>
      <c r="AE158" s="1">
        <f ca="1">IFERROR(__xludf.DUMMYFUNCTION("""COMPUTED_VALUE"""),427)</f>
        <v>427</v>
      </c>
      <c r="AF158" s="1">
        <f ca="1">IFERROR(__xludf.DUMMYFUNCTION("""COMPUTED_VALUE"""),489)</f>
        <v>489</v>
      </c>
    </row>
    <row r="159" spans="1:32" x14ac:dyDescent="0.25">
      <c r="A159" s="1" t="str">
        <f ca="1">IFERROR(__xludf.DUMMYFUNCTION("""COMPUTED_VALUE"""),"Kent State")</f>
        <v>Kent State</v>
      </c>
      <c r="B159" s="1">
        <f ca="1">IFERROR(__xludf.DUMMYFUNCTION("""COMPUTED_VALUE"""),29)</f>
        <v>29</v>
      </c>
      <c r="C159" s="1">
        <f ca="1">IFERROR(__xludf.DUMMYFUNCTION("""COMPUTED_VALUE"""),18)</f>
        <v>18</v>
      </c>
      <c r="D159" s="1">
        <f ca="1">IFERROR(__xludf.DUMMYFUNCTION("""COMPUTED_VALUE"""),11)</f>
        <v>11</v>
      </c>
      <c r="E159" s="1">
        <f ca="1">IFERROR(__xludf.DUMMYFUNCTION("""COMPUTED_VALUE"""),0.621)</f>
        <v>0.621</v>
      </c>
      <c r="F159" s="1">
        <f ca="1">IFERROR(__xludf.DUMMYFUNCTION("""COMPUTED_VALUE"""),3.18)</f>
        <v>3.18</v>
      </c>
      <c r="G159" s="1">
        <f ca="1">IFERROR(__xludf.DUMMYFUNCTION("""COMPUTED_VALUE"""),-0.93)</f>
        <v>-0.93</v>
      </c>
      <c r="H159" s="1">
        <f ca="1">IFERROR(__xludf.DUMMYFUNCTION("""COMPUTED_VALUE"""),8)</f>
        <v>8</v>
      </c>
      <c r="I159" s="1">
        <f ca="1">IFERROR(__xludf.DUMMYFUNCTION("""COMPUTED_VALUE"""),8)</f>
        <v>8</v>
      </c>
      <c r="J159" s="1">
        <f ca="1">IFERROR(__xludf.DUMMYFUNCTION("""COMPUTED_VALUE"""),12)</f>
        <v>12</v>
      </c>
      <c r="K159" s="1">
        <f ca="1">IFERROR(__xludf.DUMMYFUNCTION("""COMPUTED_VALUE"""),3)</f>
        <v>3</v>
      </c>
      <c r="L159" s="1">
        <f ca="1">IFERROR(__xludf.DUMMYFUNCTION("""COMPUTED_VALUE"""),5)</f>
        <v>5</v>
      </c>
      <c r="M159" s="1">
        <f ca="1">IFERROR(__xludf.DUMMYFUNCTION("""COMPUTED_VALUE"""),6)</f>
        <v>6</v>
      </c>
      <c r="N159" s="1">
        <f ca="1">IFERROR(__xludf.DUMMYFUNCTION("""COMPUTED_VALUE"""),2197)</f>
        <v>2197</v>
      </c>
      <c r="O159" s="1">
        <f ca="1">IFERROR(__xludf.DUMMYFUNCTION("""COMPUTED_VALUE"""),2017)</f>
        <v>2017</v>
      </c>
      <c r="P159" s="1">
        <f ca="1">IFERROR(__xludf.DUMMYFUNCTION("""COMPUTED_VALUE"""),1180)</f>
        <v>1180</v>
      </c>
      <c r="Q159" s="1">
        <f ca="1">IFERROR(__xludf.DUMMYFUNCTION("""COMPUTED_VALUE"""),795)</f>
        <v>795</v>
      </c>
      <c r="R159" s="1">
        <f ca="1">IFERROR(__xludf.DUMMYFUNCTION("""COMPUTED_VALUE"""),1757)</f>
        <v>1757</v>
      </c>
      <c r="S159" s="1">
        <f ca="1">IFERROR(__xludf.DUMMYFUNCTION("""COMPUTED_VALUE"""),0.452)</f>
        <v>0.45200000000000001</v>
      </c>
      <c r="T159" s="1">
        <f ca="1">IFERROR(__xludf.DUMMYFUNCTION("""COMPUTED_VALUE"""),248)</f>
        <v>248</v>
      </c>
      <c r="U159" s="1">
        <f ca="1">IFERROR(__xludf.DUMMYFUNCTION("""COMPUTED_VALUE"""),723)</f>
        <v>723</v>
      </c>
      <c r="V159" s="1">
        <f ca="1">IFERROR(__xludf.DUMMYFUNCTION("""COMPUTED_VALUE"""),0.343)</f>
        <v>0.34300000000000003</v>
      </c>
      <c r="W159" s="1">
        <f ca="1">IFERROR(__xludf.DUMMYFUNCTION("""COMPUTED_VALUE"""),359)</f>
        <v>359</v>
      </c>
      <c r="X159" s="1">
        <f ca="1">IFERROR(__xludf.DUMMYFUNCTION("""COMPUTED_VALUE"""),495)</f>
        <v>495</v>
      </c>
      <c r="Y159" s="1">
        <f ca="1">IFERROR(__xludf.DUMMYFUNCTION("""COMPUTED_VALUE"""),0.725)</f>
        <v>0.72499999999999998</v>
      </c>
      <c r="Z159" s="1">
        <f ca="1">IFERROR(__xludf.DUMMYFUNCTION("""COMPUTED_VALUE"""),308)</f>
        <v>308</v>
      </c>
      <c r="AA159" s="1">
        <f ca="1">IFERROR(__xludf.DUMMYFUNCTION("""COMPUTED_VALUE"""),1038)</f>
        <v>1038</v>
      </c>
      <c r="AB159" s="1">
        <f ca="1">IFERROR(__xludf.DUMMYFUNCTION("""COMPUTED_VALUE"""),400)</f>
        <v>400</v>
      </c>
      <c r="AC159" s="1">
        <f ca="1">IFERROR(__xludf.DUMMYFUNCTION("""COMPUTED_VALUE"""),202)</f>
        <v>202</v>
      </c>
      <c r="AD159" s="1">
        <f ca="1">IFERROR(__xludf.DUMMYFUNCTION("""COMPUTED_VALUE"""),122)</f>
        <v>122</v>
      </c>
      <c r="AE159" s="1">
        <f ca="1">IFERROR(__xludf.DUMMYFUNCTION("""COMPUTED_VALUE"""),369)</f>
        <v>369</v>
      </c>
      <c r="AF159" s="1">
        <f ca="1">IFERROR(__xludf.DUMMYFUNCTION("""COMPUTED_VALUE"""),536)</f>
        <v>536</v>
      </c>
    </row>
    <row r="160" spans="1:32" x14ac:dyDescent="0.25">
      <c r="A160" s="1" t="str">
        <f ca="1">IFERROR(__xludf.DUMMYFUNCTION("""COMPUTED_VALUE"""),"Kentucky")</f>
        <v>Kentucky</v>
      </c>
      <c r="B160" s="1">
        <f ca="1">IFERROR(__xludf.DUMMYFUNCTION("""COMPUTED_VALUE"""),29)</f>
        <v>29</v>
      </c>
      <c r="C160" s="1">
        <f ca="1">IFERROR(__xludf.DUMMYFUNCTION("""COMPUTED_VALUE"""),24)</f>
        <v>24</v>
      </c>
      <c r="D160" s="1">
        <f ca="1">IFERROR(__xludf.DUMMYFUNCTION("""COMPUTED_VALUE"""),5)</f>
        <v>5</v>
      </c>
      <c r="E160" s="1">
        <f ca="1">IFERROR(__xludf.DUMMYFUNCTION("""COMPUTED_VALUE"""),0.828)</f>
        <v>0.82799999999999996</v>
      </c>
      <c r="F160" s="1">
        <f ca="1">IFERROR(__xludf.DUMMYFUNCTION("""COMPUTED_VALUE"""),16.13)</f>
        <v>16.13</v>
      </c>
      <c r="G160" s="1">
        <f ca="1">IFERROR(__xludf.DUMMYFUNCTION("""COMPUTED_VALUE"""),6.99)</f>
        <v>6.99</v>
      </c>
      <c r="H160" s="1">
        <f ca="1">IFERROR(__xludf.DUMMYFUNCTION("""COMPUTED_VALUE"""),14)</f>
        <v>14</v>
      </c>
      <c r="I160" s="1">
        <f ca="1">IFERROR(__xludf.DUMMYFUNCTION("""COMPUTED_VALUE"""),2)</f>
        <v>2</v>
      </c>
      <c r="J160" s="1">
        <f ca="1">IFERROR(__xludf.DUMMYFUNCTION("""COMPUTED_VALUE"""),16)</f>
        <v>16</v>
      </c>
      <c r="K160" s="1">
        <f ca="1">IFERROR(__xludf.DUMMYFUNCTION("""COMPUTED_VALUE"""),1)</f>
        <v>1</v>
      </c>
      <c r="L160" s="1">
        <f ca="1">IFERROR(__xludf.DUMMYFUNCTION("""COMPUTED_VALUE"""),7)</f>
        <v>7</v>
      </c>
      <c r="M160" s="1">
        <f ca="1">IFERROR(__xludf.DUMMYFUNCTION("""COMPUTED_VALUE"""),2)</f>
        <v>2</v>
      </c>
      <c r="N160" s="1">
        <f ca="1">IFERROR(__xludf.DUMMYFUNCTION("""COMPUTED_VALUE"""),2163)</f>
        <v>2163</v>
      </c>
      <c r="O160" s="1">
        <f ca="1">IFERROR(__xludf.DUMMYFUNCTION("""COMPUTED_VALUE"""),1898)</f>
        <v>1898</v>
      </c>
      <c r="P160" s="1">
        <f ca="1">IFERROR(__xludf.DUMMYFUNCTION("""COMPUTED_VALUE"""),1170)</f>
        <v>1170</v>
      </c>
      <c r="Q160" s="1">
        <f ca="1">IFERROR(__xludf.DUMMYFUNCTION("""COMPUTED_VALUE"""),743)</f>
        <v>743</v>
      </c>
      <c r="R160" s="1">
        <f ca="1">IFERROR(__xludf.DUMMYFUNCTION("""COMPUTED_VALUE"""),1610)</f>
        <v>1610</v>
      </c>
      <c r="S160" s="1">
        <f ca="1">IFERROR(__xludf.DUMMYFUNCTION("""COMPUTED_VALUE"""),0.461)</f>
        <v>0.46100000000000002</v>
      </c>
      <c r="T160" s="1">
        <f ca="1">IFERROR(__xludf.DUMMYFUNCTION("""COMPUTED_VALUE"""),143)</f>
        <v>143</v>
      </c>
      <c r="U160" s="1">
        <f ca="1">IFERROR(__xludf.DUMMYFUNCTION("""COMPUTED_VALUE"""),432)</f>
        <v>432</v>
      </c>
      <c r="V160" s="1">
        <f ca="1">IFERROR(__xludf.DUMMYFUNCTION("""COMPUTED_VALUE"""),0.331)</f>
        <v>0.33100000000000002</v>
      </c>
      <c r="W160" s="1">
        <f ca="1">IFERROR(__xludf.DUMMYFUNCTION("""COMPUTED_VALUE"""),534)</f>
        <v>534</v>
      </c>
      <c r="X160" s="1">
        <f ca="1">IFERROR(__xludf.DUMMYFUNCTION("""COMPUTED_VALUE"""),672)</f>
        <v>672</v>
      </c>
      <c r="Y160" s="1">
        <f ca="1">IFERROR(__xludf.DUMMYFUNCTION("""COMPUTED_VALUE"""),0.795)</f>
        <v>0.79500000000000004</v>
      </c>
      <c r="Z160" s="1">
        <f ca="1">IFERROR(__xludf.DUMMYFUNCTION("""COMPUTED_VALUE"""),276)</f>
        <v>276</v>
      </c>
      <c r="AA160" s="1">
        <f ca="1">IFERROR(__xludf.DUMMYFUNCTION("""COMPUTED_VALUE"""),1080)</f>
        <v>1080</v>
      </c>
      <c r="AB160" s="1">
        <f ca="1">IFERROR(__xludf.DUMMYFUNCTION("""COMPUTED_VALUE"""),397)</f>
        <v>397</v>
      </c>
      <c r="AC160" s="1">
        <f ca="1">IFERROR(__xludf.DUMMYFUNCTION("""COMPUTED_VALUE"""),152)</f>
        <v>152</v>
      </c>
      <c r="AD160" s="1">
        <f ca="1">IFERROR(__xludf.DUMMYFUNCTION("""COMPUTED_VALUE"""),149)</f>
        <v>149</v>
      </c>
      <c r="AE160" s="1">
        <f ca="1">IFERROR(__xludf.DUMMYFUNCTION("""COMPUTED_VALUE"""),364)</f>
        <v>364</v>
      </c>
      <c r="AF160" s="1">
        <f ca="1">IFERROR(__xludf.DUMMYFUNCTION("""COMPUTED_VALUE"""),532)</f>
        <v>532</v>
      </c>
    </row>
    <row r="161" spans="1:32" x14ac:dyDescent="0.25">
      <c r="A161" s="1" t="str">
        <f ca="1">IFERROR(__xludf.DUMMYFUNCTION("""COMPUTED_VALUE"""),"La Salle")</f>
        <v>La Salle</v>
      </c>
      <c r="B161" s="1">
        <f ca="1">IFERROR(__xludf.DUMMYFUNCTION("""COMPUTED_VALUE"""),28)</f>
        <v>28</v>
      </c>
      <c r="C161" s="1">
        <f ca="1">IFERROR(__xludf.DUMMYFUNCTION("""COMPUTED_VALUE"""),14)</f>
        <v>14</v>
      </c>
      <c r="D161" s="1">
        <f ca="1">IFERROR(__xludf.DUMMYFUNCTION("""COMPUTED_VALUE"""),14)</f>
        <v>14</v>
      </c>
      <c r="E161" s="1">
        <f ca="1">IFERROR(__xludf.DUMMYFUNCTION("""COMPUTED_VALUE"""),0.5)</f>
        <v>0.5</v>
      </c>
      <c r="F161" s="1">
        <f ca="1">IFERROR(__xludf.DUMMYFUNCTION("""COMPUTED_VALUE"""),0.22)</f>
        <v>0.22</v>
      </c>
      <c r="G161" s="1">
        <f ca="1">IFERROR(__xludf.DUMMYFUNCTION("""COMPUTED_VALUE"""),1.94)</f>
        <v>1.94</v>
      </c>
      <c r="H161" s="1">
        <f ca="1">IFERROR(__xludf.DUMMYFUNCTION("""COMPUTED_VALUE"""),5)</f>
        <v>5</v>
      </c>
      <c r="I161" s="1">
        <f ca="1">IFERROR(__xludf.DUMMYFUNCTION("""COMPUTED_VALUE"""),11)</f>
        <v>11</v>
      </c>
      <c r="J161" s="1">
        <f ca="1">IFERROR(__xludf.DUMMYFUNCTION("""COMPUTED_VALUE"""),8)</f>
        <v>8</v>
      </c>
      <c r="K161" s="1">
        <f ca="1">IFERROR(__xludf.DUMMYFUNCTION("""COMPUTED_VALUE"""),6)</f>
        <v>6</v>
      </c>
      <c r="L161" s="1">
        <f ca="1">IFERROR(__xludf.DUMMYFUNCTION("""COMPUTED_VALUE"""),3)</f>
        <v>3</v>
      </c>
      <c r="M161" s="1">
        <f ca="1">IFERROR(__xludf.DUMMYFUNCTION("""COMPUTED_VALUE"""),8)</f>
        <v>8</v>
      </c>
      <c r="N161" s="1">
        <f ca="1">IFERROR(__xludf.DUMMYFUNCTION("""COMPUTED_VALUE"""),1898)</f>
        <v>1898</v>
      </c>
      <c r="O161" s="1">
        <f ca="1">IFERROR(__xludf.DUMMYFUNCTION("""COMPUTED_VALUE"""),1946)</f>
        <v>1946</v>
      </c>
      <c r="P161" s="1">
        <f ca="1">IFERROR(__xludf.DUMMYFUNCTION("""COMPUTED_VALUE"""),1135)</f>
        <v>1135</v>
      </c>
      <c r="Q161" s="1">
        <f ca="1">IFERROR(__xludf.DUMMYFUNCTION("""COMPUTED_VALUE"""),659)</f>
        <v>659</v>
      </c>
      <c r="R161" s="1">
        <f ca="1">IFERROR(__xludf.DUMMYFUNCTION("""COMPUTED_VALUE"""),1597)</f>
        <v>1597</v>
      </c>
      <c r="S161" s="1">
        <f ca="1">IFERROR(__xludf.DUMMYFUNCTION("""COMPUTED_VALUE"""),0.413)</f>
        <v>0.41299999999999998</v>
      </c>
      <c r="T161" s="1">
        <f ca="1">IFERROR(__xludf.DUMMYFUNCTION("""COMPUTED_VALUE"""),229)</f>
        <v>229</v>
      </c>
      <c r="U161" s="1">
        <f ca="1">IFERROR(__xludf.DUMMYFUNCTION("""COMPUTED_VALUE"""),677)</f>
        <v>677</v>
      </c>
      <c r="V161" s="1">
        <f ca="1">IFERROR(__xludf.DUMMYFUNCTION("""COMPUTED_VALUE"""),0.338)</f>
        <v>0.33800000000000002</v>
      </c>
      <c r="W161" s="1">
        <f ca="1">IFERROR(__xludf.DUMMYFUNCTION("""COMPUTED_VALUE"""),351)</f>
        <v>351</v>
      </c>
      <c r="X161" s="1">
        <f ca="1">IFERROR(__xludf.DUMMYFUNCTION("""COMPUTED_VALUE"""),530)</f>
        <v>530</v>
      </c>
      <c r="Y161" s="1">
        <f ca="1">IFERROR(__xludf.DUMMYFUNCTION("""COMPUTED_VALUE"""),0.662)</f>
        <v>0.66200000000000003</v>
      </c>
      <c r="Z161" s="1">
        <f ca="1">IFERROR(__xludf.DUMMYFUNCTION("""COMPUTED_VALUE"""),283)</f>
        <v>283</v>
      </c>
      <c r="AA161" s="1">
        <f ca="1">IFERROR(__xludf.DUMMYFUNCTION("""COMPUTED_VALUE"""),975)</f>
        <v>975</v>
      </c>
      <c r="AB161" s="1">
        <f ca="1">IFERROR(__xludf.DUMMYFUNCTION("""COMPUTED_VALUE"""),363)</f>
        <v>363</v>
      </c>
      <c r="AC161" s="1">
        <f ca="1">IFERROR(__xludf.DUMMYFUNCTION("""COMPUTED_VALUE"""),223)</f>
        <v>223</v>
      </c>
      <c r="AD161" s="1">
        <f ca="1">IFERROR(__xludf.DUMMYFUNCTION("""COMPUTED_VALUE"""),90)</f>
        <v>90</v>
      </c>
      <c r="AE161" s="1">
        <f ca="1">IFERROR(__xludf.DUMMYFUNCTION("""COMPUTED_VALUE"""),418)</f>
        <v>418</v>
      </c>
      <c r="AF161" s="1">
        <f ca="1">IFERROR(__xludf.DUMMYFUNCTION("""COMPUTED_VALUE"""),552)</f>
        <v>552</v>
      </c>
    </row>
    <row r="162" spans="1:32" x14ac:dyDescent="0.25">
      <c r="A162" s="1" t="str">
        <f ca="1">IFERROR(__xludf.DUMMYFUNCTION("""COMPUTED_VALUE"""),"Lafayette")</f>
        <v>Lafayette</v>
      </c>
      <c r="B162" s="1">
        <f ca="1">IFERROR(__xludf.DUMMYFUNCTION("""COMPUTED_VALUE"""),29)</f>
        <v>29</v>
      </c>
      <c r="C162" s="1">
        <f ca="1">IFERROR(__xludf.DUMMYFUNCTION("""COMPUTED_VALUE"""),18)</f>
        <v>18</v>
      </c>
      <c r="D162" s="1">
        <f ca="1">IFERROR(__xludf.DUMMYFUNCTION("""COMPUTED_VALUE"""),11)</f>
        <v>11</v>
      </c>
      <c r="E162" s="1">
        <f ca="1">IFERROR(__xludf.DUMMYFUNCTION("""COMPUTED_VALUE"""),0.621)</f>
        <v>0.621</v>
      </c>
      <c r="F162" s="1">
        <f ca="1">IFERROR(__xludf.DUMMYFUNCTION("""COMPUTED_VALUE"""),-5.32)</f>
        <v>-5.32</v>
      </c>
      <c r="G162" s="1">
        <f ca="1">IFERROR(__xludf.DUMMYFUNCTION("""COMPUTED_VALUE"""),-6.07)</f>
        <v>-6.07</v>
      </c>
      <c r="H162" s="1">
        <f ca="1">IFERROR(__xludf.DUMMYFUNCTION("""COMPUTED_VALUE"""),10)</f>
        <v>10</v>
      </c>
      <c r="I162" s="1">
        <f ca="1">IFERROR(__xludf.DUMMYFUNCTION("""COMPUTED_VALUE"""),8)</f>
        <v>8</v>
      </c>
      <c r="J162" s="1">
        <f ca="1">IFERROR(__xludf.DUMMYFUNCTION("""COMPUTED_VALUE"""),9)</f>
        <v>9</v>
      </c>
      <c r="K162" s="1">
        <f ca="1">IFERROR(__xludf.DUMMYFUNCTION("""COMPUTED_VALUE"""),5)</f>
        <v>5</v>
      </c>
      <c r="L162" s="1">
        <f ca="1">IFERROR(__xludf.DUMMYFUNCTION("""COMPUTED_VALUE"""),9)</f>
        <v>9</v>
      </c>
      <c r="M162" s="1">
        <f ca="1">IFERROR(__xludf.DUMMYFUNCTION("""COMPUTED_VALUE"""),6)</f>
        <v>6</v>
      </c>
      <c r="N162" s="1">
        <f ca="1">IFERROR(__xludf.DUMMYFUNCTION("""COMPUTED_VALUE"""),2037)</f>
        <v>2037</v>
      </c>
      <c r="O162" s="1">
        <f ca="1">IFERROR(__xludf.DUMMYFUNCTION("""COMPUTED_VALUE"""),1976)</f>
        <v>1976</v>
      </c>
      <c r="P162" s="1">
        <f ca="1">IFERROR(__xludf.DUMMYFUNCTION("""COMPUTED_VALUE"""),1160)</f>
        <v>1160</v>
      </c>
      <c r="Q162" s="1">
        <f ca="1">IFERROR(__xludf.DUMMYFUNCTION("""COMPUTED_VALUE"""),748)</f>
        <v>748</v>
      </c>
      <c r="R162" s="1">
        <f ca="1">IFERROR(__xludf.DUMMYFUNCTION("""COMPUTED_VALUE"""),1646)</f>
        <v>1646</v>
      </c>
      <c r="S162" s="1">
        <f ca="1">IFERROR(__xludf.DUMMYFUNCTION("""COMPUTED_VALUE"""),0.454)</f>
        <v>0.45400000000000001</v>
      </c>
      <c r="T162" s="1">
        <f ca="1">IFERROR(__xludf.DUMMYFUNCTION("""COMPUTED_VALUE"""),254)</f>
        <v>254</v>
      </c>
      <c r="U162" s="1">
        <f ca="1">IFERROR(__xludf.DUMMYFUNCTION("""COMPUTED_VALUE"""),737)</f>
        <v>737</v>
      </c>
      <c r="V162" s="1">
        <f ca="1">IFERROR(__xludf.DUMMYFUNCTION("""COMPUTED_VALUE"""),0.345)</f>
        <v>0.34499999999999997</v>
      </c>
      <c r="W162" s="1">
        <f ca="1">IFERROR(__xludf.DUMMYFUNCTION("""COMPUTED_VALUE"""),287)</f>
        <v>287</v>
      </c>
      <c r="X162" s="1">
        <f ca="1">IFERROR(__xludf.DUMMYFUNCTION("""COMPUTED_VALUE"""),391)</f>
        <v>391</v>
      </c>
      <c r="Y162" s="1">
        <f ca="1">IFERROR(__xludf.DUMMYFUNCTION("""COMPUTED_VALUE"""),0.734)</f>
        <v>0.73399999999999999</v>
      </c>
      <c r="Z162" s="1">
        <f ca="1">IFERROR(__xludf.DUMMYFUNCTION("""COMPUTED_VALUE"""),219)</f>
        <v>219</v>
      </c>
      <c r="AA162" s="1">
        <f ca="1">IFERROR(__xludf.DUMMYFUNCTION("""COMPUTED_VALUE"""),1008)</f>
        <v>1008</v>
      </c>
      <c r="AB162" s="1">
        <f ca="1">IFERROR(__xludf.DUMMYFUNCTION("""COMPUTED_VALUE"""),445)</f>
        <v>445</v>
      </c>
      <c r="AC162" s="1">
        <f ca="1">IFERROR(__xludf.DUMMYFUNCTION("""COMPUTED_VALUE"""),138)</f>
        <v>138</v>
      </c>
      <c r="AD162" s="1">
        <f ca="1">IFERROR(__xludf.DUMMYFUNCTION("""COMPUTED_VALUE"""),127)</f>
        <v>127</v>
      </c>
      <c r="AE162" s="1">
        <f ca="1">IFERROR(__xludf.DUMMYFUNCTION("""COMPUTED_VALUE"""),356)</f>
        <v>356</v>
      </c>
      <c r="AF162" s="1">
        <f ca="1">IFERROR(__xludf.DUMMYFUNCTION("""COMPUTED_VALUE"""),417)</f>
        <v>417</v>
      </c>
    </row>
    <row r="163" spans="1:32" x14ac:dyDescent="0.25">
      <c r="A163" s="1" t="str">
        <f ca="1">IFERROR(__xludf.DUMMYFUNCTION("""COMPUTED_VALUE"""),"Lamar")</f>
        <v>Lamar</v>
      </c>
      <c r="B163" s="1">
        <f ca="1">IFERROR(__xludf.DUMMYFUNCTION("""COMPUTED_VALUE"""),30)</f>
        <v>30</v>
      </c>
      <c r="C163" s="1">
        <f ca="1">IFERROR(__xludf.DUMMYFUNCTION("""COMPUTED_VALUE"""),16)</f>
        <v>16</v>
      </c>
      <c r="D163" s="1">
        <f ca="1">IFERROR(__xludf.DUMMYFUNCTION("""COMPUTED_VALUE"""),14)</f>
        <v>14</v>
      </c>
      <c r="E163" s="1">
        <f ca="1">IFERROR(__xludf.DUMMYFUNCTION("""COMPUTED_VALUE"""),0.533)</f>
        <v>0.53300000000000003</v>
      </c>
      <c r="F163" s="1">
        <f ca="1">IFERROR(__xludf.DUMMYFUNCTION("""COMPUTED_VALUE"""),-7.71)</f>
        <v>-7.71</v>
      </c>
      <c r="G163" s="1">
        <f ca="1">IFERROR(__xludf.DUMMYFUNCTION("""COMPUTED_VALUE"""),-6.23)</f>
        <v>-6.23</v>
      </c>
      <c r="H163" s="1">
        <f ca="1">IFERROR(__xludf.DUMMYFUNCTION("""COMPUTED_VALUE"""),10)</f>
        <v>10</v>
      </c>
      <c r="I163" s="1">
        <f ca="1">IFERROR(__xludf.DUMMYFUNCTION("""COMPUTED_VALUE"""),9)</f>
        <v>9</v>
      </c>
      <c r="J163" s="1">
        <f ca="1">IFERROR(__xludf.DUMMYFUNCTION("""COMPUTED_VALUE"""),10)</f>
        <v>10</v>
      </c>
      <c r="K163" s="1">
        <f ca="1">IFERROR(__xludf.DUMMYFUNCTION("""COMPUTED_VALUE"""),4)</f>
        <v>4</v>
      </c>
      <c r="L163" s="1">
        <f ca="1">IFERROR(__xludf.DUMMYFUNCTION("""COMPUTED_VALUE"""),6)</f>
        <v>6</v>
      </c>
      <c r="M163" s="1">
        <f ca="1">IFERROR(__xludf.DUMMYFUNCTION("""COMPUTED_VALUE"""),10)</f>
        <v>10</v>
      </c>
      <c r="N163" s="1">
        <f ca="1">IFERROR(__xludf.DUMMYFUNCTION("""COMPUTED_VALUE"""),2166)</f>
        <v>2166</v>
      </c>
      <c r="O163" s="1">
        <f ca="1">IFERROR(__xludf.DUMMYFUNCTION("""COMPUTED_VALUE"""),2098)</f>
        <v>2098</v>
      </c>
      <c r="P163" s="1">
        <f ca="1">IFERROR(__xludf.DUMMYFUNCTION("""COMPUTED_VALUE"""),1210)</f>
        <v>1210</v>
      </c>
      <c r="Q163" s="1">
        <f ca="1">IFERROR(__xludf.DUMMYFUNCTION("""COMPUTED_VALUE"""),779)</f>
        <v>779</v>
      </c>
      <c r="R163" s="1">
        <f ca="1">IFERROR(__xludf.DUMMYFUNCTION("""COMPUTED_VALUE"""),1769)</f>
        <v>1769</v>
      </c>
      <c r="S163" s="1">
        <f ca="1">IFERROR(__xludf.DUMMYFUNCTION("""COMPUTED_VALUE"""),0.44)</f>
        <v>0.44</v>
      </c>
      <c r="T163" s="1">
        <f ca="1">IFERROR(__xludf.DUMMYFUNCTION("""COMPUTED_VALUE"""),177)</f>
        <v>177</v>
      </c>
      <c r="U163" s="1">
        <f ca="1">IFERROR(__xludf.DUMMYFUNCTION("""COMPUTED_VALUE"""),539)</f>
        <v>539</v>
      </c>
      <c r="V163" s="1">
        <f ca="1">IFERROR(__xludf.DUMMYFUNCTION("""COMPUTED_VALUE"""),0.328)</f>
        <v>0.32800000000000001</v>
      </c>
      <c r="W163" s="1">
        <f ca="1">IFERROR(__xludf.DUMMYFUNCTION("""COMPUTED_VALUE"""),431)</f>
        <v>431</v>
      </c>
      <c r="X163" s="1">
        <f ca="1">IFERROR(__xludf.DUMMYFUNCTION("""COMPUTED_VALUE"""),612)</f>
        <v>612</v>
      </c>
      <c r="Y163" s="1">
        <f ca="1">IFERROR(__xludf.DUMMYFUNCTION("""COMPUTED_VALUE"""),0.704)</f>
        <v>0.70399999999999996</v>
      </c>
      <c r="Z163" s="1">
        <f ca="1">IFERROR(__xludf.DUMMYFUNCTION("""COMPUTED_VALUE"""),328)</f>
        <v>328</v>
      </c>
      <c r="AA163" s="1">
        <f ca="1">IFERROR(__xludf.DUMMYFUNCTION("""COMPUTED_VALUE"""),1054)</f>
        <v>1054</v>
      </c>
      <c r="AB163" s="1">
        <f ca="1">IFERROR(__xludf.DUMMYFUNCTION("""COMPUTED_VALUE"""),403)</f>
        <v>403</v>
      </c>
      <c r="AC163" s="1">
        <f ca="1">IFERROR(__xludf.DUMMYFUNCTION("""COMPUTED_VALUE"""),268)</f>
        <v>268</v>
      </c>
      <c r="AD163" s="1">
        <f ca="1">IFERROR(__xludf.DUMMYFUNCTION("""COMPUTED_VALUE"""),136)</f>
        <v>136</v>
      </c>
      <c r="AE163" s="1">
        <f ca="1">IFERROR(__xludf.DUMMYFUNCTION("""COMPUTED_VALUE"""),452)</f>
        <v>452</v>
      </c>
      <c r="AF163" s="1">
        <f ca="1">IFERROR(__xludf.DUMMYFUNCTION("""COMPUTED_VALUE"""),503)</f>
        <v>503</v>
      </c>
    </row>
    <row r="164" spans="1:32" x14ac:dyDescent="0.25">
      <c r="A164" s="1" t="str">
        <f ca="1">IFERROR(__xludf.DUMMYFUNCTION("""COMPUTED_VALUE"""),"Lehigh")</f>
        <v>Lehigh</v>
      </c>
      <c r="B164" s="1">
        <f ca="1">IFERROR(__xludf.DUMMYFUNCTION("""COMPUTED_VALUE"""),30)</f>
        <v>30</v>
      </c>
      <c r="C164" s="1">
        <f ca="1">IFERROR(__xludf.DUMMYFUNCTION("""COMPUTED_VALUE"""),10)</f>
        <v>10</v>
      </c>
      <c r="D164" s="1">
        <f ca="1">IFERROR(__xludf.DUMMYFUNCTION("""COMPUTED_VALUE"""),20)</f>
        <v>20</v>
      </c>
      <c r="E164" s="1">
        <f ca="1">IFERROR(__xludf.DUMMYFUNCTION("""COMPUTED_VALUE"""),0.333)</f>
        <v>0.33300000000000002</v>
      </c>
      <c r="F164" s="1">
        <f ca="1">IFERROR(__xludf.DUMMYFUNCTION("""COMPUTED_VALUE"""),-10.98)</f>
        <v>-10.98</v>
      </c>
      <c r="G164" s="1">
        <f ca="1">IFERROR(__xludf.DUMMYFUNCTION("""COMPUTED_VALUE"""),-3.8)</f>
        <v>-3.8</v>
      </c>
      <c r="H164" s="1">
        <f ca="1">IFERROR(__xludf.DUMMYFUNCTION("""COMPUTED_VALUE"""),7)</f>
        <v>7</v>
      </c>
      <c r="I164" s="1">
        <f ca="1">IFERROR(__xludf.DUMMYFUNCTION("""COMPUTED_VALUE"""),11)</f>
        <v>11</v>
      </c>
      <c r="J164" s="1">
        <f ca="1">IFERROR(__xludf.DUMMYFUNCTION("""COMPUTED_VALUE"""),7)</f>
        <v>7</v>
      </c>
      <c r="K164" s="1">
        <f ca="1">IFERROR(__xludf.DUMMYFUNCTION("""COMPUTED_VALUE"""),6)</f>
        <v>6</v>
      </c>
      <c r="L164" s="1">
        <f ca="1">IFERROR(__xludf.DUMMYFUNCTION("""COMPUTED_VALUE"""),3)</f>
        <v>3</v>
      </c>
      <c r="M164" s="1">
        <f ca="1">IFERROR(__xludf.DUMMYFUNCTION("""COMPUTED_VALUE"""),14)</f>
        <v>14</v>
      </c>
      <c r="N164" s="1">
        <f ca="1">IFERROR(__xludf.DUMMYFUNCTION("""COMPUTED_VALUE"""),2036)</f>
        <v>2036</v>
      </c>
      <c r="O164" s="1">
        <f ca="1">IFERROR(__xludf.DUMMYFUNCTION("""COMPUTED_VALUE"""),2181)</f>
        <v>2181</v>
      </c>
      <c r="P164" s="1">
        <f ca="1">IFERROR(__xludf.DUMMYFUNCTION("""COMPUTED_VALUE"""),1210)</f>
        <v>1210</v>
      </c>
      <c r="Q164" s="1">
        <f ca="1">IFERROR(__xludf.DUMMYFUNCTION("""COMPUTED_VALUE"""),766)</f>
        <v>766</v>
      </c>
      <c r="R164" s="1">
        <f ca="1">IFERROR(__xludf.DUMMYFUNCTION("""COMPUTED_VALUE"""),1722)</f>
        <v>1722</v>
      </c>
      <c r="S164" s="1">
        <f ca="1">IFERROR(__xludf.DUMMYFUNCTION("""COMPUTED_VALUE"""),0.445)</f>
        <v>0.44500000000000001</v>
      </c>
      <c r="T164" s="1">
        <f ca="1">IFERROR(__xludf.DUMMYFUNCTION("""COMPUTED_VALUE"""),167)</f>
        <v>167</v>
      </c>
      <c r="U164" s="1">
        <f ca="1">IFERROR(__xludf.DUMMYFUNCTION("""COMPUTED_VALUE"""),501)</f>
        <v>501</v>
      </c>
      <c r="V164" s="1">
        <f ca="1">IFERROR(__xludf.DUMMYFUNCTION("""COMPUTED_VALUE"""),0.333)</f>
        <v>0.33300000000000002</v>
      </c>
      <c r="W164" s="1">
        <f ca="1">IFERROR(__xludf.DUMMYFUNCTION("""COMPUTED_VALUE"""),337)</f>
        <v>337</v>
      </c>
      <c r="X164" s="1">
        <f ca="1">IFERROR(__xludf.DUMMYFUNCTION("""COMPUTED_VALUE"""),461)</f>
        <v>461</v>
      </c>
      <c r="Y164" s="1">
        <f ca="1">IFERROR(__xludf.DUMMYFUNCTION("""COMPUTED_VALUE"""),0.731)</f>
        <v>0.73099999999999998</v>
      </c>
      <c r="Z164" s="1">
        <f ca="1">IFERROR(__xludf.DUMMYFUNCTION("""COMPUTED_VALUE"""),267)</f>
        <v>267</v>
      </c>
      <c r="AA164" s="1">
        <f ca="1">IFERROR(__xludf.DUMMYFUNCTION("""COMPUTED_VALUE"""),1052)</f>
        <v>1052</v>
      </c>
      <c r="AB164" s="1">
        <f ca="1">IFERROR(__xludf.DUMMYFUNCTION("""COMPUTED_VALUE"""),372)</f>
        <v>372</v>
      </c>
      <c r="AC164" s="1">
        <f ca="1">IFERROR(__xludf.DUMMYFUNCTION("""COMPUTED_VALUE"""),161)</f>
        <v>161</v>
      </c>
      <c r="AD164" s="1">
        <f ca="1">IFERROR(__xludf.DUMMYFUNCTION("""COMPUTED_VALUE"""),72)</f>
        <v>72</v>
      </c>
      <c r="AE164" s="1">
        <f ca="1">IFERROR(__xludf.DUMMYFUNCTION("""COMPUTED_VALUE"""),423)</f>
        <v>423</v>
      </c>
      <c r="AF164" s="1">
        <f ca="1">IFERROR(__xludf.DUMMYFUNCTION("""COMPUTED_VALUE"""),537)</f>
        <v>537</v>
      </c>
    </row>
    <row r="165" spans="1:32" x14ac:dyDescent="0.25">
      <c r="A165" s="1" t="str">
        <f ca="1">IFERROR(__xludf.DUMMYFUNCTION("""COMPUTED_VALUE"""),"Liberty")</f>
        <v>Liberty</v>
      </c>
      <c r="B165" s="1">
        <f ca="1">IFERROR(__xludf.DUMMYFUNCTION("""COMPUTED_VALUE"""),31)</f>
        <v>31</v>
      </c>
      <c r="C165" s="1">
        <f ca="1">IFERROR(__xludf.DUMMYFUNCTION("""COMPUTED_VALUE"""),27)</f>
        <v>27</v>
      </c>
      <c r="D165" s="1">
        <f ca="1">IFERROR(__xludf.DUMMYFUNCTION("""COMPUTED_VALUE"""),4)</f>
        <v>4</v>
      </c>
      <c r="E165" s="1">
        <f ca="1">IFERROR(__xludf.DUMMYFUNCTION("""COMPUTED_VALUE"""),0.871)</f>
        <v>0.871</v>
      </c>
      <c r="F165" s="1">
        <f ca="1">IFERROR(__xludf.DUMMYFUNCTION("""COMPUTED_VALUE"""),5.73)</f>
        <v>5.73</v>
      </c>
      <c r="G165" s="1">
        <f ca="1">IFERROR(__xludf.DUMMYFUNCTION("""COMPUTED_VALUE"""),-7.06)</f>
        <v>-7.06</v>
      </c>
      <c r="H165" s="1">
        <f ca="1">IFERROR(__xludf.DUMMYFUNCTION("""COMPUTED_VALUE"""),13)</f>
        <v>13</v>
      </c>
      <c r="I165" s="1">
        <f ca="1">IFERROR(__xludf.DUMMYFUNCTION("""COMPUTED_VALUE"""),3)</f>
        <v>3</v>
      </c>
      <c r="J165" s="1">
        <f ca="1">IFERROR(__xludf.DUMMYFUNCTION("""COMPUTED_VALUE"""),14)</f>
        <v>14</v>
      </c>
      <c r="K165" s="1">
        <f ca="1">IFERROR(__xludf.DUMMYFUNCTION("""COMPUTED_VALUE"""),0)</f>
        <v>0</v>
      </c>
      <c r="L165" s="1">
        <f ca="1">IFERROR(__xludf.DUMMYFUNCTION("""COMPUTED_VALUE"""),7)</f>
        <v>7</v>
      </c>
      <c r="M165" s="1">
        <f ca="1">IFERROR(__xludf.DUMMYFUNCTION("""COMPUTED_VALUE"""),4)</f>
        <v>4</v>
      </c>
      <c r="N165" s="1">
        <f ca="1">IFERROR(__xludf.DUMMYFUNCTION("""COMPUTED_VALUE"""),2138)</f>
        <v>2138</v>
      </c>
      <c r="O165" s="1">
        <f ca="1">IFERROR(__xludf.DUMMYFUNCTION("""COMPUTED_VALUE"""),1662)</f>
        <v>1662</v>
      </c>
      <c r="P165" s="1">
        <f ca="1">IFERROR(__xludf.DUMMYFUNCTION("""COMPUTED_VALUE"""),1240)</f>
        <v>1240</v>
      </c>
      <c r="Q165" s="1">
        <f ca="1">IFERROR(__xludf.DUMMYFUNCTION("""COMPUTED_VALUE"""),774)</f>
        <v>774</v>
      </c>
      <c r="R165" s="1">
        <f ca="1">IFERROR(__xludf.DUMMYFUNCTION("""COMPUTED_VALUE"""),1608)</f>
        <v>1608</v>
      </c>
      <c r="S165" s="1">
        <f ca="1">IFERROR(__xludf.DUMMYFUNCTION("""COMPUTED_VALUE"""),0.481)</f>
        <v>0.48099999999999998</v>
      </c>
      <c r="T165" s="1">
        <f ca="1">IFERROR(__xludf.DUMMYFUNCTION("""COMPUTED_VALUE"""),237)</f>
        <v>237</v>
      </c>
      <c r="U165" s="1">
        <f ca="1">IFERROR(__xludf.DUMMYFUNCTION("""COMPUTED_VALUE"""),646)</f>
        <v>646</v>
      </c>
      <c r="V165" s="1">
        <f ca="1">IFERROR(__xludf.DUMMYFUNCTION("""COMPUTED_VALUE"""),0.367)</f>
        <v>0.36699999999999999</v>
      </c>
      <c r="W165" s="1">
        <f ca="1">IFERROR(__xludf.DUMMYFUNCTION("""COMPUTED_VALUE"""),353)</f>
        <v>353</v>
      </c>
      <c r="X165" s="1">
        <f ca="1">IFERROR(__xludf.DUMMYFUNCTION("""COMPUTED_VALUE"""),499)</f>
        <v>499</v>
      </c>
      <c r="Y165" s="1">
        <f ca="1">IFERROR(__xludf.DUMMYFUNCTION("""COMPUTED_VALUE"""),0.707)</f>
        <v>0.70699999999999996</v>
      </c>
      <c r="Z165" s="1">
        <f ca="1">IFERROR(__xludf.DUMMYFUNCTION("""COMPUTED_VALUE"""),238)</f>
        <v>238</v>
      </c>
      <c r="AA165" s="1">
        <f ca="1">IFERROR(__xludf.DUMMYFUNCTION("""COMPUTED_VALUE"""),1038)</f>
        <v>1038</v>
      </c>
      <c r="AB165" s="1">
        <f ca="1">IFERROR(__xludf.DUMMYFUNCTION("""COMPUTED_VALUE"""),408)</f>
        <v>408</v>
      </c>
      <c r="AC165" s="1">
        <f ca="1">IFERROR(__xludf.DUMMYFUNCTION("""COMPUTED_VALUE"""),176)</f>
        <v>176</v>
      </c>
      <c r="AD165" s="1">
        <f ca="1">IFERROR(__xludf.DUMMYFUNCTION("""COMPUTED_VALUE"""),85)</f>
        <v>85</v>
      </c>
      <c r="AE165" s="1">
        <f ca="1">IFERROR(__xludf.DUMMYFUNCTION("""COMPUTED_VALUE"""),297)</f>
        <v>297</v>
      </c>
      <c r="AF165" s="1">
        <f ca="1">IFERROR(__xludf.DUMMYFUNCTION("""COMPUTED_VALUE"""),417)</f>
        <v>417</v>
      </c>
    </row>
    <row r="166" spans="1:32" x14ac:dyDescent="0.25">
      <c r="A166" s="1" t="str">
        <f ca="1">IFERROR(__xludf.DUMMYFUNCTION("""COMPUTED_VALUE"""),"Lipscomb")</f>
        <v>Lipscomb</v>
      </c>
      <c r="B166" s="1">
        <f ca="1">IFERROR(__xludf.DUMMYFUNCTION("""COMPUTED_VALUE"""),29)</f>
        <v>29</v>
      </c>
      <c r="C166" s="1">
        <f ca="1">IFERROR(__xludf.DUMMYFUNCTION("""COMPUTED_VALUE"""),14)</f>
        <v>14</v>
      </c>
      <c r="D166" s="1">
        <f ca="1">IFERROR(__xludf.DUMMYFUNCTION("""COMPUTED_VALUE"""),15)</f>
        <v>15</v>
      </c>
      <c r="E166" s="1">
        <f ca="1">IFERROR(__xludf.DUMMYFUNCTION("""COMPUTED_VALUE"""),0.483)</f>
        <v>0.48299999999999998</v>
      </c>
      <c r="F166" s="1">
        <f ca="1">IFERROR(__xludf.DUMMYFUNCTION("""COMPUTED_VALUE"""),-7.23)</f>
        <v>-7.23</v>
      </c>
      <c r="G166" s="1">
        <f ca="1">IFERROR(__xludf.DUMMYFUNCTION("""COMPUTED_VALUE"""),-4.64)</f>
        <v>-4.6399999999999997</v>
      </c>
      <c r="H166" s="1">
        <f ca="1">IFERROR(__xludf.DUMMYFUNCTION("""COMPUTED_VALUE"""),9)</f>
        <v>9</v>
      </c>
      <c r="I166" s="1">
        <f ca="1">IFERROR(__xludf.DUMMYFUNCTION("""COMPUTED_VALUE"""),7)</f>
        <v>7</v>
      </c>
      <c r="J166" s="1">
        <f ca="1">IFERROR(__xludf.DUMMYFUNCTION("""COMPUTED_VALUE"""),8)</f>
        <v>8</v>
      </c>
      <c r="K166" s="1">
        <f ca="1">IFERROR(__xludf.DUMMYFUNCTION("""COMPUTED_VALUE"""),5)</f>
        <v>5</v>
      </c>
      <c r="L166" s="1">
        <f ca="1">IFERROR(__xludf.DUMMYFUNCTION("""COMPUTED_VALUE"""),6)</f>
        <v>6</v>
      </c>
      <c r="M166" s="1">
        <f ca="1">IFERROR(__xludf.DUMMYFUNCTION("""COMPUTED_VALUE"""),10)</f>
        <v>10</v>
      </c>
      <c r="N166" s="1">
        <f ca="1">IFERROR(__xludf.DUMMYFUNCTION("""COMPUTED_VALUE"""),2057)</f>
        <v>2057</v>
      </c>
      <c r="O166" s="1">
        <f ca="1">IFERROR(__xludf.DUMMYFUNCTION("""COMPUTED_VALUE"""),2054)</f>
        <v>2054</v>
      </c>
      <c r="P166" s="1">
        <f ca="1">IFERROR(__xludf.DUMMYFUNCTION("""COMPUTED_VALUE"""),1165)</f>
        <v>1165</v>
      </c>
      <c r="Q166" s="1">
        <f ca="1">IFERROR(__xludf.DUMMYFUNCTION("""COMPUTED_VALUE"""),752)</f>
        <v>752</v>
      </c>
      <c r="R166" s="1">
        <f ca="1">IFERROR(__xludf.DUMMYFUNCTION("""COMPUTED_VALUE"""),1681)</f>
        <v>1681</v>
      </c>
      <c r="S166" s="1">
        <f ca="1">IFERROR(__xludf.DUMMYFUNCTION("""COMPUTED_VALUE"""),0.447)</f>
        <v>0.44700000000000001</v>
      </c>
      <c r="T166" s="1">
        <f ca="1">IFERROR(__xludf.DUMMYFUNCTION("""COMPUTED_VALUE"""),208)</f>
        <v>208</v>
      </c>
      <c r="U166" s="1">
        <f ca="1">IFERROR(__xludf.DUMMYFUNCTION("""COMPUTED_VALUE"""),604)</f>
        <v>604</v>
      </c>
      <c r="V166" s="1">
        <f ca="1">IFERROR(__xludf.DUMMYFUNCTION("""COMPUTED_VALUE"""),0.344)</f>
        <v>0.34399999999999997</v>
      </c>
      <c r="W166" s="1">
        <f ca="1">IFERROR(__xludf.DUMMYFUNCTION("""COMPUTED_VALUE"""),345)</f>
        <v>345</v>
      </c>
      <c r="X166" s="1">
        <f ca="1">IFERROR(__xludf.DUMMYFUNCTION("""COMPUTED_VALUE"""),499)</f>
        <v>499</v>
      </c>
      <c r="Y166" s="1">
        <f ca="1">IFERROR(__xludf.DUMMYFUNCTION("""COMPUTED_VALUE"""),0.691)</f>
        <v>0.69099999999999995</v>
      </c>
      <c r="Z166" s="1">
        <f ca="1">IFERROR(__xludf.DUMMYFUNCTION("""COMPUTED_VALUE"""),274)</f>
        <v>274</v>
      </c>
      <c r="AA166" s="1">
        <f ca="1">IFERROR(__xludf.DUMMYFUNCTION("""COMPUTED_VALUE"""),1021)</f>
        <v>1021</v>
      </c>
      <c r="AB166" s="1">
        <f ca="1">IFERROR(__xludf.DUMMYFUNCTION("""COMPUTED_VALUE"""),387)</f>
        <v>387</v>
      </c>
      <c r="AC166" s="1">
        <f ca="1">IFERROR(__xludf.DUMMYFUNCTION("""COMPUTED_VALUE"""),160)</f>
        <v>160</v>
      </c>
      <c r="AD166" s="1">
        <f ca="1">IFERROR(__xludf.DUMMYFUNCTION("""COMPUTED_VALUE"""),72)</f>
        <v>72</v>
      </c>
      <c r="AE166" s="1">
        <f ca="1">IFERROR(__xludf.DUMMYFUNCTION("""COMPUTED_VALUE"""),377)</f>
        <v>377</v>
      </c>
      <c r="AF166" s="1">
        <f ca="1">IFERROR(__xludf.DUMMYFUNCTION("""COMPUTED_VALUE"""),447)</f>
        <v>447</v>
      </c>
    </row>
    <row r="167" spans="1:32" x14ac:dyDescent="0.25">
      <c r="A167" s="1" t="str">
        <f ca="1">IFERROR(__xludf.DUMMYFUNCTION("""COMPUTED_VALUE"""),"Cal State Long Beach")</f>
        <v>Cal State Long Beach</v>
      </c>
      <c r="B167" s="1">
        <f ca="1">IFERROR(__xludf.DUMMYFUNCTION("""COMPUTED_VALUE"""),30)</f>
        <v>30</v>
      </c>
      <c r="C167" s="1">
        <f ca="1">IFERROR(__xludf.DUMMYFUNCTION("""COMPUTED_VALUE"""),10)</f>
        <v>10</v>
      </c>
      <c r="D167" s="1">
        <f ca="1">IFERROR(__xludf.DUMMYFUNCTION("""COMPUTED_VALUE"""),20)</f>
        <v>20</v>
      </c>
      <c r="E167" s="1">
        <f ca="1">IFERROR(__xludf.DUMMYFUNCTION("""COMPUTED_VALUE"""),0.333)</f>
        <v>0.33300000000000002</v>
      </c>
      <c r="F167" s="1">
        <f ca="1">IFERROR(__xludf.DUMMYFUNCTION("""COMPUTED_VALUE"""),-8.62)</f>
        <v>-8.6199999999999992</v>
      </c>
      <c r="G167" s="1">
        <f ca="1">IFERROR(__xludf.DUMMYFUNCTION("""COMPUTED_VALUE"""),1.92)</f>
        <v>1.92</v>
      </c>
      <c r="H167" s="1">
        <f ca="1">IFERROR(__xludf.DUMMYFUNCTION("""COMPUTED_VALUE"""),5)</f>
        <v>5</v>
      </c>
      <c r="I167" s="1">
        <f ca="1">IFERROR(__xludf.DUMMYFUNCTION("""COMPUTED_VALUE"""),9)</f>
        <v>9</v>
      </c>
      <c r="J167" s="1">
        <f ca="1">IFERROR(__xludf.DUMMYFUNCTION("""COMPUTED_VALUE"""),7)</f>
        <v>7</v>
      </c>
      <c r="K167" s="1">
        <f ca="1">IFERROR(__xludf.DUMMYFUNCTION("""COMPUTED_VALUE"""),6)</f>
        <v>6</v>
      </c>
      <c r="L167" s="1">
        <f ca="1">IFERROR(__xludf.DUMMYFUNCTION("""COMPUTED_VALUE"""),2)</f>
        <v>2</v>
      </c>
      <c r="M167" s="1">
        <f ca="1">IFERROR(__xludf.DUMMYFUNCTION("""COMPUTED_VALUE"""),12)</f>
        <v>12</v>
      </c>
      <c r="N167" s="1">
        <f ca="1">IFERROR(__xludf.DUMMYFUNCTION("""COMPUTED_VALUE"""),2008)</f>
        <v>2008</v>
      </c>
      <c r="O167" s="1">
        <f ca="1">IFERROR(__xludf.DUMMYFUNCTION("""COMPUTED_VALUE"""),2256)</f>
        <v>2256</v>
      </c>
      <c r="P167" s="1">
        <f ca="1">IFERROR(__xludf.DUMMYFUNCTION("""COMPUTED_VALUE"""),1205)</f>
        <v>1205</v>
      </c>
      <c r="Q167" s="1">
        <f ca="1">IFERROR(__xludf.DUMMYFUNCTION("""COMPUTED_VALUE"""),724)</f>
        <v>724</v>
      </c>
      <c r="R167" s="1">
        <f ca="1">IFERROR(__xludf.DUMMYFUNCTION("""COMPUTED_VALUE"""),1676)</f>
        <v>1676</v>
      </c>
      <c r="S167" s="1">
        <f ca="1">IFERROR(__xludf.DUMMYFUNCTION("""COMPUTED_VALUE"""),0.432)</f>
        <v>0.432</v>
      </c>
      <c r="T167" s="1">
        <f ca="1">IFERROR(__xludf.DUMMYFUNCTION("""COMPUTED_VALUE"""),176)</f>
        <v>176</v>
      </c>
      <c r="U167" s="1">
        <f ca="1">IFERROR(__xludf.DUMMYFUNCTION("""COMPUTED_VALUE"""),494)</f>
        <v>494</v>
      </c>
      <c r="V167" s="1">
        <f ca="1">IFERROR(__xludf.DUMMYFUNCTION("""COMPUTED_VALUE"""),0.356)</f>
        <v>0.35599999999999998</v>
      </c>
      <c r="W167" s="1">
        <f ca="1">IFERROR(__xludf.DUMMYFUNCTION("""COMPUTED_VALUE"""),384)</f>
        <v>384</v>
      </c>
      <c r="X167" s="1">
        <f ca="1">IFERROR(__xludf.DUMMYFUNCTION("""COMPUTED_VALUE"""),560)</f>
        <v>560</v>
      </c>
      <c r="Y167" s="1">
        <f ca="1">IFERROR(__xludf.DUMMYFUNCTION("""COMPUTED_VALUE"""),0.686)</f>
        <v>0.68600000000000005</v>
      </c>
      <c r="Z167" s="1">
        <f ca="1">IFERROR(__xludf.DUMMYFUNCTION("""COMPUTED_VALUE"""),266)</f>
        <v>266</v>
      </c>
      <c r="AA167" s="1">
        <f ca="1">IFERROR(__xludf.DUMMYFUNCTION("""COMPUTED_VALUE"""),1018)</f>
        <v>1018</v>
      </c>
      <c r="AB167" s="1">
        <f ca="1">IFERROR(__xludf.DUMMYFUNCTION("""COMPUTED_VALUE"""),325)</f>
        <v>325</v>
      </c>
      <c r="AC167" s="1">
        <f ca="1">IFERROR(__xludf.DUMMYFUNCTION("""COMPUTED_VALUE"""),175)</f>
        <v>175</v>
      </c>
      <c r="AD167" s="1">
        <f ca="1">IFERROR(__xludf.DUMMYFUNCTION("""COMPUTED_VALUE"""),116)</f>
        <v>116</v>
      </c>
      <c r="AE167" s="1">
        <f ca="1">IFERROR(__xludf.DUMMYFUNCTION("""COMPUTED_VALUE"""),483)</f>
        <v>483</v>
      </c>
      <c r="AF167" s="1">
        <f ca="1">IFERROR(__xludf.DUMMYFUNCTION("""COMPUTED_VALUE"""),528)</f>
        <v>528</v>
      </c>
    </row>
    <row r="168" spans="1:32" x14ac:dyDescent="0.25">
      <c r="A168" s="1" t="str">
        <f ca="1">IFERROR(__xludf.DUMMYFUNCTION("""COMPUTED_VALUE"""),"Long Island University")</f>
        <v>Long Island University</v>
      </c>
      <c r="B168" s="1">
        <f ca="1">IFERROR(__xludf.DUMMYFUNCTION("""COMPUTED_VALUE"""),31)</f>
        <v>31</v>
      </c>
      <c r="C168" s="1">
        <f ca="1">IFERROR(__xludf.DUMMYFUNCTION("""COMPUTED_VALUE"""),14)</f>
        <v>14</v>
      </c>
      <c r="D168" s="1">
        <f ca="1">IFERROR(__xludf.DUMMYFUNCTION("""COMPUTED_VALUE"""),17)</f>
        <v>17</v>
      </c>
      <c r="E168" s="1">
        <f ca="1">IFERROR(__xludf.DUMMYFUNCTION("""COMPUTED_VALUE"""),0.452)</f>
        <v>0.45200000000000001</v>
      </c>
      <c r="F168" s="1">
        <f ca="1">IFERROR(__xludf.DUMMYFUNCTION("""COMPUTED_VALUE"""),-7.76)</f>
        <v>-7.76</v>
      </c>
      <c r="G168" s="1">
        <f ca="1">IFERROR(__xludf.DUMMYFUNCTION("""COMPUTED_VALUE"""),-6.03)</f>
        <v>-6.03</v>
      </c>
      <c r="H168" s="1">
        <f ca="1">IFERROR(__xludf.DUMMYFUNCTION("""COMPUTED_VALUE"""),9)</f>
        <v>9</v>
      </c>
      <c r="I168" s="1">
        <f ca="1">IFERROR(__xludf.DUMMYFUNCTION("""COMPUTED_VALUE"""),9)</f>
        <v>9</v>
      </c>
      <c r="J168" s="1">
        <f ca="1">IFERROR(__xludf.DUMMYFUNCTION("""COMPUTED_VALUE"""),7)</f>
        <v>7</v>
      </c>
      <c r="K168" s="1">
        <f ca="1">IFERROR(__xludf.DUMMYFUNCTION("""COMPUTED_VALUE"""),6)</f>
        <v>6</v>
      </c>
      <c r="L168" s="1">
        <f ca="1">IFERROR(__xludf.DUMMYFUNCTION("""COMPUTED_VALUE"""),6)</f>
        <v>6</v>
      </c>
      <c r="M168" s="1">
        <f ca="1">IFERROR(__xludf.DUMMYFUNCTION("""COMPUTED_VALUE"""),10)</f>
        <v>10</v>
      </c>
      <c r="N168" s="1">
        <f ca="1">IFERROR(__xludf.DUMMYFUNCTION("""COMPUTED_VALUE"""),2365)</f>
        <v>2365</v>
      </c>
      <c r="O168" s="1">
        <f ca="1">IFERROR(__xludf.DUMMYFUNCTION("""COMPUTED_VALUE"""),2376)</f>
        <v>2376</v>
      </c>
      <c r="P168" s="1">
        <f ca="1">IFERROR(__xludf.DUMMYFUNCTION("""COMPUTED_VALUE"""),1260)</f>
        <v>1260</v>
      </c>
      <c r="Q168" s="1">
        <f ca="1">IFERROR(__xludf.DUMMYFUNCTION("""COMPUTED_VALUE"""),818)</f>
        <v>818</v>
      </c>
      <c r="R168" s="1">
        <f ca="1">IFERROR(__xludf.DUMMYFUNCTION("""COMPUTED_VALUE"""),1854)</f>
        <v>1854</v>
      </c>
      <c r="S168" s="1">
        <f ca="1">IFERROR(__xludf.DUMMYFUNCTION("""COMPUTED_VALUE"""),0.441)</f>
        <v>0.441</v>
      </c>
      <c r="T168" s="1">
        <f ca="1">IFERROR(__xludf.DUMMYFUNCTION("""COMPUTED_VALUE"""),297)</f>
        <v>297</v>
      </c>
      <c r="U168" s="1">
        <f ca="1">IFERROR(__xludf.DUMMYFUNCTION("""COMPUTED_VALUE"""),856)</f>
        <v>856</v>
      </c>
      <c r="V168" s="1">
        <f ca="1">IFERROR(__xludf.DUMMYFUNCTION("""COMPUTED_VALUE"""),0.347)</f>
        <v>0.34699999999999998</v>
      </c>
      <c r="W168" s="1">
        <f ca="1">IFERROR(__xludf.DUMMYFUNCTION("""COMPUTED_VALUE"""),432)</f>
        <v>432</v>
      </c>
      <c r="X168" s="1">
        <f ca="1">IFERROR(__xludf.DUMMYFUNCTION("""COMPUTED_VALUE"""),605)</f>
        <v>605</v>
      </c>
      <c r="Y168" s="1">
        <f ca="1">IFERROR(__xludf.DUMMYFUNCTION("""COMPUTED_VALUE"""),0.714)</f>
        <v>0.71399999999999997</v>
      </c>
      <c r="Z168" s="1">
        <f ca="1">IFERROR(__xludf.DUMMYFUNCTION("""COMPUTED_VALUE"""),243)</f>
        <v>243</v>
      </c>
      <c r="AA168" s="1">
        <f ca="1">IFERROR(__xludf.DUMMYFUNCTION("""COMPUTED_VALUE"""),1067)</f>
        <v>1067</v>
      </c>
      <c r="AB168" s="1">
        <f ca="1">IFERROR(__xludf.DUMMYFUNCTION("""COMPUTED_VALUE"""),445)</f>
        <v>445</v>
      </c>
      <c r="AC168" s="1">
        <f ca="1">IFERROR(__xludf.DUMMYFUNCTION("""COMPUTED_VALUE"""),210)</f>
        <v>210</v>
      </c>
      <c r="AD168" s="1">
        <f ca="1">IFERROR(__xludf.DUMMYFUNCTION("""COMPUTED_VALUE"""),107)</f>
        <v>107</v>
      </c>
      <c r="AE168" s="1">
        <f ca="1">IFERROR(__xludf.DUMMYFUNCTION("""COMPUTED_VALUE"""),429)</f>
        <v>429</v>
      </c>
      <c r="AF168" s="1">
        <f ca="1">IFERROR(__xludf.DUMMYFUNCTION("""COMPUTED_VALUE"""),530)</f>
        <v>530</v>
      </c>
    </row>
    <row r="169" spans="1:32" x14ac:dyDescent="0.25">
      <c r="A169" s="1" t="str">
        <f ca="1">IFERROR(__xludf.DUMMYFUNCTION("""COMPUTED_VALUE"""),"Longwood")</f>
        <v>Longwood</v>
      </c>
      <c r="B169" s="1">
        <f ca="1">IFERROR(__xludf.DUMMYFUNCTION("""COMPUTED_VALUE"""),31)</f>
        <v>31</v>
      </c>
      <c r="C169" s="1">
        <f ca="1">IFERROR(__xludf.DUMMYFUNCTION("""COMPUTED_VALUE"""),14)</f>
        <v>14</v>
      </c>
      <c r="D169" s="1">
        <f ca="1">IFERROR(__xludf.DUMMYFUNCTION("""COMPUTED_VALUE"""),17)</f>
        <v>17</v>
      </c>
      <c r="E169" s="1">
        <f ca="1">IFERROR(__xludf.DUMMYFUNCTION("""COMPUTED_VALUE"""),0.452)</f>
        <v>0.45200000000000001</v>
      </c>
      <c r="F169" s="1">
        <f ca="1">IFERROR(__xludf.DUMMYFUNCTION("""COMPUTED_VALUE"""),-11.56)</f>
        <v>-11.56</v>
      </c>
      <c r="G169" s="1">
        <f ca="1">IFERROR(__xludf.DUMMYFUNCTION("""COMPUTED_VALUE"""),-9.18)</f>
        <v>-9.18</v>
      </c>
      <c r="H169" s="1">
        <f ca="1">IFERROR(__xludf.DUMMYFUNCTION("""COMPUTED_VALUE"""),9)</f>
        <v>9</v>
      </c>
      <c r="I169" s="1">
        <f ca="1">IFERROR(__xludf.DUMMYFUNCTION("""COMPUTED_VALUE"""),9)</f>
        <v>9</v>
      </c>
      <c r="J169" s="1">
        <f ca="1">IFERROR(__xludf.DUMMYFUNCTION("""COMPUTED_VALUE"""),8)</f>
        <v>8</v>
      </c>
      <c r="K169" s="1">
        <f ca="1">IFERROR(__xludf.DUMMYFUNCTION("""COMPUTED_VALUE"""),6)</f>
        <v>6</v>
      </c>
      <c r="L169" s="1">
        <f ca="1">IFERROR(__xludf.DUMMYFUNCTION("""COMPUTED_VALUE"""),6)</f>
        <v>6</v>
      </c>
      <c r="M169" s="1">
        <f ca="1">IFERROR(__xludf.DUMMYFUNCTION("""COMPUTED_VALUE"""),11)</f>
        <v>11</v>
      </c>
      <c r="N169" s="1">
        <f ca="1">IFERROR(__xludf.DUMMYFUNCTION("""COMPUTED_VALUE"""),2095)</f>
        <v>2095</v>
      </c>
      <c r="O169" s="1">
        <f ca="1">IFERROR(__xludf.DUMMYFUNCTION("""COMPUTED_VALUE"""),2117)</f>
        <v>2117</v>
      </c>
      <c r="P169" s="1">
        <f ca="1">IFERROR(__xludf.DUMMYFUNCTION("""COMPUTED_VALUE"""),1260)</f>
        <v>1260</v>
      </c>
      <c r="Q169" s="1">
        <f ca="1">IFERROR(__xludf.DUMMYFUNCTION("""COMPUTED_VALUE"""),701)</f>
        <v>701</v>
      </c>
      <c r="R169" s="1">
        <f ca="1">IFERROR(__xludf.DUMMYFUNCTION("""COMPUTED_VALUE"""),1724)</f>
        <v>1724</v>
      </c>
      <c r="S169" s="1">
        <f ca="1">IFERROR(__xludf.DUMMYFUNCTION("""COMPUTED_VALUE"""),0.407)</f>
        <v>0.40699999999999997</v>
      </c>
      <c r="T169" s="1">
        <f ca="1">IFERROR(__xludf.DUMMYFUNCTION("""COMPUTED_VALUE"""),284)</f>
        <v>284</v>
      </c>
      <c r="U169" s="1">
        <f ca="1">IFERROR(__xludf.DUMMYFUNCTION("""COMPUTED_VALUE"""),826)</f>
        <v>826</v>
      </c>
      <c r="V169" s="1">
        <f ca="1">IFERROR(__xludf.DUMMYFUNCTION("""COMPUTED_VALUE"""),0.344)</f>
        <v>0.34399999999999997</v>
      </c>
      <c r="W169" s="1">
        <f ca="1">IFERROR(__xludf.DUMMYFUNCTION("""COMPUTED_VALUE"""),409)</f>
        <v>409</v>
      </c>
      <c r="X169" s="1">
        <f ca="1">IFERROR(__xludf.DUMMYFUNCTION("""COMPUTED_VALUE"""),578)</f>
        <v>578</v>
      </c>
      <c r="Y169" s="1">
        <f ca="1">IFERROR(__xludf.DUMMYFUNCTION("""COMPUTED_VALUE"""),0.708)</f>
        <v>0.70799999999999996</v>
      </c>
      <c r="Z169" s="1">
        <f ca="1">IFERROR(__xludf.DUMMYFUNCTION("""COMPUTED_VALUE"""),265)</f>
        <v>265</v>
      </c>
      <c r="AA169" s="1">
        <f ca="1">IFERROR(__xludf.DUMMYFUNCTION("""COMPUTED_VALUE"""),1066)</f>
        <v>1066</v>
      </c>
      <c r="AB169" s="1">
        <f ca="1">IFERROR(__xludf.DUMMYFUNCTION("""COMPUTED_VALUE"""),342)</f>
        <v>342</v>
      </c>
      <c r="AC169" s="1">
        <f ca="1">IFERROR(__xludf.DUMMYFUNCTION("""COMPUTED_VALUE"""),212)</f>
        <v>212</v>
      </c>
      <c r="AD169" s="1">
        <f ca="1">IFERROR(__xludf.DUMMYFUNCTION("""COMPUTED_VALUE"""),67)</f>
        <v>67</v>
      </c>
      <c r="AE169" s="1">
        <f ca="1">IFERROR(__xludf.DUMMYFUNCTION("""COMPUTED_VALUE"""),430)</f>
        <v>430</v>
      </c>
      <c r="AF169" s="1">
        <f ca="1">IFERROR(__xludf.DUMMYFUNCTION("""COMPUTED_VALUE"""),581)</f>
        <v>581</v>
      </c>
    </row>
    <row r="170" spans="1:32" x14ac:dyDescent="0.25">
      <c r="A170" s="1" t="str">
        <f ca="1">IFERROR(__xludf.DUMMYFUNCTION("""COMPUTED_VALUE"""),"Louisiana")</f>
        <v>Louisiana</v>
      </c>
      <c r="B170" s="1">
        <f ca="1">IFERROR(__xludf.DUMMYFUNCTION("""COMPUTED_VALUE"""),30)</f>
        <v>30</v>
      </c>
      <c r="C170" s="1">
        <f ca="1">IFERROR(__xludf.DUMMYFUNCTION("""COMPUTED_VALUE"""),12)</f>
        <v>12</v>
      </c>
      <c r="D170" s="1">
        <f ca="1">IFERROR(__xludf.DUMMYFUNCTION("""COMPUTED_VALUE"""),18)</f>
        <v>18</v>
      </c>
      <c r="E170" s="1">
        <f ca="1">IFERROR(__xludf.DUMMYFUNCTION("""COMPUTED_VALUE"""),0.4)</f>
        <v>0.4</v>
      </c>
      <c r="F170" s="1">
        <f ca="1">IFERROR(__xludf.DUMMYFUNCTION("""COMPUTED_VALUE"""),-5.41)</f>
        <v>-5.41</v>
      </c>
      <c r="G170" s="1">
        <f ca="1">IFERROR(__xludf.DUMMYFUNCTION("""COMPUTED_VALUE"""),-0.61)</f>
        <v>-0.61</v>
      </c>
      <c r="H170" s="1">
        <f ca="1">IFERROR(__xludf.DUMMYFUNCTION("""COMPUTED_VALUE"""),7)</f>
        <v>7</v>
      </c>
      <c r="I170" s="1">
        <f ca="1">IFERROR(__xludf.DUMMYFUNCTION("""COMPUTED_VALUE"""),12)</f>
        <v>12</v>
      </c>
      <c r="J170" s="1">
        <f ca="1">IFERROR(__xludf.DUMMYFUNCTION("""COMPUTED_VALUE"""),8)</f>
        <v>8</v>
      </c>
      <c r="K170" s="1">
        <f ca="1">IFERROR(__xludf.DUMMYFUNCTION("""COMPUTED_VALUE"""),6)</f>
        <v>6</v>
      </c>
      <c r="L170" s="1">
        <f ca="1">IFERROR(__xludf.DUMMYFUNCTION("""COMPUTED_VALUE"""),3)</f>
        <v>3</v>
      </c>
      <c r="M170" s="1">
        <f ca="1">IFERROR(__xludf.DUMMYFUNCTION("""COMPUTED_VALUE"""),11)</f>
        <v>11</v>
      </c>
      <c r="N170" s="1">
        <f ca="1">IFERROR(__xludf.DUMMYFUNCTION("""COMPUTED_VALUE"""),2154)</f>
        <v>2154</v>
      </c>
      <c r="O170" s="1">
        <f ca="1">IFERROR(__xludf.DUMMYFUNCTION("""COMPUTED_VALUE"""),2265)</f>
        <v>2265</v>
      </c>
      <c r="P170" s="1">
        <f ca="1">IFERROR(__xludf.DUMMYFUNCTION("""COMPUTED_VALUE"""),1205)</f>
        <v>1205</v>
      </c>
      <c r="Q170" s="1">
        <f ca="1">IFERROR(__xludf.DUMMYFUNCTION("""COMPUTED_VALUE"""),737)</f>
        <v>737</v>
      </c>
      <c r="R170" s="1">
        <f ca="1">IFERROR(__xludf.DUMMYFUNCTION("""COMPUTED_VALUE"""),1779)</f>
        <v>1779</v>
      </c>
      <c r="S170" s="1">
        <f ca="1">IFERROR(__xludf.DUMMYFUNCTION("""COMPUTED_VALUE"""),0.414)</f>
        <v>0.41399999999999998</v>
      </c>
      <c r="T170" s="1">
        <f ca="1">IFERROR(__xludf.DUMMYFUNCTION("""COMPUTED_VALUE"""),227)</f>
        <v>227</v>
      </c>
      <c r="U170" s="1">
        <f ca="1">IFERROR(__xludf.DUMMYFUNCTION("""COMPUTED_VALUE"""),721)</f>
        <v>721</v>
      </c>
      <c r="V170" s="1">
        <f ca="1">IFERROR(__xludf.DUMMYFUNCTION("""COMPUTED_VALUE"""),0.315)</f>
        <v>0.315</v>
      </c>
      <c r="W170" s="1">
        <f ca="1">IFERROR(__xludf.DUMMYFUNCTION("""COMPUTED_VALUE"""),453)</f>
        <v>453</v>
      </c>
      <c r="X170" s="1">
        <f ca="1">IFERROR(__xludf.DUMMYFUNCTION("""COMPUTED_VALUE"""),616)</f>
        <v>616</v>
      </c>
      <c r="Y170" s="1">
        <f ca="1">IFERROR(__xludf.DUMMYFUNCTION("""COMPUTED_VALUE"""),0.735)</f>
        <v>0.73499999999999999</v>
      </c>
      <c r="Z170" s="1">
        <f ca="1">IFERROR(__xludf.DUMMYFUNCTION("""COMPUTED_VALUE"""),321)</f>
        <v>321</v>
      </c>
      <c r="AA170" s="1">
        <f ca="1">IFERROR(__xludf.DUMMYFUNCTION("""COMPUTED_VALUE"""),1054)</f>
        <v>1054</v>
      </c>
      <c r="AB170" s="1">
        <f ca="1">IFERROR(__xludf.DUMMYFUNCTION("""COMPUTED_VALUE"""),333)</f>
        <v>333</v>
      </c>
      <c r="AC170" s="1">
        <f ca="1">IFERROR(__xludf.DUMMYFUNCTION("""COMPUTED_VALUE"""),178)</f>
        <v>178</v>
      </c>
      <c r="AD170" s="1">
        <f ca="1">IFERROR(__xludf.DUMMYFUNCTION("""COMPUTED_VALUE"""),95)</f>
        <v>95</v>
      </c>
      <c r="AE170" s="1">
        <f ca="1">IFERROR(__xludf.DUMMYFUNCTION("""COMPUTED_VALUE"""),421)</f>
        <v>421</v>
      </c>
      <c r="AF170" s="1">
        <f ca="1">IFERROR(__xludf.DUMMYFUNCTION("""COMPUTED_VALUE"""),525)</f>
        <v>525</v>
      </c>
    </row>
    <row r="171" spans="1:32" x14ac:dyDescent="0.25">
      <c r="A171" s="1" t="str">
        <f ca="1">IFERROR(__xludf.DUMMYFUNCTION("""COMPUTED_VALUE"""),"Louisiana-Monroe")</f>
        <v>Louisiana-Monroe</v>
      </c>
      <c r="B171" s="1">
        <f ca="1">IFERROR(__xludf.DUMMYFUNCTION("""COMPUTED_VALUE"""),28)</f>
        <v>28</v>
      </c>
      <c r="C171" s="1">
        <f ca="1">IFERROR(__xludf.DUMMYFUNCTION("""COMPUTED_VALUE"""),9)</f>
        <v>9</v>
      </c>
      <c r="D171" s="1">
        <f ca="1">IFERROR(__xludf.DUMMYFUNCTION("""COMPUTED_VALUE"""),19)</f>
        <v>19</v>
      </c>
      <c r="E171" s="1">
        <f ca="1">IFERROR(__xludf.DUMMYFUNCTION("""COMPUTED_VALUE"""),0.321)</f>
        <v>0.32100000000000001</v>
      </c>
      <c r="F171" s="1">
        <f ca="1">IFERROR(__xludf.DUMMYFUNCTION("""COMPUTED_VALUE"""),-6.72)</f>
        <v>-6.72</v>
      </c>
      <c r="G171" s="1">
        <f ca="1">IFERROR(__xludf.DUMMYFUNCTION("""COMPUTED_VALUE"""),-0.3)</f>
        <v>-0.3</v>
      </c>
      <c r="H171" s="1">
        <f ca="1">IFERROR(__xludf.DUMMYFUNCTION("""COMPUTED_VALUE"""),5)</f>
        <v>5</v>
      </c>
      <c r="I171" s="1">
        <f ca="1">IFERROR(__xludf.DUMMYFUNCTION("""COMPUTED_VALUE"""),14)</f>
        <v>14</v>
      </c>
      <c r="J171" s="1">
        <f ca="1">IFERROR(__xludf.DUMMYFUNCTION("""COMPUTED_VALUE"""),7)</f>
        <v>7</v>
      </c>
      <c r="K171" s="1">
        <f ca="1">IFERROR(__xludf.DUMMYFUNCTION("""COMPUTED_VALUE"""),7)</f>
        <v>7</v>
      </c>
      <c r="L171" s="1">
        <f ca="1">IFERROR(__xludf.DUMMYFUNCTION("""COMPUTED_VALUE"""),2)</f>
        <v>2</v>
      </c>
      <c r="M171" s="1">
        <f ca="1">IFERROR(__xludf.DUMMYFUNCTION("""COMPUTED_VALUE"""),12)</f>
        <v>12</v>
      </c>
      <c r="N171" s="1">
        <f ca="1">IFERROR(__xludf.DUMMYFUNCTION("""COMPUTED_VALUE"""),1774)</f>
        <v>1774</v>
      </c>
      <c r="O171" s="1">
        <f ca="1">IFERROR(__xludf.DUMMYFUNCTION("""COMPUTED_VALUE"""),1895)</f>
        <v>1895</v>
      </c>
      <c r="P171" s="1">
        <f ca="1">IFERROR(__xludf.DUMMYFUNCTION("""COMPUTED_VALUE"""),1125)</f>
        <v>1125</v>
      </c>
      <c r="Q171" s="1">
        <f ca="1">IFERROR(__xludf.DUMMYFUNCTION("""COMPUTED_VALUE"""),631)</f>
        <v>631</v>
      </c>
      <c r="R171" s="1">
        <f ca="1">IFERROR(__xludf.DUMMYFUNCTION("""COMPUTED_VALUE"""),1495)</f>
        <v>1495</v>
      </c>
      <c r="S171" s="1">
        <f ca="1">IFERROR(__xludf.DUMMYFUNCTION("""COMPUTED_VALUE"""),0.422)</f>
        <v>0.42199999999999999</v>
      </c>
      <c r="T171" s="1">
        <f ca="1">IFERROR(__xludf.DUMMYFUNCTION("""COMPUTED_VALUE"""),177)</f>
        <v>177</v>
      </c>
      <c r="U171" s="1">
        <f ca="1">IFERROR(__xludf.DUMMYFUNCTION("""COMPUTED_VALUE"""),521)</f>
        <v>521</v>
      </c>
      <c r="V171" s="1">
        <f ca="1">IFERROR(__xludf.DUMMYFUNCTION("""COMPUTED_VALUE"""),0.34)</f>
        <v>0.34</v>
      </c>
      <c r="W171" s="1">
        <f ca="1">IFERROR(__xludf.DUMMYFUNCTION("""COMPUTED_VALUE"""),335)</f>
        <v>335</v>
      </c>
      <c r="X171" s="1">
        <f ca="1">IFERROR(__xludf.DUMMYFUNCTION("""COMPUTED_VALUE"""),494)</f>
        <v>494</v>
      </c>
      <c r="Y171" s="1">
        <f ca="1">IFERROR(__xludf.DUMMYFUNCTION("""COMPUTED_VALUE"""),0.678)</f>
        <v>0.67800000000000005</v>
      </c>
      <c r="Z171" s="1">
        <f ca="1">IFERROR(__xludf.DUMMYFUNCTION("""COMPUTED_VALUE"""),246)</f>
        <v>246</v>
      </c>
      <c r="AA171" s="1">
        <f ca="1">IFERROR(__xludf.DUMMYFUNCTION("""COMPUTED_VALUE"""),937)</f>
        <v>937</v>
      </c>
      <c r="AB171" s="1">
        <f ca="1">IFERROR(__xludf.DUMMYFUNCTION("""COMPUTED_VALUE"""),325)</f>
        <v>325</v>
      </c>
      <c r="AC171" s="1">
        <f ca="1">IFERROR(__xludf.DUMMYFUNCTION("""COMPUTED_VALUE"""),125)</f>
        <v>125</v>
      </c>
      <c r="AD171" s="1">
        <f ca="1">IFERROR(__xludf.DUMMYFUNCTION("""COMPUTED_VALUE"""),94)</f>
        <v>94</v>
      </c>
      <c r="AE171" s="1">
        <f ca="1">IFERROR(__xludf.DUMMYFUNCTION("""COMPUTED_VALUE"""),380)</f>
        <v>380</v>
      </c>
      <c r="AF171" s="1">
        <f ca="1">IFERROR(__xludf.DUMMYFUNCTION("""COMPUTED_VALUE"""),472)</f>
        <v>472</v>
      </c>
    </row>
    <row r="172" spans="1:32" x14ac:dyDescent="0.25">
      <c r="A172" s="1" t="str">
        <f ca="1">IFERROR(__xludf.DUMMYFUNCTION("""COMPUTED_VALUE"""),"Louisiana State")</f>
        <v>Louisiana State</v>
      </c>
      <c r="B172" s="1">
        <f ca="1">IFERROR(__xludf.DUMMYFUNCTION("""COMPUTED_VALUE"""),29)</f>
        <v>29</v>
      </c>
      <c r="C172" s="1">
        <f ca="1">IFERROR(__xludf.DUMMYFUNCTION("""COMPUTED_VALUE"""),20)</f>
        <v>20</v>
      </c>
      <c r="D172" s="1">
        <f ca="1">IFERROR(__xludf.DUMMYFUNCTION("""COMPUTED_VALUE"""),9)</f>
        <v>9</v>
      </c>
      <c r="E172" s="1">
        <f ca="1">IFERROR(__xludf.DUMMYFUNCTION("""COMPUTED_VALUE"""),0.69)</f>
        <v>0.69</v>
      </c>
      <c r="F172" s="1">
        <f ca="1">IFERROR(__xludf.DUMMYFUNCTION("""COMPUTED_VALUE"""),13.96)</f>
        <v>13.96</v>
      </c>
      <c r="G172" s="1">
        <f ca="1">IFERROR(__xludf.DUMMYFUNCTION("""COMPUTED_VALUE"""),6.96)</f>
        <v>6.96</v>
      </c>
      <c r="H172" s="1">
        <f ca="1">IFERROR(__xludf.DUMMYFUNCTION("""COMPUTED_VALUE"""),11)</f>
        <v>11</v>
      </c>
      <c r="I172" s="1">
        <f ca="1">IFERROR(__xludf.DUMMYFUNCTION("""COMPUTED_VALUE"""),5)</f>
        <v>5</v>
      </c>
      <c r="J172" s="1">
        <f ca="1">IFERROR(__xludf.DUMMYFUNCTION("""COMPUTED_VALUE"""),14)</f>
        <v>14</v>
      </c>
      <c r="K172" s="1">
        <f ca="1">IFERROR(__xludf.DUMMYFUNCTION("""COMPUTED_VALUE"""),2)</f>
        <v>2</v>
      </c>
      <c r="L172" s="1">
        <f ca="1">IFERROR(__xludf.DUMMYFUNCTION("""COMPUTED_VALUE"""),5)</f>
        <v>5</v>
      </c>
      <c r="M172" s="1">
        <f ca="1">IFERROR(__xludf.DUMMYFUNCTION("""COMPUTED_VALUE"""),5)</f>
        <v>5</v>
      </c>
      <c r="N172" s="1">
        <f ca="1">IFERROR(__xludf.DUMMYFUNCTION("""COMPUTED_VALUE"""),2311)</f>
        <v>2311</v>
      </c>
      <c r="O172" s="1">
        <f ca="1">IFERROR(__xludf.DUMMYFUNCTION("""COMPUTED_VALUE"""),2108)</f>
        <v>2108</v>
      </c>
      <c r="P172" s="1">
        <f ca="1">IFERROR(__xludf.DUMMYFUNCTION("""COMPUTED_VALUE"""),1170)</f>
        <v>1170</v>
      </c>
      <c r="Q172" s="1">
        <f ca="1">IFERROR(__xludf.DUMMYFUNCTION("""COMPUTED_VALUE"""),821)</f>
        <v>821</v>
      </c>
      <c r="R172" s="1">
        <f ca="1">IFERROR(__xludf.DUMMYFUNCTION("""COMPUTED_VALUE"""),1751)</f>
        <v>1751</v>
      </c>
      <c r="S172" s="1">
        <f ca="1">IFERROR(__xludf.DUMMYFUNCTION("""COMPUTED_VALUE"""),0.469)</f>
        <v>0.46899999999999997</v>
      </c>
      <c r="T172" s="1">
        <f ca="1">IFERROR(__xludf.DUMMYFUNCTION("""COMPUTED_VALUE"""),189)</f>
        <v>189</v>
      </c>
      <c r="U172" s="1">
        <f ca="1">IFERROR(__xludf.DUMMYFUNCTION("""COMPUTED_VALUE"""),597)</f>
        <v>597</v>
      </c>
      <c r="V172" s="1">
        <f ca="1">IFERROR(__xludf.DUMMYFUNCTION("""COMPUTED_VALUE"""),0.317)</f>
        <v>0.317</v>
      </c>
      <c r="W172" s="1">
        <f ca="1">IFERROR(__xludf.DUMMYFUNCTION("""COMPUTED_VALUE"""),480)</f>
        <v>480</v>
      </c>
      <c r="X172" s="1">
        <f ca="1">IFERROR(__xludf.DUMMYFUNCTION("""COMPUTED_VALUE"""),624)</f>
        <v>624</v>
      </c>
      <c r="Y172" s="1">
        <f ca="1">IFERROR(__xludf.DUMMYFUNCTION("""COMPUTED_VALUE"""),0.769)</f>
        <v>0.76900000000000002</v>
      </c>
      <c r="Z172" s="1">
        <f ca="1">IFERROR(__xludf.DUMMYFUNCTION("""COMPUTED_VALUE"""),359)</f>
        <v>359</v>
      </c>
      <c r="AA172" s="1">
        <f ca="1">IFERROR(__xludf.DUMMYFUNCTION("""COMPUTED_VALUE"""),1151)</f>
        <v>1151</v>
      </c>
      <c r="AB172" s="1">
        <f ca="1">IFERROR(__xludf.DUMMYFUNCTION("""COMPUTED_VALUE"""),369)</f>
        <v>369</v>
      </c>
      <c r="AC172" s="1">
        <f ca="1">IFERROR(__xludf.DUMMYFUNCTION("""COMPUTED_VALUE"""),186)</f>
        <v>186</v>
      </c>
      <c r="AD172" s="1">
        <f ca="1">IFERROR(__xludf.DUMMYFUNCTION("""COMPUTED_VALUE"""),115)</f>
        <v>115</v>
      </c>
      <c r="AE172" s="1">
        <f ca="1">IFERROR(__xludf.DUMMYFUNCTION("""COMPUTED_VALUE"""),367)</f>
        <v>367</v>
      </c>
      <c r="AF172" s="1">
        <f ca="1">IFERROR(__xludf.DUMMYFUNCTION("""COMPUTED_VALUE"""),445)</f>
        <v>445</v>
      </c>
    </row>
    <row r="173" spans="1:32" x14ac:dyDescent="0.25">
      <c r="A173" s="1" t="str">
        <f ca="1">IFERROR(__xludf.DUMMYFUNCTION("""COMPUTED_VALUE"""),"Louisiana Tech")</f>
        <v>Louisiana Tech</v>
      </c>
      <c r="B173" s="1">
        <f ca="1">IFERROR(__xludf.DUMMYFUNCTION("""COMPUTED_VALUE"""),28)</f>
        <v>28</v>
      </c>
      <c r="C173" s="1">
        <f ca="1">IFERROR(__xludf.DUMMYFUNCTION("""COMPUTED_VALUE"""),20)</f>
        <v>20</v>
      </c>
      <c r="D173" s="1">
        <f ca="1">IFERROR(__xludf.DUMMYFUNCTION("""COMPUTED_VALUE"""),8)</f>
        <v>8</v>
      </c>
      <c r="E173" s="1">
        <f ca="1">IFERROR(__xludf.DUMMYFUNCTION("""COMPUTED_VALUE"""),0.714)</f>
        <v>0.71399999999999997</v>
      </c>
      <c r="F173" s="1">
        <f ca="1">IFERROR(__xludf.DUMMYFUNCTION("""COMPUTED_VALUE"""),6.65)</f>
        <v>6.65</v>
      </c>
      <c r="G173" s="1">
        <f ca="1">IFERROR(__xludf.DUMMYFUNCTION("""COMPUTED_VALUE"""),-1.55)</f>
        <v>-1.55</v>
      </c>
      <c r="H173" s="1">
        <f ca="1">IFERROR(__xludf.DUMMYFUNCTION("""COMPUTED_VALUE"""),11)</f>
        <v>11</v>
      </c>
      <c r="I173" s="1">
        <f ca="1">IFERROR(__xludf.DUMMYFUNCTION("""COMPUTED_VALUE"""),5)</f>
        <v>5</v>
      </c>
      <c r="J173" s="1">
        <f ca="1">IFERROR(__xludf.DUMMYFUNCTION("""COMPUTED_VALUE"""),13)</f>
        <v>13</v>
      </c>
      <c r="K173" s="1">
        <f ca="1">IFERROR(__xludf.DUMMYFUNCTION("""COMPUTED_VALUE"""),1)</f>
        <v>1</v>
      </c>
      <c r="L173" s="1">
        <f ca="1">IFERROR(__xludf.DUMMYFUNCTION("""COMPUTED_VALUE"""),7)</f>
        <v>7</v>
      </c>
      <c r="M173" s="1">
        <f ca="1">IFERROR(__xludf.DUMMYFUNCTION("""COMPUTED_VALUE"""),7)</f>
        <v>7</v>
      </c>
      <c r="N173" s="1">
        <f ca="1">IFERROR(__xludf.DUMMYFUNCTION("""COMPUTED_VALUE"""),2093)</f>
        <v>2093</v>
      </c>
      <c r="O173" s="1">
        <f ca="1">IFERROR(__xludf.DUMMYFUNCTION("""COMPUTED_VALUE"""),1794)</f>
        <v>1794</v>
      </c>
      <c r="P173" s="1">
        <f ca="1">IFERROR(__xludf.DUMMYFUNCTION("""COMPUTED_VALUE"""),1130)</f>
        <v>1130</v>
      </c>
      <c r="Q173" s="1">
        <f ca="1">IFERROR(__xludf.DUMMYFUNCTION("""COMPUTED_VALUE"""),771)</f>
        <v>771</v>
      </c>
      <c r="R173" s="1">
        <f ca="1">IFERROR(__xludf.DUMMYFUNCTION("""COMPUTED_VALUE"""),1661)</f>
        <v>1661</v>
      </c>
      <c r="S173" s="1">
        <f ca="1">IFERROR(__xludf.DUMMYFUNCTION("""COMPUTED_VALUE"""),0.464)</f>
        <v>0.46400000000000002</v>
      </c>
      <c r="T173" s="1">
        <f ca="1">IFERROR(__xludf.DUMMYFUNCTION("""COMPUTED_VALUE"""),235)</f>
        <v>235</v>
      </c>
      <c r="U173" s="1">
        <f ca="1">IFERROR(__xludf.DUMMYFUNCTION("""COMPUTED_VALUE"""),663)</f>
        <v>663</v>
      </c>
      <c r="V173" s="1">
        <f ca="1">IFERROR(__xludf.DUMMYFUNCTION("""COMPUTED_VALUE"""),0.354)</f>
        <v>0.35399999999999998</v>
      </c>
      <c r="W173" s="1">
        <f ca="1">IFERROR(__xludf.DUMMYFUNCTION("""COMPUTED_VALUE"""),316)</f>
        <v>316</v>
      </c>
      <c r="X173" s="1">
        <f ca="1">IFERROR(__xludf.DUMMYFUNCTION("""COMPUTED_VALUE"""),477)</f>
        <v>477</v>
      </c>
      <c r="Y173" s="1">
        <f ca="1">IFERROR(__xludf.DUMMYFUNCTION("""COMPUTED_VALUE"""),0.662)</f>
        <v>0.66200000000000003</v>
      </c>
      <c r="Z173" s="1">
        <f ca="1">IFERROR(__xludf.DUMMYFUNCTION("""COMPUTED_VALUE"""),298)</f>
        <v>298</v>
      </c>
      <c r="AA173" s="1">
        <f ca="1">IFERROR(__xludf.DUMMYFUNCTION("""COMPUTED_VALUE"""),1047)</f>
        <v>1047</v>
      </c>
      <c r="AB173" s="1">
        <f ca="1">IFERROR(__xludf.DUMMYFUNCTION("""COMPUTED_VALUE"""),377)</f>
        <v>377</v>
      </c>
      <c r="AC173" s="1">
        <f ca="1">IFERROR(__xludf.DUMMYFUNCTION("""COMPUTED_VALUE"""),212)</f>
        <v>212</v>
      </c>
      <c r="AD173" s="1">
        <f ca="1">IFERROR(__xludf.DUMMYFUNCTION("""COMPUTED_VALUE"""),68)</f>
        <v>68</v>
      </c>
      <c r="AE173" s="1">
        <f ca="1">IFERROR(__xludf.DUMMYFUNCTION("""COMPUTED_VALUE"""),344)</f>
        <v>344</v>
      </c>
      <c r="AF173" s="1">
        <f ca="1">IFERROR(__xludf.DUMMYFUNCTION("""COMPUTED_VALUE"""),476)</f>
        <v>476</v>
      </c>
    </row>
    <row r="174" spans="1:32" x14ac:dyDescent="0.25">
      <c r="A174" s="1" t="str">
        <f ca="1">IFERROR(__xludf.DUMMYFUNCTION("""COMPUTED_VALUE"""),"Louisville")</f>
        <v>Louisville</v>
      </c>
      <c r="B174" s="1">
        <f ca="1">IFERROR(__xludf.DUMMYFUNCTION("""COMPUTED_VALUE"""),30)</f>
        <v>30</v>
      </c>
      <c r="C174" s="1">
        <f ca="1">IFERROR(__xludf.DUMMYFUNCTION("""COMPUTED_VALUE"""),24)</f>
        <v>24</v>
      </c>
      <c r="D174" s="1">
        <f ca="1">IFERROR(__xludf.DUMMYFUNCTION("""COMPUTED_VALUE"""),6)</f>
        <v>6</v>
      </c>
      <c r="E174" s="1">
        <f ca="1">IFERROR(__xludf.DUMMYFUNCTION("""COMPUTED_VALUE"""),0.8)</f>
        <v>0.8</v>
      </c>
      <c r="F174" s="1">
        <f ca="1">IFERROR(__xludf.DUMMYFUNCTION("""COMPUTED_VALUE"""),18.27)</f>
        <v>18.27</v>
      </c>
      <c r="G174" s="1">
        <f ca="1">IFERROR(__xludf.DUMMYFUNCTION("""COMPUTED_VALUE"""),7.44)</f>
        <v>7.44</v>
      </c>
      <c r="H174" s="1">
        <f ca="1">IFERROR(__xludf.DUMMYFUNCTION("""COMPUTED_VALUE"""),15)</f>
        <v>15</v>
      </c>
      <c r="I174" s="1">
        <f ca="1">IFERROR(__xludf.DUMMYFUNCTION("""COMPUTED_VALUE"""),4)</f>
        <v>4</v>
      </c>
      <c r="J174" s="1">
        <f ca="1">IFERROR(__xludf.DUMMYFUNCTION("""COMPUTED_VALUE"""),17)</f>
        <v>17</v>
      </c>
      <c r="K174" s="1">
        <f ca="1">IFERROR(__xludf.DUMMYFUNCTION("""COMPUTED_VALUE"""),1)</f>
        <v>1</v>
      </c>
      <c r="L174" s="1">
        <f ca="1">IFERROR(__xludf.DUMMYFUNCTION("""COMPUTED_VALUE"""),6)</f>
        <v>6</v>
      </c>
      <c r="M174" s="1">
        <f ca="1">IFERROR(__xludf.DUMMYFUNCTION("""COMPUTED_VALUE"""),4)</f>
        <v>4</v>
      </c>
      <c r="N174" s="1">
        <f ca="1">IFERROR(__xludf.DUMMYFUNCTION("""COMPUTED_VALUE"""),2242)</f>
        <v>2242</v>
      </c>
      <c r="O174" s="1">
        <f ca="1">IFERROR(__xludf.DUMMYFUNCTION("""COMPUTED_VALUE"""),1917)</f>
        <v>1917</v>
      </c>
      <c r="P174" s="1">
        <f ca="1">IFERROR(__xludf.DUMMYFUNCTION("""COMPUTED_VALUE"""),1210)</f>
        <v>1210</v>
      </c>
      <c r="Q174" s="1">
        <f ca="1">IFERROR(__xludf.DUMMYFUNCTION("""COMPUTED_VALUE"""),791)</f>
        <v>791</v>
      </c>
      <c r="R174" s="1">
        <f ca="1">IFERROR(__xludf.DUMMYFUNCTION("""COMPUTED_VALUE"""),1736)</f>
        <v>1736</v>
      </c>
      <c r="S174" s="1">
        <f ca="1">IFERROR(__xludf.DUMMYFUNCTION("""COMPUTED_VALUE"""),0.456)</f>
        <v>0.45600000000000002</v>
      </c>
      <c r="T174" s="1">
        <f ca="1">IFERROR(__xludf.DUMMYFUNCTION("""COMPUTED_VALUE"""),246)</f>
        <v>246</v>
      </c>
      <c r="U174" s="1">
        <f ca="1">IFERROR(__xludf.DUMMYFUNCTION("""COMPUTED_VALUE"""),654)</f>
        <v>654</v>
      </c>
      <c r="V174" s="1">
        <f ca="1">IFERROR(__xludf.DUMMYFUNCTION("""COMPUTED_VALUE"""),0.376)</f>
        <v>0.376</v>
      </c>
      <c r="W174" s="1">
        <f ca="1">IFERROR(__xludf.DUMMYFUNCTION("""COMPUTED_VALUE"""),414)</f>
        <v>414</v>
      </c>
      <c r="X174" s="1">
        <f ca="1">IFERROR(__xludf.DUMMYFUNCTION("""COMPUTED_VALUE"""),567)</f>
        <v>567</v>
      </c>
      <c r="Y174" s="1">
        <f ca="1">IFERROR(__xludf.DUMMYFUNCTION("""COMPUTED_VALUE"""),0.73)</f>
        <v>0.73</v>
      </c>
      <c r="Z174" s="1">
        <f ca="1">IFERROR(__xludf.DUMMYFUNCTION("""COMPUTED_VALUE"""),329)</f>
        <v>329</v>
      </c>
      <c r="AA174" s="1">
        <f ca="1">IFERROR(__xludf.DUMMYFUNCTION("""COMPUTED_VALUE"""),1166)</f>
        <v>1166</v>
      </c>
      <c r="AB174" s="1">
        <f ca="1">IFERROR(__xludf.DUMMYFUNCTION("""COMPUTED_VALUE"""),419)</f>
        <v>419</v>
      </c>
      <c r="AC174" s="1">
        <f ca="1">IFERROR(__xludf.DUMMYFUNCTION("""COMPUTED_VALUE"""),154)</f>
        <v>154</v>
      </c>
      <c r="AD174" s="1">
        <f ca="1">IFERROR(__xludf.DUMMYFUNCTION("""COMPUTED_VALUE"""),80)</f>
        <v>80</v>
      </c>
      <c r="AE174" s="1">
        <f ca="1">IFERROR(__xludf.DUMMYFUNCTION("""COMPUTED_VALUE"""),364)</f>
        <v>364</v>
      </c>
      <c r="AF174" s="1">
        <f ca="1">IFERROR(__xludf.DUMMYFUNCTION("""COMPUTED_VALUE"""),509)</f>
        <v>509</v>
      </c>
    </row>
    <row r="175" spans="1:32" x14ac:dyDescent="0.25">
      <c r="A175" s="1" t="str">
        <f ca="1">IFERROR(__xludf.DUMMYFUNCTION("""COMPUTED_VALUE"""),"Loyola (IL)")</f>
        <v>Loyola (IL)</v>
      </c>
      <c r="B175" s="1">
        <f ca="1">IFERROR(__xludf.DUMMYFUNCTION("""COMPUTED_VALUE"""),31)</f>
        <v>31</v>
      </c>
      <c r="C175" s="1">
        <f ca="1">IFERROR(__xludf.DUMMYFUNCTION("""COMPUTED_VALUE"""),21)</f>
        <v>21</v>
      </c>
      <c r="D175" s="1">
        <f ca="1">IFERROR(__xludf.DUMMYFUNCTION("""COMPUTED_VALUE"""),10)</f>
        <v>10</v>
      </c>
      <c r="E175" s="1">
        <f ca="1">IFERROR(__xludf.DUMMYFUNCTION("""COMPUTED_VALUE"""),0.677)</f>
        <v>0.67700000000000005</v>
      </c>
      <c r="F175" s="1">
        <f ca="1">IFERROR(__xludf.DUMMYFUNCTION("""COMPUTED_VALUE"""),5.92)</f>
        <v>5.92</v>
      </c>
      <c r="G175" s="1">
        <f ca="1">IFERROR(__xludf.DUMMYFUNCTION("""COMPUTED_VALUE"""),0.55)</f>
        <v>0.55000000000000004</v>
      </c>
      <c r="H175" s="1">
        <f ca="1">IFERROR(__xludf.DUMMYFUNCTION("""COMPUTED_VALUE"""),13)</f>
        <v>13</v>
      </c>
      <c r="I175" s="1">
        <f ca="1">IFERROR(__xludf.DUMMYFUNCTION("""COMPUTED_VALUE"""),5)</f>
        <v>5</v>
      </c>
      <c r="J175" s="1">
        <f ca="1">IFERROR(__xludf.DUMMYFUNCTION("""COMPUTED_VALUE"""),14)</f>
        <v>14</v>
      </c>
      <c r="K175" s="1">
        <f ca="1">IFERROR(__xludf.DUMMYFUNCTION("""COMPUTED_VALUE"""),2)</f>
        <v>2</v>
      </c>
      <c r="L175" s="1">
        <f ca="1">IFERROR(__xludf.DUMMYFUNCTION("""COMPUTED_VALUE"""),5)</f>
        <v>5</v>
      </c>
      <c r="M175" s="1">
        <f ca="1">IFERROR(__xludf.DUMMYFUNCTION("""COMPUTED_VALUE"""),6)</f>
        <v>6</v>
      </c>
      <c r="N175" s="1">
        <f ca="1">IFERROR(__xludf.DUMMYFUNCTION("""COMPUTED_VALUE"""),2125)</f>
        <v>2125</v>
      </c>
      <c r="O175" s="1">
        <f ca="1">IFERROR(__xludf.DUMMYFUNCTION("""COMPUTED_VALUE"""),1933)</f>
        <v>1933</v>
      </c>
      <c r="P175" s="1">
        <f ca="1">IFERROR(__xludf.DUMMYFUNCTION("""COMPUTED_VALUE"""),1250)</f>
        <v>1250</v>
      </c>
      <c r="Q175" s="1">
        <f ca="1">IFERROR(__xludf.DUMMYFUNCTION("""COMPUTED_VALUE"""),777)</f>
        <v>777</v>
      </c>
      <c r="R175" s="1">
        <f ca="1">IFERROR(__xludf.DUMMYFUNCTION("""COMPUTED_VALUE"""),1558)</f>
        <v>1558</v>
      </c>
      <c r="S175" s="1">
        <f ca="1">IFERROR(__xludf.DUMMYFUNCTION("""COMPUTED_VALUE"""),0.499)</f>
        <v>0.499</v>
      </c>
      <c r="T175" s="1">
        <f ca="1">IFERROR(__xludf.DUMMYFUNCTION("""COMPUTED_VALUE"""),178)</f>
        <v>178</v>
      </c>
      <c r="U175" s="1">
        <f ca="1">IFERROR(__xludf.DUMMYFUNCTION("""COMPUTED_VALUE"""),487)</f>
        <v>487</v>
      </c>
      <c r="V175" s="1">
        <f ca="1">IFERROR(__xludf.DUMMYFUNCTION("""COMPUTED_VALUE"""),0.366)</f>
        <v>0.36599999999999999</v>
      </c>
      <c r="W175" s="1">
        <f ca="1">IFERROR(__xludf.DUMMYFUNCTION("""COMPUTED_VALUE"""),393)</f>
        <v>393</v>
      </c>
      <c r="X175" s="1">
        <f ca="1">IFERROR(__xludf.DUMMYFUNCTION("""COMPUTED_VALUE"""),599)</f>
        <v>599</v>
      </c>
      <c r="Y175" s="1">
        <f ca="1">IFERROR(__xludf.DUMMYFUNCTION("""COMPUTED_VALUE"""),0.656)</f>
        <v>0.65600000000000003</v>
      </c>
      <c r="Z175" s="1">
        <f ca="1">IFERROR(__xludf.DUMMYFUNCTION("""COMPUTED_VALUE"""),188)</f>
        <v>188</v>
      </c>
      <c r="AA175" s="1">
        <f ca="1">IFERROR(__xludf.DUMMYFUNCTION("""COMPUTED_VALUE"""),924)</f>
        <v>924</v>
      </c>
      <c r="AB175" s="1">
        <f ca="1">IFERROR(__xludf.DUMMYFUNCTION("""COMPUTED_VALUE"""),445)</f>
        <v>445</v>
      </c>
      <c r="AC175" s="1">
        <f ca="1">IFERROR(__xludf.DUMMYFUNCTION("""COMPUTED_VALUE"""),243)</f>
        <v>243</v>
      </c>
      <c r="AD175" s="1">
        <f ca="1">IFERROR(__xludf.DUMMYFUNCTION("""COMPUTED_VALUE"""),50)</f>
        <v>50</v>
      </c>
      <c r="AE175" s="1">
        <f ca="1">IFERROR(__xludf.DUMMYFUNCTION("""COMPUTED_VALUE"""),397)</f>
        <v>397</v>
      </c>
      <c r="AF175" s="1">
        <f ca="1">IFERROR(__xludf.DUMMYFUNCTION("""COMPUTED_VALUE"""),431)</f>
        <v>431</v>
      </c>
    </row>
    <row r="176" spans="1:32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x14ac:dyDescent="0.25">
      <c r="A178" s="1" t="str">
        <f ca="1">IFERROR(__xludf.DUMMYFUNCTION("""COMPUTED_VALUE"""),"Loyola Marymount")</f>
        <v>Loyola Marymount</v>
      </c>
      <c r="B178" s="1">
        <f ca="1">IFERROR(__xludf.DUMMYFUNCTION("""COMPUTED_VALUE"""),30)</f>
        <v>30</v>
      </c>
      <c r="C178" s="1">
        <f ca="1">IFERROR(__xludf.DUMMYFUNCTION("""COMPUTED_VALUE"""),10)</f>
        <v>10</v>
      </c>
      <c r="D178" s="1">
        <f ca="1">IFERROR(__xludf.DUMMYFUNCTION("""COMPUTED_VALUE"""),20)</f>
        <v>20</v>
      </c>
      <c r="E178" s="1">
        <f ca="1">IFERROR(__xludf.DUMMYFUNCTION("""COMPUTED_VALUE"""),0.333)</f>
        <v>0.33300000000000002</v>
      </c>
      <c r="F178" s="1">
        <f ca="1">IFERROR(__xludf.DUMMYFUNCTION("""COMPUTED_VALUE"""),-0.64)</f>
        <v>-0.64</v>
      </c>
      <c r="G178" s="1">
        <f ca="1">IFERROR(__xludf.DUMMYFUNCTION("""COMPUTED_VALUE"""),4.16)</f>
        <v>4.16</v>
      </c>
      <c r="H178" s="1">
        <f ca="1">IFERROR(__xludf.DUMMYFUNCTION("""COMPUTED_VALUE"""),4)</f>
        <v>4</v>
      </c>
      <c r="I178" s="1">
        <f ca="1">IFERROR(__xludf.DUMMYFUNCTION("""COMPUTED_VALUE"""),12)</f>
        <v>12</v>
      </c>
      <c r="J178" s="1">
        <f ca="1">IFERROR(__xludf.DUMMYFUNCTION("""COMPUTED_VALUE"""),7)</f>
        <v>7</v>
      </c>
      <c r="K178" s="1">
        <f ca="1">IFERROR(__xludf.DUMMYFUNCTION("""COMPUTED_VALUE"""),9)</f>
        <v>9</v>
      </c>
      <c r="L178" s="1">
        <f ca="1">IFERROR(__xludf.DUMMYFUNCTION("""COMPUTED_VALUE"""),2)</f>
        <v>2</v>
      </c>
      <c r="M178" s="1">
        <f ca="1">IFERROR(__xludf.DUMMYFUNCTION("""COMPUTED_VALUE"""),9)</f>
        <v>9</v>
      </c>
      <c r="N178" s="1">
        <f ca="1">IFERROR(__xludf.DUMMYFUNCTION("""COMPUTED_VALUE"""),1929)</f>
        <v>1929</v>
      </c>
      <c r="O178" s="1">
        <f ca="1">IFERROR(__xludf.DUMMYFUNCTION("""COMPUTED_VALUE"""),2025)</f>
        <v>2025</v>
      </c>
      <c r="P178" s="1">
        <f ca="1">IFERROR(__xludf.DUMMYFUNCTION("""COMPUTED_VALUE"""),1205)</f>
        <v>1205</v>
      </c>
      <c r="Q178" s="1">
        <f ca="1">IFERROR(__xludf.DUMMYFUNCTION("""COMPUTED_VALUE"""),711)</f>
        <v>711</v>
      </c>
      <c r="R178" s="1">
        <f ca="1">IFERROR(__xludf.DUMMYFUNCTION("""COMPUTED_VALUE"""),1525)</f>
        <v>1525</v>
      </c>
      <c r="S178" s="1">
        <f ca="1">IFERROR(__xludf.DUMMYFUNCTION("""COMPUTED_VALUE"""),0.466)</f>
        <v>0.46600000000000003</v>
      </c>
      <c r="T178" s="1">
        <f ca="1">IFERROR(__xludf.DUMMYFUNCTION("""COMPUTED_VALUE"""),166)</f>
        <v>166</v>
      </c>
      <c r="U178" s="1">
        <f ca="1">IFERROR(__xludf.DUMMYFUNCTION("""COMPUTED_VALUE"""),531)</f>
        <v>531</v>
      </c>
      <c r="V178" s="1">
        <f ca="1">IFERROR(__xludf.DUMMYFUNCTION("""COMPUTED_VALUE"""),0.313)</f>
        <v>0.313</v>
      </c>
      <c r="W178" s="1">
        <f ca="1">IFERROR(__xludf.DUMMYFUNCTION("""COMPUTED_VALUE"""),341)</f>
        <v>341</v>
      </c>
      <c r="X178" s="1">
        <f ca="1">IFERROR(__xludf.DUMMYFUNCTION("""COMPUTED_VALUE"""),513)</f>
        <v>513</v>
      </c>
      <c r="Y178" s="1">
        <f ca="1">IFERROR(__xludf.DUMMYFUNCTION("""COMPUTED_VALUE"""),0.665)</f>
        <v>0.66500000000000004</v>
      </c>
      <c r="Z178" s="1">
        <f ca="1">IFERROR(__xludf.DUMMYFUNCTION("""COMPUTED_VALUE"""),236)</f>
        <v>236</v>
      </c>
      <c r="AA178" s="1">
        <f ca="1">IFERROR(__xludf.DUMMYFUNCTION("""COMPUTED_VALUE"""),897)</f>
        <v>897</v>
      </c>
      <c r="AB178" s="1">
        <f ca="1">IFERROR(__xludf.DUMMYFUNCTION("""COMPUTED_VALUE"""),355)</f>
        <v>355</v>
      </c>
      <c r="AC178" s="1">
        <f ca="1">IFERROR(__xludf.DUMMYFUNCTION("""COMPUTED_VALUE"""),178)</f>
        <v>178</v>
      </c>
      <c r="AD178" s="1">
        <f ca="1">IFERROR(__xludf.DUMMYFUNCTION("""COMPUTED_VALUE"""),60)</f>
        <v>60</v>
      </c>
      <c r="AE178" s="1">
        <f ca="1">IFERROR(__xludf.DUMMYFUNCTION("""COMPUTED_VALUE"""),418)</f>
        <v>418</v>
      </c>
      <c r="AF178" s="1">
        <f ca="1">IFERROR(__xludf.DUMMYFUNCTION("""COMPUTED_VALUE"""),567)</f>
        <v>567</v>
      </c>
    </row>
    <row r="179" spans="1:32" x14ac:dyDescent="0.25">
      <c r="A179" s="1" t="str">
        <f ca="1">IFERROR(__xludf.DUMMYFUNCTION("""COMPUTED_VALUE"""),"Loyola (MD)")</f>
        <v>Loyola (MD)</v>
      </c>
      <c r="B179" s="1">
        <f ca="1">IFERROR(__xludf.DUMMYFUNCTION("""COMPUTED_VALUE"""),31)</f>
        <v>31</v>
      </c>
      <c r="C179" s="1">
        <f ca="1">IFERROR(__xludf.DUMMYFUNCTION("""COMPUTED_VALUE"""),15)</f>
        <v>15</v>
      </c>
      <c r="D179" s="1">
        <f ca="1">IFERROR(__xludf.DUMMYFUNCTION("""COMPUTED_VALUE"""),16)</f>
        <v>16</v>
      </c>
      <c r="E179" s="1">
        <f ca="1">IFERROR(__xludf.DUMMYFUNCTION("""COMPUTED_VALUE"""),0.484)</f>
        <v>0.48399999999999999</v>
      </c>
      <c r="F179" s="1">
        <f ca="1">IFERROR(__xludf.DUMMYFUNCTION("""COMPUTED_VALUE"""),-9.28)</f>
        <v>-9.2799999999999994</v>
      </c>
      <c r="G179" s="1">
        <f ca="1">IFERROR(__xludf.DUMMYFUNCTION("""COMPUTED_VALUE"""),-6.94)</f>
        <v>-6.94</v>
      </c>
      <c r="H179" s="1">
        <f ca="1">IFERROR(__xludf.DUMMYFUNCTION("""COMPUTED_VALUE"""),7)</f>
        <v>7</v>
      </c>
      <c r="I179" s="1">
        <f ca="1">IFERROR(__xludf.DUMMYFUNCTION("""COMPUTED_VALUE"""),11)</f>
        <v>11</v>
      </c>
      <c r="J179" s="1">
        <f ca="1">IFERROR(__xludf.DUMMYFUNCTION("""COMPUTED_VALUE"""),9)</f>
        <v>9</v>
      </c>
      <c r="K179" s="1">
        <f ca="1">IFERROR(__xludf.DUMMYFUNCTION("""COMPUTED_VALUE"""),4)</f>
        <v>4</v>
      </c>
      <c r="L179" s="1">
        <f ca="1">IFERROR(__xludf.DUMMYFUNCTION("""COMPUTED_VALUE"""),5)</f>
        <v>5</v>
      </c>
      <c r="M179" s="1">
        <f ca="1">IFERROR(__xludf.DUMMYFUNCTION("""COMPUTED_VALUE"""),12)</f>
        <v>12</v>
      </c>
      <c r="N179" s="1">
        <f ca="1">IFERROR(__xludf.DUMMYFUNCTION("""COMPUTED_VALUE"""),2273)</f>
        <v>2273</v>
      </c>
      <c r="O179" s="1">
        <f ca="1">IFERROR(__xludf.DUMMYFUNCTION("""COMPUTED_VALUE"""),2316)</f>
        <v>2316</v>
      </c>
      <c r="P179" s="1">
        <f ca="1">IFERROR(__xludf.DUMMYFUNCTION("""COMPUTED_VALUE"""),1250)</f>
        <v>1250</v>
      </c>
      <c r="Q179" s="1">
        <f ca="1">IFERROR(__xludf.DUMMYFUNCTION("""COMPUTED_VALUE"""),801)</f>
        <v>801</v>
      </c>
      <c r="R179" s="1">
        <f ca="1">IFERROR(__xludf.DUMMYFUNCTION("""COMPUTED_VALUE"""),1731)</f>
        <v>1731</v>
      </c>
      <c r="S179" s="1">
        <f ca="1">IFERROR(__xludf.DUMMYFUNCTION("""COMPUTED_VALUE"""),0.463)</f>
        <v>0.46300000000000002</v>
      </c>
      <c r="T179" s="1">
        <f ca="1">IFERROR(__xludf.DUMMYFUNCTION("""COMPUTED_VALUE"""),204)</f>
        <v>204</v>
      </c>
      <c r="U179" s="1">
        <f ca="1">IFERROR(__xludf.DUMMYFUNCTION("""COMPUTED_VALUE"""),643)</f>
        <v>643</v>
      </c>
      <c r="V179" s="1">
        <f ca="1">IFERROR(__xludf.DUMMYFUNCTION("""COMPUTED_VALUE"""),0.317)</f>
        <v>0.317</v>
      </c>
      <c r="W179" s="1">
        <f ca="1">IFERROR(__xludf.DUMMYFUNCTION("""COMPUTED_VALUE"""),467)</f>
        <v>467</v>
      </c>
      <c r="X179" s="1">
        <f ca="1">IFERROR(__xludf.DUMMYFUNCTION("""COMPUTED_VALUE"""),736)</f>
        <v>736</v>
      </c>
      <c r="Y179" s="1">
        <f ca="1">IFERROR(__xludf.DUMMYFUNCTION("""COMPUTED_VALUE"""),0.635)</f>
        <v>0.63500000000000001</v>
      </c>
      <c r="Z179" s="1">
        <f ca="1">IFERROR(__xludf.DUMMYFUNCTION("""COMPUTED_VALUE"""),274)</f>
        <v>274</v>
      </c>
      <c r="AA179" s="1">
        <f ca="1">IFERROR(__xludf.DUMMYFUNCTION("""COMPUTED_VALUE"""),1070)</f>
        <v>1070</v>
      </c>
      <c r="AB179" s="1">
        <f ca="1">IFERROR(__xludf.DUMMYFUNCTION("""COMPUTED_VALUE"""),478)</f>
        <v>478</v>
      </c>
      <c r="AC179" s="1">
        <f ca="1">IFERROR(__xludf.DUMMYFUNCTION("""COMPUTED_VALUE"""),211)</f>
        <v>211</v>
      </c>
      <c r="AD179" s="1">
        <f ca="1">IFERROR(__xludf.DUMMYFUNCTION("""COMPUTED_VALUE"""),90)</f>
        <v>90</v>
      </c>
      <c r="AE179" s="1">
        <f ca="1">IFERROR(__xludf.DUMMYFUNCTION("""COMPUTED_VALUE"""),419)</f>
        <v>419</v>
      </c>
      <c r="AF179" s="1">
        <f ca="1">IFERROR(__xludf.DUMMYFUNCTION("""COMPUTED_VALUE"""),549)</f>
        <v>549</v>
      </c>
    </row>
    <row r="180" spans="1:32" x14ac:dyDescent="0.25">
      <c r="A180" s="1" t="str">
        <f ca="1">IFERROR(__xludf.DUMMYFUNCTION("""COMPUTED_VALUE"""),"Maine")</f>
        <v>Maine</v>
      </c>
      <c r="B180" s="1">
        <f ca="1">IFERROR(__xludf.DUMMYFUNCTION("""COMPUTED_VALUE"""),29)</f>
        <v>29</v>
      </c>
      <c r="C180" s="1">
        <f ca="1">IFERROR(__xludf.DUMMYFUNCTION("""COMPUTED_VALUE"""),8)</f>
        <v>8</v>
      </c>
      <c r="D180" s="1">
        <f ca="1">IFERROR(__xludf.DUMMYFUNCTION("""COMPUTED_VALUE"""),21)</f>
        <v>21</v>
      </c>
      <c r="E180" s="1">
        <f ca="1">IFERROR(__xludf.DUMMYFUNCTION("""COMPUTED_VALUE"""),0.276)</f>
        <v>0.27600000000000002</v>
      </c>
      <c r="F180" s="1">
        <f ca="1">IFERROR(__xludf.DUMMYFUNCTION("""COMPUTED_VALUE"""),-12.4)</f>
        <v>-12.4</v>
      </c>
      <c r="G180" s="1">
        <f ca="1">IFERROR(__xludf.DUMMYFUNCTION("""COMPUTED_VALUE"""),-3.82)</f>
        <v>-3.82</v>
      </c>
      <c r="H180" s="1">
        <f ca="1">IFERROR(__xludf.DUMMYFUNCTION("""COMPUTED_VALUE"""),4)</f>
        <v>4</v>
      </c>
      <c r="I180" s="1">
        <f ca="1">IFERROR(__xludf.DUMMYFUNCTION("""COMPUTED_VALUE"""),11)</f>
        <v>11</v>
      </c>
      <c r="J180" s="1">
        <f ca="1">IFERROR(__xludf.DUMMYFUNCTION("""COMPUTED_VALUE"""),5)</f>
        <v>5</v>
      </c>
      <c r="K180" s="1">
        <f ca="1">IFERROR(__xludf.DUMMYFUNCTION("""COMPUTED_VALUE"""),7)</f>
        <v>7</v>
      </c>
      <c r="L180" s="1">
        <f ca="1">IFERROR(__xludf.DUMMYFUNCTION("""COMPUTED_VALUE"""),2)</f>
        <v>2</v>
      </c>
      <c r="M180" s="1">
        <f ca="1">IFERROR(__xludf.DUMMYFUNCTION("""COMPUTED_VALUE"""),14)</f>
        <v>14</v>
      </c>
      <c r="N180" s="1">
        <f ca="1">IFERROR(__xludf.DUMMYFUNCTION("""COMPUTED_VALUE"""),1783)</f>
        <v>1783</v>
      </c>
      <c r="O180" s="1">
        <f ca="1">IFERROR(__xludf.DUMMYFUNCTION("""COMPUTED_VALUE"""),1983)</f>
        <v>1983</v>
      </c>
      <c r="P180" s="1">
        <f ca="1">IFERROR(__xludf.DUMMYFUNCTION("""COMPUTED_VALUE"""),1170)</f>
        <v>1170</v>
      </c>
      <c r="Q180" s="1">
        <f ca="1">IFERROR(__xludf.DUMMYFUNCTION("""COMPUTED_VALUE"""),641)</f>
        <v>641</v>
      </c>
      <c r="R180" s="1">
        <f ca="1">IFERROR(__xludf.DUMMYFUNCTION("""COMPUTED_VALUE"""),1584)</f>
        <v>1584</v>
      </c>
      <c r="S180" s="1">
        <f ca="1">IFERROR(__xludf.DUMMYFUNCTION("""COMPUTED_VALUE"""),0.405)</f>
        <v>0.40500000000000003</v>
      </c>
      <c r="T180" s="1">
        <f ca="1">IFERROR(__xludf.DUMMYFUNCTION("""COMPUTED_VALUE"""),190)</f>
        <v>190</v>
      </c>
      <c r="U180" s="1">
        <f ca="1">IFERROR(__xludf.DUMMYFUNCTION("""COMPUTED_VALUE"""),678)</f>
        <v>678</v>
      </c>
      <c r="V180" s="1">
        <f ca="1">IFERROR(__xludf.DUMMYFUNCTION("""COMPUTED_VALUE"""),0.28)</f>
        <v>0.28000000000000003</v>
      </c>
      <c r="W180" s="1">
        <f ca="1">IFERROR(__xludf.DUMMYFUNCTION("""COMPUTED_VALUE"""),311)</f>
        <v>311</v>
      </c>
      <c r="X180" s="1">
        <f ca="1">IFERROR(__xludf.DUMMYFUNCTION("""COMPUTED_VALUE"""),434)</f>
        <v>434</v>
      </c>
      <c r="Y180" s="1">
        <f ca="1">IFERROR(__xludf.DUMMYFUNCTION("""COMPUTED_VALUE"""),0.717)</f>
        <v>0.71699999999999997</v>
      </c>
      <c r="Z180" s="1">
        <f ca="1">IFERROR(__xludf.DUMMYFUNCTION("""COMPUTED_VALUE"""),281)</f>
        <v>281</v>
      </c>
      <c r="AA180" s="1">
        <f ca="1">IFERROR(__xludf.DUMMYFUNCTION("""COMPUTED_VALUE"""),988)</f>
        <v>988</v>
      </c>
      <c r="AB180" s="1">
        <f ca="1">IFERROR(__xludf.DUMMYFUNCTION("""COMPUTED_VALUE"""),400)</f>
        <v>400</v>
      </c>
      <c r="AC180" s="1">
        <f ca="1">IFERROR(__xludf.DUMMYFUNCTION("""COMPUTED_VALUE"""),199)</f>
        <v>199</v>
      </c>
      <c r="AD180" s="1">
        <f ca="1">IFERROR(__xludf.DUMMYFUNCTION("""COMPUTED_VALUE"""),100)</f>
        <v>100</v>
      </c>
      <c r="AE180" s="1">
        <f ca="1">IFERROR(__xludf.DUMMYFUNCTION("""COMPUTED_VALUE"""),434)</f>
        <v>434</v>
      </c>
      <c r="AF180" s="1">
        <f ca="1">IFERROR(__xludf.DUMMYFUNCTION("""COMPUTED_VALUE"""),518)</f>
        <v>518</v>
      </c>
    </row>
    <row r="181" spans="1:32" x14ac:dyDescent="0.25">
      <c r="A181" s="1" t="str">
        <f ca="1">IFERROR(__xludf.DUMMYFUNCTION("""COMPUTED_VALUE"""),"Manhattan")</f>
        <v>Manhattan</v>
      </c>
      <c r="B181" s="1">
        <f ca="1">IFERROR(__xludf.DUMMYFUNCTION("""COMPUTED_VALUE"""),27)</f>
        <v>27</v>
      </c>
      <c r="C181" s="1">
        <f ca="1">IFERROR(__xludf.DUMMYFUNCTION("""COMPUTED_VALUE"""),12)</f>
        <v>12</v>
      </c>
      <c r="D181" s="1">
        <f ca="1">IFERROR(__xludf.DUMMYFUNCTION("""COMPUTED_VALUE"""),15)</f>
        <v>15</v>
      </c>
      <c r="E181" s="1">
        <f ca="1">IFERROR(__xludf.DUMMYFUNCTION("""COMPUTED_VALUE"""),0.444)</f>
        <v>0.44400000000000001</v>
      </c>
      <c r="F181" s="1">
        <f ca="1">IFERROR(__xludf.DUMMYFUNCTION("""COMPUTED_VALUE"""),-7.94)</f>
        <v>-7.94</v>
      </c>
      <c r="G181" s="1">
        <f ca="1">IFERROR(__xludf.DUMMYFUNCTION("""COMPUTED_VALUE"""),-6.35)</f>
        <v>-6.35</v>
      </c>
      <c r="H181" s="1">
        <f ca="1">IFERROR(__xludf.DUMMYFUNCTION("""COMPUTED_VALUE"""),8)</f>
        <v>8</v>
      </c>
      <c r="I181" s="1">
        <f ca="1">IFERROR(__xludf.DUMMYFUNCTION("""COMPUTED_VALUE"""),10)</f>
        <v>10</v>
      </c>
      <c r="J181" s="1">
        <f ca="1">IFERROR(__xludf.DUMMYFUNCTION("""COMPUTED_VALUE"""),7)</f>
        <v>7</v>
      </c>
      <c r="K181" s="1">
        <f ca="1">IFERROR(__xludf.DUMMYFUNCTION("""COMPUTED_VALUE"""),5)</f>
        <v>5</v>
      </c>
      <c r="L181" s="1">
        <f ca="1">IFERROR(__xludf.DUMMYFUNCTION("""COMPUTED_VALUE"""),5)</f>
        <v>5</v>
      </c>
      <c r="M181" s="1">
        <f ca="1">IFERROR(__xludf.DUMMYFUNCTION("""COMPUTED_VALUE"""),10)</f>
        <v>10</v>
      </c>
      <c r="N181" s="1">
        <f ca="1">IFERROR(__xludf.DUMMYFUNCTION("""COMPUTED_VALUE"""),1705)</f>
        <v>1705</v>
      </c>
      <c r="O181" s="1">
        <f ca="1">IFERROR(__xludf.DUMMYFUNCTION("""COMPUTED_VALUE"""),1748)</f>
        <v>1748</v>
      </c>
      <c r="P181" s="1">
        <f ca="1">IFERROR(__xludf.DUMMYFUNCTION("""COMPUTED_VALUE"""),1090)</f>
        <v>1090</v>
      </c>
      <c r="Q181" s="1">
        <f ca="1">IFERROR(__xludf.DUMMYFUNCTION("""COMPUTED_VALUE"""),602)</f>
        <v>602</v>
      </c>
      <c r="R181" s="1">
        <f ca="1">IFERROR(__xludf.DUMMYFUNCTION("""COMPUTED_VALUE"""),1493)</f>
        <v>1493</v>
      </c>
      <c r="S181" s="1">
        <f ca="1">IFERROR(__xludf.DUMMYFUNCTION("""COMPUTED_VALUE"""),0.403)</f>
        <v>0.40300000000000002</v>
      </c>
      <c r="T181" s="1">
        <f ca="1">IFERROR(__xludf.DUMMYFUNCTION("""COMPUTED_VALUE"""),184)</f>
        <v>184</v>
      </c>
      <c r="U181" s="1">
        <f ca="1">IFERROR(__xludf.DUMMYFUNCTION("""COMPUTED_VALUE"""),604)</f>
        <v>604</v>
      </c>
      <c r="V181" s="1">
        <f ca="1">IFERROR(__xludf.DUMMYFUNCTION("""COMPUTED_VALUE"""),0.305)</f>
        <v>0.30499999999999999</v>
      </c>
      <c r="W181" s="1">
        <f ca="1">IFERROR(__xludf.DUMMYFUNCTION("""COMPUTED_VALUE"""),317)</f>
        <v>317</v>
      </c>
      <c r="X181" s="1">
        <f ca="1">IFERROR(__xludf.DUMMYFUNCTION("""COMPUTED_VALUE"""),515)</f>
        <v>515</v>
      </c>
      <c r="Y181" s="1">
        <f ca="1">IFERROR(__xludf.DUMMYFUNCTION("""COMPUTED_VALUE"""),0.616)</f>
        <v>0.61599999999999999</v>
      </c>
      <c r="Z181" s="1">
        <f ca="1">IFERROR(__xludf.DUMMYFUNCTION("""COMPUTED_VALUE"""),289)</f>
        <v>289</v>
      </c>
      <c r="AA181" s="1">
        <f ca="1">IFERROR(__xludf.DUMMYFUNCTION("""COMPUTED_VALUE"""),933)</f>
        <v>933</v>
      </c>
      <c r="AB181" s="1">
        <f ca="1">IFERROR(__xludf.DUMMYFUNCTION("""COMPUTED_VALUE"""),356)</f>
        <v>356</v>
      </c>
      <c r="AC181" s="1">
        <f ca="1">IFERROR(__xludf.DUMMYFUNCTION("""COMPUTED_VALUE"""),195)</f>
        <v>195</v>
      </c>
      <c r="AD181" s="1">
        <f ca="1">IFERROR(__xludf.DUMMYFUNCTION("""COMPUTED_VALUE"""),110)</f>
        <v>110</v>
      </c>
      <c r="AE181" s="1">
        <f ca="1">IFERROR(__xludf.DUMMYFUNCTION("""COMPUTED_VALUE"""),380)</f>
        <v>380</v>
      </c>
      <c r="AF181" s="1">
        <f ca="1">IFERROR(__xludf.DUMMYFUNCTION("""COMPUTED_VALUE"""),556)</f>
        <v>556</v>
      </c>
    </row>
    <row r="182" spans="1:32" x14ac:dyDescent="0.25">
      <c r="A182" s="1" t="str">
        <f ca="1">IFERROR(__xludf.DUMMYFUNCTION("""COMPUTED_VALUE"""),"Marist")</f>
        <v>Marist</v>
      </c>
      <c r="B182" s="1">
        <f ca="1">IFERROR(__xludf.DUMMYFUNCTION("""COMPUTED_VALUE"""),28)</f>
        <v>28</v>
      </c>
      <c r="C182" s="1">
        <f ca="1">IFERROR(__xludf.DUMMYFUNCTION("""COMPUTED_VALUE"""),7)</f>
        <v>7</v>
      </c>
      <c r="D182" s="1">
        <f ca="1">IFERROR(__xludf.DUMMYFUNCTION("""COMPUTED_VALUE"""),21)</f>
        <v>21</v>
      </c>
      <c r="E182" s="1">
        <f ca="1">IFERROR(__xludf.DUMMYFUNCTION("""COMPUTED_VALUE"""),0.25)</f>
        <v>0.25</v>
      </c>
      <c r="F182" s="1">
        <f ca="1">IFERROR(__xludf.DUMMYFUNCTION("""COMPUTED_VALUE"""),-11.79)</f>
        <v>-11.79</v>
      </c>
      <c r="G182" s="1">
        <f ca="1">IFERROR(__xludf.DUMMYFUNCTION("""COMPUTED_VALUE"""),-6.93)</f>
        <v>-6.93</v>
      </c>
      <c r="H182" s="1">
        <f ca="1">IFERROR(__xludf.DUMMYFUNCTION("""COMPUTED_VALUE"""),6)</f>
        <v>6</v>
      </c>
      <c r="I182" s="1">
        <f ca="1">IFERROR(__xludf.DUMMYFUNCTION("""COMPUTED_VALUE"""),13)</f>
        <v>13</v>
      </c>
      <c r="J182" s="1">
        <f ca="1">IFERROR(__xludf.DUMMYFUNCTION("""COMPUTED_VALUE"""),4)</f>
        <v>4</v>
      </c>
      <c r="K182" s="1">
        <f ca="1">IFERROR(__xludf.DUMMYFUNCTION("""COMPUTED_VALUE"""),9)</f>
        <v>9</v>
      </c>
      <c r="L182" s="1">
        <f ca="1">IFERROR(__xludf.DUMMYFUNCTION("""COMPUTED_VALUE"""),3)</f>
        <v>3</v>
      </c>
      <c r="M182" s="1">
        <f ca="1">IFERROR(__xludf.DUMMYFUNCTION("""COMPUTED_VALUE"""),12)</f>
        <v>12</v>
      </c>
      <c r="N182" s="1">
        <f ca="1">IFERROR(__xludf.DUMMYFUNCTION("""COMPUTED_VALUE"""),1693)</f>
        <v>1693</v>
      </c>
      <c r="O182" s="1">
        <f ca="1">IFERROR(__xludf.DUMMYFUNCTION("""COMPUTED_VALUE"""),1829)</f>
        <v>1829</v>
      </c>
      <c r="P182" s="1">
        <f ca="1">IFERROR(__xludf.DUMMYFUNCTION("""COMPUTED_VALUE"""),1145)</f>
        <v>1145</v>
      </c>
      <c r="Q182" s="1">
        <f ca="1">IFERROR(__xludf.DUMMYFUNCTION("""COMPUTED_VALUE"""),595)</f>
        <v>595</v>
      </c>
      <c r="R182" s="1">
        <f ca="1">IFERROR(__xludf.DUMMYFUNCTION("""COMPUTED_VALUE"""),1534)</f>
        <v>1534</v>
      </c>
      <c r="S182" s="1">
        <f ca="1">IFERROR(__xludf.DUMMYFUNCTION("""COMPUTED_VALUE"""),0.388)</f>
        <v>0.38800000000000001</v>
      </c>
      <c r="T182" s="1">
        <f ca="1">IFERROR(__xludf.DUMMYFUNCTION("""COMPUTED_VALUE"""),209)</f>
        <v>209</v>
      </c>
      <c r="U182" s="1">
        <f ca="1">IFERROR(__xludf.DUMMYFUNCTION("""COMPUTED_VALUE"""),611)</f>
        <v>611</v>
      </c>
      <c r="V182" s="1">
        <f ca="1">IFERROR(__xludf.DUMMYFUNCTION("""COMPUTED_VALUE"""),0.342)</f>
        <v>0.34200000000000003</v>
      </c>
      <c r="W182" s="1">
        <f ca="1">IFERROR(__xludf.DUMMYFUNCTION("""COMPUTED_VALUE"""),294)</f>
        <v>294</v>
      </c>
      <c r="X182" s="1">
        <f ca="1">IFERROR(__xludf.DUMMYFUNCTION("""COMPUTED_VALUE"""),451)</f>
        <v>451</v>
      </c>
      <c r="Y182" s="1">
        <f ca="1">IFERROR(__xludf.DUMMYFUNCTION("""COMPUTED_VALUE"""),0.652)</f>
        <v>0.65200000000000002</v>
      </c>
      <c r="Z182" s="1">
        <f ca="1">IFERROR(__xludf.DUMMYFUNCTION("""COMPUTED_VALUE"""),262)</f>
        <v>262</v>
      </c>
      <c r="AA182" s="1">
        <f ca="1">IFERROR(__xludf.DUMMYFUNCTION("""COMPUTED_VALUE"""),947)</f>
        <v>947</v>
      </c>
      <c r="AB182" s="1">
        <f ca="1">IFERROR(__xludf.DUMMYFUNCTION("""COMPUTED_VALUE"""),292)</f>
        <v>292</v>
      </c>
      <c r="AC182" s="1">
        <f ca="1">IFERROR(__xludf.DUMMYFUNCTION("""COMPUTED_VALUE"""),188)</f>
        <v>188</v>
      </c>
      <c r="AD182" s="1">
        <f ca="1">IFERROR(__xludf.DUMMYFUNCTION("""COMPUTED_VALUE"""),86)</f>
        <v>86</v>
      </c>
      <c r="AE182" s="1">
        <f ca="1">IFERROR(__xludf.DUMMYFUNCTION("""COMPUTED_VALUE"""),391)</f>
        <v>391</v>
      </c>
      <c r="AF182" s="1">
        <f ca="1">IFERROR(__xludf.DUMMYFUNCTION("""COMPUTED_VALUE"""),524)</f>
        <v>524</v>
      </c>
    </row>
    <row r="183" spans="1:32" x14ac:dyDescent="0.25">
      <c r="A183" s="1" t="str">
        <f ca="1">IFERROR(__xludf.DUMMYFUNCTION("""COMPUTED_VALUE"""),"Marquette")</f>
        <v>Marquette</v>
      </c>
      <c r="B183" s="1">
        <f ca="1">IFERROR(__xludf.DUMMYFUNCTION("""COMPUTED_VALUE"""),28)</f>
        <v>28</v>
      </c>
      <c r="C183" s="1">
        <f ca="1">IFERROR(__xludf.DUMMYFUNCTION("""COMPUTED_VALUE"""),18)</f>
        <v>18</v>
      </c>
      <c r="D183" s="1">
        <f ca="1">IFERROR(__xludf.DUMMYFUNCTION("""COMPUTED_VALUE"""),10)</f>
        <v>10</v>
      </c>
      <c r="E183" s="1">
        <f ca="1">IFERROR(__xludf.DUMMYFUNCTION("""COMPUTED_VALUE"""),0.643)</f>
        <v>0.64300000000000002</v>
      </c>
      <c r="F183" s="1">
        <f ca="1">IFERROR(__xludf.DUMMYFUNCTION("""COMPUTED_VALUE"""),15.98)</f>
        <v>15.98</v>
      </c>
      <c r="G183" s="1">
        <f ca="1">IFERROR(__xludf.DUMMYFUNCTION("""COMPUTED_VALUE"""),9.31)</f>
        <v>9.31</v>
      </c>
      <c r="H183" s="1">
        <f ca="1">IFERROR(__xludf.DUMMYFUNCTION("""COMPUTED_VALUE"""),8)</f>
        <v>8</v>
      </c>
      <c r="I183" s="1">
        <f ca="1">IFERROR(__xludf.DUMMYFUNCTION("""COMPUTED_VALUE"""),8)</f>
        <v>8</v>
      </c>
      <c r="J183" s="1">
        <f ca="1">IFERROR(__xludf.DUMMYFUNCTION("""COMPUTED_VALUE"""),13)</f>
        <v>13</v>
      </c>
      <c r="K183" s="1">
        <f ca="1">IFERROR(__xludf.DUMMYFUNCTION("""COMPUTED_VALUE"""),3)</f>
        <v>3</v>
      </c>
      <c r="L183" s="1">
        <f ca="1">IFERROR(__xludf.DUMMYFUNCTION("""COMPUTED_VALUE"""),3)</f>
        <v>3</v>
      </c>
      <c r="M183" s="1">
        <f ca="1">IFERROR(__xludf.DUMMYFUNCTION("""COMPUTED_VALUE"""),6)</f>
        <v>6</v>
      </c>
      <c r="N183" s="1">
        <f ca="1">IFERROR(__xludf.DUMMYFUNCTION("""COMPUTED_VALUE"""),2179)</f>
        <v>2179</v>
      </c>
      <c r="O183" s="1">
        <f ca="1">IFERROR(__xludf.DUMMYFUNCTION("""COMPUTED_VALUE"""),1992)</f>
        <v>1992</v>
      </c>
      <c r="P183" s="1">
        <f ca="1">IFERROR(__xludf.DUMMYFUNCTION("""COMPUTED_VALUE"""),1140)</f>
        <v>1140</v>
      </c>
      <c r="Q183" s="1">
        <f ca="1">IFERROR(__xludf.DUMMYFUNCTION("""COMPUTED_VALUE"""),709)</f>
        <v>709</v>
      </c>
      <c r="R183" s="1">
        <f ca="1">IFERROR(__xludf.DUMMYFUNCTION("""COMPUTED_VALUE"""),1644)</f>
        <v>1644</v>
      </c>
      <c r="S183" s="1">
        <f ca="1">IFERROR(__xludf.DUMMYFUNCTION("""COMPUTED_VALUE"""),0.431)</f>
        <v>0.43099999999999999</v>
      </c>
      <c r="T183" s="1">
        <f ca="1">IFERROR(__xludf.DUMMYFUNCTION("""COMPUTED_VALUE"""),282)</f>
        <v>282</v>
      </c>
      <c r="U183" s="1">
        <f ca="1">IFERROR(__xludf.DUMMYFUNCTION("""COMPUTED_VALUE"""),739)</f>
        <v>739</v>
      </c>
      <c r="V183" s="1">
        <f ca="1">IFERROR(__xludf.DUMMYFUNCTION("""COMPUTED_VALUE"""),0.382)</f>
        <v>0.38200000000000001</v>
      </c>
      <c r="W183" s="1">
        <f ca="1">IFERROR(__xludf.DUMMYFUNCTION("""COMPUTED_VALUE"""),479)</f>
        <v>479</v>
      </c>
      <c r="X183" s="1">
        <f ca="1">IFERROR(__xludf.DUMMYFUNCTION("""COMPUTED_VALUE"""),649)</f>
        <v>649</v>
      </c>
      <c r="Y183" s="1">
        <f ca="1">IFERROR(__xludf.DUMMYFUNCTION("""COMPUTED_VALUE"""),0.738)</f>
        <v>0.73799999999999999</v>
      </c>
      <c r="Z183" s="1">
        <f ca="1">IFERROR(__xludf.DUMMYFUNCTION("""COMPUTED_VALUE"""),289)</f>
        <v>289</v>
      </c>
      <c r="AA183" s="1">
        <f ca="1">IFERROR(__xludf.DUMMYFUNCTION("""COMPUTED_VALUE"""),1107)</f>
        <v>1107</v>
      </c>
      <c r="AB183" s="1">
        <f ca="1">IFERROR(__xludf.DUMMYFUNCTION("""COMPUTED_VALUE"""),381)</f>
        <v>381</v>
      </c>
      <c r="AC183" s="1">
        <f ca="1">IFERROR(__xludf.DUMMYFUNCTION("""COMPUTED_VALUE"""),143)</f>
        <v>143</v>
      </c>
      <c r="AD183" s="1">
        <f ca="1">IFERROR(__xludf.DUMMYFUNCTION("""COMPUTED_VALUE"""),123)</f>
        <v>123</v>
      </c>
      <c r="AE183" s="1">
        <f ca="1">IFERROR(__xludf.DUMMYFUNCTION("""COMPUTED_VALUE"""),374)</f>
        <v>374</v>
      </c>
      <c r="AF183" s="1">
        <f ca="1">IFERROR(__xludf.DUMMYFUNCTION("""COMPUTED_VALUE"""),523)</f>
        <v>523</v>
      </c>
    </row>
    <row r="184" spans="1:32" x14ac:dyDescent="0.25">
      <c r="A184" s="1" t="str">
        <f ca="1">IFERROR(__xludf.DUMMYFUNCTION("""COMPUTED_VALUE"""),"Marshall")</f>
        <v>Marshall</v>
      </c>
      <c r="B184" s="1">
        <f ca="1">IFERROR(__xludf.DUMMYFUNCTION("""COMPUTED_VALUE"""),29)</f>
        <v>29</v>
      </c>
      <c r="C184" s="1">
        <f ca="1">IFERROR(__xludf.DUMMYFUNCTION("""COMPUTED_VALUE"""),14)</f>
        <v>14</v>
      </c>
      <c r="D184" s="1">
        <f ca="1">IFERROR(__xludf.DUMMYFUNCTION("""COMPUTED_VALUE"""),15)</f>
        <v>15</v>
      </c>
      <c r="E184" s="1">
        <f ca="1">IFERROR(__xludf.DUMMYFUNCTION("""COMPUTED_VALUE"""),0.483)</f>
        <v>0.48299999999999998</v>
      </c>
      <c r="F184" s="1">
        <f ca="1">IFERROR(__xludf.DUMMYFUNCTION("""COMPUTED_VALUE"""),1.26)</f>
        <v>1.26</v>
      </c>
      <c r="G184" s="1">
        <f ca="1">IFERROR(__xludf.DUMMYFUNCTION("""COMPUTED_VALUE"""),0.23)</f>
        <v>0.23</v>
      </c>
      <c r="H184" s="1">
        <f ca="1">IFERROR(__xludf.DUMMYFUNCTION("""COMPUTED_VALUE"""),8)</f>
        <v>8</v>
      </c>
      <c r="I184" s="1">
        <f ca="1">IFERROR(__xludf.DUMMYFUNCTION("""COMPUTED_VALUE"""),8)</f>
        <v>8</v>
      </c>
      <c r="J184" s="1">
        <f ca="1">IFERROR(__xludf.DUMMYFUNCTION("""COMPUTED_VALUE"""),9)</f>
        <v>9</v>
      </c>
      <c r="K184" s="1">
        <f ca="1">IFERROR(__xludf.DUMMYFUNCTION("""COMPUTED_VALUE"""),6)</f>
        <v>6</v>
      </c>
      <c r="L184" s="1">
        <f ca="1">IFERROR(__xludf.DUMMYFUNCTION("""COMPUTED_VALUE"""),4)</f>
        <v>4</v>
      </c>
      <c r="M184" s="1">
        <f ca="1">IFERROR(__xludf.DUMMYFUNCTION("""COMPUTED_VALUE"""),9)</f>
        <v>9</v>
      </c>
      <c r="N184" s="1">
        <f ca="1">IFERROR(__xludf.DUMMYFUNCTION("""COMPUTED_VALUE"""),2167)</f>
        <v>2167</v>
      </c>
      <c r="O184" s="1">
        <f ca="1">IFERROR(__xludf.DUMMYFUNCTION("""COMPUTED_VALUE"""),2102)</f>
        <v>2102</v>
      </c>
      <c r="P184" s="1">
        <f ca="1">IFERROR(__xludf.DUMMYFUNCTION("""COMPUTED_VALUE"""),1165)</f>
        <v>1165</v>
      </c>
      <c r="Q184" s="1">
        <f ca="1">IFERROR(__xludf.DUMMYFUNCTION("""COMPUTED_VALUE"""),809)</f>
        <v>809</v>
      </c>
      <c r="R184" s="1">
        <f ca="1">IFERROR(__xludf.DUMMYFUNCTION("""COMPUTED_VALUE"""),1842)</f>
        <v>1842</v>
      </c>
      <c r="S184" s="1">
        <f ca="1">IFERROR(__xludf.DUMMYFUNCTION("""COMPUTED_VALUE"""),0.439)</f>
        <v>0.439</v>
      </c>
      <c r="T184" s="1">
        <f ca="1">IFERROR(__xludf.DUMMYFUNCTION("""COMPUTED_VALUE"""),220)</f>
        <v>220</v>
      </c>
      <c r="U184" s="1">
        <f ca="1">IFERROR(__xludf.DUMMYFUNCTION("""COMPUTED_VALUE"""),718)</f>
        <v>718</v>
      </c>
      <c r="V184" s="1">
        <f ca="1">IFERROR(__xludf.DUMMYFUNCTION("""COMPUTED_VALUE"""),0.306)</f>
        <v>0.30599999999999999</v>
      </c>
      <c r="W184" s="1">
        <f ca="1">IFERROR(__xludf.DUMMYFUNCTION("""COMPUTED_VALUE"""),329)</f>
        <v>329</v>
      </c>
      <c r="X184" s="1">
        <f ca="1">IFERROR(__xludf.DUMMYFUNCTION("""COMPUTED_VALUE"""),510)</f>
        <v>510</v>
      </c>
      <c r="Y184" s="1">
        <f ca="1">IFERROR(__xludf.DUMMYFUNCTION("""COMPUTED_VALUE"""),0.645)</f>
        <v>0.64500000000000002</v>
      </c>
      <c r="Z184" s="1">
        <f ca="1">IFERROR(__xludf.DUMMYFUNCTION("""COMPUTED_VALUE"""),325)</f>
        <v>325</v>
      </c>
      <c r="AA184" s="1">
        <f ca="1">IFERROR(__xludf.DUMMYFUNCTION("""COMPUTED_VALUE"""),1112)</f>
        <v>1112</v>
      </c>
      <c r="AB184" s="1">
        <f ca="1">IFERROR(__xludf.DUMMYFUNCTION("""COMPUTED_VALUE"""),395)</f>
        <v>395</v>
      </c>
      <c r="AC184" s="1">
        <f ca="1">IFERROR(__xludf.DUMMYFUNCTION("""COMPUTED_VALUE"""),247)</f>
        <v>247</v>
      </c>
      <c r="AD184" s="1">
        <f ca="1">IFERROR(__xludf.DUMMYFUNCTION("""COMPUTED_VALUE"""),172)</f>
        <v>172</v>
      </c>
      <c r="AE184" s="1">
        <f ca="1">IFERROR(__xludf.DUMMYFUNCTION("""COMPUTED_VALUE"""),433)</f>
        <v>433</v>
      </c>
      <c r="AF184" s="1">
        <f ca="1">IFERROR(__xludf.DUMMYFUNCTION("""COMPUTED_VALUE"""),542)</f>
        <v>542</v>
      </c>
    </row>
    <row r="185" spans="1:32" x14ac:dyDescent="0.25">
      <c r="A185" s="1" t="str">
        <f ca="1">IFERROR(__xludf.DUMMYFUNCTION("""COMPUTED_VALUE"""),"Maryland-Baltimore County")</f>
        <v>Maryland-Baltimore County</v>
      </c>
      <c r="B185" s="1">
        <f ca="1">IFERROR(__xludf.DUMMYFUNCTION("""COMPUTED_VALUE"""),30)</f>
        <v>30</v>
      </c>
      <c r="C185" s="1">
        <f ca="1">IFERROR(__xludf.DUMMYFUNCTION("""COMPUTED_VALUE"""),14)</f>
        <v>14</v>
      </c>
      <c r="D185" s="1">
        <f ca="1">IFERROR(__xludf.DUMMYFUNCTION("""COMPUTED_VALUE"""),16)</f>
        <v>16</v>
      </c>
      <c r="E185" s="1">
        <f ca="1">IFERROR(__xludf.DUMMYFUNCTION("""COMPUTED_VALUE"""),0.467)</f>
        <v>0.46700000000000003</v>
      </c>
      <c r="F185" s="1">
        <f ca="1">IFERROR(__xludf.DUMMYFUNCTION("""COMPUTED_VALUE"""),-8.97)</f>
        <v>-8.9700000000000006</v>
      </c>
      <c r="G185" s="1">
        <f ca="1">IFERROR(__xludf.DUMMYFUNCTION("""COMPUTED_VALUE"""),-4.62)</f>
        <v>-4.62</v>
      </c>
      <c r="H185" s="1">
        <f ca="1">IFERROR(__xludf.DUMMYFUNCTION("""COMPUTED_VALUE"""),7)</f>
        <v>7</v>
      </c>
      <c r="I185" s="1">
        <f ca="1">IFERROR(__xludf.DUMMYFUNCTION("""COMPUTED_VALUE"""),8)</f>
        <v>8</v>
      </c>
      <c r="J185" s="1">
        <f ca="1">IFERROR(__xludf.DUMMYFUNCTION("""COMPUTED_VALUE"""),9)</f>
        <v>9</v>
      </c>
      <c r="K185" s="1">
        <f ca="1">IFERROR(__xludf.DUMMYFUNCTION("""COMPUTED_VALUE"""),5)</f>
        <v>5</v>
      </c>
      <c r="L185" s="1">
        <f ca="1">IFERROR(__xludf.DUMMYFUNCTION("""COMPUTED_VALUE"""),5)</f>
        <v>5</v>
      </c>
      <c r="M185" s="1">
        <f ca="1">IFERROR(__xludf.DUMMYFUNCTION("""COMPUTED_VALUE"""),9)</f>
        <v>9</v>
      </c>
      <c r="N185" s="1">
        <f ca="1">IFERROR(__xludf.DUMMYFUNCTION("""COMPUTED_VALUE"""),2033)</f>
        <v>2033</v>
      </c>
      <c r="O185" s="1">
        <f ca="1">IFERROR(__xludf.DUMMYFUNCTION("""COMPUTED_VALUE"""),1992)</f>
        <v>1992</v>
      </c>
      <c r="P185" s="1">
        <f ca="1">IFERROR(__xludf.DUMMYFUNCTION("""COMPUTED_VALUE"""),1205)</f>
        <v>1205</v>
      </c>
      <c r="Q185" s="1">
        <f ca="1">IFERROR(__xludf.DUMMYFUNCTION("""COMPUTED_VALUE"""),743)</f>
        <v>743</v>
      </c>
      <c r="R185" s="1">
        <f ca="1">IFERROR(__xludf.DUMMYFUNCTION("""COMPUTED_VALUE"""),1687)</f>
        <v>1687</v>
      </c>
      <c r="S185" s="1">
        <f ca="1">IFERROR(__xludf.DUMMYFUNCTION("""COMPUTED_VALUE"""),0.44)</f>
        <v>0.44</v>
      </c>
      <c r="T185" s="1">
        <f ca="1">IFERROR(__xludf.DUMMYFUNCTION("""COMPUTED_VALUE"""),208)</f>
        <v>208</v>
      </c>
      <c r="U185" s="1">
        <f ca="1">IFERROR(__xludf.DUMMYFUNCTION("""COMPUTED_VALUE"""),663)</f>
        <v>663</v>
      </c>
      <c r="V185" s="1">
        <f ca="1">IFERROR(__xludf.DUMMYFUNCTION("""COMPUTED_VALUE"""),0.314)</f>
        <v>0.314</v>
      </c>
      <c r="W185" s="1">
        <f ca="1">IFERROR(__xludf.DUMMYFUNCTION("""COMPUTED_VALUE"""),339)</f>
        <v>339</v>
      </c>
      <c r="X185" s="1">
        <f ca="1">IFERROR(__xludf.DUMMYFUNCTION("""COMPUTED_VALUE"""),536)</f>
        <v>536</v>
      </c>
      <c r="Y185" s="1">
        <f ca="1">IFERROR(__xludf.DUMMYFUNCTION("""COMPUTED_VALUE"""),0.632)</f>
        <v>0.63200000000000001</v>
      </c>
      <c r="Z185" s="1">
        <f ca="1">IFERROR(__xludf.DUMMYFUNCTION("""COMPUTED_VALUE"""),274)</f>
        <v>274</v>
      </c>
      <c r="AA185" s="1">
        <f ca="1">IFERROR(__xludf.DUMMYFUNCTION("""COMPUTED_VALUE"""),1047)</f>
        <v>1047</v>
      </c>
      <c r="AB185" s="1">
        <f ca="1">IFERROR(__xludf.DUMMYFUNCTION("""COMPUTED_VALUE"""),382)</f>
        <v>382</v>
      </c>
      <c r="AC185" s="1">
        <f ca="1">IFERROR(__xludf.DUMMYFUNCTION("""COMPUTED_VALUE"""),161)</f>
        <v>161</v>
      </c>
      <c r="AD185" s="1">
        <f ca="1">IFERROR(__xludf.DUMMYFUNCTION("""COMPUTED_VALUE"""),74)</f>
        <v>74</v>
      </c>
      <c r="AE185" s="1">
        <f ca="1">IFERROR(__xludf.DUMMYFUNCTION("""COMPUTED_VALUE"""),393)</f>
        <v>393</v>
      </c>
      <c r="AF185" s="1">
        <f ca="1">IFERROR(__xludf.DUMMYFUNCTION("""COMPUTED_VALUE"""),487)</f>
        <v>487</v>
      </c>
    </row>
    <row r="186" spans="1:32" x14ac:dyDescent="0.25">
      <c r="A186" s="1" t="str">
        <f ca="1">IFERROR(__xludf.DUMMYFUNCTION("""COMPUTED_VALUE"""),"Maryland-Eastern Shore")</f>
        <v>Maryland-Eastern Shore</v>
      </c>
      <c r="B186" s="1">
        <f ca="1">IFERROR(__xludf.DUMMYFUNCTION("""COMPUTED_VALUE"""),30)</f>
        <v>30</v>
      </c>
      <c r="C186" s="1">
        <f ca="1">IFERROR(__xludf.DUMMYFUNCTION("""COMPUTED_VALUE"""),5)</f>
        <v>5</v>
      </c>
      <c r="D186" s="1">
        <f ca="1">IFERROR(__xludf.DUMMYFUNCTION("""COMPUTED_VALUE"""),25)</f>
        <v>25</v>
      </c>
      <c r="E186" s="1">
        <f ca="1">IFERROR(__xludf.DUMMYFUNCTION("""COMPUTED_VALUE"""),0.167)</f>
        <v>0.16700000000000001</v>
      </c>
      <c r="F186" s="1">
        <f ca="1">IFERROR(__xludf.DUMMYFUNCTION("""COMPUTED_VALUE"""),-21.89)</f>
        <v>-21.89</v>
      </c>
      <c r="G186" s="1">
        <f ca="1">IFERROR(__xludf.DUMMYFUNCTION("""COMPUTED_VALUE"""),-5.47)</f>
        <v>-5.47</v>
      </c>
      <c r="H186" s="1">
        <f ca="1">IFERROR(__xludf.DUMMYFUNCTION("""COMPUTED_VALUE"""),4)</f>
        <v>4</v>
      </c>
      <c r="I186" s="1">
        <f ca="1">IFERROR(__xludf.DUMMYFUNCTION("""COMPUTED_VALUE"""),11)</f>
        <v>11</v>
      </c>
      <c r="J186" s="1">
        <f ca="1">IFERROR(__xludf.DUMMYFUNCTION("""COMPUTED_VALUE"""),4)</f>
        <v>4</v>
      </c>
      <c r="K186" s="1">
        <f ca="1">IFERROR(__xludf.DUMMYFUNCTION("""COMPUTED_VALUE"""),5)</f>
        <v>5</v>
      </c>
      <c r="L186" s="1">
        <f ca="1">IFERROR(__xludf.DUMMYFUNCTION("""COMPUTED_VALUE"""),1)</f>
        <v>1</v>
      </c>
      <c r="M186" s="1">
        <f ca="1">IFERROR(__xludf.DUMMYFUNCTION("""COMPUTED_VALUE"""),20)</f>
        <v>20</v>
      </c>
      <c r="N186" s="1">
        <f ca="1">IFERROR(__xludf.DUMMYFUNCTION("""COMPUTED_VALUE"""),1717)</f>
        <v>1717</v>
      </c>
      <c r="O186" s="1">
        <f ca="1">IFERROR(__xludf.DUMMYFUNCTION("""COMPUTED_VALUE"""),2147)</f>
        <v>2147</v>
      </c>
      <c r="P186" s="1">
        <f ca="1">IFERROR(__xludf.DUMMYFUNCTION("""COMPUTED_VALUE"""),1210)</f>
        <v>1210</v>
      </c>
      <c r="Q186" s="1">
        <f ca="1">IFERROR(__xludf.DUMMYFUNCTION("""COMPUTED_VALUE"""),629)</f>
        <v>629</v>
      </c>
      <c r="R186" s="1">
        <f ca="1">IFERROR(__xludf.DUMMYFUNCTION("""COMPUTED_VALUE"""),1737)</f>
        <v>1737</v>
      </c>
      <c r="S186" s="1">
        <f ca="1">IFERROR(__xludf.DUMMYFUNCTION("""COMPUTED_VALUE"""),0.362)</f>
        <v>0.36199999999999999</v>
      </c>
      <c r="T186" s="1">
        <f ca="1">IFERROR(__xludf.DUMMYFUNCTION("""COMPUTED_VALUE"""),171)</f>
        <v>171</v>
      </c>
      <c r="U186" s="1">
        <f ca="1">IFERROR(__xludf.DUMMYFUNCTION("""COMPUTED_VALUE"""),691)</f>
        <v>691</v>
      </c>
      <c r="V186" s="1">
        <f ca="1">IFERROR(__xludf.DUMMYFUNCTION("""COMPUTED_VALUE"""),0.247)</f>
        <v>0.247</v>
      </c>
      <c r="W186" s="1">
        <f ca="1">IFERROR(__xludf.DUMMYFUNCTION("""COMPUTED_VALUE"""),288)</f>
        <v>288</v>
      </c>
      <c r="X186" s="1">
        <f ca="1">IFERROR(__xludf.DUMMYFUNCTION("""COMPUTED_VALUE"""),455)</f>
        <v>455</v>
      </c>
      <c r="Y186" s="1">
        <f ca="1">IFERROR(__xludf.DUMMYFUNCTION("""COMPUTED_VALUE"""),0.633)</f>
        <v>0.63300000000000001</v>
      </c>
      <c r="Z186" s="1">
        <f ca="1">IFERROR(__xludf.DUMMYFUNCTION("""COMPUTED_VALUE"""),304)</f>
        <v>304</v>
      </c>
      <c r="AA186" s="1">
        <f ca="1">IFERROR(__xludf.DUMMYFUNCTION("""COMPUTED_VALUE"""),1007)</f>
        <v>1007</v>
      </c>
      <c r="AB186" s="1">
        <f ca="1">IFERROR(__xludf.DUMMYFUNCTION("""COMPUTED_VALUE"""),325)</f>
        <v>325</v>
      </c>
      <c r="AC186" s="1">
        <f ca="1">IFERROR(__xludf.DUMMYFUNCTION("""COMPUTED_VALUE"""),229)</f>
        <v>229</v>
      </c>
      <c r="AD186" s="1">
        <f ca="1">IFERROR(__xludf.DUMMYFUNCTION("""COMPUTED_VALUE"""),96)</f>
        <v>96</v>
      </c>
      <c r="AE186" s="1">
        <f ca="1">IFERROR(__xludf.DUMMYFUNCTION("""COMPUTED_VALUE"""),444)</f>
        <v>444</v>
      </c>
      <c r="AF186" s="1">
        <f ca="1">IFERROR(__xludf.DUMMYFUNCTION("""COMPUTED_VALUE"""),541)</f>
        <v>541</v>
      </c>
    </row>
    <row r="187" spans="1:32" x14ac:dyDescent="0.25">
      <c r="A187" s="1" t="str">
        <f ca="1">IFERROR(__xludf.DUMMYFUNCTION("""COMPUTED_VALUE"""),"Maryland")</f>
        <v>Maryland</v>
      </c>
      <c r="B187" s="1">
        <f ca="1">IFERROR(__xludf.DUMMYFUNCTION("""COMPUTED_VALUE"""),29)</f>
        <v>29</v>
      </c>
      <c r="C187" s="1">
        <f ca="1">IFERROR(__xludf.DUMMYFUNCTION("""COMPUTED_VALUE"""),23)</f>
        <v>23</v>
      </c>
      <c r="D187" s="1">
        <f ca="1">IFERROR(__xludf.DUMMYFUNCTION("""COMPUTED_VALUE"""),6)</f>
        <v>6</v>
      </c>
      <c r="E187" s="1">
        <f ca="1">IFERROR(__xludf.DUMMYFUNCTION("""COMPUTED_VALUE"""),0.793)</f>
        <v>0.79300000000000004</v>
      </c>
      <c r="F187" s="1">
        <f ca="1">IFERROR(__xludf.DUMMYFUNCTION("""COMPUTED_VALUE"""),17.93)</f>
        <v>17.93</v>
      </c>
      <c r="G187" s="1">
        <f ca="1">IFERROR(__xludf.DUMMYFUNCTION("""COMPUTED_VALUE"""),10.18)</f>
        <v>10.18</v>
      </c>
      <c r="H187" s="1">
        <f ca="1">IFERROR(__xludf.DUMMYFUNCTION("""COMPUTED_VALUE"""),13)</f>
        <v>13</v>
      </c>
      <c r="I187" s="1">
        <f ca="1">IFERROR(__xludf.DUMMYFUNCTION("""COMPUTED_VALUE"""),5)</f>
        <v>5</v>
      </c>
      <c r="J187" s="1">
        <f ca="1">IFERROR(__xludf.DUMMYFUNCTION("""COMPUTED_VALUE"""),15)</f>
        <v>15</v>
      </c>
      <c r="K187" s="1">
        <f ca="1">IFERROR(__xludf.DUMMYFUNCTION("""COMPUTED_VALUE"""),1)</f>
        <v>1</v>
      </c>
      <c r="L187" s="1">
        <f ca="1">IFERROR(__xludf.DUMMYFUNCTION("""COMPUTED_VALUE"""),5)</f>
        <v>5</v>
      </c>
      <c r="M187" s="1">
        <f ca="1">IFERROR(__xludf.DUMMYFUNCTION("""COMPUTED_VALUE"""),5)</f>
        <v>5</v>
      </c>
      <c r="N187" s="1">
        <f ca="1">IFERROR(__xludf.DUMMYFUNCTION("""COMPUTED_VALUE"""),2076)</f>
        <v>2076</v>
      </c>
      <c r="O187" s="1">
        <f ca="1">IFERROR(__xludf.DUMMYFUNCTION("""COMPUTED_VALUE"""),1851)</f>
        <v>1851</v>
      </c>
      <c r="P187" s="1">
        <f ca="1">IFERROR(__xludf.DUMMYFUNCTION("""COMPUTED_VALUE"""),1160)</f>
        <v>1160</v>
      </c>
      <c r="Q187" s="1">
        <f ca="1">IFERROR(__xludf.DUMMYFUNCTION("""COMPUTED_VALUE"""),691)</f>
        <v>691</v>
      </c>
      <c r="R187" s="1">
        <f ca="1">IFERROR(__xludf.DUMMYFUNCTION("""COMPUTED_VALUE"""),1659)</f>
        <v>1659</v>
      </c>
      <c r="S187" s="1">
        <f ca="1">IFERROR(__xludf.DUMMYFUNCTION("""COMPUTED_VALUE"""),0.417)</f>
        <v>0.41699999999999998</v>
      </c>
      <c r="T187" s="1">
        <f ca="1">IFERROR(__xludf.DUMMYFUNCTION("""COMPUTED_VALUE"""),224)</f>
        <v>224</v>
      </c>
      <c r="U187" s="1">
        <f ca="1">IFERROR(__xludf.DUMMYFUNCTION("""COMPUTED_VALUE"""),713)</f>
        <v>713</v>
      </c>
      <c r="V187" s="1">
        <f ca="1">IFERROR(__xludf.DUMMYFUNCTION("""COMPUTED_VALUE"""),0.314)</f>
        <v>0.314</v>
      </c>
      <c r="W187" s="1">
        <f ca="1">IFERROR(__xludf.DUMMYFUNCTION("""COMPUTED_VALUE"""),470)</f>
        <v>470</v>
      </c>
      <c r="X187" s="1">
        <f ca="1">IFERROR(__xludf.DUMMYFUNCTION("""COMPUTED_VALUE"""),629)</f>
        <v>629</v>
      </c>
      <c r="Y187" s="1">
        <f ca="1">IFERROR(__xludf.DUMMYFUNCTION("""COMPUTED_VALUE"""),0.747)</f>
        <v>0.747</v>
      </c>
      <c r="Z187" s="1">
        <f ca="1">IFERROR(__xludf.DUMMYFUNCTION("""COMPUTED_VALUE"""),331)</f>
        <v>331</v>
      </c>
      <c r="AA187" s="1">
        <f ca="1">IFERROR(__xludf.DUMMYFUNCTION("""COMPUTED_VALUE"""),1118)</f>
        <v>1118</v>
      </c>
      <c r="AB187" s="1">
        <f ca="1">IFERROR(__xludf.DUMMYFUNCTION("""COMPUTED_VALUE"""),383)</f>
        <v>383</v>
      </c>
      <c r="AC187" s="1">
        <f ca="1">IFERROR(__xludf.DUMMYFUNCTION("""COMPUTED_VALUE"""),136)</f>
        <v>136</v>
      </c>
      <c r="AD187" s="1">
        <f ca="1">IFERROR(__xludf.DUMMYFUNCTION("""COMPUTED_VALUE"""),126)</f>
        <v>126</v>
      </c>
      <c r="AE187" s="1">
        <f ca="1">IFERROR(__xludf.DUMMYFUNCTION("""COMPUTED_VALUE"""),333)</f>
        <v>333</v>
      </c>
      <c r="AF187" s="1">
        <f ca="1">IFERROR(__xludf.DUMMYFUNCTION("""COMPUTED_VALUE"""),431)</f>
        <v>431</v>
      </c>
    </row>
    <row r="188" spans="1:32" x14ac:dyDescent="0.25">
      <c r="A188" s="1" t="str">
        <f ca="1">IFERROR(__xludf.DUMMYFUNCTION("""COMPUTED_VALUE"""),"Massachusetts-Lowell")</f>
        <v>Massachusetts-Lowell</v>
      </c>
      <c r="B188" s="1">
        <f ca="1">IFERROR(__xludf.DUMMYFUNCTION("""COMPUTED_VALUE"""),30)</f>
        <v>30</v>
      </c>
      <c r="C188" s="1">
        <f ca="1">IFERROR(__xludf.DUMMYFUNCTION("""COMPUTED_VALUE"""),12)</f>
        <v>12</v>
      </c>
      <c r="D188" s="1">
        <f ca="1">IFERROR(__xludf.DUMMYFUNCTION("""COMPUTED_VALUE"""),18)</f>
        <v>18</v>
      </c>
      <c r="E188" s="1">
        <f ca="1">IFERROR(__xludf.DUMMYFUNCTION("""COMPUTED_VALUE"""),0.4)</f>
        <v>0.4</v>
      </c>
      <c r="F188" s="1">
        <f ca="1">IFERROR(__xludf.DUMMYFUNCTION("""COMPUTED_VALUE"""),-8.05)</f>
        <v>-8.0500000000000007</v>
      </c>
      <c r="G188" s="1">
        <f ca="1">IFERROR(__xludf.DUMMYFUNCTION("""COMPUTED_VALUE"""),-5.19)</f>
        <v>-5.19</v>
      </c>
      <c r="H188" s="1">
        <f ca="1">IFERROR(__xludf.DUMMYFUNCTION("""COMPUTED_VALUE"""),6)</f>
        <v>6</v>
      </c>
      <c r="I188" s="1">
        <f ca="1">IFERROR(__xludf.DUMMYFUNCTION("""COMPUTED_VALUE"""),9)</f>
        <v>9</v>
      </c>
      <c r="J188" s="1">
        <f ca="1">IFERROR(__xludf.DUMMYFUNCTION("""COMPUTED_VALUE"""),8)</f>
        <v>8</v>
      </c>
      <c r="K188" s="1">
        <f ca="1">IFERROR(__xludf.DUMMYFUNCTION("""COMPUTED_VALUE"""),9)</f>
        <v>9</v>
      </c>
      <c r="L188" s="1">
        <f ca="1">IFERROR(__xludf.DUMMYFUNCTION("""COMPUTED_VALUE"""),4)</f>
        <v>4</v>
      </c>
      <c r="M188" s="1">
        <f ca="1">IFERROR(__xludf.DUMMYFUNCTION("""COMPUTED_VALUE"""),9)</f>
        <v>9</v>
      </c>
      <c r="N188" s="1">
        <f ca="1">IFERROR(__xludf.DUMMYFUNCTION("""COMPUTED_VALUE"""),2250)</f>
        <v>2250</v>
      </c>
      <c r="O188" s="1">
        <f ca="1">IFERROR(__xludf.DUMMYFUNCTION("""COMPUTED_VALUE"""),2290)</f>
        <v>2290</v>
      </c>
      <c r="P188" s="1">
        <f ca="1">IFERROR(__xludf.DUMMYFUNCTION("""COMPUTED_VALUE"""),1215)</f>
        <v>1215</v>
      </c>
      <c r="Q188" s="1">
        <f ca="1">IFERROR(__xludf.DUMMYFUNCTION("""COMPUTED_VALUE"""),793)</f>
        <v>793</v>
      </c>
      <c r="R188" s="1">
        <f ca="1">IFERROR(__xludf.DUMMYFUNCTION("""COMPUTED_VALUE"""),1728)</f>
        <v>1728</v>
      </c>
      <c r="S188" s="1">
        <f ca="1">IFERROR(__xludf.DUMMYFUNCTION("""COMPUTED_VALUE"""),0.459)</f>
        <v>0.45900000000000002</v>
      </c>
      <c r="T188" s="1">
        <f ca="1">IFERROR(__xludf.DUMMYFUNCTION("""COMPUTED_VALUE"""),207)</f>
        <v>207</v>
      </c>
      <c r="U188" s="1">
        <f ca="1">IFERROR(__xludf.DUMMYFUNCTION("""COMPUTED_VALUE"""),618)</f>
        <v>618</v>
      </c>
      <c r="V188" s="1">
        <f ca="1">IFERROR(__xludf.DUMMYFUNCTION("""COMPUTED_VALUE"""),0.335)</f>
        <v>0.33500000000000002</v>
      </c>
      <c r="W188" s="1">
        <f ca="1">IFERROR(__xludf.DUMMYFUNCTION("""COMPUTED_VALUE"""),457)</f>
        <v>457</v>
      </c>
      <c r="X188" s="1">
        <f ca="1">IFERROR(__xludf.DUMMYFUNCTION("""COMPUTED_VALUE"""),638)</f>
        <v>638</v>
      </c>
      <c r="Y188" s="1">
        <f ca="1">IFERROR(__xludf.DUMMYFUNCTION("""COMPUTED_VALUE"""),0.716)</f>
        <v>0.71599999999999997</v>
      </c>
      <c r="Z188" s="1">
        <f ca="1">IFERROR(__xludf.DUMMYFUNCTION("""COMPUTED_VALUE"""),283)</f>
        <v>283</v>
      </c>
      <c r="AA188" s="1">
        <f ca="1">IFERROR(__xludf.DUMMYFUNCTION("""COMPUTED_VALUE"""),1023)</f>
        <v>1023</v>
      </c>
      <c r="AB188" s="1">
        <f ca="1">IFERROR(__xludf.DUMMYFUNCTION("""COMPUTED_VALUE"""),445)</f>
        <v>445</v>
      </c>
      <c r="AC188" s="1">
        <f ca="1">IFERROR(__xludf.DUMMYFUNCTION("""COMPUTED_VALUE"""),211)</f>
        <v>211</v>
      </c>
      <c r="AD188" s="1">
        <f ca="1">IFERROR(__xludf.DUMMYFUNCTION("""COMPUTED_VALUE"""),78)</f>
        <v>78</v>
      </c>
      <c r="AE188" s="1">
        <f ca="1">IFERROR(__xludf.DUMMYFUNCTION("""COMPUTED_VALUE"""),407)</f>
        <v>407</v>
      </c>
      <c r="AF188" s="1">
        <f ca="1">IFERROR(__xludf.DUMMYFUNCTION("""COMPUTED_VALUE"""),503)</f>
        <v>503</v>
      </c>
    </row>
    <row r="189" spans="1:32" x14ac:dyDescent="0.25">
      <c r="A189" s="1" t="str">
        <f ca="1">IFERROR(__xludf.DUMMYFUNCTION("""COMPUTED_VALUE"""),"Massachusetts")</f>
        <v>Massachusetts</v>
      </c>
      <c r="B189" s="1">
        <f ca="1">IFERROR(__xludf.DUMMYFUNCTION("""COMPUTED_VALUE"""),29)</f>
        <v>29</v>
      </c>
      <c r="C189" s="1">
        <f ca="1">IFERROR(__xludf.DUMMYFUNCTION("""COMPUTED_VALUE"""),13)</f>
        <v>13</v>
      </c>
      <c r="D189" s="1">
        <f ca="1">IFERROR(__xludf.DUMMYFUNCTION("""COMPUTED_VALUE"""),16)</f>
        <v>16</v>
      </c>
      <c r="E189" s="1">
        <f ca="1">IFERROR(__xludf.DUMMYFUNCTION("""COMPUTED_VALUE"""),0.448)</f>
        <v>0.44800000000000001</v>
      </c>
      <c r="F189" s="1">
        <f ca="1">IFERROR(__xludf.DUMMYFUNCTION("""COMPUTED_VALUE"""),0.58)</f>
        <v>0.57999999999999996</v>
      </c>
      <c r="G189" s="1">
        <f ca="1">IFERROR(__xludf.DUMMYFUNCTION("""COMPUTED_VALUE"""),3.79)</f>
        <v>3.79</v>
      </c>
      <c r="H189" s="1">
        <f ca="1">IFERROR(__xludf.DUMMYFUNCTION("""COMPUTED_VALUE"""),7)</f>
        <v>7</v>
      </c>
      <c r="I189" s="1">
        <f ca="1">IFERROR(__xludf.DUMMYFUNCTION("""COMPUTED_VALUE"""),9)</f>
        <v>9</v>
      </c>
      <c r="J189" s="1">
        <f ca="1">IFERROR(__xludf.DUMMYFUNCTION("""COMPUTED_VALUE"""),11)</f>
        <v>11</v>
      </c>
      <c r="K189" s="1">
        <f ca="1">IFERROR(__xludf.DUMMYFUNCTION("""COMPUTED_VALUE"""),4)</f>
        <v>4</v>
      </c>
      <c r="L189" s="1">
        <f ca="1">IFERROR(__xludf.DUMMYFUNCTION("""COMPUTED_VALUE"""),2)</f>
        <v>2</v>
      </c>
      <c r="M189" s="1">
        <f ca="1">IFERROR(__xludf.DUMMYFUNCTION("""COMPUTED_VALUE"""),9)</f>
        <v>9</v>
      </c>
      <c r="N189" s="1">
        <f ca="1">IFERROR(__xludf.DUMMYFUNCTION("""COMPUTED_VALUE"""),1986)</f>
        <v>1986</v>
      </c>
      <c r="O189" s="1">
        <f ca="1">IFERROR(__xludf.DUMMYFUNCTION("""COMPUTED_VALUE"""),2079)</f>
        <v>2079</v>
      </c>
      <c r="P189" s="1">
        <f ca="1">IFERROR(__xludf.DUMMYFUNCTION("""COMPUTED_VALUE"""),1170)</f>
        <v>1170</v>
      </c>
      <c r="Q189" s="1">
        <f ca="1">IFERROR(__xludf.DUMMYFUNCTION("""COMPUTED_VALUE"""),716)</f>
        <v>716</v>
      </c>
      <c r="R189" s="1">
        <f ca="1">IFERROR(__xludf.DUMMYFUNCTION("""COMPUTED_VALUE"""),1681)</f>
        <v>1681</v>
      </c>
      <c r="S189" s="1">
        <f ca="1">IFERROR(__xludf.DUMMYFUNCTION("""COMPUTED_VALUE"""),0.426)</f>
        <v>0.42599999999999999</v>
      </c>
      <c r="T189" s="1">
        <f ca="1">IFERROR(__xludf.DUMMYFUNCTION("""COMPUTED_VALUE"""),216)</f>
        <v>216</v>
      </c>
      <c r="U189" s="1">
        <f ca="1">IFERROR(__xludf.DUMMYFUNCTION("""COMPUTED_VALUE"""),658)</f>
        <v>658</v>
      </c>
      <c r="V189" s="1">
        <f ca="1">IFERROR(__xludf.DUMMYFUNCTION("""COMPUTED_VALUE"""),0.328)</f>
        <v>0.32800000000000001</v>
      </c>
      <c r="W189" s="1">
        <f ca="1">IFERROR(__xludf.DUMMYFUNCTION("""COMPUTED_VALUE"""),338)</f>
        <v>338</v>
      </c>
      <c r="X189" s="1">
        <f ca="1">IFERROR(__xludf.DUMMYFUNCTION("""COMPUTED_VALUE"""),491)</f>
        <v>491</v>
      </c>
      <c r="Y189" s="1">
        <f ca="1">IFERROR(__xludf.DUMMYFUNCTION("""COMPUTED_VALUE"""),0.688)</f>
        <v>0.68799999999999994</v>
      </c>
      <c r="Z189" s="1">
        <f ca="1">IFERROR(__xludf.DUMMYFUNCTION("""COMPUTED_VALUE"""),264)</f>
        <v>264</v>
      </c>
      <c r="AA189" s="1">
        <f ca="1">IFERROR(__xludf.DUMMYFUNCTION("""COMPUTED_VALUE"""),945)</f>
        <v>945</v>
      </c>
      <c r="AB189" s="1">
        <f ca="1">IFERROR(__xludf.DUMMYFUNCTION("""COMPUTED_VALUE"""),383)</f>
        <v>383</v>
      </c>
      <c r="AC189" s="1">
        <f ca="1">IFERROR(__xludf.DUMMYFUNCTION("""COMPUTED_VALUE"""),199)</f>
        <v>199</v>
      </c>
      <c r="AD189" s="1">
        <f ca="1">IFERROR(__xludf.DUMMYFUNCTION("""COMPUTED_VALUE"""),90)</f>
        <v>90</v>
      </c>
      <c r="AE189" s="1">
        <f ca="1">IFERROR(__xludf.DUMMYFUNCTION("""COMPUTED_VALUE"""),384)</f>
        <v>384</v>
      </c>
      <c r="AF189" s="1">
        <f ca="1">IFERROR(__xludf.DUMMYFUNCTION("""COMPUTED_VALUE"""),531)</f>
        <v>531</v>
      </c>
    </row>
    <row r="190" spans="1:32" x14ac:dyDescent="0.25">
      <c r="A190" s="1" t="str">
        <f ca="1">IFERROR(__xludf.DUMMYFUNCTION("""COMPUTED_VALUE"""),"McNeese State")</f>
        <v>McNeese State</v>
      </c>
      <c r="B190" s="1">
        <f ca="1">IFERROR(__xludf.DUMMYFUNCTION("""COMPUTED_VALUE"""),29)</f>
        <v>29</v>
      </c>
      <c r="C190" s="1">
        <f ca="1">IFERROR(__xludf.DUMMYFUNCTION("""COMPUTED_VALUE"""),14)</f>
        <v>14</v>
      </c>
      <c r="D190" s="1">
        <f ca="1">IFERROR(__xludf.DUMMYFUNCTION("""COMPUTED_VALUE"""),15)</f>
        <v>15</v>
      </c>
      <c r="E190" s="1">
        <f ca="1">IFERROR(__xludf.DUMMYFUNCTION("""COMPUTED_VALUE"""),0.483)</f>
        <v>0.48299999999999998</v>
      </c>
      <c r="F190" s="1">
        <f ca="1">IFERROR(__xludf.DUMMYFUNCTION("""COMPUTED_VALUE"""),-8)</f>
        <v>-8</v>
      </c>
      <c r="G190" s="1">
        <f ca="1">IFERROR(__xludf.DUMMYFUNCTION("""COMPUTED_VALUE"""),-7.2)</f>
        <v>-7.2</v>
      </c>
      <c r="H190" s="1">
        <f ca="1">IFERROR(__xludf.DUMMYFUNCTION("""COMPUTED_VALUE"""),9)</f>
        <v>9</v>
      </c>
      <c r="I190" s="1">
        <f ca="1">IFERROR(__xludf.DUMMYFUNCTION("""COMPUTED_VALUE"""),9)</f>
        <v>9</v>
      </c>
      <c r="J190" s="1">
        <f ca="1">IFERROR(__xludf.DUMMYFUNCTION("""COMPUTED_VALUE"""),10)</f>
        <v>10</v>
      </c>
      <c r="K190" s="1">
        <f ca="1">IFERROR(__xludf.DUMMYFUNCTION("""COMPUTED_VALUE"""),5)</f>
        <v>5</v>
      </c>
      <c r="L190" s="1">
        <f ca="1">IFERROR(__xludf.DUMMYFUNCTION("""COMPUTED_VALUE"""),4)</f>
        <v>4</v>
      </c>
      <c r="M190" s="1">
        <f ca="1">IFERROR(__xludf.DUMMYFUNCTION("""COMPUTED_VALUE"""),10)</f>
        <v>10</v>
      </c>
      <c r="N190" s="1">
        <f ca="1">IFERROR(__xludf.DUMMYFUNCTION("""COMPUTED_VALUE"""),2355)</f>
        <v>2355</v>
      </c>
      <c r="O190" s="1">
        <f ca="1">IFERROR(__xludf.DUMMYFUNCTION("""COMPUTED_VALUE"""),2164)</f>
        <v>2164</v>
      </c>
      <c r="P190" s="1">
        <f ca="1">IFERROR(__xludf.DUMMYFUNCTION("""COMPUTED_VALUE"""),1170)</f>
        <v>1170</v>
      </c>
      <c r="Q190" s="1">
        <f ca="1">IFERROR(__xludf.DUMMYFUNCTION("""COMPUTED_VALUE"""),841)</f>
        <v>841</v>
      </c>
      <c r="R190" s="1">
        <f ca="1">IFERROR(__xludf.DUMMYFUNCTION("""COMPUTED_VALUE"""),1660)</f>
        <v>1660</v>
      </c>
      <c r="S190" s="1">
        <f ca="1">IFERROR(__xludf.DUMMYFUNCTION("""COMPUTED_VALUE"""),0.507)</f>
        <v>0.50700000000000001</v>
      </c>
      <c r="T190" s="1">
        <f ca="1">IFERROR(__xludf.DUMMYFUNCTION("""COMPUTED_VALUE"""),255)</f>
        <v>255</v>
      </c>
      <c r="U190" s="1">
        <f ca="1">IFERROR(__xludf.DUMMYFUNCTION("""COMPUTED_VALUE"""),619)</f>
        <v>619</v>
      </c>
      <c r="V190" s="1">
        <f ca="1">IFERROR(__xludf.DUMMYFUNCTION("""COMPUTED_VALUE"""),0.412)</f>
        <v>0.41199999999999998</v>
      </c>
      <c r="W190" s="1">
        <f ca="1">IFERROR(__xludf.DUMMYFUNCTION("""COMPUTED_VALUE"""),418)</f>
        <v>418</v>
      </c>
      <c r="X190" s="1">
        <f ca="1">IFERROR(__xludf.DUMMYFUNCTION("""COMPUTED_VALUE"""),578)</f>
        <v>578</v>
      </c>
      <c r="Y190" s="1">
        <f ca="1">IFERROR(__xludf.DUMMYFUNCTION("""COMPUTED_VALUE"""),0.723)</f>
        <v>0.72299999999999998</v>
      </c>
      <c r="Z190" s="1">
        <f ca="1">IFERROR(__xludf.DUMMYFUNCTION("""COMPUTED_VALUE"""),290)</f>
        <v>290</v>
      </c>
      <c r="AA190" s="1">
        <f ca="1">IFERROR(__xludf.DUMMYFUNCTION("""COMPUTED_VALUE"""),1043)</f>
        <v>1043</v>
      </c>
      <c r="AB190" s="1">
        <f ca="1">IFERROR(__xludf.DUMMYFUNCTION("""COMPUTED_VALUE"""),486)</f>
        <v>486</v>
      </c>
      <c r="AC190" s="1">
        <f ca="1">IFERROR(__xludf.DUMMYFUNCTION("""COMPUTED_VALUE"""),196)</f>
        <v>196</v>
      </c>
      <c r="AD190" s="1">
        <f ca="1">IFERROR(__xludf.DUMMYFUNCTION("""COMPUTED_VALUE"""),117)</f>
        <v>117</v>
      </c>
      <c r="AE190" s="1">
        <f ca="1">IFERROR(__xludf.DUMMYFUNCTION("""COMPUTED_VALUE"""),465)</f>
        <v>465</v>
      </c>
      <c r="AF190" s="1">
        <f ca="1">IFERROR(__xludf.DUMMYFUNCTION("""COMPUTED_VALUE"""),490)</f>
        <v>490</v>
      </c>
    </row>
    <row r="191" spans="1:32" x14ac:dyDescent="0.25">
      <c r="A191" s="1" t="str">
        <f ca="1">IFERROR(__xludf.DUMMYFUNCTION("""COMPUTED_VALUE"""),"Memphis")</f>
        <v>Memphis</v>
      </c>
      <c r="B191" s="1">
        <f ca="1">IFERROR(__xludf.DUMMYFUNCTION("""COMPUTED_VALUE"""),29)</f>
        <v>29</v>
      </c>
      <c r="C191" s="1">
        <f ca="1">IFERROR(__xludf.DUMMYFUNCTION("""COMPUTED_VALUE"""),20)</f>
        <v>20</v>
      </c>
      <c r="D191" s="1">
        <f ca="1">IFERROR(__xludf.DUMMYFUNCTION("""COMPUTED_VALUE"""),9)</f>
        <v>9</v>
      </c>
      <c r="E191" s="1">
        <f ca="1">IFERROR(__xludf.DUMMYFUNCTION("""COMPUTED_VALUE"""),0.69)</f>
        <v>0.69</v>
      </c>
      <c r="F191" s="1">
        <f ca="1">IFERROR(__xludf.DUMMYFUNCTION("""COMPUTED_VALUE"""),11.86)</f>
        <v>11.86</v>
      </c>
      <c r="G191" s="1">
        <f ca="1">IFERROR(__xludf.DUMMYFUNCTION("""COMPUTED_VALUE"""),4.31)</f>
        <v>4.3099999999999996</v>
      </c>
      <c r="H191" s="1">
        <f ca="1">IFERROR(__xludf.DUMMYFUNCTION("""COMPUTED_VALUE"""),9)</f>
        <v>9</v>
      </c>
      <c r="I191" s="1">
        <f ca="1">IFERROR(__xludf.DUMMYFUNCTION("""COMPUTED_VALUE"""),7)</f>
        <v>7</v>
      </c>
      <c r="J191" s="1">
        <f ca="1">IFERROR(__xludf.DUMMYFUNCTION("""COMPUTED_VALUE"""),14)</f>
        <v>14</v>
      </c>
      <c r="K191" s="1">
        <f ca="1">IFERROR(__xludf.DUMMYFUNCTION("""COMPUTED_VALUE"""),3)</f>
        <v>3</v>
      </c>
      <c r="L191" s="1">
        <f ca="1">IFERROR(__xludf.DUMMYFUNCTION("""COMPUTED_VALUE"""),5)</f>
        <v>5</v>
      </c>
      <c r="M191" s="1">
        <f ca="1">IFERROR(__xludf.DUMMYFUNCTION("""COMPUTED_VALUE"""),5)</f>
        <v>5</v>
      </c>
      <c r="N191" s="1">
        <f ca="1">IFERROR(__xludf.DUMMYFUNCTION("""COMPUTED_VALUE"""),2107)</f>
        <v>2107</v>
      </c>
      <c r="O191" s="1">
        <f ca="1">IFERROR(__xludf.DUMMYFUNCTION("""COMPUTED_VALUE"""),1888)</f>
        <v>1888</v>
      </c>
      <c r="P191" s="1">
        <f ca="1">IFERROR(__xludf.DUMMYFUNCTION("""COMPUTED_VALUE"""),1170)</f>
        <v>1170</v>
      </c>
      <c r="Q191" s="1">
        <f ca="1">IFERROR(__xludf.DUMMYFUNCTION("""COMPUTED_VALUE"""),734)</f>
        <v>734</v>
      </c>
      <c r="R191" s="1">
        <f ca="1">IFERROR(__xludf.DUMMYFUNCTION("""COMPUTED_VALUE"""),1652)</f>
        <v>1652</v>
      </c>
      <c r="S191" s="1">
        <f ca="1">IFERROR(__xludf.DUMMYFUNCTION("""COMPUTED_VALUE"""),0.444)</f>
        <v>0.44400000000000001</v>
      </c>
      <c r="T191" s="1">
        <f ca="1">IFERROR(__xludf.DUMMYFUNCTION("""COMPUTED_VALUE"""),189)</f>
        <v>189</v>
      </c>
      <c r="U191" s="1">
        <f ca="1">IFERROR(__xludf.DUMMYFUNCTION("""COMPUTED_VALUE"""),570)</f>
        <v>570</v>
      </c>
      <c r="V191" s="1">
        <f ca="1">IFERROR(__xludf.DUMMYFUNCTION("""COMPUTED_VALUE"""),0.332)</f>
        <v>0.33200000000000002</v>
      </c>
      <c r="W191" s="1">
        <f ca="1">IFERROR(__xludf.DUMMYFUNCTION("""COMPUTED_VALUE"""),450)</f>
        <v>450</v>
      </c>
      <c r="X191" s="1">
        <f ca="1">IFERROR(__xludf.DUMMYFUNCTION("""COMPUTED_VALUE"""),664)</f>
        <v>664</v>
      </c>
      <c r="Y191" s="1">
        <f ca="1">IFERROR(__xludf.DUMMYFUNCTION("""COMPUTED_VALUE"""),0.678)</f>
        <v>0.67800000000000005</v>
      </c>
      <c r="Z191" s="1">
        <f ca="1">IFERROR(__xludf.DUMMYFUNCTION("""COMPUTED_VALUE"""),305)</f>
        <v>305</v>
      </c>
      <c r="AA191" s="1">
        <f ca="1">IFERROR(__xludf.DUMMYFUNCTION("""COMPUTED_VALUE"""),1160)</f>
        <v>1160</v>
      </c>
      <c r="AB191" s="1">
        <f ca="1">IFERROR(__xludf.DUMMYFUNCTION("""COMPUTED_VALUE"""),412)</f>
        <v>412</v>
      </c>
      <c r="AC191" s="1">
        <f ca="1">IFERROR(__xludf.DUMMYFUNCTION("""COMPUTED_VALUE"""),232)</f>
        <v>232</v>
      </c>
      <c r="AD191" s="1">
        <f ca="1">IFERROR(__xludf.DUMMYFUNCTION("""COMPUTED_VALUE"""),174)</f>
        <v>174</v>
      </c>
      <c r="AE191" s="1">
        <f ca="1">IFERROR(__xludf.DUMMYFUNCTION("""COMPUTED_VALUE"""),486)</f>
        <v>486</v>
      </c>
      <c r="AF191" s="1">
        <f ca="1">IFERROR(__xludf.DUMMYFUNCTION("""COMPUTED_VALUE"""),567)</f>
        <v>567</v>
      </c>
    </row>
    <row r="192" spans="1:32" x14ac:dyDescent="0.25">
      <c r="A192" s="1" t="str">
        <f ca="1">IFERROR(__xludf.DUMMYFUNCTION("""COMPUTED_VALUE"""),"Mercer")</f>
        <v>Mercer</v>
      </c>
      <c r="B192" s="1">
        <f ca="1">IFERROR(__xludf.DUMMYFUNCTION("""COMPUTED_VALUE"""),31)</f>
        <v>31</v>
      </c>
      <c r="C192" s="1">
        <f ca="1">IFERROR(__xludf.DUMMYFUNCTION("""COMPUTED_VALUE"""),17)</f>
        <v>17</v>
      </c>
      <c r="D192" s="1">
        <f ca="1">IFERROR(__xludf.DUMMYFUNCTION("""COMPUTED_VALUE"""),14)</f>
        <v>14</v>
      </c>
      <c r="E192" s="1">
        <f ca="1">IFERROR(__xludf.DUMMYFUNCTION("""COMPUTED_VALUE"""),0.548)</f>
        <v>0.54800000000000004</v>
      </c>
      <c r="F192" s="1">
        <f ca="1">IFERROR(__xludf.DUMMYFUNCTION("""COMPUTED_VALUE"""),-2.74)</f>
        <v>-2.74</v>
      </c>
      <c r="G192" s="1">
        <f ca="1">IFERROR(__xludf.DUMMYFUNCTION("""COMPUTED_VALUE"""),-2.78)</f>
        <v>-2.78</v>
      </c>
      <c r="H192" s="1">
        <f ca="1">IFERROR(__xludf.DUMMYFUNCTION("""COMPUTED_VALUE"""),11)</f>
        <v>11</v>
      </c>
      <c r="I192" s="1">
        <f ca="1">IFERROR(__xludf.DUMMYFUNCTION("""COMPUTED_VALUE"""),7)</f>
        <v>7</v>
      </c>
      <c r="J192" s="1">
        <f ca="1">IFERROR(__xludf.DUMMYFUNCTION("""COMPUTED_VALUE"""),9)</f>
        <v>9</v>
      </c>
      <c r="K192" s="1">
        <f ca="1">IFERROR(__xludf.DUMMYFUNCTION("""COMPUTED_VALUE"""),6)</f>
        <v>6</v>
      </c>
      <c r="L192" s="1">
        <f ca="1">IFERROR(__xludf.DUMMYFUNCTION("""COMPUTED_VALUE"""),8)</f>
        <v>8</v>
      </c>
      <c r="M192" s="1">
        <f ca="1">IFERROR(__xludf.DUMMYFUNCTION("""COMPUTED_VALUE"""),6)</f>
        <v>6</v>
      </c>
      <c r="N192" s="1">
        <f ca="1">IFERROR(__xludf.DUMMYFUNCTION("""COMPUTED_VALUE"""),2238)</f>
        <v>2238</v>
      </c>
      <c r="O192" s="1">
        <f ca="1">IFERROR(__xludf.DUMMYFUNCTION("""COMPUTED_VALUE"""),2178)</f>
        <v>2178</v>
      </c>
      <c r="P192" s="1">
        <f ca="1">IFERROR(__xludf.DUMMYFUNCTION("""COMPUTED_VALUE"""),1240)</f>
        <v>1240</v>
      </c>
      <c r="Q192" s="1">
        <f ca="1">IFERROR(__xludf.DUMMYFUNCTION("""COMPUTED_VALUE"""),825)</f>
        <v>825</v>
      </c>
      <c r="R192" s="1">
        <f ca="1">IFERROR(__xludf.DUMMYFUNCTION("""COMPUTED_VALUE"""),1830)</f>
        <v>1830</v>
      </c>
      <c r="S192" s="1">
        <f ca="1">IFERROR(__xludf.DUMMYFUNCTION("""COMPUTED_VALUE"""),0.451)</f>
        <v>0.45100000000000001</v>
      </c>
      <c r="T192" s="1">
        <f ca="1">IFERROR(__xludf.DUMMYFUNCTION("""COMPUTED_VALUE"""),240)</f>
        <v>240</v>
      </c>
      <c r="U192" s="1">
        <f ca="1">IFERROR(__xludf.DUMMYFUNCTION("""COMPUTED_VALUE"""),669)</f>
        <v>669</v>
      </c>
      <c r="V192" s="1">
        <f ca="1">IFERROR(__xludf.DUMMYFUNCTION("""COMPUTED_VALUE"""),0.359)</f>
        <v>0.35899999999999999</v>
      </c>
      <c r="W192" s="1">
        <f ca="1">IFERROR(__xludf.DUMMYFUNCTION("""COMPUTED_VALUE"""),348)</f>
        <v>348</v>
      </c>
      <c r="X192" s="1">
        <f ca="1">IFERROR(__xludf.DUMMYFUNCTION("""COMPUTED_VALUE"""),479)</f>
        <v>479</v>
      </c>
      <c r="Y192" s="1">
        <f ca="1">IFERROR(__xludf.DUMMYFUNCTION("""COMPUTED_VALUE"""),0.727)</f>
        <v>0.72699999999999998</v>
      </c>
      <c r="Z192" s="1">
        <f ca="1">IFERROR(__xludf.DUMMYFUNCTION("""COMPUTED_VALUE"""),321)</f>
        <v>321</v>
      </c>
      <c r="AA192" s="1">
        <f ca="1">IFERROR(__xludf.DUMMYFUNCTION("""COMPUTED_VALUE"""),1138)</f>
        <v>1138</v>
      </c>
      <c r="AB192" s="1">
        <f ca="1">IFERROR(__xludf.DUMMYFUNCTION("""COMPUTED_VALUE"""),451)</f>
        <v>451</v>
      </c>
      <c r="AC192" s="1">
        <f ca="1">IFERROR(__xludf.DUMMYFUNCTION("""COMPUTED_VALUE"""),205)</f>
        <v>205</v>
      </c>
      <c r="AD192" s="1">
        <f ca="1">IFERROR(__xludf.DUMMYFUNCTION("""COMPUTED_VALUE"""),82)</f>
        <v>82</v>
      </c>
      <c r="AE192" s="1">
        <f ca="1">IFERROR(__xludf.DUMMYFUNCTION("""COMPUTED_VALUE"""),447)</f>
        <v>447</v>
      </c>
      <c r="AF192" s="1">
        <f ca="1">IFERROR(__xludf.DUMMYFUNCTION("""COMPUTED_VALUE"""),576)</f>
        <v>576</v>
      </c>
    </row>
    <row r="193" spans="1:32" x14ac:dyDescent="0.25">
      <c r="A193" s="1" t="str">
        <f ca="1">IFERROR(__xludf.DUMMYFUNCTION("""COMPUTED_VALUE"""),"Merrimack")</f>
        <v>Merrimack</v>
      </c>
      <c r="B193" s="1">
        <f ca="1">IFERROR(__xludf.DUMMYFUNCTION("""COMPUTED_VALUE"""),31)</f>
        <v>31</v>
      </c>
      <c r="C193" s="1">
        <f ca="1">IFERROR(__xludf.DUMMYFUNCTION("""COMPUTED_VALUE"""),20)</f>
        <v>20</v>
      </c>
      <c r="D193" s="1">
        <f ca="1">IFERROR(__xludf.DUMMYFUNCTION("""COMPUTED_VALUE"""),11)</f>
        <v>11</v>
      </c>
      <c r="E193" s="1">
        <f ca="1">IFERROR(__xludf.DUMMYFUNCTION("""COMPUTED_VALUE"""),0.645)</f>
        <v>0.64500000000000002</v>
      </c>
      <c r="F193" s="1">
        <f ca="1">IFERROR(__xludf.DUMMYFUNCTION("""COMPUTED_VALUE"""),-6.95)</f>
        <v>-6.95</v>
      </c>
      <c r="G193" s="1">
        <f ca="1">IFERROR(__xludf.DUMMYFUNCTION("""COMPUTED_VALUE"""),-6.55)</f>
        <v>-6.55</v>
      </c>
      <c r="H193" s="1">
        <f ca="1">IFERROR(__xludf.DUMMYFUNCTION("""COMPUTED_VALUE"""),14)</f>
        <v>14</v>
      </c>
      <c r="I193" s="1">
        <f ca="1">IFERROR(__xludf.DUMMYFUNCTION("""COMPUTED_VALUE"""),4)</f>
        <v>4</v>
      </c>
      <c r="J193" s="1">
        <f ca="1">IFERROR(__xludf.DUMMYFUNCTION("""COMPUTED_VALUE"""),10)</f>
        <v>10</v>
      </c>
      <c r="K193" s="1">
        <f ca="1">IFERROR(__xludf.DUMMYFUNCTION("""COMPUTED_VALUE"""),2)</f>
        <v>2</v>
      </c>
      <c r="L193" s="1">
        <f ca="1">IFERROR(__xludf.DUMMYFUNCTION("""COMPUTED_VALUE"""),9)</f>
        <v>9</v>
      </c>
      <c r="M193" s="1">
        <f ca="1">IFERROR(__xludf.DUMMYFUNCTION("""COMPUTED_VALUE"""),8)</f>
        <v>8</v>
      </c>
      <c r="N193" s="1">
        <f ca="1">IFERROR(__xludf.DUMMYFUNCTION("""COMPUTED_VALUE"""),1948)</f>
        <v>1948</v>
      </c>
      <c r="O193" s="1">
        <f ca="1">IFERROR(__xludf.DUMMYFUNCTION("""COMPUTED_VALUE"""),1866)</f>
        <v>1866</v>
      </c>
      <c r="P193" s="1">
        <f ca="1">IFERROR(__xludf.DUMMYFUNCTION("""COMPUTED_VALUE"""),1255)</f>
        <v>1255</v>
      </c>
      <c r="Q193" s="1">
        <f ca="1">IFERROR(__xludf.DUMMYFUNCTION("""COMPUTED_VALUE"""),705)</f>
        <v>705</v>
      </c>
      <c r="R193" s="1">
        <f ca="1">IFERROR(__xludf.DUMMYFUNCTION("""COMPUTED_VALUE"""),1682)</f>
        <v>1682</v>
      </c>
      <c r="S193" s="1">
        <f ca="1">IFERROR(__xludf.DUMMYFUNCTION("""COMPUTED_VALUE"""),0.419)</f>
        <v>0.41899999999999998</v>
      </c>
      <c r="T193" s="1">
        <f ca="1">IFERROR(__xludf.DUMMYFUNCTION("""COMPUTED_VALUE"""),247)</f>
        <v>247</v>
      </c>
      <c r="U193" s="1">
        <f ca="1">IFERROR(__xludf.DUMMYFUNCTION("""COMPUTED_VALUE"""),728)</f>
        <v>728</v>
      </c>
      <c r="V193" s="1">
        <f ca="1">IFERROR(__xludf.DUMMYFUNCTION("""COMPUTED_VALUE"""),0.339)</f>
        <v>0.33900000000000002</v>
      </c>
      <c r="W193" s="1">
        <f ca="1">IFERROR(__xludf.DUMMYFUNCTION("""COMPUTED_VALUE"""),291)</f>
        <v>291</v>
      </c>
      <c r="X193" s="1">
        <f ca="1">IFERROR(__xludf.DUMMYFUNCTION("""COMPUTED_VALUE"""),427)</f>
        <v>427</v>
      </c>
      <c r="Y193" s="1">
        <f ca="1">IFERROR(__xludf.DUMMYFUNCTION("""COMPUTED_VALUE"""),0.681)</f>
        <v>0.68100000000000005</v>
      </c>
      <c r="Z193" s="1">
        <f ca="1">IFERROR(__xludf.DUMMYFUNCTION("""COMPUTED_VALUE"""),243)</f>
        <v>243</v>
      </c>
      <c r="AA193" s="1">
        <f ca="1">IFERROR(__xludf.DUMMYFUNCTION("""COMPUTED_VALUE"""),890)</f>
        <v>890</v>
      </c>
      <c r="AB193" s="1">
        <f ca="1">IFERROR(__xludf.DUMMYFUNCTION("""COMPUTED_VALUE"""),397)</f>
        <v>397</v>
      </c>
      <c r="AC193" s="1">
        <f ca="1">IFERROR(__xludf.DUMMYFUNCTION("""COMPUTED_VALUE"""),308)</f>
        <v>308</v>
      </c>
      <c r="AD193" s="1">
        <f ca="1">IFERROR(__xludf.DUMMYFUNCTION("""COMPUTED_VALUE"""),92)</f>
        <v>92</v>
      </c>
      <c r="AE193" s="1">
        <f ca="1">IFERROR(__xludf.DUMMYFUNCTION("""COMPUTED_VALUE"""),368)</f>
        <v>368</v>
      </c>
      <c r="AF193" s="1">
        <f ca="1">IFERROR(__xludf.DUMMYFUNCTION("""COMPUTED_VALUE"""),536)</f>
        <v>536</v>
      </c>
    </row>
    <row r="194" spans="1:32" x14ac:dyDescent="0.25">
      <c r="A194" s="1" t="str">
        <f ca="1">IFERROR(__xludf.DUMMYFUNCTION("""COMPUTED_VALUE"""),"Miami (FL)")</f>
        <v>Miami (FL)</v>
      </c>
      <c r="B194" s="1">
        <f ca="1">IFERROR(__xludf.DUMMYFUNCTION("""COMPUTED_VALUE"""),28)</f>
        <v>28</v>
      </c>
      <c r="C194" s="1">
        <f ca="1">IFERROR(__xludf.DUMMYFUNCTION("""COMPUTED_VALUE"""),14)</f>
        <v>14</v>
      </c>
      <c r="D194" s="1">
        <f ca="1">IFERROR(__xludf.DUMMYFUNCTION("""COMPUTED_VALUE"""),14)</f>
        <v>14</v>
      </c>
      <c r="E194" s="1">
        <f ca="1">IFERROR(__xludf.DUMMYFUNCTION("""COMPUTED_VALUE"""),0.5)</f>
        <v>0.5</v>
      </c>
      <c r="F194" s="1">
        <f ca="1">IFERROR(__xludf.DUMMYFUNCTION("""COMPUTED_VALUE"""),6.22)</f>
        <v>6.22</v>
      </c>
      <c r="G194" s="1">
        <f ca="1">IFERROR(__xludf.DUMMYFUNCTION("""COMPUTED_VALUE"""),8.36)</f>
        <v>8.36</v>
      </c>
      <c r="H194" s="1">
        <f ca="1">IFERROR(__xludf.DUMMYFUNCTION("""COMPUTED_VALUE"""),6)</f>
        <v>6</v>
      </c>
      <c r="I194" s="1">
        <f ca="1">IFERROR(__xludf.DUMMYFUNCTION("""COMPUTED_VALUE"""),12)</f>
        <v>12</v>
      </c>
      <c r="J194" s="1">
        <f ca="1">IFERROR(__xludf.DUMMYFUNCTION("""COMPUTED_VALUE"""),8)</f>
        <v>8</v>
      </c>
      <c r="K194" s="1">
        <f ca="1">IFERROR(__xludf.DUMMYFUNCTION("""COMPUTED_VALUE"""),4)</f>
        <v>4</v>
      </c>
      <c r="L194" s="1">
        <f ca="1">IFERROR(__xludf.DUMMYFUNCTION("""COMPUTED_VALUE"""),4)</f>
        <v>4</v>
      </c>
      <c r="M194" s="1">
        <f ca="1">IFERROR(__xludf.DUMMYFUNCTION("""COMPUTED_VALUE"""),8)</f>
        <v>8</v>
      </c>
      <c r="N194" s="1">
        <f ca="1">IFERROR(__xludf.DUMMYFUNCTION("""COMPUTED_VALUE"""),2030)</f>
        <v>2030</v>
      </c>
      <c r="O194" s="1">
        <f ca="1">IFERROR(__xludf.DUMMYFUNCTION("""COMPUTED_VALUE"""),2090)</f>
        <v>2090</v>
      </c>
      <c r="P194" s="1">
        <f ca="1">IFERROR(__xludf.DUMMYFUNCTION("""COMPUTED_VALUE"""),1145)</f>
        <v>1145</v>
      </c>
      <c r="Q194" s="1">
        <f ca="1">IFERROR(__xludf.DUMMYFUNCTION("""COMPUTED_VALUE"""),731)</f>
        <v>731</v>
      </c>
      <c r="R194" s="1">
        <f ca="1">IFERROR(__xludf.DUMMYFUNCTION("""COMPUTED_VALUE"""),1678)</f>
        <v>1678</v>
      </c>
      <c r="S194" s="1">
        <f ca="1">IFERROR(__xludf.DUMMYFUNCTION("""COMPUTED_VALUE"""),0.436)</f>
        <v>0.436</v>
      </c>
      <c r="T194" s="1">
        <f ca="1">IFERROR(__xludf.DUMMYFUNCTION("""COMPUTED_VALUE"""),192)</f>
        <v>192</v>
      </c>
      <c r="U194" s="1">
        <f ca="1">IFERROR(__xludf.DUMMYFUNCTION("""COMPUTED_VALUE"""),598)</f>
        <v>598</v>
      </c>
      <c r="V194" s="1">
        <f ca="1">IFERROR(__xludf.DUMMYFUNCTION("""COMPUTED_VALUE"""),0.321)</f>
        <v>0.32100000000000001</v>
      </c>
      <c r="W194" s="1">
        <f ca="1">IFERROR(__xludf.DUMMYFUNCTION("""COMPUTED_VALUE"""),376)</f>
        <v>376</v>
      </c>
      <c r="X194" s="1">
        <f ca="1">IFERROR(__xludf.DUMMYFUNCTION("""COMPUTED_VALUE"""),498)</f>
        <v>498</v>
      </c>
      <c r="Y194" s="1">
        <f ca="1">IFERROR(__xludf.DUMMYFUNCTION("""COMPUTED_VALUE"""),0.755)</f>
        <v>0.755</v>
      </c>
      <c r="Z194" s="1">
        <f ca="1">IFERROR(__xludf.DUMMYFUNCTION("""COMPUTED_VALUE"""),258)</f>
        <v>258</v>
      </c>
      <c r="AA194" s="1">
        <f ca="1">IFERROR(__xludf.DUMMYFUNCTION("""COMPUTED_VALUE"""),962)</f>
        <v>962</v>
      </c>
      <c r="AB194" s="1">
        <f ca="1">IFERROR(__xludf.DUMMYFUNCTION("""COMPUTED_VALUE"""),280)</f>
        <v>280</v>
      </c>
      <c r="AC194" s="1">
        <f ca="1">IFERROR(__xludf.DUMMYFUNCTION("""COMPUTED_VALUE"""),165)</f>
        <v>165</v>
      </c>
      <c r="AD194" s="1">
        <f ca="1">IFERROR(__xludf.DUMMYFUNCTION("""COMPUTED_VALUE"""),104)</f>
        <v>104</v>
      </c>
      <c r="AE194" s="1">
        <f ca="1">IFERROR(__xludf.DUMMYFUNCTION("""COMPUTED_VALUE"""),340)</f>
        <v>340</v>
      </c>
      <c r="AF194" s="1">
        <f ca="1">IFERROR(__xludf.DUMMYFUNCTION("""COMPUTED_VALUE"""),407)</f>
        <v>407</v>
      </c>
    </row>
    <row r="195" spans="1:32" x14ac:dyDescent="0.25">
      <c r="A195" s="1" t="str">
        <f ca="1">IFERROR(__xludf.DUMMYFUNCTION("""COMPUTED_VALUE"""),"Miami (OH)")</f>
        <v>Miami (OH)</v>
      </c>
      <c r="B195" s="1">
        <f ca="1">IFERROR(__xludf.DUMMYFUNCTION("""COMPUTED_VALUE"""),29)</f>
        <v>29</v>
      </c>
      <c r="C195" s="1">
        <f ca="1">IFERROR(__xludf.DUMMYFUNCTION("""COMPUTED_VALUE"""),12)</f>
        <v>12</v>
      </c>
      <c r="D195" s="1">
        <f ca="1">IFERROR(__xludf.DUMMYFUNCTION("""COMPUTED_VALUE"""),17)</f>
        <v>17</v>
      </c>
      <c r="E195" s="1">
        <f ca="1">IFERROR(__xludf.DUMMYFUNCTION("""COMPUTED_VALUE"""),0.414)</f>
        <v>0.41399999999999998</v>
      </c>
      <c r="F195" s="1">
        <f ca="1">IFERROR(__xludf.DUMMYFUNCTION("""COMPUTED_VALUE"""),-4.7)</f>
        <v>-4.7</v>
      </c>
      <c r="G195" s="1">
        <f ca="1">IFERROR(__xludf.DUMMYFUNCTION("""COMPUTED_VALUE"""),-0.77)</f>
        <v>-0.77</v>
      </c>
      <c r="H195" s="1">
        <f ca="1">IFERROR(__xludf.DUMMYFUNCTION("""COMPUTED_VALUE"""),5)</f>
        <v>5</v>
      </c>
      <c r="I195" s="1">
        <f ca="1">IFERROR(__xludf.DUMMYFUNCTION("""COMPUTED_VALUE"""),11)</f>
        <v>11</v>
      </c>
      <c r="J195" s="1">
        <f ca="1">IFERROR(__xludf.DUMMYFUNCTION("""COMPUTED_VALUE"""),10)</f>
        <v>10</v>
      </c>
      <c r="K195" s="1">
        <f ca="1">IFERROR(__xludf.DUMMYFUNCTION("""COMPUTED_VALUE"""),5)</f>
        <v>5</v>
      </c>
      <c r="L195" s="1">
        <f ca="1">IFERROR(__xludf.DUMMYFUNCTION("""COMPUTED_VALUE"""),1)</f>
        <v>1</v>
      </c>
      <c r="M195" s="1">
        <f ca="1">IFERROR(__xludf.DUMMYFUNCTION("""COMPUTED_VALUE"""),10)</f>
        <v>10</v>
      </c>
      <c r="N195" s="1">
        <f ca="1">IFERROR(__xludf.DUMMYFUNCTION("""COMPUTED_VALUE"""),2050)</f>
        <v>2050</v>
      </c>
      <c r="O195" s="1">
        <f ca="1">IFERROR(__xludf.DUMMYFUNCTION("""COMPUTED_VALUE"""),2054)</f>
        <v>2054</v>
      </c>
      <c r="P195" s="1">
        <f ca="1">IFERROR(__xludf.DUMMYFUNCTION("""COMPUTED_VALUE"""),1160)</f>
        <v>1160</v>
      </c>
      <c r="Q195" s="1">
        <f ca="1">IFERROR(__xludf.DUMMYFUNCTION("""COMPUTED_VALUE"""),744)</f>
        <v>744</v>
      </c>
      <c r="R195" s="1">
        <f ca="1">IFERROR(__xludf.DUMMYFUNCTION("""COMPUTED_VALUE"""),1754)</f>
        <v>1754</v>
      </c>
      <c r="S195" s="1">
        <f ca="1">IFERROR(__xludf.DUMMYFUNCTION("""COMPUTED_VALUE"""),0.424)</f>
        <v>0.42399999999999999</v>
      </c>
      <c r="T195" s="1">
        <f ca="1">IFERROR(__xludf.DUMMYFUNCTION("""COMPUTED_VALUE"""),247)</f>
        <v>247</v>
      </c>
      <c r="U195" s="1">
        <f ca="1">IFERROR(__xludf.DUMMYFUNCTION("""COMPUTED_VALUE"""),719)</f>
        <v>719</v>
      </c>
      <c r="V195" s="1">
        <f ca="1">IFERROR(__xludf.DUMMYFUNCTION("""COMPUTED_VALUE"""),0.344)</f>
        <v>0.34399999999999997</v>
      </c>
      <c r="W195" s="1">
        <f ca="1">IFERROR(__xludf.DUMMYFUNCTION("""COMPUTED_VALUE"""),315)</f>
        <v>315</v>
      </c>
      <c r="X195" s="1">
        <f ca="1">IFERROR(__xludf.DUMMYFUNCTION("""COMPUTED_VALUE"""),446)</f>
        <v>446</v>
      </c>
      <c r="Y195" s="1">
        <f ca="1">IFERROR(__xludf.DUMMYFUNCTION("""COMPUTED_VALUE"""),0.706)</f>
        <v>0.70599999999999996</v>
      </c>
      <c r="Z195" s="1">
        <f ca="1">IFERROR(__xludf.DUMMYFUNCTION("""COMPUTED_VALUE"""),281)</f>
        <v>281</v>
      </c>
      <c r="AA195" s="1">
        <f ca="1">IFERROR(__xludf.DUMMYFUNCTION("""COMPUTED_VALUE"""),1028)</f>
        <v>1028</v>
      </c>
      <c r="AB195" s="1">
        <f ca="1">IFERROR(__xludf.DUMMYFUNCTION("""COMPUTED_VALUE"""),352)</f>
        <v>352</v>
      </c>
      <c r="AC195" s="1">
        <f ca="1">IFERROR(__xludf.DUMMYFUNCTION("""COMPUTED_VALUE"""),154)</f>
        <v>154</v>
      </c>
      <c r="AD195" s="1">
        <f ca="1">IFERROR(__xludf.DUMMYFUNCTION("""COMPUTED_VALUE"""),68)</f>
        <v>68</v>
      </c>
      <c r="AE195" s="1">
        <f ca="1">IFERROR(__xludf.DUMMYFUNCTION("""COMPUTED_VALUE"""),336)</f>
        <v>336</v>
      </c>
      <c r="AF195" s="1">
        <f ca="1">IFERROR(__xludf.DUMMYFUNCTION("""COMPUTED_VALUE"""),524)</f>
        <v>524</v>
      </c>
    </row>
    <row r="196" spans="1:32" x14ac:dyDescent="0.25">
      <c r="A196" s="1" t="str">
        <f ca="1">IFERROR(__xludf.DUMMYFUNCTION("""COMPUTED_VALUE"""),"Michigan State")</f>
        <v>Michigan State</v>
      </c>
      <c r="B196" s="1">
        <f ca="1">IFERROR(__xludf.DUMMYFUNCTION("""COMPUTED_VALUE"""),29)</f>
        <v>29</v>
      </c>
      <c r="C196" s="1">
        <f ca="1">IFERROR(__xludf.DUMMYFUNCTION("""COMPUTED_VALUE"""),20)</f>
        <v>20</v>
      </c>
      <c r="D196" s="1">
        <f ca="1">IFERROR(__xludf.DUMMYFUNCTION("""COMPUTED_VALUE"""),9)</f>
        <v>9</v>
      </c>
      <c r="E196" s="1">
        <f ca="1">IFERROR(__xludf.DUMMYFUNCTION("""COMPUTED_VALUE"""),0.69)</f>
        <v>0.69</v>
      </c>
      <c r="F196" s="1">
        <f ca="1">IFERROR(__xludf.DUMMYFUNCTION("""COMPUTED_VALUE"""),21.66)</f>
        <v>21.66</v>
      </c>
      <c r="G196" s="1">
        <f ca="1">IFERROR(__xludf.DUMMYFUNCTION("""COMPUTED_VALUE"""),10.39)</f>
        <v>10.39</v>
      </c>
      <c r="H196" s="1">
        <f ca="1">IFERROR(__xludf.DUMMYFUNCTION("""COMPUTED_VALUE"""),12)</f>
        <v>12</v>
      </c>
      <c r="I196" s="1">
        <f ca="1">IFERROR(__xludf.DUMMYFUNCTION("""COMPUTED_VALUE"""),6)</f>
        <v>6</v>
      </c>
      <c r="J196" s="1">
        <f ca="1">IFERROR(__xludf.DUMMYFUNCTION("""COMPUTED_VALUE"""),11)</f>
        <v>11</v>
      </c>
      <c r="K196" s="1">
        <f ca="1">IFERROR(__xludf.DUMMYFUNCTION("""COMPUTED_VALUE"""),3)</f>
        <v>3</v>
      </c>
      <c r="L196" s="1">
        <f ca="1">IFERROR(__xludf.DUMMYFUNCTION("""COMPUTED_VALUE"""),6)</f>
        <v>6</v>
      </c>
      <c r="M196" s="1">
        <f ca="1">IFERROR(__xludf.DUMMYFUNCTION("""COMPUTED_VALUE"""),4)</f>
        <v>4</v>
      </c>
      <c r="N196" s="1">
        <f ca="1">IFERROR(__xludf.DUMMYFUNCTION("""COMPUTED_VALUE"""),2194)</f>
        <v>2194</v>
      </c>
      <c r="O196" s="1">
        <f ca="1">IFERROR(__xludf.DUMMYFUNCTION("""COMPUTED_VALUE"""),1867)</f>
        <v>1867</v>
      </c>
      <c r="P196" s="1">
        <f ca="1">IFERROR(__xludf.DUMMYFUNCTION("""COMPUTED_VALUE"""),1160)</f>
        <v>1160</v>
      </c>
      <c r="Q196" s="1">
        <f ca="1">IFERROR(__xludf.DUMMYFUNCTION("""COMPUTED_VALUE"""),784)</f>
        <v>784</v>
      </c>
      <c r="R196" s="1">
        <f ca="1">IFERROR(__xludf.DUMMYFUNCTION("""COMPUTED_VALUE"""),1713)</f>
        <v>1713</v>
      </c>
      <c r="S196" s="1">
        <f ca="1">IFERROR(__xludf.DUMMYFUNCTION("""COMPUTED_VALUE"""),0.458)</f>
        <v>0.45800000000000002</v>
      </c>
      <c r="T196" s="1">
        <f ca="1">IFERROR(__xludf.DUMMYFUNCTION("""COMPUTED_VALUE"""),226)</f>
        <v>226</v>
      </c>
      <c r="U196" s="1">
        <f ca="1">IFERROR(__xludf.DUMMYFUNCTION("""COMPUTED_VALUE"""),642)</f>
        <v>642</v>
      </c>
      <c r="V196" s="1">
        <f ca="1">IFERROR(__xludf.DUMMYFUNCTION("""COMPUTED_VALUE"""),0.352)</f>
        <v>0.35199999999999998</v>
      </c>
      <c r="W196" s="1">
        <f ca="1">IFERROR(__xludf.DUMMYFUNCTION("""COMPUTED_VALUE"""),400)</f>
        <v>400</v>
      </c>
      <c r="X196" s="1">
        <f ca="1">IFERROR(__xludf.DUMMYFUNCTION("""COMPUTED_VALUE"""),533)</f>
        <v>533</v>
      </c>
      <c r="Y196" s="1">
        <f ca="1">IFERROR(__xludf.DUMMYFUNCTION("""COMPUTED_VALUE"""),0.75)</f>
        <v>0.75</v>
      </c>
      <c r="Z196" s="1">
        <f ca="1">IFERROR(__xludf.DUMMYFUNCTION("""COMPUTED_VALUE"""),321)</f>
        <v>321</v>
      </c>
      <c r="AA196" s="1">
        <f ca="1">IFERROR(__xludf.DUMMYFUNCTION("""COMPUTED_VALUE"""),1179)</f>
        <v>1179</v>
      </c>
      <c r="AB196" s="1">
        <f ca="1">IFERROR(__xludf.DUMMYFUNCTION("""COMPUTED_VALUE"""),517)</f>
        <v>517</v>
      </c>
      <c r="AC196" s="1">
        <f ca="1">IFERROR(__xludf.DUMMYFUNCTION("""COMPUTED_VALUE"""),151)</f>
        <v>151</v>
      </c>
      <c r="AD196" s="1">
        <f ca="1">IFERROR(__xludf.DUMMYFUNCTION("""COMPUTED_VALUE"""),145)</f>
        <v>145</v>
      </c>
      <c r="AE196" s="1">
        <f ca="1">IFERROR(__xludf.DUMMYFUNCTION("""COMPUTED_VALUE"""),370)</f>
        <v>370</v>
      </c>
      <c r="AF196" s="1">
        <f ca="1">IFERROR(__xludf.DUMMYFUNCTION("""COMPUTED_VALUE"""),488)</f>
        <v>488</v>
      </c>
    </row>
    <row r="197" spans="1:32" x14ac:dyDescent="0.25">
      <c r="A197" s="1" t="str">
        <f ca="1">IFERROR(__xludf.DUMMYFUNCTION("""COMPUTED_VALUE"""),"Michigan")</f>
        <v>Michigan</v>
      </c>
      <c r="B197" s="1">
        <f ca="1">IFERROR(__xludf.DUMMYFUNCTION("""COMPUTED_VALUE"""),29)</f>
        <v>29</v>
      </c>
      <c r="C197" s="1">
        <f ca="1">IFERROR(__xludf.DUMMYFUNCTION("""COMPUTED_VALUE"""),18)</f>
        <v>18</v>
      </c>
      <c r="D197" s="1">
        <f ca="1">IFERROR(__xludf.DUMMYFUNCTION("""COMPUTED_VALUE"""),11)</f>
        <v>11</v>
      </c>
      <c r="E197" s="1">
        <f ca="1">IFERROR(__xludf.DUMMYFUNCTION("""COMPUTED_VALUE"""),0.621)</f>
        <v>0.621</v>
      </c>
      <c r="F197" s="1">
        <f ca="1">IFERROR(__xludf.DUMMYFUNCTION("""COMPUTED_VALUE"""),18.12)</f>
        <v>18.12</v>
      </c>
      <c r="G197" s="1">
        <f ca="1">IFERROR(__xludf.DUMMYFUNCTION("""COMPUTED_VALUE"""),11.25)</f>
        <v>11.25</v>
      </c>
      <c r="H197" s="1">
        <f ca="1">IFERROR(__xludf.DUMMYFUNCTION("""COMPUTED_VALUE"""),9)</f>
        <v>9</v>
      </c>
      <c r="I197" s="1">
        <f ca="1">IFERROR(__xludf.DUMMYFUNCTION("""COMPUTED_VALUE"""),9)</f>
        <v>9</v>
      </c>
      <c r="J197" s="1">
        <f ca="1">IFERROR(__xludf.DUMMYFUNCTION("""COMPUTED_VALUE"""),10)</f>
        <v>10</v>
      </c>
      <c r="K197" s="1">
        <f ca="1">IFERROR(__xludf.DUMMYFUNCTION("""COMPUTED_VALUE"""),5)</f>
        <v>5</v>
      </c>
      <c r="L197" s="1">
        <f ca="1">IFERROR(__xludf.DUMMYFUNCTION("""COMPUTED_VALUE"""),4)</f>
        <v>4</v>
      </c>
      <c r="M197" s="1">
        <f ca="1">IFERROR(__xludf.DUMMYFUNCTION("""COMPUTED_VALUE"""),6)</f>
        <v>6</v>
      </c>
      <c r="N197" s="1">
        <f ca="1">IFERROR(__xludf.DUMMYFUNCTION("""COMPUTED_VALUE"""),2174)</f>
        <v>2174</v>
      </c>
      <c r="O197" s="1">
        <f ca="1">IFERROR(__xludf.DUMMYFUNCTION("""COMPUTED_VALUE"""),1975)</f>
        <v>1975</v>
      </c>
      <c r="P197" s="1">
        <f ca="1">IFERROR(__xludf.DUMMYFUNCTION("""COMPUTED_VALUE"""),1175)</f>
        <v>1175</v>
      </c>
      <c r="Q197" s="1">
        <f ca="1">IFERROR(__xludf.DUMMYFUNCTION("""COMPUTED_VALUE"""),805)</f>
        <v>805</v>
      </c>
      <c r="R197" s="1">
        <f ca="1">IFERROR(__xludf.DUMMYFUNCTION("""COMPUTED_VALUE"""),1744)</f>
        <v>1744</v>
      </c>
      <c r="S197" s="1">
        <f ca="1">IFERROR(__xludf.DUMMYFUNCTION("""COMPUTED_VALUE"""),0.462)</f>
        <v>0.46200000000000002</v>
      </c>
      <c r="T197" s="1">
        <f ca="1">IFERROR(__xludf.DUMMYFUNCTION("""COMPUTED_VALUE"""),233)</f>
        <v>233</v>
      </c>
      <c r="U197" s="1">
        <f ca="1">IFERROR(__xludf.DUMMYFUNCTION("""COMPUTED_VALUE"""),682)</f>
        <v>682</v>
      </c>
      <c r="V197" s="1">
        <f ca="1">IFERROR(__xludf.DUMMYFUNCTION("""COMPUTED_VALUE"""),0.342)</f>
        <v>0.34200000000000003</v>
      </c>
      <c r="W197" s="1">
        <f ca="1">IFERROR(__xludf.DUMMYFUNCTION("""COMPUTED_VALUE"""),331)</f>
        <v>331</v>
      </c>
      <c r="X197" s="1">
        <f ca="1">IFERROR(__xludf.DUMMYFUNCTION("""COMPUTED_VALUE"""),464)</f>
        <v>464</v>
      </c>
      <c r="Y197" s="1">
        <f ca="1">IFERROR(__xludf.DUMMYFUNCTION("""COMPUTED_VALUE"""),0.713)</f>
        <v>0.71299999999999997</v>
      </c>
      <c r="Z197" s="1">
        <f ca="1">IFERROR(__xludf.DUMMYFUNCTION("""COMPUTED_VALUE"""),255)</f>
        <v>255</v>
      </c>
      <c r="AA197" s="1">
        <f ca="1">IFERROR(__xludf.DUMMYFUNCTION("""COMPUTED_VALUE"""),1059)</f>
        <v>1059</v>
      </c>
      <c r="AB197" s="1">
        <f ca="1">IFERROR(__xludf.DUMMYFUNCTION("""COMPUTED_VALUE"""),428)</f>
        <v>428</v>
      </c>
      <c r="AC197" s="1">
        <f ca="1">IFERROR(__xludf.DUMMYFUNCTION("""COMPUTED_VALUE"""),155)</f>
        <v>155</v>
      </c>
      <c r="AD197" s="1">
        <f ca="1">IFERROR(__xludf.DUMMYFUNCTION("""COMPUTED_VALUE"""),132)</f>
        <v>132</v>
      </c>
      <c r="AE197" s="1">
        <f ca="1">IFERROR(__xludf.DUMMYFUNCTION("""COMPUTED_VALUE"""),312)</f>
        <v>312</v>
      </c>
      <c r="AF197" s="1">
        <f ca="1">IFERROR(__xludf.DUMMYFUNCTION("""COMPUTED_VALUE"""),438)</f>
        <v>438</v>
      </c>
    </row>
    <row r="198" spans="1:32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x14ac:dyDescent="0.25">
      <c r="A200" s="1" t="str">
        <f ca="1">IFERROR(__xludf.DUMMYFUNCTION("""COMPUTED_VALUE"""),"Middle Tennessee")</f>
        <v>Middle Tennessee</v>
      </c>
      <c r="B200" s="1">
        <f ca="1">IFERROR(__xludf.DUMMYFUNCTION("""COMPUTED_VALUE"""),29)</f>
        <v>29</v>
      </c>
      <c r="C200" s="1">
        <f ca="1">IFERROR(__xludf.DUMMYFUNCTION("""COMPUTED_VALUE"""),7)</f>
        <v>7</v>
      </c>
      <c r="D200" s="1">
        <f ca="1">IFERROR(__xludf.DUMMYFUNCTION("""COMPUTED_VALUE"""),22)</f>
        <v>22</v>
      </c>
      <c r="E200" s="1">
        <f ca="1">IFERROR(__xludf.DUMMYFUNCTION("""COMPUTED_VALUE"""),0.241)</f>
        <v>0.24099999999999999</v>
      </c>
      <c r="F200" s="1">
        <f ca="1">IFERROR(__xludf.DUMMYFUNCTION("""COMPUTED_VALUE"""),-8.57)</f>
        <v>-8.57</v>
      </c>
      <c r="G200" s="1">
        <f ca="1">IFERROR(__xludf.DUMMYFUNCTION("""COMPUTED_VALUE"""),1.35)</f>
        <v>1.35</v>
      </c>
      <c r="H200" s="1">
        <f ca="1">IFERROR(__xludf.DUMMYFUNCTION("""COMPUTED_VALUE"""),3)</f>
        <v>3</v>
      </c>
      <c r="I200" s="1">
        <f ca="1">IFERROR(__xludf.DUMMYFUNCTION("""COMPUTED_VALUE"""),13)</f>
        <v>13</v>
      </c>
      <c r="J200" s="1">
        <f ca="1">IFERROR(__xludf.DUMMYFUNCTION("""COMPUTED_VALUE"""),4)</f>
        <v>4</v>
      </c>
      <c r="K200" s="1">
        <f ca="1">IFERROR(__xludf.DUMMYFUNCTION("""COMPUTED_VALUE"""),9)</f>
        <v>9</v>
      </c>
      <c r="L200" s="1">
        <f ca="1">IFERROR(__xludf.DUMMYFUNCTION("""COMPUTED_VALUE"""),3)</f>
        <v>3</v>
      </c>
      <c r="M200" s="1">
        <f ca="1">IFERROR(__xludf.DUMMYFUNCTION("""COMPUTED_VALUE"""),10)</f>
        <v>10</v>
      </c>
      <c r="N200" s="1">
        <f ca="1">IFERROR(__xludf.DUMMYFUNCTION("""COMPUTED_VALUE"""),2072)</f>
        <v>2072</v>
      </c>
      <c r="O200" s="1">
        <f ca="1">IFERROR(__xludf.DUMMYFUNCTION("""COMPUTED_VALUE"""),2210)</f>
        <v>2210</v>
      </c>
      <c r="P200" s="1">
        <f ca="1">IFERROR(__xludf.DUMMYFUNCTION("""COMPUTED_VALUE"""),1165)</f>
        <v>1165</v>
      </c>
      <c r="Q200" s="1">
        <f ca="1">IFERROR(__xludf.DUMMYFUNCTION("""COMPUTED_VALUE"""),735)</f>
        <v>735</v>
      </c>
      <c r="R200" s="1">
        <f ca="1">IFERROR(__xludf.DUMMYFUNCTION("""COMPUTED_VALUE"""),1736)</f>
        <v>1736</v>
      </c>
      <c r="S200" s="1">
        <f ca="1">IFERROR(__xludf.DUMMYFUNCTION("""COMPUTED_VALUE"""),0.423)</f>
        <v>0.42299999999999999</v>
      </c>
      <c r="T200" s="1">
        <f ca="1">IFERROR(__xludf.DUMMYFUNCTION("""COMPUTED_VALUE"""),239)</f>
        <v>239</v>
      </c>
      <c r="U200" s="1">
        <f ca="1">IFERROR(__xludf.DUMMYFUNCTION("""COMPUTED_VALUE"""),711)</f>
        <v>711</v>
      </c>
      <c r="V200" s="1">
        <f ca="1">IFERROR(__xludf.DUMMYFUNCTION("""COMPUTED_VALUE"""),0.336)</f>
        <v>0.33600000000000002</v>
      </c>
      <c r="W200" s="1">
        <f ca="1">IFERROR(__xludf.DUMMYFUNCTION("""COMPUTED_VALUE"""),363)</f>
        <v>363</v>
      </c>
      <c r="X200" s="1">
        <f ca="1">IFERROR(__xludf.DUMMYFUNCTION("""COMPUTED_VALUE"""),543)</f>
        <v>543</v>
      </c>
      <c r="Y200" s="1">
        <f ca="1">IFERROR(__xludf.DUMMYFUNCTION("""COMPUTED_VALUE"""),0.669)</f>
        <v>0.66900000000000004</v>
      </c>
      <c r="Z200" s="1">
        <f ca="1">IFERROR(__xludf.DUMMYFUNCTION("""COMPUTED_VALUE"""),316)</f>
        <v>316</v>
      </c>
      <c r="AA200" s="1">
        <f ca="1">IFERROR(__xludf.DUMMYFUNCTION("""COMPUTED_VALUE"""),1012)</f>
        <v>1012</v>
      </c>
      <c r="AB200" s="1">
        <f ca="1">IFERROR(__xludf.DUMMYFUNCTION("""COMPUTED_VALUE"""),379)</f>
        <v>379</v>
      </c>
      <c r="AC200" s="1">
        <f ca="1">IFERROR(__xludf.DUMMYFUNCTION("""COMPUTED_VALUE"""),200)</f>
        <v>200</v>
      </c>
      <c r="AD200" s="1">
        <f ca="1">IFERROR(__xludf.DUMMYFUNCTION("""COMPUTED_VALUE"""),85)</f>
        <v>85</v>
      </c>
      <c r="AE200" s="1">
        <f ca="1">IFERROR(__xludf.DUMMYFUNCTION("""COMPUTED_VALUE"""),404)</f>
        <v>404</v>
      </c>
      <c r="AF200" s="1">
        <f ca="1">IFERROR(__xludf.DUMMYFUNCTION("""COMPUTED_VALUE"""),582)</f>
        <v>582</v>
      </c>
    </row>
    <row r="201" spans="1:32" x14ac:dyDescent="0.25">
      <c r="A201" s="1" t="str">
        <f ca="1">IFERROR(__xludf.DUMMYFUNCTION("""COMPUTED_VALUE"""),"Milwaukee")</f>
        <v>Milwaukee</v>
      </c>
      <c r="B201" s="1">
        <f ca="1">IFERROR(__xludf.DUMMYFUNCTION("""COMPUTED_VALUE"""),30)</f>
        <v>30</v>
      </c>
      <c r="C201" s="1">
        <f ca="1">IFERROR(__xludf.DUMMYFUNCTION("""COMPUTED_VALUE"""),12)</f>
        <v>12</v>
      </c>
      <c r="D201" s="1">
        <f ca="1">IFERROR(__xludf.DUMMYFUNCTION("""COMPUTED_VALUE"""),18)</f>
        <v>18</v>
      </c>
      <c r="E201" s="1">
        <f ca="1">IFERROR(__xludf.DUMMYFUNCTION("""COMPUTED_VALUE"""),0.4)</f>
        <v>0.4</v>
      </c>
      <c r="F201" s="1">
        <f ca="1">IFERROR(__xludf.DUMMYFUNCTION("""COMPUTED_VALUE"""),-7.1)</f>
        <v>-7.1</v>
      </c>
      <c r="G201" s="1">
        <f ca="1">IFERROR(__xludf.DUMMYFUNCTION("""COMPUTED_VALUE"""),-3.88)</f>
        <v>-3.88</v>
      </c>
      <c r="H201" s="1">
        <f ca="1">IFERROR(__xludf.DUMMYFUNCTION("""COMPUTED_VALUE"""),7)</f>
        <v>7</v>
      </c>
      <c r="I201" s="1">
        <f ca="1">IFERROR(__xludf.DUMMYFUNCTION("""COMPUTED_VALUE"""),11)</f>
        <v>11</v>
      </c>
      <c r="J201" s="1">
        <f ca="1">IFERROR(__xludf.DUMMYFUNCTION("""COMPUTED_VALUE"""),7)</f>
        <v>7</v>
      </c>
      <c r="K201" s="1">
        <f ca="1">IFERROR(__xludf.DUMMYFUNCTION("""COMPUTED_VALUE"""),8)</f>
        <v>8</v>
      </c>
      <c r="L201" s="1">
        <f ca="1">IFERROR(__xludf.DUMMYFUNCTION("""COMPUTED_VALUE"""),4)</f>
        <v>4</v>
      </c>
      <c r="M201" s="1">
        <f ca="1">IFERROR(__xludf.DUMMYFUNCTION("""COMPUTED_VALUE"""),8)</f>
        <v>8</v>
      </c>
      <c r="N201" s="1">
        <f ca="1">IFERROR(__xludf.DUMMYFUNCTION("""COMPUTED_VALUE"""),2159)</f>
        <v>2159</v>
      </c>
      <c r="O201" s="1">
        <f ca="1">IFERROR(__xludf.DUMMYFUNCTION("""COMPUTED_VALUE"""),2189)</f>
        <v>2189</v>
      </c>
      <c r="P201" s="1">
        <f ca="1">IFERROR(__xludf.DUMMYFUNCTION("""COMPUTED_VALUE"""),1225)</f>
        <v>1225</v>
      </c>
      <c r="Q201" s="1">
        <f ca="1">IFERROR(__xludf.DUMMYFUNCTION("""COMPUTED_VALUE"""),767)</f>
        <v>767</v>
      </c>
      <c r="R201" s="1">
        <f ca="1">IFERROR(__xludf.DUMMYFUNCTION("""COMPUTED_VALUE"""),1854)</f>
        <v>1854</v>
      </c>
      <c r="S201" s="1">
        <f ca="1">IFERROR(__xludf.DUMMYFUNCTION("""COMPUTED_VALUE"""),0.414)</f>
        <v>0.41399999999999998</v>
      </c>
      <c r="T201" s="1">
        <f ca="1">IFERROR(__xludf.DUMMYFUNCTION("""COMPUTED_VALUE"""),235)</f>
        <v>235</v>
      </c>
      <c r="U201" s="1">
        <f ca="1">IFERROR(__xludf.DUMMYFUNCTION("""COMPUTED_VALUE"""),732)</f>
        <v>732</v>
      </c>
      <c r="V201" s="1">
        <f ca="1">IFERROR(__xludf.DUMMYFUNCTION("""COMPUTED_VALUE"""),0.321)</f>
        <v>0.32100000000000001</v>
      </c>
      <c r="W201" s="1">
        <f ca="1">IFERROR(__xludf.DUMMYFUNCTION("""COMPUTED_VALUE"""),390)</f>
        <v>390</v>
      </c>
      <c r="X201" s="1">
        <f ca="1">IFERROR(__xludf.DUMMYFUNCTION("""COMPUTED_VALUE"""),550)</f>
        <v>550</v>
      </c>
      <c r="Y201" s="1">
        <f ca="1">IFERROR(__xludf.DUMMYFUNCTION("""COMPUTED_VALUE"""),0.709)</f>
        <v>0.70899999999999996</v>
      </c>
      <c r="Z201" s="1">
        <f ca="1">IFERROR(__xludf.DUMMYFUNCTION("""COMPUTED_VALUE"""),345)</f>
        <v>345</v>
      </c>
      <c r="AA201" s="1">
        <f ca="1">IFERROR(__xludf.DUMMYFUNCTION("""COMPUTED_VALUE"""),1085)</f>
        <v>1085</v>
      </c>
      <c r="AB201" s="1">
        <f ca="1">IFERROR(__xludf.DUMMYFUNCTION("""COMPUTED_VALUE"""),374)</f>
        <v>374</v>
      </c>
      <c r="AC201" s="1">
        <f ca="1">IFERROR(__xludf.DUMMYFUNCTION("""COMPUTED_VALUE"""),174)</f>
        <v>174</v>
      </c>
      <c r="AD201" s="1">
        <f ca="1">IFERROR(__xludf.DUMMYFUNCTION("""COMPUTED_VALUE"""),95)</f>
        <v>95</v>
      </c>
      <c r="AE201" s="1">
        <f ca="1">IFERROR(__xludf.DUMMYFUNCTION("""COMPUTED_VALUE"""),406)</f>
        <v>406</v>
      </c>
      <c r="AF201" s="1">
        <f ca="1">IFERROR(__xludf.DUMMYFUNCTION("""COMPUTED_VALUE"""),649)</f>
        <v>649</v>
      </c>
    </row>
    <row r="202" spans="1:32" x14ac:dyDescent="0.25">
      <c r="A202" s="1" t="str">
        <f ca="1">IFERROR(__xludf.DUMMYFUNCTION("""COMPUTED_VALUE"""),"Minnesota")</f>
        <v>Minnesota</v>
      </c>
      <c r="B202" s="1">
        <f ca="1">IFERROR(__xludf.DUMMYFUNCTION("""COMPUTED_VALUE"""),28)</f>
        <v>28</v>
      </c>
      <c r="C202" s="1">
        <f ca="1">IFERROR(__xludf.DUMMYFUNCTION("""COMPUTED_VALUE"""),13)</f>
        <v>13</v>
      </c>
      <c r="D202" s="1">
        <f ca="1">IFERROR(__xludf.DUMMYFUNCTION("""COMPUTED_VALUE"""),15)</f>
        <v>15</v>
      </c>
      <c r="E202" s="1">
        <f ca="1">IFERROR(__xludf.DUMMYFUNCTION("""COMPUTED_VALUE"""),0.464)</f>
        <v>0.46400000000000002</v>
      </c>
      <c r="F202" s="1">
        <f ca="1">IFERROR(__xludf.DUMMYFUNCTION("""COMPUTED_VALUE"""),15.84)</f>
        <v>15.84</v>
      </c>
      <c r="G202" s="1">
        <f ca="1">IFERROR(__xludf.DUMMYFUNCTION("""COMPUTED_VALUE"""),12.05)</f>
        <v>12.05</v>
      </c>
      <c r="H202" s="1">
        <f ca="1">IFERROR(__xludf.DUMMYFUNCTION("""COMPUTED_VALUE"""),7)</f>
        <v>7</v>
      </c>
      <c r="I202" s="1">
        <f ca="1">IFERROR(__xludf.DUMMYFUNCTION("""COMPUTED_VALUE"""),11)</f>
        <v>11</v>
      </c>
      <c r="J202" s="1">
        <f ca="1">IFERROR(__xludf.DUMMYFUNCTION("""COMPUTED_VALUE"""),10)</f>
        <v>10</v>
      </c>
      <c r="K202" s="1">
        <f ca="1">IFERROR(__xludf.DUMMYFUNCTION("""COMPUTED_VALUE"""),5)</f>
        <v>5</v>
      </c>
      <c r="L202" s="1">
        <f ca="1">IFERROR(__xludf.DUMMYFUNCTION("""COMPUTED_VALUE"""),2)</f>
        <v>2</v>
      </c>
      <c r="M202" s="1">
        <f ca="1">IFERROR(__xludf.DUMMYFUNCTION("""COMPUTED_VALUE"""),9)</f>
        <v>9</v>
      </c>
      <c r="N202" s="1">
        <f ca="1">IFERROR(__xludf.DUMMYFUNCTION("""COMPUTED_VALUE"""),1957)</f>
        <v>1957</v>
      </c>
      <c r="O202" s="1">
        <f ca="1">IFERROR(__xludf.DUMMYFUNCTION("""COMPUTED_VALUE"""),1851)</f>
        <v>1851</v>
      </c>
      <c r="P202" s="1">
        <f ca="1">IFERROR(__xludf.DUMMYFUNCTION("""COMPUTED_VALUE"""),1130)</f>
        <v>1130</v>
      </c>
      <c r="Q202" s="1">
        <f ca="1">IFERROR(__xludf.DUMMYFUNCTION("""COMPUTED_VALUE"""),703)</f>
        <v>703</v>
      </c>
      <c r="R202" s="1">
        <f ca="1">IFERROR(__xludf.DUMMYFUNCTION("""COMPUTED_VALUE"""),1674)</f>
        <v>1674</v>
      </c>
      <c r="S202" s="1">
        <f ca="1">IFERROR(__xludf.DUMMYFUNCTION("""COMPUTED_VALUE"""),0.42)</f>
        <v>0.42</v>
      </c>
      <c r="T202" s="1">
        <f ca="1">IFERROR(__xludf.DUMMYFUNCTION("""COMPUTED_VALUE"""),220)</f>
        <v>220</v>
      </c>
      <c r="U202" s="1">
        <f ca="1">IFERROR(__xludf.DUMMYFUNCTION("""COMPUTED_VALUE"""),687)</f>
        <v>687</v>
      </c>
      <c r="V202" s="1">
        <f ca="1">IFERROR(__xludf.DUMMYFUNCTION("""COMPUTED_VALUE"""),0.32)</f>
        <v>0.32</v>
      </c>
      <c r="W202" s="1">
        <f ca="1">IFERROR(__xludf.DUMMYFUNCTION("""COMPUTED_VALUE"""),331)</f>
        <v>331</v>
      </c>
      <c r="X202" s="1">
        <f ca="1">IFERROR(__xludf.DUMMYFUNCTION("""COMPUTED_VALUE"""),477)</f>
        <v>477</v>
      </c>
      <c r="Y202" s="1">
        <f ca="1">IFERROR(__xludf.DUMMYFUNCTION("""COMPUTED_VALUE"""),0.694)</f>
        <v>0.69399999999999995</v>
      </c>
      <c r="Z202" s="1">
        <f ca="1">IFERROR(__xludf.DUMMYFUNCTION("""COMPUTED_VALUE"""),325)</f>
        <v>325</v>
      </c>
      <c r="AA202" s="1">
        <f ca="1">IFERROR(__xludf.DUMMYFUNCTION("""COMPUTED_VALUE"""),1097)</f>
        <v>1097</v>
      </c>
      <c r="AB202" s="1">
        <f ca="1">IFERROR(__xludf.DUMMYFUNCTION("""COMPUTED_VALUE"""),414)</f>
        <v>414</v>
      </c>
      <c r="AC202" s="1">
        <f ca="1">IFERROR(__xludf.DUMMYFUNCTION("""COMPUTED_VALUE"""),132)</f>
        <v>132</v>
      </c>
      <c r="AD202" s="1">
        <f ca="1">IFERROR(__xludf.DUMMYFUNCTION("""COMPUTED_VALUE"""),133)</f>
        <v>133</v>
      </c>
      <c r="AE202" s="1">
        <f ca="1">IFERROR(__xludf.DUMMYFUNCTION("""COMPUTED_VALUE"""),322)</f>
        <v>322</v>
      </c>
      <c r="AF202" s="1">
        <f ca="1">IFERROR(__xludf.DUMMYFUNCTION("""COMPUTED_VALUE"""),475)</f>
        <v>475</v>
      </c>
    </row>
    <row r="203" spans="1:32" x14ac:dyDescent="0.25">
      <c r="A203" s="1" t="str">
        <f ca="1">IFERROR(__xludf.DUMMYFUNCTION("""COMPUTED_VALUE"""),"Mississippi State")</f>
        <v>Mississippi State</v>
      </c>
      <c r="B203" s="1">
        <f ca="1">IFERROR(__xludf.DUMMYFUNCTION("""COMPUTED_VALUE"""),29)</f>
        <v>29</v>
      </c>
      <c r="C203" s="1">
        <f ca="1">IFERROR(__xludf.DUMMYFUNCTION("""COMPUTED_VALUE"""),19)</f>
        <v>19</v>
      </c>
      <c r="D203" s="1">
        <f ca="1">IFERROR(__xludf.DUMMYFUNCTION("""COMPUTED_VALUE"""),10)</f>
        <v>10</v>
      </c>
      <c r="E203" s="1">
        <f ca="1">IFERROR(__xludf.DUMMYFUNCTION("""COMPUTED_VALUE"""),0.655)</f>
        <v>0.65500000000000003</v>
      </c>
      <c r="F203" s="1">
        <f ca="1">IFERROR(__xludf.DUMMYFUNCTION("""COMPUTED_VALUE"""),12.01)</f>
        <v>12.01</v>
      </c>
      <c r="G203" s="1">
        <f ca="1">IFERROR(__xludf.DUMMYFUNCTION("""COMPUTED_VALUE"""),6.84)</f>
        <v>6.84</v>
      </c>
      <c r="H203" s="1">
        <f ca="1">IFERROR(__xludf.DUMMYFUNCTION("""COMPUTED_VALUE"""),10)</f>
        <v>10</v>
      </c>
      <c r="I203" s="1">
        <f ca="1">IFERROR(__xludf.DUMMYFUNCTION("""COMPUTED_VALUE"""),6)</f>
        <v>6</v>
      </c>
      <c r="J203" s="1">
        <f ca="1">IFERROR(__xludf.DUMMYFUNCTION("""COMPUTED_VALUE"""),13)</f>
        <v>13</v>
      </c>
      <c r="K203" s="1">
        <f ca="1">IFERROR(__xludf.DUMMYFUNCTION("""COMPUTED_VALUE"""),2)</f>
        <v>2</v>
      </c>
      <c r="L203" s="1">
        <f ca="1">IFERROR(__xludf.DUMMYFUNCTION("""COMPUTED_VALUE"""),4)</f>
        <v>4</v>
      </c>
      <c r="M203" s="1">
        <f ca="1">IFERROR(__xludf.DUMMYFUNCTION("""COMPUTED_VALUE"""),6)</f>
        <v>6</v>
      </c>
      <c r="N203" s="1">
        <f ca="1">IFERROR(__xludf.DUMMYFUNCTION("""COMPUTED_VALUE"""),2135)</f>
        <v>2135</v>
      </c>
      <c r="O203" s="1">
        <f ca="1">IFERROR(__xludf.DUMMYFUNCTION("""COMPUTED_VALUE"""),1985)</f>
        <v>1985</v>
      </c>
      <c r="P203" s="1">
        <f ca="1">IFERROR(__xludf.DUMMYFUNCTION("""COMPUTED_VALUE"""),1160)</f>
        <v>1160</v>
      </c>
      <c r="Q203" s="1">
        <f ca="1">IFERROR(__xludf.DUMMYFUNCTION("""COMPUTED_VALUE"""),756)</f>
        <v>756</v>
      </c>
      <c r="R203" s="1">
        <f ca="1">IFERROR(__xludf.DUMMYFUNCTION("""COMPUTED_VALUE"""),1605)</f>
        <v>1605</v>
      </c>
      <c r="S203" s="1">
        <f ca="1">IFERROR(__xludf.DUMMYFUNCTION("""COMPUTED_VALUE"""),0.471)</f>
        <v>0.47099999999999997</v>
      </c>
      <c r="T203" s="1">
        <f ca="1">IFERROR(__xludf.DUMMYFUNCTION("""COMPUTED_VALUE"""),154)</f>
        <v>154</v>
      </c>
      <c r="U203" s="1">
        <f ca="1">IFERROR(__xludf.DUMMYFUNCTION("""COMPUTED_VALUE"""),455)</f>
        <v>455</v>
      </c>
      <c r="V203" s="1">
        <f ca="1">IFERROR(__xludf.DUMMYFUNCTION("""COMPUTED_VALUE"""),0.338)</f>
        <v>0.33800000000000002</v>
      </c>
      <c r="W203" s="1">
        <f ca="1">IFERROR(__xludf.DUMMYFUNCTION("""COMPUTED_VALUE"""),469)</f>
        <v>469</v>
      </c>
      <c r="X203" s="1">
        <f ca="1">IFERROR(__xludf.DUMMYFUNCTION("""COMPUTED_VALUE"""),625)</f>
        <v>625</v>
      </c>
      <c r="Y203" s="1">
        <f ca="1">IFERROR(__xludf.DUMMYFUNCTION("""COMPUTED_VALUE"""),0.75)</f>
        <v>0.75</v>
      </c>
      <c r="Z203" s="1">
        <f ca="1">IFERROR(__xludf.DUMMYFUNCTION("""COMPUTED_VALUE"""),346)</f>
        <v>346</v>
      </c>
      <c r="AA203" s="1">
        <f ca="1">IFERROR(__xludf.DUMMYFUNCTION("""COMPUTED_VALUE"""),1080)</f>
        <v>1080</v>
      </c>
      <c r="AB203" s="1">
        <f ca="1">IFERROR(__xludf.DUMMYFUNCTION("""COMPUTED_VALUE"""),389)</f>
        <v>389</v>
      </c>
      <c r="AC203" s="1">
        <f ca="1">IFERROR(__xludf.DUMMYFUNCTION("""COMPUTED_VALUE"""),162)</f>
        <v>162</v>
      </c>
      <c r="AD203" s="1">
        <f ca="1">IFERROR(__xludf.DUMMYFUNCTION("""COMPUTED_VALUE"""),147)</f>
        <v>147</v>
      </c>
      <c r="AE203" s="1">
        <f ca="1">IFERROR(__xludf.DUMMYFUNCTION("""COMPUTED_VALUE"""),408)</f>
        <v>408</v>
      </c>
      <c r="AF203" s="1">
        <f ca="1">IFERROR(__xludf.DUMMYFUNCTION("""COMPUTED_VALUE"""),507)</f>
        <v>507</v>
      </c>
    </row>
    <row r="204" spans="1:32" x14ac:dyDescent="0.25">
      <c r="A204" s="1" t="str">
        <f ca="1">IFERROR(__xludf.DUMMYFUNCTION("""COMPUTED_VALUE"""),"Mississippi Valley State")</f>
        <v>Mississippi Valley State</v>
      </c>
      <c r="B204" s="1">
        <f ca="1">IFERROR(__xludf.DUMMYFUNCTION("""COMPUTED_VALUE"""),29)</f>
        <v>29</v>
      </c>
      <c r="C204" s="1">
        <f ca="1">IFERROR(__xludf.DUMMYFUNCTION("""COMPUTED_VALUE"""),2)</f>
        <v>2</v>
      </c>
      <c r="D204" s="1">
        <f ca="1">IFERROR(__xludf.DUMMYFUNCTION("""COMPUTED_VALUE"""),27)</f>
        <v>27</v>
      </c>
      <c r="E204" s="1">
        <f ca="1">IFERROR(__xludf.DUMMYFUNCTION("""COMPUTED_VALUE"""),0.069)</f>
        <v>6.9000000000000006E-2</v>
      </c>
      <c r="F204" s="1">
        <f ca="1">IFERROR(__xludf.DUMMYFUNCTION("""COMPUTED_VALUE"""),-29.32)</f>
        <v>-29.32</v>
      </c>
      <c r="G204" s="1">
        <f ca="1">IFERROR(__xludf.DUMMYFUNCTION("""COMPUTED_VALUE"""),-7.08)</f>
        <v>-7.08</v>
      </c>
      <c r="H204" s="1">
        <f ca="1">IFERROR(__xludf.DUMMYFUNCTION("""COMPUTED_VALUE"""),2)</f>
        <v>2</v>
      </c>
      <c r="I204" s="1">
        <f ca="1">IFERROR(__xludf.DUMMYFUNCTION("""COMPUTED_VALUE"""),15)</f>
        <v>15</v>
      </c>
      <c r="J204" s="1">
        <f ca="1">IFERROR(__xludf.DUMMYFUNCTION("""COMPUTED_VALUE"""),1)</f>
        <v>1</v>
      </c>
      <c r="K204" s="1">
        <f ca="1">IFERROR(__xludf.DUMMYFUNCTION("""COMPUTED_VALUE"""),8)</f>
        <v>8</v>
      </c>
      <c r="L204" s="1">
        <f ca="1">IFERROR(__xludf.DUMMYFUNCTION("""COMPUTED_VALUE"""),1)</f>
        <v>1</v>
      </c>
      <c r="M204" s="1">
        <f ca="1">IFERROR(__xludf.DUMMYFUNCTION("""COMPUTED_VALUE"""),19)</f>
        <v>19</v>
      </c>
      <c r="N204" s="1">
        <f ca="1">IFERROR(__xludf.DUMMYFUNCTION("""COMPUTED_VALUE"""),1974)</f>
        <v>1974</v>
      </c>
      <c r="O204" s="1">
        <f ca="1">IFERROR(__xludf.DUMMYFUNCTION("""COMPUTED_VALUE"""),2619)</f>
        <v>2619</v>
      </c>
      <c r="P204" s="1">
        <f ca="1">IFERROR(__xludf.DUMMYFUNCTION("""COMPUTED_VALUE"""),1165)</f>
        <v>1165</v>
      </c>
      <c r="Q204" s="1">
        <f ca="1">IFERROR(__xludf.DUMMYFUNCTION("""COMPUTED_VALUE"""),726)</f>
        <v>726</v>
      </c>
      <c r="R204" s="1">
        <f ca="1">IFERROR(__xludf.DUMMYFUNCTION("""COMPUTED_VALUE"""),1974)</f>
        <v>1974</v>
      </c>
      <c r="S204" s="1">
        <f ca="1">IFERROR(__xludf.DUMMYFUNCTION("""COMPUTED_VALUE"""),0.368)</f>
        <v>0.36799999999999999</v>
      </c>
      <c r="T204" s="1">
        <f ca="1">IFERROR(__xludf.DUMMYFUNCTION("""COMPUTED_VALUE"""),238)</f>
        <v>238</v>
      </c>
      <c r="U204" s="1">
        <f ca="1">IFERROR(__xludf.DUMMYFUNCTION("""COMPUTED_VALUE"""),810)</f>
        <v>810</v>
      </c>
      <c r="V204" s="1">
        <f ca="1">IFERROR(__xludf.DUMMYFUNCTION("""COMPUTED_VALUE"""),0.294)</f>
        <v>0.29399999999999998</v>
      </c>
      <c r="W204" s="1">
        <f ca="1">IFERROR(__xludf.DUMMYFUNCTION("""COMPUTED_VALUE"""),284)</f>
        <v>284</v>
      </c>
      <c r="X204" s="1">
        <f ca="1">IFERROR(__xludf.DUMMYFUNCTION("""COMPUTED_VALUE"""),435)</f>
        <v>435</v>
      </c>
      <c r="Y204" s="1">
        <f ca="1">IFERROR(__xludf.DUMMYFUNCTION("""COMPUTED_VALUE"""),0.653)</f>
        <v>0.65300000000000002</v>
      </c>
      <c r="Z204" s="1">
        <f ca="1">IFERROR(__xludf.DUMMYFUNCTION("""COMPUTED_VALUE"""),308)</f>
        <v>308</v>
      </c>
      <c r="AA204" s="1">
        <f ca="1">IFERROR(__xludf.DUMMYFUNCTION("""COMPUTED_VALUE"""),1023)</f>
        <v>1023</v>
      </c>
      <c r="AB204" s="1">
        <f ca="1">IFERROR(__xludf.DUMMYFUNCTION("""COMPUTED_VALUE"""),306)</f>
        <v>306</v>
      </c>
      <c r="AC204" s="1">
        <f ca="1">IFERROR(__xludf.DUMMYFUNCTION("""COMPUTED_VALUE"""),206)</f>
        <v>206</v>
      </c>
      <c r="AD204" s="1">
        <f ca="1">IFERROR(__xludf.DUMMYFUNCTION("""COMPUTED_VALUE"""),85)</f>
        <v>85</v>
      </c>
      <c r="AE204" s="1">
        <f ca="1">IFERROR(__xludf.DUMMYFUNCTION("""COMPUTED_VALUE"""),421)</f>
        <v>421</v>
      </c>
      <c r="AF204" s="1">
        <f ca="1">IFERROR(__xludf.DUMMYFUNCTION("""COMPUTED_VALUE"""),563)</f>
        <v>563</v>
      </c>
    </row>
    <row r="205" spans="1:32" x14ac:dyDescent="0.25">
      <c r="A205" s="1" t="str">
        <f ca="1">IFERROR(__xludf.DUMMYFUNCTION("""COMPUTED_VALUE"""),"Mississippi")</f>
        <v>Mississippi</v>
      </c>
      <c r="B205" s="1">
        <f ca="1">IFERROR(__xludf.DUMMYFUNCTION("""COMPUTED_VALUE"""),29)</f>
        <v>29</v>
      </c>
      <c r="C205" s="1">
        <f ca="1">IFERROR(__xludf.DUMMYFUNCTION("""COMPUTED_VALUE"""),14)</f>
        <v>14</v>
      </c>
      <c r="D205" s="1">
        <f ca="1">IFERROR(__xludf.DUMMYFUNCTION("""COMPUTED_VALUE"""),15)</f>
        <v>15</v>
      </c>
      <c r="E205" s="1">
        <f ca="1">IFERROR(__xludf.DUMMYFUNCTION("""COMPUTED_VALUE"""),0.483)</f>
        <v>0.48299999999999998</v>
      </c>
      <c r="F205" s="1">
        <f ca="1">IFERROR(__xludf.DUMMYFUNCTION("""COMPUTED_VALUE"""),8.26)</f>
        <v>8.26</v>
      </c>
      <c r="G205" s="1">
        <f ca="1">IFERROR(__xludf.DUMMYFUNCTION("""COMPUTED_VALUE"""),6.53)</f>
        <v>6.53</v>
      </c>
      <c r="H205" s="1">
        <f ca="1">IFERROR(__xludf.DUMMYFUNCTION("""COMPUTED_VALUE"""),5)</f>
        <v>5</v>
      </c>
      <c r="I205" s="1">
        <f ca="1">IFERROR(__xludf.DUMMYFUNCTION("""COMPUTED_VALUE"""),11)</f>
        <v>11</v>
      </c>
      <c r="J205" s="1">
        <f ca="1">IFERROR(__xludf.DUMMYFUNCTION("""COMPUTED_VALUE"""),11)</f>
        <v>11</v>
      </c>
      <c r="K205" s="1">
        <f ca="1">IFERROR(__xludf.DUMMYFUNCTION("""COMPUTED_VALUE"""),5)</f>
        <v>5</v>
      </c>
      <c r="L205" s="1">
        <f ca="1">IFERROR(__xludf.DUMMYFUNCTION("""COMPUTED_VALUE"""),1)</f>
        <v>1</v>
      </c>
      <c r="M205" s="1">
        <f ca="1">IFERROR(__xludf.DUMMYFUNCTION("""COMPUTED_VALUE"""),9)</f>
        <v>9</v>
      </c>
      <c r="N205" s="1">
        <f ca="1">IFERROR(__xludf.DUMMYFUNCTION("""COMPUTED_VALUE"""),2026)</f>
        <v>2026</v>
      </c>
      <c r="O205" s="1">
        <f ca="1">IFERROR(__xludf.DUMMYFUNCTION("""COMPUTED_VALUE"""),1976)</f>
        <v>1976</v>
      </c>
      <c r="P205" s="1">
        <f ca="1">IFERROR(__xludf.DUMMYFUNCTION("""COMPUTED_VALUE"""),1170)</f>
        <v>1170</v>
      </c>
      <c r="Q205" s="1">
        <f ca="1">IFERROR(__xludf.DUMMYFUNCTION("""COMPUTED_VALUE"""),707)</f>
        <v>707</v>
      </c>
      <c r="R205" s="1">
        <f ca="1">IFERROR(__xludf.DUMMYFUNCTION("""COMPUTED_VALUE"""),1621)</f>
        <v>1621</v>
      </c>
      <c r="S205" s="1">
        <f ca="1">IFERROR(__xludf.DUMMYFUNCTION("""COMPUTED_VALUE"""),0.436)</f>
        <v>0.436</v>
      </c>
      <c r="T205" s="1">
        <f ca="1">IFERROR(__xludf.DUMMYFUNCTION("""COMPUTED_VALUE"""),182)</f>
        <v>182</v>
      </c>
      <c r="U205" s="1">
        <f ca="1">IFERROR(__xludf.DUMMYFUNCTION("""COMPUTED_VALUE"""),552)</f>
        <v>552</v>
      </c>
      <c r="V205" s="1">
        <f ca="1">IFERROR(__xludf.DUMMYFUNCTION("""COMPUTED_VALUE"""),0.33)</f>
        <v>0.33</v>
      </c>
      <c r="W205" s="1">
        <f ca="1">IFERROR(__xludf.DUMMYFUNCTION("""COMPUTED_VALUE"""),430)</f>
        <v>430</v>
      </c>
      <c r="X205" s="1">
        <f ca="1">IFERROR(__xludf.DUMMYFUNCTION("""COMPUTED_VALUE"""),588)</f>
        <v>588</v>
      </c>
      <c r="Y205" s="1">
        <f ca="1">IFERROR(__xludf.DUMMYFUNCTION("""COMPUTED_VALUE"""),0.731)</f>
        <v>0.73099999999999998</v>
      </c>
      <c r="Z205" s="1">
        <f ca="1">IFERROR(__xludf.DUMMYFUNCTION("""COMPUTED_VALUE"""),264)</f>
        <v>264</v>
      </c>
      <c r="AA205" s="1">
        <f ca="1">IFERROR(__xludf.DUMMYFUNCTION("""COMPUTED_VALUE"""),985)</f>
        <v>985</v>
      </c>
      <c r="AB205" s="1">
        <f ca="1">IFERROR(__xludf.DUMMYFUNCTION("""COMPUTED_VALUE"""),387)</f>
        <v>387</v>
      </c>
      <c r="AC205" s="1">
        <f ca="1">IFERROR(__xludf.DUMMYFUNCTION("""COMPUTED_VALUE"""),210)</f>
        <v>210</v>
      </c>
      <c r="AD205" s="1">
        <f ca="1">IFERROR(__xludf.DUMMYFUNCTION("""COMPUTED_VALUE"""),80)</f>
        <v>80</v>
      </c>
      <c r="AE205" s="1">
        <f ca="1">IFERROR(__xludf.DUMMYFUNCTION("""COMPUTED_VALUE"""),384)</f>
        <v>384</v>
      </c>
      <c r="AF205" s="1">
        <f ca="1">IFERROR(__xludf.DUMMYFUNCTION("""COMPUTED_VALUE"""),562)</f>
        <v>562</v>
      </c>
    </row>
    <row r="206" spans="1:32" x14ac:dyDescent="0.25">
      <c r="A206" s="1" t="str">
        <f ca="1">IFERROR(__xludf.DUMMYFUNCTION("""COMPUTED_VALUE"""),"Missouri-Kansas City")</f>
        <v>Missouri-Kansas City</v>
      </c>
      <c r="B206" s="1">
        <f ca="1">IFERROR(__xludf.DUMMYFUNCTION("""COMPUTED_VALUE"""),29)</f>
        <v>29</v>
      </c>
      <c r="C206" s="1">
        <f ca="1">IFERROR(__xludf.DUMMYFUNCTION("""COMPUTED_VALUE"""),15)</f>
        <v>15</v>
      </c>
      <c r="D206" s="1">
        <f ca="1">IFERROR(__xludf.DUMMYFUNCTION("""COMPUTED_VALUE"""),14)</f>
        <v>14</v>
      </c>
      <c r="E206" s="1">
        <f ca="1">IFERROR(__xludf.DUMMYFUNCTION("""COMPUTED_VALUE"""),0.517)</f>
        <v>0.51700000000000002</v>
      </c>
      <c r="F206" s="1">
        <f ca="1">IFERROR(__xludf.DUMMYFUNCTION("""COMPUTED_VALUE"""),-6.19)</f>
        <v>-6.19</v>
      </c>
      <c r="G206" s="1">
        <f ca="1">IFERROR(__xludf.DUMMYFUNCTION("""COMPUTED_VALUE"""),-3.27)</f>
        <v>-3.27</v>
      </c>
      <c r="H206" s="1">
        <f ca="1">IFERROR(__xludf.DUMMYFUNCTION("""COMPUTED_VALUE"""),7)</f>
        <v>7</v>
      </c>
      <c r="I206" s="1">
        <f ca="1">IFERROR(__xludf.DUMMYFUNCTION("""COMPUTED_VALUE"""),7)</f>
        <v>7</v>
      </c>
      <c r="J206" s="1">
        <f ca="1">IFERROR(__xludf.DUMMYFUNCTION("""COMPUTED_VALUE"""),9)</f>
        <v>9</v>
      </c>
      <c r="K206" s="1">
        <f ca="1">IFERROR(__xludf.DUMMYFUNCTION("""COMPUTED_VALUE"""),4)</f>
        <v>4</v>
      </c>
      <c r="L206" s="1">
        <f ca="1">IFERROR(__xludf.DUMMYFUNCTION("""COMPUTED_VALUE"""),4)</f>
        <v>4</v>
      </c>
      <c r="M206" s="1">
        <f ca="1">IFERROR(__xludf.DUMMYFUNCTION("""COMPUTED_VALUE"""),8)</f>
        <v>8</v>
      </c>
      <c r="N206" s="1">
        <f ca="1">IFERROR(__xludf.DUMMYFUNCTION("""COMPUTED_VALUE"""),2033)</f>
        <v>2033</v>
      </c>
      <c r="O206" s="1">
        <f ca="1">IFERROR(__xludf.DUMMYFUNCTION("""COMPUTED_VALUE"""),1925)</f>
        <v>1925</v>
      </c>
      <c r="P206" s="1">
        <f ca="1">IFERROR(__xludf.DUMMYFUNCTION("""COMPUTED_VALUE"""),1185)</f>
        <v>1185</v>
      </c>
      <c r="Q206" s="1">
        <f ca="1">IFERROR(__xludf.DUMMYFUNCTION("""COMPUTED_VALUE"""),750)</f>
        <v>750</v>
      </c>
      <c r="R206" s="1">
        <f ca="1">IFERROR(__xludf.DUMMYFUNCTION("""COMPUTED_VALUE"""),1632)</f>
        <v>1632</v>
      </c>
      <c r="S206" s="1">
        <f ca="1">IFERROR(__xludf.DUMMYFUNCTION("""COMPUTED_VALUE"""),0.46)</f>
        <v>0.46</v>
      </c>
      <c r="T206" s="1">
        <f ca="1">IFERROR(__xludf.DUMMYFUNCTION("""COMPUTED_VALUE"""),208)</f>
        <v>208</v>
      </c>
      <c r="U206" s="1">
        <f ca="1">IFERROR(__xludf.DUMMYFUNCTION("""COMPUTED_VALUE"""),574)</f>
        <v>574</v>
      </c>
      <c r="V206" s="1">
        <f ca="1">IFERROR(__xludf.DUMMYFUNCTION("""COMPUTED_VALUE"""),0.362)</f>
        <v>0.36199999999999999</v>
      </c>
      <c r="W206" s="1">
        <f ca="1">IFERROR(__xludf.DUMMYFUNCTION("""COMPUTED_VALUE"""),325)</f>
        <v>325</v>
      </c>
      <c r="X206" s="1">
        <f ca="1">IFERROR(__xludf.DUMMYFUNCTION("""COMPUTED_VALUE"""),474)</f>
        <v>474</v>
      </c>
      <c r="Y206" s="1">
        <f ca="1">IFERROR(__xludf.DUMMYFUNCTION("""COMPUTED_VALUE"""),0.686)</f>
        <v>0.68600000000000005</v>
      </c>
      <c r="Z206" s="1">
        <f ca="1">IFERROR(__xludf.DUMMYFUNCTION("""COMPUTED_VALUE"""),248)</f>
        <v>248</v>
      </c>
      <c r="AA206" s="1">
        <f ca="1">IFERROR(__xludf.DUMMYFUNCTION("""COMPUTED_VALUE"""),904)</f>
        <v>904</v>
      </c>
      <c r="AB206" s="1">
        <f ca="1">IFERROR(__xludf.DUMMYFUNCTION("""COMPUTED_VALUE"""),384)</f>
        <v>384</v>
      </c>
      <c r="AC206" s="1">
        <f ca="1">IFERROR(__xludf.DUMMYFUNCTION("""COMPUTED_VALUE"""),229)</f>
        <v>229</v>
      </c>
      <c r="AD206" s="1">
        <f ca="1">IFERROR(__xludf.DUMMYFUNCTION("""COMPUTED_VALUE"""),91)</f>
        <v>91</v>
      </c>
      <c r="AE206" s="1">
        <f ca="1">IFERROR(__xludf.DUMMYFUNCTION("""COMPUTED_VALUE"""),379)</f>
        <v>379</v>
      </c>
      <c r="AF206" s="1">
        <f ca="1">IFERROR(__xludf.DUMMYFUNCTION("""COMPUTED_VALUE"""),619)</f>
        <v>619</v>
      </c>
    </row>
    <row r="207" spans="1:32" x14ac:dyDescent="0.25">
      <c r="A207" s="1" t="str">
        <f ca="1">IFERROR(__xludf.DUMMYFUNCTION("""COMPUTED_VALUE"""),"Missouri State")</f>
        <v>Missouri State</v>
      </c>
      <c r="B207" s="1">
        <f ca="1">IFERROR(__xludf.DUMMYFUNCTION("""COMPUTED_VALUE"""),31)</f>
        <v>31</v>
      </c>
      <c r="C207" s="1">
        <f ca="1">IFERROR(__xludf.DUMMYFUNCTION("""COMPUTED_VALUE"""),15)</f>
        <v>15</v>
      </c>
      <c r="D207" s="1">
        <f ca="1">IFERROR(__xludf.DUMMYFUNCTION("""COMPUTED_VALUE"""),16)</f>
        <v>16</v>
      </c>
      <c r="E207" s="1">
        <f ca="1">IFERROR(__xludf.DUMMYFUNCTION("""COMPUTED_VALUE"""),0.484)</f>
        <v>0.48399999999999999</v>
      </c>
      <c r="F207" s="1">
        <f ca="1">IFERROR(__xludf.DUMMYFUNCTION("""COMPUTED_VALUE"""),3.02)</f>
        <v>3.02</v>
      </c>
      <c r="G207" s="1">
        <f ca="1">IFERROR(__xludf.DUMMYFUNCTION("""COMPUTED_VALUE"""),0.7)</f>
        <v>0.7</v>
      </c>
      <c r="H207" s="1">
        <f ca="1">IFERROR(__xludf.DUMMYFUNCTION("""COMPUTED_VALUE"""),9)</f>
        <v>9</v>
      </c>
      <c r="I207" s="1">
        <f ca="1">IFERROR(__xludf.DUMMYFUNCTION("""COMPUTED_VALUE"""),9)</f>
        <v>9</v>
      </c>
      <c r="J207" s="1">
        <f ca="1">IFERROR(__xludf.DUMMYFUNCTION("""COMPUTED_VALUE"""),11)</f>
        <v>11</v>
      </c>
      <c r="K207" s="1">
        <f ca="1">IFERROR(__xludf.DUMMYFUNCTION("""COMPUTED_VALUE"""),4)</f>
        <v>4</v>
      </c>
      <c r="L207" s="1">
        <f ca="1">IFERROR(__xludf.DUMMYFUNCTION("""COMPUTED_VALUE"""),3)</f>
        <v>3</v>
      </c>
      <c r="M207" s="1">
        <f ca="1">IFERROR(__xludf.DUMMYFUNCTION("""COMPUTED_VALUE"""),10)</f>
        <v>10</v>
      </c>
      <c r="N207" s="1">
        <f ca="1">IFERROR(__xludf.DUMMYFUNCTION("""COMPUTED_VALUE"""),2170)</f>
        <v>2170</v>
      </c>
      <c r="O207" s="1">
        <f ca="1">IFERROR(__xludf.DUMMYFUNCTION("""COMPUTED_VALUE"""),2098)</f>
        <v>2098</v>
      </c>
      <c r="P207" s="1">
        <f ca="1">IFERROR(__xludf.DUMMYFUNCTION("""COMPUTED_VALUE"""),1245)</f>
        <v>1245</v>
      </c>
      <c r="Q207" s="1">
        <f ca="1">IFERROR(__xludf.DUMMYFUNCTION("""COMPUTED_VALUE"""),782)</f>
        <v>782</v>
      </c>
      <c r="R207" s="1">
        <f ca="1">IFERROR(__xludf.DUMMYFUNCTION("""COMPUTED_VALUE"""),1799)</f>
        <v>1799</v>
      </c>
      <c r="S207" s="1">
        <f ca="1">IFERROR(__xludf.DUMMYFUNCTION("""COMPUTED_VALUE"""),0.435)</f>
        <v>0.435</v>
      </c>
      <c r="T207" s="1">
        <f ca="1">IFERROR(__xludf.DUMMYFUNCTION("""COMPUTED_VALUE"""),215)</f>
        <v>215</v>
      </c>
      <c r="U207" s="1">
        <f ca="1">IFERROR(__xludf.DUMMYFUNCTION("""COMPUTED_VALUE"""),612)</f>
        <v>612</v>
      </c>
      <c r="V207" s="1">
        <f ca="1">IFERROR(__xludf.DUMMYFUNCTION("""COMPUTED_VALUE"""),0.351)</f>
        <v>0.35099999999999998</v>
      </c>
      <c r="W207" s="1">
        <f ca="1">IFERROR(__xludf.DUMMYFUNCTION("""COMPUTED_VALUE"""),391)</f>
        <v>391</v>
      </c>
      <c r="X207" s="1">
        <f ca="1">IFERROR(__xludf.DUMMYFUNCTION("""COMPUTED_VALUE"""),525)</f>
        <v>525</v>
      </c>
      <c r="Y207" s="1">
        <f ca="1">IFERROR(__xludf.DUMMYFUNCTION("""COMPUTED_VALUE"""),0.745)</f>
        <v>0.745</v>
      </c>
      <c r="Z207" s="1">
        <f ca="1">IFERROR(__xludf.DUMMYFUNCTION("""COMPUTED_VALUE"""),336)</f>
        <v>336</v>
      </c>
      <c r="AA207" s="1">
        <f ca="1">IFERROR(__xludf.DUMMYFUNCTION("""COMPUTED_VALUE"""),1143)</f>
        <v>1143</v>
      </c>
      <c r="AB207" s="1">
        <f ca="1">IFERROR(__xludf.DUMMYFUNCTION("""COMPUTED_VALUE"""),365)</f>
        <v>365</v>
      </c>
      <c r="AC207" s="1">
        <f ca="1">IFERROR(__xludf.DUMMYFUNCTION("""COMPUTED_VALUE"""),198)</f>
        <v>198</v>
      </c>
      <c r="AD207" s="1">
        <f ca="1">IFERROR(__xludf.DUMMYFUNCTION("""COMPUTED_VALUE"""),85)</f>
        <v>85</v>
      </c>
      <c r="AE207" s="1">
        <f ca="1">IFERROR(__xludf.DUMMYFUNCTION("""COMPUTED_VALUE"""),423)</f>
        <v>423</v>
      </c>
      <c r="AF207" s="1">
        <f ca="1">IFERROR(__xludf.DUMMYFUNCTION("""COMPUTED_VALUE"""),557)</f>
        <v>557</v>
      </c>
    </row>
    <row r="208" spans="1:32" x14ac:dyDescent="0.25">
      <c r="A208" s="1" t="str">
        <f ca="1">IFERROR(__xludf.DUMMYFUNCTION("""COMPUTED_VALUE"""),"Missouri")</f>
        <v>Missouri</v>
      </c>
      <c r="B208" s="1">
        <f ca="1">IFERROR(__xludf.DUMMYFUNCTION("""COMPUTED_VALUE"""),29)</f>
        <v>29</v>
      </c>
      <c r="C208" s="1">
        <f ca="1">IFERROR(__xludf.DUMMYFUNCTION("""COMPUTED_VALUE"""),14)</f>
        <v>14</v>
      </c>
      <c r="D208" s="1">
        <f ca="1">IFERROR(__xludf.DUMMYFUNCTION("""COMPUTED_VALUE"""),15)</f>
        <v>15</v>
      </c>
      <c r="E208" s="1">
        <f ca="1">IFERROR(__xludf.DUMMYFUNCTION("""COMPUTED_VALUE"""),0.483)</f>
        <v>0.48299999999999998</v>
      </c>
      <c r="F208" s="1">
        <f ca="1">IFERROR(__xludf.DUMMYFUNCTION("""COMPUTED_VALUE"""),8.01)</f>
        <v>8.01</v>
      </c>
      <c r="G208" s="1">
        <f ca="1">IFERROR(__xludf.DUMMYFUNCTION("""COMPUTED_VALUE"""),6.29)</f>
        <v>6.29</v>
      </c>
      <c r="H208" s="1">
        <f ca="1">IFERROR(__xludf.DUMMYFUNCTION("""COMPUTED_VALUE"""),6)</f>
        <v>6</v>
      </c>
      <c r="I208" s="1">
        <f ca="1">IFERROR(__xludf.DUMMYFUNCTION("""COMPUTED_VALUE"""),10)</f>
        <v>10</v>
      </c>
      <c r="J208" s="1">
        <f ca="1">IFERROR(__xludf.DUMMYFUNCTION("""COMPUTED_VALUE"""),11)</f>
        <v>11</v>
      </c>
      <c r="K208" s="1">
        <f ca="1">IFERROR(__xludf.DUMMYFUNCTION("""COMPUTED_VALUE"""),4)</f>
        <v>4</v>
      </c>
      <c r="L208" s="1">
        <f ca="1">IFERROR(__xludf.DUMMYFUNCTION("""COMPUTED_VALUE"""),2)</f>
        <v>2</v>
      </c>
      <c r="M208" s="1">
        <f ca="1">IFERROR(__xludf.DUMMYFUNCTION("""COMPUTED_VALUE"""),9)</f>
        <v>9</v>
      </c>
      <c r="N208" s="1">
        <f ca="1">IFERROR(__xludf.DUMMYFUNCTION("""COMPUTED_VALUE"""),1945)</f>
        <v>1945</v>
      </c>
      <c r="O208" s="1">
        <f ca="1">IFERROR(__xludf.DUMMYFUNCTION("""COMPUTED_VALUE"""),1895)</f>
        <v>1895</v>
      </c>
      <c r="P208" s="1">
        <f ca="1">IFERROR(__xludf.DUMMYFUNCTION("""COMPUTED_VALUE"""),1170)</f>
        <v>1170</v>
      </c>
      <c r="Q208" s="1">
        <f ca="1">IFERROR(__xludf.DUMMYFUNCTION("""COMPUTED_VALUE"""),656)</f>
        <v>656</v>
      </c>
      <c r="R208" s="1">
        <f ca="1">IFERROR(__xludf.DUMMYFUNCTION("""COMPUTED_VALUE"""),1594)</f>
        <v>1594</v>
      </c>
      <c r="S208" s="1">
        <f ca="1">IFERROR(__xludf.DUMMYFUNCTION("""COMPUTED_VALUE"""),0.412)</f>
        <v>0.41199999999999998</v>
      </c>
      <c r="T208" s="1">
        <f ca="1">IFERROR(__xludf.DUMMYFUNCTION("""COMPUTED_VALUE"""),196)</f>
        <v>196</v>
      </c>
      <c r="U208" s="1">
        <f ca="1">IFERROR(__xludf.DUMMYFUNCTION("""COMPUTED_VALUE"""),654)</f>
        <v>654</v>
      </c>
      <c r="V208" s="1">
        <f ca="1">IFERROR(__xludf.DUMMYFUNCTION("""COMPUTED_VALUE"""),0.3)</f>
        <v>0.3</v>
      </c>
      <c r="W208" s="1">
        <f ca="1">IFERROR(__xludf.DUMMYFUNCTION("""COMPUTED_VALUE"""),437)</f>
        <v>437</v>
      </c>
      <c r="X208" s="1">
        <f ca="1">IFERROR(__xludf.DUMMYFUNCTION("""COMPUTED_VALUE"""),562)</f>
        <v>562</v>
      </c>
      <c r="Y208" s="1">
        <f ca="1">IFERROR(__xludf.DUMMYFUNCTION("""COMPUTED_VALUE"""),0.778)</f>
        <v>0.77800000000000002</v>
      </c>
      <c r="Z208" s="1">
        <f ca="1">IFERROR(__xludf.DUMMYFUNCTION("""COMPUTED_VALUE"""),309)</f>
        <v>309</v>
      </c>
      <c r="AA208" s="1">
        <f ca="1">IFERROR(__xludf.DUMMYFUNCTION("""COMPUTED_VALUE"""),1011)</f>
        <v>1011</v>
      </c>
      <c r="AB208" s="1">
        <f ca="1">IFERROR(__xludf.DUMMYFUNCTION("""COMPUTED_VALUE"""),328)</f>
        <v>328</v>
      </c>
      <c r="AC208" s="1">
        <f ca="1">IFERROR(__xludf.DUMMYFUNCTION("""COMPUTED_VALUE"""),194)</f>
        <v>194</v>
      </c>
      <c r="AD208" s="1">
        <f ca="1">IFERROR(__xludf.DUMMYFUNCTION("""COMPUTED_VALUE"""),92)</f>
        <v>92</v>
      </c>
      <c r="AE208" s="1">
        <f ca="1">IFERROR(__xludf.DUMMYFUNCTION("""COMPUTED_VALUE"""),408)</f>
        <v>408</v>
      </c>
      <c r="AF208" s="1">
        <f ca="1">IFERROR(__xludf.DUMMYFUNCTION("""COMPUTED_VALUE"""),612)</f>
        <v>612</v>
      </c>
    </row>
    <row r="209" spans="1:32" x14ac:dyDescent="0.25">
      <c r="A209" s="1" t="str">
        <f ca="1">IFERROR(__xludf.DUMMYFUNCTION("""COMPUTED_VALUE"""),"Monmouth")</f>
        <v>Monmouth</v>
      </c>
      <c r="B209" s="1">
        <f ca="1">IFERROR(__xludf.DUMMYFUNCTION("""COMPUTED_VALUE"""),29)</f>
        <v>29</v>
      </c>
      <c r="C209" s="1">
        <f ca="1">IFERROR(__xludf.DUMMYFUNCTION("""COMPUTED_VALUE"""),17)</f>
        <v>17</v>
      </c>
      <c r="D209" s="1">
        <f ca="1">IFERROR(__xludf.DUMMYFUNCTION("""COMPUTED_VALUE"""),12)</f>
        <v>12</v>
      </c>
      <c r="E209" s="1">
        <f ca="1">IFERROR(__xludf.DUMMYFUNCTION("""COMPUTED_VALUE"""),0.586)</f>
        <v>0.58599999999999997</v>
      </c>
      <c r="F209" s="1">
        <f ca="1">IFERROR(__xludf.DUMMYFUNCTION("""COMPUTED_VALUE"""),-4.79)</f>
        <v>-4.79</v>
      </c>
      <c r="G209" s="1">
        <f ca="1">IFERROR(__xludf.DUMMYFUNCTION("""COMPUTED_VALUE"""),-5.17)</f>
        <v>-5.17</v>
      </c>
      <c r="H209" s="1">
        <f ca="1">IFERROR(__xludf.DUMMYFUNCTION("""COMPUTED_VALUE"""),11)</f>
        <v>11</v>
      </c>
      <c r="I209" s="1">
        <f ca="1">IFERROR(__xludf.DUMMYFUNCTION("""COMPUTED_VALUE"""),7)</f>
        <v>7</v>
      </c>
      <c r="J209" s="1">
        <f ca="1">IFERROR(__xludf.DUMMYFUNCTION("""COMPUTED_VALUE"""),10)</f>
        <v>10</v>
      </c>
      <c r="K209" s="1">
        <f ca="1">IFERROR(__xludf.DUMMYFUNCTION("""COMPUTED_VALUE"""),1)</f>
        <v>1</v>
      </c>
      <c r="L209" s="1">
        <f ca="1">IFERROR(__xludf.DUMMYFUNCTION("""COMPUTED_VALUE"""),6)</f>
        <v>6</v>
      </c>
      <c r="M209" s="1">
        <f ca="1">IFERROR(__xludf.DUMMYFUNCTION("""COMPUTED_VALUE"""),10)</f>
        <v>10</v>
      </c>
      <c r="N209" s="1">
        <f ca="1">IFERROR(__xludf.DUMMYFUNCTION("""COMPUTED_VALUE"""),2068)</f>
        <v>2068</v>
      </c>
      <c r="O209" s="1">
        <f ca="1">IFERROR(__xludf.DUMMYFUNCTION("""COMPUTED_VALUE"""),2057)</f>
        <v>2057</v>
      </c>
      <c r="P209" s="1">
        <f ca="1">IFERROR(__xludf.DUMMYFUNCTION("""COMPUTED_VALUE"""),1165)</f>
        <v>1165</v>
      </c>
      <c r="Q209" s="1">
        <f ca="1">IFERROR(__xludf.DUMMYFUNCTION("""COMPUTED_VALUE"""),706)</f>
        <v>706</v>
      </c>
      <c r="R209" s="1">
        <f ca="1">IFERROR(__xludf.DUMMYFUNCTION("""COMPUTED_VALUE"""),1722)</f>
        <v>1722</v>
      </c>
      <c r="S209" s="1">
        <f ca="1">IFERROR(__xludf.DUMMYFUNCTION("""COMPUTED_VALUE"""),0.41)</f>
        <v>0.41</v>
      </c>
      <c r="T209" s="1">
        <f ca="1">IFERROR(__xludf.DUMMYFUNCTION("""COMPUTED_VALUE"""),212)</f>
        <v>212</v>
      </c>
      <c r="U209" s="1">
        <f ca="1">IFERROR(__xludf.DUMMYFUNCTION("""COMPUTED_VALUE"""),634)</f>
        <v>634</v>
      </c>
      <c r="V209" s="1">
        <f ca="1">IFERROR(__xludf.DUMMYFUNCTION("""COMPUTED_VALUE"""),0.334)</f>
        <v>0.33400000000000002</v>
      </c>
      <c r="W209" s="1">
        <f ca="1">IFERROR(__xludf.DUMMYFUNCTION("""COMPUTED_VALUE"""),444)</f>
        <v>444</v>
      </c>
      <c r="X209" s="1">
        <f ca="1">IFERROR(__xludf.DUMMYFUNCTION("""COMPUTED_VALUE"""),616)</f>
        <v>616</v>
      </c>
      <c r="Y209" s="1">
        <f ca="1">IFERROR(__xludf.DUMMYFUNCTION("""COMPUTED_VALUE"""),0.721)</f>
        <v>0.72099999999999997</v>
      </c>
      <c r="Z209" s="1">
        <f ca="1">IFERROR(__xludf.DUMMYFUNCTION("""COMPUTED_VALUE"""),283)</f>
        <v>283</v>
      </c>
      <c r="AA209" s="1">
        <f ca="1">IFERROR(__xludf.DUMMYFUNCTION("""COMPUTED_VALUE"""),994)</f>
        <v>994</v>
      </c>
      <c r="AB209" s="1">
        <f ca="1">IFERROR(__xludf.DUMMYFUNCTION("""COMPUTED_VALUE"""),371)</f>
        <v>371</v>
      </c>
      <c r="AC209" s="1">
        <f ca="1">IFERROR(__xludf.DUMMYFUNCTION("""COMPUTED_VALUE"""),229)</f>
        <v>229</v>
      </c>
      <c r="AD209" s="1">
        <f ca="1">IFERROR(__xludf.DUMMYFUNCTION("""COMPUTED_VALUE"""),78)</f>
        <v>78</v>
      </c>
      <c r="AE209" s="1">
        <f ca="1">IFERROR(__xludf.DUMMYFUNCTION("""COMPUTED_VALUE"""),379)</f>
        <v>379</v>
      </c>
      <c r="AF209" s="1">
        <f ca="1">IFERROR(__xludf.DUMMYFUNCTION("""COMPUTED_VALUE"""),581)</f>
        <v>581</v>
      </c>
    </row>
    <row r="210" spans="1:32" x14ac:dyDescent="0.25">
      <c r="A210" s="1" t="str">
        <f ca="1">IFERROR(__xludf.DUMMYFUNCTION("""COMPUTED_VALUE"""),"Montana State")</f>
        <v>Montana State</v>
      </c>
      <c r="B210" s="1">
        <f ca="1">IFERROR(__xludf.DUMMYFUNCTION("""COMPUTED_VALUE"""),29)</f>
        <v>29</v>
      </c>
      <c r="C210" s="1">
        <f ca="1">IFERROR(__xludf.DUMMYFUNCTION("""COMPUTED_VALUE"""),15)</f>
        <v>15</v>
      </c>
      <c r="D210" s="1">
        <f ca="1">IFERROR(__xludf.DUMMYFUNCTION("""COMPUTED_VALUE"""),14)</f>
        <v>14</v>
      </c>
      <c r="E210" s="1">
        <f ca="1">IFERROR(__xludf.DUMMYFUNCTION("""COMPUTED_VALUE"""),0.517)</f>
        <v>0.51700000000000002</v>
      </c>
      <c r="F210" s="1">
        <f ca="1">IFERROR(__xludf.DUMMYFUNCTION("""COMPUTED_VALUE"""),-5.24)</f>
        <v>-5.24</v>
      </c>
      <c r="G210" s="1">
        <f ca="1">IFERROR(__xludf.DUMMYFUNCTION("""COMPUTED_VALUE"""),-2.54)</f>
        <v>-2.54</v>
      </c>
      <c r="H210" s="1">
        <f ca="1">IFERROR(__xludf.DUMMYFUNCTION("""COMPUTED_VALUE"""),9)</f>
        <v>9</v>
      </c>
      <c r="I210" s="1">
        <f ca="1">IFERROR(__xludf.DUMMYFUNCTION("""COMPUTED_VALUE"""),9)</f>
        <v>9</v>
      </c>
      <c r="J210" s="1">
        <f ca="1">IFERROR(__xludf.DUMMYFUNCTION("""COMPUTED_VALUE"""),8)</f>
        <v>8</v>
      </c>
      <c r="K210" s="1">
        <f ca="1">IFERROR(__xludf.DUMMYFUNCTION("""COMPUTED_VALUE"""),4)</f>
        <v>4</v>
      </c>
      <c r="L210" s="1">
        <f ca="1">IFERROR(__xludf.DUMMYFUNCTION("""COMPUTED_VALUE"""),5)</f>
        <v>5</v>
      </c>
      <c r="M210" s="1">
        <f ca="1">IFERROR(__xludf.DUMMYFUNCTION("""COMPUTED_VALUE"""),10)</f>
        <v>10</v>
      </c>
      <c r="N210" s="1">
        <f ca="1">IFERROR(__xludf.DUMMYFUNCTION("""COMPUTED_VALUE"""),1932)</f>
        <v>1932</v>
      </c>
      <c r="O210" s="1">
        <f ca="1">IFERROR(__xludf.DUMMYFUNCTION("""COMPUTED_VALUE"""),1936)</f>
        <v>1936</v>
      </c>
      <c r="P210" s="1">
        <f ca="1">IFERROR(__xludf.DUMMYFUNCTION("""COMPUTED_VALUE"""),1160)</f>
        <v>1160</v>
      </c>
      <c r="Q210" s="1">
        <f ca="1">IFERROR(__xludf.DUMMYFUNCTION("""COMPUTED_VALUE"""),677)</f>
        <v>677</v>
      </c>
      <c r="R210" s="1">
        <f ca="1">IFERROR(__xludf.DUMMYFUNCTION("""COMPUTED_VALUE"""),1525)</f>
        <v>1525</v>
      </c>
      <c r="S210" s="1">
        <f ca="1">IFERROR(__xludf.DUMMYFUNCTION("""COMPUTED_VALUE"""),0.444)</f>
        <v>0.44400000000000001</v>
      </c>
      <c r="T210" s="1">
        <f ca="1">IFERROR(__xludf.DUMMYFUNCTION("""COMPUTED_VALUE"""),165)</f>
        <v>165</v>
      </c>
      <c r="U210" s="1">
        <f ca="1">IFERROR(__xludf.DUMMYFUNCTION("""COMPUTED_VALUE"""),506)</f>
        <v>506</v>
      </c>
      <c r="V210" s="1">
        <f ca="1">IFERROR(__xludf.DUMMYFUNCTION("""COMPUTED_VALUE"""),0.326)</f>
        <v>0.32600000000000001</v>
      </c>
      <c r="W210" s="1">
        <f ca="1">IFERROR(__xludf.DUMMYFUNCTION("""COMPUTED_VALUE"""),413)</f>
        <v>413</v>
      </c>
      <c r="X210" s="1">
        <f ca="1">IFERROR(__xludf.DUMMYFUNCTION("""COMPUTED_VALUE"""),555)</f>
        <v>555</v>
      </c>
      <c r="Y210" s="1">
        <f ca="1">IFERROR(__xludf.DUMMYFUNCTION("""COMPUTED_VALUE"""),0.744)</f>
        <v>0.74399999999999999</v>
      </c>
      <c r="Z210" s="1">
        <f ca="1">IFERROR(__xludf.DUMMYFUNCTION("""COMPUTED_VALUE"""),212)</f>
        <v>212</v>
      </c>
      <c r="AA210" s="1">
        <f ca="1">IFERROR(__xludf.DUMMYFUNCTION("""COMPUTED_VALUE"""),1011)</f>
        <v>1011</v>
      </c>
      <c r="AB210" s="1">
        <f ca="1">IFERROR(__xludf.DUMMYFUNCTION("""COMPUTED_VALUE"""),327)</f>
        <v>327</v>
      </c>
      <c r="AC210" s="1">
        <f ca="1">IFERROR(__xludf.DUMMYFUNCTION("""COMPUTED_VALUE"""),161)</f>
        <v>161</v>
      </c>
      <c r="AD210" s="1">
        <f ca="1">IFERROR(__xludf.DUMMYFUNCTION("""COMPUTED_VALUE"""),65)</f>
        <v>65</v>
      </c>
      <c r="AE210" s="1">
        <f ca="1">IFERROR(__xludf.DUMMYFUNCTION("""COMPUTED_VALUE"""),411)</f>
        <v>411</v>
      </c>
      <c r="AF210" s="1">
        <f ca="1">IFERROR(__xludf.DUMMYFUNCTION("""COMPUTED_VALUE"""),507)</f>
        <v>507</v>
      </c>
    </row>
    <row r="211" spans="1:32" x14ac:dyDescent="0.25">
      <c r="A211" s="1" t="str">
        <f ca="1">IFERROR(__xludf.DUMMYFUNCTION("""COMPUTED_VALUE"""),"Montana")</f>
        <v>Montana</v>
      </c>
      <c r="B211" s="1">
        <f ca="1">IFERROR(__xludf.DUMMYFUNCTION("""COMPUTED_VALUE"""),29)</f>
        <v>29</v>
      </c>
      <c r="C211" s="1">
        <f ca="1">IFERROR(__xludf.DUMMYFUNCTION("""COMPUTED_VALUE"""),18)</f>
        <v>18</v>
      </c>
      <c r="D211" s="1">
        <f ca="1">IFERROR(__xludf.DUMMYFUNCTION("""COMPUTED_VALUE"""),11)</f>
        <v>11</v>
      </c>
      <c r="E211" s="1">
        <f ca="1">IFERROR(__xludf.DUMMYFUNCTION("""COMPUTED_VALUE"""),0.621)</f>
        <v>0.621</v>
      </c>
      <c r="F211" s="1">
        <f ca="1">IFERROR(__xludf.DUMMYFUNCTION("""COMPUTED_VALUE"""),0.98)</f>
        <v>0.98</v>
      </c>
      <c r="G211" s="1">
        <f ca="1">IFERROR(__xludf.DUMMYFUNCTION("""COMPUTED_VALUE"""),-1.72)</f>
        <v>-1.72</v>
      </c>
      <c r="H211" s="1">
        <f ca="1">IFERROR(__xludf.DUMMYFUNCTION("""COMPUTED_VALUE"""),14)</f>
        <v>14</v>
      </c>
      <c r="I211" s="1">
        <f ca="1">IFERROR(__xludf.DUMMYFUNCTION("""COMPUTED_VALUE"""),4)</f>
        <v>4</v>
      </c>
      <c r="J211" s="1">
        <f ca="1">IFERROR(__xludf.DUMMYFUNCTION("""COMPUTED_VALUE"""),12)</f>
        <v>12</v>
      </c>
      <c r="K211" s="1">
        <f ca="1">IFERROR(__xludf.DUMMYFUNCTION("""COMPUTED_VALUE"""),1)</f>
        <v>1</v>
      </c>
      <c r="L211" s="1">
        <f ca="1">IFERROR(__xludf.DUMMYFUNCTION("""COMPUTED_VALUE"""),6)</f>
        <v>6</v>
      </c>
      <c r="M211" s="1">
        <f ca="1">IFERROR(__xludf.DUMMYFUNCTION("""COMPUTED_VALUE"""),10)</f>
        <v>10</v>
      </c>
      <c r="N211" s="1">
        <f ca="1">IFERROR(__xludf.DUMMYFUNCTION("""COMPUTED_VALUE"""),2051)</f>
        <v>2051</v>
      </c>
      <c r="O211" s="1">
        <f ca="1">IFERROR(__xludf.DUMMYFUNCTION("""COMPUTED_VALUE"""),1966)</f>
        <v>1966</v>
      </c>
      <c r="P211" s="1">
        <f ca="1">IFERROR(__xludf.DUMMYFUNCTION("""COMPUTED_VALUE"""),1170)</f>
        <v>1170</v>
      </c>
      <c r="Q211" s="1">
        <f ca="1">IFERROR(__xludf.DUMMYFUNCTION("""COMPUTED_VALUE"""),786)</f>
        <v>786</v>
      </c>
      <c r="R211" s="1">
        <f ca="1">IFERROR(__xludf.DUMMYFUNCTION("""COMPUTED_VALUE"""),1652)</f>
        <v>1652</v>
      </c>
      <c r="S211" s="1">
        <f ca="1">IFERROR(__xludf.DUMMYFUNCTION("""COMPUTED_VALUE"""),0.476)</f>
        <v>0.47599999999999998</v>
      </c>
      <c r="T211" s="1">
        <f ca="1">IFERROR(__xludf.DUMMYFUNCTION("""COMPUTED_VALUE"""),166)</f>
        <v>166</v>
      </c>
      <c r="U211" s="1">
        <f ca="1">IFERROR(__xludf.DUMMYFUNCTION("""COMPUTED_VALUE"""),456)</f>
        <v>456</v>
      </c>
      <c r="V211" s="1">
        <f ca="1">IFERROR(__xludf.DUMMYFUNCTION("""COMPUTED_VALUE"""),0.364)</f>
        <v>0.36399999999999999</v>
      </c>
      <c r="W211" s="1">
        <f ca="1">IFERROR(__xludf.DUMMYFUNCTION("""COMPUTED_VALUE"""),313)</f>
        <v>313</v>
      </c>
      <c r="X211" s="1">
        <f ca="1">IFERROR(__xludf.DUMMYFUNCTION("""COMPUTED_VALUE"""),432)</f>
        <v>432</v>
      </c>
      <c r="Y211" s="1">
        <f ca="1">IFERROR(__xludf.DUMMYFUNCTION("""COMPUTED_VALUE"""),0.725)</f>
        <v>0.72499999999999998</v>
      </c>
      <c r="Z211" s="1">
        <f ca="1">IFERROR(__xludf.DUMMYFUNCTION("""COMPUTED_VALUE"""),183)</f>
        <v>183</v>
      </c>
      <c r="AA211" s="1">
        <f ca="1">IFERROR(__xludf.DUMMYFUNCTION("""COMPUTED_VALUE"""),906)</f>
        <v>906</v>
      </c>
      <c r="AB211" s="1">
        <f ca="1">IFERROR(__xludf.DUMMYFUNCTION("""COMPUTED_VALUE"""),364)</f>
        <v>364</v>
      </c>
      <c r="AC211" s="1">
        <f ca="1">IFERROR(__xludf.DUMMYFUNCTION("""COMPUTED_VALUE"""),186)</f>
        <v>186</v>
      </c>
      <c r="AD211" s="1">
        <f ca="1">IFERROR(__xludf.DUMMYFUNCTION("""COMPUTED_VALUE"""),99)</f>
        <v>99</v>
      </c>
      <c r="AE211" s="1">
        <f ca="1">IFERROR(__xludf.DUMMYFUNCTION("""COMPUTED_VALUE"""),349)</f>
        <v>349</v>
      </c>
      <c r="AF211" s="1">
        <f ca="1">IFERROR(__xludf.DUMMYFUNCTION("""COMPUTED_VALUE"""),580)</f>
        <v>580</v>
      </c>
    </row>
    <row r="212" spans="1:32" x14ac:dyDescent="0.25">
      <c r="A212" s="1" t="str">
        <f ca="1">IFERROR(__xludf.DUMMYFUNCTION("""COMPUTED_VALUE"""),"Morehead State")</f>
        <v>Morehead State</v>
      </c>
      <c r="B212" s="1">
        <f ca="1">IFERROR(__xludf.DUMMYFUNCTION("""COMPUTED_VALUE"""),31)</f>
        <v>31</v>
      </c>
      <c r="C212" s="1">
        <f ca="1">IFERROR(__xludf.DUMMYFUNCTION("""COMPUTED_VALUE"""),13)</f>
        <v>13</v>
      </c>
      <c r="D212" s="1">
        <f ca="1">IFERROR(__xludf.DUMMYFUNCTION("""COMPUTED_VALUE"""),18)</f>
        <v>18</v>
      </c>
      <c r="E212" s="1">
        <f ca="1">IFERROR(__xludf.DUMMYFUNCTION("""COMPUTED_VALUE"""),0.419)</f>
        <v>0.41899999999999998</v>
      </c>
      <c r="F212" s="1">
        <f ca="1">IFERROR(__xludf.DUMMYFUNCTION("""COMPUTED_VALUE"""),-10.79)</f>
        <v>-10.79</v>
      </c>
      <c r="G212" s="1">
        <f ca="1">IFERROR(__xludf.DUMMYFUNCTION("""COMPUTED_VALUE"""),-6.34)</f>
        <v>-6.34</v>
      </c>
      <c r="H212" s="1">
        <f ca="1">IFERROR(__xludf.DUMMYFUNCTION("""COMPUTED_VALUE"""),7)</f>
        <v>7</v>
      </c>
      <c r="I212" s="1">
        <f ca="1">IFERROR(__xludf.DUMMYFUNCTION("""COMPUTED_VALUE"""),11)</f>
        <v>11</v>
      </c>
      <c r="J212" s="1">
        <f ca="1">IFERROR(__xludf.DUMMYFUNCTION("""COMPUTED_VALUE"""),11)</f>
        <v>11</v>
      </c>
      <c r="K212" s="1">
        <f ca="1">IFERROR(__xludf.DUMMYFUNCTION("""COMPUTED_VALUE"""),4)</f>
        <v>4</v>
      </c>
      <c r="L212" s="1">
        <f ca="1">IFERROR(__xludf.DUMMYFUNCTION("""COMPUTED_VALUE"""),2)</f>
        <v>2</v>
      </c>
      <c r="M212" s="1">
        <f ca="1">IFERROR(__xludf.DUMMYFUNCTION("""COMPUTED_VALUE"""),14)</f>
        <v>14</v>
      </c>
      <c r="N212" s="1">
        <f ca="1">IFERROR(__xludf.DUMMYFUNCTION("""COMPUTED_VALUE"""),2141)</f>
        <v>2141</v>
      </c>
      <c r="O212" s="1">
        <f ca="1">IFERROR(__xludf.DUMMYFUNCTION("""COMPUTED_VALUE"""),2166)</f>
        <v>2166</v>
      </c>
      <c r="P212" s="1">
        <f ca="1">IFERROR(__xludf.DUMMYFUNCTION("""COMPUTED_VALUE"""),1250)</f>
        <v>1250</v>
      </c>
      <c r="Q212" s="1">
        <f ca="1">IFERROR(__xludf.DUMMYFUNCTION("""COMPUTED_VALUE"""),807)</f>
        <v>807</v>
      </c>
      <c r="R212" s="1">
        <f ca="1">IFERROR(__xludf.DUMMYFUNCTION("""COMPUTED_VALUE"""),1845)</f>
        <v>1845</v>
      </c>
      <c r="S212" s="1">
        <f ca="1">IFERROR(__xludf.DUMMYFUNCTION("""COMPUTED_VALUE"""),0.437)</f>
        <v>0.437</v>
      </c>
      <c r="T212" s="1">
        <f ca="1">IFERROR(__xludf.DUMMYFUNCTION("""COMPUTED_VALUE"""),180)</f>
        <v>180</v>
      </c>
      <c r="U212" s="1">
        <f ca="1">IFERROR(__xludf.DUMMYFUNCTION("""COMPUTED_VALUE"""),612)</f>
        <v>612</v>
      </c>
      <c r="V212" s="1">
        <f ca="1">IFERROR(__xludf.DUMMYFUNCTION("""COMPUTED_VALUE"""),0.294)</f>
        <v>0.29399999999999998</v>
      </c>
      <c r="W212" s="1">
        <f ca="1">IFERROR(__xludf.DUMMYFUNCTION("""COMPUTED_VALUE"""),347)</f>
        <v>347</v>
      </c>
      <c r="X212" s="1">
        <f ca="1">IFERROR(__xludf.DUMMYFUNCTION("""COMPUTED_VALUE"""),545)</f>
        <v>545</v>
      </c>
      <c r="Y212" s="1">
        <f ca="1">IFERROR(__xludf.DUMMYFUNCTION("""COMPUTED_VALUE"""),0.637)</f>
        <v>0.63700000000000001</v>
      </c>
      <c r="Z212" s="1">
        <f ca="1">IFERROR(__xludf.DUMMYFUNCTION("""COMPUTED_VALUE"""),324)</f>
        <v>324</v>
      </c>
      <c r="AA212" s="1">
        <f ca="1">IFERROR(__xludf.DUMMYFUNCTION("""COMPUTED_VALUE"""),1145)</f>
        <v>1145</v>
      </c>
      <c r="AB212" s="1">
        <f ca="1">IFERROR(__xludf.DUMMYFUNCTION("""COMPUTED_VALUE"""),420)</f>
        <v>420</v>
      </c>
      <c r="AC212" s="1">
        <f ca="1">IFERROR(__xludf.DUMMYFUNCTION("""COMPUTED_VALUE"""),182)</f>
        <v>182</v>
      </c>
      <c r="AD212" s="1">
        <f ca="1">IFERROR(__xludf.DUMMYFUNCTION("""COMPUTED_VALUE"""),138)</f>
        <v>138</v>
      </c>
      <c r="AE212" s="1">
        <f ca="1">IFERROR(__xludf.DUMMYFUNCTION("""COMPUTED_VALUE"""),385)</f>
        <v>385</v>
      </c>
      <c r="AF212" s="1">
        <f ca="1">IFERROR(__xludf.DUMMYFUNCTION("""COMPUTED_VALUE"""),490)</f>
        <v>490</v>
      </c>
    </row>
    <row r="213" spans="1:32" x14ac:dyDescent="0.25">
      <c r="A213" s="1" t="str">
        <f ca="1">IFERROR(__xludf.DUMMYFUNCTION("""COMPUTED_VALUE"""),"Morgan State")</f>
        <v>Morgan State</v>
      </c>
      <c r="B213" s="1">
        <f ca="1">IFERROR(__xludf.DUMMYFUNCTION("""COMPUTED_VALUE"""),30)</f>
        <v>30</v>
      </c>
      <c r="C213" s="1">
        <f ca="1">IFERROR(__xludf.DUMMYFUNCTION("""COMPUTED_VALUE"""),15)</f>
        <v>15</v>
      </c>
      <c r="D213" s="1">
        <f ca="1">IFERROR(__xludf.DUMMYFUNCTION("""COMPUTED_VALUE"""),15)</f>
        <v>15</v>
      </c>
      <c r="E213" s="1">
        <f ca="1">IFERROR(__xludf.DUMMYFUNCTION("""COMPUTED_VALUE"""),0.5)</f>
        <v>0.5</v>
      </c>
      <c r="F213" s="1">
        <f ca="1">IFERROR(__xludf.DUMMYFUNCTION("""COMPUTED_VALUE"""),-12.62)</f>
        <v>-12.62</v>
      </c>
      <c r="G213" s="1">
        <f ca="1">IFERROR(__xludf.DUMMYFUNCTION("""COMPUTED_VALUE"""),-9.07)</f>
        <v>-9.07</v>
      </c>
      <c r="H213" s="1">
        <f ca="1">IFERROR(__xludf.DUMMYFUNCTION("""COMPUTED_VALUE"""),9)</f>
        <v>9</v>
      </c>
      <c r="I213" s="1">
        <f ca="1">IFERROR(__xludf.DUMMYFUNCTION("""COMPUTED_VALUE"""),6)</f>
        <v>6</v>
      </c>
      <c r="J213" s="1">
        <f ca="1">IFERROR(__xludf.DUMMYFUNCTION("""COMPUTED_VALUE"""),8)</f>
        <v>8</v>
      </c>
      <c r="K213" s="1">
        <f ca="1">IFERROR(__xludf.DUMMYFUNCTION("""COMPUTED_VALUE"""),5)</f>
        <v>5</v>
      </c>
      <c r="L213" s="1">
        <f ca="1">IFERROR(__xludf.DUMMYFUNCTION("""COMPUTED_VALUE"""),7)</f>
        <v>7</v>
      </c>
      <c r="M213" s="1">
        <f ca="1">IFERROR(__xludf.DUMMYFUNCTION("""COMPUTED_VALUE"""),7)</f>
        <v>7</v>
      </c>
      <c r="N213" s="1">
        <f ca="1">IFERROR(__xludf.DUMMYFUNCTION("""COMPUTED_VALUE"""),2120)</f>
        <v>2120</v>
      </c>
      <c r="O213" s="1">
        <f ca="1">IFERROR(__xludf.DUMMYFUNCTION("""COMPUTED_VALUE"""),2129)</f>
        <v>2129</v>
      </c>
      <c r="P213" s="1">
        <f ca="1">IFERROR(__xludf.DUMMYFUNCTION("""COMPUTED_VALUE"""),1215)</f>
        <v>1215</v>
      </c>
      <c r="Q213" s="1">
        <f ca="1">IFERROR(__xludf.DUMMYFUNCTION("""COMPUTED_VALUE"""),744)</f>
        <v>744</v>
      </c>
      <c r="R213" s="1">
        <f ca="1">IFERROR(__xludf.DUMMYFUNCTION("""COMPUTED_VALUE"""),1744)</f>
        <v>1744</v>
      </c>
      <c r="S213" s="1">
        <f ca="1">IFERROR(__xludf.DUMMYFUNCTION("""COMPUTED_VALUE"""),0.427)</f>
        <v>0.42699999999999999</v>
      </c>
      <c r="T213" s="1">
        <f ca="1">IFERROR(__xludf.DUMMYFUNCTION("""COMPUTED_VALUE"""),152)</f>
        <v>152</v>
      </c>
      <c r="U213" s="1">
        <f ca="1">IFERROR(__xludf.DUMMYFUNCTION("""COMPUTED_VALUE"""),541)</f>
        <v>541</v>
      </c>
      <c r="V213" s="1">
        <f ca="1">IFERROR(__xludf.DUMMYFUNCTION("""COMPUTED_VALUE"""),0.281)</f>
        <v>0.28100000000000003</v>
      </c>
      <c r="W213" s="1">
        <f ca="1">IFERROR(__xludf.DUMMYFUNCTION("""COMPUTED_VALUE"""),480)</f>
        <v>480</v>
      </c>
      <c r="X213" s="1">
        <f ca="1">IFERROR(__xludf.DUMMYFUNCTION("""COMPUTED_VALUE"""),689)</f>
        <v>689</v>
      </c>
      <c r="Y213" s="1">
        <f ca="1">IFERROR(__xludf.DUMMYFUNCTION("""COMPUTED_VALUE"""),0.697)</f>
        <v>0.69699999999999995</v>
      </c>
      <c r="Z213" s="1">
        <f ca="1">IFERROR(__xludf.DUMMYFUNCTION("""COMPUTED_VALUE"""),388)</f>
        <v>388</v>
      </c>
      <c r="AA213" s="1">
        <f ca="1">IFERROR(__xludf.DUMMYFUNCTION("""COMPUTED_VALUE"""),1182)</f>
        <v>1182</v>
      </c>
      <c r="AB213" s="1">
        <f ca="1">IFERROR(__xludf.DUMMYFUNCTION("""COMPUTED_VALUE"""),347)</f>
        <v>347</v>
      </c>
      <c r="AC213" s="1">
        <f ca="1">IFERROR(__xludf.DUMMYFUNCTION("""COMPUTED_VALUE"""),178)</f>
        <v>178</v>
      </c>
      <c r="AD213" s="1">
        <f ca="1">IFERROR(__xludf.DUMMYFUNCTION("""COMPUTED_VALUE"""),131)</f>
        <v>131</v>
      </c>
      <c r="AE213" s="1">
        <f ca="1">IFERROR(__xludf.DUMMYFUNCTION("""COMPUTED_VALUE"""),485)</f>
        <v>485</v>
      </c>
      <c r="AF213" s="1">
        <f ca="1">IFERROR(__xludf.DUMMYFUNCTION("""COMPUTED_VALUE"""),674)</f>
        <v>674</v>
      </c>
    </row>
    <row r="214" spans="1:32" x14ac:dyDescent="0.25">
      <c r="A214" s="1" t="str">
        <f ca="1">IFERROR(__xludf.DUMMYFUNCTION("""COMPUTED_VALUE"""),"Mount St. Mary's")</f>
        <v>Mount St. Mary's</v>
      </c>
      <c r="B214" s="1">
        <f ca="1">IFERROR(__xludf.DUMMYFUNCTION("""COMPUTED_VALUE"""),31)</f>
        <v>31</v>
      </c>
      <c r="C214" s="1">
        <f ca="1">IFERROR(__xludf.DUMMYFUNCTION("""COMPUTED_VALUE"""),11)</f>
        <v>11</v>
      </c>
      <c r="D214" s="1">
        <f ca="1">IFERROR(__xludf.DUMMYFUNCTION("""COMPUTED_VALUE"""),20)</f>
        <v>20</v>
      </c>
      <c r="E214" s="1">
        <f ca="1">IFERROR(__xludf.DUMMYFUNCTION("""COMPUTED_VALUE"""),0.355)</f>
        <v>0.35499999999999998</v>
      </c>
      <c r="F214" s="1">
        <f ca="1">IFERROR(__xludf.DUMMYFUNCTION("""COMPUTED_VALUE"""),-9.61)</f>
        <v>-9.61</v>
      </c>
      <c r="G214" s="1">
        <f ca="1">IFERROR(__xludf.DUMMYFUNCTION("""COMPUTED_VALUE"""),-6.48)</f>
        <v>-6.48</v>
      </c>
      <c r="H214" s="1">
        <f ca="1">IFERROR(__xludf.DUMMYFUNCTION("""COMPUTED_VALUE"""),7)</f>
        <v>7</v>
      </c>
      <c r="I214" s="1">
        <f ca="1">IFERROR(__xludf.DUMMYFUNCTION("""COMPUTED_VALUE"""),11)</f>
        <v>11</v>
      </c>
      <c r="J214" s="1">
        <f ca="1">IFERROR(__xludf.DUMMYFUNCTION("""COMPUTED_VALUE"""),8)</f>
        <v>8</v>
      </c>
      <c r="K214" s="1">
        <f ca="1">IFERROR(__xludf.DUMMYFUNCTION("""COMPUTED_VALUE"""),6)</f>
        <v>6</v>
      </c>
      <c r="L214" s="1">
        <f ca="1">IFERROR(__xludf.DUMMYFUNCTION("""COMPUTED_VALUE"""),3)</f>
        <v>3</v>
      </c>
      <c r="M214" s="1">
        <f ca="1">IFERROR(__xludf.DUMMYFUNCTION("""COMPUTED_VALUE"""),14)</f>
        <v>14</v>
      </c>
      <c r="N214" s="1">
        <f ca="1">IFERROR(__xludf.DUMMYFUNCTION("""COMPUTED_VALUE"""),1994)</f>
        <v>1994</v>
      </c>
      <c r="O214" s="1">
        <f ca="1">IFERROR(__xludf.DUMMYFUNCTION("""COMPUTED_VALUE"""),2071)</f>
        <v>2071</v>
      </c>
      <c r="P214" s="1">
        <f ca="1">IFERROR(__xludf.DUMMYFUNCTION("""COMPUTED_VALUE"""),1255)</f>
        <v>1255</v>
      </c>
      <c r="Q214" s="1">
        <f ca="1">IFERROR(__xludf.DUMMYFUNCTION("""COMPUTED_VALUE"""),695)</f>
        <v>695</v>
      </c>
      <c r="R214" s="1">
        <f ca="1">IFERROR(__xludf.DUMMYFUNCTION("""COMPUTED_VALUE"""),1729)</f>
        <v>1729</v>
      </c>
      <c r="S214" s="1">
        <f ca="1">IFERROR(__xludf.DUMMYFUNCTION("""COMPUTED_VALUE"""),0.402)</f>
        <v>0.40200000000000002</v>
      </c>
      <c r="T214" s="1">
        <f ca="1">IFERROR(__xludf.DUMMYFUNCTION("""COMPUTED_VALUE"""),200)</f>
        <v>200</v>
      </c>
      <c r="U214" s="1">
        <f ca="1">IFERROR(__xludf.DUMMYFUNCTION("""COMPUTED_VALUE"""),659)</f>
        <v>659</v>
      </c>
      <c r="V214" s="1">
        <f ca="1">IFERROR(__xludf.DUMMYFUNCTION("""COMPUTED_VALUE"""),0.303)</f>
        <v>0.30299999999999999</v>
      </c>
      <c r="W214" s="1">
        <f ca="1">IFERROR(__xludf.DUMMYFUNCTION("""COMPUTED_VALUE"""),404)</f>
        <v>404</v>
      </c>
      <c r="X214" s="1">
        <f ca="1">IFERROR(__xludf.DUMMYFUNCTION("""COMPUTED_VALUE"""),580)</f>
        <v>580</v>
      </c>
      <c r="Y214" s="1">
        <f ca="1">IFERROR(__xludf.DUMMYFUNCTION("""COMPUTED_VALUE"""),0.697)</f>
        <v>0.69699999999999995</v>
      </c>
      <c r="Z214" s="1">
        <f ca="1">IFERROR(__xludf.DUMMYFUNCTION("""COMPUTED_VALUE"""),339)</f>
        <v>339</v>
      </c>
      <c r="AA214" s="1">
        <f ca="1">IFERROR(__xludf.DUMMYFUNCTION("""COMPUTED_VALUE"""),1097)</f>
        <v>1097</v>
      </c>
      <c r="AB214" s="1">
        <f ca="1">IFERROR(__xludf.DUMMYFUNCTION("""COMPUTED_VALUE"""),345)</f>
        <v>345</v>
      </c>
      <c r="AC214" s="1">
        <f ca="1">IFERROR(__xludf.DUMMYFUNCTION("""COMPUTED_VALUE"""),156)</f>
        <v>156</v>
      </c>
      <c r="AD214" s="1">
        <f ca="1">IFERROR(__xludf.DUMMYFUNCTION("""COMPUTED_VALUE"""),101)</f>
        <v>101</v>
      </c>
      <c r="AE214" s="1">
        <f ca="1">IFERROR(__xludf.DUMMYFUNCTION("""COMPUTED_VALUE"""),366)</f>
        <v>366</v>
      </c>
      <c r="AF214" s="1">
        <f ca="1">IFERROR(__xludf.DUMMYFUNCTION("""COMPUTED_VALUE"""),512)</f>
        <v>512</v>
      </c>
    </row>
    <row r="215" spans="1:32" x14ac:dyDescent="0.25">
      <c r="A215" s="1" t="str">
        <f ca="1">IFERROR(__xludf.DUMMYFUNCTION("""COMPUTED_VALUE"""),"Murray State")</f>
        <v>Murray State</v>
      </c>
      <c r="B215" s="1">
        <f ca="1">IFERROR(__xludf.DUMMYFUNCTION("""COMPUTED_VALUE"""),30)</f>
        <v>30</v>
      </c>
      <c r="C215" s="1">
        <f ca="1">IFERROR(__xludf.DUMMYFUNCTION("""COMPUTED_VALUE"""),22)</f>
        <v>22</v>
      </c>
      <c r="D215" s="1">
        <f ca="1">IFERROR(__xludf.DUMMYFUNCTION("""COMPUTED_VALUE"""),8)</f>
        <v>8</v>
      </c>
      <c r="E215" s="1">
        <f ca="1">IFERROR(__xludf.DUMMYFUNCTION("""COMPUTED_VALUE"""),0.733)</f>
        <v>0.73299999999999998</v>
      </c>
      <c r="F215" s="1">
        <f ca="1">IFERROR(__xludf.DUMMYFUNCTION("""COMPUTED_VALUE"""),1.6)</f>
        <v>1.6</v>
      </c>
      <c r="G215" s="1">
        <f ca="1">IFERROR(__xludf.DUMMYFUNCTION("""COMPUTED_VALUE"""),-6.65)</f>
        <v>-6.65</v>
      </c>
      <c r="H215" s="1">
        <f ca="1">IFERROR(__xludf.DUMMYFUNCTION("""COMPUTED_VALUE"""),15)</f>
        <v>15</v>
      </c>
      <c r="I215" s="1">
        <f ca="1">IFERROR(__xludf.DUMMYFUNCTION("""COMPUTED_VALUE"""),3)</f>
        <v>3</v>
      </c>
      <c r="J215" s="1">
        <f ca="1">IFERROR(__xludf.DUMMYFUNCTION("""COMPUTED_VALUE"""),15)</f>
        <v>15</v>
      </c>
      <c r="K215" s="1">
        <f ca="1">IFERROR(__xludf.DUMMYFUNCTION("""COMPUTED_VALUE"""),0)</f>
        <v>0</v>
      </c>
      <c r="L215" s="1">
        <f ca="1">IFERROR(__xludf.DUMMYFUNCTION("""COMPUTED_VALUE"""),6)</f>
        <v>6</v>
      </c>
      <c r="M215" s="1">
        <f ca="1">IFERROR(__xludf.DUMMYFUNCTION("""COMPUTED_VALUE"""),6)</f>
        <v>6</v>
      </c>
      <c r="N215" s="1">
        <f ca="1">IFERROR(__xludf.DUMMYFUNCTION("""COMPUTED_VALUE"""),2265)</f>
        <v>2265</v>
      </c>
      <c r="O215" s="1">
        <f ca="1">IFERROR(__xludf.DUMMYFUNCTION("""COMPUTED_VALUE"""),1933)</f>
        <v>1933</v>
      </c>
      <c r="P215" s="1">
        <f ca="1">IFERROR(__xludf.DUMMYFUNCTION("""COMPUTED_VALUE"""),1210)</f>
        <v>1210</v>
      </c>
      <c r="Q215" s="1">
        <f ca="1">IFERROR(__xludf.DUMMYFUNCTION("""COMPUTED_VALUE"""),797)</f>
        <v>797</v>
      </c>
      <c r="R215" s="1">
        <f ca="1">IFERROR(__xludf.DUMMYFUNCTION("""COMPUTED_VALUE"""),1669)</f>
        <v>1669</v>
      </c>
      <c r="S215" s="1">
        <f ca="1">IFERROR(__xludf.DUMMYFUNCTION("""COMPUTED_VALUE"""),0.478)</f>
        <v>0.47799999999999998</v>
      </c>
      <c r="T215" s="1">
        <f ca="1">IFERROR(__xludf.DUMMYFUNCTION("""COMPUTED_VALUE"""),197)</f>
        <v>197</v>
      </c>
      <c r="U215" s="1">
        <f ca="1">IFERROR(__xludf.DUMMYFUNCTION("""COMPUTED_VALUE"""),536)</f>
        <v>536</v>
      </c>
      <c r="V215" s="1">
        <f ca="1">IFERROR(__xludf.DUMMYFUNCTION("""COMPUTED_VALUE"""),0.368)</f>
        <v>0.36799999999999999</v>
      </c>
      <c r="W215" s="1">
        <f ca="1">IFERROR(__xludf.DUMMYFUNCTION("""COMPUTED_VALUE"""),474)</f>
        <v>474</v>
      </c>
      <c r="X215" s="1">
        <f ca="1">IFERROR(__xludf.DUMMYFUNCTION("""COMPUTED_VALUE"""),672)</f>
        <v>672</v>
      </c>
      <c r="Y215" s="1">
        <f ca="1">IFERROR(__xludf.DUMMYFUNCTION("""COMPUTED_VALUE"""),0.705)</f>
        <v>0.70499999999999996</v>
      </c>
      <c r="Z215" s="1">
        <f ca="1">IFERROR(__xludf.DUMMYFUNCTION("""COMPUTED_VALUE"""),286)</f>
        <v>286</v>
      </c>
      <c r="AA215" s="1">
        <f ca="1">IFERROR(__xludf.DUMMYFUNCTION("""COMPUTED_VALUE"""),1143)</f>
        <v>1143</v>
      </c>
      <c r="AB215" s="1">
        <f ca="1">IFERROR(__xludf.DUMMYFUNCTION("""COMPUTED_VALUE"""),427)</f>
        <v>427</v>
      </c>
      <c r="AC215" s="1">
        <f ca="1">IFERROR(__xludf.DUMMYFUNCTION("""COMPUTED_VALUE"""),169)</f>
        <v>169</v>
      </c>
      <c r="AD215" s="1">
        <f ca="1">IFERROR(__xludf.DUMMYFUNCTION("""COMPUTED_VALUE"""),113)</f>
        <v>113</v>
      </c>
      <c r="AE215" s="1">
        <f ca="1">IFERROR(__xludf.DUMMYFUNCTION("""COMPUTED_VALUE"""),420)</f>
        <v>420</v>
      </c>
      <c r="AF215" s="1">
        <f ca="1">IFERROR(__xludf.DUMMYFUNCTION("""COMPUTED_VALUE"""),536)</f>
        <v>536</v>
      </c>
    </row>
    <row r="216" spans="1:32" x14ac:dyDescent="0.25">
      <c r="A216" s="1" t="str">
        <f ca="1">IFERROR(__xludf.DUMMYFUNCTION("""COMPUTED_VALUE"""),"Navy")</f>
        <v>Navy</v>
      </c>
      <c r="B216" s="1">
        <f ca="1">IFERROR(__xludf.DUMMYFUNCTION("""COMPUTED_VALUE"""),29)</f>
        <v>29</v>
      </c>
      <c r="C216" s="1">
        <f ca="1">IFERROR(__xludf.DUMMYFUNCTION("""COMPUTED_VALUE"""),14)</f>
        <v>14</v>
      </c>
      <c r="D216" s="1">
        <f ca="1">IFERROR(__xludf.DUMMYFUNCTION("""COMPUTED_VALUE"""),15)</f>
        <v>15</v>
      </c>
      <c r="E216" s="1">
        <f ca="1">IFERROR(__xludf.DUMMYFUNCTION("""COMPUTED_VALUE"""),0.483)</f>
        <v>0.48299999999999998</v>
      </c>
      <c r="F216" s="1">
        <f ca="1">IFERROR(__xludf.DUMMYFUNCTION("""COMPUTED_VALUE"""),-7.23)</f>
        <v>-7.23</v>
      </c>
      <c r="G216" s="1">
        <f ca="1">IFERROR(__xludf.DUMMYFUNCTION("""COMPUTED_VALUE"""),-5.77)</f>
        <v>-5.77</v>
      </c>
      <c r="H216" s="1">
        <f ca="1">IFERROR(__xludf.DUMMYFUNCTION("""COMPUTED_VALUE"""),8)</f>
        <v>8</v>
      </c>
      <c r="I216" s="1">
        <f ca="1">IFERROR(__xludf.DUMMYFUNCTION("""COMPUTED_VALUE"""),10)</f>
        <v>10</v>
      </c>
      <c r="J216" s="1">
        <f ca="1">IFERROR(__xludf.DUMMYFUNCTION("""COMPUTED_VALUE"""),10)</f>
        <v>10</v>
      </c>
      <c r="K216" s="1">
        <f ca="1">IFERROR(__xludf.DUMMYFUNCTION("""COMPUTED_VALUE"""),5)</f>
        <v>5</v>
      </c>
      <c r="L216" s="1">
        <f ca="1">IFERROR(__xludf.DUMMYFUNCTION("""COMPUTED_VALUE"""),4)</f>
        <v>4</v>
      </c>
      <c r="M216" s="1">
        <f ca="1">IFERROR(__xludf.DUMMYFUNCTION("""COMPUTED_VALUE"""),10)</f>
        <v>10</v>
      </c>
      <c r="N216" s="1">
        <f ca="1">IFERROR(__xludf.DUMMYFUNCTION("""COMPUTED_VALUE"""),1845)</f>
        <v>1845</v>
      </c>
      <c r="O216" s="1">
        <f ca="1">IFERROR(__xludf.DUMMYFUNCTION("""COMPUTED_VALUE"""),1855)</f>
        <v>1855</v>
      </c>
      <c r="P216" s="1">
        <f ca="1">IFERROR(__xludf.DUMMYFUNCTION("""COMPUTED_VALUE"""),1180)</f>
        <v>1180</v>
      </c>
      <c r="Q216" s="1">
        <f ca="1">IFERROR(__xludf.DUMMYFUNCTION("""COMPUTED_VALUE"""),649)</f>
        <v>649</v>
      </c>
      <c r="R216" s="1">
        <f ca="1">IFERROR(__xludf.DUMMYFUNCTION("""COMPUTED_VALUE"""),1590)</f>
        <v>1590</v>
      </c>
      <c r="S216" s="1">
        <f ca="1">IFERROR(__xludf.DUMMYFUNCTION("""COMPUTED_VALUE"""),0.408)</f>
        <v>0.40799999999999997</v>
      </c>
      <c r="T216" s="1">
        <f ca="1">IFERROR(__xludf.DUMMYFUNCTION("""COMPUTED_VALUE"""),188)</f>
        <v>188</v>
      </c>
      <c r="U216" s="1">
        <f ca="1">IFERROR(__xludf.DUMMYFUNCTION("""COMPUTED_VALUE"""),624)</f>
        <v>624</v>
      </c>
      <c r="V216" s="1">
        <f ca="1">IFERROR(__xludf.DUMMYFUNCTION("""COMPUTED_VALUE"""),0.301)</f>
        <v>0.30099999999999999</v>
      </c>
      <c r="W216" s="1">
        <f ca="1">IFERROR(__xludf.DUMMYFUNCTION("""COMPUTED_VALUE"""),359)</f>
        <v>359</v>
      </c>
      <c r="X216" s="1">
        <f ca="1">IFERROR(__xludf.DUMMYFUNCTION("""COMPUTED_VALUE"""),519)</f>
        <v>519</v>
      </c>
      <c r="Y216" s="1">
        <f ca="1">IFERROR(__xludf.DUMMYFUNCTION("""COMPUTED_VALUE"""),0.692)</f>
        <v>0.69199999999999995</v>
      </c>
      <c r="Z216" s="1">
        <f ca="1">IFERROR(__xludf.DUMMYFUNCTION("""COMPUTED_VALUE"""),349)</f>
        <v>349</v>
      </c>
      <c r="AA216" s="1">
        <f ca="1">IFERROR(__xludf.DUMMYFUNCTION("""COMPUTED_VALUE"""),1046)</f>
        <v>1046</v>
      </c>
      <c r="AB216" s="1">
        <f ca="1">IFERROR(__xludf.DUMMYFUNCTION("""COMPUTED_VALUE"""),324)</f>
        <v>324</v>
      </c>
      <c r="AC216" s="1">
        <f ca="1">IFERROR(__xludf.DUMMYFUNCTION("""COMPUTED_VALUE"""),148)</f>
        <v>148</v>
      </c>
      <c r="AD216" s="1">
        <f ca="1">IFERROR(__xludf.DUMMYFUNCTION("""COMPUTED_VALUE"""),49)</f>
        <v>49</v>
      </c>
      <c r="AE216" s="1">
        <f ca="1">IFERROR(__xludf.DUMMYFUNCTION("""COMPUTED_VALUE"""),349)</f>
        <v>349</v>
      </c>
      <c r="AF216" s="1">
        <f ca="1">IFERROR(__xludf.DUMMYFUNCTION("""COMPUTED_VALUE"""),456)</f>
        <v>456</v>
      </c>
    </row>
    <row r="217" spans="1:32" x14ac:dyDescent="0.25">
      <c r="A217" s="1" t="str">
        <f ca="1">IFERROR(__xludf.DUMMYFUNCTION("""COMPUTED_VALUE"""),"Omaha")</f>
        <v>Omaha</v>
      </c>
      <c r="B217" s="1">
        <f ca="1">IFERROR(__xludf.DUMMYFUNCTION("""COMPUTED_VALUE"""),31)</f>
        <v>31</v>
      </c>
      <c r="C217" s="1">
        <f ca="1">IFERROR(__xludf.DUMMYFUNCTION("""COMPUTED_VALUE"""),16)</f>
        <v>16</v>
      </c>
      <c r="D217" s="1">
        <f ca="1">IFERROR(__xludf.DUMMYFUNCTION("""COMPUTED_VALUE"""),15)</f>
        <v>15</v>
      </c>
      <c r="E217" s="1">
        <f ca="1">IFERROR(__xludf.DUMMYFUNCTION("""COMPUTED_VALUE"""),0.516)</f>
        <v>0.51600000000000001</v>
      </c>
      <c r="F217" s="1">
        <f ca="1">IFERROR(__xludf.DUMMYFUNCTION("""COMPUTED_VALUE"""),-4.46)</f>
        <v>-4.46</v>
      </c>
      <c r="G217" s="1">
        <f ca="1">IFERROR(__xludf.DUMMYFUNCTION("""COMPUTED_VALUE"""),-1.1)</f>
        <v>-1.1000000000000001</v>
      </c>
      <c r="H217" s="1">
        <f ca="1">IFERROR(__xludf.DUMMYFUNCTION("""COMPUTED_VALUE"""),9)</f>
        <v>9</v>
      </c>
      <c r="I217" s="1">
        <f ca="1">IFERROR(__xludf.DUMMYFUNCTION("""COMPUTED_VALUE"""),7)</f>
        <v>7</v>
      </c>
      <c r="J217" s="1">
        <f ca="1">IFERROR(__xludf.DUMMYFUNCTION("""COMPUTED_VALUE"""),12)</f>
        <v>12</v>
      </c>
      <c r="K217" s="1">
        <f ca="1">IFERROR(__xludf.DUMMYFUNCTION("""COMPUTED_VALUE"""),2)</f>
        <v>2</v>
      </c>
      <c r="L217" s="1">
        <f ca="1">IFERROR(__xludf.DUMMYFUNCTION("""COMPUTED_VALUE"""),4)</f>
        <v>4</v>
      </c>
      <c r="M217" s="1">
        <f ca="1">IFERROR(__xludf.DUMMYFUNCTION("""COMPUTED_VALUE"""),12)</f>
        <v>12</v>
      </c>
      <c r="N217" s="1">
        <f ca="1">IFERROR(__xludf.DUMMYFUNCTION("""COMPUTED_VALUE"""),2300)</f>
        <v>2300</v>
      </c>
      <c r="O217" s="1">
        <f ca="1">IFERROR(__xludf.DUMMYFUNCTION("""COMPUTED_VALUE"""),2382)</f>
        <v>2382</v>
      </c>
      <c r="P217" s="1">
        <f ca="1">IFERROR(__xludf.DUMMYFUNCTION("""COMPUTED_VALUE"""),1260)</f>
        <v>1260</v>
      </c>
      <c r="Q217" s="1">
        <f ca="1">IFERROR(__xludf.DUMMYFUNCTION("""COMPUTED_VALUE"""),870)</f>
        <v>870</v>
      </c>
      <c r="R217" s="1">
        <f ca="1">IFERROR(__xludf.DUMMYFUNCTION("""COMPUTED_VALUE"""),1914)</f>
        <v>1914</v>
      </c>
      <c r="S217" s="1">
        <f ca="1">IFERROR(__xludf.DUMMYFUNCTION("""COMPUTED_VALUE"""),0.455)</f>
        <v>0.45500000000000002</v>
      </c>
      <c r="T217" s="1">
        <f ca="1">IFERROR(__xludf.DUMMYFUNCTION("""COMPUTED_VALUE"""),196)</f>
        <v>196</v>
      </c>
      <c r="U217" s="1">
        <f ca="1">IFERROR(__xludf.DUMMYFUNCTION("""COMPUTED_VALUE"""),573)</f>
        <v>573</v>
      </c>
      <c r="V217" s="1">
        <f ca="1">IFERROR(__xludf.DUMMYFUNCTION("""COMPUTED_VALUE"""),0.342)</f>
        <v>0.34200000000000003</v>
      </c>
      <c r="W217" s="1">
        <f ca="1">IFERROR(__xludf.DUMMYFUNCTION("""COMPUTED_VALUE"""),364)</f>
        <v>364</v>
      </c>
      <c r="X217" s="1">
        <f ca="1">IFERROR(__xludf.DUMMYFUNCTION("""COMPUTED_VALUE"""),514)</f>
        <v>514</v>
      </c>
      <c r="Y217" s="1">
        <f ca="1">IFERROR(__xludf.DUMMYFUNCTION("""COMPUTED_VALUE"""),0.708)</f>
        <v>0.70799999999999996</v>
      </c>
      <c r="Z217" s="1">
        <f ca="1">IFERROR(__xludf.DUMMYFUNCTION("""COMPUTED_VALUE"""),303)</f>
        <v>303</v>
      </c>
      <c r="AA217" s="1">
        <f ca="1">IFERROR(__xludf.DUMMYFUNCTION("""COMPUTED_VALUE"""),1112)</f>
        <v>1112</v>
      </c>
      <c r="AB217" s="1">
        <f ca="1">IFERROR(__xludf.DUMMYFUNCTION("""COMPUTED_VALUE"""),388)</f>
        <v>388</v>
      </c>
      <c r="AC217" s="1">
        <f ca="1">IFERROR(__xludf.DUMMYFUNCTION("""COMPUTED_VALUE"""),163)</f>
        <v>163</v>
      </c>
      <c r="AD217" s="1">
        <f ca="1">IFERROR(__xludf.DUMMYFUNCTION("""COMPUTED_VALUE"""),103)</f>
        <v>103</v>
      </c>
      <c r="AE217" s="1">
        <f ca="1">IFERROR(__xludf.DUMMYFUNCTION("""COMPUTED_VALUE"""),374)</f>
        <v>374</v>
      </c>
      <c r="AF217" s="1">
        <f ca="1">IFERROR(__xludf.DUMMYFUNCTION("""COMPUTED_VALUE"""),517)</f>
        <v>517</v>
      </c>
    </row>
    <row r="218" spans="1:32" x14ac:dyDescent="0.25">
      <c r="A218" s="1" t="str">
        <f ca="1">IFERROR(__xludf.DUMMYFUNCTION("""COMPUTED_VALUE"""),"Nebraska")</f>
        <v>Nebraska</v>
      </c>
      <c r="B218" s="1">
        <f ca="1">IFERROR(__xludf.DUMMYFUNCTION("""COMPUTED_VALUE"""),29)</f>
        <v>29</v>
      </c>
      <c r="C218" s="1">
        <f ca="1">IFERROR(__xludf.DUMMYFUNCTION("""COMPUTED_VALUE"""),7)</f>
        <v>7</v>
      </c>
      <c r="D218" s="1">
        <f ca="1">IFERROR(__xludf.DUMMYFUNCTION("""COMPUTED_VALUE"""),22)</f>
        <v>22</v>
      </c>
      <c r="E218" s="1">
        <f ca="1">IFERROR(__xludf.DUMMYFUNCTION("""COMPUTED_VALUE"""),0.241)</f>
        <v>0.24099999999999999</v>
      </c>
      <c r="F218" s="1">
        <f ca="1">IFERROR(__xludf.DUMMYFUNCTION("""COMPUTED_VALUE"""),3.7)</f>
        <v>3.7</v>
      </c>
      <c r="G218" s="1">
        <f ca="1">IFERROR(__xludf.DUMMYFUNCTION("""COMPUTED_VALUE"""),10.01)</f>
        <v>10.01</v>
      </c>
      <c r="H218" s="1">
        <f ca="1">IFERROR(__xludf.DUMMYFUNCTION("""COMPUTED_VALUE"""),2)</f>
        <v>2</v>
      </c>
      <c r="I218" s="1">
        <f ca="1">IFERROR(__xludf.DUMMYFUNCTION("""COMPUTED_VALUE"""),16)</f>
        <v>16</v>
      </c>
      <c r="J218" s="1">
        <f ca="1">IFERROR(__xludf.DUMMYFUNCTION("""COMPUTED_VALUE"""),5)</f>
        <v>5</v>
      </c>
      <c r="K218" s="1">
        <f ca="1">IFERROR(__xludf.DUMMYFUNCTION("""COMPUTED_VALUE"""),11)</f>
        <v>11</v>
      </c>
      <c r="L218" s="1">
        <f ca="1">IFERROR(__xludf.DUMMYFUNCTION("""COMPUTED_VALUE"""),0)</f>
        <v>0</v>
      </c>
      <c r="M218" s="1">
        <f ca="1">IFERROR(__xludf.DUMMYFUNCTION("""COMPUTED_VALUE"""),10)</f>
        <v>10</v>
      </c>
      <c r="N218" s="1">
        <f ca="1">IFERROR(__xludf.DUMMYFUNCTION("""COMPUTED_VALUE"""),2038)</f>
        <v>2038</v>
      </c>
      <c r="O218" s="1">
        <f ca="1">IFERROR(__xludf.DUMMYFUNCTION("""COMPUTED_VALUE"""),2221)</f>
        <v>2221</v>
      </c>
      <c r="P218" s="1">
        <f ca="1">IFERROR(__xludf.DUMMYFUNCTION("""COMPUTED_VALUE"""),1185)</f>
        <v>1185</v>
      </c>
      <c r="Q218" s="1">
        <f ca="1">IFERROR(__xludf.DUMMYFUNCTION("""COMPUTED_VALUE"""),745)</f>
        <v>745</v>
      </c>
      <c r="R218" s="1">
        <f ca="1">IFERROR(__xludf.DUMMYFUNCTION("""COMPUTED_VALUE"""),1809)</f>
        <v>1809</v>
      </c>
      <c r="S218" s="1">
        <f ca="1">IFERROR(__xludf.DUMMYFUNCTION("""COMPUTED_VALUE"""),0.412)</f>
        <v>0.41199999999999998</v>
      </c>
      <c r="T218" s="1">
        <f ca="1">IFERROR(__xludf.DUMMYFUNCTION("""COMPUTED_VALUE"""),236)</f>
        <v>236</v>
      </c>
      <c r="U218" s="1">
        <f ca="1">IFERROR(__xludf.DUMMYFUNCTION("""COMPUTED_VALUE"""),731)</f>
        <v>731</v>
      </c>
      <c r="V218" s="1">
        <f ca="1">IFERROR(__xludf.DUMMYFUNCTION("""COMPUTED_VALUE"""),0.323)</f>
        <v>0.32300000000000001</v>
      </c>
      <c r="W218" s="1">
        <f ca="1">IFERROR(__xludf.DUMMYFUNCTION("""COMPUTED_VALUE"""),312)</f>
        <v>312</v>
      </c>
      <c r="X218" s="1">
        <f ca="1">IFERROR(__xludf.DUMMYFUNCTION("""COMPUTED_VALUE"""),532)</f>
        <v>532</v>
      </c>
      <c r="Y218" s="1">
        <f ca="1">IFERROR(__xludf.DUMMYFUNCTION("""COMPUTED_VALUE"""),0.586)</f>
        <v>0.58599999999999997</v>
      </c>
      <c r="Z218" s="1">
        <f ca="1">IFERROR(__xludf.DUMMYFUNCTION("""COMPUTED_VALUE"""),260)</f>
        <v>260</v>
      </c>
      <c r="AA218" s="1">
        <f ca="1">IFERROR(__xludf.DUMMYFUNCTION("""COMPUTED_VALUE"""),1021)</f>
        <v>1021</v>
      </c>
      <c r="AB218" s="1">
        <f ca="1">IFERROR(__xludf.DUMMYFUNCTION("""COMPUTED_VALUE"""),410)</f>
        <v>410</v>
      </c>
      <c r="AC218" s="1">
        <f ca="1">IFERROR(__xludf.DUMMYFUNCTION("""COMPUTED_VALUE"""),202)</f>
        <v>202</v>
      </c>
      <c r="AD218" s="1">
        <f ca="1">IFERROR(__xludf.DUMMYFUNCTION("""COMPUTED_VALUE"""),73)</f>
        <v>73</v>
      </c>
      <c r="AE218" s="1">
        <f ca="1">IFERROR(__xludf.DUMMYFUNCTION("""COMPUTED_VALUE"""),336)</f>
        <v>336</v>
      </c>
      <c r="AF218" s="1">
        <f ca="1">IFERROR(__xludf.DUMMYFUNCTION("""COMPUTED_VALUE"""),439)</f>
        <v>439</v>
      </c>
    </row>
    <row r="219" spans="1:32" x14ac:dyDescent="0.25">
      <c r="A219" s="1" t="str">
        <f ca="1">IFERROR(__xludf.DUMMYFUNCTION("""COMPUTED_VALUE"""),"Nevada-Las Vegas")</f>
        <v>Nevada-Las Vegas</v>
      </c>
      <c r="B219" s="1">
        <f ca="1">IFERROR(__xludf.DUMMYFUNCTION("""COMPUTED_VALUE"""),31)</f>
        <v>31</v>
      </c>
      <c r="C219" s="1">
        <f ca="1">IFERROR(__xludf.DUMMYFUNCTION("""COMPUTED_VALUE"""),17)</f>
        <v>17</v>
      </c>
      <c r="D219" s="1">
        <f ca="1">IFERROR(__xludf.DUMMYFUNCTION("""COMPUTED_VALUE"""),14)</f>
        <v>14</v>
      </c>
      <c r="E219" s="1">
        <f ca="1">IFERROR(__xludf.DUMMYFUNCTION("""COMPUTED_VALUE"""),0.548)</f>
        <v>0.54800000000000004</v>
      </c>
      <c r="F219" s="1">
        <f ca="1">IFERROR(__xludf.DUMMYFUNCTION("""COMPUTED_VALUE"""),7.09)</f>
        <v>7.09</v>
      </c>
      <c r="G219" s="1">
        <f ca="1">IFERROR(__xludf.DUMMYFUNCTION("""COMPUTED_VALUE"""),4.8)</f>
        <v>4.8</v>
      </c>
      <c r="H219" s="1">
        <f ca="1">IFERROR(__xludf.DUMMYFUNCTION("""COMPUTED_VALUE"""),12)</f>
        <v>12</v>
      </c>
      <c r="I219" s="1">
        <f ca="1">IFERROR(__xludf.DUMMYFUNCTION("""COMPUTED_VALUE"""),6)</f>
        <v>6</v>
      </c>
      <c r="J219" s="1">
        <f ca="1">IFERROR(__xludf.DUMMYFUNCTION("""COMPUTED_VALUE"""),12)</f>
        <v>12</v>
      </c>
      <c r="K219" s="1">
        <f ca="1">IFERROR(__xludf.DUMMYFUNCTION("""COMPUTED_VALUE"""),6)</f>
        <v>6</v>
      </c>
      <c r="L219" s="1">
        <f ca="1">IFERROR(__xludf.DUMMYFUNCTION("""COMPUTED_VALUE"""),5)</f>
        <v>5</v>
      </c>
      <c r="M219" s="1">
        <f ca="1">IFERROR(__xludf.DUMMYFUNCTION("""COMPUTED_VALUE"""),7)</f>
        <v>7</v>
      </c>
      <c r="N219" s="1">
        <f ca="1">IFERROR(__xludf.DUMMYFUNCTION("""COMPUTED_VALUE"""),2246)</f>
        <v>2246</v>
      </c>
      <c r="O219" s="1">
        <f ca="1">IFERROR(__xludf.DUMMYFUNCTION("""COMPUTED_VALUE"""),2175)</f>
        <v>2175</v>
      </c>
      <c r="P219" s="1">
        <f ca="1">IFERROR(__xludf.DUMMYFUNCTION("""COMPUTED_VALUE"""),1275)</f>
        <v>1275</v>
      </c>
      <c r="Q219" s="1">
        <f ca="1">IFERROR(__xludf.DUMMYFUNCTION("""COMPUTED_VALUE"""),794)</f>
        <v>794</v>
      </c>
      <c r="R219" s="1">
        <f ca="1">IFERROR(__xludf.DUMMYFUNCTION("""COMPUTED_VALUE"""),1819)</f>
        <v>1819</v>
      </c>
      <c r="S219" s="1">
        <f ca="1">IFERROR(__xludf.DUMMYFUNCTION("""COMPUTED_VALUE"""),0.437)</f>
        <v>0.437</v>
      </c>
      <c r="T219" s="1">
        <f ca="1">IFERROR(__xludf.DUMMYFUNCTION("""COMPUTED_VALUE"""),232)</f>
        <v>232</v>
      </c>
      <c r="U219" s="1">
        <f ca="1">IFERROR(__xludf.DUMMYFUNCTION("""COMPUTED_VALUE"""),728)</f>
        <v>728</v>
      </c>
      <c r="V219" s="1">
        <f ca="1">IFERROR(__xludf.DUMMYFUNCTION("""COMPUTED_VALUE"""),0.319)</f>
        <v>0.31900000000000001</v>
      </c>
      <c r="W219" s="1">
        <f ca="1">IFERROR(__xludf.DUMMYFUNCTION("""COMPUTED_VALUE"""),426)</f>
        <v>426</v>
      </c>
      <c r="X219" s="1">
        <f ca="1">IFERROR(__xludf.DUMMYFUNCTION("""COMPUTED_VALUE"""),613)</f>
        <v>613</v>
      </c>
      <c r="Y219" s="1">
        <f ca="1">IFERROR(__xludf.DUMMYFUNCTION("""COMPUTED_VALUE"""),0.695)</f>
        <v>0.69499999999999995</v>
      </c>
      <c r="Z219" s="1">
        <f ca="1">IFERROR(__xludf.DUMMYFUNCTION("""COMPUTED_VALUE"""),382)</f>
        <v>382</v>
      </c>
      <c r="AA219" s="1">
        <f ca="1">IFERROR(__xludf.DUMMYFUNCTION("""COMPUTED_VALUE"""),1213)</f>
        <v>1213</v>
      </c>
      <c r="AB219" s="1">
        <f ca="1">IFERROR(__xludf.DUMMYFUNCTION("""COMPUTED_VALUE"""),395)</f>
        <v>395</v>
      </c>
      <c r="AC219" s="1">
        <f ca="1">IFERROR(__xludf.DUMMYFUNCTION("""COMPUTED_VALUE"""),192)</f>
        <v>192</v>
      </c>
      <c r="AD219" s="1">
        <f ca="1">IFERROR(__xludf.DUMMYFUNCTION("""COMPUTED_VALUE"""),88)</f>
        <v>88</v>
      </c>
      <c r="AE219" s="1">
        <f ca="1">IFERROR(__xludf.DUMMYFUNCTION("""COMPUTED_VALUE"""),413)</f>
        <v>413</v>
      </c>
      <c r="AF219" s="1">
        <f ca="1">IFERROR(__xludf.DUMMYFUNCTION("""COMPUTED_VALUE"""),634)</f>
        <v>634</v>
      </c>
    </row>
    <row r="220" spans="1:32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x14ac:dyDescent="0.25">
      <c r="A222" s="1" t="str">
        <f ca="1">IFERROR(__xludf.DUMMYFUNCTION("""COMPUTED_VALUE"""),"Nevada")</f>
        <v>Nevada</v>
      </c>
      <c r="B222" s="1">
        <f ca="1">IFERROR(__xludf.DUMMYFUNCTION("""COMPUTED_VALUE"""),30)</f>
        <v>30</v>
      </c>
      <c r="C222" s="1">
        <f ca="1">IFERROR(__xludf.DUMMYFUNCTION("""COMPUTED_VALUE"""),19)</f>
        <v>19</v>
      </c>
      <c r="D222" s="1">
        <f ca="1">IFERROR(__xludf.DUMMYFUNCTION("""COMPUTED_VALUE"""),11)</f>
        <v>11</v>
      </c>
      <c r="E222" s="1">
        <f ca="1">IFERROR(__xludf.DUMMYFUNCTION("""COMPUTED_VALUE"""),0.633)</f>
        <v>0.63300000000000001</v>
      </c>
      <c r="F222" s="1">
        <f ca="1">IFERROR(__xludf.DUMMYFUNCTION("""COMPUTED_VALUE"""),9.48)</f>
        <v>9.48</v>
      </c>
      <c r="G222" s="1">
        <f ca="1">IFERROR(__xludf.DUMMYFUNCTION("""COMPUTED_VALUE"""),4.45)</f>
        <v>4.45</v>
      </c>
      <c r="H222" s="1">
        <f ca="1">IFERROR(__xludf.DUMMYFUNCTION("""COMPUTED_VALUE"""),12)</f>
        <v>12</v>
      </c>
      <c r="I222" s="1">
        <f ca="1">IFERROR(__xludf.DUMMYFUNCTION("""COMPUTED_VALUE"""),6)</f>
        <v>6</v>
      </c>
      <c r="J222" s="1">
        <f ca="1">IFERROR(__xludf.DUMMYFUNCTION("""COMPUTED_VALUE"""),12)</f>
        <v>12</v>
      </c>
      <c r="K222" s="1">
        <f ca="1">IFERROR(__xludf.DUMMYFUNCTION("""COMPUTED_VALUE"""),3)</f>
        <v>3</v>
      </c>
      <c r="L222" s="1">
        <f ca="1">IFERROR(__xludf.DUMMYFUNCTION("""COMPUTED_VALUE"""),4)</f>
        <v>4</v>
      </c>
      <c r="M222" s="1">
        <f ca="1">IFERROR(__xludf.DUMMYFUNCTION("""COMPUTED_VALUE"""),7)</f>
        <v>7</v>
      </c>
      <c r="N222" s="1">
        <f ca="1">IFERROR(__xludf.DUMMYFUNCTION("""COMPUTED_VALUE"""),2320)</f>
        <v>2320</v>
      </c>
      <c r="O222" s="1">
        <f ca="1">IFERROR(__xludf.DUMMYFUNCTION("""COMPUTED_VALUE"""),2169)</f>
        <v>2169</v>
      </c>
      <c r="P222" s="1">
        <f ca="1">IFERROR(__xludf.DUMMYFUNCTION("""COMPUTED_VALUE"""),1205)</f>
        <v>1205</v>
      </c>
      <c r="Q222" s="1">
        <f ca="1">IFERROR(__xludf.DUMMYFUNCTION("""COMPUTED_VALUE"""),819)</f>
        <v>819</v>
      </c>
      <c r="R222" s="1">
        <f ca="1">IFERROR(__xludf.DUMMYFUNCTION("""COMPUTED_VALUE"""),1821)</f>
        <v>1821</v>
      </c>
      <c r="S222" s="1">
        <f ca="1">IFERROR(__xludf.DUMMYFUNCTION("""COMPUTED_VALUE"""),0.45)</f>
        <v>0.45</v>
      </c>
      <c r="T222" s="1">
        <f ca="1">IFERROR(__xludf.DUMMYFUNCTION("""COMPUTED_VALUE"""),300)</f>
        <v>300</v>
      </c>
      <c r="U222" s="1">
        <f ca="1">IFERROR(__xludf.DUMMYFUNCTION("""COMPUTED_VALUE"""),781)</f>
        <v>781</v>
      </c>
      <c r="V222" s="1">
        <f ca="1">IFERROR(__xludf.DUMMYFUNCTION("""COMPUTED_VALUE"""),0.384)</f>
        <v>0.38400000000000001</v>
      </c>
      <c r="W222" s="1">
        <f ca="1">IFERROR(__xludf.DUMMYFUNCTION("""COMPUTED_VALUE"""),380)</f>
        <v>380</v>
      </c>
      <c r="X222" s="1">
        <f ca="1">IFERROR(__xludf.DUMMYFUNCTION("""COMPUTED_VALUE"""),505)</f>
        <v>505</v>
      </c>
      <c r="Y222" s="1">
        <f ca="1">IFERROR(__xludf.DUMMYFUNCTION("""COMPUTED_VALUE"""),0.752)</f>
        <v>0.752</v>
      </c>
      <c r="Z222" s="1">
        <f ca="1">IFERROR(__xludf.DUMMYFUNCTION("""COMPUTED_VALUE"""),263)</f>
        <v>263</v>
      </c>
      <c r="AA222" s="1">
        <f ca="1">IFERROR(__xludf.DUMMYFUNCTION("""COMPUTED_VALUE"""),1149)</f>
        <v>1149</v>
      </c>
      <c r="AB222" s="1">
        <f ca="1">IFERROR(__xludf.DUMMYFUNCTION("""COMPUTED_VALUE"""),453)</f>
        <v>453</v>
      </c>
      <c r="AC222" s="1">
        <f ca="1">IFERROR(__xludf.DUMMYFUNCTION("""COMPUTED_VALUE"""),155)</f>
        <v>155</v>
      </c>
      <c r="AD222" s="1">
        <f ca="1">IFERROR(__xludf.DUMMYFUNCTION("""COMPUTED_VALUE"""),107)</f>
        <v>107</v>
      </c>
      <c r="AE222" s="1">
        <f ca="1">IFERROR(__xludf.DUMMYFUNCTION("""COMPUTED_VALUE"""),360)</f>
        <v>360</v>
      </c>
      <c r="AF222" s="1">
        <f ca="1">IFERROR(__xludf.DUMMYFUNCTION("""COMPUTED_VALUE"""),588)</f>
        <v>588</v>
      </c>
    </row>
    <row r="223" spans="1:32" x14ac:dyDescent="0.25">
      <c r="A223" s="1" t="str">
        <f ca="1">IFERROR(__xludf.DUMMYFUNCTION("""COMPUTED_VALUE"""),"New Hampshire")</f>
        <v>New Hampshire</v>
      </c>
      <c r="B223" s="1">
        <f ca="1">IFERROR(__xludf.DUMMYFUNCTION("""COMPUTED_VALUE"""),28)</f>
        <v>28</v>
      </c>
      <c r="C223" s="1">
        <f ca="1">IFERROR(__xludf.DUMMYFUNCTION("""COMPUTED_VALUE"""),15)</f>
        <v>15</v>
      </c>
      <c r="D223" s="1">
        <f ca="1">IFERROR(__xludf.DUMMYFUNCTION("""COMPUTED_VALUE"""),13)</f>
        <v>13</v>
      </c>
      <c r="E223" s="1">
        <f ca="1">IFERROR(__xludf.DUMMYFUNCTION("""COMPUTED_VALUE"""),0.536)</f>
        <v>0.53600000000000003</v>
      </c>
      <c r="F223" s="1">
        <f ca="1">IFERROR(__xludf.DUMMYFUNCTION("""COMPUTED_VALUE"""),-6.92)</f>
        <v>-6.92</v>
      </c>
      <c r="G223" s="1">
        <f ca="1">IFERROR(__xludf.DUMMYFUNCTION("""COMPUTED_VALUE"""),-6.08)</f>
        <v>-6.08</v>
      </c>
      <c r="H223" s="1">
        <f ca="1">IFERROR(__xludf.DUMMYFUNCTION("""COMPUTED_VALUE"""),8)</f>
        <v>8</v>
      </c>
      <c r="I223" s="1">
        <f ca="1">IFERROR(__xludf.DUMMYFUNCTION("""COMPUTED_VALUE"""),7)</f>
        <v>7</v>
      </c>
      <c r="J223" s="1">
        <f ca="1">IFERROR(__xludf.DUMMYFUNCTION("""COMPUTED_VALUE"""),10)</f>
        <v>10</v>
      </c>
      <c r="K223" s="1">
        <f ca="1">IFERROR(__xludf.DUMMYFUNCTION("""COMPUTED_VALUE"""),2)</f>
        <v>2</v>
      </c>
      <c r="L223" s="1">
        <f ca="1">IFERROR(__xludf.DUMMYFUNCTION("""COMPUTED_VALUE"""),5)</f>
        <v>5</v>
      </c>
      <c r="M223" s="1">
        <f ca="1">IFERROR(__xludf.DUMMYFUNCTION("""COMPUTED_VALUE"""),11)</f>
        <v>11</v>
      </c>
      <c r="N223" s="1">
        <f ca="1">IFERROR(__xludf.DUMMYFUNCTION("""COMPUTED_VALUE"""),1950)</f>
        <v>1950</v>
      </c>
      <c r="O223" s="1">
        <f ca="1">IFERROR(__xludf.DUMMYFUNCTION("""COMPUTED_VALUE"""),1854)</f>
        <v>1854</v>
      </c>
      <c r="P223" s="1">
        <f ca="1">IFERROR(__xludf.DUMMYFUNCTION("""COMPUTED_VALUE"""),1135)</f>
        <v>1135</v>
      </c>
      <c r="Q223" s="1">
        <f ca="1">IFERROR(__xludf.DUMMYFUNCTION("""COMPUTED_VALUE"""),707)</f>
        <v>707</v>
      </c>
      <c r="R223" s="1">
        <f ca="1">IFERROR(__xludf.DUMMYFUNCTION("""COMPUTED_VALUE"""),1730)</f>
        <v>1730</v>
      </c>
      <c r="S223" s="1">
        <f ca="1">IFERROR(__xludf.DUMMYFUNCTION("""COMPUTED_VALUE"""),0.409)</f>
        <v>0.40899999999999997</v>
      </c>
      <c r="T223" s="1">
        <f ca="1">IFERROR(__xludf.DUMMYFUNCTION("""COMPUTED_VALUE"""),239)</f>
        <v>239</v>
      </c>
      <c r="U223" s="1">
        <f ca="1">IFERROR(__xludf.DUMMYFUNCTION("""COMPUTED_VALUE"""),718)</f>
        <v>718</v>
      </c>
      <c r="V223" s="1">
        <f ca="1">IFERROR(__xludf.DUMMYFUNCTION("""COMPUTED_VALUE"""),0.333)</f>
        <v>0.33300000000000002</v>
      </c>
      <c r="W223" s="1">
        <f ca="1">IFERROR(__xludf.DUMMYFUNCTION("""COMPUTED_VALUE"""),297)</f>
        <v>297</v>
      </c>
      <c r="X223" s="1">
        <f ca="1">IFERROR(__xludf.DUMMYFUNCTION("""COMPUTED_VALUE"""),440)</f>
        <v>440</v>
      </c>
      <c r="Y223" s="1">
        <f ca="1">IFERROR(__xludf.DUMMYFUNCTION("""COMPUTED_VALUE"""),0.675)</f>
        <v>0.67500000000000004</v>
      </c>
      <c r="Z223" s="1">
        <f ca="1">IFERROR(__xludf.DUMMYFUNCTION("""COMPUTED_VALUE"""),328)</f>
        <v>328</v>
      </c>
      <c r="AA223" s="1">
        <f ca="1">IFERROR(__xludf.DUMMYFUNCTION("""COMPUTED_VALUE"""),1171)</f>
        <v>1171</v>
      </c>
      <c r="AB223" s="1">
        <f ca="1">IFERROR(__xludf.DUMMYFUNCTION("""COMPUTED_VALUE"""),375)</f>
        <v>375</v>
      </c>
      <c r="AC223" s="1">
        <f ca="1">IFERROR(__xludf.DUMMYFUNCTION("""COMPUTED_VALUE"""),138)</f>
        <v>138</v>
      </c>
      <c r="AD223" s="1">
        <f ca="1">IFERROR(__xludf.DUMMYFUNCTION("""COMPUTED_VALUE"""),59)</f>
        <v>59</v>
      </c>
      <c r="AE223" s="1">
        <f ca="1">IFERROR(__xludf.DUMMYFUNCTION("""COMPUTED_VALUE"""),367)</f>
        <v>367</v>
      </c>
      <c r="AF223" s="1">
        <f ca="1">IFERROR(__xludf.DUMMYFUNCTION("""COMPUTED_VALUE"""),509)</f>
        <v>509</v>
      </c>
    </row>
    <row r="224" spans="1:32" x14ac:dyDescent="0.25">
      <c r="A224" s="1" t="str">
        <f ca="1">IFERROR(__xludf.DUMMYFUNCTION("""COMPUTED_VALUE"""),"New Mexico State")</f>
        <v>New Mexico State</v>
      </c>
      <c r="B224" s="1">
        <f ca="1">IFERROR(__xludf.DUMMYFUNCTION("""COMPUTED_VALUE"""),30)</f>
        <v>30</v>
      </c>
      <c r="C224" s="1">
        <f ca="1">IFERROR(__xludf.DUMMYFUNCTION("""COMPUTED_VALUE"""),24)</f>
        <v>24</v>
      </c>
      <c r="D224" s="1">
        <f ca="1">IFERROR(__xludf.DUMMYFUNCTION("""COMPUTED_VALUE"""),6)</f>
        <v>6</v>
      </c>
      <c r="E224" s="1">
        <f ca="1">IFERROR(__xludf.DUMMYFUNCTION("""COMPUTED_VALUE"""),0.8)</f>
        <v>0.8</v>
      </c>
      <c r="F224" s="1">
        <f ca="1">IFERROR(__xludf.DUMMYFUNCTION("""COMPUTED_VALUE"""),3.22)</f>
        <v>3.22</v>
      </c>
      <c r="G224" s="1">
        <f ca="1">IFERROR(__xludf.DUMMYFUNCTION("""COMPUTED_VALUE"""),-4.25)</f>
        <v>-4.25</v>
      </c>
      <c r="H224" s="1">
        <f ca="1">IFERROR(__xludf.DUMMYFUNCTION("""COMPUTED_VALUE"""),15)</f>
        <v>15</v>
      </c>
      <c r="I224" s="1">
        <f ca="1">IFERROR(__xludf.DUMMYFUNCTION("""COMPUTED_VALUE"""),0)</f>
        <v>0</v>
      </c>
      <c r="J224" s="1">
        <f ca="1">IFERROR(__xludf.DUMMYFUNCTION("""COMPUTED_VALUE"""),12)</f>
        <v>12</v>
      </c>
      <c r="K224" s="1">
        <f ca="1">IFERROR(__xludf.DUMMYFUNCTION("""COMPUTED_VALUE"""),1)</f>
        <v>1</v>
      </c>
      <c r="L224" s="1">
        <f ca="1">IFERROR(__xludf.DUMMYFUNCTION("""COMPUTED_VALUE"""),9)</f>
        <v>9</v>
      </c>
      <c r="M224" s="1">
        <f ca="1">IFERROR(__xludf.DUMMYFUNCTION("""COMPUTED_VALUE"""),3)</f>
        <v>3</v>
      </c>
      <c r="N224" s="1">
        <f ca="1">IFERROR(__xludf.DUMMYFUNCTION("""COMPUTED_VALUE"""),2131)</f>
        <v>2131</v>
      </c>
      <c r="O224" s="1">
        <f ca="1">IFERROR(__xludf.DUMMYFUNCTION("""COMPUTED_VALUE"""),1802)</f>
        <v>1802</v>
      </c>
      <c r="P224" s="1">
        <f ca="1">IFERROR(__xludf.DUMMYFUNCTION("""COMPUTED_VALUE"""),1205)</f>
        <v>1205</v>
      </c>
      <c r="Q224" s="1">
        <f ca="1">IFERROR(__xludf.DUMMYFUNCTION("""COMPUTED_VALUE"""),746)</f>
        <v>746</v>
      </c>
      <c r="R224" s="1">
        <f ca="1">IFERROR(__xludf.DUMMYFUNCTION("""COMPUTED_VALUE"""),1644)</f>
        <v>1644</v>
      </c>
      <c r="S224" s="1">
        <f ca="1">IFERROR(__xludf.DUMMYFUNCTION("""COMPUTED_VALUE"""),0.454)</f>
        <v>0.45400000000000001</v>
      </c>
      <c r="T224" s="1">
        <f ca="1">IFERROR(__xludf.DUMMYFUNCTION("""COMPUTED_VALUE"""),271)</f>
        <v>271</v>
      </c>
      <c r="U224" s="1">
        <f ca="1">IFERROR(__xludf.DUMMYFUNCTION("""COMPUTED_VALUE"""),768)</f>
        <v>768</v>
      </c>
      <c r="V224" s="1">
        <f ca="1">IFERROR(__xludf.DUMMYFUNCTION("""COMPUTED_VALUE"""),0.353)</f>
        <v>0.35299999999999998</v>
      </c>
      <c r="W224" s="1">
        <f ca="1">IFERROR(__xludf.DUMMYFUNCTION("""COMPUTED_VALUE"""),368)</f>
        <v>368</v>
      </c>
      <c r="X224" s="1">
        <f ca="1">IFERROR(__xludf.DUMMYFUNCTION("""COMPUTED_VALUE"""),513)</f>
        <v>513</v>
      </c>
      <c r="Y224" s="1">
        <f ca="1">IFERROR(__xludf.DUMMYFUNCTION("""COMPUTED_VALUE"""),0.717)</f>
        <v>0.71699999999999997</v>
      </c>
      <c r="Z224" s="1">
        <f ca="1">IFERROR(__xludf.DUMMYFUNCTION("""COMPUTED_VALUE"""),333)</f>
        <v>333</v>
      </c>
      <c r="AA224" s="1">
        <f ca="1">IFERROR(__xludf.DUMMYFUNCTION("""COMPUTED_VALUE"""),1056)</f>
        <v>1056</v>
      </c>
      <c r="AB224" s="1">
        <f ca="1">IFERROR(__xludf.DUMMYFUNCTION("""COMPUTED_VALUE"""),432)</f>
        <v>432</v>
      </c>
      <c r="AC224" s="1">
        <f ca="1">IFERROR(__xludf.DUMMYFUNCTION("""COMPUTED_VALUE"""),184)</f>
        <v>184</v>
      </c>
      <c r="AD224" s="1">
        <f ca="1">IFERROR(__xludf.DUMMYFUNCTION("""COMPUTED_VALUE"""),51)</f>
        <v>51</v>
      </c>
      <c r="AE224" s="1">
        <f ca="1">IFERROR(__xludf.DUMMYFUNCTION("""COMPUTED_VALUE"""),399)</f>
        <v>399</v>
      </c>
      <c r="AF224" s="1">
        <f ca="1">IFERROR(__xludf.DUMMYFUNCTION("""COMPUTED_VALUE"""),475)</f>
        <v>475</v>
      </c>
    </row>
    <row r="225" spans="1:32" x14ac:dyDescent="0.25">
      <c r="A225" s="1" t="str">
        <f ca="1">IFERROR(__xludf.DUMMYFUNCTION("""COMPUTED_VALUE"""),"New Mexico")</f>
        <v>New Mexico</v>
      </c>
      <c r="B225" s="1">
        <f ca="1">IFERROR(__xludf.DUMMYFUNCTION("""COMPUTED_VALUE"""),31)</f>
        <v>31</v>
      </c>
      <c r="C225" s="1">
        <f ca="1">IFERROR(__xludf.DUMMYFUNCTION("""COMPUTED_VALUE"""),18)</f>
        <v>18</v>
      </c>
      <c r="D225" s="1">
        <f ca="1">IFERROR(__xludf.DUMMYFUNCTION("""COMPUTED_VALUE"""),13)</f>
        <v>13</v>
      </c>
      <c r="E225" s="1">
        <f ca="1">IFERROR(__xludf.DUMMYFUNCTION("""COMPUTED_VALUE"""),0.581)</f>
        <v>0.58099999999999996</v>
      </c>
      <c r="F225" s="1">
        <f ca="1">IFERROR(__xludf.DUMMYFUNCTION("""COMPUTED_VALUE"""),3.21)</f>
        <v>3.21</v>
      </c>
      <c r="G225" s="1">
        <f ca="1">IFERROR(__xludf.DUMMYFUNCTION("""COMPUTED_VALUE"""),2.58)</f>
        <v>2.58</v>
      </c>
      <c r="H225" s="1">
        <f ca="1">IFERROR(__xludf.DUMMYFUNCTION("""COMPUTED_VALUE"""),7)</f>
        <v>7</v>
      </c>
      <c r="I225" s="1">
        <f ca="1">IFERROR(__xludf.DUMMYFUNCTION("""COMPUTED_VALUE"""),11)</f>
        <v>11</v>
      </c>
      <c r="J225" s="1">
        <f ca="1">IFERROR(__xludf.DUMMYFUNCTION("""COMPUTED_VALUE"""),15)</f>
        <v>15</v>
      </c>
      <c r="K225" s="1">
        <f ca="1">IFERROR(__xludf.DUMMYFUNCTION("""COMPUTED_VALUE"""),3)</f>
        <v>3</v>
      </c>
      <c r="L225" s="1">
        <f ca="1">IFERROR(__xludf.DUMMYFUNCTION("""COMPUTED_VALUE"""),2)</f>
        <v>2</v>
      </c>
      <c r="M225" s="1">
        <f ca="1">IFERROR(__xludf.DUMMYFUNCTION("""COMPUTED_VALUE"""),9)</f>
        <v>9</v>
      </c>
      <c r="N225" s="1">
        <f ca="1">IFERROR(__xludf.DUMMYFUNCTION("""COMPUTED_VALUE"""),2382)</f>
        <v>2382</v>
      </c>
      <c r="O225" s="1">
        <f ca="1">IFERROR(__xludf.DUMMYFUNCTION("""COMPUTED_VALUE"""),2342)</f>
        <v>2342</v>
      </c>
      <c r="P225" s="1">
        <f ca="1">IFERROR(__xludf.DUMMYFUNCTION("""COMPUTED_VALUE"""),1240)</f>
        <v>1240</v>
      </c>
      <c r="Q225" s="1">
        <f ca="1">IFERROR(__xludf.DUMMYFUNCTION("""COMPUTED_VALUE"""),841)</f>
        <v>841</v>
      </c>
      <c r="R225" s="1">
        <f ca="1">IFERROR(__xludf.DUMMYFUNCTION("""COMPUTED_VALUE"""),1790)</f>
        <v>1790</v>
      </c>
      <c r="S225" s="1">
        <f ca="1">IFERROR(__xludf.DUMMYFUNCTION("""COMPUTED_VALUE"""),0.47)</f>
        <v>0.47</v>
      </c>
      <c r="T225" s="1">
        <f ca="1">IFERROR(__xludf.DUMMYFUNCTION("""COMPUTED_VALUE"""),215)</f>
        <v>215</v>
      </c>
      <c r="U225" s="1">
        <f ca="1">IFERROR(__xludf.DUMMYFUNCTION("""COMPUTED_VALUE"""),650)</f>
        <v>650</v>
      </c>
      <c r="V225" s="1">
        <f ca="1">IFERROR(__xludf.DUMMYFUNCTION("""COMPUTED_VALUE"""),0.331)</f>
        <v>0.33100000000000002</v>
      </c>
      <c r="W225" s="1">
        <f ca="1">IFERROR(__xludf.DUMMYFUNCTION("""COMPUTED_VALUE"""),485)</f>
        <v>485</v>
      </c>
      <c r="X225" s="1">
        <f ca="1">IFERROR(__xludf.DUMMYFUNCTION("""COMPUTED_VALUE"""),677)</f>
        <v>677</v>
      </c>
      <c r="Y225" s="1">
        <f ca="1">IFERROR(__xludf.DUMMYFUNCTION("""COMPUTED_VALUE"""),0.716)</f>
        <v>0.71599999999999997</v>
      </c>
      <c r="Z225" s="1">
        <f ca="1">IFERROR(__xludf.DUMMYFUNCTION("""COMPUTED_VALUE"""),291)</f>
        <v>291</v>
      </c>
      <c r="AA225" s="1">
        <f ca="1">IFERROR(__xludf.DUMMYFUNCTION("""COMPUTED_VALUE"""),1084)</f>
        <v>1084</v>
      </c>
      <c r="AB225" s="1">
        <f ca="1">IFERROR(__xludf.DUMMYFUNCTION("""COMPUTED_VALUE"""),466)</f>
        <v>466</v>
      </c>
      <c r="AC225" s="1">
        <f ca="1">IFERROR(__xludf.DUMMYFUNCTION("""COMPUTED_VALUE"""),249)</f>
        <v>249</v>
      </c>
      <c r="AD225" s="1">
        <f ca="1">IFERROR(__xludf.DUMMYFUNCTION("""COMPUTED_VALUE"""),90)</f>
        <v>90</v>
      </c>
      <c r="AE225" s="1">
        <f ca="1">IFERROR(__xludf.DUMMYFUNCTION("""COMPUTED_VALUE"""),447)</f>
        <v>447</v>
      </c>
      <c r="AF225" s="1">
        <f ca="1">IFERROR(__xludf.DUMMYFUNCTION("""COMPUTED_VALUE"""),477)</f>
        <v>477</v>
      </c>
    </row>
    <row r="226" spans="1:32" x14ac:dyDescent="0.25">
      <c r="A226" s="1" t="str">
        <f ca="1">IFERROR(__xludf.DUMMYFUNCTION("""COMPUTED_VALUE"""),"New Orleans")</f>
        <v>New Orleans</v>
      </c>
      <c r="B226" s="1">
        <f ca="1">IFERROR(__xludf.DUMMYFUNCTION("""COMPUTED_VALUE"""),28)</f>
        <v>28</v>
      </c>
      <c r="C226" s="1">
        <f ca="1">IFERROR(__xludf.DUMMYFUNCTION("""COMPUTED_VALUE"""),8)</f>
        <v>8</v>
      </c>
      <c r="D226" s="1">
        <f ca="1">IFERROR(__xludf.DUMMYFUNCTION("""COMPUTED_VALUE"""),20)</f>
        <v>20</v>
      </c>
      <c r="E226" s="1">
        <f ca="1">IFERROR(__xludf.DUMMYFUNCTION("""COMPUTED_VALUE"""),0.286)</f>
        <v>0.28599999999999998</v>
      </c>
      <c r="F226" s="1">
        <f ca="1">IFERROR(__xludf.DUMMYFUNCTION("""COMPUTED_VALUE"""),-13.68)</f>
        <v>-13.68</v>
      </c>
      <c r="G226" s="1">
        <f ca="1">IFERROR(__xludf.DUMMYFUNCTION("""COMPUTED_VALUE"""),-4.06)</f>
        <v>-4.0599999999999996</v>
      </c>
      <c r="H226" s="1">
        <f ca="1">IFERROR(__xludf.DUMMYFUNCTION("""COMPUTED_VALUE"""),4)</f>
        <v>4</v>
      </c>
      <c r="I226" s="1">
        <f ca="1">IFERROR(__xludf.DUMMYFUNCTION("""COMPUTED_VALUE"""),14)</f>
        <v>14</v>
      </c>
      <c r="J226" s="1">
        <f ca="1">IFERROR(__xludf.DUMMYFUNCTION("""COMPUTED_VALUE"""),5)</f>
        <v>5</v>
      </c>
      <c r="K226" s="1">
        <f ca="1">IFERROR(__xludf.DUMMYFUNCTION("""COMPUTED_VALUE"""),8)</f>
        <v>8</v>
      </c>
      <c r="L226" s="1">
        <f ca="1">IFERROR(__xludf.DUMMYFUNCTION("""COMPUTED_VALUE"""),3)</f>
        <v>3</v>
      </c>
      <c r="M226" s="1">
        <f ca="1">IFERROR(__xludf.DUMMYFUNCTION("""COMPUTED_VALUE"""),12)</f>
        <v>12</v>
      </c>
      <c r="N226" s="1">
        <f ca="1">IFERROR(__xludf.DUMMYFUNCTION("""COMPUTED_VALUE"""),2110)</f>
        <v>2110</v>
      </c>
      <c r="O226" s="1">
        <f ca="1">IFERROR(__xludf.DUMMYFUNCTION("""COMPUTED_VALUE"""),2159)</f>
        <v>2159</v>
      </c>
      <c r="P226" s="1">
        <f ca="1">IFERROR(__xludf.DUMMYFUNCTION("""COMPUTED_VALUE"""),1120)</f>
        <v>1120</v>
      </c>
      <c r="Q226" s="1">
        <f ca="1">IFERROR(__xludf.DUMMYFUNCTION("""COMPUTED_VALUE"""),747)</f>
        <v>747</v>
      </c>
      <c r="R226" s="1">
        <f ca="1">IFERROR(__xludf.DUMMYFUNCTION("""COMPUTED_VALUE"""),1616)</f>
        <v>1616</v>
      </c>
      <c r="S226" s="1">
        <f ca="1">IFERROR(__xludf.DUMMYFUNCTION("""COMPUTED_VALUE"""),0.462)</f>
        <v>0.46200000000000002</v>
      </c>
      <c r="T226" s="1">
        <f ca="1">IFERROR(__xludf.DUMMYFUNCTION("""COMPUTED_VALUE"""),149)</f>
        <v>149</v>
      </c>
      <c r="U226" s="1">
        <f ca="1">IFERROR(__xludf.DUMMYFUNCTION("""COMPUTED_VALUE"""),431)</f>
        <v>431</v>
      </c>
      <c r="V226" s="1">
        <f ca="1">IFERROR(__xludf.DUMMYFUNCTION("""COMPUTED_VALUE"""),0.346)</f>
        <v>0.34599999999999997</v>
      </c>
      <c r="W226" s="1">
        <f ca="1">IFERROR(__xludf.DUMMYFUNCTION("""COMPUTED_VALUE"""),467)</f>
        <v>467</v>
      </c>
      <c r="X226" s="1">
        <f ca="1">IFERROR(__xludf.DUMMYFUNCTION("""COMPUTED_VALUE"""),622)</f>
        <v>622</v>
      </c>
      <c r="Y226" s="1">
        <f ca="1">IFERROR(__xludf.DUMMYFUNCTION("""COMPUTED_VALUE"""),0.751)</f>
        <v>0.751</v>
      </c>
      <c r="Z226" s="1">
        <f ca="1">IFERROR(__xludf.DUMMYFUNCTION("""COMPUTED_VALUE"""),262)</f>
        <v>262</v>
      </c>
      <c r="AA226" s="1">
        <f ca="1">IFERROR(__xludf.DUMMYFUNCTION("""COMPUTED_VALUE"""),860)</f>
        <v>860</v>
      </c>
      <c r="AB226" s="1">
        <f ca="1">IFERROR(__xludf.DUMMYFUNCTION("""COMPUTED_VALUE"""),412)</f>
        <v>412</v>
      </c>
      <c r="AC226" s="1">
        <f ca="1">IFERROR(__xludf.DUMMYFUNCTION("""COMPUTED_VALUE"""),217)</f>
        <v>217</v>
      </c>
      <c r="AD226" s="1">
        <f ca="1">IFERROR(__xludf.DUMMYFUNCTION("""COMPUTED_VALUE"""),54)</f>
        <v>54</v>
      </c>
      <c r="AE226" s="1">
        <f ca="1">IFERROR(__xludf.DUMMYFUNCTION("""COMPUTED_VALUE"""),385)</f>
        <v>385</v>
      </c>
      <c r="AF226" s="1">
        <f ca="1">IFERROR(__xludf.DUMMYFUNCTION("""COMPUTED_VALUE"""),528)</f>
        <v>528</v>
      </c>
    </row>
    <row r="227" spans="1:32" x14ac:dyDescent="0.25">
      <c r="A227" s="1" t="str">
        <f ca="1">IFERROR(__xludf.DUMMYFUNCTION("""COMPUTED_VALUE"""),"Niagara")</f>
        <v>Niagara</v>
      </c>
      <c r="B227" s="1">
        <f ca="1">IFERROR(__xludf.DUMMYFUNCTION("""COMPUTED_VALUE"""),29)</f>
        <v>29</v>
      </c>
      <c r="C227" s="1">
        <f ca="1">IFERROR(__xludf.DUMMYFUNCTION("""COMPUTED_VALUE"""),11)</f>
        <v>11</v>
      </c>
      <c r="D227" s="1">
        <f ca="1">IFERROR(__xludf.DUMMYFUNCTION("""COMPUTED_VALUE"""),18)</f>
        <v>18</v>
      </c>
      <c r="E227" s="1">
        <f ca="1">IFERROR(__xludf.DUMMYFUNCTION("""COMPUTED_VALUE"""),0.379)</f>
        <v>0.379</v>
      </c>
      <c r="F227" s="1">
        <f ca="1">IFERROR(__xludf.DUMMYFUNCTION("""COMPUTED_VALUE"""),-10.58)</f>
        <v>-10.58</v>
      </c>
      <c r="G227" s="1">
        <f ca="1">IFERROR(__xludf.DUMMYFUNCTION("""COMPUTED_VALUE"""),-4.03)</f>
        <v>-4.03</v>
      </c>
      <c r="H227" s="1">
        <f ca="1">IFERROR(__xludf.DUMMYFUNCTION("""COMPUTED_VALUE"""),9)</f>
        <v>9</v>
      </c>
      <c r="I227" s="1">
        <f ca="1">IFERROR(__xludf.DUMMYFUNCTION("""COMPUTED_VALUE"""),9)</f>
        <v>9</v>
      </c>
      <c r="J227" s="1">
        <f ca="1">IFERROR(__xludf.DUMMYFUNCTION("""COMPUTED_VALUE"""),9)</f>
        <v>9</v>
      </c>
      <c r="K227" s="1">
        <f ca="1">IFERROR(__xludf.DUMMYFUNCTION("""COMPUTED_VALUE"""),3)</f>
        <v>3</v>
      </c>
      <c r="L227" s="1">
        <f ca="1">IFERROR(__xludf.DUMMYFUNCTION("""COMPUTED_VALUE"""),2)</f>
        <v>2</v>
      </c>
      <c r="M227" s="1">
        <f ca="1">IFERROR(__xludf.DUMMYFUNCTION("""COMPUTED_VALUE"""),15)</f>
        <v>15</v>
      </c>
      <c r="N227" s="1">
        <f ca="1">IFERROR(__xludf.DUMMYFUNCTION("""COMPUTED_VALUE"""),1928)</f>
        <v>1928</v>
      </c>
      <c r="O227" s="1">
        <f ca="1">IFERROR(__xludf.DUMMYFUNCTION("""COMPUTED_VALUE"""),2118)</f>
        <v>2118</v>
      </c>
      <c r="P227" s="1">
        <f ca="1">IFERROR(__xludf.DUMMYFUNCTION("""COMPUTED_VALUE"""),1170)</f>
        <v>1170</v>
      </c>
      <c r="Q227" s="1">
        <f ca="1">IFERROR(__xludf.DUMMYFUNCTION("""COMPUTED_VALUE"""),704)</f>
        <v>704</v>
      </c>
      <c r="R227" s="1">
        <f ca="1">IFERROR(__xludf.DUMMYFUNCTION("""COMPUTED_VALUE"""),1624)</f>
        <v>1624</v>
      </c>
      <c r="S227" s="1">
        <f ca="1">IFERROR(__xludf.DUMMYFUNCTION("""COMPUTED_VALUE"""),0.433)</f>
        <v>0.433</v>
      </c>
      <c r="T227" s="1">
        <f ca="1">IFERROR(__xludf.DUMMYFUNCTION("""COMPUTED_VALUE"""),223)</f>
        <v>223</v>
      </c>
      <c r="U227" s="1">
        <f ca="1">IFERROR(__xludf.DUMMYFUNCTION("""COMPUTED_VALUE"""),601)</f>
        <v>601</v>
      </c>
      <c r="V227" s="1">
        <f ca="1">IFERROR(__xludf.DUMMYFUNCTION("""COMPUTED_VALUE"""),0.371)</f>
        <v>0.371</v>
      </c>
      <c r="W227" s="1">
        <f ca="1">IFERROR(__xludf.DUMMYFUNCTION("""COMPUTED_VALUE"""),297)</f>
        <v>297</v>
      </c>
      <c r="X227" s="1">
        <f ca="1">IFERROR(__xludf.DUMMYFUNCTION("""COMPUTED_VALUE"""),395)</f>
        <v>395</v>
      </c>
      <c r="Y227" s="1">
        <f ca="1">IFERROR(__xludf.DUMMYFUNCTION("""COMPUTED_VALUE"""),0.752)</f>
        <v>0.752</v>
      </c>
      <c r="Z227" s="1">
        <f ca="1">IFERROR(__xludf.DUMMYFUNCTION("""COMPUTED_VALUE"""),174)</f>
        <v>174</v>
      </c>
      <c r="AA227" s="1">
        <f ca="1">IFERROR(__xludf.DUMMYFUNCTION("""COMPUTED_VALUE"""),796)</f>
        <v>796</v>
      </c>
      <c r="AB227" s="1">
        <f ca="1">IFERROR(__xludf.DUMMYFUNCTION("""COMPUTED_VALUE"""),352)</f>
        <v>352</v>
      </c>
      <c r="AC227" s="1">
        <f ca="1">IFERROR(__xludf.DUMMYFUNCTION("""COMPUTED_VALUE"""),207)</f>
        <v>207</v>
      </c>
      <c r="AD227" s="1">
        <f ca="1">IFERROR(__xludf.DUMMYFUNCTION("""COMPUTED_VALUE"""),66)</f>
        <v>66</v>
      </c>
      <c r="AE227" s="1">
        <f ca="1">IFERROR(__xludf.DUMMYFUNCTION("""COMPUTED_VALUE"""),310)</f>
        <v>310</v>
      </c>
      <c r="AF227" s="1">
        <f ca="1">IFERROR(__xludf.DUMMYFUNCTION("""COMPUTED_VALUE"""),457)</f>
        <v>457</v>
      </c>
    </row>
    <row r="228" spans="1:32" x14ac:dyDescent="0.25">
      <c r="A228" s="1" t="str">
        <f ca="1">IFERROR(__xludf.DUMMYFUNCTION("""COMPUTED_VALUE"""),"Nicholls State")</f>
        <v>Nicholls State</v>
      </c>
      <c r="B228" s="1">
        <f ca="1">IFERROR(__xludf.DUMMYFUNCTION("""COMPUTED_VALUE"""),30)</f>
        <v>30</v>
      </c>
      <c r="C228" s="1">
        <f ca="1">IFERROR(__xludf.DUMMYFUNCTION("""COMPUTED_VALUE"""),20)</f>
        <v>20</v>
      </c>
      <c r="D228" s="1">
        <f ca="1">IFERROR(__xludf.DUMMYFUNCTION("""COMPUTED_VALUE"""),10)</f>
        <v>10</v>
      </c>
      <c r="E228" s="1">
        <f ca="1">IFERROR(__xludf.DUMMYFUNCTION("""COMPUTED_VALUE"""),0.667)</f>
        <v>0.66700000000000004</v>
      </c>
      <c r="F228" s="1">
        <f ca="1">IFERROR(__xludf.DUMMYFUNCTION("""COMPUTED_VALUE"""),-4.61)</f>
        <v>-4.6100000000000003</v>
      </c>
      <c r="G228" s="1">
        <f ca="1">IFERROR(__xludf.DUMMYFUNCTION("""COMPUTED_VALUE"""),-5.92)</f>
        <v>-5.92</v>
      </c>
      <c r="H228" s="1">
        <f ca="1">IFERROR(__xludf.DUMMYFUNCTION("""COMPUTED_VALUE"""),14)</f>
        <v>14</v>
      </c>
      <c r="I228" s="1">
        <f ca="1">IFERROR(__xludf.DUMMYFUNCTION("""COMPUTED_VALUE"""),5)</f>
        <v>5</v>
      </c>
      <c r="J228" s="1">
        <f ca="1">IFERROR(__xludf.DUMMYFUNCTION("""COMPUTED_VALUE"""),12)</f>
        <v>12</v>
      </c>
      <c r="K228" s="1">
        <f ca="1">IFERROR(__xludf.DUMMYFUNCTION("""COMPUTED_VALUE"""),1)</f>
        <v>1</v>
      </c>
      <c r="L228" s="1">
        <f ca="1">IFERROR(__xludf.DUMMYFUNCTION("""COMPUTED_VALUE"""),7)</f>
        <v>7</v>
      </c>
      <c r="M228" s="1">
        <f ca="1">IFERROR(__xludf.DUMMYFUNCTION("""COMPUTED_VALUE"""),8)</f>
        <v>8</v>
      </c>
      <c r="N228" s="1">
        <f ca="1">IFERROR(__xludf.DUMMYFUNCTION("""COMPUTED_VALUE"""),2308)</f>
        <v>2308</v>
      </c>
      <c r="O228" s="1">
        <f ca="1">IFERROR(__xludf.DUMMYFUNCTION("""COMPUTED_VALUE"""),2088)</f>
        <v>2088</v>
      </c>
      <c r="P228" s="1">
        <f ca="1">IFERROR(__xludf.DUMMYFUNCTION("""COMPUTED_VALUE"""),1210)</f>
        <v>1210</v>
      </c>
      <c r="Q228" s="1">
        <f ca="1">IFERROR(__xludf.DUMMYFUNCTION("""COMPUTED_VALUE"""),847)</f>
        <v>847</v>
      </c>
      <c r="R228" s="1">
        <f ca="1">IFERROR(__xludf.DUMMYFUNCTION("""COMPUTED_VALUE"""),1919)</f>
        <v>1919</v>
      </c>
      <c r="S228" s="1">
        <f ca="1">IFERROR(__xludf.DUMMYFUNCTION("""COMPUTED_VALUE"""),0.441)</f>
        <v>0.441</v>
      </c>
      <c r="T228" s="1">
        <f ca="1">IFERROR(__xludf.DUMMYFUNCTION("""COMPUTED_VALUE"""),240)</f>
        <v>240</v>
      </c>
      <c r="U228" s="1">
        <f ca="1">IFERROR(__xludf.DUMMYFUNCTION("""COMPUTED_VALUE"""),717)</f>
        <v>717</v>
      </c>
      <c r="V228" s="1">
        <f ca="1">IFERROR(__xludf.DUMMYFUNCTION("""COMPUTED_VALUE"""),0.335)</f>
        <v>0.33500000000000002</v>
      </c>
      <c r="W228" s="1">
        <f ca="1">IFERROR(__xludf.DUMMYFUNCTION("""COMPUTED_VALUE"""),374)</f>
        <v>374</v>
      </c>
      <c r="X228" s="1">
        <f ca="1">IFERROR(__xludf.DUMMYFUNCTION("""COMPUTED_VALUE"""),499)</f>
        <v>499</v>
      </c>
      <c r="Y228" s="1">
        <f ca="1">IFERROR(__xludf.DUMMYFUNCTION("""COMPUTED_VALUE"""),0.749)</f>
        <v>0.749</v>
      </c>
      <c r="Z228" s="1">
        <f ca="1">IFERROR(__xludf.DUMMYFUNCTION("""COMPUTED_VALUE"""),341)</f>
        <v>341</v>
      </c>
      <c r="AA228" s="1">
        <f ca="1">IFERROR(__xludf.DUMMYFUNCTION("""COMPUTED_VALUE"""),1042)</f>
        <v>1042</v>
      </c>
      <c r="AB228" s="1">
        <f ca="1">IFERROR(__xludf.DUMMYFUNCTION("""COMPUTED_VALUE"""),391)</f>
        <v>391</v>
      </c>
      <c r="AC228" s="1">
        <f ca="1">IFERROR(__xludf.DUMMYFUNCTION("""COMPUTED_VALUE"""),297)</f>
        <v>297</v>
      </c>
      <c r="AD228" s="1">
        <f ca="1">IFERROR(__xludf.DUMMYFUNCTION("""COMPUTED_VALUE"""),113)</f>
        <v>113</v>
      </c>
      <c r="AE228" s="1">
        <f ca="1">IFERROR(__xludf.DUMMYFUNCTION("""COMPUTED_VALUE"""),410)</f>
        <v>410</v>
      </c>
      <c r="AF228" s="1">
        <f ca="1">IFERROR(__xludf.DUMMYFUNCTION("""COMPUTED_VALUE"""),582)</f>
        <v>582</v>
      </c>
    </row>
    <row r="229" spans="1:32" x14ac:dyDescent="0.25">
      <c r="A229" s="1" t="str">
        <f ca="1">IFERROR(__xludf.DUMMYFUNCTION("""COMPUTED_VALUE"""),"NJIT")</f>
        <v>NJIT</v>
      </c>
      <c r="B229" s="1">
        <f ca="1">IFERROR(__xludf.DUMMYFUNCTION("""COMPUTED_VALUE"""),29)</f>
        <v>29</v>
      </c>
      <c r="C229" s="1">
        <f ca="1">IFERROR(__xludf.DUMMYFUNCTION("""COMPUTED_VALUE"""),9)</f>
        <v>9</v>
      </c>
      <c r="D229" s="1">
        <f ca="1">IFERROR(__xludf.DUMMYFUNCTION("""COMPUTED_VALUE"""),20)</f>
        <v>20</v>
      </c>
      <c r="E229" s="1">
        <f ca="1">IFERROR(__xludf.DUMMYFUNCTION("""COMPUTED_VALUE"""),0.31)</f>
        <v>0.31</v>
      </c>
      <c r="F229" s="1">
        <f ca="1">IFERROR(__xludf.DUMMYFUNCTION("""COMPUTED_VALUE"""),-10.57)</f>
        <v>-10.57</v>
      </c>
      <c r="G229" s="1">
        <f ca="1">IFERROR(__xludf.DUMMYFUNCTION("""COMPUTED_VALUE"""),-5.28)</f>
        <v>-5.28</v>
      </c>
      <c r="H229" s="1">
        <f ca="1">IFERROR(__xludf.DUMMYFUNCTION("""COMPUTED_VALUE"""),6)</f>
        <v>6</v>
      </c>
      <c r="I229" s="1">
        <f ca="1">IFERROR(__xludf.DUMMYFUNCTION("""COMPUTED_VALUE"""),10)</f>
        <v>10</v>
      </c>
      <c r="J229" s="1">
        <f ca="1">IFERROR(__xludf.DUMMYFUNCTION("""COMPUTED_VALUE"""),5)</f>
        <v>5</v>
      </c>
      <c r="K229" s="1">
        <f ca="1">IFERROR(__xludf.DUMMYFUNCTION("""COMPUTED_VALUE"""),7)</f>
        <v>7</v>
      </c>
      <c r="L229" s="1">
        <f ca="1">IFERROR(__xludf.DUMMYFUNCTION("""COMPUTED_VALUE"""),4)</f>
        <v>4</v>
      </c>
      <c r="M229" s="1">
        <f ca="1">IFERROR(__xludf.DUMMYFUNCTION("""COMPUTED_VALUE"""),13)</f>
        <v>13</v>
      </c>
      <c r="N229" s="1">
        <f ca="1">IFERROR(__xludf.DUMMYFUNCTION("""COMPUTED_VALUE"""),1855)</f>
        <v>1855</v>
      </c>
      <c r="O229" s="1">
        <f ca="1">IFERROR(__xludf.DUMMYFUNCTION("""COMPUTED_VALUE"""),1975)</f>
        <v>1975</v>
      </c>
      <c r="P229" s="1">
        <f ca="1">IFERROR(__xludf.DUMMYFUNCTION("""COMPUTED_VALUE"""),1160)</f>
        <v>1160</v>
      </c>
      <c r="Q229" s="1">
        <f ca="1">IFERROR(__xludf.DUMMYFUNCTION("""COMPUTED_VALUE"""),670)</f>
        <v>670</v>
      </c>
      <c r="R229" s="1">
        <f ca="1">IFERROR(__xludf.DUMMYFUNCTION("""COMPUTED_VALUE"""),1654)</f>
        <v>1654</v>
      </c>
      <c r="S229" s="1">
        <f ca="1">IFERROR(__xludf.DUMMYFUNCTION("""COMPUTED_VALUE"""),0.405)</f>
        <v>0.40500000000000003</v>
      </c>
      <c r="T229" s="1">
        <f ca="1">IFERROR(__xludf.DUMMYFUNCTION("""COMPUTED_VALUE"""),168)</f>
        <v>168</v>
      </c>
      <c r="U229" s="1">
        <f ca="1">IFERROR(__xludf.DUMMYFUNCTION("""COMPUTED_VALUE"""),550)</f>
        <v>550</v>
      </c>
      <c r="V229" s="1">
        <f ca="1">IFERROR(__xludf.DUMMYFUNCTION("""COMPUTED_VALUE"""),0.305)</f>
        <v>0.30499999999999999</v>
      </c>
      <c r="W229" s="1">
        <f ca="1">IFERROR(__xludf.DUMMYFUNCTION("""COMPUTED_VALUE"""),347)</f>
        <v>347</v>
      </c>
      <c r="X229" s="1">
        <f ca="1">IFERROR(__xludf.DUMMYFUNCTION("""COMPUTED_VALUE"""),511)</f>
        <v>511</v>
      </c>
      <c r="Y229" s="1">
        <f ca="1">IFERROR(__xludf.DUMMYFUNCTION("""COMPUTED_VALUE"""),0.679)</f>
        <v>0.67900000000000005</v>
      </c>
      <c r="Z229" s="1">
        <f ca="1">IFERROR(__xludf.DUMMYFUNCTION("""COMPUTED_VALUE"""),270)</f>
        <v>270</v>
      </c>
      <c r="AA229" s="1">
        <f ca="1">IFERROR(__xludf.DUMMYFUNCTION("""COMPUTED_VALUE"""),961)</f>
        <v>961</v>
      </c>
      <c r="AB229" s="1">
        <f ca="1">IFERROR(__xludf.DUMMYFUNCTION("""COMPUTED_VALUE"""),308)</f>
        <v>308</v>
      </c>
      <c r="AC229" s="1">
        <f ca="1">IFERROR(__xludf.DUMMYFUNCTION("""COMPUTED_VALUE"""),165)</f>
        <v>165</v>
      </c>
      <c r="AD229" s="1">
        <f ca="1">IFERROR(__xludf.DUMMYFUNCTION("""COMPUTED_VALUE"""),88)</f>
        <v>88</v>
      </c>
      <c r="AE229" s="1">
        <f ca="1">IFERROR(__xludf.DUMMYFUNCTION("""COMPUTED_VALUE"""),322)</f>
        <v>322</v>
      </c>
      <c r="AF229" s="1">
        <f ca="1">IFERROR(__xludf.DUMMYFUNCTION("""COMPUTED_VALUE"""),487)</f>
        <v>487</v>
      </c>
    </row>
    <row r="230" spans="1:32" x14ac:dyDescent="0.25">
      <c r="A230" s="1" t="str">
        <f ca="1">IFERROR(__xludf.DUMMYFUNCTION("""COMPUTED_VALUE"""),"Norfolk State")</f>
        <v>Norfolk State</v>
      </c>
      <c r="B230" s="1">
        <f ca="1">IFERROR(__xludf.DUMMYFUNCTION("""COMPUTED_VALUE"""),30)</f>
        <v>30</v>
      </c>
      <c r="C230" s="1">
        <f ca="1">IFERROR(__xludf.DUMMYFUNCTION("""COMPUTED_VALUE"""),15)</f>
        <v>15</v>
      </c>
      <c r="D230" s="1">
        <f ca="1">IFERROR(__xludf.DUMMYFUNCTION("""COMPUTED_VALUE"""),15)</f>
        <v>15</v>
      </c>
      <c r="E230" s="1">
        <f ca="1">IFERROR(__xludf.DUMMYFUNCTION("""COMPUTED_VALUE"""),0.5)</f>
        <v>0.5</v>
      </c>
      <c r="F230" s="1">
        <f ca="1">IFERROR(__xludf.DUMMYFUNCTION("""COMPUTED_VALUE"""),-7.74)</f>
        <v>-7.74</v>
      </c>
      <c r="G230" s="1">
        <f ca="1">IFERROR(__xludf.DUMMYFUNCTION("""COMPUTED_VALUE"""),-9.2)</f>
        <v>-9.1999999999999993</v>
      </c>
      <c r="H230" s="1">
        <f ca="1">IFERROR(__xludf.DUMMYFUNCTION("""COMPUTED_VALUE"""),11)</f>
        <v>11</v>
      </c>
      <c r="I230" s="1">
        <f ca="1">IFERROR(__xludf.DUMMYFUNCTION("""COMPUTED_VALUE"""),4)</f>
        <v>4</v>
      </c>
      <c r="J230" s="1">
        <f ca="1">IFERROR(__xludf.DUMMYFUNCTION("""COMPUTED_VALUE"""),11)</f>
        <v>11</v>
      </c>
      <c r="K230" s="1">
        <f ca="1">IFERROR(__xludf.DUMMYFUNCTION("""COMPUTED_VALUE"""),2)</f>
        <v>2</v>
      </c>
      <c r="L230" s="1">
        <f ca="1">IFERROR(__xludf.DUMMYFUNCTION("""COMPUTED_VALUE"""),3)</f>
        <v>3</v>
      </c>
      <c r="M230" s="1">
        <f ca="1">IFERROR(__xludf.DUMMYFUNCTION("""COMPUTED_VALUE"""),12)</f>
        <v>12</v>
      </c>
      <c r="N230" s="1">
        <f ca="1">IFERROR(__xludf.DUMMYFUNCTION("""COMPUTED_VALUE"""),2118)</f>
        <v>2118</v>
      </c>
      <c r="O230" s="1">
        <f ca="1">IFERROR(__xludf.DUMMYFUNCTION("""COMPUTED_VALUE"""),1950)</f>
        <v>1950</v>
      </c>
      <c r="P230" s="1">
        <f ca="1">IFERROR(__xludf.DUMMYFUNCTION("""COMPUTED_VALUE"""),1205)</f>
        <v>1205</v>
      </c>
      <c r="Q230" s="1">
        <f ca="1">IFERROR(__xludf.DUMMYFUNCTION("""COMPUTED_VALUE"""),734)</f>
        <v>734</v>
      </c>
      <c r="R230" s="1">
        <f ca="1">IFERROR(__xludf.DUMMYFUNCTION("""COMPUTED_VALUE"""),1771)</f>
        <v>1771</v>
      </c>
      <c r="S230" s="1">
        <f ca="1">IFERROR(__xludf.DUMMYFUNCTION("""COMPUTED_VALUE"""),0.414)</f>
        <v>0.41399999999999998</v>
      </c>
      <c r="T230" s="1">
        <f ca="1">IFERROR(__xludf.DUMMYFUNCTION("""COMPUTED_VALUE"""),239)</f>
        <v>239</v>
      </c>
      <c r="U230" s="1">
        <f ca="1">IFERROR(__xludf.DUMMYFUNCTION("""COMPUTED_VALUE"""),735)</f>
        <v>735</v>
      </c>
      <c r="V230" s="1">
        <f ca="1">IFERROR(__xludf.DUMMYFUNCTION("""COMPUTED_VALUE"""),0.325)</f>
        <v>0.32500000000000001</v>
      </c>
      <c r="W230" s="1">
        <f ca="1">IFERROR(__xludf.DUMMYFUNCTION("""COMPUTED_VALUE"""),411)</f>
        <v>411</v>
      </c>
      <c r="X230" s="1">
        <f ca="1">IFERROR(__xludf.DUMMYFUNCTION("""COMPUTED_VALUE"""),586)</f>
        <v>586</v>
      </c>
      <c r="Y230" s="1">
        <f ca="1">IFERROR(__xludf.DUMMYFUNCTION("""COMPUTED_VALUE"""),0.701)</f>
        <v>0.70099999999999996</v>
      </c>
      <c r="Z230" s="1">
        <f ca="1">IFERROR(__xludf.DUMMYFUNCTION("""COMPUTED_VALUE"""),348)</f>
        <v>348</v>
      </c>
      <c r="AA230" s="1">
        <f ca="1">IFERROR(__xludf.DUMMYFUNCTION("""COMPUTED_VALUE"""),1118)</f>
        <v>1118</v>
      </c>
      <c r="AB230" s="1">
        <f ca="1">IFERROR(__xludf.DUMMYFUNCTION("""COMPUTED_VALUE"""),393)</f>
        <v>393</v>
      </c>
      <c r="AC230" s="1">
        <f ca="1">IFERROR(__xludf.DUMMYFUNCTION("""COMPUTED_VALUE"""),235)</f>
        <v>235</v>
      </c>
      <c r="AD230" s="1">
        <f ca="1">IFERROR(__xludf.DUMMYFUNCTION("""COMPUTED_VALUE"""),64)</f>
        <v>64</v>
      </c>
      <c r="AE230" s="1">
        <f ca="1">IFERROR(__xludf.DUMMYFUNCTION("""COMPUTED_VALUE"""),422)</f>
        <v>422</v>
      </c>
      <c r="AF230" s="1">
        <f ca="1">IFERROR(__xludf.DUMMYFUNCTION("""COMPUTED_VALUE"""),587)</f>
        <v>587</v>
      </c>
    </row>
    <row r="231" spans="1:32" x14ac:dyDescent="0.25">
      <c r="A231" s="1" t="str">
        <f ca="1">IFERROR(__xludf.DUMMYFUNCTION("""COMPUTED_VALUE"""),"North Alabama")</f>
        <v>North Alabama</v>
      </c>
      <c r="B231" s="1">
        <f ca="1">IFERROR(__xludf.DUMMYFUNCTION("""COMPUTED_VALUE"""),29)</f>
        <v>29</v>
      </c>
      <c r="C231" s="1">
        <f ca="1">IFERROR(__xludf.DUMMYFUNCTION("""COMPUTED_VALUE"""),13)</f>
        <v>13</v>
      </c>
      <c r="D231" s="1">
        <f ca="1">IFERROR(__xludf.DUMMYFUNCTION("""COMPUTED_VALUE"""),16)</f>
        <v>16</v>
      </c>
      <c r="E231" s="1">
        <f ca="1">IFERROR(__xludf.DUMMYFUNCTION("""COMPUTED_VALUE"""),0.448)</f>
        <v>0.44800000000000001</v>
      </c>
      <c r="F231" s="1">
        <f ca="1">IFERROR(__xludf.DUMMYFUNCTION("""COMPUTED_VALUE"""),-8.62)</f>
        <v>-8.6199999999999992</v>
      </c>
      <c r="G231" s="1">
        <f ca="1">IFERROR(__xludf.DUMMYFUNCTION("""COMPUTED_VALUE"""),-5.69)</f>
        <v>-5.69</v>
      </c>
      <c r="H231" s="1">
        <f ca="1">IFERROR(__xludf.DUMMYFUNCTION("""COMPUTED_VALUE"""),8)</f>
        <v>8</v>
      </c>
      <c r="I231" s="1">
        <f ca="1">IFERROR(__xludf.DUMMYFUNCTION("""COMPUTED_VALUE"""),8)</f>
        <v>8</v>
      </c>
      <c r="J231" s="1">
        <f ca="1">IFERROR(__xludf.DUMMYFUNCTION("""COMPUTED_VALUE"""),9)</f>
        <v>9</v>
      </c>
      <c r="K231" s="1">
        <f ca="1">IFERROR(__xludf.DUMMYFUNCTION("""COMPUTED_VALUE"""),4)</f>
        <v>4</v>
      </c>
      <c r="L231" s="1">
        <f ca="1">IFERROR(__xludf.DUMMYFUNCTION("""COMPUTED_VALUE"""),4)</f>
        <v>4</v>
      </c>
      <c r="M231" s="1">
        <f ca="1">IFERROR(__xludf.DUMMYFUNCTION("""COMPUTED_VALUE"""),12)</f>
        <v>12</v>
      </c>
      <c r="N231" s="1">
        <f ca="1">IFERROR(__xludf.DUMMYFUNCTION("""COMPUTED_VALUE"""),1990)</f>
        <v>1990</v>
      </c>
      <c r="O231" s="1">
        <f ca="1">IFERROR(__xludf.DUMMYFUNCTION("""COMPUTED_VALUE"""),2010)</f>
        <v>2010</v>
      </c>
      <c r="P231" s="1">
        <f ca="1">IFERROR(__xludf.DUMMYFUNCTION("""COMPUTED_VALUE"""),1165)</f>
        <v>1165</v>
      </c>
      <c r="Q231" s="1">
        <f ca="1">IFERROR(__xludf.DUMMYFUNCTION("""COMPUTED_VALUE"""),686)</f>
        <v>686</v>
      </c>
      <c r="R231" s="1">
        <f ca="1">IFERROR(__xludf.DUMMYFUNCTION("""COMPUTED_VALUE"""),1612)</f>
        <v>1612</v>
      </c>
      <c r="S231" s="1">
        <f ca="1">IFERROR(__xludf.DUMMYFUNCTION("""COMPUTED_VALUE"""),0.426)</f>
        <v>0.42599999999999999</v>
      </c>
      <c r="T231" s="1">
        <f ca="1">IFERROR(__xludf.DUMMYFUNCTION("""COMPUTED_VALUE"""),199)</f>
        <v>199</v>
      </c>
      <c r="U231" s="1">
        <f ca="1">IFERROR(__xludf.DUMMYFUNCTION("""COMPUTED_VALUE"""),589)</f>
        <v>589</v>
      </c>
      <c r="V231" s="1">
        <f ca="1">IFERROR(__xludf.DUMMYFUNCTION("""COMPUTED_VALUE"""),0.338)</f>
        <v>0.33800000000000002</v>
      </c>
      <c r="W231" s="1">
        <f ca="1">IFERROR(__xludf.DUMMYFUNCTION("""COMPUTED_VALUE"""),419)</f>
        <v>419</v>
      </c>
      <c r="X231" s="1">
        <f ca="1">IFERROR(__xludf.DUMMYFUNCTION("""COMPUTED_VALUE"""),613)</f>
        <v>613</v>
      </c>
      <c r="Y231" s="1">
        <f ca="1">IFERROR(__xludf.DUMMYFUNCTION("""COMPUTED_VALUE"""),0.684)</f>
        <v>0.68400000000000005</v>
      </c>
      <c r="Z231" s="1">
        <f ca="1">IFERROR(__xludf.DUMMYFUNCTION("""COMPUTED_VALUE"""),289)</f>
        <v>289</v>
      </c>
      <c r="AA231" s="1">
        <f ca="1">IFERROR(__xludf.DUMMYFUNCTION("""COMPUTED_VALUE"""),1047)</f>
        <v>1047</v>
      </c>
      <c r="AB231" s="1">
        <f ca="1">IFERROR(__xludf.DUMMYFUNCTION("""COMPUTED_VALUE"""),319)</f>
        <v>319</v>
      </c>
      <c r="AC231" s="1">
        <f ca="1">IFERROR(__xludf.DUMMYFUNCTION("""COMPUTED_VALUE"""),187)</f>
        <v>187</v>
      </c>
      <c r="AD231" s="1">
        <f ca="1">IFERROR(__xludf.DUMMYFUNCTION("""COMPUTED_VALUE"""),69)</f>
        <v>69</v>
      </c>
      <c r="AE231" s="1">
        <f ca="1">IFERROR(__xludf.DUMMYFUNCTION("""COMPUTED_VALUE"""),431)</f>
        <v>431</v>
      </c>
      <c r="AF231" s="1">
        <f ca="1">IFERROR(__xludf.DUMMYFUNCTION("""COMPUTED_VALUE"""),570)</f>
        <v>570</v>
      </c>
    </row>
    <row r="232" spans="1:32" x14ac:dyDescent="0.25">
      <c r="A232" s="1" t="str">
        <f ca="1">IFERROR(__xludf.DUMMYFUNCTION("""COMPUTED_VALUE"""),"North Carolina-Asheville")</f>
        <v>North Carolina-Asheville</v>
      </c>
      <c r="B232" s="1">
        <f ca="1">IFERROR(__xludf.DUMMYFUNCTION("""COMPUTED_VALUE"""),29)</f>
        <v>29</v>
      </c>
      <c r="C232" s="1">
        <f ca="1">IFERROR(__xludf.DUMMYFUNCTION("""COMPUTED_VALUE"""),14)</f>
        <v>14</v>
      </c>
      <c r="D232" s="1">
        <f ca="1">IFERROR(__xludf.DUMMYFUNCTION("""COMPUTED_VALUE"""),15)</f>
        <v>15</v>
      </c>
      <c r="E232" s="1">
        <f ca="1">IFERROR(__xludf.DUMMYFUNCTION("""COMPUTED_VALUE"""),0.483)</f>
        <v>0.48299999999999998</v>
      </c>
      <c r="F232" s="1">
        <f ca="1">IFERROR(__xludf.DUMMYFUNCTION("""COMPUTED_VALUE"""),-10.22)</f>
        <v>-10.220000000000001</v>
      </c>
      <c r="G232" s="1">
        <f ca="1">IFERROR(__xludf.DUMMYFUNCTION("""COMPUTED_VALUE"""),-8.29)</f>
        <v>-8.2899999999999991</v>
      </c>
      <c r="H232" s="1">
        <f ca="1">IFERROR(__xludf.DUMMYFUNCTION("""COMPUTED_VALUE"""),8)</f>
        <v>8</v>
      </c>
      <c r="I232" s="1">
        <f ca="1">IFERROR(__xludf.DUMMYFUNCTION("""COMPUTED_VALUE"""),10)</f>
        <v>10</v>
      </c>
      <c r="J232" s="1">
        <f ca="1">IFERROR(__xludf.DUMMYFUNCTION("""COMPUTED_VALUE"""),9)</f>
        <v>9</v>
      </c>
      <c r="K232" s="1">
        <f ca="1">IFERROR(__xludf.DUMMYFUNCTION("""COMPUTED_VALUE"""),5)</f>
        <v>5</v>
      </c>
      <c r="L232" s="1">
        <f ca="1">IFERROR(__xludf.DUMMYFUNCTION("""COMPUTED_VALUE"""),5)</f>
        <v>5</v>
      </c>
      <c r="M232" s="1">
        <f ca="1">IFERROR(__xludf.DUMMYFUNCTION("""COMPUTED_VALUE"""),10)</f>
        <v>10</v>
      </c>
      <c r="N232" s="1">
        <f ca="1">IFERROR(__xludf.DUMMYFUNCTION("""COMPUTED_VALUE"""),2192)</f>
        <v>2192</v>
      </c>
      <c r="O232" s="1">
        <f ca="1">IFERROR(__xludf.DUMMYFUNCTION("""COMPUTED_VALUE"""),2178)</f>
        <v>2178</v>
      </c>
      <c r="P232" s="1">
        <f ca="1">IFERROR(__xludf.DUMMYFUNCTION("""COMPUTED_VALUE"""),1165)</f>
        <v>1165</v>
      </c>
      <c r="Q232" s="1">
        <f ca="1">IFERROR(__xludf.DUMMYFUNCTION("""COMPUTED_VALUE"""),795)</f>
        <v>795</v>
      </c>
      <c r="R232" s="1">
        <f ca="1">IFERROR(__xludf.DUMMYFUNCTION("""COMPUTED_VALUE"""),1712)</f>
        <v>1712</v>
      </c>
      <c r="S232" s="1">
        <f ca="1">IFERROR(__xludf.DUMMYFUNCTION("""COMPUTED_VALUE"""),0.464)</f>
        <v>0.46400000000000002</v>
      </c>
      <c r="T232" s="1">
        <f ca="1">IFERROR(__xludf.DUMMYFUNCTION("""COMPUTED_VALUE"""),229)</f>
        <v>229</v>
      </c>
      <c r="U232" s="1">
        <f ca="1">IFERROR(__xludf.DUMMYFUNCTION("""COMPUTED_VALUE"""),658)</f>
        <v>658</v>
      </c>
      <c r="V232" s="1">
        <f ca="1">IFERROR(__xludf.DUMMYFUNCTION("""COMPUTED_VALUE"""),0.348)</f>
        <v>0.34799999999999998</v>
      </c>
      <c r="W232" s="1">
        <f ca="1">IFERROR(__xludf.DUMMYFUNCTION("""COMPUTED_VALUE"""),373)</f>
        <v>373</v>
      </c>
      <c r="X232" s="1">
        <f ca="1">IFERROR(__xludf.DUMMYFUNCTION("""COMPUTED_VALUE"""),567)</f>
        <v>567</v>
      </c>
      <c r="Y232" s="1">
        <f ca="1">IFERROR(__xludf.DUMMYFUNCTION("""COMPUTED_VALUE"""),0.658)</f>
        <v>0.65800000000000003</v>
      </c>
      <c r="Z232" s="1">
        <f ca="1">IFERROR(__xludf.DUMMYFUNCTION("""COMPUTED_VALUE"""),252)</f>
        <v>252</v>
      </c>
      <c r="AA232" s="1">
        <f ca="1">IFERROR(__xludf.DUMMYFUNCTION("""COMPUTED_VALUE"""),877)</f>
        <v>877</v>
      </c>
      <c r="AB232" s="1">
        <f ca="1">IFERROR(__xludf.DUMMYFUNCTION("""COMPUTED_VALUE"""),320)</f>
        <v>320</v>
      </c>
      <c r="AC232" s="1">
        <f ca="1">IFERROR(__xludf.DUMMYFUNCTION("""COMPUTED_VALUE"""),244)</f>
        <v>244</v>
      </c>
      <c r="AD232" s="1">
        <f ca="1">IFERROR(__xludf.DUMMYFUNCTION("""COMPUTED_VALUE"""),70)</f>
        <v>70</v>
      </c>
      <c r="AE232" s="1">
        <f ca="1">IFERROR(__xludf.DUMMYFUNCTION("""COMPUTED_VALUE"""),343)</f>
        <v>343</v>
      </c>
      <c r="AF232" s="1">
        <f ca="1">IFERROR(__xludf.DUMMYFUNCTION("""COMPUTED_VALUE"""),569)</f>
        <v>569</v>
      </c>
    </row>
    <row r="233" spans="1:32" x14ac:dyDescent="0.25">
      <c r="A233" s="1" t="str">
        <f ca="1">IFERROR(__xludf.DUMMYFUNCTION("""COMPUTED_VALUE"""),"North Carolina A&amp;T")</f>
        <v>North Carolina A&amp;T</v>
      </c>
      <c r="B233" s="1">
        <f ca="1">IFERROR(__xludf.DUMMYFUNCTION("""COMPUTED_VALUE"""),30)</f>
        <v>30</v>
      </c>
      <c r="C233" s="1">
        <f ca="1">IFERROR(__xludf.DUMMYFUNCTION("""COMPUTED_VALUE"""),16)</f>
        <v>16</v>
      </c>
      <c r="D233" s="1">
        <f ca="1">IFERROR(__xludf.DUMMYFUNCTION("""COMPUTED_VALUE"""),14)</f>
        <v>14</v>
      </c>
      <c r="E233" s="1">
        <f ca="1">IFERROR(__xludf.DUMMYFUNCTION("""COMPUTED_VALUE"""),0.533)</f>
        <v>0.53300000000000003</v>
      </c>
      <c r="F233" s="1">
        <f ca="1">IFERROR(__xludf.DUMMYFUNCTION("""COMPUTED_VALUE"""),-9.14)</f>
        <v>-9.14</v>
      </c>
      <c r="G233" s="1">
        <f ca="1">IFERROR(__xludf.DUMMYFUNCTION("""COMPUTED_VALUE"""),-7.11)</f>
        <v>-7.11</v>
      </c>
      <c r="H233" s="1">
        <f ca="1">IFERROR(__xludf.DUMMYFUNCTION("""COMPUTED_VALUE"""),12)</f>
        <v>12</v>
      </c>
      <c r="I233" s="1">
        <f ca="1">IFERROR(__xludf.DUMMYFUNCTION("""COMPUTED_VALUE"""),3)</f>
        <v>3</v>
      </c>
      <c r="J233" s="1">
        <f ca="1">IFERROR(__xludf.DUMMYFUNCTION("""COMPUTED_VALUE"""),11)</f>
        <v>11</v>
      </c>
      <c r="K233" s="1">
        <f ca="1">IFERROR(__xludf.DUMMYFUNCTION("""COMPUTED_VALUE"""),1)</f>
        <v>1</v>
      </c>
      <c r="L233" s="1">
        <f ca="1">IFERROR(__xludf.DUMMYFUNCTION("""COMPUTED_VALUE"""),4)</f>
        <v>4</v>
      </c>
      <c r="M233" s="1">
        <f ca="1">IFERROR(__xludf.DUMMYFUNCTION("""COMPUTED_VALUE"""),11)</f>
        <v>11</v>
      </c>
      <c r="N233" s="1">
        <f ca="1">IFERROR(__xludf.DUMMYFUNCTION("""COMPUTED_VALUE"""),2145)</f>
        <v>2145</v>
      </c>
      <c r="O233" s="1">
        <f ca="1">IFERROR(__xludf.DUMMYFUNCTION("""COMPUTED_VALUE"""),2142)</f>
        <v>2142</v>
      </c>
      <c r="P233" s="1">
        <f ca="1">IFERROR(__xludf.DUMMYFUNCTION("""COMPUTED_VALUE"""),1210)</f>
        <v>1210</v>
      </c>
      <c r="Q233" s="1">
        <f ca="1">IFERROR(__xludf.DUMMYFUNCTION("""COMPUTED_VALUE"""),763)</f>
        <v>763</v>
      </c>
      <c r="R233" s="1">
        <f ca="1">IFERROR(__xludf.DUMMYFUNCTION("""COMPUTED_VALUE"""),1784)</f>
        <v>1784</v>
      </c>
      <c r="S233" s="1">
        <f ca="1">IFERROR(__xludf.DUMMYFUNCTION("""COMPUTED_VALUE"""),0.428)</f>
        <v>0.42799999999999999</v>
      </c>
      <c r="T233" s="1">
        <f ca="1">IFERROR(__xludf.DUMMYFUNCTION("""COMPUTED_VALUE"""),174)</f>
        <v>174</v>
      </c>
      <c r="U233" s="1">
        <f ca="1">IFERROR(__xludf.DUMMYFUNCTION("""COMPUTED_VALUE"""),579)</f>
        <v>579</v>
      </c>
      <c r="V233" s="1">
        <f ca="1">IFERROR(__xludf.DUMMYFUNCTION("""COMPUTED_VALUE"""),0.301)</f>
        <v>0.30099999999999999</v>
      </c>
      <c r="W233" s="1">
        <f ca="1">IFERROR(__xludf.DUMMYFUNCTION("""COMPUTED_VALUE"""),445)</f>
        <v>445</v>
      </c>
      <c r="X233" s="1">
        <f ca="1">IFERROR(__xludf.DUMMYFUNCTION("""COMPUTED_VALUE"""),740)</f>
        <v>740</v>
      </c>
      <c r="Y233" s="1">
        <f ca="1">IFERROR(__xludf.DUMMYFUNCTION("""COMPUTED_VALUE"""),0.601)</f>
        <v>0.60099999999999998</v>
      </c>
      <c r="Z233" s="1">
        <f ca="1">IFERROR(__xludf.DUMMYFUNCTION("""COMPUTED_VALUE"""),339)</f>
        <v>339</v>
      </c>
      <c r="AA233" s="1">
        <f ca="1">IFERROR(__xludf.DUMMYFUNCTION("""COMPUTED_VALUE"""),1160)</f>
        <v>1160</v>
      </c>
      <c r="AB233" s="1">
        <f ca="1">IFERROR(__xludf.DUMMYFUNCTION("""COMPUTED_VALUE"""),425)</f>
        <v>425</v>
      </c>
      <c r="AC233" s="1">
        <f ca="1">IFERROR(__xludf.DUMMYFUNCTION("""COMPUTED_VALUE"""),246)</f>
        <v>246</v>
      </c>
      <c r="AD233" s="1">
        <f ca="1">IFERROR(__xludf.DUMMYFUNCTION("""COMPUTED_VALUE"""),109)</f>
        <v>109</v>
      </c>
      <c r="AE233" s="1">
        <f ca="1">IFERROR(__xludf.DUMMYFUNCTION("""COMPUTED_VALUE"""),469)</f>
        <v>469</v>
      </c>
      <c r="AF233" s="1">
        <f ca="1">IFERROR(__xludf.DUMMYFUNCTION("""COMPUTED_VALUE"""),619)</f>
        <v>619</v>
      </c>
    </row>
    <row r="234" spans="1:32" x14ac:dyDescent="0.25">
      <c r="A234" s="1" t="str">
        <f ca="1">IFERROR(__xludf.DUMMYFUNCTION("""COMPUTED_VALUE"""),"North Carolina Central")</f>
        <v>North Carolina Central</v>
      </c>
      <c r="B234" s="1">
        <f ca="1">IFERROR(__xludf.DUMMYFUNCTION("""COMPUTED_VALUE"""),29)</f>
        <v>29</v>
      </c>
      <c r="C234" s="1">
        <f ca="1">IFERROR(__xludf.DUMMYFUNCTION("""COMPUTED_VALUE"""),16)</f>
        <v>16</v>
      </c>
      <c r="D234" s="1">
        <f ca="1">IFERROR(__xludf.DUMMYFUNCTION("""COMPUTED_VALUE"""),13)</f>
        <v>13</v>
      </c>
      <c r="E234" s="1">
        <f ca="1">IFERROR(__xludf.DUMMYFUNCTION("""COMPUTED_VALUE"""),0.552)</f>
        <v>0.55200000000000005</v>
      </c>
      <c r="F234" s="1">
        <f ca="1">IFERROR(__xludf.DUMMYFUNCTION("""COMPUTED_VALUE"""),-10.42)</f>
        <v>-10.42</v>
      </c>
      <c r="G234" s="1">
        <f ca="1">IFERROR(__xludf.DUMMYFUNCTION("""COMPUTED_VALUE"""),-8.27)</f>
        <v>-8.27</v>
      </c>
      <c r="H234" s="1">
        <f ca="1">IFERROR(__xludf.DUMMYFUNCTION("""COMPUTED_VALUE"""),12)</f>
        <v>12</v>
      </c>
      <c r="I234" s="1">
        <f ca="1">IFERROR(__xludf.DUMMYFUNCTION("""COMPUTED_VALUE"""),3)</f>
        <v>3</v>
      </c>
      <c r="J234" s="1">
        <f ca="1">IFERROR(__xludf.DUMMYFUNCTION("""COMPUTED_VALUE"""),11)</f>
        <v>11</v>
      </c>
      <c r="K234" s="1">
        <f ca="1">IFERROR(__xludf.DUMMYFUNCTION("""COMPUTED_VALUE"""),0)</f>
        <v>0</v>
      </c>
      <c r="L234" s="1">
        <f ca="1">IFERROR(__xludf.DUMMYFUNCTION("""COMPUTED_VALUE"""),5)</f>
        <v>5</v>
      </c>
      <c r="M234" s="1">
        <f ca="1">IFERROR(__xludf.DUMMYFUNCTION("""COMPUTED_VALUE"""),13)</f>
        <v>13</v>
      </c>
      <c r="N234" s="1">
        <f ca="1">IFERROR(__xludf.DUMMYFUNCTION("""COMPUTED_VALUE"""),1984)</f>
        <v>1984</v>
      </c>
      <c r="O234" s="1">
        <f ca="1">IFERROR(__xludf.DUMMYFUNCTION("""COMPUTED_VALUE"""),1890)</f>
        <v>1890</v>
      </c>
      <c r="P234" s="1">
        <f ca="1">IFERROR(__xludf.DUMMYFUNCTION("""COMPUTED_VALUE"""),1180)</f>
        <v>1180</v>
      </c>
      <c r="Q234" s="1">
        <f ca="1">IFERROR(__xludf.DUMMYFUNCTION("""COMPUTED_VALUE"""),740)</f>
        <v>740</v>
      </c>
      <c r="R234" s="1">
        <f ca="1">IFERROR(__xludf.DUMMYFUNCTION("""COMPUTED_VALUE"""),1619)</f>
        <v>1619</v>
      </c>
      <c r="S234" s="1">
        <f ca="1">IFERROR(__xludf.DUMMYFUNCTION("""COMPUTED_VALUE"""),0.457)</f>
        <v>0.45700000000000002</v>
      </c>
      <c r="T234" s="1">
        <f ca="1">IFERROR(__xludf.DUMMYFUNCTION("""COMPUTED_VALUE"""),170)</f>
        <v>170</v>
      </c>
      <c r="U234" s="1">
        <f ca="1">IFERROR(__xludf.DUMMYFUNCTION("""COMPUTED_VALUE"""),567)</f>
        <v>567</v>
      </c>
      <c r="V234" s="1">
        <f ca="1">IFERROR(__xludf.DUMMYFUNCTION("""COMPUTED_VALUE"""),0.3)</f>
        <v>0.3</v>
      </c>
      <c r="W234" s="1">
        <f ca="1">IFERROR(__xludf.DUMMYFUNCTION("""COMPUTED_VALUE"""),334)</f>
        <v>334</v>
      </c>
      <c r="X234" s="1">
        <f ca="1">IFERROR(__xludf.DUMMYFUNCTION("""COMPUTED_VALUE"""),518)</f>
        <v>518</v>
      </c>
      <c r="Y234" s="1">
        <f ca="1">IFERROR(__xludf.DUMMYFUNCTION("""COMPUTED_VALUE"""),0.645)</f>
        <v>0.64500000000000002</v>
      </c>
      <c r="Z234" s="1">
        <f ca="1">IFERROR(__xludf.DUMMYFUNCTION("""COMPUTED_VALUE"""),285)</f>
        <v>285</v>
      </c>
      <c r="AA234" s="1">
        <f ca="1">IFERROR(__xludf.DUMMYFUNCTION("""COMPUTED_VALUE"""),984)</f>
        <v>984</v>
      </c>
      <c r="AB234" s="1">
        <f ca="1">IFERROR(__xludf.DUMMYFUNCTION("""COMPUTED_VALUE"""),392)</f>
        <v>392</v>
      </c>
      <c r="AC234" s="1">
        <f ca="1">IFERROR(__xludf.DUMMYFUNCTION("""COMPUTED_VALUE"""),248)</f>
        <v>248</v>
      </c>
      <c r="AD234" s="1">
        <f ca="1">IFERROR(__xludf.DUMMYFUNCTION("""COMPUTED_VALUE"""),82)</f>
        <v>82</v>
      </c>
      <c r="AE234" s="1">
        <f ca="1">IFERROR(__xludf.DUMMYFUNCTION("""COMPUTED_VALUE"""),448)</f>
        <v>448</v>
      </c>
      <c r="AF234" s="1">
        <f ca="1">IFERROR(__xludf.DUMMYFUNCTION("""COMPUTED_VALUE"""),549)</f>
        <v>549</v>
      </c>
    </row>
    <row r="235" spans="1:32" x14ac:dyDescent="0.25">
      <c r="A235" s="1" t="str">
        <f ca="1">IFERROR(__xludf.DUMMYFUNCTION("""COMPUTED_VALUE"""),"North Carolina-Greensboro")</f>
        <v>North Carolina-Greensboro</v>
      </c>
      <c r="B235" s="1">
        <f ca="1">IFERROR(__xludf.DUMMYFUNCTION("""COMPUTED_VALUE"""),31)</f>
        <v>31</v>
      </c>
      <c r="C235" s="1">
        <f ca="1">IFERROR(__xludf.DUMMYFUNCTION("""COMPUTED_VALUE"""),23)</f>
        <v>23</v>
      </c>
      <c r="D235" s="1">
        <f ca="1">IFERROR(__xludf.DUMMYFUNCTION("""COMPUTED_VALUE"""),8)</f>
        <v>8</v>
      </c>
      <c r="E235" s="1">
        <f ca="1">IFERROR(__xludf.DUMMYFUNCTION("""COMPUTED_VALUE"""),0.742)</f>
        <v>0.74199999999999999</v>
      </c>
      <c r="F235" s="1">
        <f ca="1">IFERROR(__xludf.DUMMYFUNCTION("""COMPUTED_VALUE"""),6.53)</f>
        <v>6.53</v>
      </c>
      <c r="G235" s="1">
        <f ca="1">IFERROR(__xludf.DUMMYFUNCTION("""COMPUTED_VALUE"""),-1.47)</f>
        <v>-1.47</v>
      </c>
      <c r="H235" s="1">
        <f ca="1">IFERROR(__xludf.DUMMYFUNCTION("""COMPUTED_VALUE"""),13)</f>
        <v>13</v>
      </c>
      <c r="I235" s="1">
        <f ca="1">IFERROR(__xludf.DUMMYFUNCTION("""COMPUTED_VALUE"""),5)</f>
        <v>5</v>
      </c>
      <c r="J235" s="1">
        <f ca="1">IFERROR(__xludf.DUMMYFUNCTION("""COMPUTED_VALUE"""),14)</f>
        <v>14</v>
      </c>
      <c r="K235" s="1">
        <f ca="1">IFERROR(__xludf.DUMMYFUNCTION("""COMPUTED_VALUE"""),4)</f>
        <v>4</v>
      </c>
      <c r="L235" s="1">
        <f ca="1">IFERROR(__xludf.DUMMYFUNCTION("""COMPUTED_VALUE"""),9)</f>
        <v>9</v>
      </c>
      <c r="M235" s="1">
        <f ca="1">IFERROR(__xludf.DUMMYFUNCTION("""COMPUTED_VALUE"""),4)</f>
        <v>4</v>
      </c>
      <c r="N235" s="1">
        <f ca="1">IFERROR(__xludf.DUMMYFUNCTION("""COMPUTED_VALUE"""),2304)</f>
        <v>2304</v>
      </c>
      <c r="O235" s="1">
        <f ca="1">IFERROR(__xludf.DUMMYFUNCTION("""COMPUTED_VALUE"""),1942)</f>
        <v>1942</v>
      </c>
      <c r="P235" s="1">
        <f ca="1">IFERROR(__xludf.DUMMYFUNCTION("""COMPUTED_VALUE"""),1255)</f>
        <v>1255</v>
      </c>
      <c r="Q235" s="1">
        <f ca="1">IFERROR(__xludf.DUMMYFUNCTION("""COMPUTED_VALUE"""),853)</f>
        <v>853</v>
      </c>
      <c r="R235" s="1">
        <f ca="1">IFERROR(__xludf.DUMMYFUNCTION("""COMPUTED_VALUE"""),1968)</f>
        <v>1968</v>
      </c>
      <c r="S235" s="1">
        <f ca="1">IFERROR(__xludf.DUMMYFUNCTION("""COMPUTED_VALUE"""),0.433)</f>
        <v>0.433</v>
      </c>
      <c r="T235" s="1">
        <f ca="1">IFERROR(__xludf.DUMMYFUNCTION("""COMPUTED_VALUE"""),272)</f>
        <v>272</v>
      </c>
      <c r="U235" s="1">
        <f ca="1">IFERROR(__xludf.DUMMYFUNCTION("""COMPUTED_VALUE"""),839)</f>
        <v>839</v>
      </c>
      <c r="V235" s="1">
        <f ca="1">IFERROR(__xludf.DUMMYFUNCTION("""COMPUTED_VALUE"""),0.324)</f>
        <v>0.32400000000000001</v>
      </c>
      <c r="W235" s="1">
        <f ca="1">IFERROR(__xludf.DUMMYFUNCTION("""COMPUTED_VALUE"""),326)</f>
        <v>326</v>
      </c>
      <c r="X235" s="1">
        <f ca="1">IFERROR(__xludf.DUMMYFUNCTION("""COMPUTED_VALUE"""),514)</f>
        <v>514</v>
      </c>
      <c r="Y235" s="1">
        <f ca="1">IFERROR(__xludf.DUMMYFUNCTION("""COMPUTED_VALUE"""),0.634)</f>
        <v>0.63400000000000001</v>
      </c>
      <c r="Z235" s="1">
        <f ca="1">IFERROR(__xludf.DUMMYFUNCTION("""COMPUTED_VALUE"""),404)</f>
        <v>404</v>
      </c>
      <c r="AA235" s="1">
        <f ca="1">IFERROR(__xludf.DUMMYFUNCTION("""COMPUTED_VALUE"""),1151)</f>
        <v>1151</v>
      </c>
      <c r="AB235" s="1">
        <f ca="1">IFERROR(__xludf.DUMMYFUNCTION("""COMPUTED_VALUE"""),395)</f>
        <v>395</v>
      </c>
      <c r="AC235" s="1">
        <f ca="1">IFERROR(__xludf.DUMMYFUNCTION("""COMPUTED_VALUE"""),288)</f>
        <v>288</v>
      </c>
      <c r="AD235" s="1">
        <f ca="1">IFERROR(__xludf.DUMMYFUNCTION("""COMPUTED_VALUE"""),131)</f>
        <v>131</v>
      </c>
      <c r="AE235" s="1">
        <f ca="1">IFERROR(__xludf.DUMMYFUNCTION("""COMPUTED_VALUE"""),362)</f>
        <v>362</v>
      </c>
      <c r="AF235" s="1">
        <f ca="1">IFERROR(__xludf.DUMMYFUNCTION("""COMPUTED_VALUE"""),562)</f>
        <v>562</v>
      </c>
    </row>
    <row r="236" spans="1:32" x14ac:dyDescent="0.25">
      <c r="A236" s="1" t="str">
        <f ca="1">IFERROR(__xludf.DUMMYFUNCTION("""COMPUTED_VALUE"""),"North Carolina State")</f>
        <v>North Carolina State</v>
      </c>
      <c r="B236" s="1">
        <f ca="1">IFERROR(__xludf.DUMMYFUNCTION("""COMPUTED_VALUE"""),30)</f>
        <v>30</v>
      </c>
      <c r="C236" s="1">
        <f ca="1">IFERROR(__xludf.DUMMYFUNCTION("""COMPUTED_VALUE"""),18)</f>
        <v>18</v>
      </c>
      <c r="D236" s="1">
        <f ca="1">IFERROR(__xludf.DUMMYFUNCTION("""COMPUTED_VALUE"""),12)</f>
        <v>12</v>
      </c>
      <c r="E236" s="1">
        <f ca="1">IFERROR(__xludf.DUMMYFUNCTION("""COMPUTED_VALUE"""),0.6)</f>
        <v>0.6</v>
      </c>
      <c r="F236" s="1">
        <f ca="1">IFERROR(__xludf.DUMMYFUNCTION("""COMPUTED_VALUE"""),11.27)</f>
        <v>11.27</v>
      </c>
      <c r="G236" s="1">
        <f ca="1">IFERROR(__xludf.DUMMYFUNCTION("""COMPUTED_VALUE"""),7.2)</f>
        <v>7.2</v>
      </c>
      <c r="H236" s="1">
        <f ca="1">IFERROR(__xludf.DUMMYFUNCTION("""COMPUTED_VALUE"""),9)</f>
        <v>9</v>
      </c>
      <c r="I236" s="1">
        <f ca="1">IFERROR(__xludf.DUMMYFUNCTION("""COMPUTED_VALUE"""),10)</f>
        <v>10</v>
      </c>
      <c r="J236" s="1">
        <f ca="1">IFERROR(__xludf.DUMMYFUNCTION("""COMPUTED_VALUE"""),13)</f>
        <v>13</v>
      </c>
      <c r="K236" s="1">
        <f ca="1">IFERROR(__xludf.DUMMYFUNCTION("""COMPUTED_VALUE"""),4)</f>
        <v>4</v>
      </c>
      <c r="L236" s="1">
        <f ca="1">IFERROR(__xludf.DUMMYFUNCTION("""COMPUTED_VALUE"""),5)</f>
        <v>5</v>
      </c>
      <c r="M236" s="1">
        <f ca="1">IFERROR(__xludf.DUMMYFUNCTION("""COMPUTED_VALUE"""),7)</f>
        <v>7</v>
      </c>
      <c r="N236" s="1">
        <f ca="1">IFERROR(__xludf.DUMMYFUNCTION("""COMPUTED_VALUE"""),2231)</f>
        <v>2231</v>
      </c>
      <c r="O236" s="1">
        <f ca="1">IFERROR(__xludf.DUMMYFUNCTION("""COMPUTED_VALUE"""),2109)</f>
        <v>2109</v>
      </c>
      <c r="P236" s="1">
        <f ca="1">IFERROR(__xludf.DUMMYFUNCTION("""COMPUTED_VALUE"""),1205)</f>
        <v>1205</v>
      </c>
      <c r="Q236" s="1">
        <f ca="1">IFERROR(__xludf.DUMMYFUNCTION("""COMPUTED_VALUE"""),822)</f>
        <v>822</v>
      </c>
      <c r="R236" s="1">
        <f ca="1">IFERROR(__xludf.DUMMYFUNCTION("""COMPUTED_VALUE"""),1837)</f>
        <v>1837</v>
      </c>
      <c r="S236" s="1">
        <f ca="1">IFERROR(__xludf.DUMMYFUNCTION("""COMPUTED_VALUE"""),0.447)</f>
        <v>0.44700000000000001</v>
      </c>
      <c r="T236" s="1">
        <f ca="1">IFERROR(__xludf.DUMMYFUNCTION("""COMPUTED_VALUE"""),209)</f>
        <v>209</v>
      </c>
      <c r="U236" s="1">
        <f ca="1">IFERROR(__xludf.DUMMYFUNCTION("""COMPUTED_VALUE"""),658)</f>
        <v>658</v>
      </c>
      <c r="V236" s="1">
        <f ca="1">IFERROR(__xludf.DUMMYFUNCTION("""COMPUTED_VALUE"""),0.318)</f>
        <v>0.318</v>
      </c>
      <c r="W236" s="1">
        <f ca="1">IFERROR(__xludf.DUMMYFUNCTION("""COMPUTED_VALUE"""),378)</f>
        <v>378</v>
      </c>
      <c r="X236" s="1">
        <f ca="1">IFERROR(__xludf.DUMMYFUNCTION("""COMPUTED_VALUE"""),533)</f>
        <v>533</v>
      </c>
      <c r="Y236" s="1">
        <f ca="1">IFERROR(__xludf.DUMMYFUNCTION("""COMPUTED_VALUE"""),0.709)</f>
        <v>0.70899999999999996</v>
      </c>
      <c r="Z236" s="1">
        <f ca="1">IFERROR(__xludf.DUMMYFUNCTION("""COMPUTED_VALUE"""),318)</f>
        <v>318</v>
      </c>
      <c r="AA236" s="1">
        <f ca="1">IFERROR(__xludf.DUMMYFUNCTION("""COMPUTED_VALUE"""),1073)</f>
        <v>1073</v>
      </c>
      <c r="AB236" s="1">
        <f ca="1">IFERROR(__xludf.DUMMYFUNCTION("""COMPUTED_VALUE"""),398)</f>
        <v>398</v>
      </c>
      <c r="AC236" s="1">
        <f ca="1">IFERROR(__xludf.DUMMYFUNCTION("""COMPUTED_VALUE"""),223)</f>
        <v>223</v>
      </c>
      <c r="AD236" s="1">
        <f ca="1">IFERROR(__xludf.DUMMYFUNCTION("""COMPUTED_VALUE"""),138)</f>
        <v>138</v>
      </c>
      <c r="AE236" s="1">
        <f ca="1">IFERROR(__xludf.DUMMYFUNCTION("""COMPUTED_VALUE"""),363)</f>
        <v>363</v>
      </c>
      <c r="AF236" s="1">
        <f ca="1">IFERROR(__xludf.DUMMYFUNCTION("""COMPUTED_VALUE"""),554)</f>
        <v>554</v>
      </c>
    </row>
    <row r="237" spans="1:32" x14ac:dyDescent="0.25">
      <c r="A237" s="1" t="str">
        <f ca="1">IFERROR(__xludf.DUMMYFUNCTION("""COMPUTED_VALUE"""),"North Carolina-Wilmington")</f>
        <v>North Carolina-Wilmington</v>
      </c>
      <c r="B237" s="1">
        <f ca="1">IFERROR(__xludf.DUMMYFUNCTION("""COMPUTED_VALUE"""),31)</f>
        <v>31</v>
      </c>
      <c r="C237" s="1">
        <f ca="1">IFERROR(__xludf.DUMMYFUNCTION("""COMPUTED_VALUE"""),10)</f>
        <v>10</v>
      </c>
      <c r="D237" s="1">
        <f ca="1">IFERROR(__xludf.DUMMYFUNCTION("""COMPUTED_VALUE"""),21)</f>
        <v>21</v>
      </c>
      <c r="E237" s="1">
        <f ca="1">IFERROR(__xludf.DUMMYFUNCTION("""COMPUTED_VALUE"""),0.323)</f>
        <v>0.32300000000000001</v>
      </c>
      <c r="F237" s="1">
        <f ca="1">IFERROR(__xludf.DUMMYFUNCTION("""COMPUTED_VALUE"""),-8.95)</f>
        <v>-8.9499999999999993</v>
      </c>
      <c r="G237" s="1">
        <f ca="1">IFERROR(__xludf.DUMMYFUNCTION("""COMPUTED_VALUE"""),-0.63)</f>
        <v>-0.63</v>
      </c>
      <c r="H237" s="1">
        <f ca="1">IFERROR(__xludf.DUMMYFUNCTION("""COMPUTED_VALUE"""),5)</f>
        <v>5</v>
      </c>
      <c r="I237" s="1">
        <f ca="1">IFERROR(__xludf.DUMMYFUNCTION("""COMPUTED_VALUE"""),13)</f>
        <v>13</v>
      </c>
      <c r="J237" s="1">
        <f ca="1">IFERROR(__xludf.DUMMYFUNCTION("""COMPUTED_VALUE"""),8)</f>
        <v>8</v>
      </c>
      <c r="K237" s="1">
        <f ca="1">IFERROR(__xludf.DUMMYFUNCTION("""COMPUTED_VALUE"""),8)</f>
        <v>8</v>
      </c>
      <c r="L237" s="1">
        <f ca="1">IFERROR(__xludf.DUMMYFUNCTION("""COMPUTED_VALUE"""),1)</f>
        <v>1</v>
      </c>
      <c r="M237" s="1">
        <f ca="1">IFERROR(__xludf.DUMMYFUNCTION("""COMPUTED_VALUE"""),12)</f>
        <v>12</v>
      </c>
      <c r="N237" s="1">
        <f ca="1">IFERROR(__xludf.DUMMYFUNCTION("""COMPUTED_VALUE"""),2131)</f>
        <v>2131</v>
      </c>
      <c r="O237" s="1">
        <f ca="1">IFERROR(__xludf.DUMMYFUNCTION("""COMPUTED_VALUE"""),2228)</f>
        <v>2228</v>
      </c>
      <c r="P237" s="1">
        <f ca="1">IFERROR(__xludf.DUMMYFUNCTION("""COMPUTED_VALUE"""),1250)</f>
        <v>1250</v>
      </c>
      <c r="Q237" s="1">
        <f ca="1">IFERROR(__xludf.DUMMYFUNCTION("""COMPUTED_VALUE"""),761)</f>
        <v>761</v>
      </c>
      <c r="R237" s="1">
        <f ca="1">IFERROR(__xludf.DUMMYFUNCTION("""COMPUTED_VALUE"""),1759)</f>
        <v>1759</v>
      </c>
      <c r="S237" s="1">
        <f ca="1">IFERROR(__xludf.DUMMYFUNCTION("""COMPUTED_VALUE"""),0.433)</f>
        <v>0.433</v>
      </c>
      <c r="T237" s="1">
        <f ca="1">IFERROR(__xludf.DUMMYFUNCTION("""COMPUTED_VALUE"""),205)</f>
        <v>205</v>
      </c>
      <c r="U237" s="1">
        <f ca="1">IFERROR(__xludf.DUMMYFUNCTION("""COMPUTED_VALUE"""),596)</f>
        <v>596</v>
      </c>
      <c r="V237" s="1">
        <f ca="1">IFERROR(__xludf.DUMMYFUNCTION("""COMPUTED_VALUE"""),0.344)</f>
        <v>0.34399999999999997</v>
      </c>
      <c r="W237" s="1">
        <f ca="1">IFERROR(__xludf.DUMMYFUNCTION("""COMPUTED_VALUE"""),404)</f>
        <v>404</v>
      </c>
      <c r="X237" s="1">
        <f ca="1">IFERROR(__xludf.DUMMYFUNCTION("""COMPUTED_VALUE"""),573)</f>
        <v>573</v>
      </c>
      <c r="Y237" s="1">
        <f ca="1">IFERROR(__xludf.DUMMYFUNCTION("""COMPUTED_VALUE"""),0.705)</f>
        <v>0.70499999999999996</v>
      </c>
      <c r="Z237" s="1">
        <f ca="1">IFERROR(__xludf.DUMMYFUNCTION("""COMPUTED_VALUE"""),261)</f>
        <v>261</v>
      </c>
      <c r="AA237" s="1">
        <f ca="1">IFERROR(__xludf.DUMMYFUNCTION("""COMPUTED_VALUE"""),1053)</f>
        <v>1053</v>
      </c>
      <c r="AB237" s="1">
        <f ca="1">IFERROR(__xludf.DUMMYFUNCTION("""COMPUTED_VALUE"""),373)</f>
        <v>373</v>
      </c>
      <c r="AC237" s="1">
        <f ca="1">IFERROR(__xludf.DUMMYFUNCTION("""COMPUTED_VALUE"""),194)</f>
        <v>194</v>
      </c>
      <c r="AD237" s="1">
        <f ca="1">IFERROR(__xludf.DUMMYFUNCTION("""COMPUTED_VALUE"""),93)</f>
        <v>93</v>
      </c>
      <c r="AE237" s="1">
        <f ca="1">IFERROR(__xludf.DUMMYFUNCTION("""COMPUTED_VALUE"""),405)</f>
        <v>405</v>
      </c>
      <c r="AF237" s="1">
        <f ca="1">IFERROR(__xludf.DUMMYFUNCTION("""COMPUTED_VALUE"""),547)</f>
        <v>547</v>
      </c>
    </row>
    <row r="238" spans="1:32" x14ac:dyDescent="0.25">
      <c r="A238" s="1" t="str">
        <f ca="1">IFERROR(__xludf.DUMMYFUNCTION("""COMPUTED_VALUE"""),"North Carolina")</f>
        <v>North Carolina</v>
      </c>
      <c r="B238" s="1">
        <f ca="1">IFERROR(__xludf.DUMMYFUNCTION("""COMPUTED_VALUE"""),29)</f>
        <v>29</v>
      </c>
      <c r="C238" s="1">
        <f ca="1">IFERROR(__xludf.DUMMYFUNCTION("""COMPUTED_VALUE"""),12)</f>
        <v>12</v>
      </c>
      <c r="D238" s="1">
        <f ca="1">IFERROR(__xludf.DUMMYFUNCTION("""COMPUTED_VALUE"""),17)</f>
        <v>17</v>
      </c>
      <c r="E238" s="1">
        <f ca="1">IFERROR(__xludf.DUMMYFUNCTION("""COMPUTED_VALUE"""),0.414)</f>
        <v>0.41399999999999998</v>
      </c>
      <c r="F238" s="1">
        <f ca="1">IFERROR(__xludf.DUMMYFUNCTION("""COMPUTED_VALUE"""),9.38)</f>
        <v>9.3800000000000008</v>
      </c>
      <c r="G238" s="1">
        <f ca="1">IFERROR(__xludf.DUMMYFUNCTION("""COMPUTED_VALUE"""),9.76)</f>
        <v>9.76</v>
      </c>
      <c r="H238" s="1">
        <f ca="1">IFERROR(__xludf.DUMMYFUNCTION("""COMPUTED_VALUE"""),5)</f>
        <v>5</v>
      </c>
      <c r="I238" s="1">
        <f ca="1">IFERROR(__xludf.DUMMYFUNCTION("""COMPUTED_VALUE"""),13)</f>
        <v>13</v>
      </c>
      <c r="J238" s="1">
        <f ca="1">IFERROR(__xludf.DUMMYFUNCTION("""COMPUTED_VALUE"""),6)</f>
        <v>6</v>
      </c>
      <c r="K238" s="1">
        <f ca="1">IFERROR(__xludf.DUMMYFUNCTION("""COMPUTED_VALUE"""),8)</f>
        <v>8</v>
      </c>
      <c r="L238" s="1">
        <f ca="1">IFERROR(__xludf.DUMMYFUNCTION("""COMPUTED_VALUE"""),3)</f>
        <v>3</v>
      </c>
      <c r="M238" s="1">
        <f ca="1">IFERROR(__xludf.DUMMYFUNCTION("""COMPUTED_VALUE"""),8)</f>
        <v>8</v>
      </c>
      <c r="N238" s="1">
        <f ca="1">IFERROR(__xludf.DUMMYFUNCTION("""COMPUTED_VALUE"""),2083)</f>
        <v>2083</v>
      </c>
      <c r="O238" s="1">
        <f ca="1">IFERROR(__xludf.DUMMYFUNCTION("""COMPUTED_VALUE"""),2094)</f>
        <v>2094</v>
      </c>
      <c r="P238" s="1">
        <f ca="1">IFERROR(__xludf.DUMMYFUNCTION("""COMPUTED_VALUE"""),1180)</f>
        <v>1180</v>
      </c>
      <c r="Q238" s="1">
        <f ca="1">IFERROR(__xludf.DUMMYFUNCTION("""COMPUTED_VALUE"""),759)</f>
        <v>759</v>
      </c>
      <c r="R238" s="1">
        <f ca="1">IFERROR(__xludf.DUMMYFUNCTION("""COMPUTED_VALUE"""),1810)</f>
        <v>1810</v>
      </c>
      <c r="S238" s="1">
        <f ca="1">IFERROR(__xludf.DUMMYFUNCTION("""COMPUTED_VALUE"""),0.419)</f>
        <v>0.41899999999999998</v>
      </c>
      <c r="T238" s="1">
        <f ca="1">IFERROR(__xludf.DUMMYFUNCTION("""COMPUTED_VALUE"""),158)</f>
        <v>158</v>
      </c>
      <c r="U238" s="1">
        <f ca="1">IFERROR(__xludf.DUMMYFUNCTION("""COMPUTED_VALUE"""),537)</f>
        <v>537</v>
      </c>
      <c r="V238" s="1">
        <f ca="1">IFERROR(__xludf.DUMMYFUNCTION("""COMPUTED_VALUE"""),0.294)</f>
        <v>0.29399999999999998</v>
      </c>
      <c r="W238" s="1">
        <f ca="1">IFERROR(__xludf.DUMMYFUNCTION("""COMPUTED_VALUE"""),405)</f>
        <v>405</v>
      </c>
      <c r="X238" s="1">
        <f ca="1">IFERROR(__xludf.DUMMYFUNCTION("""COMPUTED_VALUE"""),603)</f>
        <v>603</v>
      </c>
      <c r="Y238" s="1">
        <f ca="1">IFERROR(__xludf.DUMMYFUNCTION("""COMPUTED_VALUE"""),0.672)</f>
        <v>0.67200000000000004</v>
      </c>
      <c r="Z238" s="1">
        <f ca="1">IFERROR(__xludf.DUMMYFUNCTION("""COMPUTED_VALUE"""),401)</f>
        <v>401</v>
      </c>
      <c r="AA238" s="1">
        <f ca="1">IFERROR(__xludf.DUMMYFUNCTION("""COMPUTED_VALUE"""),1226)</f>
        <v>1226</v>
      </c>
      <c r="AB238" s="1">
        <f ca="1">IFERROR(__xludf.DUMMYFUNCTION("""COMPUTED_VALUE"""),424)</f>
        <v>424</v>
      </c>
      <c r="AC238" s="1">
        <f ca="1">IFERROR(__xludf.DUMMYFUNCTION("""COMPUTED_VALUE"""),172)</f>
        <v>172</v>
      </c>
      <c r="AD238" s="1">
        <f ca="1">IFERROR(__xludf.DUMMYFUNCTION("""COMPUTED_VALUE"""),109)</f>
        <v>109</v>
      </c>
      <c r="AE238" s="1">
        <f ca="1">IFERROR(__xludf.DUMMYFUNCTION("""COMPUTED_VALUE"""),384)</f>
        <v>384</v>
      </c>
      <c r="AF238" s="1">
        <f ca="1">IFERROR(__xludf.DUMMYFUNCTION("""COMPUTED_VALUE"""),483)</f>
        <v>483</v>
      </c>
    </row>
    <row r="239" spans="1:32" x14ac:dyDescent="0.25">
      <c r="A239" s="1" t="str">
        <f ca="1">IFERROR(__xludf.DUMMYFUNCTION("""COMPUTED_VALUE"""),"North Dakota State")</f>
        <v>North Dakota State</v>
      </c>
      <c r="B239" s="1">
        <f ca="1">IFERROR(__xludf.DUMMYFUNCTION("""COMPUTED_VALUE"""),30)</f>
        <v>30</v>
      </c>
      <c r="C239" s="1">
        <f ca="1">IFERROR(__xludf.DUMMYFUNCTION("""COMPUTED_VALUE"""),22)</f>
        <v>22</v>
      </c>
      <c r="D239" s="1">
        <f ca="1">IFERROR(__xludf.DUMMYFUNCTION("""COMPUTED_VALUE"""),8)</f>
        <v>8</v>
      </c>
      <c r="E239" s="1">
        <f ca="1">IFERROR(__xludf.DUMMYFUNCTION("""COMPUTED_VALUE"""),0.733)</f>
        <v>0.73299999999999998</v>
      </c>
      <c r="F239" s="1">
        <f ca="1">IFERROR(__xludf.DUMMYFUNCTION("""COMPUTED_VALUE"""),1.41)</f>
        <v>1.41</v>
      </c>
      <c r="G239" s="1">
        <f ca="1">IFERROR(__xludf.DUMMYFUNCTION("""COMPUTED_VALUE"""),-3.81)</f>
        <v>-3.81</v>
      </c>
      <c r="H239" s="1">
        <f ca="1">IFERROR(__xludf.DUMMYFUNCTION("""COMPUTED_VALUE"""),13)</f>
        <v>13</v>
      </c>
      <c r="I239" s="1">
        <f ca="1">IFERROR(__xludf.DUMMYFUNCTION("""COMPUTED_VALUE"""),3)</f>
        <v>3</v>
      </c>
      <c r="J239" s="1">
        <f ca="1">IFERROR(__xludf.DUMMYFUNCTION("""COMPUTED_VALUE"""),13)</f>
        <v>13</v>
      </c>
      <c r="K239" s="1">
        <f ca="1">IFERROR(__xludf.DUMMYFUNCTION("""COMPUTED_VALUE"""),1)</f>
        <v>1</v>
      </c>
      <c r="L239" s="1">
        <f ca="1">IFERROR(__xludf.DUMMYFUNCTION("""COMPUTED_VALUE"""),8)</f>
        <v>8</v>
      </c>
      <c r="M239" s="1">
        <f ca="1">IFERROR(__xludf.DUMMYFUNCTION("""COMPUTED_VALUE"""),6)</f>
        <v>6</v>
      </c>
      <c r="N239" s="1">
        <f ca="1">IFERROR(__xludf.DUMMYFUNCTION("""COMPUTED_VALUE"""),2232)</f>
        <v>2232</v>
      </c>
      <c r="O239" s="1">
        <f ca="1">IFERROR(__xludf.DUMMYFUNCTION("""COMPUTED_VALUE"""),1992)</f>
        <v>1992</v>
      </c>
      <c r="P239" s="1">
        <f ca="1">IFERROR(__xludf.DUMMYFUNCTION("""COMPUTED_VALUE"""),1205)</f>
        <v>1205</v>
      </c>
      <c r="Q239" s="1">
        <f ca="1">IFERROR(__xludf.DUMMYFUNCTION("""COMPUTED_VALUE"""),762)</f>
        <v>762</v>
      </c>
      <c r="R239" s="1">
        <f ca="1">IFERROR(__xludf.DUMMYFUNCTION("""COMPUTED_VALUE"""),1704)</f>
        <v>1704</v>
      </c>
      <c r="S239" s="1">
        <f ca="1">IFERROR(__xludf.DUMMYFUNCTION("""COMPUTED_VALUE"""),0.447)</f>
        <v>0.44700000000000001</v>
      </c>
      <c r="T239" s="1">
        <f ca="1">IFERROR(__xludf.DUMMYFUNCTION("""COMPUTED_VALUE"""),273)</f>
        <v>273</v>
      </c>
      <c r="U239" s="1">
        <f ca="1">IFERROR(__xludf.DUMMYFUNCTION("""COMPUTED_VALUE"""),781)</f>
        <v>781</v>
      </c>
      <c r="V239" s="1">
        <f ca="1">IFERROR(__xludf.DUMMYFUNCTION("""COMPUTED_VALUE"""),0.35)</f>
        <v>0.35</v>
      </c>
      <c r="W239" s="1">
        <f ca="1">IFERROR(__xludf.DUMMYFUNCTION("""COMPUTED_VALUE"""),435)</f>
        <v>435</v>
      </c>
      <c r="X239" s="1">
        <f ca="1">IFERROR(__xludf.DUMMYFUNCTION("""COMPUTED_VALUE"""),546)</f>
        <v>546</v>
      </c>
      <c r="Y239" s="1">
        <f ca="1">IFERROR(__xludf.DUMMYFUNCTION("""COMPUTED_VALUE"""),0.797)</f>
        <v>0.79700000000000004</v>
      </c>
      <c r="Z239" s="1">
        <f ca="1">IFERROR(__xludf.DUMMYFUNCTION("""COMPUTED_VALUE"""),228)</f>
        <v>228</v>
      </c>
      <c r="AA239" s="1">
        <f ca="1">IFERROR(__xludf.DUMMYFUNCTION("""COMPUTED_VALUE"""),1061)</f>
        <v>1061</v>
      </c>
      <c r="AB239" s="1">
        <f ca="1">IFERROR(__xludf.DUMMYFUNCTION("""COMPUTED_VALUE"""),360)</f>
        <v>360</v>
      </c>
      <c r="AC239" s="1">
        <f ca="1">IFERROR(__xludf.DUMMYFUNCTION("""COMPUTED_VALUE"""),145)</f>
        <v>145</v>
      </c>
      <c r="AD239" s="1">
        <f ca="1">IFERROR(__xludf.DUMMYFUNCTION("""COMPUTED_VALUE"""),72)</f>
        <v>72</v>
      </c>
      <c r="AE239" s="1">
        <f ca="1">IFERROR(__xludf.DUMMYFUNCTION("""COMPUTED_VALUE"""),310)</f>
        <v>310</v>
      </c>
      <c r="AF239" s="1">
        <f ca="1">IFERROR(__xludf.DUMMYFUNCTION("""COMPUTED_VALUE"""),467)</f>
        <v>467</v>
      </c>
    </row>
    <row r="240" spans="1:32" x14ac:dyDescent="0.25">
      <c r="A240" s="1" t="str">
        <f ca="1">IFERROR(__xludf.DUMMYFUNCTION("""COMPUTED_VALUE"""),"North Dakota")</f>
        <v>North Dakota</v>
      </c>
      <c r="B240" s="1">
        <f ca="1">IFERROR(__xludf.DUMMYFUNCTION("""COMPUTED_VALUE"""),30)</f>
        <v>30</v>
      </c>
      <c r="C240" s="1">
        <f ca="1">IFERROR(__xludf.DUMMYFUNCTION("""COMPUTED_VALUE"""),13)</f>
        <v>13</v>
      </c>
      <c r="D240" s="1">
        <f ca="1">IFERROR(__xludf.DUMMYFUNCTION("""COMPUTED_VALUE"""),17)</f>
        <v>17</v>
      </c>
      <c r="E240" s="1">
        <f ca="1">IFERROR(__xludf.DUMMYFUNCTION("""COMPUTED_VALUE"""),0.433)</f>
        <v>0.433</v>
      </c>
      <c r="F240" s="1">
        <f ca="1">IFERROR(__xludf.DUMMYFUNCTION("""COMPUTED_VALUE"""),-6.06)</f>
        <v>-6.06</v>
      </c>
      <c r="G240" s="1">
        <f ca="1">IFERROR(__xludf.DUMMYFUNCTION("""COMPUTED_VALUE"""),-1.25)</f>
        <v>-1.25</v>
      </c>
      <c r="H240" s="1">
        <f ca="1">IFERROR(__xludf.DUMMYFUNCTION("""COMPUTED_VALUE"""),7)</f>
        <v>7</v>
      </c>
      <c r="I240" s="1">
        <f ca="1">IFERROR(__xludf.DUMMYFUNCTION("""COMPUTED_VALUE"""),9)</f>
        <v>9</v>
      </c>
      <c r="J240" s="1">
        <f ca="1">IFERROR(__xludf.DUMMYFUNCTION("""COMPUTED_VALUE"""),8)</f>
        <v>8</v>
      </c>
      <c r="K240" s="1">
        <f ca="1">IFERROR(__xludf.DUMMYFUNCTION("""COMPUTED_VALUE"""),3)</f>
        <v>3</v>
      </c>
      <c r="L240" s="1">
        <f ca="1">IFERROR(__xludf.DUMMYFUNCTION("""COMPUTED_VALUE"""),4)</f>
        <v>4</v>
      </c>
      <c r="M240" s="1">
        <f ca="1">IFERROR(__xludf.DUMMYFUNCTION("""COMPUTED_VALUE"""),13)</f>
        <v>13</v>
      </c>
      <c r="N240" s="1">
        <f ca="1">IFERROR(__xludf.DUMMYFUNCTION("""COMPUTED_VALUE"""),2270)</f>
        <v>2270</v>
      </c>
      <c r="O240" s="1">
        <f ca="1">IFERROR(__xludf.DUMMYFUNCTION("""COMPUTED_VALUE"""),2251)</f>
        <v>2251</v>
      </c>
      <c r="P240" s="1">
        <f ca="1">IFERROR(__xludf.DUMMYFUNCTION("""COMPUTED_VALUE"""),1210)</f>
        <v>1210</v>
      </c>
      <c r="Q240" s="1">
        <f ca="1">IFERROR(__xludf.DUMMYFUNCTION("""COMPUTED_VALUE"""),792)</f>
        <v>792</v>
      </c>
      <c r="R240" s="1">
        <f ca="1">IFERROR(__xludf.DUMMYFUNCTION("""COMPUTED_VALUE"""),1717)</f>
        <v>1717</v>
      </c>
      <c r="S240" s="1">
        <f ca="1">IFERROR(__xludf.DUMMYFUNCTION("""COMPUTED_VALUE"""),0.461)</f>
        <v>0.46100000000000002</v>
      </c>
      <c r="T240" s="1">
        <f ca="1">IFERROR(__xludf.DUMMYFUNCTION("""COMPUTED_VALUE"""),237)</f>
        <v>237</v>
      </c>
      <c r="U240" s="1">
        <f ca="1">IFERROR(__xludf.DUMMYFUNCTION("""COMPUTED_VALUE"""),699)</f>
        <v>699</v>
      </c>
      <c r="V240" s="1">
        <f ca="1">IFERROR(__xludf.DUMMYFUNCTION("""COMPUTED_VALUE"""),0.339)</f>
        <v>0.33900000000000002</v>
      </c>
      <c r="W240" s="1">
        <f ca="1">IFERROR(__xludf.DUMMYFUNCTION("""COMPUTED_VALUE"""),449)</f>
        <v>449</v>
      </c>
      <c r="X240" s="1">
        <f ca="1">IFERROR(__xludf.DUMMYFUNCTION("""COMPUTED_VALUE"""),585)</f>
        <v>585</v>
      </c>
      <c r="Y240" s="1">
        <f ca="1">IFERROR(__xludf.DUMMYFUNCTION("""COMPUTED_VALUE"""),0.768)</f>
        <v>0.76800000000000002</v>
      </c>
      <c r="Z240" s="1">
        <f ca="1">IFERROR(__xludf.DUMMYFUNCTION("""COMPUTED_VALUE"""),263)</f>
        <v>263</v>
      </c>
      <c r="AA240" s="1">
        <f ca="1">IFERROR(__xludf.DUMMYFUNCTION("""COMPUTED_VALUE"""),1071)</f>
        <v>1071</v>
      </c>
      <c r="AB240" s="1">
        <f ca="1">IFERROR(__xludf.DUMMYFUNCTION("""COMPUTED_VALUE"""),385)</f>
        <v>385</v>
      </c>
      <c r="AC240" s="1">
        <f ca="1">IFERROR(__xludf.DUMMYFUNCTION("""COMPUTED_VALUE"""),140)</f>
        <v>140</v>
      </c>
      <c r="AD240" s="1">
        <f ca="1">IFERROR(__xludf.DUMMYFUNCTION("""COMPUTED_VALUE"""),66)</f>
        <v>66</v>
      </c>
      <c r="AE240" s="1">
        <f ca="1">IFERROR(__xludf.DUMMYFUNCTION("""COMPUTED_VALUE"""),412)</f>
        <v>412</v>
      </c>
      <c r="AF240" s="1">
        <f ca="1">IFERROR(__xludf.DUMMYFUNCTION("""COMPUTED_VALUE"""),525)</f>
        <v>525</v>
      </c>
    </row>
    <row r="241" spans="1:32" x14ac:dyDescent="0.25">
      <c r="A241" s="1" t="str">
        <f ca="1">IFERROR(__xludf.DUMMYFUNCTION("""COMPUTED_VALUE"""),"North Florida")</f>
        <v>North Florida</v>
      </c>
      <c r="B241" s="1">
        <f ca="1">IFERROR(__xludf.DUMMYFUNCTION("""COMPUTED_VALUE"""),31)</f>
        <v>31</v>
      </c>
      <c r="C241" s="1">
        <f ca="1">IFERROR(__xludf.DUMMYFUNCTION("""COMPUTED_VALUE"""),20)</f>
        <v>20</v>
      </c>
      <c r="D241" s="1">
        <f ca="1">IFERROR(__xludf.DUMMYFUNCTION("""COMPUTED_VALUE"""),11)</f>
        <v>11</v>
      </c>
      <c r="E241" s="1">
        <f ca="1">IFERROR(__xludf.DUMMYFUNCTION("""COMPUTED_VALUE"""),0.645)</f>
        <v>0.64500000000000002</v>
      </c>
      <c r="F241" s="1">
        <f ca="1">IFERROR(__xludf.DUMMYFUNCTION("""COMPUTED_VALUE"""),-0.14)</f>
        <v>-0.14000000000000001</v>
      </c>
      <c r="G241" s="1">
        <f ca="1">IFERROR(__xludf.DUMMYFUNCTION("""COMPUTED_VALUE"""),-2.97)</f>
        <v>-2.97</v>
      </c>
      <c r="H241" s="1">
        <f ca="1">IFERROR(__xludf.DUMMYFUNCTION("""COMPUTED_VALUE"""),13)</f>
        <v>13</v>
      </c>
      <c r="I241" s="1">
        <f ca="1">IFERROR(__xludf.DUMMYFUNCTION("""COMPUTED_VALUE"""),3)</f>
        <v>3</v>
      </c>
      <c r="J241" s="1">
        <f ca="1">IFERROR(__xludf.DUMMYFUNCTION("""COMPUTED_VALUE"""),12)</f>
        <v>12</v>
      </c>
      <c r="K241" s="1">
        <f ca="1">IFERROR(__xludf.DUMMYFUNCTION("""COMPUTED_VALUE"""),1)</f>
        <v>1</v>
      </c>
      <c r="L241" s="1">
        <f ca="1">IFERROR(__xludf.DUMMYFUNCTION("""COMPUTED_VALUE"""),7)</f>
        <v>7</v>
      </c>
      <c r="M241" s="1">
        <f ca="1">IFERROR(__xludf.DUMMYFUNCTION("""COMPUTED_VALUE"""),9)</f>
        <v>9</v>
      </c>
      <c r="N241" s="1">
        <f ca="1">IFERROR(__xludf.DUMMYFUNCTION("""COMPUTED_VALUE"""),2421)</f>
        <v>2421</v>
      </c>
      <c r="O241" s="1">
        <f ca="1">IFERROR(__xludf.DUMMYFUNCTION("""COMPUTED_VALUE"""),2255)</f>
        <v>2255</v>
      </c>
      <c r="P241" s="1">
        <f ca="1">IFERROR(__xludf.DUMMYFUNCTION("""COMPUTED_VALUE"""),1240)</f>
        <v>1240</v>
      </c>
      <c r="Q241" s="1">
        <f ca="1">IFERROR(__xludf.DUMMYFUNCTION("""COMPUTED_VALUE"""),835)</f>
        <v>835</v>
      </c>
      <c r="R241" s="1">
        <f ca="1">IFERROR(__xludf.DUMMYFUNCTION("""COMPUTED_VALUE"""),1857)</f>
        <v>1857</v>
      </c>
      <c r="S241" s="1">
        <f ca="1">IFERROR(__xludf.DUMMYFUNCTION("""COMPUTED_VALUE"""),0.45)</f>
        <v>0.45</v>
      </c>
      <c r="T241" s="1">
        <f ca="1">IFERROR(__xludf.DUMMYFUNCTION("""COMPUTED_VALUE"""),370)</f>
        <v>370</v>
      </c>
      <c r="U241" s="1">
        <f ca="1">IFERROR(__xludf.DUMMYFUNCTION("""COMPUTED_VALUE"""),971)</f>
        <v>971</v>
      </c>
      <c r="V241" s="1">
        <f ca="1">IFERROR(__xludf.DUMMYFUNCTION("""COMPUTED_VALUE"""),0.381)</f>
        <v>0.38100000000000001</v>
      </c>
      <c r="W241" s="1">
        <f ca="1">IFERROR(__xludf.DUMMYFUNCTION("""COMPUTED_VALUE"""),381)</f>
        <v>381</v>
      </c>
      <c r="X241" s="1">
        <f ca="1">IFERROR(__xludf.DUMMYFUNCTION("""COMPUTED_VALUE"""),498)</f>
        <v>498</v>
      </c>
      <c r="Y241" s="1">
        <f ca="1">IFERROR(__xludf.DUMMYFUNCTION("""COMPUTED_VALUE"""),0.765)</f>
        <v>0.76500000000000001</v>
      </c>
      <c r="Z241" s="1">
        <f ca="1">IFERROR(__xludf.DUMMYFUNCTION("""COMPUTED_VALUE"""),311)</f>
        <v>311</v>
      </c>
      <c r="AA241" s="1">
        <f ca="1">IFERROR(__xludf.DUMMYFUNCTION("""COMPUTED_VALUE"""),1082)</f>
        <v>1082</v>
      </c>
      <c r="AB241" s="1">
        <f ca="1">IFERROR(__xludf.DUMMYFUNCTION("""COMPUTED_VALUE"""),485)</f>
        <v>485</v>
      </c>
      <c r="AC241" s="1">
        <f ca="1">IFERROR(__xludf.DUMMYFUNCTION("""COMPUTED_VALUE"""),152)</f>
        <v>152</v>
      </c>
      <c r="AD241" s="1">
        <f ca="1">IFERROR(__xludf.DUMMYFUNCTION("""COMPUTED_VALUE"""),117)</f>
        <v>117</v>
      </c>
      <c r="AE241" s="1">
        <f ca="1">IFERROR(__xludf.DUMMYFUNCTION("""COMPUTED_VALUE"""),376)</f>
        <v>376</v>
      </c>
      <c r="AF241" s="1">
        <f ca="1">IFERROR(__xludf.DUMMYFUNCTION("""COMPUTED_VALUE"""),500)</f>
        <v>500</v>
      </c>
    </row>
    <row r="242" spans="1:32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x14ac:dyDescent="0.25">
      <c r="A244" s="1" t="str">
        <f ca="1">IFERROR(__xludf.DUMMYFUNCTION("""COMPUTED_VALUE"""),"North Texas")</f>
        <v>North Texas</v>
      </c>
      <c r="B244" s="1">
        <f ca="1">IFERROR(__xludf.DUMMYFUNCTION("""COMPUTED_VALUE"""),30)</f>
        <v>30</v>
      </c>
      <c r="C244" s="1">
        <f ca="1">IFERROR(__xludf.DUMMYFUNCTION("""COMPUTED_VALUE"""),20)</f>
        <v>20</v>
      </c>
      <c r="D244" s="1">
        <f ca="1">IFERROR(__xludf.DUMMYFUNCTION("""COMPUTED_VALUE"""),10)</f>
        <v>10</v>
      </c>
      <c r="E244" s="1">
        <f ca="1">IFERROR(__xludf.DUMMYFUNCTION("""COMPUTED_VALUE"""),0.667)</f>
        <v>0.66700000000000004</v>
      </c>
      <c r="F244" s="1">
        <f ca="1">IFERROR(__xludf.DUMMYFUNCTION("""COMPUTED_VALUE"""),8.21)</f>
        <v>8.2100000000000009</v>
      </c>
      <c r="G244" s="1">
        <f ca="1">IFERROR(__xludf.DUMMYFUNCTION("""COMPUTED_VALUE"""),1.89)</f>
        <v>1.89</v>
      </c>
      <c r="H244" s="1">
        <f ca="1">IFERROR(__xludf.DUMMYFUNCTION("""COMPUTED_VALUE"""),14)</f>
        <v>14</v>
      </c>
      <c r="I244" s="1">
        <f ca="1">IFERROR(__xludf.DUMMYFUNCTION("""COMPUTED_VALUE"""),3)</f>
        <v>3</v>
      </c>
      <c r="J244" s="1">
        <f ca="1">IFERROR(__xludf.DUMMYFUNCTION("""COMPUTED_VALUE"""),13)</f>
        <v>13</v>
      </c>
      <c r="K244" s="1">
        <f ca="1">IFERROR(__xludf.DUMMYFUNCTION("""COMPUTED_VALUE"""),3)</f>
        <v>3</v>
      </c>
      <c r="L244" s="1">
        <f ca="1">IFERROR(__xludf.DUMMYFUNCTION("""COMPUTED_VALUE"""),7)</f>
        <v>7</v>
      </c>
      <c r="M244" s="1">
        <f ca="1">IFERROR(__xludf.DUMMYFUNCTION("""COMPUTED_VALUE"""),5)</f>
        <v>5</v>
      </c>
      <c r="N244" s="1">
        <f ca="1">IFERROR(__xludf.DUMMYFUNCTION("""COMPUTED_VALUE"""),2160)</f>
        <v>2160</v>
      </c>
      <c r="O244" s="1">
        <f ca="1">IFERROR(__xludf.DUMMYFUNCTION("""COMPUTED_VALUE"""),1906)</f>
        <v>1906</v>
      </c>
      <c r="P244" s="1">
        <f ca="1">IFERROR(__xludf.DUMMYFUNCTION("""COMPUTED_VALUE"""),1205)</f>
        <v>1205</v>
      </c>
      <c r="Q244" s="1">
        <f ca="1">IFERROR(__xludf.DUMMYFUNCTION("""COMPUTED_VALUE"""),771)</f>
        <v>771</v>
      </c>
      <c r="R244" s="1">
        <f ca="1">IFERROR(__xludf.DUMMYFUNCTION("""COMPUTED_VALUE"""),1579)</f>
        <v>1579</v>
      </c>
      <c r="S244" s="1">
        <f ca="1">IFERROR(__xludf.DUMMYFUNCTION("""COMPUTED_VALUE"""),0.488)</f>
        <v>0.48799999999999999</v>
      </c>
      <c r="T244" s="1">
        <f ca="1">IFERROR(__xludf.DUMMYFUNCTION("""COMPUTED_VALUE"""),249)</f>
        <v>249</v>
      </c>
      <c r="U244" s="1">
        <f ca="1">IFERROR(__xludf.DUMMYFUNCTION("""COMPUTED_VALUE"""),648)</f>
        <v>648</v>
      </c>
      <c r="V244" s="1">
        <f ca="1">IFERROR(__xludf.DUMMYFUNCTION("""COMPUTED_VALUE"""),0.384)</f>
        <v>0.38400000000000001</v>
      </c>
      <c r="W244" s="1">
        <f ca="1">IFERROR(__xludf.DUMMYFUNCTION("""COMPUTED_VALUE"""),369)</f>
        <v>369</v>
      </c>
      <c r="X244" s="1">
        <f ca="1">IFERROR(__xludf.DUMMYFUNCTION("""COMPUTED_VALUE"""),490)</f>
        <v>490</v>
      </c>
      <c r="Y244" s="1">
        <f ca="1">IFERROR(__xludf.DUMMYFUNCTION("""COMPUTED_VALUE"""),0.753)</f>
        <v>0.753</v>
      </c>
      <c r="Z244" s="1">
        <f ca="1">IFERROR(__xludf.DUMMYFUNCTION("""COMPUTED_VALUE"""),258)</f>
        <v>258</v>
      </c>
      <c r="AA244" s="1">
        <f ca="1">IFERROR(__xludf.DUMMYFUNCTION("""COMPUTED_VALUE"""),967)</f>
        <v>967</v>
      </c>
      <c r="AB244" s="1">
        <f ca="1">IFERROR(__xludf.DUMMYFUNCTION("""COMPUTED_VALUE"""),384)</f>
        <v>384</v>
      </c>
      <c r="AC244" s="1">
        <f ca="1">IFERROR(__xludf.DUMMYFUNCTION("""COMPUTED_VALUE"""),190)</f>
        <v>190</v>
      </c>
      <c r="AD244" s="1">
        <f ca="1">IFERROR(__xludf.DUMMYFUNCTION("""COMPUTED_VALUE"""),81)</f>
        <v>81</v>
      </c>
      <c r="AE244" s="1">
        <f ca="1">IFERROR(__xludf.DUMMYFUNCTION("""COMPUTED_VALUE"""),405)</f>
        <v>405</v>
      </c>
      <c r="AF244" s="1">
        <f ca="1">IFERROR(__xludf.DUMMYFUNCTION("""COMPUTED_VALUE"""),514)</f>
        <v>514</v>
      </c>
    </row>
    <row r="245" spans="1:32" x14ac:dyDescent="0.25">
      <c r="A245" s="1" t="str">
        <f ca="1">IFERROR(__xludf.DUMMYFUNCTION("""COMPUTED_VALUE"""),"Northeastern")</f>
        <v>Northeastern</v>
      </c>
      <c r="B245" s="1">
        <f ca="1">IFERROR(__xludf.DUMMYFUNCTION("""COMPUTED_VALUE"""),30)</f>
        <v>30</v>
      </c>
      <c r="C245" s="1">
        <f ca="1">IFERROR(__xludf.DUMMYFUNCTION("""COMPUTED_VALUE"""),15)</f>
        <v>15</v>
      </c>
      <c r="D245" s="1">
        <f ca="1">IFERROR(__xludf.DUMMYFUNCTION("""COMPUTED_VALUE"""),15)</f>
        <v>15</v>
      </c>
      <c r="E245" s="1">
        <f ca="1">IFERROR(__xludf.DUMMYFUNCTION("""COMPUTED_VALUE"""),0.5)</f>
        <v>0.5</v>
      </c>
      <c r="F245" s="1">
        <f ca="1">IFERROR(__xludf.DUMMYFUNCTION("""COMPUTED_VALUE"""),1.48)</f>
        <v>1.48</v>
      </c>
      <c r="G245" s="1">
        <f ca="1">IFERROR(__xludf.DUMMYFUNCTION("""COMPUTED_VALUE"""),-3.42)</f>
        <v>-3.42</v>
      </c>
      <c r="H245" s="1">
        <f ca="1">IFERROR(__xludf.DUMMYFUNCTION("""COMPUTED_VALUE"""),9)</f>
        <v>9</v>
      </c>
      <c r="I245" s="1">
        <f ca="1">IFERROR(__xludf.DUMMYFUNCTION("""COMPUTED_VALUE"""),9)</f>
        <v>9</v>
      </c>
      <c r="J245" s="1">
        <f ca="1">IFERROR(__xludf.DUMMYFUNCTION("""COMPUTED_VALUE"""),7)</f>
        <v>7</v>
      </c>
      <c r="K245" s="1">
        <f ca="1">IFERROR(__xludf.DUMMYFUNCTION("""COMPUTED_VALUE"""),6)</f>
        <v>6</v>
      </c>
      <c r="L245" s="1">
        <f ca="1">IFERROR(__xludf.DUMMYFUNCTION("""COMPUTED_VALUE"""),7)</f>
        <v>7</v>
      </c>
      <c r="M245" s="1">
        <f ca="1">IFERROR(__xludf.DUMMYFUNCTION("""COMPUTED_VALUE"""),7)</f>
        <v>7</v>
      </c>
      <c r="N245" s="1">
        <f ca="1">IFERROR(__xludf.DUMMYFUNCTION("""COMPUTED_VALUE"""),2146)</f>
        <v>2146</v>
      </c>
      <c r="O245" s="1">
        <f ca="1">IFERROR(__xludf.DUMMYFUNCTION("""COMPUTED_VALUE"""),1999)</f>
        <v>1999</v>
      </c>
      <c r="P245" s="1">
        <f ca="1">IFERROR(__xludf.DUMMYFUNCTION("""COMPUTED_VALUE"""),1205)</f>
        <v>1205</v>
      </c>
      <c r="Q245" s="1">
        <f ca="1">IFERROR(__xludf.DUMMYFUNCTION("""COMPUTED_VALUE"""),781)</f>
        <v>781</v>
      </c>
      <c r="R245" s="1">
        <f ca="1">IFERROR(__xludf.DUMMYFUNCTION("""COMPUTED_VALUE"""),1652)</f>
        <v>1652</v>
      </c>
      <c r="S245" s="1">
        <f ca="1">IFERROR(__xludf.DUMMYFUNCTION("""COMPUTED_VALUE"""),0.473)</f>
        <v>0.47299999999999998</v>
      </c>
      <c r="T245" s="1">
        <f ca="1">IFERROR(__xludf.DUMMYFUNCTION("""COMPUTED_VALUE"""),241)</f>
        <v>241</v>
      </c>
      <c r="U245" s="1">
        <f ca="1">IFERROR(__xludf.DUMMYFUNCTION("""COMPUTED_VALUE"""),660)</f>
        <v>660</v>
      </c>
      <c r="V245" s="1">
        <f ca="1">IFERROR(__xludf.DUMMYFUNCTION("""COMPUTED_VALUE"""),0.365)</f>
        <v>0.36499999999999999</v>
      </c>
      <c r="W245" s="1">
        <f ca="1">IFERROR(__xludf.DUMMYFUNCTION("""COMPUTED_VALUE"""),343)</f>
        <v>343</v>
      </c>
      <c r="X245" s="1">
        <f ca="1">IFERROR(__xludf.DUMMYFUNCTION("""COMPUTED_VALUE"""),431)</f>
        <v>431</v>
      </c>
      <c r="Y245" s="1">
        <f ca="1">IFERROR(__xludf.DUMMYFUNCTION("""COMPUTED_VALUE"""),0.796)</f>
        <v>0.79600000000000004</v>
      </c>
      <c r="Z245" s="1">
        <f ca="1">IFERROR(__xludf.DUMMYFUNCTION("""COMPUTED_VALUE"""),219)</f>
        <v>219</v>
      </c>
      <c r="AA245" s="1">
        <f ca="1">IFERROR(__xludf.DUMMYFUNCTION("""COMPUTED_VALUE"""),935)</f>
        <v>935</v>
      </c>
      <c r="AB245" s="1">
        <f ca="1">IFERROR(__xludf.DUMMYFUNCTION("""COMPUTED_VALUE"""),393)</f>
        <v>393</v>
      </c>
      <c r="AC245" s="1">
        <f ca="1">IFERROR(__xludf.DUMMYFUNCTION("""COMPUTED_VALUE"""),233)</f>
        <v>233</v>
      </c>
      <c r="AD245" s="1">
        <f ca="1">IFERROR(__xludf.DUMMYFUNCTION("""COMPUTED_VALUE"""),49)</f>
        <v>49</v>
      </c>
      <c r="AE245" s="1">
        <f ca="1">IFERROR(__xludf.DUMMYFUNCTION("""COMPUTED_VALUE"""),361)</f>
        <v>361</v>
      </c>
      <c r="AF245" s="1">
        <f ca="1">IFERROR(__xludf.DUMMYFUNCTION("""COMPUTED_VALUE"""),510)</f>
        <v>510</v>
      </c>
    </row>
    <row r="246" spans="1:32" x14ac:dyDescent="0.25">
      <c r="A246" s="1" t="str">
        <f ca="1">IFERROR(__xludf.DUMMYFUNCTION("""COMPUTED_VALUE"""),"Northern Arizona")</f>
        <v>Northern Arizona</v>
      </c>
      <c r="B246" s="1">
        <f ca="1">IFERROR(__xludf.DUMMYFUNCTION("""COMPUTED_VALUE"""),28)</f>
        <v>28</v>
      </c>
      <c r="C246" s="1">
        <f ca="1">IFERROR(__xludf.DUMMYFUNCTION("""COMPUTED_VALUE"""),16)</f>
        <v>16</v>
      </c>
      <c r="D246" s="1">
        <f ca="1">IFERROR(__xludf.DUMMYFUNCTION("""COMPUTED_VALUE"""),12)</f>
        <v>12</v>
      </c>
      <c r="E246" s="1">
        <f ca="1">IFERROR(__xludf.DUMMYFUNCTION("""COMPUTED_VALUE"""),0.571)</f>
        <v>0.57099999999999995</v>
      </c>
      <c r="F246" s="1">
        <f ca="1">IFERROR(__xludf.DUMMYFUNCTION("""COMPUTED_VALUE"""),-3.88)</f>
        <v>-3.88</v>
      </c>
      <c r="G246" s="1">
        <f ca="1">IFERROR(__xludf.DUMMYFUNCTION("""COMPUTED_VALUE"""),-2.07)</f>
        <v>-2.0699999999999998</v>
      </c>
      <c r="H246" s="1">
        <f ca="1">IFERROR(__xludf.DUMMYFUNCTION("""COMPUTED_VALUE"""),10)</f>
        <v>10</v>
      </c>
      <c r="I246" s="1">
        <f ca="1">IFERROR(__xludf.DUMMYFUNCTION("""COMPUTED_VALUE"""),9)</f>
        <v>9</v>
      </c>
      <c r="J246" s="1">
        <f ca="1">IFERROR(__xludf.DUMMYFUNCTION("""COMPUTED_VALUE"""),9)</f>
        <v>9</v>
      </c>
      <c r="K246" s="1">
        <f ca="1">IFERROR(__xludf.DUMMYFUNCTION("""COMPUTED_VALUE"""),5)</f>
        <v>5</v>
      </c>
      <c r="L246" s="1">
        <f ca="1">IFERROR(__xludf.DUMMYFUNCTION("""COMPUTED_VALUE"""),6)</f>
        <v>6</v>
      </c>
      <c r="M246" s="1">
        <f ca="1">IFERROR(__xludf.DUMMYFUNCTION("""COMPUTED_VALUE"""),7)</f>
        <v>7</v>
      </c>
      <c r="N246" s="1">
        <f ca="1">IFERROR(__xludf.DUMMYFUNCTION("""COMPUTED_VALUE"""),2000)</f>
        <v>2000</v>
      </c>
      <c r="O246" s="1">
        <f ca="1">IFERROR(__xludf.DUMMYFUNCTION("""COMPUTED_VALUE"""),1937)</f>
        <v>1937</v>
      </c>
      <c r="P246" s="1">
        <f ca="1">IFERROR(__xludf.DUMMYFUNCTION("""COMPUTED_VALUE"""),1125)</f>
        <v>1125</v>
      </c>
      <c r="Q246" s="1">
        <f ca="1">IFERROR(__xludf.DUMMYFUNCTION("""COMPUTED_VALUE"""),721)</f>
        <v>721</v>
      </c>
      <c r="R246" s="1">
        <f ca="1">IFERROR(__xludf.DUMMYFUNCTION("""COMPUTED_VALUE"""),1610)</f>
        <v>1610</v>
      </c>
      <c r="S246" s="1">
        <f ca="1">IFERROR(__xludf.DUMMYFUNCTION("""COMPUTED_VALUE"""),0.448)</f>
        <v>0.44800000000000001</v>
      </c>
      <c r="T246" s="1">
        <f ca="1">IFERROR(__xludf.DUMMYFUNCTION("""COMPUTED_VALUE"""),206)</f>
        <v>206</v>
      </c>
      <c r="U246" s="1">
        <f ca="1">IFERROR(__xludf.DUMMYFUNCTION("""COMPUTED_VALUE"""),571)</f>
        <v>571</v>
      </c>
      <c r="V246" s="1">
        <f ca="1">IFERROR(__xludf.DUMMYFUNCTION("""COMPUTED_VALUE"""),0.361)</f>
        <v>0.36099999999999999</v>
      </c>
      <c r="W246" s="1">
        <f ca="1">IFERROR(__xludf.DUMMYFUNCTION("""COMPUTED_VALUE"""),352)</f>
        <v>352</v>
      </c>
      <c r="X246" s="1">
        <f ca="1">IFERROR(__xludf.DUMMYFUNCTION("""COMPUTED_VALUE"""),497)</f>
        <v>497</v>
      </c>
      <c r="Y246" s="1">
        <f ca="1">IFERROR(__xludf.DUMMYFUNCTION("""COMPUTED_VALUE"""),0.708)</f>
        <v>0.70799999999999996</v>
      </c>
      <c r="Z246" s="1">
        <f ca="1">IFERROR(__xludf.DUMMYFUNCTION("""COMPUTED_VALUE"""),262)</f>
        <v>262</v>
      </c>
      <c r="AA246" s="1">
        <f ca="1">IFERROR(__xludf.DUMMYFUNCTION("""COMPUTED_VALUE"""),949)</f>
        <v>949</v>
      </c>
      <c r="AB246" s="1">
        <f ca="1">IFERROR(__xludf.DUMMYFUNCTION("""COMPUTED_VALUE"""),372)</f>
        <v>372</v>
      </c>
      <c r="AC246" s="1">
        <f ca="1">IFERROR(__xludf.DUMMYFUNCTION("""COMPUTED_VALUE"""),187)</f>
        <v>187</v>
      </c>
      <c r="AD246" s="1">
        <f ca="1">IFERROR(__xludf.DUMMYFUNCTION("""COMPUTED_VALUE"""),60)</f>
        <v>60</v>
      </c>
      <c r="AE246" s="1">
        <f ca="1">IFERROR(__xludf.DUMMYFUNCTION("""COMPUTED_VALUE"""),321)</f>
        <v>321</v>
      </c>
      <c r="AF246" s="1">
        <f ca="1">IFERROR(__xludf.DUMMYFUNCTION("""COMPUTED_VALUE"""),456)</f>
        <v>456</v>
      </c>
    </row>
    <row r="247" spans="1:32" x14ac:dyDescent="0.25">
      <c r="A247" s="1" t="str">
        <f ca="1">IFERROR(__xludf.DUMMYFUNCTION("""COMPUTED_VALUE"""),"Northern Colorado")</f>
        <v>Northern Colorado</v>
      </c>
      <c r="B247" s="1">
        <f ca="1">IFERROR(__xludf.DUMMYFUNCTION("""COMPUTED_VALUE"""),29)</f>
        <v>29</v>
      </c>
      <c r="C247" s="1">
        <f ca="1">IFERROR(__xludf.DUMMYFUNCTION("""COMPUTED_VALUE"""),20)</f>
        <v>20</v>
      </c>
      <c r="D247" s="1">
        <f ca="1">IFERROR(__xludf.DUMMYFUNCTION("""COMPUTED_VALUE"""),9)</f>
        <v>9</v>
      </c>
      <c r="E247" s="1">
        <f ca="1">IFERROR(__xludf.DUMMYFUNCTION("""COMPUTED_VALUE"""),0.69)</f>
        <v>0.69</v>
      </c>
      <c r="F247" s="1">
        <f ca="1">IFERROR(__xludf.DUMMYFUNCTION("""COMPUTED_VALUE"""),5.64)</f>
        <v>5.64</v>
      </c>
      <c r="G247" s="1">
        <f ca="1">IFERROR(__xludf.DUMMYFUNCTION("""COMPUTED_VALUE"""),-2.73)</f>
        <v>-2.73</v>
      </c>
      <c r="H247" s="1">
        <f ca="1">IFERROR(__xludf.DUMMYFUNCTION("""COMPUTED_VALUE"""),13)</f>
        <v>13</v>
      </c>
      <c r="I247" s="1">
        <f ca="1">IFERROR(__xludf.DUMMYFUNCTION("""COMPUTED_VALUE"""),5)</f>
        <v>5</v>
      </c>
      <c r="J247" s="1">
        <f ca="1">IFERROR(__xludf.DUMMYFUNCTION("""COMPUTED_VALUE"""),11)</f>
        <v>11</v>
      </c>
      <c r="K247" s="1">
        <f ca="1">IFERROR(__xludf.DUMMYFUNCTION("""COMPUTED_VALUE"""),3)</f>
        <v>3</v>
      </c>
      <c r="L247" s="1">
        <f ca="1">IFERROR(__xludf.DUMMYFUNCTION("""COMPUTED_VALUE"""),7)</f>
        <v>7</v>
      </c>
      <c r="M247" s="1">
        <f ca="1">IFERROR(__xludf.DUMMYFUNCTION("""COMPUTED_VALUE"""),5)</f>
        <v>5</v>
      </c>
      <c r="N247" s="1">
        <f ca="1">IFERROR(__xludf.DUMMYFUNCTION("""COMPUTED_VALUE"""),2157)</f>
        <v>2157</v>
      </c>
      <c r="O247" s="1">
        <f ca="1">IFERROR(__xludf.DUMMYFUNCTION("""COMPUTED_VALUE"""),1820)</f>
        <v>1820</v>
      </c>
      <c r="P247" s="1">
        <f ca="1">IFERROR(__xludf.DUMMYFUNCTION("""COMPUTED_VALUE"""),1170)</f>
        <v>1170</v>
      </c>
      <c r="Q247" s="1">
        <f ca="1">IFERROR(__xludf.DUMMYFUNCTION("""COMPUTED_VALUE"""),787)</f>
        <v>787</v>
      </c>
      <c r="R247" s="1">
        <f ca="1">IFERROR(__xludf.DUMMYFUNCTION("""COMPUTED_VALUE"""),1689)</f>
        <v>1689</v>
      </c>
      <c r="S247" s="1">
        <f ca="1">IFERROR(__xludf.DUMMYFUNCTION("""COMPUTED_VALUE"""),0.466)</f>
        <v>0.46600000000000003</v>
      </c>
      <c r="T247" s="1">
        <f ca="1">IFERROR(__xludf.DUMMYFUNCTION("""COMPUTED_VALUE"""),296)</f>
        <v>296</v>
      </c>
      <c r="U247" s="1">
        <f ca="1">IFERROR(__xludf.DUMMYFUNCTION("""COMPUTED_VALUE"""),782)</f>
        <v>782</v>
      </c>
      <c r="V247" s="1">
        <f ca="1">IFERROR(__xludf.DUMMYFUNCTION("""COMPUTED_VALUE"""),0.379)</f>
        <v>0.379</v>
      </c>
      <c r="W247" s="1">
        <f ca="1">IFERROR(__xludf.DUMMYFUNCTION("""COMPUTED_VALUE"""),287)</f>
        <v>287</v>
      </c>
      <c r="X247" s="1">
        <f ca="1">IFERROR(__xludf.DUMMYFUNCTION("""COMPUTED_VALUE"""),428)</f>
        <v>428</v>
      </c>
      <c r="Y247" s="1">
        <f ca="1">IFERROR(__xludf.DUMMYFUNCTION("""COMPUTED_VALUE"""),0.671)</f>
        <v>0.67100000000000004</v>
      </c>
      <c r="Z247" s="1">
        <f ca="1">IFERROR(__xludf.DUMMYFUNCTION("""COMPUTED_VALUE"""),250)</f>
        <v>250</v>
      </c>
      <c r="AA247" s="1">
        <f ca="1">IFERROR(__xludf.DUMMYFUNCTION("""COMPUTED_VALUE"""),990)</f>
        <v>990</v>
      </c>
      <c r="AB247" s="1">
        <f ca="1">IFERROR(__xludf.DUMMYFUNCTION("""COMPUTED_VALUE"""),390)</f>
        <v>390</v>
      </c>
      <c r="AC247" s="1">
        <f ca="1">IFERROR(__xludf.DUMMYFUNCTION("""COMPUTED_VALUE"""),150)</f>
        <v>150</v>
      </c>
      <c r="AD247" s="1">
        <f ca="1">IFERROR(__xludf.DUMMYFUNCTION("""COMPUTED_VALUE"""),69)</f>
        <v>69</v>
      </c>
      <c r="AE247" s="1">
        <f ca="1">IFERROR(__xludf.DUMMYFUNCTION("""COMPUTED_VALUE"""),292)</f>
        <v>292</v>
      </c>
      <c r="AF247" s="1">
        <f ca="1">IFERROR(__xludf.DUMMYFUNCTION("""COMPUTED_VALUE"""),439)</f>
        <v>439</v>
      </c>
    </row>
    <row r="248" spans="1:32" x14ac:dyDescent="0.25">
      <c r="A248" s="1" t="str">
        <f ca="1">IFERROR(__xludf.DUMMYFUNCTION("""COMPUTED_VALUE"""),"Northern Illinois")</f>
        <v>Northern Illinois</v>
      </c>
      <c r="B248" s="1">
        <f ca="1">IFERROR(__xludf.DUMMYFUNCTION("""COMPUTED_VALUE"""),29)</f>
        <v>29</v>
      </c>
      <c r="C248" s="1">
        <f ca="1">IFERROR(__xludf.DUMMYFUNCTION("""COMPUTED_VALUE"""),17)</f>
        <v>17</v>
      </c>
      <c r="D248" s="1">
        <f ca="1">IFERROR(__xludf.DUMMYFUNCTION("""COMPUTED_VALUE"""),12)</f>
        <v>12</v>
      </c>
      <c r="E248" s="1">
        <f ca="1">IFERROR(__xludf.DUMMYFUNCTION("""COMPUTED_VALUE"""),0.586)</f>
        <v>0.58599999999999997</v>
      </c>
      <c r="F248" s="1">
        <f ca="1">IFERROR(__xludf.DUMMYFUNCTION("""COMPUTED_VALUE"""),-1.45)</f>
        <v>-1.45</v>
      </c>
      <c r="G248" s="1">
        <f ca="1">IFERROR(__xludf.DUMMYFUNCTION("""COMPUTED_VALUE"""),-2.34)</f>
        <v>-2.34</v>
      </c>
      <c r="H248" s="1">
        <f ca="1">IFERROR(__xludf.DUMMYFUNCTION("""COMPUTED_VALUE"""),10)</f>
        <v>10</v>
      </c>
      <c r="I248" s="1">
        <f ca="1">IFERROR(__xludf.DUMMYFUNCTION("""COMPUTED_VALUE"""),6)</f>
        <v>6</v>
      </c>
      <c r="J248" s="1">
        <f ca="1">IFERROR(__xludf.DUMMYFUNCTION("""COMPUTED_VALUE"""),10)</f>
        <v>10</v>
      </c>
      <c r="K248" s="1">
        <f ca="1">IFERROR(__xludf.DUMMYFUNCTION("""COMPUTED_VALUE"""),3)</f>
        <v>3</v>
      </c>
      <c r="L248" s="1">
        <f ca="1">IFERROR(__xludf.DUMMYFUNCTION("""COMPUTED_VALUE"""),7)</f>
        <v>7</v>
      </c>
      <c r="M248" s="1">
        <f ca="1">IFERROR(__xludf.DUMMYFUNCTION("""COMPUTED_VALUE"""),9)</f>
        <v>9</v>
      </c>
      <c r="N248" s="1">
        <f ca="1">IFERROR(__xludf.DUMMYFUNCTION("""COMPUTED_VALUE"""),1946)</f>
        <v>1946</v>
      </c>
      <c r="O248" s="1">
        <f ca="1">IFERROR(__xludf.DUMMYFUNCTION("""COMPUTED_VALUE"""),1873)</f>
        <v>1873</v>
      </c>
      <c r="P248" s="1">
        <f ca="1">IFERROR(__xludf.DUMMYFUNCTION("""COMPUTED_VALUE"""),1165)</f>
        <v>1165</v>
      </c>
      <c r="Q248" s="1">
        <f ca="1">IFERROR(__xludf.DUMMYFUNCTION("""COMPUTED_VALUE"""),707)</f>
        <v>707</v>
      </c>
      <c r="R248" s="1">
        <f ca="1">IFERROR(__xludf.DUMMYFUNCTION("""COMPUTED_VALUE"""),1698)</f>
        <v>1698</v>
      </c>
      <c r="S248" s="1">
        <f ca="1">IFERROR(__xludf.DUMMYFUNCTION("""COMPUTED_VALUE"""),0.416)</f>
        <v>0.41599999999999998</v>
      </c>
      <c r="T248" s="1">
        <f ca="1">IFERROR(__xludf.DUMMYFUNCTION("""COMPUTED_VALUE"""),212)</f>
        <v>212</v>
      </c>
      <c r="U248" s="1">
        <f ca="1">IFERROR(__xludf.DUMMYFUNCTION("""COMPUTED_VALUE"""),617)</f>
        <v>617</v>
      </c>
      <c r="V248" s="1">
        <f ca="1">IFERROR(__xludf.DUMMYFUNCTION("""COMPUTED_VALUE"""),0.344)</f>
        <v>0.34399999999999997</v>
      </c>
      <c r="W248" s="1">
        <f ca="1">IFERROR(__xludf.DUMMYFUNCTION("""COMPUTED_VALUE"""),320)</f>
        <v>320</v>
      </c>
      <c r="X248" s="1">
        <f ca="1">IFERROR(__xludf.DUMMYFUNCTION("""COMPUTED_VALUE"""),478)</f>
        <v>478</v>
      </c>
      <c r="Y248" s="1">
        <f ca="1">IFERROR(__xludf.DUMMYFUNCTION("""COMPUTED_VALUE"""),0.669)</f>
        <v>0.66900000000000004</v>
      </c>
      <c r="Z248" s="1">
        <f ca="1">IFERROR(__xludf.DUMMYFUNCTION("""COMPUTED_VALUE"""),338)</f>
        <v>338</v>
      </c>
      <c r="AA248" s="1">
        <f ca="1">IFERROR(__xludf.DUMMYFUNCTION("""COMPUTED_VALUE"""),1121)</f>
        <v>1121</v>
      </c>
      <c r="AB248" s="1">
        <f ca="1">IFERROR(__xludf.DUMMYFUNCTION("""COMPUTED_VALUE"""),293)</f>
        <v>293</v>
      </c>
      <c r="AC248" s="1">
        <f ca="1">IFERROR(__xludf.DUMMYFUNCTION("""COMPUTED_VALUE"""),163)</f>
        <v>163</v>
      </c>
      <c r="AD248" s="1">
        <f ca="1">IFERROR(__xludf.DUMMYFUNCTION("""COMPUTED_VALUE"""),76)</f>
        <v>76</v>
      </c>
      <c r="AE248" s="1">
        <f ca="1">IFERROR(__xludf.DUMMYFUNCTION("""COMPUTED_VALUE"""),346)</f>
        <v>346</v>
      </c>
      <c r="AF248" s="1">
        <f ca="1">IFERROR(__xludf.DUMMYFUNCTION("""COMPUTED_VALUE"""),509)</f>
        <v>509</v>
      </c>
    </row>
    <row r="249" spans="1:32" x14ac:dyDescent="0.25">
      <c r="A249" s="1" t="str">
        <f ca="1">IFERROR(__xludf.DUMMYFUNCTION("""COMPUTED_VALUE"""),"Northern Iowa")</f>
        <v>Northern Iowa</v>
      </c>
      <c r="B249" s="1">
        <f ca="1">IFERROR(__xludf.DUMMYFUNCTION("""COMPUTED_VALUE"""),30)</f>
        <v>30</v>
      </c>
      <c r="C249" s="1">
        <f ca="1">IFERROR(__xludf.DUMMYFUNCTION("""COMPUTED_VALUE"""),25)</f>
        <v>25</v>
      </c>
      <c r="D249" s="1">
        <f ca="1">IFERROR(__xludf.DUMMYFUNCTION("""COMPUTED_VALUE"""),5)</f>
        <v>5</v>
      </c>
      <c r="E249" s="1">
        <f ca="1">IFERROR(__xludf.DUMMYFUNCTION("""COMPUTED_VALUE"""),0.833)</f>
        <v>0.83299999999999996</v>
      </c>
      <c r="F249" s="1">
        <f ca="1">IFERROR(__xludf.DUMMYFUNCTION("""COMPUTED_VALUE"""),10.89)</f>
        <v>10.89</v>
      </c>
      <c r="G249" s="1">
        <f ca="1">IFERROR(__xludf.DUMMYFUNCTION("""COMPUTED_VALUE"""),1.46)</f>
        <v>1.46</v>
      </c>
      <c r="H249" s="1">
        <f ca="1">IFERROR(__xludf.DUMMYFUNCTION("""COMPUTED_VALUE"""),14)</f>
        <v>14</v>
      </c>
      <c r="I249" s="1">
        <f ca="1">IFERROR(__xludf.DUMMYFUNCTION("""COMPUTED_VALUE"""),4)</f>
        <v>4</v>
      </c>
      <c r="J249" s="1">
        <f ca="1">IFERROR(__xludf.DUMMYFUNCTION("""COMPUTED_VALUE"""),16)</f>
        <v>16</v>
      </c>
      <c r="K249" s="1">
        <f ca="1">IFERROR(__xludf.DUMMYFUNCTION("""COMPUTED_VALUE"""),0)</f>
        <v>0</v>
      </c>
      <c r="L249" s="1">
        <f ca="1">IFERROR(__xludf.DUMMYFUNCTION("""COMPUTED_VALUE"""),8)</f>
        <v>8</v>
      </c>
      <c r="M249" s="1">
        <f ca="1">IFERROR(__xludf.DUMMYFUNCTION("""COMPUTED_VALUE"""),4)</f>
        <v>4</v>
      </c>
      <c r="N249" s="1">
        <f ca="1">IFERROR(__xludf.DUMMYFUNCTION("""COMPUTED_VALUE"""),2274)</f>
        <v>2274</v>
      </c>
      <c r="O249" s="1">
        <f ca="1">IFERROR(__xludf.DUMMYFUNCTION("""COMPUTED_VALUE"""),1929)</f>
        <v>1929</v>
      </c>
      <c r="P249" s="1">
        <f ca="1">IFERROR(__xludf.DUMMYFUNCTION("""COMPUTED_VALUE"""),1215)</f>
        <v>1215</v>
      </c>
      <c r="Q249" s="1">
        <f ca="1">IFERROR(__xludf.DUMMYFUNCTION("""COMPUTED_VALUE"""),823)</f>
        <v>823</v>
      </c>
      <c r="R249" s="1">
        <f ca="1">IFERROR(__xludf.DUMMYFUNCTION("""COMPUTED_VALUE"""),1708)</f>
        <v>1708</v>
      </c>
      <c r="S249" s="1">
        <f ca="1">IFERROR(__xludf.DUMMYFUNCTION("""COMPUTED_VALUE"""),0.482)</f>
        <v>0.48199999999999998</v>
      </c>
      <c r="T249" s="1">
        <f ca="1">IFERROR(__xludf.DUMMYFUNCTION("""COMPUTED_VALUE"""),282)</f>
        <v>282</v>
      </c>
      <c r="U249" s="1">
        <f ca="1">IFERROR(__xludf.DUMMYFUNCTION("""COMPUTED_VALUE"""),712)</f>
        <v>712</v>
      </c>
      <c r="V249" s="1">
        <f ca="1">IFERROR(__xludf.DUMMYFUNCTION("""COMPUTED_VALUE"""),0.396)</f>
        <v>0.39600000000000002</v>
      </c>
      <c r="W249" s="1">
        <f ca="1">IFERROR(__xludf.DUMMYFUNCTION("""COMPUTED_VALUE"""),346)</f>
        <v>346</v>
      </c>
      <c r="X249" s="1">
        <f ca="1">IFERROR(__xludf.DUMMYFUNCTION("""COMPUTED_VALUE"""),455)</f>
        <v>455</v>
      </c>
      <c r="Y249" s="1">
        <f ca="1">IFERROR(__xludf.DUMMYFUNCTION("""COMPUTED_VALUE"""),0.76)</f>
        <v>0.76</v>
      </c>
      <c r="Z249" s="1">
        <f ca="1">IFERROR(__xludf.DUMMYFUNCTION("""COMPUTED_VALUE"""),278)</f>
        <v>278</v>
      </c>
      <c r="AA249" s="1">
        <f ca="1">IFERROR(__xludf.DUMMYFUNCTION("""COMPUTED_VALUE"""),1126)</f>
        <v>1126</v>
      </c>
      <c r="AB249" s="1">
        <f ca="1">IFERROR(__xludf.DUMMYFUNCTION("""COMPUTED_VALUE"""),371)</f>
        <v>371</v>
      </c>
      <c r="AC249" s="1">
        <f ca="1">IFERROR(__xludf.DUMMYFUNCTION("""COMPUTED_VALUE"""),140)</f>
        <v>140</v>
      </c>
      <c r="AD249" s="1">
        <f ca="1">IFERROR(__xludf.DUMMYFUNCTION("""COMPUTED_VALUE"""),67)</f>
        <v>67</v>
      </c>
      <c r="AE249" s="1">
        <f ca="1">IFERROR(__xludf.DUMMYFUNCTION("""COMPUTED_VALUE"""),365)</f>
        <v>365</v>
      </c>
      <c r="AF249" s="1">
        <f ca="1">IFERROR(__xludf.DUMMYFUNCTION("""COMPUTED_VALUE"""),423)</f>
        <v>423</v>
      </c>
    </row>
    <row r="250" spans="1:32" x14ac:dyDescent="0.25">
      <c r="A250" s="1" t="str">
        <f ca="1">IFERROR(__xludf.DUMMYFUNCTION("""COMPUTED_VALUE"""),"Northern Kentucky")</f>
        <v>Northern Kentucky</v>
      </c>
      <c r="B250" s="1">
        <f ca="1">IFERROR(__xludf.DUMMYFUNCTION("""COMPUTED_VALUE"""),30)</f>
        <v>30</v>
      </c>
      <c r="C250" s="1">
        <f ca="1">IFERROR(__xludf.DUMMYFUNCTION("""COMPUTED_VALUE"""),21)</f>
        <v>21</v>
      </c>
      <c r="D250" s="1">
        <f ca="1">IFERROR(__xludf.DUMMYFUNCTION("""COMPUTED_VALUE"""),9)</f>
        <v>9</v>
      </c>
      <c r="E250" s="1">
        <f ca="1">IFERROR(__xludf.DUMMYFUNCTION("""COMPUTED_VALUE"""),0.7)</f>
        <v>0.7</v>
      </c>
      <c r="F250" s="1">
        <f ca="1">IFERROR(__xludf.DUMMYFUNCTION("""COMPUTED_VALUE"""),-0.12)</f>
        <v>-0.12</v>
      </c>
      <c r="G250" s="1">
        <f ca="1">IFERROR(__xludf.DUMMYFUNCTION("""COMPUTED_VALUE"""),-4.69)</f>
        <v>-4.6900000000000004</v>
      </c>
      <c r="H250" s="1">
        <f ca="1">IFERROR(__xludf.DUMMYFUNCTION("""COMPUTED_VALUE"""),13)</f>
        <v>13</v>
      </c>
      <c r="I250" s="1">
        <f ca="1">IFERROR(__xludf.DUMMYFUNCTION("""COMPUTED_VALUE"""),5)</f>
        <v>5</v>
      </c>
      <c r="J250" s="1">
        <f ca="1">IFERROR(__xludf.DUMMYFUNCTION("""COMPUTED_VALUE"""),11)</f>
        <v>11</v>
      </c>
      <c r="K250" s="1">
        <f ca="1">IFERROR(__xludf.DUMMYFUNCTION("""COMPUTED_VALUE"""),4)</f>
        <v>4</v>
      </c>
      <c r="L250" s="1">
        <f ca="1">IFERROR(__xludf.DUMMYFUNCTION("""COMPUTED_VALUE"""),10)</f>
        <v>10</v>
      </c>
      <c r="M250" s="1">
        <f ca="1">IFERROR(__xludf.DUMMYFUNCTION("""COMPUTED_VALUE"""),5)</f>
        <v>5</v>
      </c>
      <c r="N250" s="1">
        <f ca="1">IFERROR(__xludf.DUMMYFUNCTION("""COMPUTED_VALUE"""),2166)</f>
        <v>2166</v>
      </c>
      <c r="O250" s="1">
        <f ca="1">IFERROR(__xludf.DUMMYFUNCTION("""COMPUTED_VALUE"""),1958)</f>
        <v>1958</v>
      </c>
      <c r="P250" s="1">
        <f ca="1">IFERROR(__xludf.DUMMYFUNCTION("""COMPUTED_VALUE"""),1210)</f>
        <v>1210</v>
      </c>
      <c r="Q250" s="1">
        <f ca="1">IFERROR(__xludf.DUMMYFUNCTION("""COMPUTED_VALUE"""),761)</f>
        <v>761</v>
      </c>
      <c r="R250" s="1">
        <f ca="1">IFERROR(__xludf.DUMMYFUNCTION("""COMPUTED_VALUE"""),1766)</f>
        <v>1766</v>
      </c>
      <c r="S250" s="1">
        <f ca="1">IFERROR(__xludf.DUMMYFUNCTION("""COMPUTED_VALUE"""),0.431)</f>
        <v>0.43099999999999999</v>
      </c>
      <c r="T250" s="1">
        <f ca="1">IFERROR(__xludf.DUMMYFUNCTION("""COMPUTED_VALUE"""),247)</f>
        <v>247</v>
      </c>
      <c r="U250" s="1">
        <f ca="1">IFERROR(__xludf.DUMMYFUNCTION("""COMPUTED_VALUE"""),805)</f>
        <v>805</v>
      </c>
      <c r="V250" s="1">
        <f ca="1">IFERROR(__xludf.DUMMYFUNCTION("""COMPUTED_VALUE"""),0.307)</f>
        <v>0.307</v>
      </c>
      <c r="W250" s="1">
        <f ca="1">IFERROR(__xludf.DUMMYFUNCTION("""COMPUTED_VALUE"""),397)</f>
        <v>397</v>
      </c>
      <c r="X250" s="1">
        <f ca="1">IFERROR(__xludf.DUMMYFUNCTION("""COMPUTED_VALUE"""),579)</f>
        <v>579</v>
      </c>
      <c r="Y250" s="1">
        <f ca="1">IFERROR(__xludf.DUMMYFUNCTION("""COMPUTED_VALUE"""),0.686)</f>
        <v>0.68600000000000005</v>
      </c>
      <c r="Z250" s="1">
        <f ca="1">IFERROR(__xludf.DUMMYFUNCTION("""COMPUTED_VALUE"""),346)</f>
        <v>346</v>
      </c>
      <c r="AA250" s="1">
        <f ca="1">IFERROR(__xludf.DUMMYFUNCTION("""COMPUTED_VALUE"""),1107)</f>
        <v>1107</v>
      </c>
      <c r="AB250" s="1">
        <f ca="1">IFERROR(__xludf.DUMMYFUNCTION("""COMPUTED_VALUE"""),413)</f>
        <v>413</v>
      </c>
      <c r="AC250" s="1">
        <f ca="1">IFERROR(__xludf.DUMMYFUNCTION("""COMPUTED_VALUE"""),242)</f>
        <v>242</v>
      </c>
      <c r="AD250" s="1">
        <f ca="1">IFERROR(__xludf.DUMMYFUNCTION("""COMPUTED_VALUE"""),63)</f>
        <v>63</v>
      </c>
      <c r="AE250" s="1">
        <f ca="1">IFERROR(__xludf.DUMMYFUNCTION("""COMPUTED_VALUE"""),377)</f>
        <v>377</v>
      </c>
      <c r="AF250" s="1">
        <f ca="1">IFERROR(__xludf.DUMMYFUNCTION("""COMPUTED_VALUE"""),537)</f>
        <v>537</v>
      </c>
    </row>
    <row r="251" spans="1:32" x14ac:dyDescent="0.25">
      <c r="A251" s="1" t="str">
        <f ca="1">IFERROR(__xludf.DUMMYFUNCTION("""COMPUTED_VALUE"""),"Northwestern State")</f>
        <v>Northwestern State</v>
      </c>
      <c r="B251" s="1">
        <f ca="1">IFERROR(__xludf.DUMMYFUNCTION("""COMPUTED_VALUE"""),27)</f>
        <v>27</v>
      </c>
      <c r="C251" s="1">
        <f ca="1">IFERROR(__xludf.DUMMYFUNCTION("""COMPUTED_VALUE"""),12)</f>
        <v>12</v>
      </c>
      <c r="D251" s="1">
        <f ca="1">IFERROR(__xludf.DUMMYFUNCTION("""COMPUTED_VALUE"""),15)</f>
        <v>15</v>
      </c>
      <c r="E251" s="1">
        <f ca="1">IFERROR(__xludf.DUMMYFUNCTION("""COMPUTED_VALUE"""),0.444)</f>
        <v>0.44400000000000001</v>
      </c>
      <c r="F251" s="1">
        <f ca="1">IFERROR(__xludf.DUMMYFUNCTION("""COMPUTED_VALUE"""),-12.02)</f>
        <v>-12.02</v>
      </c>
      <c r="G251" s="1">
        <f ca="1">IFERROR(__xludf.DUMMYFUNCTION("""COMPUTED_VALUE"""),-6.48)</f>
        <v>-6.48</v>
      </c>
      <c r="H251" s="1">
        <f ca="1">IFERROR(__xludf.DUMMYFUNCTION("""COMPUTED_VALUE"""),9)</f>
        <v>9</v>
      </c>
      <c r="I251" s="1">
        <f ca="1">IFERROR(__xludf.DUMMYFUNCTION("""COMPUTED_VALUE"""),9)</f>
        <v>9</v>
      </c>
      <c r="J251" s="1">
        <f ca="1">IFERROR(__xludf.DUMMYFUNCTION("""COMPUTED_VALUE"""),8)</f>
        <v>8</v>
      </c>
      <c r="K251" s="1">
        <f ca="1">IFERROR(__xludf.DUMMYFUNCTION("""COMPUTED_VALUE"""),5)</f>
        <v>5</v>
      </c>
      <c r="L251" s="1">
        <f ca="1">IFERROR(__xludf.DUMMYFUNCTION("""COMPUTED_VALUE"""),4)</f>
        <v>4</v>
      </c>
      <c r="M251" s="1">
        <f ca="1">IFERROR(__xludf.DUMMYFUNCTION("""COMPUTED_VALUE"""),10)</f>
        <v>10</v>
      </c>
      <c r="N251" s="1">
        <f ca="1">IFERROR(__xludf.DUMMYFUNCTION("""COMPUTED_VALUE"""),1991)</f>
        <v>1991</v>
      </c>
      <c r="O251" s="1">
        <f ca="1">IFERROR(__xludf.DUMMYFUNCTION("""COMPUTED_VALUE"""),2050)</f>
        <v>2050</v>
      </c>
      <c r="P251" s="1">
        <f ca="1">IFERROR(__xludf.DUMMYFUNCTION("""COMPUTED_VALUE"""),1085)</f>
        <v>1085</v>
      </c>
      <c r="Q251" s="1">
        <f ca="1">IFERROR(__xludf.DUMMYFUNCTION("""COMPUTED_VALUE"""),712)</f>
        <v>712</v>
      </c>
      <c r="R251" s="1">
        <f ca="1">IFERROR(__xludf.DUMMYFUNCTION("""COMPUTED_VALUE"""),1620)</f>
        <v>1620</v>
      </c>
      <c r="S251" s="1">
        <f ca="1">IFERROR(__xludf.DUMMYFUNCTION("""COMPUTED_VALUE"""),0.44)</f>
        <v>0.44</v>
      </c>
      <c r="T251" s="1">
        <f ca="1">IFERROR(__xludf.DUMMYFUNCTION("""COMPUTED_VALUE"""),207)</f>
        <v>207</v>
      </c>
      <c r="U251" s="1">
        <f ca="1">IFERROR(__xludf.DUMMYFUNCTION("""COMPUTED_VALUE"""),585)</f>
        <v>585</v>
      </c>
      <c r="V251" s="1">
        <f ca="1">IFERROR(__xludf.DUMMYFUNCTION("""COMPUTED_VALUE"""),0.354)</f>
        <v>0.35399999999999998</v>
      </c>
      <c r="W251" s="1">
        <f ca="1">IFERROR(__xludf.DUMMYFUNCTION("""COMPUTED_VALUE"""),360)</f>
        <v>360</v>
      </c>
      <c r="X251" s="1">
        <f ca="1">IFERROR(__xludf.DUMMYFUNCTION("""COMPUTED_VALUE"""),500)</f>
        <v>500</v>
      </c>
      <c r="Y251" s="1">
        <f ca="1">IFERROR(__xludf.DUMMYFUNCTION("""COMPUTED_VALUE"""),0.72)</f>
        <v>0.72</v>
      </c>
      <c r="Z251" s="1">
        <f ca="1">IFERROR(__xludf.DUMMYFUNCTION("""COMPUTED_VALUE"""),297)</f>
        <v>297</v>
      </c>
      <c r="AA251" s="1">
        <f ca="1">IFERROR(__xludf.DUMMYFUNCTION("""COMPUTED_VALUE"""),1045)</f>
        <v>1045</v>
      </c>
      <c r="AB251" s="1">
        <f ca="1">IFERROR(__xludf.DUMMYFUNCTION("""COMPUTED_VALUE"""),350)</f>
        <v>350</v>
      </c>
      <c r="AC251" s="1">
        <f ca="1">IFERROR(__xludf.DUMMYFUNCTION("""COMPUTED_VALUE"""),151)</f>
        <v>151</v>
      </c>
      <c r="AD251" s="1">
        <f ca="1">IFERROR(__xludf.DUMMYFUNCTION("""COMPUTED_VALUE"""),122)</f>
        <v>122</v>
      </c>
      <c r="AE251" s="1">
        <f ca="1">IFERROR(__xludf.DUMMYFUNCTION("""COMPUTED_VALUE"""),460)</f>
        <v>460</v>
      </c>
      <c r="AF251" s="1">
        <f ca="1">IFERROR(__xludf.DUMMYFUNCTION("""COMPUTED_VALUE"""),528)</f>
        <v>528</v>
      </c>
    </row>
    <row r="252" spans="1:32" x14ac:dyDescent="0.25">
      <c r="A252" s="1" t="str">
        <f ca="1">IFERROR(__xludf.DUMMYFUNCTION("""COMPUTED_VALUE"""),"Northwestern")</f>
        <v>Northwestern</v>
      </c>
      <c r="B252" s="1">
        <f ca="1">IFERROR(__xludf.DUMMYFUNCTION("""COMPUTED_VALUE"""),28)</f>
        <v>28</v>
      </c>
      <c r="C252" s="1">
        <f ca="1">IFERROR(__xludf.DUMMYFUNCTION("""COMPUTED_VALUE"""),7)</f>
        <v>7</v>
      </c>
      <c r="D252" s="1">
        <f ca="1">IFERROR(__xludf.DUMMYFUNCTION("""COMPUTED_VALUE"""),21)</f>
        <v>21</v>
      </c>
      <c r="E252" s="1">
        <f ca="1">IFERROR(__xludf.DUMMYFUNCTION("""COMPUTED_VALUE"""),0.25)</f>
        <v>0.25</v>
      </c>
      <c r="F252" s="1">
        <f ca="1">IFERROR(__xludf.DUMMYFUNCTION("""COMPUTED_VALUE"""),5.01)</f>
        <v>5.01</v>
      </c>
      <c r="G252" s="1">
        <f ca="1">IFERROR(__xludf.DUMMYFUNCTION("""COMPUTED_VALUE"""),9.97)</f>
        <v>9.9700000000000006</v>
      </c>
      <c r="H252" s="1">
        <f ca="1">IFERROR(__xludf.DUMMYFUNCTION("""COMPUTED_VALUE"""),2)</f>
        <v>2</v>
      </c>
      <c r="I252" s="1">
        <f ca="1">IFERROR(__xludf.DUMMYFUNCTION("""COMPUTED_VALUE"""),16)</f>
        <v>16</v>
      </c>
      <c r="J252" s="1">
        <f ca="1">IFERROR(__xludf.DUMMYFUNCTION("""COMPUTED_VALUE"""),4)</f>
        <v>4</v>
      </c>
      <c r="K252" s="1">
        <f ca="1">IFERROR(__xludf.DUMMYFUNCTION("""COMPUTED_VALUE"""),11)</f>
        <v>11</v>
      </c>
      <c r="L252" s="1">
        <f ca="1">IFERROR(__xludf.DUMMYFUNCTION("""COMPUTED_VALUE"""),2)</f>
        <v>2</v>
      </c>
      <c r="M252" s="1">
        <f ca="1">IFERROR(__xludf.DUMMYFUNCTION("""COMPUTED_VALUE"""),9)</f>
        <v>9</v>
      </c>
      <c r="N252" s="1">
        <f ca="1">IFERROR(__xludf.DUMMYFUNCTION("""COMPUTED_VALUE"""),1827)</f>
        <v>1827</v>
      </c>
      <c r="O252" s="1">
        <f ca="1">IFERROR(__xludf.DUMMYFUNCTION("""COMPUTED_VALUE"""),1966)</f>
        <v>1966</v>
      </c>
      <c r="P252" s="1">
        <f ca="1">IFERROR(__xludf.DUMMYFUNCTION("""COMPUTED_VALUE"""),1130)</f>
        <v>1130</v>
      </c>
      <c r="Q252" s="1">
        <f ca="1">IFERROR(__xludf.DUMMYFUNCTION("""COMPUTED_VALUE"""),677)</f>
        <v>677</v>
      </c>
      <c r="R252" s="1">
        <f ca="1">IFERROR(__xludf.DUMMYFUNCTION("""COMPUTED_VALUE"""),1619)</f>
        <v>1619</v>
      </c>
      <c r="S252" s="1">
        <f ca="1">IFERROR(__xludf.DUMMYFUNCTION("""COMPUTED_VALUE"""),0.418)</f>
        <v>0.41799999999999998</v>
      </c>
      <c r="T252" s="1">
        <f ca="1">IFERROR(__xludf.DUMMYFUNCTION("""COMPUTED_VALUE"""),170)</f>
        <v>170</v>
      </c>
      <c r="U252" s="1">
        <f ca="1">IFERROR(__xludf.DUMMYFUNCTION("""COMPUTED_VALUE"""),550)</f>
        <v>550</v>
      </c>
      <c r="V252" s="1">
        <f ca="1">IFERROR(__xludf.DUMMYFUNCTION("""COMPUTED_VALUE"""),0.309)</f>
        <v>0.309</v>
      </c>
      <c r="W252" s="1">
        <f ca="1">IFERROR(__xludf.DUMMYFUNCTION("""COMPUTED_VALUE"""),303)</f>
        <v>303</v>
      </c>
      <c r="X252" s="1">
        <f ca="1">IFERROR(__xludf.DUMMYFUNCTION("""COMPUTED_VALUE"""),415)</f>
        <v>415</v>
      </c>
      <c r="Y252" s="1">
        <f ca="1">IFERROR(__xludf.DUMMYFUNCTION("""COMPUTED_VALUE"""),0.73)</f>
        <v>0.73</v>
      </c>
      <c r="Z252" s="1">
        <f ca="1">IFERROR(__xludf.DUMMYFUNCTION("""COMPUTED_VALUE"""),223)</f>
        <v>223</v>
      </c>
      <c r="AA252" s="1">
        <f ca="1">IFERROR(__xludf.DUMMYFUNCTION("""COMPUTED_VALUE"""),938)</f>
        <v>938</v>
      </c>
      <c r="AB252" s="1">
        <f ca="1">IFERROR(__xludf.DUMMYFUNCTION("""COMPUTED_VALUE"""),381)</f>
        <v>381</v>
      </c>
      <c r="AC252" s="1">
        <f ca="1">IFERROR(__xludf.DUMMYFUNCTION("""COMPUTED_VALUE"""),115)</f>
        <v>115</v>
      </c>
      <c r="AD252" s="1">
        <f ca="1">IFERROR(__xludf.DUMMYFUNCTION("""COMPUTED_VALUE"""),85)</f>
        <v>85</v>
      </c>
      <c r="AE252" s="1">
        <f ca="1">IFERROR(__xludf.DUMMYFUNCTION("""COMPUTED_VALUE"""),297)</f>
        <v>297</v>
      </c>
      <c r="AF252" s="1">
        <f ca="1">IFERROR(__xludf.DUMMYFUNCTION("""COMPUTED_VALUE"""),472)</f>
        <v>472</v>
      </c>
    </row>
    <row r="253" spans="1:32" x14ac:dyDescent="0.25">
      <c r="A253" s="1" t="str">
        <f ca="1">IFERROR(__xludf.DUMMYFUNCTION("""COMPUTED_VALUE"""),"Notre Dame")</f>
        <v>Notre Dame</v>
      </c>
      <c r="B253" s="1">
        <f ca="1">IFERROR(__xludf.DUMMYFUNCTION("""COMPUTED_VALUE"""),29)</f>
        <v>29</v>
      </c>
      <c r="C253" s="1">
        <f ca="1">IFERROR(__xludf.DUMMYFUNCTION("""COMPUTED_VALUE"""),18)</f>
        <v>18</v>
      </c>
      <c r="D253" s="1">
        <f ca="1">IFERROR(__xludf.DUMMYFUNCTION("""COMPUTED_VALUE"""),11)</f>
        <v>11</v>
      </c>
      <c r="E253" s="1">
        <f ca="1">IFERROR(__xludf.DUMMYFUNCTION("""COMPUTED_VALUE"""),0.621)</f>
        <v>0.621</v>
      </c>
      <c r="F253" s="1">
        <f ca="1">IFERROR(__xludf.DUMMYFUNCTION("""COMPUTED_VALUE"""),10.5)</f>
        <v>10.5</v>
      </c>
      <c r="G253" s="1">
        <f ca="1">IFERROR(__xludf.DUMMYFUNCTION("""COMPUTED_VALUE"""),5.29)</f>
        <v>5.29</v>
      </c>
      <c r="H253" s="1">
        <f ca="1">IFERROR(__xludf.DUMMYFUNCTION("""COMPUTED_VALUE"""),9)</f>
        <v>9</v>
      </c>
      <c r="I253" s="1">
        <f ca="1">IFERROR(__xludf.DUMMYFUNCTION("""COMPUTED_VALUE"""),9)</f>
        <v>9</v>
      </c>
      <c r="J253" s="1">
        <f ca="1">IFERROR(__xludf.DUMMYFUNCTION("""COMPUTED_VALUE"""),14)</f>
        <v>14</v>
      </c>
      <c r="K253" s="1">
        <f ca="1">IFERROR(__xludf.DUMMYFUNCTION("""COMPUTED_VALUE"""),3)</f>
        <v>3</v>
      </c>
      <c r="L253" s="1">
        <f ca="1">IFERROR(__xludf.DUMMYFUNCTION("""COMPUTED_VALUE"""),4)</f>
        <v>4</v>
      </c>
      <c r="M253" s="1">
        <f ca="1">IFERROR(__xludf.DUMMYFUNCTION("""COMPUTED_VALUE"""),7)</f>
        <v>7</v>
      </c>
      <c r="N253" s="1">
        <f ca="1">IFERROR(__xludf.DUMMYFUNCTION("""COMPUTED_VALUE"""),2161)</f>
        <v>2161</v>
      </c>
      <c r="O253" s="1">
        <f ca="1">IFERROR(__xludf.DUMMYFUNCTION("""COMPUTED_VALUE"""),2010)</f>
        <v>2010</v>
      </c>
      <c r="P253" s="1">
        <f ca="1">IFERROR(__xludf.DUMMYFUNCTION("""COMPUTED_VALUE"""),1170)</f>
        <v>1170</v>
      </c>
      <c r="Q253" s="1">
        <f ca="1">IFERROR(__xludf.DUMMYFUNCTION("""COMPUTED_VALUE"""),773)</f>
        <v>773</v>
      </c>
      <c r="R253" s="1">
        <f ca="1">IFERROR(__xludf.DUMMYFUNCTION("""COMPUTED_VALUE"""),1819)</f>
        <v>1819</v>
      </c>
      <c r="S253" s="1">
        <f ca="1">IFERROR(__xludf.DUMMYFUNCTION("""COMPUTED_VALUE"""),0.425)</f>
        <v>0.42499999999999999</v>
      </c>
      <c r="T253" s="1">
        <f ca="1">IFERROR(__xludf.DUMMYFUNCTION("""COMPUTED_VALUE"""),279)</f>
        <v>279</v>
      </c>
      <c r="U253" s="1">
        <f ca="1">IFERROR(__xludf.DUMMYFUNCTION("""COMPUTED_VALUE"""),816)</f>
        <v>816</v>
      </c>
      <c r="V253" s="1">
        <f ca="1">IFERROR(__xludf.DUMMYFUNCTION("""COMPUTED_VALUE"""),0.342)</f>
        <v>0.34200000000000003</v>
      </c>
      <c r="W253" s="1">
        <f ca="1">IFERROR(__xludf.DUMMYFUNCTION("""COMPUTED_VALUE"""),336)</f>
        <v>336</v>
      </c>
      <c r="X253" s="1">
        <f ca="1">IFERROR(__xludf.DUMMYFUNCTION("""COMPUTED_VALUE"""),461)</f>
        <v>461</v>
      </c>
      <c r="Y253" s="1">
        <f ca="1">IFERROR(__xludf.DUMMYFUNCTION("""COMPUTED_VALUE"""),0.729)</f>
        <v>0.72899999999999998</v>
      </c>
      <c r="Z253" s="1">
        <f ca="1">IFERROR(__xludf.DUMMYFUNCTION("""COMPUTED_VALUE"""),295)</f>
        <v>295</v>
      </c>
      <c r="AA253" s="1">
        <f ca="1">IFERROR(__xludf.DUMMYFUNCTION("""COMPUTED_VALUE"""),1088)</f>
        <v>1088</v>
      </c>
      <c r="AB253" s="1">
        <f ca="1">IFERROR(__xludf.DUMMYFUNCTION("""COMPUTED_VALUE"""),481)</f>
        <v>481</v>
      </c>
      <c r="AC253" s="1">
        <f ca="1">IFERROR(__xludf.DUMMYFUNCTION("""COMPUTED_VALUE"""),170)</f>
        <v>170</v>
      </c>
      <c r="AD253" s="1">
        <f ca="1">IFERROR(__xludf.DUMMYFUNCTION("""COMPUTED_VALUE"""),109)</f>
        <v>109</v>
      </c>
      <c r="AE253" s="1">
        <f ca="1">IFERROR(__xludf.DUMMYFUNCTION("""COMPUTED_VALUE"""),276)</f>
        <v>276</v>
      </c>
      <c r="AF253" s="1">
        <f ca="1">IFERROR(__xludf.DUMMYFUNCTION("""COMPUTED_VALUE"""),361)</f>
        <v>361</v>
      </c>
    </row>
    <row r="254" spans="1:32" x14ac:dyDescent="0.25">
      <c r="A254" s="1" t="str">
        <f ca="1">IFERROR(__xludf.DUMMYFUNCTION("""COMPUTED_VALUE"""),"Oakland")</f>
        <v>Oakland</v>
      </c>
      <c r="B254" s="1">
        <f ca="1">IFERROR(__xludf.DUMMYFUNCTION("""COMPUTED_VALUE"""),31)</f>
        <v>31</v>
      </c>
      <c r="C254" s="1">
        <f ca="1">IFERROR(__xludf.DUMMYFUNCTION("""COMPUTED_VALUE"""),13)</f>
        <v>13</v>
      </c>
      <c r="D254" s="1">
        <f ca="1">IFERROR(__xludf.DUMMYFUNCTION("""COMPUTED_VALUE"""),18)</f>
        <v>18</v>
      </c>
      <c r="E254" s="1">
        <f ca="1">IFERROR(__xludf.DUMMYFUNCTION("""COMPUTED_VALUE"""),0.419)</f>
        <v>0.41899999999999998</v>
      </c>
      <c r="F254" s="1">
        <f ca="1">IFERROR(__xludf.DUMMYFUNCTION("""COMPUTED_VALUE"""),-5.98)</f>
        <v>-5.98</v>
      </c>
      <c r="G254" s="1">
        <f ca="1">IFERROR(__xludf.DUMMYFUNCTION("""COMPUTED_VALUE"""),-2.78)</f>
        <v>-2.78</v>
      </c>
      <c r="H254" s="1">
        <f ca="1">IFERROR(__xludf.DUMMYFUNCTION("""COMPUTED_VALUE"""),8)</f>
        <v>8</v>
      </c>
      <c r="I254" s="1">
        <f ca="1">IFERROR(__xludf.DUMMYFUNCTION("""COMPUTED_VALUE"""),10)</f>
        <v>10</v>
      </c>
      <c r="J254" s="1">
        <f ca="1">IFERROR(__xludf.DUMMYFUNCTION("""COMPUTED_VALUE"""),7)</f>
        <v>7</v>
      </c>
      <c r="K254" s="1">
        <f ca="1">IFERROR(__xludf.DUMMYFUNCTION("""COMPUTED_VALUE"""),5)</f>
        <v>5</v>
      </c>
      <c r="L254" s="1">
        <f ca="1">IFERROR(__xludf.DUMMYFUNCTION("""COMPUTED_VALUE"""),4)</f>
        <v>4</v>
      </c>
      <c r="M254" s="1">
        <f ca="1">IFERROR(__xludf.DUMMYFUNCTION("""COMPUTED_VALUE"""),11)</f>
        <v>11</v>
      </c>
      <c r="N254" s="1">
        <f ca="1">IFERROR(__xludf.DUMMYFUNCTION("""COMPUTED_VALUE"""),2096)</f>
        <v>2096</v>
      </c>
      <c r="O254" s="1">
        <f ca="1">IFERROR(__xludf.DUMMYFUNCTION("""COMPUTED_VALUE"""),2164)</f>
        <v>2164</v>
      </c>
      <c r="P254" s="1">
        <f ca="1">IFERROR(__xludf.DUMMYFUNCTION("""COMPUTED_VALUE"""),1260)</f>
        <v>1260</v>
      </c>
      <c r="Q254" s="1">
        <f ca="1">IFERROR(__xludf.DUMMYFUNCTION("""COMPUTED_VALUE"""),731)</f>
        <v>731</v>
      </c>
      <c r="R254" s="1">
        <f ca="1">IFERROR(__xludf.DUMMYFUNCTION("""COMPUTED_VALUE"""),1708)</f>
        <v>1708</v>
      </c>
      <c r="S254" s="1">
        <f ca="1">IFERROR(__xludf.DUMMYFUNCTION("""COMPUTED_VALUE"""),0.428)</f>
        <v>0.42799999999999999</v>
      </c>
      <c r="T254" s="1">
        <f ca="1">IFERROR(__xludf.DUMMYFUNCTION("""COMPUTED_VALUE"""),191)</f>
        <v>191</v>
      </c>
      <c r="U254" s="1">
        <f ca="1">IFERROR(__xludf.DUMMYFUNCTION("""COMPUTED_VALUE"""),637)</f>
        <v>637</v>
      </c>
      <c r="V254" s="1">
        <f ca="1">IFERROR(__xludf.DUMMYFUNCTION("""COMPUTED_VALUE"""),0.3)</f>
        <v>0.3</v>
      </c>
      <c r="W254" s="1">
        <f ca="1">IFERROR(__xludf.DUMMYFUNCTION("""COMPUTED_VALUE"""),443)</f>
        <v>443</v>
      </c>
      <c r="X254" s="1">
        <f ca="1">IFERROR(__xludf.DUMMYFUNCTION("""COMPUTED_VALUE"""),647)</f>
        <v>647</v>
      </c>
      <c r="Y254" s="1">
        <f ca="1">IFERROR(__xludf.DUMMYFUNCTION("""COMPUTED_VALUE"""),0.685)</f>
        <v>0.68500000000000005</v>
      </c>
      <c r="Z254" s="1">
        <f ca="1">IFERROR(__xludf.DUMMYFUNCTION("""COMPUTED_VALUE"""),320)</f>
        <v>320</v>
      </c>
      <c r="AA254" s="1">
        <f ca="1">IFERROR(__xludf.DUMMYFUNCTION("""COMPUTED_VALUE"""),1124)</f>
        <v>1124</v>
      </c>
      <c r="AB254" s="1">
        <f ca="1">IFERROR(__xludf.DUMMYFUNCTION("""COMPUTED_VALUE"""),421)</f>
        <v>421</v>
      </c>
      <c r="AC254" s="1">
        <f ca="1">IFERROR(__xludf.DUMMYFUNCTION("""COMPUTED_VALUE"""),182)</f>
        <v>182</v>
      </c>
      <c r="AD254" s="1">
        <f ca="1">IFERROR(__xludf.DUMMYFUNCTION("""COMPUTED_VALUE"""),94)</f>
        <v>94</v>
      </c>
      <c r="AE254" s="1">
        <f ca="1">IFERROR(__xludf.DUMMYFUNCTION("""COMPUTED_VALUE"""),427)</f>
        <v>427</v>
      </c>
      <c r="AF254" s="1">
        <f ca="1">IFERROR(__xludf.DUMMYFUNCTION("""COMPUTED_VALUE"""),487)</f>
        <v>487</v>
      </c>
    </row>
    <row r="255" spans="1:32" x14ac:dyDescent="0.25">
      <c r="A255" s="1" t="str">
        <f ca="1">IFERROR(__xludf.DUMMYFUNCTION("""COMPUTED_VALUE"""),"Ohio State")</f>
        <v>Ohio State</v>
      </c>
      <c r="B255" s="1">
        <f ca="1">IFERROR(__xludf.DUMMYFUNCTION("""COMPUTED_VALUE"""),29)</f>
        <v>29</v>
      </c>
      <c r="C255" s="1">
        <f ca="1">IFERROR(__xludf.DUMMYFUNCTION("""COMPUTED_VALUE"""),20)</f>
        <v>20</v>
      </c>
      <c r="D255" s="1">
        <f ca="1">IFERROR(__xludf.DUMMYFUNCTION("""COMPUTED_VALUE"""),9)</f>
        <v>9</v>
      </c>
      <c r="E255" s="1">
        <f ca="1">IFERROR(__xludf.DUMMYFUNCTION("""COMPUTED_VALUE"""),0.69)</f>
        <v>0.69</v>
      </c>
      <c r="F255" s="1">
        <f ca="1">IFERROR(__xludf.DUMMYFUNCTION("""COMPUTED_VALUE"""),19.59)</f>
        <v>19.59</v>
      </c>
      <c r="G255" s="1">
        <f ca="1">IFERROR(__xludf.DUMMYFUNCTION("""COMPUTED_VALUE"""),9.73)</f>
        <v>9.73</v>
      </c>
      <c r="H255" s="1">
        <f ca="1">IFERROR(__xludf.DUMMYFUNCTION("""COMPUTED_VALUE"""),10)</f>
        <v>10</v>
      </c>
      <c r="I255" s="1">
        <f ca="1">IFERROR(__xludf.DUMMYFUNCTION("""COMPUTED_VALUE"""),8)</f>
        <v>8</v>
      </c>
      <c r="J255" s="1">
        <f ca="1">IFERROR(__xludf.DUMMYFUNCTION("""COMPUTED_VALUE"""),14)</f>
        <v>14</v>
      </c>
      <c r="K255" s="1">
        <f ca="1">IFERROR(__xludf.DUMMYFUNCTION("""COMPUTED_VALUE"""),2)</f>
        <v>2</v>
      </c>
      <c r="L255" s="1">
        <f ca="1">IFERROR(__xludf.DUMMYFUNCTION("""COMPUTED_VALUE"""),4)</f>
        <v>4</v>
      </c>
      <c r="M255" s="1">
        <f ca="1">IFERROR(__xludf.DUMMYFUNCTION("""COMPUTED_VALUE"""),6)</f>
        <v>6</v>
      </c>
      <c r="N255" s="1">
        <f ca="1">IFERROR(__xludf.DUMMYFUNCTION("""COMPUTED_VALUE"""),2094)</f>
        <v>2094</v>
      </c>
      <c r="O255" s="1">
        <f ca="1">IFERROR(__xludf.DUMMYFUNCTION("""COMPUTED_VALUE"""),1808)</f>
        <v>1808</v>
      </c>
      <c r="P255" s="1">
        <f ca="1">IFERROR(__xludf.DUMMYFUNCTION("""COMPUTED_VALUE"""),1160)</f>
        <v>1160</v>
      </c>
      <c r="Q255" s="1">
        <f ca="1">IFERROR(__xludf.DUMMYFUNCTION("""COMPUTED_VALUE"""),707)</f>
        <v>707</v>
      </c>
      <c r="R255" s="1">
        <f ca="1">IFERROR(__xludf.DUMMYFUNCTION("""COMPUTED_VALUE"""),1580)</f>
        <v>1580</v>
      </c>
      <c r="S255" s="1">
        <f ca="1">IFERROR(__xludf.DUMMYFUNCTION("""COMPUTED_VALUE"""),0.447)</f>
        <v>0.44700000000000001</v>
      </c>
      <c r="T255" s="1">
        <f ca="1">IFERROR(__xludf.DUMMYFUNCTION("""COMPUTED_VALUE"""),253)</f>
        <v>253</v>
      </c>
      <c r="U255" s="1">
        <f ca="1">IFERROR(__xludf.DUMMYFUNCTION("""COMPUTED_VALUE"""),669)</f>
        <v>669</v>
      </c>
      <c r="V255" s="1">
        <f ca="1">IFERROR(__xludf.DUMMYFUNCTION("""COMPUTED_VALUE"""),0.378)</f>
        <v>0.378</v>
      </c>
      <c r="W255" s="1">
        <f ca="1">IFERROR(__xludf.DUMMYFUNCTION("""COMPUTED_VALUE"""),427)</f>
        <v>427</v>
      </c>
      <c r="X255" s="1">
        <f ca="1">IFERROR(__xludf.DUMMYFUNCTION("""COMPUTED_VALUE"""),574)</f>
        <v>574</v>
      </c>
      <c r="Y255" s="1">
        <f ca="1">IFERROR(__xludf.DUMMYFUNCTION("""COMPUTED_VALUE"""),0.744)</f>
        <v>0.74399999999999999</v>
      </c>
      <c r="Z255" s="1">
        <f ca="1">IFERROR(__xludf.DUMMYFUNCTION("""COMPUTED_VALUE"""),286)</f>
        <v>286</v>
      </c>
      <c r="AA255" s="1">
        <f ca="1">IFERROR(__xludf.DUMMYFUNCTION("""COMPUTED_VALUE"""),1072)</f>
        <v>1072</v>
      </c>
      <c r="AB255" s="1">
        <f ca="1">IFERROR(__xludf.DUMMYFUNCTION("""COMPUTED_VALUE"""),395)</f>
        <v>395</v>
      </c>
      <c r="AC255" s="1">
        <f ca="1">IFERROR(__xludf.DUMMYFUNCTION("""COMPUTED_VALUE"""),142)</f>
        <v>142</v>
      </c>
      <c r="AD255" s="1">
        <f ca="1">IFERROR(__xludf.DUMMYFUNCTION("""COMPUTED_VALUE"""),104)</f>
        <v>104</v>
      </c>
      <c r="AE255" s="1">
        <f ca="1">IFERROR(__xludf.DUMMYFUNCTION("""COMPUTED_VALUE"""),374)</f>
        <v>374</v>
      </c>
      <c r="AF255" s="1">
        <f ca="1">IFERROR(__xludf.DUMMYFUNCTION("""COMPUTED_VALUE"""),500)</f>
        <v>500</v>
      </c>
    </row>
    <row r="256" spans="1:32" x14ac:dyDescent="0.25">
      <c r="A256" s="1" t="str">
        <f ca="1">IFERROR(__xludf.DUMMYFUNCTION("""COMPUTED_VALUE"""),"Ohio")</f>
        <v>Ohio</v>
      </c>
      <c r="B256" s="1">
        <f ca="1">IFERROR(__xludf.DUMMYFUNCTION("""COMPUTED_VALUE"""),29)</f>
        <v>29</v>
      </c>
      <c r="C256" s="1">
        <f ca="1">IFERROR(__xludf.DUMMYFUNCTION("""COMPUTED_VALUE"""),15)</f>
        <v>15</v>
      </c>
      <c r="D256" s="1">
        <f ca="1">IFERROR(__xludf.DUMMYFUNCTION("""COMPUTED_VALUE"""),14)</f>
        <v>14</v>
      </c>
      <c r="E256" s="1">
        <f ca="1">IFERROR(__xludf.DUMMYFUNCTION("""COMPUTED_VALUE"""),0.517)</f>
        <v>0.51700000000000002</v>
      </c>
      <c r="F256" s="1">
        <f ca="1">IFERROR(__xludf.DUMMYFUNCTION("""COMPUTED_VALUE"""),0.41)</f>
        <v>0.41</v>
      </c>
      <c r="G256" s="1">
        <f ca="1">IFERROR(__xludf.DUMMYFUNCTION("""COMPUTED_VALUE"""),0.34)</f>
        <v>0.34</v>
      </c>
      <c r="H256" s="1">
        <f ca="1">IFERROR(__xludf.DUMMYFUNCTION("""COMPUTED_VALUE"""),7)</f>
        <v>7</v>
      </c>
      <c r="I256" s="1">
        <f ca="1">IFERROR(__xludf.DUMMYFUNCTION("""COMPUTED_VALUE"""),9)</f>
        <v>9</v>
      </c>
      <c r="J256" s="1">
        <f ca="1">IFERROR(__xludf.DUMMYFUNCTION("""COMPUTED_VALUE"""),11)</f>
        <v>11</v>
      </c>
      <c r="K256" s="1">
        <f ca="1">IFERROR(__xludf.DUMMYFUNCTION("""COMPUTED_VALUE"""),5)</f>
        <v>5</v>
      </c>
      <c r="L256" s="1">
        <f ca="1">IFERROR(__xludf.DUMMYFUNCTION("""COMPUTED_VALUE"""),3)</f>
        <v>3</v>
      </c>
      <c r="M256" s="1">
        <f ca="1">IFERROR(__xludf.DUMMYFUNCTION("""COMPUTED_VALUE"""),7)</f>
        <v>7</v>
      </c>
      <c r="N256" s="1">
        <f ca="1">IFERROR(__xludf.DUMMYFUNCTION("""COMPUTED_VALUE"""),2067)</f>
        <v>2067</v>
      </c>
      <c r="O256" s="1">
        <f ca="1">IFERROR(__xludf.DUMMYFUNCTION("""COMPUTED_VALUE"""),1988)</f>
        <v>1988</v>
      </c>
      <c r="P256" s="1">
        <f ca="1">IFERROR(__xludf.DUMMYFUNCTION("""COMPUTED_VALUE"""),1160)</f>
        <v>1160</v>
      </c>
      <c r="Q256" s="1">
        <f ca="1">IFERROR(__xludf.DUMMYFUNCTION("""COMPUTED_VALUE"""),744)</f>
        <v>744</v>
      </c>
      <c r="R256" s="1">
        <f ca="1">IFERROR(__xludf.DUMMYFUNCTION("""COMPUTED_VALUE"""),1672)</f>
        <v>1672</v>
      </c>
      <c r="S256" s="1">
        <f ca="1">IFERROR(__xludf.DUMMYFUNCTION("""COMPUTED_VALUE"""),0.445)</f>
        <v>0.44500000000000001</v>
      </c>
      <c r="T256" s="1">
        <f ca="1">IFERROR(__xludf.DUMMYFUNCTION("""COMPUTED_VALUE"""),244)</f>
        <v>244</v>
      </c>
      <c r="U256" s="1">
        <f ca="1">IFERROR(__xludf.DUMMYFUNCTION("""COMPUTED_VALUE"""),707)</f>
        <v>707</v>
      </c>
      <c r="V256" s="1">
        <f ca="1">IFERROR(__xludf.DUMMYFUNCTION("""COMPUTED_VALUE"""),0.345)</f>
        <v>0.34499999999999997</v>
      </c>
      <c r="W256" s="1">
        <f ca="1">IFERROR(__xludf.DUMMYFUNCTION("""COMPUTED_VALUE"""),335)</f>
        <v>335</v>
      </c>
      <c r="X256" s="1">
        <f ca="1">IFERROR(__xludf.DUMMYFUNCTION("""COMPUTED_VALUE"""),487)</f>
        <v>487</v>
      </c>
      <c r="Y256" s="1">
        <f ca="1">IFERROR(__xludf.DUMMYFUNCTION("""COMPUTED_VALUE"""),0.688)</f>
        <v>0.68799999999999994</v>
      </c>
      <c r="Z256" s="1">
        <f ca="1">IFERROR(__xludf.DUMMYFUNCTION("""COMPUTED_VALUE"""),272)</f>
        <v>272</v>
      </c>
      <c r="AA256" s="1">
        <f ca="1">IFERROR(__xludf.DUMMYFUNCTION("""COMPUTED_VALUE"""),1023)</f>
        <v>1023</v>
      </c>
      <c r="AB256" s="1">
        <f ca="1">IFERROR(__xludf.DUMMYFUNCTION("""COMPUTED_VALUE"""),422)</f>
        <v>422</v>
      </c>
      <c r="AC256" s="1">
        <f ca="1">IFERROR(__xludf.DUMMYFUNCTION("""COMPUTED_VALUE"""),190)</f>
        <v>190</v>
      </c>
      <c r="AD256" s="1">
        <f ca="1">IFERROR(__xludf.DUMMYFUNCTION("""COMPUTED_VALUE"""),68)</f>
        <v>68</v>
      </c>
      <c r="AE256" s="1">
        <f ca="1">IFERROR(__xludf.DUMMYFUNCTION("""COMPUTED_VALUE"""),369)</f>
        <v>369</v>
      </c>
      <c r="AF256" s="1">
        <f ca="1">IFERROR(__xludf.DUMMYFUNCTION("""COMPUTED_VALUE"""),480)</f>
        <v>480</v>
      </c>
    </row>
    <row r="257" spans="1:32" x14ac:dyDescent="0.25">
      <c r="A257" s="1" t="str">
        <f ca="1">IFERROR(__xludf.DUMMYFUNCTION("""COMPUTED_VALUE"""),"Oklahoma State")</f>
        <v>Oklahoma State</v>
      </c>
      <c r="B257" s="1">
        <f ca="1">IFERROR(__xludf.DUMMYFUNCTION("""COMPUTED_VALUE"""),29)</f>
        <v>29</v>
      </c>
      <c r="C257" s="1">
        <f ca="1">IFERROR(__xludf.DUMMYFUNCTION("""COMPUTED_VALUE"""),15)</f>
        <v>15</v>
      </c>
      <c r="D257" s="1">
        <f ca="1">IFERROR(__xludf.DUMMYFUNCTION("""COMPUTED_VALUE"""),14)</f>
        <v>14</v>
      </c>
      <c r="E257" s="1">
        <f ca="1">IFERROR(__xludf.DUMMYFUNCTION("""COMPUTED_VALUE"""),0.517)</f>
        <v>0.51700000000000002</v>
      </c>
      <c r="F257" s="1">
        <f ca="1">IFERROR(__xludf.DUMMYFUNCTION("""COMPUTED_VALUE"""),11.37)</f>
        <v>11.37</v>
      </c>
      <c r="G257" s="1">
        <f ca="1">IFERROR(__xludf.DUMMYFUNCTION("""COMPUTED_VALUE"""),10.72)</f>
        <v>10.72</v>
      </c>
      <c r="H257" s="1">
        <f ca="1">IFERROR(__xludf.DUMMYFUNCTION("""COMPUTED_VALUE"""),5)</f>
        <v>5</v>
      </c>
      <c r="I257" s="1">
        <f ca="1">IFERROR(__xludf.DUMMYFUNCTION("""COMPUTED_VALUE"""),11)</f>
        <v>11</v>
      </c>
      <c r="J257" s="1">
        <f ca="1">IFERROR(__xludf.DUMMYFUNCTION("""COMPUTED_VALUE"""),9)</f>
        <v>9</v>
      </c>
      <c r="K257" s="1">
        <f ca="1">IFERROR(__xludf.DUMMYFUNCTION("""COMPUTED_VALUE"""),6)</f>
        <v>6</v>
      </c>
      <c r="L257" s="1">
        <f ca="1">IFERROR(__xludf.DUMMYFUNCTION("""COMPUTED_VALUE"""),4)</f>
        <v>4</v>
      </c>
      <c r="M257" s="1">
        <f ca="1">IFERROR(__xludf.DUMMYFUNCTION("""COMPUTED_VALUE"""),7)</f>
        <v>7</v>
      </c>
      <c r="N257" s="1">
        <f ca="1">IFERROR(__xludf.DUMMYFUNCTION("""COMPUTED_VALUE"""),1941)</f>
        <v>1941</v>
      </c>
      <c r="O257" s="1">
        <f ca="1">IFERROR(__xludf.DUMMYFUNCTION("""COMPUTED_VALUE"""),1922)</f>
        <v>1922</v>
      </c>
      <c r="P257" s="1">
        <f ca="1">IFERROR(__xludf.DUMMYFUNCTION("""COMPUTED_VALUE"""),1160)</f>
        <v>1160</v>
      </c>
      <c r="Q257" s="1">
        <f ca="1">IFERROR(__xludf.DUMMYFUNCTION("""COMPUTED_VALUE"""),679)</f>
        <v>679</v>
      </c>
      <c r="R257" s="1">
        <f ca="1">IFERROR(__xludf.DUMMYFUNCTION("""COMPUTED_VALUE"""),1637)</f>
        <v>1637</v>
      </c>
      <c r="S257" s="1">
        <f ca="1">IFERROR(__xludf.DUMMYFUNCTION("""COMPUTED_VALUE"""),0.415)</f>
        <v>0.41499999999999998</v>
      </c>
      <c r="T257" s="1">
        <f ca="1">IFERROR(__xludf.DUMMYFUNCTION("""COMPUTED_VALUE"""),171)</f>
        <v>171</v>
      </c>
      <c r="U257" s="1">
        <f ca="1">IFERROR(__xludf.DUMMYFUNCTION("""COMPUTED_VALUE"""),554)</f>
        <v>554</v>
      </c>
      <c r="V257" s="1">
        <f ca="1">IFERROR(__xludf.DUMMYFUNCTION("""COMPUTED_VALUE"""),0.309)</f>
        <v>0.309</v>
      </c>
      <c r="W257" s="1">
        <f ca="1">IFERROR(__xludf.DUMMYFUNCTION("""COMPUTED_VALUE"""),412)</f>
        <v>412</v>
      </c>
      <c r="X257" s="1">
        <f ca="1">IFERROR(__xludf.DUMMYFUNCTION("""COMPUTED_VALUE"""),560)</f>
        <v>560</v>
      </c>
      <c r="Y257" s="1">
        <f ca="1">IFERROR(__xludf.DUMMYFUNCTION("""COMPUTED_VALUE"""),0.736)</f>
        <v>0.73599999999999999</v>
      </c>
      <c r="Z257" s="1">
        <f ca="1">IFERROR(__xludf.DUMMYFUNCTION("""COMPUTED_VALUE"""),301)</f>
        <v>301</v>
      </c>
      <c r="AA257" s="1">
        <f ca="1">IFERROR(__xludf.DUMMYFUNCTION("""COMPUTED_VALUE"""),1043)</f>
        <v>1043</v>
      </c>
      <c r="AB257" s="1">
        <f ca="1">IFERROR(__xludf.DUMMYFUNCTION("""COMPUTED_VALUE"""),340)</f>
        <v>340</v>
      </c>
      <c r="AC257" s="1">
        <f ca="1">IFERROR(__xludf.DUMMYFUNCTION("""COMPUTED_VALUE"""),198)</f>
        <v>198</v>
      </c>
      <c r="AD257" s="1">
        <f ca="1">IFERROR(__xludf.DUMMYFUNCTION("""COMPUTED_VALUE"""),113)</f>
        <v>113</v>
      </c>
      <c r="AE257" s="1">
        <f ca="1">IFERROR(__xludf.DUMMYFUNCTION("""COMPUTED_VALUE"""),378)</f>
        <v>378</v>
      </c>
      <c r="AF257" s="1">
        <f ca="1">IFERROR(__xludf.DUMMYFUNCTION("""COMPUTED_VALUE"""),524)</f>
        <v>524</v>
      </c>
    </row>
    <row r="258" spans="1:32" x14ac:dyDescent="0.25">
      <c r="A258" s="1" t="str">
        <f ca="1">IFERROR(__xludf.DUMMYFUNCTION("""COMPUTED_VALUE"""),"Oklahoma")</f>
        <v>Oklahoma</v>
      </c>
      <c r="B258" s="1">
        <f ca="1">IFERROR(__xludf.DUMMYFUNCTION("""COMPUTED_VALUE"""),29)</f>
        <v>29</v>
      </c>
      <c r="C258" s="1">
        <f ca="1">IFERROR(__xludf.DUMMYFUNCTION("""COMPUTED_VALUE"""),18)</f>
        <v>18</v>
      </c>
      <c r="D258" s="1">
        <f ca="1">IFERROR(__xludf.DUMMYFUNCTION("""COMPUTED_VALUE"""),11)</f>
        <v>11</v>
      </c>
      <c r="E258" s="1">
        <f ca="1">IFERROR(__xludf.DUMMYFUNCTION("""COMPUTED_VALUE"""),0.621)</f>
        <v>0.621</v>
      </c>
      <c r="F258" s="1">
        <f ca="1">IFERROR(__xludf.DUMMYFUNCTION("""COMPUTED_VALUE"""),13.7)</f>
        <v>13.7</v>
      </c>
      <c r="G258" s="1">
        <f ca="1">IFERROR(__xludf.DUMMYFUNCTION("""COMPUTED_VALUE"""),10.7)</f>
        <v>10.7</v>
      </c>
      <c r="H258" s="1">
        <f ca="1">IFERROR(__xludf.DUMMYFUNCTION("""COMPUTED_VALUE"""),8)</f>
        <v>8</v>
      </c>
      <c r="I258" s="1">
        <f ca="1">IFERROR(__xludf.DUMMYFUNCTION("""COMPUTED_VALUE"""),8)</f>
        <v>8</v>
      </c>
      <c r="J258" s="1">
        <f ca="1">IFERROR(__xludf.DUMMYFUNCTION("""COMPUTED_VALUE"""),12)</f>
        <v>12</v>
      </c>
      <c r="K258" s="1">
        <f ca="1">IFERROR(__xludf.DUMMYFUNCTION("""COMPUTED_VALUE"""),2)</f>
        <v>2</v>
      </c>
      <c r="L258" s="1">
        <f ca="1">IFERROR(__xludf.DUMMYFUNCTION("""COMPUTED_VALUE"""),3)</f>
        <v>3</v>
      </c>
      <c r="M258" s="1">
        <f ca="1">IFERROR(__xludf.DUMMYFUNCTION("""COMPUTED_VALUE"""),8)</f>
        <v>8</v>
      </c>
      <c r="N258" s="1">
        <f ca="1">IFERROR(__xludf.DUMMYFUNCTION("""COMPUTED_VALUE"""),2048)</f>
        <v>2048</v>
      </c>
      <c r="O258" s="1">
        <f ca="1">IFERROR(__xludf.DUMMYFUNCTION("""COMPUTED_VALUE"""),1961)</f>
        <v>1961</v>
      </c>
      <c r="P258" s="1">
        <f ca="1">IFERROR(__xludf.DUMMYFUNCTION("""COMPUTED_VALUE"""),1160)</f>
        <v>1160</v>
      </c>
      <c r="Q258" s="1">
        <f ca="1">IFERROR(__xludf.DUMMYFUNCTION("""COMPUTED_VALUE"""),721)</f>
        <v>721</v>
      </c>
      <c r="R258" s="1">
        <f ca="1">IFERROR(__xludf.DUMMYFUNCTION("""COMPUTED_VALUE"""),1698)</f>
        <v>1698</v>
      </c>
      <c r="S258" s="1">
        <f ca="1">IFERROR(__xludf.DUMMYFUNCTION("""COMPUTED_VALUE"""),0.425)</f>
        <v>0.42499999999999999</v>
      </c>
      <c r="T258" s="1">
        <f ca="1">IFERROR(__xludf.DUMMYFUNCTION("""COMPUTED_VALUE"""),213)</f>
        <v>213</v>
      </c>
      <c r="U258" s="1">
        <f ca="1">IFERROR(__xludf.DUMMYFUNCTION("""COMPUTED_VALUE"""),661)</f>
        <v>661</v>
      </c>
      <c r="V258" s="1">
        <f ca="1">IFERROR(__xludf.DUMMYFUNCTION("""COMPUTED_VALUE"""),0.322)</f>
        <v>0.32200000000000001</v>
      </c>
      <c r="W258" s="1">
        <f ca="1">IFERROR(__xludf.DUMMYFUNCTION("""COMPUTED_VALUE"""),393)</f>
        <v>393</v>
      </c>
      <c r="X258" s="1">
        <f ca="1">IFERROR(__xludf.DUMMYFUNCTION("""COMPUTED_VALUE"""),512)</f>
        <v>512</v>
      </c>
      <c r="Y258" s="1">
        <f ca="1">IFERROR(__xludf.DUMMYFUNCTION("""COMPUTED_VALUE"""),0.768)</f>
        <v>0.76800000000000002</v>
      </c>
      <c r="Z258" s="1">
        <f ca="1">IFERROR(__xludf.DUMMYFUNCTION("""COMPUTED_VALUE"""),238)</f>
        <v>238</v>
      </c>
      <c r="AA258" s="1">
        <f ca="1">IFERROR(__xludf.DUMMYFUNCTION("""COMPUTED_VALUE"""),1063)</f>
        <v>1063</v>
      </c>
      <c r="AB258" s="1">
        <f ca="1">IFERROR(__xludf.DUMMYFUNCTION("""COMPUTED_VALUE"""),346)</f>
        <v>346</v>
      </c>
      <c r="AC258" s="1">
        <f ca="1">IFERROR(__xludf.DUMMYFUNCTION("""COMPUTED_VALUE"""),175)</f>
        <v>175</v>
      </c>
      <c r="AD258" s="1">
        <f ca="1">IFERROR(__xludf.DUMMYFUNCTION("""COMPUTED_VALUE"""),118)</f>
        <v>118</v>
      </c>
      <c r="AE258" s="1">
        <f ca="1">IFERROR(__xludf.DUMMYFUNCTION("""COMPUTED_VALUE"""),321)</f>
        <v>321</v>
      </c>
      <c r="AF258" s="1">
        <f ca="1">IFERROR(__xludf.DUMMYFUNCTION("""COMPUTED_VALUE"""),388)</f>
        <v>388</v>
      </c>
    </row>
    <row r="259" spans="1:32" x14ac:dyDescent="0.25">
      <c r="A259" s="1" t="str">
        <f ca="1">IFERROR(__xludf.DUMMYFUNCTION("""COMPUTED_VALUE"""),"Old Dominion")</f>
        <v>Old Dominion</v>
      </c>
      <c r="B259" s="1">
        <f ca="1">IFERROR(__xludf.DUMMYFUNCTION("""COMPUTED_VALUE"""),29)</f>
        <v>29</v>
      </c>
      <c r="C259" s="1">
        <f ca="1">IFERROR(__xludf.DUMMYFUNCTION("""COMPUTED_VALUE"""),12)</f>
        <v>12</v>
      </c>
      <c r="D259" s="1">
        <f ca="1">IFERROR(__xludf.DUMMYFUNCTION("""COMPUTED_VALUE"""),17)</f>
        <v>17</v>
      </c>
      <c r="E259" s="1">
        <f ca="1">IFERROR(__xludf.DUMMYFUNCTION("""COMPUTED_VALUE"""),0.414)</f>
        <v>0.41399999999999998</v>
      </c>
      <c r="F259" s="1">
        <f ca="1">IFERROR(__xludf.DUMMYFUNCTION("""COMPUTED_VALUE"""),0.15)</f>
        <v>0.15</v>
      </c>
      <c r="G259" s="1">
        <f ca="1">IFERROR(__xludf.DUMMYFUNCTION("""COMPUTED_VALUE"""),0.39)</f>
        <v>0.39</v>
      </c>
      <c r="H259" s="1">
        <f ca="1">IFERROR(__xludf.DUMMYFUNCTION("""COMPUTED_VALUE"""),8)</f>
        <v>8</v>
      </c>
      <c r="I259" s="1">
        <f ca="1">IFERROR(__xludf.DUMMYFUNCTION("""COMPUTED_VALUE"""),8)</f>
        <v>8</v>
      </c>
      <c r="J259" s="1">
        <f ca="1">IFERROR(__xludf.DUMMYFUNCTION("""COMPUTED_VALUE"""),9)</f>
        <v>9</v>
      </c>
      <c r="K259" s="1">
        <f ca="1">IFERROR(__xludf.DUMMYFUNCTION("""COMPUTED_VALUE"""),4)</f>
        <v>4</v>
      </c>
      <c r="L259" s="1">
        <f ca="1">IFERROR(__xludf.DUMMYFUNCTION("""COMPUTED_VALUE"""),3)</f>
        <v>3</v>
      </c>
      <c r="M259" s="1">
        <f ca="1">IFERROR(__xludf.DUMMYFUNCTION("""COMPUTED_VALUE"""),10)</f>
        <v>10</v>
      </c>
      <c r="N259" s="1">
        <f ca="1">IFERROR(__xludf.DUMMYFUNCTION("""COMPUTED_VALUE"""),1895)</f>
        <v>1895</v>
      </c>
      <c r="O259" s="1">
        <f ca="1">IFERROR(__xludf.DUMMYFUNCTION("""COMPUTED_VALUE"""),1902)</f>
        <v>1902</v>
      </c>
      <c r="P259" s="1">
        <f ca="1">IFERROR(__xludf.DUMMYFUNCTION("""COMPUTED_VALUE"""),1170)</f>
        <v>1170</v>
      </c>
      <c r="Q259" s="1">
        <f ca="1">IFERROR(__xludf.DUMMYFUNCTION("""COMPUTED_VALUE"""),694)</f>
        <v>694</v>
      </c>
      <c r="R259" s="1">
        <f ca="1">IFERROR(__xludf.DUMMYFUNCTION("""COMPUTED_VALUE"""),1726)</f>
        <v>1726</v>
      </c>
      <c r="S259" s="1">
        <f ca="1">IFERROR(__xludf.DUMMYFUNCTION("""COMPUTED_VALUE"""),0.402)</f>
        <v>0.40200000000000002</v>
      </c>
      <c r="T259" s="1">
        <f ca="1">IFERROR(__xludf.DUMMYFUNCTION("""COMPUTED_VALUE"""),166)</f>
        <v>166</v>
      </c>
      <c r="U259" s="1">
        <f ca="1">IFERROR(__xludf.DUMMYFUNCTION("""COMPUTED_VALUE"""),573)</f>
        <v>573</v>
      </c>
      <c r="V259" s="1">
        <f ca="1">IFERROR(__xludf.DUMMYFUNCTION("""COMPUTED_VALUE"""),0.29)</f>
        <v>0.28999999999999998</v>
      </c>
      <c r="W259" s="1">
        <f ca="1">IFERROR(__xludf.DUMMYFUNCTION("""COMPUTED_VALUE"""),341)</f>
        <v>341</v>
      </c>
      <c r="X259" s="1">
        <f ca="1">IFERROR(__xludf.DUMMYFUNCTION("""COMPUTED_VALUE"""),493)</f>
        <v>493</v>
      </c>
      <c r="Y259" s="1">
        <f ca="1">IFERROR(__xludf.DUMMYFUNCTION("""COMPUTED_VALUE"""),0.692)</f>
        <v>0.69199999999999995</v>
      </c>
      <c r="Z259" s="1">
        <f ca="1">IFERROR(__xludf.DUMMYFUNCTION("""COMPUTED_VALUE"""),338)</f>
        <v>338</v>
      </c>
      <c r="AA259" s="1">
        <f ca="1">IFERROR(__xludf.DUMMYFUNCTION("""COMPUTED_VALUE"""),1141)</f>
        <v>1141</v>
      </c>
      <c r="AB259" s="1">
        <f ca="1">IFERROR(__xludf.DUMMYFUNCTION("""COMPUTED_VALUE"""),303)</f>
        <v>303</v>
      </c>
      <c r="AC259" s="1">
        <f ca="1">IFERROR(__xludf.DUMMYFUNCTION("""COMPUTED_VALUE"""),201)</f>
        <v>201</v>
      </c>
      <c r="AD259" s="1">
        <f ca="1">IFERROR(__xludf.DUMMYFUNCTION("""COMPUTED_VALUE"""),85)</f>
        <v>85</v>
      </c>
      <c r="AE259" s="1">
        <f ca="1">IFERROR(__xludf.DUMMYFUNCTION("""COMPUTED_VALUE"""),350)</f>
        <v>350</v>
      </c>
      <c r="AF259" s="1">
        <f ca="1">IFERROR(__xludf.DUMMYFUNCTION("""COMPUTED_VALUE"""),496)</f>
        <v>496</v>
      </c>
    </row>
    <row r="260" spans="1:32" x14ac:dyDescent="0.25">
      <c r="A260" s="1" t="str">
        <f ca="1">IFERROR(__xludf.DUMMYFUNCTION("""COMPUTED_VALUE"""),"Oral Roberts")</f>
        <v>Oral Roberts</v>
      </c>
      <c r="B260" s="1">
        <f ca="1">IFERROR(__xludf.DUMMYFUNCTION("""COMPUTED_VALUE"""),29)</f>
        <v>29</v>
      </c>
      <c r="C260" s="1">
        <f ca="1">IFERROR(__xludf.DUMMYFUNCTION("""COMPUTED_VALUE"""),16)</f>
        <v>16</v>
      </c>
      <c r="D260" s="1">
        <f ca="1">IFERROR(__xludf.DUMMYFUNCTION("""COMPUTED_VALUE"""),13)</f>
        <v>13</v>
      </c>
      <c r="E260" s="1">
        <f ca="1">IFERROR(__xludf.DUMMYFUNCTION("""COMPUTED_VALUE"""),0.552)</f>
        <v>0.55200000000000005</v>
      </c>
      <c r="F260" s="1">
        <f ca="1">IFERROR(__xludf.DUMMYFUNCTION("""COMPUTED_VALUE"""),1.59)</f>
        <v>1.59</v>
      </c>
      <c r="G260" s="1">
        <f ca="1">IFERROR(__xludf.DUMMYFUNCTION("""COMPUTED_VALUE"""),-1.61)</f>
        <v>-1.61</v>
      </c>
      <c r="H260" s="1">
        <f ca="1">IFERROR(__xludf.DUMMYFUNCTION("""COMPUTED_VALUE"""),9)</f>
        <v>9</v>
      </c>
      <c r="I260" s="1">
        <f ca="1">IFERROR(__xludf.DUMMYFUNCTION("""COMPUTED_VALUE"""),7)</f>
        <v>7</v>
      </c>
      <c r="J260" s="1">
        <f ca="1">IFERROR(__xludf.DUMMYFUNCTION("""COMPUTED_VALUE"""),13)</f>
        <v>13</v>
      </c>
      <c r="K260" s="1">
        <f ca="1">IFERROR(__xludf.DUMMYFUNCTION("""COMPUTED_VALUE"""),1)</f>
        <v>1</v>
      </c>
      <c r="L260" s="1">
        <f ca="1">IFERROR(__xludf.DUMMYFUNCTION("""COMPUTED_VALUE"""),3)</f>
        <v>3</v>
      </c>
      <c r="M260" s="1">
        <f ca="1">IFERROR(__xludf.DUMMYFUNCTION("""COMPUTED_VALUE"""),12)</f>
        <v>12</v>
      </c>
      <c r="N260" s="1">
        <f ca="1">IFERROR(__xludf.DUMMYFUNCTION("""COMPUTED_VALUE"""),2337)</f>
        <v>2337</v>
      </c>
      <c r="O260" s="1">
        <f ca="1">IFERROR(__xludf.DUMMYFUNCTION("""COMPUTED_VALUE"""),2138)</f>
        <v>2138</v>
      </c>
      <c r="P260" s="1">
        <f ca="1">IFERROR(__xludf.DUMMYFUNCTION("""COMPUTED_VALUE"""),1170)</f>
        <v>1170</v>
      </c>
      <c r="Q260" s="1">
        <f ca="1">IFERROR(__xludf.DUMMYFUNCTION("""COMPUTED_VALUE"""),841)</f>
        <v>841</v>
      </c>
      <c r="R260" s="1">
        <f ca="1">IFERROR(__xludf.DUMMYFUNCTION("""COMPUTED_VALUE"""),1871)</f>
        <v>1871</v>
      </c>
      <c r="S260" s="1">
        <f ca="1">IFERROR(__xludf.DUMMYFUNCTION("""COMPUTED_VALUE"""),0.449)</f>
        <v>0.44900000000000001</v>
      </c>
      <c r="T260" s="1">
        <f ca="1">IFERROR(__xludf.DUMMYFUNCTION("""COMPUTED_VALUE"""),240)</f>
        <v>240</v>
      </c>
      <c r="U260" s="1">
        <f ca="1">IFERROR(__xludf.DUMMYFUNCTION("""COMPUTED_VALUE"""),713)</f>
        <v>713</v>
      </c>
      <c r="V260" s="1">
        <f ca="1">IFERROR(__xludf.DUMMYFUNCTION("""COMPUTED_VALUE"""),0.337)</f>
        <v>0.33700000000000002</v>
      </c>
      <c r="W260" s="1">
        <f ca="1">IFERROR(__xludf.DUMMYFUNCTION("""COMPUTED_VALUE"""),415)</f>
        <v>415</v>
      </c>
      <c r="X260" s="1">
        <f ca="1">IFERROR(__xludf.DUMMYFUNCTION("""COMPUTED_VALUE"""),554)</f>
        <v>554</v>
      </c>
      <c r="Y260" s="1">
        <f ca="1">IFERROR(__xludf.DUMMYFUNCTION("""COMPUTED_VALUE"""),0.749)</f>
        <v>0.749</v>
      </c>
      <c r="Z260" s="1">
        <f ca="1">IFERROR(__xludf.DUMMYFUNCTION("""COMPUTED_VALUE"""),348)</f>
        <v>348</v>
      </c>
      <c r="AA260" s="1">
        <f ca="1">IFERROR(__xludf.DUMMYFUNCTION("""COMPUTED_VALUE"""),1096)</f>
        <v>1096</v>
      </c>
      <c r="AB260" s="1">
        <f ca="1">IFERROR(__xludf.DUMMYFUNCTION("""COMPUTED_VALUE"""),381)</f>
        <v>381</v>
      </c>
      <c r="AC260" s="1">
        <f ca="1">IFERROR(__xludf.DUMMYFUNCTION("""COMPUTED_VALUE"""),188)</f>
        <v>188</v>
      </c>
      <c r="AD260" s="1">
        <f ca="1">IFERROR(__xludf.DUMMYFUNCTION("""COMPUTED_VALUE"""),72)</f>
        <v>72</v>
      </c>
      <c r="AE260" s="1">
        <f ca="1">IFERROR(__xludf.DUMMYFUNCTION("""COMPUTED_VALUE"""),306)</f>
        <v>306</v>
      </c>
      <c r="AF260" s="1">
        <f ca="1">IFERROR(__xludf.DUMMYFUNCTION("""COMPUTED_VALUE"""),485)</f>
        <v>485</v>
      </c>
    </row>
    <row r="261" spans="1:32" x14ac:dyDescent="0.25">
      <c r="A261" s="1" t="str">
        <f ca="1">IFERROR(__xludf.DUMMYFUNCTION("""COMPUTED_VALUE"""),"Oregon State")</f>
        <v>Oregon State</v>
      </c>
      <c r="B261" s="1">
        <f ca="1">IFERROR(__xludf.DUMMYFUNCTION("""COMPUTED_VALUE"""),28)</f>
        <v>28</v>
      </c>
      <c r="C261" s="1">
        <f ca="1">IFERROR(__xludf.DUMMYFUNCTION("""COMPUTED_VALUE"""),15)</f>
        <v>15</v>
      </c>
      <c r="D261" s="1">
        <f ca="1">IFERROR(__xludf.DUMMYFUNCTION("""COMPUTED_VALUE"""),13)</f>
        <v>13</v>
      </c>
      <c r="E261" s="1">
        <f ca="1">IFERROR(__xludf.DUMMYFUNCTION("""COMPUTED_VALUE"""),0.536)</f>
        <v>0.53600000000000003</v>
      </c>
      <c r="F261" s="1">
        <f ca="1">IFERROR(__xludf.DUMMYFUNCTION("""COMPUTED_VALUE"""),9.12)</f>
        <v>9.1199999999999992</v>
      </c>
      <c r="G261" s="1">
        <f ca="1">IFERROR(__xludf.DUMMYFUNCTION("""COMPUTED_VALUE"""),6.01)</f>
        <v>6.01</v>
      </c>
      <c r="H261" s="1">
        <f ca="1">IFERROR(__xludf.DUMMYFUNCTION("""COMPUTED_VALUE"""),5)</f>
        <v>5</v>
      </c>
      <c r="I261" s="1">
        <f ca="1">IFERROR(__xludf.DUMMYFUNCTION("""COMPUTED_VALUE"""),11)</f>
        <v>11</v>
      </c>
      <c r="J261" s="1">
        <f ca="1">IFERROR(__xludf.DUMMYFUNCTION("""COMPUTED_VALUE"""),10)</f>
        <v>10</v>
      </c>
      <c r="K261" s="1">
        <f ca="1">IFERROR(__xludf.DUMMYFUNCTION("""COMPUTED_VALUE"""),4)</f>
        <v>4</v>
      </c>
      <c r="L261" s="1">
        <f ca="1">IFERROR(__xludf.DUMMYFUNCTION("""COMPUTED_VALUE"""),3)</f>
        <v>3</v>
      </c>
      <c r="M261" s="1">
        <f ca="1">IFERROR(__xludf.DUMMYFUNCTION("""COMPUTED_VALUE"""),8)</f>
        <v>8</v>
      </c>
      <c r="N261" s="1">
        <f ca="1">IFERROR(__xludf.DUMMYFUNCTION("""COMPUTED_VALUE"""),1994)</f>
        <v>1994</v>
      </c>
      <c r="O261" s="1">
        <f ca="1">IFERROR(__xludf.DUMMYFUNCTION("""COMPUTED_VALUE"""),1907)</f>
        <v>1907</v>
      </c>
      <c r="P261" s="1">
        <f ca="1">IFERROR(__xludf.DUMMYFUNCTION("""COMPUTED_VALUE"""),1120)</f>
        <v>1120</v>
      </c>
      <c r="Q261" s="1">
        <f ca="1">IFERROR(__xludf.DUMMYFUNCTION("""COMPUTED_VALUE"""),695)</f>
        <v>695</v>
      </c>
      <c r="R261" s="1">
        <f ca="1">IFERROR(__xludf.DUMMYFUNCTION("""COMPUTED_VALUE"""),1516)</f>
        <v>1516</v>
      </c>
      <c r="S261" s="1">
        <f ca="1">IFERROR(__xludf.DUMMYFUNCTION("""COMPUTED_VALUE"""),0.458)</f>
        <v>0.45800000000000002</v>
      </c>
      <c r="T261" s="1">
        <f ca="1">IFERROR(__xludf.DUMMYFUNCTION("""COMPUTED_VALUE"""),164)</f>
        <v>164</v>
      </c>
      <c r="U261" s="1">
        <f ca="1">IFERROR(__xludf.DUMMYFUNCTION("""COMPUTED_VALUE"""),518)</f>
        <v>518</v>
      </c>
      <c r="V261" s="1">
        <f ca="1">IFERROR(__xludf.DUMMYFUNCTION("""COMPUTED_VALUE"""),0.317)</f>
        <v>0.317</v>
      </c>
      <c r="W261" s="1">
        <f ca="1">IFERROR(__xludf.DUMMYFUNCTION("""COMPUTED_VALUE"""),440)</f>
        <v>440</v>
      </c>
      <c r="X261" s="1">
        <f ca="1">IFERROR(__xludf.DUMMYFUNCTION("""COMPUTED_VALUE"""),588)</f>
        <v>588</v>
      </c>
      <c r="Y261" s="1">
        <f ca="1">IFERROR(__xludf.DUMMYFUNCTION("""COMPUTED_VALUE"""),0.748)</f>
        <v>0.748</v>
      </c>
      <c r="Z261" s="1">
        <f ca="1">IFERROR(__xludf.DUMMYFUNCTION("""COMPUTED_VALUE"""),246)</f>
        <v>246</v>
      </c>
      <c r="AA261" s="1">
        <f ca="1">IFERROR(__xludf.DUMMYFUNCTION("""COMPUTED_VALUE"""),926)</f>
        <v>926</v>
      </c>
      <c r="AB261" s="1">
        <f ca="1">IFERROR(__xludf.DUMMYFUNCTION("""COMPUTED_VALUE"""),402)</f>
        <v>402</v>
      </c>
      <c r="AC261" s="1">
        <f ca="1">IFERROR(__xludf.DUMMYFUNCTION("""COMPUTED_VALUE"""),168)</f>
        <v>168</v>
      </c>
      <c r="AD261" s="1">
        <f ca="1">IFERROR(__xludf.DUMMYFUNCTION("""COMPUTED_VALUE"""),138)</f>
        <v>138</v>
      </c>
      <c r="AE261" s="1">
        <f ca="1">IFERROR(__xludf.DUMMYFUNCTION("""COMPUTED_VALUE"""),326)</f>
        <v>326</v>
      </c>
      <c r="AF261" s="1">
        <f ca="1">IFERROR(__xludf.DUMMYFUNCTION("""COMPUTED_VALUE"""),451)</f>
        <v>451</v>
      </c>
    </row>
    <row r="262" spans="1:32" x14ac:dyDescent="0.25">
      <c r="A262" s="1" t="str">
        <f ca="1">IFERROR(__xludf.DUMMYFUNCTION("""COMPUTED_VALUE"""),"Oregon")</f>
        <v>Oregon</v>
      </c>
      <c r="B262" s="1">
        <f ca="1">IFERROR(__xludf.DUMMYFUNCTION("""COMPUTED_VALUE"""),29)</f>
        <v>29</v>
      </c>
      <c r="C262" s="1">
        <f ca="1">IFERROR(__xludf.DUMMYFUNCTION("""COMPUTED_VALUE"""),22)</f>
        <v>22</v>
      </c>
      <c r="D262" s="1">
        <f ca="1">IFERROR(__xludf.DUMMYFUNCTION("""COMPUTED_VALUE"""),7)</f>
        <v>7</v>
      </c>
      <c r="E262" s="1">
        <f ca="1">IFERROR(__xludf.DUMMYFUNCTION("""COMPUTED_VALUE"""),0.759)</f>
        <v>0.75900000000000001</v>
      </c>
      <c r="F262" s="1">
        <f ca="1">IFERROR(__xludf.DUMMYFUNCTION("""COMPUTED_VALUE"""),17.53)</f>
        <v>17.53</v>
      </c>
      <c r="G262" s="1">
        <f ca="1">IFERROR(__xludf.DUMMYFUNCTION("""COMPUTED_VALUE"""),9.39)</f>
        <v>9.39</v>
      </c>
      <c r="H262" s="1">
        <f ca="1">IFERROR(__xludf.DUMMYFUNCTION("""COMPUTED_VALUE"""),11)</f>
        <v>11</v>
      </c>
      <c r="I262" s="1">
        <f ca="1">IFERROR(__xludf.DUMMYFUNCTION("""COMPUTED_VALUE"""),5)</f>
        <v>5</v>
      </c>
      <c r="J262" s="1">
        <f ca="1">IFERROR(__xludf.DUMMYFUNCTION("""COMPUTED_VALUE"""),15)</f>
        <v>15</v>
      </c>
      <c r="K262" s="1">
        <f ca="1">IFERROR(__xludf.DUMMYFUNCTION("""COMPUTED_VALUE"""),0)</f>
        <v>0</v>
      </c>
      <c r="L262" s="1">
        <f ca="1">IFERROR(__xludf.DUMMYFUNCTION("""COMPUTED_VALUE"""),5)</f>
        <v>5</v>
      </c>
      <c r="M262" s="1">
        <f ca="1">IFERROR(__xludf.DUMMYFUNCTION("""COMPUTED_VALUE"""),5)</f>
        <v>5</v>
      </c>
      <c r="N262" s="1">
        <f ca="1">IFERROR(__xludf.DUMMYFUNCTION("""COMPUTED_VALUE"""),2182)</f>
        <v>2182</v>
      </c>
      <c r="O262" s="1">
        <f ca="1">IFERROR(__xludf.DUMMYFUNCTION("""COMPUTED_VALUE"""),1946)</f>
        <v>1946</v>
      </c>
      <c r="P262" s="1">
        <f ca="1">IFERROR(__xludf.DUMMYFUNCTION("""COMPUTED_VALUE"""),1195)</f>
        <v>1195</v>
      </c>
      <c r="Q262" s="1">
        <f ca="1">IFERROR(__xludf.DUMMYFUNCTION("""COMPUTED_VALUE"""),797)</f>
        <v>797</v>
      </c>
      <c r="R262" s="1">
        <f ca="1">IFERROR(__xludf.DUMMYFUNCTION("""COMPUTED_VALUE"""),1722)</f>
        <v>1722</v>
      </c>
      <c r="S262" s="1">
        <f ca="1">IFERROR(__xludf.DUMMYFUNCTION("""COMPUTED_VALUE"""),0.463)</f>
        <v>0.46300000000000002</v>
      </c>
      <c r="T262" s="1">
        <f ca="1">IFERROR(__xludf.DUMMYFUNCTION("""COMPUTED_VALUE"""),247)</f>
        <v>247</v>
      </c>
      <c r="U262" s="1">
        <f ca="1">IFERROR(__xludf.DUMMYFUNCTION("""COMPUTED_VALUE"""),644)</f>
        <v>644</v>
      </c>
      <c r="V262" s="1">
        <f ca="1">IFERROR(__xludf.DUMMYFUNCTION("""COMPUTED_VALUE"""),0.384)</f>
        <v>0.38400000000000001</v>
      </c>
      <c r="W262" s="1">
        <f ca="1">IFERROR(__xludf.DUMMYFUNCTION("""COMPUTED_VALUE"""),341)</f>
        <v>341</v>
      </c>
      <c r="X262" s="1">
        <f ca="1">IFERROR(__xludf.DUMMYFUNCTION("""COMPUTED_VALUE"""),492)</f>
        <v>492</v>
      </c>
      <c r="Y262" s="1">
        <f ca="1">IFERROR(__xludf.DUMMYFUNCTION("""COMPUTED_VALUE"""),0.693)</f>
        <v>0.69299999999999995</v>
      </c>
      <c r="Z262" s="1">
        <f ca="1">IFERROR(__xludf.DUMMYFUNCTION("""COMPUTED_VALUE"""),319)</f>
        <v>319</v>
      </c>
      <c r="AA262" s="1">
        <f ca="1">IFERROR(__xludf.DUMMYFUNCTION("""COMPUTED_VALUE"""),1034)</f>
        <v>1034</v>
      </c>
      <c r="AB262" s="1">
        <f ca="1">IFERROR(__xludf.DUMMYFUNCTION("""COMPUTED_VALUE"""),418)</f>
        <v>418</v>
      </c>
      <c r="AC262" s="1">
        <f ca="1">IFERROR(__xludf.DUMMYFUNCTION("""COMPUTED_VALUE"""),227)</f>
        <v>227</v>
      </c>
      <c r="AD262" s="1">
        <f ca="1">IFERROR(__xludf.DUMMYFUNCTION("""COMPUTED_VALUE"""),90)</f>
        <v>90</v>
      </c>
      <c r="AE262" s="1">
        <f ca="1">IFERROR(__xludf.DUMMYFUNCTION("""COMPUTED_VALUE"""),344)</f>
        <v>344</v>
      </c>
      <c r="AF262" s="1">
        <f ca="1">IFERROR(__xludf.DUMMYFUNCTION("""COMPUTED_VALUE"""),506)</f>
        <v>506</v>
      </c>
    </row>
    <row r="263" spans="1:32" x14ac:dyDescent="0.25">
      <c r="A263" s="1" t="str">
        <f ca="1">IFERROR(__xludf.DUMMYFUNCTION("""COMPUTED_VALUE"""),"Pacific")</f>
        <v>Pacific</v>
      </c>
      <c r="B263" s="1">
        <f ca="1">IFERROR(__xludf.DUMMYFUNCTION("""COMPUTED_VALUE"""),32)</f>
        <v>32</v>
      </c>
      <c r="C263" s="1">
        <f ca="1">IFERROR(__xludf.DUMMYFUNCTION("""COMPUTED_VALUE"""),23)</f>
        <v>23</v>
      </c>
      <c r="D263" s="1">
        <f ca="1">IFERROR(__xludf.DUMMYFUNCTION("""COMPUTED_VALUE"""),9)</f>
        <v>9</v>
      </c>
      <c r="E263" s="1">
        <f ca="1">IFERROR(__xludf.DUMMYFUNCTION("""COMPUTED_VALUE"""),0.719)</f>
        <v>0.71899999999999997</v>
      </c>
      <c r="F263" s="1">
        <f ca="1">IFERROR(__xludf.DUMMYFUNCTION("""COMPUTED_VALUE"""),4.36)</f>
        <v>4.3600000000000003</v>
      </c>
      <c r="G263" s="1">
        <f ca="1">IFERROR(__xludf.DUMMYFUNCTION("""COMPUTED_VALUE"""),0.02)</f>
        <v>0.02</v>
      </c>
      <c r="H263" s="1">
        <f ca="1">IFERROR(__xludf.DUMMYFUNCTION("""COMPUTED_VALUE"""),11)</f>
        <v>11</v>
      </c>
      <c r="I263" s="1">
        <f ca="1">IFERROR(__xludf.DUMMYFUNCTION("""COMPUTED_VALUE"""),5)</f>
        <v>5</v>
      </c>
      <c r="J263" s="1">
        <f ca="1">IFERROR(__xludf.DUMMYFUNCTION("""COMPUTED_VALUE"""),15)</f>
        <v>15</v>
      </c>
      <c r="K263" s="1">
        <f ca="1">IFERROR(__xludf.DUMMYFUNCTION("""COMPUTED_VALUE"""),3)</f>
        <v>3</v>
      </c>
      <c r="L263" s="1">
        <f ca="1">IFERROR(__xludf.DUMMYFUNCTION("""COMPUTED_VALUE"""),7)</f>
        <v>7</v>
      </c>
      <c r="M263" s="1">
        <f ca="1">IFERROR(__xludf.DUMMYFUNCTION("""COMPUTED_VALUE"""),5)</f>
        <v>5</v>
      </c>
      <c r="N263" s="1">
        <f ca="1">IFERROR(__xludf.DUMMYFUNCTION("""COMPUTED_VALUE"""),2246)</f>
        <v>2246</v>
      </c>
      <c r="O263" s="1">
        <f ca="1">IFERROR(__xludf.DUMMYFUNCTION("""COMPUTED_VALUE"""),2056)</f>
        <v>2056</v>
      </c>
      <c r="P263" s="1">
        <f ca="1">IFERROR(__xludf.DUMMYFUNCTION("""COMPUTED_VALUE"""),1315)</f>
        <v>1315</v>
      </c>
      <c r="Q263" s="1">
        <f ca="1">IFERROR(__xludf.DUMMYFUNCTION("""COMPUTED_VALUE"""),824)</f>
        <v>824</v>
      </c>
      <c r="R263" s="1">
        <f ca="1">IFERROR(__xludf.DUMMYFUNCTION("""COMPUTED_VALUE"""),1810)</f>
        <v>1810</v>
      </c>
      <c r="S263" s="1">
        <f ca="1">IFERROR(__xludf.DUMMYFUNCTION("""COMPUTED_VALUE"""),0.455)</f>
        <v>0.45500000000000002</v>
      </c>
      <c r="T263" s="1">
        <f ca="1">IFERROR(__xludf.DUMMYFUNCTION("""COMPUTED_VALUE"""),176)</f>
        <v>176</v>
      </c>
      <c r="U263" s="1">
        <f ca="1">IFERROR(__xludf.DUMMYFUNCTION("""COMPUTED_VALUE"""),512)</f>
        <v>512</v>
      </c>
      <c r="V263" s="1">
        <f ca="1">IFERROR(__xludf.DUMMYFUNCTION("""COMPUTED_VALUE"""),0.344)</f>
        <v>0.34399999999999997</v>
      </c>
      <c r="W263" s="1">
        <f ca="1">IFERROR(__xludf.DUMMYFUNCTION("""COMPUTED_VALUE"""),422)</f>
        <v>422</v>
      </c>
      <c r="X263" s="1">
        <f ca="1">IFERROR(__xludf.DUMMYFUNCTION("""COMPUTED_VALUE"""),633)</f>
        <v>633</v>
      </c>
      <c r="Y263" s="1">
        <f ca="1">IFERROR(__xludf.DUMMYFUNCTION("""COMPUTED_VALUE"""),0.667)</f>
        <v>0.66700000000000004</v>
      </c>
      <c r="Z263" s="1">
        <f ca="1">IFERROR(__xludf.DUMMYFUNCTION("""COMPUTED_VALUE"""),347)</f>
        <v>347</v>
      </c>
      <c r="AA263" s="1">
        <f ca="1">IFERROR(__xludf.DUMMYFUNCTION("""COMPUTED_VALUE"""),1160)</f>
        <v>1160</v>
      </c>
      <c r="AB263" s="1">
        <f ca="1">IFERROR(__xludf.DUMMYFUNCTION("""COMPUTED_VALUE"""),378)</f>
        <v>378</v>
      </c>
      <c r="AC263" s="1">
        <f ca="1">IFERROR(__xludf.DUMMYFUNCTION("""COMPUTED_VALUE"""),187)</f>
        <v>187</v>
      </c>
      <c r="AD263" s="1">
        <f ca="1">IFERROR(__xludf.DUMMYFUNCTION("""COMPUTED_VALUE"""),127)</f>
        <v>127</v>
      </c>
      <c r="AE263" s="1">
        <f ca="1">IFERROR(__xludf.DUMMYFUNCTION("""COMPUTED_VALUE"""),395)</f>
        <v>395</v>
      </c>
      <c r="AF263" s="1">
        <f ca="1">IFERROR(__xludf.DUMMYFUNCTION("""COMPUTED_VALUE"""),616)</f>
        <v>616</v>
      </c>
    </row>
    <row r="264" spans="1:32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x14ac:dyDescent="0.25">
      <c r="A266" s="1" t="str">
        <f ca="1">IFERROR(__xludf.DUMMYFUNCTION("""COMPUTED_VALUE"""),"Penn State")</f>
        <v>Penn State</v>
      </c>
      <c r="B266" s="1">
        <f ca="1">IFERROR(__xludf.DUMMYFUNCTION("""COMPUTED_VALUE"""),29)</f>
        <v>29</v>
      </c>
      <c r="C266" s="1">
        <f ca="1">IFERROR(__xludf.DUMMYFUNCTION("""COMPUTED_VALUE"""),21)</f>
        <v>21</v>
      </c>
      <c r="D266" s="1">
        <f ca="1">IFERROR(__xludf.DUMMYFUNCTION("""COMPUTED_VALUE"""),8)</f>
        <v>8</v>
      </c>
      <c r="E266" s="1">
        <f ca="1">IFERROR(__xludf.DUMMYFUNCTION("""COMPUTED_VALUE"""),0.724)</f>
        <v>0.72399999999999998</v>
      </c>
      <c r="F266" s="1">
        <f ca="1">IFERROR(__xludf.DUMMYFUNCTION("""COMPUTED_VALUE"""),17.08)</f>
        <v>17.079999999999998</v>
      </c>
      <c r="G266" s="1">
        <f ca="1">IFERROR(__xludf.DUMMYFUNCTION("""COMPUTED_VALUE"""),9.08)</f>
        <v>9.08</v>
      </c>
      <c r="H266" s="1">
        <f ca="1">IFERROR(__xludf.DUMMYFUNCTION("""COMPUTED_VALUE"""),11)</f>
        <v>11</v>
      </c>
      <c r="I266" s="1">
        <f ca="1">IFERROR(__xludf.DUMMYFUNCTION("""COMPUTED_VALUE"""),7)</f>
        <v>7</v>
      </c>
      <c r="J266" s="1">
        <f ca="1">IFERROR(__xludf.DUMMYFUNCTION("""COMPUTED_VALUE"""),14)</f>
        <v>14</v>
      </c>
      <c r="K266" s="1">
        <f ca="1">IFERROR(__xludf.DUMMYFUNCTION("""COMPUTED_VALUE"""),2)</f>
        <v>2</v>
      </c>
      <c r="L266" s="1">
        <f ca="1">IFERROR(__xludf.DUMMYFUNCTION("""COMPUTED_VALUE"""),5)</f>
        <v>5</v>
      </c>
      <c r="M266" s="1">
        <f ca="1">IFERROR(__xludf.DUMMYFUNCTION("""COMPUTED_VALUE"""),5)</f>
        <v>5</v>
      </c>
      <c r="N266" s="1">
        <f ca="1">IFERROR(__xludf.DUMMYFUNCTION("""COMPUTED_VALUE"""),2187)</f>
        <v>2187</v>
      </c>
      <c r="O266" s="1">
        <f ca="1">IFERROR(__xludf.DUMMYFUNCTION("""COMPUTED_VALUE"""),1955)</f>
        <v>1955</v>
      </c>
      <c r="P266" s="1">
        <f ca="1">IFERROR(__xludf.DUMMYFUNCTION("""COMPUTED_VALUE"""),1160)</f>
        <v>1160</v>
      </c>
      <c r="Q266" s="1">
        <f ca="1">IFERROR(__xludf.DUMMYFUNCTION("""COMPUTED_VALUE"""),786)</f>
        <v>786</v>
      </c>
      <c r="R266" s="1">
        <f ca="1">IFERROR(__xludf.DUMMYFUNCTION("""COMPUTED_VALUE"""),1793)</f>
        <v>1793</v>
      </c>
      <c r="S266" s="1">
        <f ca="1">IFERROR(__xludf.DUMMYFUNCTION("""COMPUTED_VALUE"""),0.438)</f>
        <v>0.438</v>
      </c>
      <c r="T266" s="1">
        <f ca="1">IFERROR(__xludf.DUMMYFUNCTION("""COMPUTED_VALUE"""),229)</f>
        <v>229</v>
      </c>
      <c r="U266" s="1">
        <f ca="1">IFERROR(__xludf.DUMMYFUNCTION("""COMPUTED_VALUE"""),699)</f>
        <v>699</v>
      </c>
      <c r="V266" s="1">
        <f ca="1">IFERROR(__xludf.DUMMYFUNCTION("""COMPUTED_VALUE"""),0.328)</f>
        <v>0.32800000000000001</v>
      </c>
      <c r="W266" s="1">
        <f ca="1">IFERROR(__xludf.DUMMYFUNCTION("""COMPUTED_VALUE"""),386)</f>
        <v>386</v>
      </c>
      <c r="X266" s="1">
        <f ca="1">IFERROR(__xludf.DUMMYFUNCTION("""COMPUTED_VALUE"""),561)</f>
        <v>561</v>
      </c>
      <c r="Y266" s="1">
        <f ca="1">IFERROR(__xludf.DUMMYFUNCTION("""COMPUTED_VALUE"""),0.688)</f>
        <v>0.68799999999999994</v>
      </c>
      <c r="Z266" s="1">
        <f ca="1">IFERROR(__xludf.DUMMYFUNCTION("""COMPUTED_VALUE"""),320)</f>
        <v>320</v>
      </c>
      <c r="AA266" s="1">
        <f ca="1">IFERROR(__xludf.DUMMYFUNCTION("""COMPUTED_VALUE"""),1125)</f>
        <v>1125</v>
      </c>
      <c r="AB266" s="1">
        <f ca="1">IFERROR(__xludf.DUMMYFUNCTION("""COMPUTED_VALUE"""),414)</f>
        <v>414</v>
      </c>
      <c r="AC266" s="1">
        <f ca="1">IFERROR(__xludf.DUMMYFUNCTION("""COMPUTED_VALUE"""),224)</f>
        <v>224</v>
      </c>
      <c r="AD266" s="1">
        <f ca="1">IFERROR(__xludf.DUMMYFUNCTION("""COMPUTED_VALUE"""),144)</f>
        <v>144</v>
      </c>
      <c r="AE266" s="1">
        <f ca="1">IFERROR(__xludf.DUMMYFUNCTION("""COMPUTED_VALUE"""),336)</f>
        <v>336</v>
      </c>
      <c r="AF266" s="1">
        <f ca="1">IFERROR(__xludf.DUMMYFUNCTION("""COMPUTED_VALUE"""),508)</f>
        <v>508</v>
      </c>
    </row>
    <row r="267" spans="1:32" x14ac:dyDescent="0.25">
      <c r="A267" s="1" t="str">
        <f ca="1">IFERROR(__xludf.DUMMYFUNCTION("""COMPUTED_VALUE"""),"Pennsylvania")</f>
        <v>Pennsylvania</v>
      </c>
      <c r="B267" s="1">
        <f ca="1">IFERROR(__xludf.DUMMYFUNCTION("""COMPUTED_VALUE"""),25)</f>
        <v>25</v>
      </c>
      <c r="C267" s="1">
        <f ca="1">IFERROR(__xludf.DUMMYFUNCTION("""COMPUTED_VALUE"""),14)</f>
        <v>14</v>
      </c>
      <c r="D267" s="1">
        <f ca="1">IFERROR(__xludf.DUMMYFUNCTION("""COMPUTED_VALUE"""),11)</f>
        <v>11</v>
      </c>
      <c r="E267" s="1">
        <f ca="1">IFERROR(__xludf.DUMMYFUNCTION("""COMPUTED_VALUE"""),0.56)</f>
        <v>0.56000000000000005</v>
      </c>
      <c r="F267" s="1">
        <f ca="1">IFERROR(__xludf.DUMMYFUNCTION("""COMPUTED_VALUE"""),0.57)</f>
        <v>0.56999999999999995</v>
      </c>
      <c r="G267" s="1">
        <f ca="1">IFERROR(__xludf.DUMMYFUNCTION("""COMPUTED_VALUE"""),0.44)</f>
        <v>0.44</v>
      </c>
      <c r="H267" s="1">
        <f ca="1">IFERROR(__xludf.DUMMYFUNCTION("""COMPUTED_VALUE"""),6)</f>
        <v>6</v>
      </c>
      <c r="I267" s="1">
        <f ca="1">IFERROR(__xludf.DUMMYFUNCTION("""COMPUTED_VALUE"""),6)</f>
        <v>6</v>
      </c>
      <c r="J267" s="1">
        <f ca="1">IFERROR(__xludf.DUMMYFUNCTION("""COMPUTED_VALUE"""),6)</f>
        <v>6</v>
      </c>
      <c r="K267" s="1">
        <f ca="1">IFERROR(__xludf.DUMMYFUNCTION("""COMPUTED_VALUE"""),3)</f>
        <v>3</v>
      </c>
      <c r="L267" s="1">
        <f ca="1">IFERROR(__xludf.DUMMYFUNCTION("""COMPUTED_VALUE"""),6)</f>
        <v>6</v>
      </c>
      <c r="M267" s="1">
        <f ca="1">IFERROR(__xludf.DUMMYFUNCTION("""COMPUTED_VALUE"""),7)</f>
        <v>7</v>
      </c>
      <c r="N267" s="1">
        <f ca="1">IFERROR(__xludf.DUMMYFUNCTION("""COMPUTED_VALUE"""),1828)</f>
        <v>1828</v>
      </c>
      <c r="O267" s="1">
        <f ca="1">IFERROR(__xludf.DUMMYFUNCTION("""COMPUTED_VALUE"""),1777)</f>
        <v>1777</v>
      </c>
      <c r="P267" s="1">
        <f ca="1">IFERROR(__xludf.DUMMYFUNCTION("""COMPUTED_VALUE"""),1005)</f>
        <v>1005</v>
      </c>
      <c r="Q267" s="1">
        <f ca="1">IFERROR(__xludf.DUMMYFUNCTION("""COMPUTED_VALUE"""),678)</f>
        <v>678</v>
      </c>
      <c r="R267" s="1">
        <f ca="1">IFERROR(__xludf.DUMMYFUNCTION("""COMPUTED_VALUE"""),1506)</f>
        <v>1506</v>
      </c>
      <c r="S267" s="1">
        <f ca="1">IFERROR(__xludf.DUMMYFUNCTION("""COMPUTED_VALUE"""),0.45)</f>
        <v>0.45</v>
      </c>
      <c r="T267" s="1">
        <f ca="1">IFERROR(__xludf.DUMMYFUNCTION("""COMPUTED_VALUE"""),216)</f>
        <v>216</v>
      </c>
      <c r="U267" s="1">
        <f ca="1">IFERROR(__xludf.DUMMYFUNCTION("""COMPUTED_VALUE"""),665)</f>
        <v>665</v>
      </c>
      <c r="V267" s="1">
        <f ca="1">IFERROR(__xludf.DUMMYFUNCTION("""COMPUTED_VALUE"""),0.325)</f>
        <v>0.32500000000000001</v>
      </c>
      <c r="W267" s="1">
        <f ca="1">IFERROR(__xludf.DUMMYFUNCTION("""COMPUTED_VALUE"""),256)</f>
        <v>256</v>
      </c>
      <c r="X267" s="1">
        <f ca="1">IFERROR(__xludf.DUMMYFUNCTION("""COMPUTED_VALUE"""),382)</f>
        <v>382</v>
      </c>
      <c r="Y267" s="1">
        <f ca="1">IFERROR(__xludf.DUMMYFUNCTION("""COMPUTED_VALUE"""),0.67)</f>
        <v>0.67</v>
      </c>
      <c r="Z267" s="1">
        <f ca="1">IFERROR(__xludf.DUMMYFUNCTION("""COMPUTED_VALUE"""),204)</f>
        <v>204</v>
      </c>
      <c r="AA267" s="1">
        <f ca="1">IFERROR(__xludf.DUMMYFUNCTION("""COMPUTED_VALUE"""),905)</f>
        <v>905</v>
      </c>
      <c r="AB267" s="1">
        <f ca="1">IFERROR(__xludf.DUMMYFUNCTION("""COMPUTED_VALUE"""),368)</f>
        <v>368</v>
      </c>
      <c r="AC267" s="1">
        <f ca="1">IFERROR(__xludf.DUMMYFUNCTION("""COMPUTED_VALUE"""),144)</f>
        <v>144</v>
      </c>
      <c r="AD267" s="1">
        <f ca="1">IFERROR(__xludf.DUMMYFUNCTION("""COMPUTED_VALUE"""),84)</f>
        <v>84</v>
      </c>
      <c r="AE267" s="1">
        <f ca="1">IFERROR(__xludf.DUMMYFUNCTION("""COMPUTED_VALUE"""),318)</f>
        <v>318</v>
      </c>
      <c r="AF267" s="1">
        <f ca="1">IFERROR(__xludf.DUMMYFUNCTION("""COMPUTED_VALUE"""),383)</f>
        <v>383</v>
      </c>
    </row>
    <row r="268" spans="1:32" x14ac:dyDescent="0.25">
      <c r="A268" s="1" t="str">
        <f ca="1">IFERROR(__xludf.DUMMYFUNCTION("""COMPUTED_VALUE"""),"Pepperdine")</f>
        <v>Pepperdine</v>
      </c>
      <c r="B268" s="1">
        <f ca="1">IFERROR(__xludf.DUMMYFUNCTION("""COMPUTED_VALUE"""),30)</f>
        <v>30</v>
      </c>
      <c r="C268" s="1">
        <f ca="1">IFERROR(__xludf.DUMMYFUNCTION("""COMPUTED_VALUE"""),15)</f>
        <v>15</v>
      </c>
      <c r="D268" s="1">
        <f ca="1">IFERROR(__xludf.DUMMYFUNCTION("""COMPUTED_VALUE"""),15)</f>
        <v>15</v>
      </c>
      <c r="E268" s="1">
        <f ca="1">IFERROR(__xludf.DUMMYFUNCTION("""COMPUTED_VALUE"""),0.5)</f>
        <v>0.5</v>
      </c>
      <c r="F268" s="1">
        <f ca="1">IFERROR(__xludf.DUMMYFUNCTION("""COMPUTED_VALUE"""),2.57)</f>
        <v>2.57</v>
      </c>
      <c r="G268" s="1">
        <f ca="1">IFERROR(__xludf.DUMMYFUNCTION("""COMPUTED_VALUE"""),3.53)</f>
        <v>3.53</v>
      </c>
      <c r="H268" s="1">
        <f ca="1">IFERROR(__xludf.DUMMYFUNCTION("""COMPUTED_VALUE"""),8)</f>
        <v>8</v>
      </c>
      <c r="I268" s="1">
        <f ca="1">IFERROR(__xludf.DUMMYFUNCTION("""COMPUTED_VALUE"""),8)</f>
        <v>8</v>
      </c>
      <c r="J268" s="1">
        <f ca="1">IFERROR(__xludf.DUMMYFUNCTION("""COMPUTED_VALUE"""),9)</f>
        <v>9</v>
      </c>
      <c r="K268" s="1">
        <f ca="1">IFERROR(__xludf.DUMMYFUNCTION("""COMPUTED_VALUE"""),5)</f>
        <v>5</v>
      </c>
      <c r="L268" s="1">
        <f ca="1">IFERROR(__xludf.DUMMYFUNCTION("""COMPUTED_VALUE"""),6)</f>
        <v>6</v>
      </c>
      <c r="M268" s="1">
        <f ca="1">IFERROR(__xludf.DUMMYFUNCTION("""COMPUTED_VALUE"""),7)</f>
        <v>7</v>
      </c>
      <c r="N268" s="1">
        <f ca="1">IFERROR(__xludf.DUMMYFUNCTION("""COMPUTED_VALUE"""),2275)</f>
        <v>2275</v>
      </c>
      <c r="O268" s="1">
        <f ca="1">IFERROR(__xludf.DUMMYFUNCTION("""COMPUTED_VALUE"""),2304)</f>
        <v>2304</v>
      </c>
      <c r="P268" s="1">
        <f ca="1">IFERROR(__xludf.DUMMYFUNCTION("""COMPUTED_VALUE"""),1215)</f>
        <v>1215</v>
      </c>
      <c r="Q268" s="1">
        <f ca="1">IFERROR(__xludf.DUMMYFUNCTION("""COMPUTED_VALUE"""),785)</f>
        <v>785</v>
      </c>
      <c r="R268" s="1">
        <f ca="1">IFERROR(__xludf.DUMMYFUNCTION("""COMPUTED_VALUE"""),1810)</f>
        <v>1810</v>
      </c>
      <c r="S268" s="1">
        <f ca="1">IFERROR(__xludf.DUMMYFUNCTION("""COMPUTED_VALUE"""),0.434)</f>
        <v>0.434</v>
      </c>
      <c r="T268" s="1">
        <f ca="1">IFERROR(__xludf.DUMMYFUNCTION("""COMPUTED_VALUE"""),236)</f>
        <v>236</v>
      </c>
      <c r="U268" s="1">
        <f ca="1">IFERROR(__xludf.DUMMYFUNCTION("""COMPUTED_VALUE"""),678)</f>
        <v>678</v>
      </c>
      <c r="V268" s="1">
        <f ca="1">IFERROR(__xludf.DUMMYFUNCTION("""COMPUTED_VALUE"""),0.348)</f>
        <v>0.34799999999999998</v>
      </c>
      <c r="W268" s="1">
        <f ca="1">IFERROR(__xludf.DUMMYFUNCTION("""COMPUTED_VALUE"""),469)</f>
        <v>469</v>
      </c>
      <c r="X268" s="1">
        <f ca="1">IFERROR(__xludf.DUMMYFUNCTION("""COMPUTED_VALUE"""),594)</f>
        <v>594</v>
      </c>
      <c r="Y268" s="1">
        <f ca="1">IFERROR(__xludf.DUMMYFUNCTION("""COMPUTED_VALUE"""),0.79)</f>
        <v>0.79</v>
      </c>
      <c r="Z268" s="1">
        <f ca="1">IFERROR(__xludf.DUMMYFUNCTION("""COMPUTED_VALUE"""),294)</f>
        <v>294</v>
      </c>
      <c r="AA268" s="1">
        <f ca="1">IFERROR(__xludf.DUMMYFUNCTION("""COMPUTED_VALUE"""),1022)</f>
        <v>1022</v>
      </c>
      <c r="AB268" s="1">
        <f ca="1">IFERROR(__xludf.DUMMYFUNCTION("""COMPUTED_VALUE"""),449)</f>
        <v>449</v>
      </c>
      <c r="AC268" s="1">
        <f ca="1">IFERROR(__xludf.DUMMYFUNCTION("""COMPUTED_VALUE"""),189)</f>
        <v>189</v>
      </c>
      <c r="AD268" s="1">
        <f ca="1">IFERROR(__xludf.DUMMYFUNCTION("""COMPUTED_VALUE"""),109)</f>
        <v>109</v>
      </c>
      <c r="AE268" s="1">
        <f ca="1">IFERROR(__xludf.DUMMYFUNCTION("""COMPUTED_VALUE"""),378)</f>
        <v>378</v>
      </c>
      <c r="AF268" s="1">
        <f ca="1">IFERROR(__xludf.DUMMYFUNCTION("""COMPUTED_VALUE"""),538)</f>
        <v>538</v>
      </c>
    </row>
    <row r="269" spans="1:32" x14ac:dyDescent="0.25">
      <c r="A269" s="1" t="str">
        <f ca="1">IFERROR(__xludf.DUMMYFUNCTION("""COMPUTED_VALUE"""),"Pittsburgh")</f>
        <v>Pittsburgh</v>
      </c>
      <c r="B269" s="1">
        <f ca="1">IFERROR(__xludf.DUMMYFUNCTION("""COMPUTED_VALUE"""),30)</f>
        <v>30</v>
      </c>
      <c r="C269" s="1">
        <f ca="1">IFERROR(__xludf.DUMMYFUNCTION("""COMPUTED_VALUE"""),15)</f>
        <v>15</v>
      </c>
      <c r="D269" s="1">
        <f ca="1">IFERROR(__xludf.DUMMYFUNCTION("""COMPUTED_VALUE"""),15)</f>
        <v>15</v>
      </c>
      <c r="E269" s="1">
        <f ca="1">IFERROR(__xludf.DUMMYFUNCTION("""COMPUTED_VALUE"""),0.5)</f>
        <v>0.5</v>
      </c>
      <c r="F269" s="1">
        <f ca="1">IFERROR(__xludf.DUMMYFUNCTION("""COMPUTED_VALUE"""),7.13)</f>
        <v>7.13</v>
      </c>
      <c r="G269" s="1">
        <f ca="1">IFERROR(__xludf.DUMMYFUNCTION("""COMPUTED_VALUE"""),6.97)</f>
        <v>6.97</v>
      </c>
      <c r="H269" s="1">
        <f ca="1">IFERROR(__xludf.DUMMYFUNCTION("""COMPUTED_VALUE"""),6)</f>
        <v>6</v>
      </c>
      <c r="I269" s="1">
        <f ca="1">IFERROR(__xludf.DUMMYFUNCTION("""COMPUTED_VALUE"""),13)</f>
        <v>13</v>
      </c>
      <c r="J269" s="1">
        <f ca="1">IFERROR(__xludf.DUMMYFUNCTION("""COMPUTED_VALUE"""),11)</f>
        <v>11</v>
      </c>
      <c r="K269" s="1">
        <f ca="1">IFERROR(__xludf.DUMMYFUNCTION("""COMPUTED_VALUE"""),7)</f>
        <v>7</v>
      </c>
      <c r="L269" s="1">
        <f ca="1">IFERROR(__xludf.DUMMYFUNCTION("""COMPUTED_VALUE"""),2)</f>
        <v>2</v>
      </c>
      <c r="M269" s="1">
        <f ca="1">IFERROR(__xludf.DUMMYFUNCTION("""COMPUTED_VALUE"""),8)</f>
        <v>8</v>
      </c>
      <c r="N269" s="1">
        <f ca="1">IFERROR(__xludf.DUMMYFUNCTION("""COMPUTED_VALUE"""),1956)</f>
        <v>1956</v>
      </c>
      <c r="O269" s="1">
        <f ca="1">IFERROR(__xludf.DUMMYFUNCTION("""COMPUTED_VALUE"""),1951)</f>
        <v>1951</v>
      </c>
      <c r="P269" s="1">
        <f ca="1">IFERROR(__xludf.DUMMYFUNCTION("""COMPUTED_VALUE"""),1205)</f>
        <v>1205</v>
      </c>
      <c r="Q269" s="1">
        <f ca="1">IFERROR(__xludf.DUMMYFUNCTION("""COMPUTED_VALUE"""),683)</f>
        <v>683</v>
      </c>
      <c r="R269" s="1">
        <f ca="1">IFERROR(__xludf.DUMMYFUNCTION("""COMPUTED_VALUE"""),1687)</f>
        <v>1687</v>
      </c>
      <c r="S269" s="1">
        <f ca="1">IFERROR(__xludf.DUMMYFUNCTION("""COMPUTED_VALUE"""),0.405)</f>
        <v>0.40500000000000003</v>
      </c>
      <c r="T269" s="1">
        <f ca="1">IFERROR(__xludf.DUMMYFUNCTION("""COMPUTED_VALUE"""),159)</f>
        <v>159</v>
      </c>
      <c r="U269" s="1">
        <f ca="1">IFERROR(__xludf.DUMMYFUNCTION("""COMPUTED_VALUE"""),544)</f>
        <v>544</v>
      </c>
      <c r="V269" s="1">
        <f ca="1">IFERROR(__xludf.DUMMYFUNCTION("""COMPUTED_VALUE"""),0.292)</f>
        <v>0.29199999999999998</v>
      </c>
      <c r="W269" s="1">
        <f ca="1">IFERROR(__xludf.DUMMYFUNCTION("""COMPUTED_VALUE"""),431)</f>
        <v>431</v>
      </c>
      <c r="X269" s="1">
        <f ca="1">IFERROR(__xludf.DUMMYFUNCTION("""COMPUTED_VALUE"""),605)</f>
        <v>605</v>
      </c>
      <c r="Y269" s="1">
        <f ca="1">IFERROR(__xludf.DUMMYFUNCTION("""COMPUTED_VALUE"""),0.712)</f>
        <v>0.71199999999999997</v>
      </c>
      <c r="Z269" s="1">
        <f ca="1">IFERROR(__xludf.DUMMYFUNCTION("""COMPUTED_VALUE"""),357)</f>
        <v>357</v>
      </c>
      <c r="AA269" s="1">
        <f ca="1">IFERROR(__xludf.DUMMYFUNCTION("""COMPUTED_VALUE"""),1030)</f>
        <v>1030</v>
      </c>
      <c r="AB269" s="1">
        <f ca="1">IFERROR(__xludf.DUMMYFUNCTION("""COMPUTED_VALUE"""),374)</f>
        <v>374</v>
      </c>
      <c r="AC269" s="1">
        <f ca="1">IFERROR(__xludf.DUMMYFUNCTION("""COMPUTED_VALUE"""),234)</f>
        <v>234</v>
      </c>
      <c r="AD269" s="1">
        <f ca="1">IFERROR(__xludf.DUMMYFUNCTION("""COMPUTED_VALUE"""),102)</f>
        <v>102</v>
      </c>
      <c r="AE269" s="1">
        <f ca="1">IFERROR(__xludf.DUMMYFUNCTION("""COMPUTED_VALUE"""),363)</f>
        <v>363</v>
      </c>
      <c r="AF269" s="1">
        <f ca="1">IFERROR(__xludf.DUMMYFUNCTION("""COMPUTED_VALUE"""),464)</f>
        <v>464</v>
      </c>
    </row>
    <row r="270" spans="1:32" x14ac:dyDescent="0.25">
      <c r="A270" s="1" t="str">
        <f ca="1">IFERROR(__xludf.DUMMYFUNCTION("""COMPUTED_VALUE"""),"Portland State")</f>
        <v>Portland State</v>
      </c>
      <c r="B270" s="1">
        <f ca="1">IFERROR(__xludf.DUMMYFUNCTION("""COMPUTED_VALUE"""),30)</f>
        <v>30</v>
      </c>
      <c r="C270" s="1">
        <f ca="1">IFERROR(__xludf.DUMMYFUNCTION("""COMPUTED_VALUE"""),16)</f>
        <v>16</v>
      </c>
      <c r="D270" s="1">
        <f ca="1">IFERROR(__xludf.DUMMYFUNCTION("""COMPUTED_VALUE"""),14)</f>
        <v>14</v>
      </c>
      <c r="E270" s="1">
        <f ca="1">IFERROR(__xludf.DUMMYFUNCTION("""COMPUTED_VALUE"""),0.533)</f>
        <v>0.53300000000000003</v>
      </c>
      <c r="F270" s="1">
        <f ca="1">IFERROR(__xludf.DUMMYFUNCTION("""COMPUTED_VALUE"""),-1.91)</f>
        <v>-1.91</v>
      </c>
      <c r="G270" s="1">
        <f ca="1">IFERROR(__xludf.DUMMYFUNCTION("""COMPUTED_VALUE"""),-2.27)</f>
        <v>-2.27</v>
      </c>
      <c r="H270" s="1">
        <f ca="1">IFERROR(__xludf.DUMMYFUNCTION("""COMPUTED_VALUE"""),10)</f>
        <v>10</v>
      </c>
      <c r="I270" s="1">
        <f ca="1">IFERROR(__xludf.DUMMYFUNCTION("""COMPUTED_VALUE"""),8)</f>
        <v>8</v>
      </c>
      <c r="J270" s="1">
        <f ca="1">IFERROR(__xludf.DUMMYFUNCTION("""COMPUTED_VALUE"""),9)</f>
        <v>9</v>
      </c>
      <c r="K270" s="1">
        <f ca="1">IFERROR(__xludf.DUMMYFUNCTION("""COMPUTED_VALUE"""),3)</f>
        <v>3</v>
      </c>
      <c r="L270" s="1">
        <f ca="1">IFERROR(__xludf.DUMMYFUNCTION("""COMPUTED_VALUE"""),6)</f>
        <v>6</v>
      </c>
      <c r="M270" s="1">
        <f ca="1">IFERROR(__xludf.DUMMYFUNCTION("""COMPUTED_VALUE"""),11)</f>
        <v>11</v>
      </c>
      <c r="N270" s="1">
        <f ca="1">IFERROR(__xludf.DUMMYFUNCTION("""COMPUTED_VALUE"""),2362)</f>
        <v>2362</v>
      </c>
      <c r="O270" s="1">
        <f ca="1">IFERROR(__xludf.DUMMYFUNCTION("""COMPUTED_VALUE"""),2274)</f>
        <v>2274</v>
      </c>
      <c r="P270" s="1">
        <f ca="1">IFERROR(__xludf.DUMMYFUNCTION("""COMPUTED_VALUE"""),1200)</f>
        <v>1200</v>
      </c>
      <c r="Q270" s="1">
        <f ca="1">IFERROR(__xludf.DUMMYFUNCTION("""COMPUTED_VALUE"""),873)</f>
        <v>873</v>
      </c>
      <c r="R270" s="1">
        <f ca="1">IFERROR(__xludf.DUMMYFUNCTION("""COMPUTED_VALUE"""),1951)</f>
        <v>1951</v>
      </c>
      <c r="S270" s="1">
        <f ca="1">IFERROR(__xludf.DUMMYFUNCTION("""COMPUTED_VALUE"""),0.447)</f>
        <v>0.44700000000000001</v>
      </c>
      <c r="T270" s="1">
        <f ca="1">IFERROR(__xludf.DUMMYFUNCTION("""COMPUTED_VALUE"""),191)</f>
        <v>191</v>
      </c>
      <c r="U270" s="1">
        <f ca="1">IFERROR(__xludf.DUMMYFUNCTION("""COMPUTED_VALUE"""),575)</f>
        <v>575</v>
      </c>
      <c r="V270" s="1">
        <f ca="1">IFERROR(__xludf.DUMMYFUNCTION("""COMPUTED_VALUE"""),0.332)</f>
        <v>0.33200000000000002</v>
      </c>
      <c r="W270" s="1">
        <f ca="1">IFERROR(__xludf.DUMMYFUNCTION("""COMPUTED_VALUE"""),425)</f>
        <v>425</v>
      </c>
      <c r="X270" s="1">
        <f ca="1">IFERROR(__xludf.DUMMYFUNCTION("""COMPUTED_VALUE"""),591)</f>
        <v>591</v>
      </c>
      <c r="Y270" s="1">
        <f ca="1">IFERROR(__xludf.DUMMYFUNCTION("""COMPUTED_VALUE"""),0.719)</f>
        <v>0.71899999999999997</v>
      </c>
      <c r="Z270" s="1">
        <f ca="1">IFERROR(__xludf.DUMMYFUNCTION("""COMPUTED_VALUE"""),420)</f>
        <v>420</v>
      </c>
      <c r="AA270" s="1">
        <f ca="1">IFERROR(__xludf.DUMMYFUNCTION("""COMPUTED_VALUE"""),1103)</f>
        <v>1103</v>
      </c>
      <c r="AB270" s="1">
        <f ca="1">IFERROR(__xludf.DUMMYFUNCTION("""COMPUTED_VALUE"""),402)</f>
        <v>402</v>
      </c>
      <c r="AC270" s="1">
        <f ca="1">IFERROR(__xludf.DUMMYFUNCTION("""COMPUTED_VALUE"""),262)</f>
        <v>262</v>
      </c>
      <c r="AD270" s="1">
        <f ca="1">IFERROR(__xludf.DUMMYFUNCTION("""COMPUTED_VALUE"""),125)</f>
        <v>125</v>
      </c>
      <c r="AE270" s="1">
        <f ca="1">IFERROR(__xludf.DUMMYFUNCTION("""COMPUTED_VALUE"""),383)</f>
        <v>383</v>
      </c>
      <c r="AF270" s="1">
        <f ca="1">IFERROR(__xludf.DUMMYFUNCTION("""COMPUTED_VALUE"""),554)</f>
        <v>554</v>
      </c>
    </row>
    <row r="271" spans="1:32" x14ac:dyDescent="0.25">
      <c r="A271" s="1" t="str">
        <f ca="1">IFERROR(__xludf.DUMMYFUNCTION("""COMPUTED_VALUE"""),"Portland")</f>
        <v>Portland</v>
      </c>
      <c r="B271" s="1">
        <f ca="1">IFERROR(__xludf.DUMMYFUNCTION("""COMPUTED_VALUE"""),31)</f>
        <v>31</v>
      </c>
      <c r="C271" s="1">
        <f ca="1">IFERROR(__xludf.DUMMYFUNCTION("""COMPUTED_VALUE"""),9)</f>
        <v>9</v>
      </c>
      <c r="D271" s="1">
        <f ca="1">IFERROR(__xludf.DUMMYFUNCTION("""COMPUTED_VALUE"""),22)</f>
        <v>22</v>
      </c>
      <c r="E271" s="1">
        <f ca="1">IFERROR(__xludf.DUMMYFUNCTION("""COMPUTED_VALUE"""),0.29)</f>
        <v>0.28999999999999998</v>
      </c>
      <c r="F271" s="1">
        <f ca="1">IFERROR(__xludf.DUMMYFUNCTION("""COMPUTED_VALUE"""),-6.37)</f>
        <v>-6.37</v>
      </c>
      <c r="G271" s="1">
        <f ca="1">IFERROR(__xludf.DUMMYFUNCTION("""COMPUTED_VALUE"""),1.95)</f>
        <v>1.95</v>
      </c>
      <c r="H271" s="1">
        <f ca="1">IFERROR(__xludf.DUMMYFUNCTION("""COMPUTED_VALUE"""),1)</f>
        <v>1</v>
      </c>
      <c r="I271" s="1">
        <f ca="1">IFERROR(__xludf.DUMMYFUNCTION("""COMPUTED_VALUE"""),15)</f>
        <v>15</v>
      </c>
      <c r="J271" s="1">
        <f ca="1">IFERROR(__xludf.DUMMYFUNCTION("""COMPUTED_VALUE"""),7)</f>
        <v>7</v>
      </c>
      <c r="K271" s="1">
        <f ca="1">IFERROR(__xludf.DUMMYFUNCTION("""COMPUTED_VALUE"""),9)</f>
        <v>9</v>
      </c>
      <c r="L271" s="1">
        <f ca="1">IFERROR(__xludf.DUMMYFUNCTION("""COMPUTED_VALUE"""),2)</f>
        <v>2</v>
      </c>
      <c r="M271" s="1">
        <f ca="1">IFERROR(__xludf.DUMMYFUNCTION("""COMPUTED_VALUE"""),9)</f>
        <v>9</v>
      </c>
      <c r="N271" s="1">
        <f ca="1">IFERROR(__xludf.DUMMYFUNCTION("""COMPUTED_VALUE"""),2064)</f>
        <v>2064</v>
      </c>
      <c r="O271" s="1">
        <f ca="1">IFERROR(__xludf.DUMMYFUNCTION("""COMPUTED_VALUE"""),2233)</f>
        <v>2233</v>
      </c>
      <c r="P271" s="1">
        <f ca="1">IFERROR(__xludf.DUMMYFUNCTION("""COMPUTED_VALUE"""),1250)</f>
        <v>1250</v>
      </c>
      <c r="Q271" s="1">
        <f ca="1">IFERROR(__xludf.DUMMYFUNCTION("""COMPUTED_VALUE"""),736)</f>
        <v>736</v>
      </c>
      <c r="R271" s="1">
        <f ca="1">IFERROR(__xludf.DUMMYFUNCTION("""COMPUTED_VALUE"""),1713)</f>
        <v>1713</v>
      </c>
      <c r="S271" s="1">
        <f ca="1">IFERROR(__xludf.DUMMYFUNCTION("""COMPUTED_VALUE"""),0.43)</f>
        <v>0.43</v>
      </c>
      <c r="T271" s="1">
        <f ca="1">IFERROR(__xludf.DUMMYFUNCTION("""COMPUTED_VALUE"""),209)</f>
        <v>209</v>
      </c>
      <c r="U271" s="1">
        <f ca="1">IFERROR(__xludf.DUMMYFUNCTION("""COMPUTED_VALUE"""),609)</f>
        <v>609</v>
      </c>
      <c r="V271" s="1">
        <f ca="1">IFERROR(__xludf.DUMMYFUNCTION("""COMPUTED_VALUE"""),0.343)</f>
        <v>0.34300000000000003</v>
      </c>
      <c r="W271" s="1">
        <f ca="1">IFERROR(__xludf.DUMMYFUNCTION("""COMPUTED_VALUE"""),383)</f>
        <v>383</v>
      </c>
      <c r="X271" s="1">
        <f ca="1">IFERROR(__xludf.DUMMYFUNCTION("""COMPUTED_VALUE"""),567)</f>
        <v>567</v>
      </c>
      <c r="Y271" s="1">
        <f ca="1">IFERROR(__xludf.DUMMYFUNCTION("""COMPUTED_VALUE"""),0.675)</f>
        <v>0.67500000000000004</v>
      </c>
      <c r="Z271" s="1">
        <f ca="1">IFERROR(__xludf.DUMMYFUNCTION("""COMPUTED_VALUE"""),216)</f>
        <v>216</v>
      </c>
      <c r="AA271" s="1">
        <f ca="1">IFERROR(__xludf.DUMMYFUNCTION("""COMPUTED_VALUE"""),990)</f>
        <v>990</v>
      </c>
      <c r="AB271" s="1">
        <f ca="1">IFERROR(__xludf.DUMMYFUNCTION("""COMPUTED_VALUE"""),413)</f>
        <v>413</v>
      </c>
      <c r="AC271" s="1">
        <f ca="1">IFERROR(__xludf.DUMMYFUNCTION("""COMPUTED_VALUE"""),176)</f>
        <v>176</v>
      </c>
      <c r="AD271" s="1">
        <f ca="1">IFERROR(__xludf.DUMMYFUNCTION("""COMPUTED_VALUE"""),113)</f>
        <v>113</v>
      </c>
      <c r="AE271" s="1">
        <f ca="1">IFERROR(__xludf.DUMMYFUNCTION("""COMPUTED_VALUE"""),436)</f>
        <v>436</v>
      </c>
      <c r="AF271" s="1">
        <f ca="1">IFERROR(__xludf.DUMMYFUNCTION("""COMPUTED_VALUE"""),526)</f>
        <v>526</v>
      </c>
    </row>
    <row r="272" spans="1:32" x14ac:dyDescent="0.25">
      <c r="A272" s="1" t="str">
        <f ca="1">IFERROR(__xludf.DUMMYFUNCTION("""COMPUTED_VALUE"""),"Prairie View")</f>
        <v>Prairie View</v>
      </c>
      <c r="B272" s="1">
        <f ca="1">IFERROR(__xludf.DUMMYFUNCTION("""COMPUTED_VALUE"""),29)</f>
        <v>29</v>
      </c>
      <c r="C272" s="1">
        <f ca="1">IFERROR(__xludf.DUMMYFUNCTION("""COMPUTED_VALUE"""),18)</f>
        <v>18</v>
      </c>
      <c r="D272" s="1">
        <f ca="1">IFERROR(__xludf.DUMMYFUNCTION("""COMPUTED_VALUE"""),11)</f>
        <v>11</v>
      </c>
      <c r="E272" s="1">
        <f ca="1">IFERROR(__xludf.DUMMYFUNCTION("""COMPUTED_VALUE"""),0.621)</f>
        <v>0.621</v>
      </c>
      <c r="F272" s="1">
        <f ca="1">IFERROR(__xludf.DUMMYFUNCTION("""COMPUTED_VALUE"""),-5.29)</f>
        <v>-5.29</v>
      </c>
      <c r="G272" s="1">
        <f ca="1">IFERROR(__xludf.DUMMYFUNCTION("""COMPUTED_VALUE"""),-7.48)</f>
        <v>-7.48</v>
      </c>
      <c r="H272" s="1">
        <f ca="1">IFERROR(__xludf.DUMMYFUNCTION("""COMPUTED_VALUE"""),14)</f>
        <v>14</v>
      </c>
      <c r="I272" s="1">
        <f ca="1">IFERROR(__xludf.DUMMYFUNCTION("""COMPUTED_VALUE"""),2)</f>
        <v>2</v>
      </c>
      <c r="J272" s="1">
        <f ca="1">IFERROR(__xludf.DUMMYFUNCTION("""COMPUTED_VALUE"""),11)</f>
        <v>11</v>
      </c>
      <c r="K272" s="1">
        <f ca="1">IFERROR(__xludf.DUMMYFUNCTION("""COMPUTED_VALUE"""),0)</f>
        <v>0</v>
      </c>
      <c r="L272" s="1">
        <f ca="1">IFERROR(__xludf.DUMMYFUNCTION("""COMPUTED_VALUE"""),6)</f>
        <v>6</v>
      </c>
      <c r="M272" s="1">
        <f ca="1">IFERROR(__xludf.DUMMYFUNCTION("""COMPUTED_VALUE"""),10)</f>
        <v>10</v>
      </c>
      <c r="N272" s="1">
        <f ca="1">IFERROR(__xludf.DUMMYFUNCTION("""COMPUTED_VALUE"""),2069)</f>
        <v>2069</v>
      </c>
      <c r="O272" s="1">
        <f ca="1">IFERROR(__xludf.DUMMYFUNCTION("""COMPUTED_VALUE"""),1957)</f>
        <v>1957</v>
      </c>
      <c r="P272" s="1">
        <f ca="1">IFERROR(__xludf.DUMMYFUNCTION("""COMPUTED_VALUE"""),1165)</f>
        <v>1165</v>
      </c>
      <c r="Q272" s="1">
        <f ca="1">IFERROR(__xludf.DUMMYFUNCTION("""COMPUTED_VALUE"""),734)</f>
        <v>734</v>
      </c>
      <c r="R272" s="1">
        <f ca="1">IFERROR(__xludf.DUMMYFUNCTION("""COMPUTED_VALUE"""),1665)</f>
        <v>1665</v>
      </c>
      <c r="S272" s="1">
        <f ca="1">IFERROR(__xludf.DUMMYFUNCTION("""COMPUTED_VALUE"""),0.441)</f>
        <v>0.441</v>
      </c>
      <c r="T272" s="1">
        <f ca="1">IFERROR(__xludf.DUMMYFUNCTION("""COMPUTED_VALUE"""),137)</f>
        <v>137</v>
      </c>
      <c r="U272" s="1">
        <f ca="1">IFERROR(__xludf.DUMMYFUNCTION("""COMPUTED_VALUE"""),445)</f>
        <v>445</v>
      </c>
      <c r="V272" s="1">
        <f ca="1">IFERROR(__xludf.DUMMYFUNCTION("""COMPUTED_VALUE"""),0.308)</f>
        <v>0.308</v>
      </c>
      <c r="W272" s="1">
        <f ca="1">IFERROR(__xludf.DUMMYFUNCTION("""COMPUTED_VALUE"""),464)</f>
        <v>464</v>
      </c>
      <c r="X272" s="1">
        <f ca="1">IFERROR(__xludf.DUMMYFUNCTION("""COMPUTED_VALUE"""),655)</f>
        <v>655</v>
      </c>
      <c r="Y272" s="1">
        <f ca="1">IFERROR(__xludf.DUMMYFUNCTION("""COMPUTED_VALUE"""),0.708)</f>
        <v>0.70799999999999996</v>
      </c>
      <c r="Z272" s="1">
        <f ca="1">IFERROR(__xludf.DUMMYFUNCTION("""COMPUTED_VALUE"""),279)</f>
        <v>279</v>
      </c>
      <c r="AA272" s="1">
        <f ca="1">IFERROR(__xludf.DUMMYFUNCTION("""COMPUTED_VALUE"""),953)</f>
        <v>953</v>
      </c>
      <c r="AB272" s="1">
        <f ca="1">IFERROR(__xludf.DUMMYFUNCTION("""COMPUTED_VALUE"""),415)</f>
        <v>415</v>
      </c>
      <c r="AC272" s="1">
        <f ca="1">IFERROR(__xludf.DUMMYFUNCTION("""COMPUTED_VALUE"""),246)</f>
        <v>246</v>
      </c>
      <c r="AD272" s="1">
        <f ca="1">IFERROR(__xludf.DUMMYFUNCTION("""COMPUTED_VALUE"""),71)</f>
        <v>71</v>
      </c>
      <c r="AE272" s="1">
        <f ca="1">IFERROR(__xludf.DUMMYFUNCTION("""COMPUTED_VALUE"""),422)</f>
        <v>422</v>
      </c>
      <c r="AF272" s="1">
        <f ca="1">IFERROR(__xludf.DUMMYFUNCTION("""COMPUTED_VALUE"""),626)</f>
        <v>626</v>
      </c>
    </row>
    <row r="273" spans="1:32" x14ac:dyDescent="0.25">
      <c r="A273" s="1" t="str">
        <f ca="1">IFERROR(__xludf.DUMMYFUNCTION("""COMPUTED_VALUE"""),"Presbyterian")</f>
        <v>Presbyterian</v>
      </c>
      <c r="B273" s="1">
        <f ca="1">IFERROR(__xludf.DUMMYFUNCTION("""COMPUTED_VALUE"""),31)</f>
        <v>31</v>
      </c>
      <c r="C273" s="1">
        <f ca="1">IFERROR(__xludf.DUMMYFUNCTION("""COMPUTED_VALUE"""),10)</f>
        <v>10</v>
      </c>
      <c r="D273" s="1">
        <f ca="1">IFERROR(__xludf.DUMMYFUNCTION("""COMPUTED_VALUE"""),21)</f>
        <v>21</v>
      </c>
      <c r="E273" s="1">
        <f ca="1">IFERROR(__xludf.DUMMYFUNCTION("""COMPUTED_VALUE"""),0.323)</f>
        <v>0.32300000000000001</v>
      </c>
      <c r="F273" s="1">
        <f ca="1">IFERROR(__xludf.DUMMYFUNCTION("""COMPUTED_VALUE"""),-14.47)</f>
        <v>-14.47</v>
      </c>
      <c r="G273" s="1">
        <f ca="1">IFERROR(__xludf.DUMMYFUNCTION("""COMPUTED_VALUE"""),-6.64)</f>
        <v>-6.64</v>
      </c>
      <c r="H273" s="1">
        <f ca="1">IFERROR(__xludf.DUMMYFUNCTION("""COMPUTED_VALUE"""),7)</f>
        <v>7</v>
      </c>
      <c r="I273" s="1">
        <f ca="1">IFERROR(__xludf.DUMMYFUNCTION("""COMPUTED_VALUE"""),11)</f>
        <v>11</v>
      </c>
      <c r="J273" s="1">
        <f ca="1">IFERROR(__xludf.DUMMYFUNCTION("""COMPUTED_VALUE"""),7)</f>
        <v>7</v>
      </c>
      <c r="K273" s="1">
        <f ca="1">IFERROR(__xludf.DUMMYFUNCTION("""COMPUTED_VALUE"""),6)</f>
        <v>6</v>
      </c>
      <c r="L273" s="1">
        <f ca="1">IFERROR(__xludf.DUMMYFUNCTION("""COMPUTED_VALUE"""),3)</f>
        <v>3</v>
      </c>
      <c r="M273" s="1">
        <f ca="1">IFERROR(__xludf.DUMMYFUNCTION("""COMPUTED_VALUE"""),13)</f>
        <v>13</v>
      </c>
      <c r="N273" s="1">
        <f ca="1">IFERROR(__xludf.DUMMYFUNCTION("""COMPUTED_VALUE"""),2091)</f>
        <v>2091</v>
      </c>
      <c r="O273" s="1">
        <f ca="1">IFERROR(__xludf.DUMMYFUNCTION("""COMPUTED_VALUE"""),2265)</f>
        <v>2265</v>
      </c>
      <c r="P273" s="1">
        <f ca="1">IFERROR(__xludf.DUMMYFUNCTION("""COMPUTED_VALUE"""),1250)</f>
        <v>1250</v>
      </c>
      <c r="Q273" s="1">
        <f ca="1">IFERROR(__xludf.DUMMYFUNCTION("""COMPUTED_VALUE"""),748)</f>
        <v>748</v>
      </c>
      <c r="R273" s="1">
        <f ca="1">IFERROR(__xludf.DUMMYFUNCTION("""COMPUTED_VALUE"""),1655)</f>
        <v>1655</v>
      </c>
      <c r="S273" s="1">
        <f ca="1">IFERROR(__xludf.DUMMYFUNCTION("""COMPUTED_VALUE"""),0.452)</f>
        <v>0.45200000000000001</v>
      </c>
      <c r="T273" s="1">
        <f ca="1">IFERROR(__xludf.DUMMYFUNCTION("""COMPUTED_VALUE"""),187)</f>
        <v>187</v>
      </c>
      <c r="U273" s="1">
        <f ca="1">IFERROR(__xludf.DUMMYFUNCTION("""COMPUTED_VALUE"""),589)</f>
        <v>589</v>
      </c>
      <c r="V273" s="1">
        <f ca="1">IFERROR(__xludf.DUMMYFUNCTION("""COMPUTED_VALUE"""),0.317)</f>
        <v>0.317</v>
      </c>
      <c r="W273" s="1">
        <f ca="1">IFERROR(__xludf.DUMMYFUNCTION("""COMPUTED_VALUE"""),408)</f>
        <v>408</v>
      </c>
      <c r="X273" s="1">
        <f ca="1">IFERROR(__xludf.DUMMYFUNCTION("""COMPUTED_VALUE"""),574)</f>
        <v>574</v>
      </c>
      <c r="Y273" s="1">
        <f ca="1">IFERROR(__xludf.DUMMYFUNCTION("""COMPUTED_VALUE"""),0.711)</f>
        <v>0.71099999999999997</v>
      </c>
      <c r="Z273" s="1">
        <f ca="1">IFERROR(__xludf.DUMMYFUNCTION("""COMPUTED_VALUE"""),271)</f>
        <v>271</v>
      </c>
      <c r="AA273" s="1">
        <f ca="1">IFERROR(__xludf.DUMMYFUNCTION("""COMPUTED_VALUE"""),1042)</f>
        <v>1042</v>
      </c>
      <c r="AB273" s="1">
        <f ca="1">IFERROR(__xludf.DUMMYFUNCTION("""COMPUTED_VALUE"""),378)</f>
        <v>378</v>
      </c>
      <c r="AC273" s="1">
        <f ca="1">IFERROR(__xludf.DUMMYFUNCTION("""COMPUTED_VALUE"""),184)</f>
        <v>184</v>
      </c>
      <c r="AD273" s="1">
        <f ca="1">IFERROR(__xludf.DUMMYFUNCTION("""COMPUTED_VALUE"""),55)</f>
        <v>55</v>
      </c>
      <c r="AE273" s="1">
        <f ca="1">IFERROR(__xludf.DUMMYFUNCTION("""COMPUTED_VALUE"""),453)</f>
        <v>453</v>
      </c>
      <c r="AF273" s="1">
        <f ca="1">IFERROR(__xludf.DUMMYFUNCTION("""COMPUTED_VALUE"""),577)</f>
        <v>577</v>
      </c>
    </row>
    <row r="274" spans="1:32" x14ac:dyDescent="0.25">
      <c r="A274" s="1" t="str">
        <f ca="1">IFERROR(__xludf.DUMMYFUNCTION("""COMPUTED_VALUE"""),"Princeton")</f>
        <v>Princeton</v>
      </c>
      <c r="B274" s="1">
        <f ca="1">IFERROR(__xludf.DUMMYFUNCTION("""COMPUTED_VALUE"""),25)</f>
        <v>25</v>
      </c>
      <c r="C274" s="1">
        <f ca="1">IFERROR(__xludf.DUMMYFUNCTION("""COMPUTED_VALUE"""),13)</f>
        <v>13</v>
      </c>
      <c r="D274" s="1">
        <f ca="1">IFERROR(__xludf.DUMMYFUNCTION("""COMPUTED_VALUE"""),12)</f>
        <v>12</v>
      </c>
      <c r="E274" s="1">
        <f ca="1">IFERROR(__xludf.DUMMYFUNCTION("""COMPUTED_VALUE"""),0.52)</f>
        <v>0.52</v>
      </c>
      <c r="F274" s="1">
        <f ca="1">IFERROR(__xludf.DUMMYFUNCTION("""COMPUTED_VALUE"""),-0.96)</f>
        <v>-0.96</v>
      </c>
      <c r="G274" s="1">
        <f ca="1">IFERROR(__xludf.DUMMYFUNCTION("""COMPUTED_VALUE"""),-0.92)</f>
        <v>-0.92</v>
      </c>
      <c r="H274" s="1">
        <f ca="1">IFERROR(__xludf.DUMMYFUNCTION("""COMPUTED_VALUE"""),8)</f>
        <v>8</v>
      </c>
      <c r="I274" s="1">
        <f ca="1">IFERROR(__xludf.DUMMYFUNCTION("""COMPUTED_VALUE"""),4)</f>
        <v>4</v>
      </c>
      <c r="J274" s="1">
        <f ca="1">IFERROR(__xludf.DUMMYFUNCTION("""COMPUTED_VALUE"""),6)</f>
        <v>6</v>
      </c>
      <c r="K274" s="1">
        <f ca="1">IFERROR(__xludf.DUMMYFUNCTION("""COMPUTED_VALUE"""),5)</f>
        <v>5</v>
      </c>
      <c r="L274" s="1">
        <f ca="1">IFERROR(__xludf.DUMMYFUNCTION("""COMPUTED_VALUE"""),5)</f>
        <v>5</v>
      </c>
      <c r="M274" s="1">
        <f ca="1">IFERROR(__xludf.DUMMYFUNCTION("""COMPUTED_VALUE"""),6)</f>
        <v>6</v>
      </c>
      <c r="N274" s="1">
        <f ca="1">IFERROR(__xludf.DUMMYFUNCTION("""COMPUTED_VALUE"""),1768)</f>
        <v>1768</v>
      </c>
      <c r="O274" s="1">
        <f ca="1">IFERROR(__xludf.DUMMYFUNCTION("""COMPUTED_VALUE"""),1723)</f>
        <v>1723</v>
      </c>
      <c r="P274" s="1">
        <f ca="1">IFERROR(__xludf.DUMMYFUNCTION("""COMPUTED_VALUE"""),1005)</f>
        <v>1005</v>
      </c>
      <c r="Q274" s="1">
        <f ca="1">IFERROR(__xludf.DUMMYFUNCTION("""COMPUTED_VALUE"""),640)</f>
        <v>640</v>
      </c>
      <c r="R274" s="1">
        <f ca="1">IFERROR(__xludf.DUMMYFUNCTION("""COMPUTED_VALUE"""),1391)</f>
        <v>1391</v>
      </c>
      <c r="S274" s="1">
        <f ca="1">IFERROR(__xludf.DUMMYFUNCTION("""COMPUTED_VALUE"""),0.46)</f>
        <v>0.46</v>
      </c>
      <c r="T274" s="1">
        <f ca="1">IFERROR(__xludf.DUMMYFUNCTION("""COMPUTED_VALUE"""),206)</f>
        <v>206</v>
      </c>
      <c r="U274" s="1">
        <f ca="1">IFERROR(__xludf.DUMMYFUNCTION("""COMPUTED_VALUE"""),593)</f>
        <v>593</v>
      </c>
      <c r="V274" s="1">
        <f ca="1">IFERROR(__xludf.DUMMYFUNCTION("""COMPUTED_VALUE"""),0.347)</f>
        <v>0.34699999999999998</v>
      </c>
      <c r="W274" s="1">
        <f ca="1">IFERROR(__xludf.DUMMYFUNCTION("""COMPUTED_VALUE"""),282)</f>
        <v>282</v>
      </c>
      <c r="X274" s="1">
        <f ca="1">IFERROR(__xludf.DUMMYFUNCTION("""COMPUTED_VALUE"""),389)</f>
        <v>389</v>
      </c>
      <c r="Y274" s="1">
        <f ca="1">IFERROR(__xludf.DUMMYFUNCTION("""COMPUTED_VALUE"""),0.725)</f>
        <v>0.72499999999999998</v>
      </c>
      <c r="Z274" s="1">
        <f ca="1">IFERROR(__xludf.DUMMYFUNCTION("""COMPUTED_VALUE"""),207)</f>
        <v>207</v>
      </c>
      <c r="AA274" s="1">
        <f ca="1">IFERROR(__xludf.DUMMYFUNCTION("""COMPUTED_VALUE"""),805)</f>
        <v>805</v>
      </c>
      <c r="AB274" s="1">
        <f ca="1">IFERROR(__xludf.DUMMYFUNCTION("""COMPUTED_VALUE"""),325)</f>
        <v>325</v>
      </c>
      <c r="AC274" s="1">
        <f ca="1">IFERROR(__xludf.DUMMYFUNCTION("""COMPUTED_VALUE"""),165)</f>
        <v>165</v>
      </c>
      <c r="AD274" s="1">
        <f ca="1">IFERROR(__xludf.DUMMYFUNCTION("""COMPUTED_VALUE"""),53)</f>
        <v>53</v>
      </c>
      <c r="AE274" s="1">
        <f ca="1">IFERROR(__xludf.DUMMYFUNCTION("""COMPUTED_VALUE"""),317)</f>
        <v>317</v>
      </c>
      <c r="AF274" s="1">
        <f ca="1">IFERROR(__xludf.DUMMYFUNCTION("""COMPUTED_VALUE"""),396)</f>
        <v>396</v>
      </c>
    </row>
    <row r="275" spans="1:32" x14ac:dyDescent="0.25">
      <c r="A275" s="1" t="str">
        <f ca="1">IFERROR(__xludf.DUMMYFUNCTION("""COMPUTED_VALUE"""),"Providence")</f>
        <v>Providence</v>
      </c>
      <c r="B275" s="1">
        <f ca="1">IFERROR(__xludf.DUMMYFUNCTION("""COMPUTED_VALUE"""),29)</f>
        <v>29</v>
      </c>
      <c r="C275" s="1">
        <f ca="1">IFERROR(__xludf.DUMMYFUNCTION("""COMPUTED_VALUE"""),17)</f>
        <v>17</v>
      </c>
      <c r="D275" s="1">
        <f ca="1">IFERROR(__xludf.DUMMYFUNCTION("""COMPUTED_VALUE"""),12)</f>
        <v>12</v>
      </c>
      <c r="E275" s="1">
        <f ca="1">IFERROR(__xludf.DUMMYFUNCTION("""COMPUTED_VALUE"""),0.586)</f>
        <v>0.58599999999999997</v>
      </c>
      <c r="F275" s="1">
        <f ca="1">IFERROR(__xludf.DUMMYFUNCTION("""COMPUTED_VALUE"""),12.32)</f>
        <v>12.32</v>
      </c>
      <c r="G275" s="1">
        <f ca="1">IFERROR(__xludf.DUMMYFUNCTION("""COMPUTED_VALUE"""),8.21)</f>
        <v>8.2100000000000009</v>
      </c>
      <c r="H275" s="1">
        <f ca="1">IFERROR(__xludf.DUMMYFUNCTION("""COMPUTED_VALUE"""),10)</f>
        <v>10</v>
      </c>
      <c r="I275" s="1">
        <f ca="1">IFERROR(__xludf.DUMMYFUNCTION("""COMPUTED_VALUE"""),6)</f>
        <v>6</v>
      </c>
      <c r="J275" s="1">
        <f ca="1">IFERROR(__xludf.DUMMYFUNCTION("""COMPUTED_VALUE"""),11)</f>
        <v>11</v>
      </c>
      <c r="K275" s="1">
        <f ca="1">IFERROR(__xludf.DUMMYFUNCTION("""COMPUTED_VALUE"""),3)</f>
        <v>3</v>
      </c>
      <c r="L275" s="1">
        <f ca="1">IFERROR(__xludf.DUMMYFUNCTION("""COMPUTED_VALUE"""),5)</f>
        <v>5</v>
      </c>
      <c r="M275" s="1">
        <f ca="1">IFERROR(__xludf.DUMMYFUNCTION("""COMPUTED_VALUE"""),6)</f>
        <v>6</v>
      </c>
      <c r="N275" s="1">
        <f ca="1">IFERROR(__xludf.DUMMYFUNCTION("""COMPUTED_VALUE"""),2041)</f>
        <v>2041</v>
      </c>
      <c r="O275" s="1">
        <f ca="1">IFERROR(__xludf.DUMMYFUNCTION("""COMPUTED_VALUE"""),1922)</f>
        <v>1922</v>
      </c>
      <c r="P275" s="1">
        <f ca="1">IFERROR(__xludf.DUMMYFUNCTION("""COMPUTED_VALUE"""),1165)</f>
        <v>1165</v>
      </c>
      <c r="Q275" s="1">
        <f ca="1">IFERROR(__xludf.DUMMYFUNCTION("""COMPUTED_VALUE"""),704)</f>
        <v>704</v>
      </c>
      <c r="R275" s="1">
        <f ca="1">IFERROR(__xludf.DUMMYFUNCTION("""COMPUTED_VALUE"""),1732)</f>
        <v>1732</v>
      </c>
      <c r="S275" s="1">
        <f ca="1">IFERROR(__xludf.DUMMYFUNCTION("""COMPUTED_VALUE"""),0.406)</f>
        <v>0.40600000000000003</v>
      </c>
      <c r="T275" s="1">
        <f ca="1">IFERROR(__xludf.DUMMYFUNCTION("""COMPUTED_VALUE"""),206)</f>
        <v>206</v>
      </c>
      <c r="U275" s="1">
        <f ca="1">IFERROR(__xludf.DUMMYFUNCTION("""COMPUTED_VALUE"""),633)</f>
        <v>633</v>
      </c>
      <c r="V275" s="1">
        <f ca="1">IFERROR(__xludf.DUMMYFUNCTION("""COMPUTED_VALUE"""),0.325)</f>
        <v>0.32500000000000001</v>
      </c>
      <c r="W275" s="1">
        <f ca="1">IFERROR(__xludf.DUMMYFUNCTION("""COMPUTED_VALUE"""),427)</f>
        <v>427</v>
      </c>
      <c r="X275" s="1">
        <f ca="1">IFERROR(__xludf.DUMMYFUNCTION("""COMPUTED_VALUE"""),619)</f>
        <v>619</v>
      </c>
      <c r="Y275" s="1">
        <f ca="1">IFERROR(__xludf.DUMMYFUNCTION("""COMPUTED_VALUE"""),0.69)</f>
        <v>0.69</v>
      </c>
      <c r="Z275" s="1">
        <f ca="1">IFERROR(__xludf.DUMMYFUNCTION("""COMPUTED_VALUE"""),383)</f>
        <v>383</v>
      </c>
      <c r="AA275" s="1">
        <f ca="1">IFERROR(__xludf.DUMMYFUNCTION("""COMPUTED_VALUE"""),1104)</f>
        <v>1104</v>
      </c>
      <c r="AB275" s="1">
        <f ca="1">IFERROR(__xludf.DUMMYFUNCTION("""COMPUTED_VALUE"""),423)</f>
        <v>423</v>
      </c>
      <c r="AC275" s="1">
        <f ca="1">IFERROR(__xludf.DUMMYFUNCTION("""COMPUTED_VALUE"""),238)</f>
        <v>238</v>
      </c>
      <c r="AD275" s="1">
        <f ca="1">IFERROR(__xludf.DUMMYFUNCTION("""COMPUTED_VALUE"""),97)</f>
        <v>97</v>
      </c>
      <c r="AE275" s="1">
        <f ca="1">IFERROR(__xludf.DUMMYFUNCTION("""COMPUTED_VALUE"""),393)</f>
        <v>393</v>
      </c>
      <c r="AF275" s="1">
        <f ca="1">IFERROR(__xludf.DUMMYFUNCTION("""COMPUTED_VALUE"""),548)</f>
        <v>548</v>
      </c>
    </row>
    <row r="276" spans="1:32" x14ac:dyDescent="0.25">
      <c r="A276" s="1" t="str">
        <f ca="1">IFERROR(__xludf.DUMMYFUNCTION("""COMPUTED_VALUE"""),"Purdue")</f>
        <v>Purdue</v>
      </c>
      <c r="B276" s="1">
        <f ca="1">IFERROR(__xludf.DUMMYFUNCTION("""COMPUTED_VALUE"""),29)</f>
        <v>29</v>
      </c>
      <c r="C276" s="1">
        <f ca="1">IFERROR(__xludf.DUMMYFUNCTION("""COMPUTED_VALUE"""),15)</f>
        <v>15</v>
      </c>
      <c r="D276" s="1">
        <f ca="1">IFERROR(__xludf.DUMMYFUNCTION("""COMPUTED_VALUE"""),14)</f>
        <v>14</v>
      </c>
      <c r="E276" s="1">
        <f ca="1">IFERROR(__xludf.DUMMYFUNCTION("""COMPUTED_VALUE"""),0.517)</f>
        <v>0.51700000000000002</v>
      </c>
      <c r="F276" s="1">
        <f ca="1">IFERROR(__xludf.DUMMYFUNCTION("""COMPUTED_VALUE"""),16.18)</f>
        <v>16.18</v>
      </c>
      <c r="G276" s="1">
        <f ca="1">IFERROR(__xludf.DUMMYFUNCTION("""COMPUTED_VALUE"""),10.46)</f>
        <v>10.46</v>
      </c>
      <c r="H276" s="1">
        <f ca="1">IFERROR(__xludf.DUMMYFUNCTION("""COMPUTED_VALUE"""),8)</f>
        <v>8</v>
      </c>
      <c r="I276" s="1">
        <f ca="1">IFERROR(__xludf.DUMMYFUNCTION("""COMPUTED_VALUE"""),10)</f>
        <v>10</v>
      </c>
      <c r="J276" s="1">
        <f ca="1">IFERROR(__xludf.DUMMYFUNCTION("""COMPUTED_VALUE"""),11)</f>
        <v>11</v>
      </c>
      <c r="K276" s="1">
        <f ca="1">IFERROR(__xludf.DUMMYFUNCTION("""COMPUTED_VALUE"""),4)</f>
        <v>4</v>
      </c>
      <c r="L276" s="1">
        <f ca="1">IFERROR(__xludf.DUMMYFUNCTION("""COMPUTED_VALUE"""),3)</f>
        <v>3</v>
      </c>
      <c r="M276" s="1">
        <f ca="1">IFERROR(__xludf.DUMMYFUNCTION("""COMPUTED_VALUE"""),8)</f>
        <v>8</v>
      </c>
      <c r="N276" s="1">
        <f ca="1">IFERROR(__xludf.DUMMYFUNCTION("""COMPUTED_VALUE"""),1969)</f>
        <v>1969</v>
      </c>
      <c r="O276" s="1">
        <f ca="1">IFERROR(__xludf.DUMMYFUNCTION("""COMPUTED_VALUE"""),1803)</f>
        <v>1803</v>
      </c>
      <c r="P276" s="1">
        <f ca="1">IFERROR(__xludf.DUMMYFUNCTION("""COMPUTED_VALUE"""),1185)</f>
        <v>1185</v>
      </c>
      <c r="Q276" s="1">
        <f ca="1">IFERROR(__xludf.DUMMYFUNCTION("""COMPUTED_VALUE"""),733)</f>
        <v>733</v>
      </c>
      <c r="R276" s="1">
        <f ca="1">IFERROR(__xludf.DUMMYFUNCTION("""COMPUTED_VALUE"""),1735)</f>
        <v>1735</v>
      </c>
      <c r="S276" s="1">
        <f ca="1">IFERROR(__xludf.DUMMYFUNCTION("""COMPUTED_VALUE"""),0.422)</f>
        <v>0.42199999999999999</v>
      </c>
      <c r="T276" s="1">
        <f ca="1">IFERROR(__xludf.DUMMYFUNCTION("""COMPUTED_VALUE"""),208)</f>
        <v>208</v>
      </c>
      <c r="U276" s="1">
        <f ca="1">IFERROR(__xludf.DUMMYFUNCTION("""COMPUTED_VALUE"""),619)</f>
        <v>619</v>
      </c>
      <c r="V276" s="1">
        <f ca="1">IFERROR(__xludf.DUMMYFUNCTION("""COMPUTED_VALUE"""),0.336)</f>
        <v>0.33600000000000002</v>
      </c>
      <c r="W276" s="1">
        <f ca="1">IFERROR(__xludf.DUMMYFUNCTION("""COMPUTED_VALUE"""),295)</f>
        <v>295</v>
      </c>
      <c r="X276" s="1">
        <f ca="1">IFERROR(__xludf.DUMMYFUNCTION("""COMPUTED_VALUE"""),439)</f>
        <v>439</v>
      </c>
      <c r="Y276" s="1">
        <f ca="1">IFERROR(__xludf.DUMMYFUNCTION("""COMPUTED_VALUE"""),0.672)</f>
        <v>0.67200000000000004</v>
      </c>
      <c r="Z276" s="1">
        <f ca="1">IFERROR(__xludf.DUMMYFUNCTION("""COMPUTED_VALUE"""),361)</f>
        <v>361</v>
      </c>
      <c r="AA276" s="1">
        <f ca="1">IFERROR(__xludf.DUMMYFUNCTION("""COMPUTED_VALUE"""),1058)</f>
        <v>1058</v>
      </c>
      <c r="AB276" s="1">
        <f ca="1">IFERROR(__xludf.DUMMYFUNCTION("""COMPUTED_VALUE"""),388)</f>
        <v>388</v>
      </c>
      <c r="AC276" s="1">
        <f ca="1">IFERROR(__xludf.DUMMYFUNCTION("""COMPUTED_VALUE"""),189)</f>
        <v>189</v>
      </c>
      <c r="AD276" s="1">
        <f ca="1">IFERROR(__xludf.DUMMYFUNCTION("""COMPUTED_VALUE"""),99)</f>
        <v>99</v>
      </c>
      <c r="AE276" s="1">
        <f ca="1">IFERROR(__xludf.DUMMYFUNCTION("""COMPUTED_VALUE"""),331)</f>
        <v>331</v>
      </c>
      <c r="AF276" s="1">
        <f ca="1">IFERROR(__xludf.DUMMYFUNCTION("""COMPUTED_VALUE"""),508)</f>
        <v>508</v>
      </c>
    </row>
    <row r="277" spans="1:32" x14ac:dyDescent="0.25">
      <c r="A277" s="1" t="str">
        <f ca="1">IFERROR(__xludf.DUMMYFUNCTION("""COMPUTED_VALUE"""),"Quinnipiac")</f>
        <v>Quinnipiac</v>
      </c>
      <c r="B277" s="1">
        <f ca="1">IFERROR(__xludf.DUMMYFUNCTION("""COMPUTED_VALUE"""),29)</f>
        <v>29</v>
      </c>
      <c r="C277" s="1">
        <f ca="1">IFERROR(__xludf.DUMMYFUNCTION("""COMPUTED_VALUE"""),14)</f>
        <v>14</v>
      </c>
      <c r="D277" s="1">
        <f ca="1">IFERROR(__xludf.DUMMYFUNCTION("""COMPUTED_VALUE"""),15)</f>
        <v>15</v>
      </c>
      <c r="E277" s="1">
        <f ca="1">IFERROR(__xludf.DUMMYFUNCTION("""COMPUTED_VALUE"""),0.483)</f>
        <v>0.48299999999999998</v>
      </c>
      <c r="F277" s="1">
        <f ca="1">IFERROR(__xludf.DUMMYFUNCTION("""COMPUTED_VALUE"""),-7.71)</f>
        <v>-7.71</v>
      </c>
      <c r="G277" s="1">
        <f ca="1">IFERROR(__xludf.DUMMYFUNCTION("""COMPUTED_VALUE"""),-6.51)</f>
        <v>-6.51</v>
      </c>
      <c r="H277" s="1">
        <f ca="1">IFERROR(__xludf.DUMMYFUNCTION("""COMPUTED_VALUE"""),9)</f>
        <v>9</v>
      </c>
      <c r="I277" s="1">
        <f ca="1">IFERROR(__xludf.DUMMYFUNCTION("""COMPUTED_VALUE"""),10)</f>
        <v>10</v>
      </c>
      <c r="J277" s="1">
        <f ca="1">IFERROR(__xludf.DUMMYFUNCTION("""COMPUTED_VALUE"""),9)</f>
        <v>9</v>
      </c>
      <c r="K277" s="1">
        <f ca="1">IFERROR(__xludf.DUMMYFUNCTION("""COMPUTED_VALUE"""),5)</f>
        <v>5</v>
      </c>
      <c r="L277" s="1">
        <f ca="1">IFERROR(__xludf.DUMMYFUNCTION("""COMPUTED_VALUE"""),4)</f>
        <v>4</v>
      </c>
      <c r="M277" s="1">
        <f ca="1">IFERROR(__xludf.DUMMYFUNCTION("""COMPUTED_VALUE"""),9)</f>
        <v>9</v>
      </c>
      <c r="N277" s="1">
        <f ca="1">IFERROR(__xludf.DUMMYFUNCTION("""COMPUTED_VALUE"""),2019)</f>
        <v>2019</v>
      </c>
      <c r="O277" s="1">
        <f ca="1">IFERROR(__xludf.DUMMYFUNCTION("""COMPUTED_VALUE"""),2054)</f>
        <v>2054</v>
      </c>
      <c r="P277" s="1">
        <f ca="1">IFERROR(__xludf.DUMMYFUNCTION("""COMPUTED_VALUE"""),1160)</f>
        <v>1160</v>
      </c>
      <c r="Q277" s="1">
        <f ca="1">IFERROR(__xludf.DUMMYFUNCTION("""COMPUTED_VALUE"""),681)</f>
        <v>681</v>
      </c>
      <c r="R277" s="1">
        <f ca="1">IFERROR(__xludf.DUMMYFUNCTION("""COMPUTED_VALUE"""),1623)</f>
        <v>1623</v>
      </c>
      <c r="S277" s="1">
        <f ca="1">IFERROR(__xludf.DUMMYFUNCTION("""COMPUTED_VALUE"""),0.42)</f>
        <v>0.42</v>
      </c>
      <c r="T277" s="1">
        <f ca="1">IFERROR(__xludf.DUMMYFUNCTION("""COMPUTED_VALUE"""),300)</f>
        <v>300</v>
      </c>
      <c r="U277" s="1">
        <f ca="1">IFERROR(__xludf.DUMMYFUNCTION("""COMPUTED_VALUE"""),834)</f>
        <v>834</v>
      </c>
      <c r="V277" s="1">
        <f ca="1">IFERROR(__xludf.DUMMYFUNCTION("""COMPUTED_VALUE"""),0.36)</f>
        <v>0.36</v>
      </c>
      <c r="W277" s="1">
        <f ca="1">IFERROR(__xludf.DUMMYFUNCTION("""COMPUTED_VALUE"""),357)</f>
        <v>357</v>
      </c>
      <c r="X277" s="1">
        <f ca="1">IFERROR(__xludf.DUMMYFUNCTION("""COMPUTED_VALUE"""),469)</f>
        <v>469</v>
      </c>
      <c r="Y277" s="1">
        <f ca="1">IFERROR(__xludf.DUMMYFUNCTION("""COMPUTED_VALUE"""),0.761)</f>
        <v>0.76100000000000001</v>
      </c>
      <c r="Z277" s="1">
        <f ca="1">IFERROR(__xludf.DUMMYFUNCTION("""COMPUTED_VALUE"""),264)</f>
        <v>264</v>
      </c>
      <c r="AA277" s="1">
        <f ca="1">IFERROR(__xludf.DUMMYFUNCTION("""COMPUTED_VALUE"""),1044)</f>
        <v>1044</v>
      </c>
      <c r="AB277" s="1">
        <f ca="1">IFERROR(__xludf.DUMMYFUNCTION("""COMPUTED_VALUE"""),395)</f>
        <v>395</v>
      </c>
      <c r="AC277" s="1">
        <f ca="1">IFERROR(__xludf.DUMMYFUNCTION("""COMPUTED_VALUE"""),130)</f>
        <v>130</v>
      </c>
      <c r="AD277" s="1">
        <f ca="1">IFERROR(__xludf.DUMMYFUNCTION("""COMPUTED_VALUE"""),110)</f>
        <v>110</v>
      </c>
      <c r="AE277" s="1">
        <f ca="1">IFERROR(__xludf.DUMMYFUNCTION("""COMPUTED_VALUE"""),403)</f>
        <v>403</v>
      </c>
      <c r="AF277" s="1">
        <f ca="1">IFERROR(__xludf.DUMMYFUNCTION("""COMPUTED_VALUE"""),439)</f>
        <v>439</v>
      </c>
    </row>
    <row r="278" spans="1:32" x14ac:dyDescent="0.25">
      <c r="A278" s="1" t="str">
        <f ca="1">IFERROR(__xludf.DUMMYFUNCTION("""COMPUTED_VALUE"""),"Radford")</f>
        <v>Radford</v>
      </c>
      <c r="B278" s="1">
        <f ca="1">IFERROR(__xludf.DUMMYFUNCTION("""COMPUTED_VALUE"""),30)</f>
        <v>30</v>
      </c>
      <c r="C278" s="1">
        <f ca="1">IFERROR(__xludf.DUMMYFUNCTION("""COMPUTED_VALUE"""),20)</f>
        <v>20</v>
      </c>
      <c r="D278" s="1">
        <f ca="1">IFERROR(__xludf.DUMMYFUNCTION("""COMPUTED_VALUE"""),10)</f>
        <v>10</v>
      </c>
      <c r="E278" s="1">
        <f ca="1">IFERROR(__xludf.DUMMYFUNCTION("""COMPUTED_VALUE"""),0.667)</f>
        <v>0.66700000000000004</v>
      </c>
      <c r="F278" s="1">
        <f ca="1">IFERROR(__xludf.DUMMYFUNCTION("""COMPUTED_VALUE"""),-2.22)</f>
        <v>-2.2200000000000002</v>
      </c>
      <c r="G278" s="1">
        <f ca="1">IFERROR(__xludf.DUMMYFUNCTION("""COMPUTED_VALUE"""),-5.26)</f>
        <v>-5.26</v>
      </c>
      <c r="H278" s="1">
        <f ca="1">IFERROR(__xludf.DUMMYFUNCTION("""COMPUTED_VALUE"""),15)</f>
        <v>15</v>
      </c>
      <c r="I278" s="1">
        <f ca="1">IFERROR(__xludf.DUMMYFUNCTION("""COMPUTED_VALUE"""),3)</f>
        <v>3</v>
      </c>
      <c r="J278" s="1">
        <f ca="1">IFERROR(__xludf.DUMMYFUNCTION("""COMPUTED_VALUE"""),10)</f>
        <v>10</v>
      </c>
      <c r="K278" s="1">
        <f ca="1">IFERROR(__xludf.DUMMYFUNCTION("""COMPUTED_VALUE"""),3)</f>
        <v>3</v>
      </c>
      <c r="L278" s="1">
        <f ca="1">IFERROR(__xludf.DUMMYFUNCTION("""COMPUTED_VALUE"""),9)</f>
        <v>9</v>
      </c>
      <c r="M278" s="1">
        <f ca="1">IFERROR(__xludf.DUMMYFUNCTION("""COMPUTED_VALUE"""),6)</f>
        <v>6</v>
      </c>
      <c r="N278" s="1">
        <f ca="1">IFERROR(__xludf.DUMMYFUNCTION("""COMPUTED_VALUE"""),2162)</f>
        <v>2162</v>
      </c>
      <c r="O278" s="1">
        <f ca="1">IFERROR(__xludf.DUMMYFUNCTION("""COMPUTED_VALUE"""),1981)</f>
        <v>1981</v>
      </c>
      <c r="P278" s="1">
        <f ca="1">IFERROR(__xludf.DUMMYFUNCTION("""COMPUTED_VALUE"""),1205)</f>
        <v>1205</v>
      </c>
      <c r="Q278" s="1">
        <f ca="1">IFERROR(__xludf.DUMMYFUNCTION("""COMPUTED_VALUE"""),791)</f>
        <v>791</v>
      </c>
      <c r="R278" s="1">
        <f ca="1">IFERROR(__xludf.DUMMYFUNCTION("""COMPUTED_VALUE"""),1694)</f>
        <v>1694</v>
      </c>
      <c r="S278" s="1">
        <f ca="1">IFERROR(__xludf.DUMMYFUNCTION("""COMPUTED_VALUE"""),0.467)</f>
        <v>0.46700000000000003</v>
      </c>
      <c r="T278" s="1">
        <f ca="1">IFERROR(__xludf.DUMMYFUNCTION("""COMPUTED_VALUE"""),237)</f>
        <v>237</v>
      </c>
      <c r="U278" s="1">
        <f ca="1">IFERROR(__xludf.DUMMYFUNCTION("""COMPUTED_VALUE"""),665)</f>
        <v>665</v>
      </c>
      <c r="V278" s="1">
        <f ca="1">IFERROR(__xludf.DUMMYFUNCTION("""COMPUTED_VALUE"""),0.356)</f>
        <v>0.35599999999999998</v>
      </c>
      <c r="W278" s="1">
        <f ca="1">IFERROR(__xludf.DUMMYFUNCTION("""COMPUTED_VALUE"""),343)</f>
        <v>343</v>
      </c>
      <c r="X278" s="1">
        <f ca="1">IFERROR(__xludf.DUMMYFUNCTION("""COMPUTED_VALUE"""),542)</f>
        <v>542</v>
      </c>
      <c r="Y278" s="1">
        <f ca="1">IFERROR(__xludf.DUMMYFUNCTION("""COMPUTED_VALUE"""),0.633)</f>
        <v>0.63300000000000001</v>
      </c>
      <c r="Z278" s="1">
        <f ca="1">IFERROR(__xludf.DUMMYFUNCTION("""COMPUTED_VALUE"""),312)</f>
        <v>312</v>
      </c>
      <c r="AA278" s="1">
        <f ca="1">IFERROR(__xludf.DUMMYFUNCTION("""COMPUTED_VALUE"""),1080)</f>
        <v>1080</v>
      </c>
      <c r="AB278" s="1">
        <f ca="1">IFERROR(__xludf.DUMMYFUNCTION("""COMPUTED_VALUE"""),410)</f>
        <v>410</v>
      </c>
      <c r="AC278" s="1">
        <f ca="1">IFERROR(__xludf.DUMMYFUNCTION("""COMPUTED_VALUE"""),156)</f>
        <v>156</v>
      </c>
      <c r="AD278" s="1">
        <f ca="1">IFERROR(__xludf.DUMMYFUNCTION("""COMPUTED_VALUE"""),65)</f>
        <v>65</v>
      </c>
      <c r="AE278" s="1">
        <f ca="1">IFERROR(__xludf.DUMMYFUNCTION("""COMPUTED_VALUE"""),316)</f>
        <v>316</v>
      </c>
      <c r="AF278" s="1">
        <f ca="1">IFERROR(__xludf.DUMMYFUNCTION("""COMPUTED_VALUE"""),524)</f>
        <v>524</v>
      </c>
    </row>
    <row r="279" spans="1:32" x14ac:dyDescent="0.25">
      <c r="A279" s="1" t="str">
        <f ca="1">IFERROR(__xludf.DUMMYFUNCTION("""COMPUTED_VALUE"""),"Rhode Island")</f>
        <v>Rhode Island</v>
      </c>
      <c r="B279" s="1">
        <f ca="1">IFERROR(__xludf.DUMMYFUNCTION("""COMPUTED_VALUE"""),28)</f>
        <v>28</v>
      </c>
      <c r="C279" s="1">
        <f ca="1">IFERROR(__xludf.DUMMYFUNCTION("""COMPUTED_VALUE"""),20)</f>
        <v>20</v>
      </c>
      <c r="D279" s="1">
        <f ca="1">IFERROR(__xludf.DUMMYFUNCTION("""COMPUTED_VALUE"""),8)</f>
        <v>8</v>
      </c>
      <c r="E279" s="1">
        <f ca="1">IFERROR(__xludf.DUMMYFUNCTION("""COMPUTED_VALUE"""),0.714)</f>
        <v>0.71399999999999997</v>
      </c>
      <c r="F279" s="1">
        <f ca="1">IFERROR(__xludf.DUMMYFUNCTION("""COMPUTED_VALUE"""),10.15)</f>
        <v>10.15</v>
      </c>
      <c r="G279" s="1">
        <f ca="1">IFERROR(__xludf.DUMMYFUNCTION("""COMPUTED_VALUE"""),4.44)</f>
        <v>4.4400000000000004</v>
      </c>
      <c r="H279" s="1">
        <f ca="1">IFERROR(__xludf.DUMMYFUNCTION("""COMPUTED_VALUE"""),12)</f>
        <v>12</v>
      </c>
      <c r="I279" s="1">
        <f ca="1">IFERROR(__xludf.DUMMYFUNCTION("""COMPUTED_VALUE"""),4)</f>
        <v>4</v>
      </c>
      <c r="J279" s="1">
        <f ca="1">IFERROR(__xludf.DUMMYFUNCTION("""COMPUTED_VALUE"""),12)</f>
        <v>12</v>
      </c>
      <c r="K279" s="1">
        <f ca="1">IFERROR(__xludf.DUMMYFUNCTION("""COMPUTED_VALUE"""),2)</f>
        <v>2</v>
      </c>
      <c r="L279" s="1">
        <f ca="1">IFERROR(__xludf.DUMMYFUNCTION("""COMPUTED_VALUE"""),7)</f>
        <v>7</v>
      </c>
      <c r="M279" s="1">
        <f ca="1">IFERROR(__xludf.DUMMYFUNCTION("""COMPUTED_VALUE"""),5)</f>
        <v>5</v>
      </c>
      <c r="N279" s="1">
        <f ca="1">IFERROR(__xludf.DUMMYFUNCTION("""COMPUTED_VALUE"""),2079)</f>
        <v>2079</v>
      </c>
      <c r="O279" s="1">
        <f ca="1">IFERROR(__xludf.DUMMYFUNCTION("""COMPUTED_VALUE"""),1919)</f>
        <v>1919</v>
      </c>
      <c r="P279" s="1">
        <f ca="1">IFERROR(__xludf.DUMMYFUNCTION("""COMPUTED_VALUE"""),1130)</f>
        <v>1130</v>
      </c>
      <c r="Q279" s="1">
        <f ca="1">IFERROR(__xludf.DUMMYFUNCTION("""COMPUTED_VALUE"""),741)</f>
        <v>741</v>
      </c>
      <c r="R279" s="1">
        <f ca="1">IFERROR(__xludf.DUMMYFUNCTION("""COMPUTED_VALUE"""),1737)</f>
        <v>1737</v>
      </c>
      <c r="S279" s="1">
        <f ca="1">IFERROR(__xludf.DUMMYFUNCTION("""COMPUTED_VALUE"""),0.427)</f>
        <v>0.42699999999999999</v>
      </c>
      <c r="T279" s="1">
        <f ca="1">IFERROR(__xludf.DUMMYFUNCTION("""COMPUTED_VALUE"""),160)</f>
        <v>160</v>
      </c>
      <c r="U279" s="1">
        <f ca="1">IFERROR(__xludf.DUMMYFUNCTION("""COMPUTED_VALUE"""),504)</f>
        <v>504</v>
      </c>
      <c r="V279" s="1">
        <f ca="1">IFERROR(__xludf.DUMMYFUNCTION("""COMPUTED_VALUE"""),0.317)</f>
        <v>0.317</v>
      </c>
      <c r="W279" s="1">
        <f ca="1">IFERROR(__xludf.DUMMYFUNCTION("""COMPUTED_VALUE"""),437)</f>
        <v>437</v>
      </c>
      <c r="X279" s="1">
        <f ca="1">IFERROR(__xludf.DUMMYFUNCTION("""COMPUTED_VALUE"""),633)</f>
        <v>633</v>
      </c>
      <c r="Y279" s="1">
        <f ca="1">IFERROR(__xludf.DUMMYFUNCTION("""COMPUTED_VALUE"""),0.69)</f>
        <v>0.69</v>
      </c>
      <c r="Z279" s="1">
        <f ca="1">IFERROR(__xludf.DUMMYFUNCTION("""COMPUTED_VALUE"""),333)</f>
        <v>333</v>
      </c>
      <c r="AA279" s="1">
        <f ca="1">IFERROR(__xludf.DUMMYFUNCTION("""COMPUTED_VALUE"""),1088)</f>
        <v>1088</v>
      </c>
      <c r="AB279" s="1">
        <f ca="1">IFERROR(__xludf.DUMMYFUNCTION("""COMPUTED_VALUE"""),354)</f>
        <v>354</v>
      </c>
      <c r="AC279" s="1">
        <f ca="1">IFERROR(__xludf.DUMMYFUNCTION("""COMPUTED_VALUE"""),244)</f>
        <v>244</v>
      </c>
      <c r="AD279" s="1">
        <f ca="1">IFERROR(__xludf.DUMMYFUNCTION("""COMPUTED_VALUE"""),112)</f>
        <v>112</v>
      </c>
      <c r="AE279" s="1">
        <f ca="1">IFERROR(__xludf.DUMMYFUNCTION("""COMPUTED_VALUE"""),339)</f>
        <v>339</v>
      </c>
      <c r="AF279" s="1">
        <f ca="1">IFERROR(__xludf.DUMMYFUNCTION("""COMPUTED_VALUE"""),479)</f>
        <v>479</v>
      </c>
    </row>
    <row r="280" spans="1:32" x14ac:dyDescent="0.25">
      <c r="A280" s="1" t="str">
        <f ca="1">IFERROR(__xludf.DUMMYFUNCTION("""COMPUTED_VALUE"""),"Rice")</f>
        <v>Rice</v>
      </c>
      <c r="B280" s="1">
        <f ca="1">IFERROR(__xludf.DUMMYFUNCTION("""COMPUTED_VALUE"""),29)</f>
        <v>29</v>
      </c>
      <c r="C280" s="1">
        <f ca="1">IFERROR(__xludf.DUMMYFUNCTION("""COMPUTED_VALUE"""),14)</f>
        <v>14</v>
      </c>
      <c r="D280" s="1">
        <f ca="1">IFERROR(__xludf.DUMMYFUNCTION("""COMPUTED_VALUE"""),15)</f>
        <v>15</v>
      </c>
      <c r="E280" s="1">
        <f ca="1">IFERROR(__xludf.DUMMYFUNCTION("""COMPUTED_VALUE"""),0.483)</f>
        <v>0.48299999999999998</v>
      </c>
      <c r="F280" s="1">
        <f ca="1">IFERROR(__xludf.DUMMYFUNCTION("""COMPUTED_VALUE"""),-3.13)</f>
        <v>-3.13</v>
      </c>
      <c r="G280" s="1">
        <f ca="1">IFERROR(__xludf.DUMMYFUNCTION("""COMPUTED_VALUE"""),-0.5)</f>
        <v>-0.5</v>
      </c>
      <c r="H280" s="1">
        <f ca="1">IFERROR(__xludf.DUMMYFUNCTION("""COMPUTED_VALUE"""),6)</f>
        <v>6</v>
      </c>
      <c r="I280" s="1">
        <f ca="1">IFERROR(__xludf.DUMMYFUNCTION("""COMPUTED_VALUE"""),10)</f>
        <v>10</v>
      </c>
      <c r="J280" s="1">
        <f ca="1">IFERROR(__xludf.DUMMYFUNCTION("""COMPUTED_VALUE"""),8)</f>
        <v>8</v>
      </c>
      <c r="K280" s="1">
        <f ca="1">IFERROR(__xludf.DUMMYFUNCTION("""COMPUTED_VALUE"""),6)</f>
        <v>6</v>
      </c>
      <c r="L280" s="1">
        <f ca="1">IFERROR(__xludf.DUMMYFUNCTION("""COMPUTED_VALUE"""),4)</f>
        <v>4</v>
      </c>
      <c r="M280" s="1">
        <f ca="1">IFERROR(__xludf.DUMMYFUNCTION("""COMPUTED_VALUE"""),8)</f>
        <v>8</v>
      </c>
      <c r="N280" s="1">
        <f ca="1">IFERROR(__xludf.DUMMYFUNCTION("""COMPUTED_VALUE"""),2143)</f>
        <v>2143</v>
      </c>
      <c r="O280" s="1">
        <f ca="1">IFERROR(__xludf.DUMMYFUNCTION("""COMPUTED_VALUE"""),2156)</f>
        <v>2156</v>
      </c>
      <c r="P280" s="1">
        <f ca="1">IFERROR(__xludf.DUMMYFUNCTION("""COMPUTED_VALUE"""),1160)</f>
        <v>1160</v>
      </c>
      <c r="Q280" s="1">
        <f ca="1">IFERROR(__xludf.DUMMYFUNCTION("""COMPUTED_VALUE"""),729)</f>
        <v>729</v>
      </c>
      <c r="R280" s="1">
        <f ca="1">IFERROR(__xludf.DUMMYFUNCTION("""COMPUTED_VALUE"""),1672)</f>
        <v>1672</v>
      </c>
      <c r="S280" s="1">
        <f ca="1">IFERROR(__xludf.DUMMYFUNCTION("""COMPUTED_VALUE"""),0.436)</f>
        <v>0.436</v>
      </c>
      <c r="T280" s="1">
        <f ca="1">IFERROR(__xludf.DUMMYFUNCTION("""COMPUTED_VALUE"""),286)</f>
        <v>286</v>
      </c>
      <c r="U280" s="1">
        <f ca="1">IFERROR(__xludf.DUMMYFUNCTION("""COMPUTED_VALUE"""),833)</f>
        <v>833</v>
      </c>
      <c r="V280" s="1">
        <f ca="1">IFERROR(__xludf.DUMMYFUNCTION("""COMPUTED_VALUE"""),0.343)</f>
        <v>0.34300000000000003</v>
      </c>
      <c r="W280" s="1">
        <f ca="1">IFERROR(__xludf.DUMMYFUNCTION("""COMPUTED_VALUE"""),399)</f>
        <v>399</v>
      </c>
      <c r="X280" s="1">
        <f ca="1">IFERROR(__xludf.DUMMYFUNCTION("""COMPUTED_VALUE"""),560)</f>
        <v>560</v>
      </c>
      <c r="Y280" s="1">
        <f ca="1">IFERROR(__xludf.DUMMYFUNCTION("""COMPUTED_VALUE"""),0.713)</f>
        <v>0.71299999999999997</v>
      </c>
      <c r="Z280" s="1">
        <f ca="1">IFERROR(__xludf.DUMMYFUNCTION("""COMPUTED_VALUE"""),263)</f>
        <v>263</v>
      </c>
      <c r="AA280" s="1">
        <f ca="1">IFERROR(__xludf.DUMMYFUNCTION("""COMPUTED_VALUE"""),1035)</f>
        <v>1035</v>
      </c>
      <c r="AB280" s="1">
        <f ca="1">IFERROR(__xludf.DUMMYFUNCTION("""COMPUTED_VALUE"""),409)</f>
        <v>409</v>
      </c>
      <c r="AC280" s="1">
        <f ca="1">IFERROR(__xludf.DUMMYFUNCTION("""COMPUTED_VALUE"""),174)</f>
        <v>174</v>
      </c>
      <c r="AD280" s="1">
        <f ca="1">IFERROR(__xludf.DUMMYFUNCTION("""COMPUTED_VALUE"""),63)</f>
        <v>63</v>
      </c>
      <c r="AE280" s="1">
        <f ca="1">IFERROR(__xludf.DUMMYFUNCTION("""COMPUTED_VALUE"""),393)</f>
        <v>393</v>
      </c>
      <c r="AF280" s="1">
        <f ca="1">IFERROR(__xludf.DUMMYFUNCTION("""COMPUTED_VALUE"""),467)</f>
        <v>467</v>
      </c>
    </row>
    <row r="281" spans="1:32" x14ac:dyDescent="0.25">
      <c r="A281" s="1" t="str">
        <f ca="1">IFERROR(__xludf.DUMMYFUNCTION("""COMPUTED_VALUE"""),"Richmond")</f>
        <v>Richmond</v>
      </c>
      <c r="B281" s="1">
        <f ca="1">IFERROR(__xludf.DUMMYFUNCTION("""COMPUTED_VALUE"""),29)</f>
        <v>29</v>
      </c>
      <c r="C281" s="1">
        <f ca="1">IFERROR(__xludf.DUMMYFUNCTION("""COMPUTED_VALUE"""),22)</f>
        <v>22</v>
      </c>
      <c r="D281" s="1">
        <f ca="1">IFERROR(__xludf.DUMMYFUNCTION("""COMPUTED_VALUE"""),7)</f>
        <v>7</v>
      </c>
      <c r="E281" s="1">
        <f ca="1">IFERROR(__xludf.DUMMYFUNCTION("""COMPUTED_VALUE"""),0.759)</f>
        <v>0.75900000000000001</v>
      </c>
      <c r="F281" s="1">
        <f ca="1">IFERROR(__xludf.DUMMYFUNCTION("""COMPUTED_VALUE"""),10.72)</f>
        <v>10.72</v>
      </c>
      <c r="G281" s="1">
        <f ca="1">IFERROR(__xludf.DUMMYFUNCTION("""COMPUTED_VALUE"""),2.55)</f>
        <v>2.5499999999999998</v>
      </c>
      <c r="H281" s="1">
        <f ca="1">IFERROR(__xludf.DUMMYFUNCTION("""COMPUTED_VALUE"""),12)</f>
        <v>12</v>
      </c>
      <c r="I281" s="1">
        <f ca="1">IFERROR(__xludf.DUMMYFUNCTION("""COMPUTED_VALUE"""),4)</f>
        <v>4</v>
      </c>
      <c r="J281" s="1">
        <f ca="1">IFERROR(__xludf.DUMMYFUNCTION("""COMPUTED_VALUE"""),13)</f>
        <v>13</v>
      </c>
      <c r="K281" s="1">
        <f ca="1">IFERROR(__xludf.DUMMYFUNCTION("""COMPUTED_VALUE"""),2)</f>
        <v>2</v>
      </c>
      <c r="L281" s="1">
        <f ca="1">IFERROR(__xludf.DUMMYFUNCTION("""COMPUTED_VALUE"""),8)</f>
        <v>8</v>
      </c>
      <c r="M281" s="1">
        <f ca="1">IFERROR(__xludf.DUMMYFUNCTION("""COMPUTED_VALUE"""),3)</f>
        <v>3</v>
      </c>
      <c r="N281" s="1">
        <f ca="1">IFERROR(__xludf.DUMMYFUNCTION("""COMPUTED_VALUE"""),2182)</f>
        <v>2182</v>
      </c>
      <c r="O281" s="1">
        <f ca="1">IFERROR(__xludf.DUMMYFUNCTION("""COMPUTED_VALUE"""),1945)</f>
        <v>1945</v>
      </c>
      <c r="P281" s="1">
        <f ca="1">IFERROR(__xludf.DUMMYFUNCTION("""COMPUTED_VALUE"""),1170)</f>
        <v>1170</v>
      </c>
      <c r="Q281" s="1">
        <f ca="1">IFERROR(__xludf.DUMMYFUNCTION("""COMPUTED_VALUE"""),792)</f>
        <v>792</v>
      </c>
      <c r="R281" s="1">
        <f ca="1">IFERROR(__xludf.DUMMYFUNCTION("""COMPUTED_VALUE"""),1695)</f>
        <v>1695</v>
      </c>
      <c r="S281" s="1">
        <f ca="1">IFERROR(__xludf.DUMMYFUNCTION("""COMPUTED_VALUE"""),0.467)</f>
        <v>0.46700000000000003</v>
      </c>
      <c r="T281" s="1">
        <f ca="1">IFERROR(__xludf.DUMMYFUNCTION("""COMPUTED_VALUE"""),234)</f>
        <v>234</v>
      </c>
      <c r="U281" s="1">
        <f ca="1">IFERROR(__xludf.DUMMYFUNCTION("""COMPUTED_VALUE"""),646)</f>
        <v>646</v>
      </c>
      <c r="V281" s="1">
        <f ca="1">IFERROR(__xludf.DUMMYFUNCTION("""COMPUTED_VALUE"""),0.362)</f>
        <v>0.36199999999999999</v>
      </c>
      <c r="W281" s="1">
        <f ca="1">IFERROR(__xludf.DUMMYFUNCTION("""COMPUTED_VALUE"""),364)</f>
        <v>364</v>
      </c>
      <c r="X281" s="1">
        <f ca="1">IFERROR(__xludf.DUMMYFUNCTION("""COMPUTED_VALUE"""),470)</f>
        <v>470</v>
      </c>
      <c r="Y281" s="1">
        <f ca="1">IFERROR(__xludf.DUMMYFUNCTION("""COMPUTED_VALUE"""),0.774)</f>
        <v>0.77400000000000002</v>
      </c>
      <c r="Z281" s="1">
        <f ca="1">IFERROR(__xludf.DUMMYFUNCTION("""COMPUTED_VALUE"""),212)</f>
        <v>212</v>
      </c>
      <c r="AA281" s="1">
        <f ca="1">IFERROR(__xludf.DUMMYFUNCTION("""COMPUTED_VALUE"""),988)</f>
        <v>988</v>
      </c>
      <c r="AB281" s="1">
        <f ca="1">IFERROR(__xludf.DUMMYFUNCTION("""COMPUTED_VALUE"""),444)</f>
        <v>444</v>
      </c>
      <c r="AC281" s="1">
        <f ca="1">IFERROR(__xludf.DUMMYFUNCTION("""COMPUTED_VALUE"""),237)</f>
        <v>237</v>
      </c>
      <c r="AD281" s="1">
        <f ca="1">IFERROR(__xludf.DUMMYFUNCTION("""COMPUTED_VALUE"""),75)</f>
        <v>75</v>
      </c>
      <c r="AE281" s="1">
        <f ca="1">IFERROR(__xludf.DUMMYFUNCTION("""COMPUTED_VALUE"""),316)</f>
        <v>316</v>
      </c>
      <c r="AF281" s="1">
        <f ca="1">IFERROR(__xludf.DUMMYFUNCTION("""COMPUTED_VALUE"""),444)</f>
        <v>444</v>
      </c>
    </row>
    <row r="282" spans="1:32" x14ac:dyDescent="0.25">
      <c r="A282" s="1" t="str">
        <f ca="1">IFERROR(__xludf.DUMMYFUNCTION("""COMPUTED_VALUE"""),"Rider")</f>
        <v>Rider</v>
      </c>
      <c r="B282" s="1">
        <f ca="1">IFERROR(__xludf.DUMMYFUNCTION("""COMPUTED_VALUE"""),29)</f>
        <v>29</v>
      </c>
      <c r="C282" s="1">
        <f ca="1">IFERROR(__xludf.DUMMYFUNCTION("""COMPUTED_VALUE"""),17)</f>
        <v>17</v>
      </c>
      <c r="D282" s="1">
        <f ca="1">IFERROR(__xludf.DUMMYFUNCTION("""COMPUTED_VALUE"""),12)</f>
        <v>12</v>
      </c>
      <c r="E282" s="1">
        <f ca="1">IFERROR(__xludf.DUMMYFUNCTION("""COMPUTED_VALUE"""),0.586)</f>
        <v>0.58599999999999997</v>
      </c>
      <c r="F282" s="1">
        <f ca="1">IFERROR(__xludf.DUMMYFUNCTION("""COMPUTED_VALUE"""),-3.27)</f>
        <v>-3.27</v>
      </c>
      <c r="G282" s="1">
        <f ca="1">IFERROR(__xludf.DUMMYFUNCTION("""COMPUTED_VALUE"""),-5.34)</f>
        <v>-5.34</v>
      </c>
      <c r="H282" s="1">
        <f ca="1">IFERROR(__xludf.DUMMYFUNCTION("""COMPUTED_VALUE"""),11)</f>
        <v>11</v>
      </c>
      <c r="I282" s="1">
        <f ca="1">IFERROR(__xludf.DUMMYFUNCTION("""COMPUTED_VALUE"""),8)</f>
        <v>8</v>
      </c>
      <c r="J282" s="1">
        <f ca="1">IFERROR(__xludf.DUMMYFUNCTION("""COMPUTED_VALUE"""),10)</f>
        <v>10</v>
      </c>
      <c r="K282" s="1">
        <f ca="1">IFERROR(__xludf.DUMMYFUNCTION("""COMPUTED_VALUE"""),1)</f>
        <v>1</v>
      </c>
      <c r="L282" s="1">
        <f ca="1">IFERROR(__xludf.DUMMYFUNCTION("""COMPUTED_VALUE"""),5)</f>
        <v>5</v>
      </c>
      <c r="M282" s="1">
        <f ca="1">IFERROR(__xludf.DUMMYFUNCTION("""COMPUTED_VALUE"""),11)</f>
        <v>11</v>
      </c>
      <c r="N282" s="1">
        <f ca="1">IFERROR(__xludf.DUMMYFUNCTION("""COMPUTED_VALUE"""),2081)</f>
        <v>2081</v>
      </c>
      <c r="O282" s="1">
        <f ca="1">IFERROR(__xludf.DUMMYFUNCTION("""COMPUTED_VALUE"""),2021)</f>
        <v>2021</v>
      </c>
      <c r="P282" s="1">
        <f ca="1">IFERROR(__xludf.DUMMYFUNCTION("""COMPUTED_VALUE"""),1160)</f>
        <v>1160</v>
      </c>
      <c r="Q282" s="1">
        <f ca="1">IFERROR(__xludf.DUMMYFUNCTION("""COMPUTED_VALUE"""),731)</f>
        <v>731</v>
      </c>
      <c r="R282" s="1">
        <f ca="1">IFERROR(__xludf.DUMMYFUNCTION("""COMPUTED_VALUE"""),1676)</f>
        <v>1676</v>
      </c>
      <c r="S282" s="1">
        <f ca="1">IFERROR(__xludf.DUMMYFUNCTION("""COMPUTED_VALUE"""),0.436)</f>
        <v>0.436</v>
      </c>
      <c r="T282" s="1">
        <f ca="1">IFERROR(__xludf.DUMMYFUNCTION("""COMPUTED_VALUE"""),178)</f>
        <v>178</v>
      </c>
      <c r="U282" s="1">
        <f ca="1">IFERROR(__xludf.DUMMYFUNCTION("""COMPUTED_VALUE"""),558)</f>
        <v>558</v>
      </c>
      <c r="V282" s="1">
        <f ca="1">IFERROR(__xludf.DUMMYFUNCTION("""COMPUTED_VALUE"""),0.319)</f>
        <v>0.31900000000000001</v>
      </c>
      <c r="W282" s="1">
        <f ca="1">IFERROR(__xludf.DUMMYFUNCTION("""COMPUTED_VALUE"""),441)</f>
        <v>441</v>
      </c>
      <c r="X282" s="1">
        <f ca="1">IFERROR(__xludf.DUMMYFUNCTION("""COMPUTED_VALUE"""),668)</f>
        <v>668</v>
      </c>
      <c r="Y282" s="1">
        <f ca="1">IFERROR(__xludf.DUMMYFUNCTION("""COMPUTED_VALUE"""),0.66)</f>
        <v>0.66</v>
      </c>
      <c r="Z282" s="1">
        <f ca="1">IFERROR(__xludf.DUMMYFUNCTION("""COMPUTED_VALUE"""),316)</f>
        <v>316</v>
      </c>
      <c r="AA282" s="1">
        <f ca="1">IFERROR(__xludf.DUMMYFUNCTION("""COMPUTED_VALUE"""),1108)</f>
        <v>1108</v>
      </c>
      <c r="AB282" s="1">
        <f ca="1">IFERROR(__xludf.DUMMYFUNCTION("""COMPUTED_VALUE"""),378)</f>
        <v>378</v>
      </c>
      <c r="AC282" s="1">
        <f ca="1">IFERROR(__xludf.DUMMYFUNCTION("""COMPUTED_VALUE"""),194)</f>
        <v>194</v>
      </c>
      <c r="AD282" s="1">
        <f ca="1">IFERROR(__xludf.DUMMYFUNCTION("""COMPUTED_VALUE"""),74)</f>
        <v>74</v>
      </c>
      <c r="AE282" s="1">
        <f ca="1">IFERROR(__xludf.DUMMYFUNCTION("""COMPUTED_VALUE"""),406)</f>
        <v>406</v>
      </c>
      <c r="AF282" s="1">
        <f ca="1">IFERROR(__xludf.DUMMYFUNCTION("""COMPUTED_VALUE"""),502)</f>
        <v>502</v>
      </c>
    </row>
    <row r="283" spans="1:32" x14ac:dyDescent="0.25">
      <c r="A283" s="1" t="str">
        <f ca="1">IFERROR(__xludf.DUMMYFUNCTION("""COMPUTED_VALUE"""),"Robert Morris")</f>
        <v>Robert Morris</v>
      </c>
      <c r="B283" s="1">
        <f ca="1">IFERROR(__xludf.DUMMYFUNCTION("""COMPUTED_VALUE"""),31)</f>
        <v>31</v>
      </c>
      <c r="C283" s="1">
        <f ca="1">IFERROR(__xludf.DUMMYFUNCTION("""COMPUTED_VALUE"""),17)</f>
        <v>17</v>
      </c>
      <c r="D283" s="1">
        <f ca="1">IFERROR(__xludf.DUMMYFUNCTION("""COMPUTED_VALUE"""),14)</f>
        <v>14</v>
      </c>
      <c r="E283" s="1">
        <f ca="1">IFERROR(__xludf.DUMMYFUNCTION("""COMPUTED_VALUE"""),0.548)</f>
        <v>0.54800000000000004</v>
      </c>
      <c r="F283" s="1">
        <f ca="1">IFERROR(__xludf.DUMMYFUNCTION("""COMPUTED_VALUE"""),-5.49)</f>
        <v>-5.49</v>
      </c>
      <c r="G283" s="1">
        <f ca="1">IFERROR(__xludf.DUMMYFUNCTION("""COMPUTED_VALUE"""),-6.22)</f>
        <v>-6.22</v>
      </c>
      <c r="H283" s="1">
        <f ca="1">IFERROR(__xludf.DUMMYFUNCTION("""COMPUTED_VALUE"""),13)</f>
        <v>13</v>
      </c>
      <c r="I283" s="1">
        <f ca="1">IFERROR(__xludf.DUMMYFUNCTION("""COMPUTED_VALUE"""),5)</f>
        <v>5</v>
      </c>
      <c r="J283" s="1">
        <f ca="1">IFERROR(__xludf.DUMMYFUNCTION("""COMPUTED_VALUE"""),9)</f>
        <v>9</v>
      </c>
      <c r="K283" s="1">
        <f ca="1">IFERROR(__xludf.DUMMYFUNCTION("""COMPUTED_VALUE"""),3)</f>
        <v>3</v>
      </c>
      <c r="L283" s="1">
        <f ca="1">IFERROR(__xludf.DUMMYFUNCTION("""COMPUTED_VALUE"""),7)</f>
        <v>7</v>
      </c>
      <c r="M283" s="1">
        <f ca="1">IFERROR(__xludf.DUMMYFUNCTION("""COMPUTED_VALUE"""),11)</f>
        <v>11</v>
      </c>
      <c r="N283" s="1">
        <f ca="1">IFERROR(__xludf.DUMMYFUNCTION("""COMPUTED_VALUE"""),2151)</f>
        <v>2151</v>
      </c>
      <c r="O283" s="1">
        <f ca="1">IFERROR(__xludf.DUMMYFUNCTION("""COMPUTED_VALUE"""),2089)</f>
        <v>2089</v>
      </c>
      <c r="P283" s="1">
        <f ca="1">IFERROR(__xludf.DUMMYFUNCTION("""COMPUTED_VALUE"""),1240)</f>
        <v>1240</v>
      </c>
      <c r="Q283" s="1">
        <f ca="1">IFERROR(__xludf.DUMMYFUNCTION("""COMPUTED_VALUE"""),793)</f>
        <v>793</v>
      </c>
      <c r="R283" s="1">
        <f ca="1">IFERROR(__xludf.DUMMYFUNCTION("""COMPUTED_VALUE"""),1803)</f>
        <v>1803</v>
      </c>
      <c r="S283" s="1">
        <f ca="1">IFERROR(__xludf.DUMMYFUNCTION("""COMPUTED_VALUE"""),0.44)</f>
        <v>0.44</v>
      </c>
      <c r="T283" s="1">
        <f ca="1">IFERROR(__xludf.DUMMYFUNCTION("""COMPUTED_VALUE"""),260)</f>
        <v>260</v>
      </c>
      <c r="U283" s="1">
        <f ca="1">IFERROR(__xludf.DUMMYFUNCTION("""COMPUTED_VALUE"""),713)</f>
        <v>713</v>
      </c>
      <c r="V283" s="1">
        <f ca="1">IFERROR(__xludf.DUMMYFUNCTION("""COMPUTED_VALUE"""),0.365)</f>
        <v>0.36499999999999999</v>
      </c>
      <c r="W283" s="1">
        <f ca="1">IFERROR(__xludf.DUMMYFUNCTION("""COMPUTED_VALUE"""),305)</f>
        <v>305</v>
      </c>
      <c r="X283" s="1">
        <f ca="1">IFERROR(__xludf.DUMMYFUNCTION("""COMPUTED_VALUE"""),460)</f>
        <v>460</v>
      </c>
      <c r="Y283" s="1">
        <f ca="1">IFERROR(__xludf.DUMMYFUNCTION("""COMPUTED_VALUE"""),0.663)</f>
        <v>0.66300000000000003</v>
      </c>
      <c r="Z283" s="1">
        <f ca="1">IFERROR(__xludf.DUMMYFUNCTION("""COMPUTED_VALUE"""),321)</f>
        <v>321</v>
      </c>
      <c r="AA283" s="1">
        <f ca="1">IFERROR(__xludf.DUMMYFUNCTION("""COMPUTED_VALUE"""),1042)</f>
        <v>1042</v>
      </c>
      <c r="AB283" s="1">
        <f ca="1">IFERROR(__xludf.DUMMYFUNCTION("""COMPUTED_VALUE"""),507)</f>
        <v>507</v>
      </c>
      <c r="AC283" s="1">
        <f ca="1">IFERROR(__xludf.DUMMYFUNCTION("""COMPUTED_VALUE"""),191)</f>
        <v>191</v>
      </c>
      <c r="AD283" s="1">
        <f ca="1">IFERROR(__xludf.DUMMYFUNCTION("""COMPUTED_VALUE"""),59)</f>
        <v>59</v>
      </c>
      <c r="AE283" s="1">
        <f ca="1">IFERROR(__xludf.DUMMYFUNCTION("""COMPUTED_VALUE"""),393)</f>
        <v>393</v>
      </c>
      <c r="AF283" s="1">
        <f ca="1">IFERROR(__xludf.DUMMYFUNCTION("""COMPUTED_VALUE"""),520)</f>
        <v>520</v>
      </c>
    </row>
    <row r="284" spans="1:32" x14ac:dyDescent="0.25">
      <c r="A284" s="1" t="str">
        <f ca="1">IFERROR(__xludf.DUMMYFUNCTION("""COMPUTED_VALUE"""),"Rutgers")</f>
        <v>Rutgers</v>
      </c>
      <c r="B284" s="1">
        <f ca="1">IFERROR(__xludf.DUMMYFUNCTION("""COMPUTED_VALUE"""),29)</f>
        <v>29</v>
      </c>
      <c r="C284" s="1">
        <f ca="1">IFERROR(__xludf.DUMMYFUNCTION("""COMPUTED_VALUE"""),18)</f>
        <v>18</v>
      </c>
      <c r="D284" s="1">
        <f ca="1">IFERROR(__xludf.DUMMYFUNCTION("""COMPUTED_VALUE"""),11)</f>
        <v>11</v>
      </c>
      <c r="E284" s="1">
        <f ca="1">IFERROR(__xludf.DUMMYFUNCTION("""COMPUTED_VALUE"""),0.621)</f>
        <v>0.621</v>
      </c>
      <c r="F284" s="1">
        <f ca="1">IFERROR(__xludf.DUMMYFUNCTION("""COMPUTED_VALUE"""),15.33)</f>
        <v>15.33</v>
      </c>
      <c r="G284" s="1">
        <f ca="1">IFERROR(__xludf.DUMMYFUNCTION("""COMPUTED_VALUE"""),9.37)</f>
        <v>9.3699999999999992</v>
      </c>
      <c r="H284" s="1">
        <f ca="1">IFERROR(__xludf.DUMMYFUNCTION("""COMPUTED_VALUE"""),9)</f>
        <v>9</v>
      </c>
      <c r="I284" s="1">
        <f ca="1">IFERROR(__xludf.DUMMYFUNCTION("""COMPUTED_VALUE"""),9)</f>
        <v>9</v>
      </c>
      <c r="J284" s="1">
        <f ca="1">IFERROR(__xludf.DUMMYFUNCTION("""COMPUTED_VALUE"""),17)</f>
        <v>17</v>
      </c>
      <c r="K284" s="1">
        <f ca="1">IFERROR(__xludf.DUMMYFUNCTION("""COMPUTED_VALUE"""),1)</f>
        <v>1</v>
      </c>
      <c r="L284" s="1">
        <f ca="1">IFERROR(__xludf.DUMMYFUNCTION("""COMPUTED_VALUE"""),1)</f>
        <v>1</v>
      </c>
      <c r="M284" s="1">
        <f ca="1">IFERROR(__xludf.DUMMYFUNCTION("""COMPUTED_VALUE"""),8)</f>
        <v>8</v>
      </c>
      <c r="N284" s="1">
        <f ca="1">IFERROR(__xludf.DUMMYFUNCTION("""COMPUTED_VALUE"""),2019)</f>
        <v>2019</v>
      </c>
      <c r="O284" s="1">
        <f ca="1">IFERROR(__xludf.DUMMYFUNCTION("""COMPUTED_VALUE"""),1807)</f>
        <v>1807</v>
      </c>
      <c r="P284" s="1">
        <f ca="1">IFERROR(__xludf.DUMMYFUNCTION("""COMPUTED_VALUE"""),1165)</f>
        <v>1165</v>
      </c>
      <c r="Q284" s="1">
        <f ca="1">IFERROR(__xludf.DUMMYFUNCTION("""COMPUTED_VALUE"""),768)</f>
        <v>768</v>
      </c>
      <c r="R284" s="1">
        <f ca="1">IFERROR(__xludf.DUMMYFUNCTION("""COMPUTED_VALUE"""),1725)</f>
        <v>1725</v>
      </c>
      <c r="S284" s="1">
        <f ca="1">IFERROR(__xludf.DUMMYFUNCTION("""COMPUTED_VALUE"""),0.445)</f>
        <v>0.44500000000000001</v>
      </c>
      <c r="T284" s="1">
        <f ca="1">IFERROR(__xludf.DUMMYFUNCTION("""COMPUTED_VALUE"""),156)</f>
        <v>156</v>
      </c>
      <c r="U284" s="1">
        <f ca="1">IFERROR(__xludf.DUMMYFUNCTION("""COMPUTED_VALUE"""),520)</f>
        <v>520</v>
      </c>
      <c r="V284" s="1">
        <f ca="1">IFERROR(__xludf.DUMMYFUNCTION("""COMPUTED_VALUE"""),0.3)</f>
        <v>0.3</v>
      </c>
      <c r="W284" s="1">
        <f ca="1">IFERROR(__xludf.DUMMYFUNCTION("""COMPUTED_VALUE"""),327)</f>
        <v>327</v>
      </c>
      <c r="X284" s="1">
        <f ca="1">IFERROR(__xludf.DUMMYFUNCTION("""COMPUTED_VALUE"""),503)</f>
        <v>503</v>
      </c>
      <c r="Y284" s="1">
        <f ca="1">IFERROR(__xludf.DUMMYFUNCTION("""COMPUTED_VALUE"""),0.65)</f>
        <v>0.65</v>
      </c>
      <c r="Z284" s="1">
        <f ca="1">IFERROR(__xludf.DUMMYFUNCTION("""COMPUTED_VALUE"""),342)</f>
        <v>342</v>
      </c>
      <c r="AA284" s="1">
        <f ca="1">IFERROR(__xludf.DUMMYFUNCTION("""COMPUTED_VALUE"""),1161)</f>
        <v>1161</v>
      </c>
      <c r="AB284" s="1">
        <f ca="1">IFERROR(__xludf.DUMMYFUNCTION("""COMPUTED_VALUE"""),368)</f>
        <v>368</v>
      </c>
      <c r="AC284" s="1">
        <f ca="1">IFERROR(__xludf.DUMMYFUNCTION("""COMPUTED_VALUE"""),194)</f>
        <v>194</v>
      </c>
      <c r="AD284" s="1">
        <f ca="1">IFERROR(__xludf.DUMMYFUNCTION("""COMPUTED_VALUE"""),133)</f>
        <v>133</v>
      </c>
      <c r="AE284" s="1">
        <f ca="1">IFERROR(__xludf.DUMMYFUNCTION("""COMPUTED_VALUE"""),356)</f>
        <v>356</v>
      </c>
      <c r="AF284" s="1">
        <f ca="1">IFERROR(__xludf.DUMMYFUNCTION("""COMPUTED_VALUE"""),483)</f>
        <v>483</v>
      </c>
    </row>
    <row r="285" spans="1:32" x14ac:dyDescent="0.25">
      <c r="A285" s="1" t="str">
        <f ca="1">IFERROR(__xludf.DUMMYFUNCTION("""COMPUTED_VALUE"""),"Sacramento State")</f>
        <v>Sacramento State</v>
      </c>
      <c r="B285" s="1">
        <f ca="1">IFERROR(__xludf.DUMMYFUNCTION("""COMPUTED_VALUE"""),28)</f>
        <v>28</v>
      </c>
      <c r="C285" s="1">
        <f ca="1">IFERROR(__xludf.DUMMYFUNCTION("""COMPUTED_VALUE"""),15)</f>
        <v>15</v>
      </c>
      <c r="D285" s="1">
        <f ca="1">IFERROR(__xludf.DUMMYFUNCTION("""COMPUTED_VALUE"""),13)</f>
        <v>13</v>
      </c>
      <c r="E285" s="1">
        <f ca="1">IFERROR(__xludf.DUMMYFUNCTION("""COMPUTED_VALUE"""),0.536)</f>
        <v>0.53600000000000003</v>
      </c>
      <c r="F285" s="1">
        <f ca="1">IFERROR(__xludf.DUMMYFUNCTION("""COMPUTED_VALUE"""),-1.87)</f>
        <v>-1.87</v>
      </c>
      <c r="G285" s="1">
        <f ca="1">IFERROR(__xludf.DUMMYFUNCTION("""COMPUTED_VALUE"""),-2.45)</f>
        <v>-2.4500000000000002</v>
      </c>
      <c r="H285" s="1">
        <f ca="1">IFERROR(__xludf.DUMMYFUNCTION("""COMPUTED_VALUE"""),8)</f>
        <v>8</v>
      </c>
      <c r="I285" s="1">
        <f ca="1">IFERROR(__xludf.DUMMYFUNCTION("""COMPUTED_VALUE"""),11)</f>
        <v>11</v>
      </c>
      <c r="J285" s="1">
        <f ca="1">IFERROR(__xludf.DUMMYFUNCTION("""COMPUTED_VALUE"""),10)</f>
        <v>10</v>
      </c>
      <c r="K285" s="1">
        <f ca="1">IFERROR(__xludf.DUMMYFUNCTION("""COMPUTED_VALUE"""),4)</f>
        <v>4</v>
      </c>
      <c r="L285" s="1">
        <f ca="1">IFERROR(__xludf.DUMMYFUNCTION("""COMPUTED_VALUE"""),4)</f>
        <v>4</v>
      </c>
      <c r="M285" s="1">
        <f ca="1">IFERROR(__xludf.DUMMYFUNCTION("""COMPUTED_VALUE"""),9)</f>
        <v>9</v>
      </c>
      <c r="N285" s="1">
        <f ca="1">IFERROR(__xludf.DUMMYFUNCTION("""COMPUTED_VALUE"""),1761)</f>
        <v>1761</v>
      </c>
      <c r="O285" s="1">
        <f ca="1">IFERROR(__xludf.DUMMYFUNCTION("""COMPUTED_VALUE"""),1661)</f>
        <v>1661</v>
      </c>
      <c r="P285" s="1">
        <f ca="1">IFERROR(__xludf.DUMMYFUNCTION("""COMPUTED_VALUE"""),1120)</f>
        <v>1120</v>
      </c>
      <c r="Q285" s="1">
        <f ca="1">IFERROR(__xludf.DUMMYFUNCTION("""COMPUTED_VALUE"""),639)</f>
        <v>639</v>
      </c>
      <c r="R285" s="1">
        <f ca="1">IFERROR(__xludf.DUMMYFUNCTION("""COMPUTED_VALUE"""),1535)</f>
        <v>1535</v>
      </c>
      <c r="S285" s="1">
        <f ca="1">IFERROR(__xludf.DUMMYFUNCTION("""COMPUTED_VALUE"""),0.416)</f>
        <v>0.41599999999999998</v>
      </c>
      <c r="T285" s="1">
        <f ca="1">IFERROR(__xludf.DUMMYFUNCTION("""COMPUTED_VALUE"""),135)</f>
        <v>135</v>
      </c>
      <c r="U285" s="1">
        <f ca="1">IFERROR(__xludf.DUMMYFUNCTION("""COMPUTED_VALUE"""),430)</f>
        <v>430</v>
      </c>
      <c r="V285" s="1">
        <f ca="1">IFERROR(__xludf.DUMMYFUNCTION("""COMPUTED_VALUE"""),0.314)</f>
        <v>0.314</v>
      </c>
      <c r="W285" s="1">
        <f ca="1">IFERROR(__xludf.DUMMYFUNCTION("""COMPUTED_VALUE"""),348)</f>
        <v>348</v>
      </c>
      <c r="X285" s="1">
        <f ca="1">IFERROR(__xludf.DUMMYFUNCTION("""COMPUTED_VALUE"""),484)</f>
        <v>484</v>
      </c>
      <c r="Y285" s="1">
        <f ca="1">IFERROR(__xludf.DUMMYFUNCTION("""COMPUTED_VALUE"""),0.719)</f>
        <v>0.71899999999999997</v>
      </c>
      <c r="Z285" s="1">
        <f ca="1">IFERROR(__xludf.DUMMYFUNCTION("""COMPUTED_VALUE"""),311)</f>
        <v>311</v>
      </c>
      <c r="AA285" s="1">
        <f ca="1">IFERROR(__xludf.DUMMYFUNCTION("""COMPUTED_VALUE"""),971)</f>
        <v>971</v>
      </c>
      <c r="AB285" s="1">
        <f ca="1">IFERROR(__xludf.DUMMYFUNCTION("""COMPUTED_VALUE"""),352)</f>
        <v>352</v>
      </c>
      <c r="AC285" s="1">
        <f ca="1">IFERROR(__xludf.DUMMYFUNCTION("""COMPUTED_VALUE"""),193)</f>
        <v>193</v>
      </c>
      <c r="AD285" s="1">
        <f ca="1">IFERROR(__xludf.DUMMYFUNCTION("""COMPUTED_VALUE"""),111)</f>
        <v>111</v>
      </c>
      <c r="AE285" s="1">
        <f ca="1">IFERROR(__xludf.DUMMYFUNCTION("""COMPUTED_VALUE"""),346)</f>
        <v>346</v>
      </c>
      <c r="AF285" s="1">
        <f ca="1">IFERROR(__xludf.DUMMYFUNCTION("""COMPUTED_VALUE"""),486)</f>
        <v>486</v>
      </c>
    </row>
    <row r="286" spans="1:32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x14ac:dyDescent="0.25">
      <c r="A288" s="1" t="str">
        <f ca="1">IFERROR(__xludf.DUMMYFUNCTION("""COMPUTED_VALUE"""),"Sacred Heart")</f>
        <v>Sacred Heart</v>
      </c>
      <c r="B288" s="1">
        <f ca="1">IFERROR(__xludf.DUMMYFUNCTION("""COMPUTED_VALUE"""),31)</f>
        <v>31</v>
      </c>
      <c r="C288" s="1">
        <f ca="1">IFERROR(__xludf.DUMMYFUNCTION("""COMPUTED_VALUE"""),19)</f>
        <v>19</v>
      </c>
      <c r="D288" s="1">
        <f ca="1">IFERROR(__xludf.DUMMYFUNCTION("""COMPUTED_VALUE"""),12)</f>
        <v>12</v>
      </c>
      <c r="E288" s="1">
        <f ca="1">IFERROR(__xludf.DUMMYFUNCTION("""COMPUTED_VALUE"""),0.613)</f>
        <v>0.61299999999999999</v>
      </c>
      <c r="F288" s="1">
        <f ca="1">IFERROR(__xludf.DUMMYFUNCTION("""COMPUTED_VALUE"""),-4.41)</f>
        <v>-4.41</v>
      </c>
      <c r="G288" s="1">
        <f ca="1">IFERROR(__xludf.DUMMYFUNCTION("""COMPUTED_VALUE"""),-7.58)</f>
        <v>-7.58</v>
      </c>
      <c r="H288" s="1">
        <f ca="1">IFERROR(__xludf.DUMMYFUNCTION("""COMPUTED_VALUE"""),12)</f>
        <v>12</v>
      </c>
      <c r="I288" s="1">
        <f ca="1">IFERROR(__xludf.DUMMYFUNCTION("""COMPUTED_VALUE"""),6)</f>
        <v>6</v>
      </c>
      <c r="J288" s="1">
        <f ca="1">IFERROR(__xludf.DUMMYFUNCTION("""COMPUTED_VALUE"""),8)</f>
        <v>8</v>
      </c>
      <c r="K288" s="1">
        <f ca="1">IFERROR(__xludf.DUMMYFUNCTION("""COMPUTED_VALUE"""),4)</f>
        <v>4</v>
      </c>
      <c r="L288" s="1">
        <f ca="1">IFERROR(__xludf.DUMMYFUNCTION("""COMPUTED_VALUE"""),10)</f>
        <v>10</v>
      </c>
      <c r="M288" s="1">
        <f ca="1">IFERROR(__xludf.DUMMYFUNCTION("""COMPUTED_VALUE"""),7)</f>
        <v>7</v>
      </c>
      <c r="N288" s="1">
        <f ca="1">IFERROR(__xludf.DUMMYFUNCTION("""COMPUTED_VALUE"""),2287)</f>
        <v>2287</v>
      </c>
      <c r="O288" s="1">
        <f ca="1">IFERROR(__xludf.DUMMYFUNCTION("""COMPUTED_VALUE"""),2148)</f>
        <v>2148</v>
      </c>
      <c r="P288" s="1">
        <f ca="1">IFERROR(__xludf.DUMMYFUNCTION("""COMPUTED_VALUE"""),1240)</f>
        <v>1240</v>
      </c>
      <c r="Q288" s="1">
        <f ca="1">IFERROR(__xludf.DUMMYFUNCTION("""COMPUTED_VALUE"""),794)</f>
        <v>794</v>
      </c>
      <c r="R288" s="1">
        <f ca="1">IFERROR(__xludf.DUMMYFUNCTION("""COMPUTED_VALUE"""),1835)</f>
        <v>1835</v>
      </c>
      <c r="S288" s="1">
        <f ca="1">IFERROR(__xludf.DUMMYFUNCTION("""COMPUTED_VALUE"""),0.433)</f>
        <v>0.433</v>
      </c>
      <c r="T288" s="1">
        <f ca="1">IFERROR(__xludf.DUMMYFUNCTION("""COMPUTED_VALUE"""),234)</f>
        <v>234</v>
      </c>
      <c r="U288" s="1">
        <f ca="1">IFERROR(__xludf.DUMMYFUNCTION("""COMPUTED_VALUE"""),720)</f>
        <v>720</v>
      </c>
      <c r="V288" s="1">
        <f ca="1">IFERROR(__xludf.DUMMYFUNCTION("""COMPUTED_VALUE"""),0.325)</f>
        <v>0.32500000000000001</v>
      </c>
      <c r="W288" s="1">
        <f ca="1">IFERROR(__xludf.DUMMYFUNCTION("""COMPUTED_VALUE"""),465)</f>
        <v>465</v>
      </c>
      <c r="X288" s="1">
        <f ca="1">IFERROR(__xludf.DUMMYFUNCTION("""COMPUTED_VALUE"""),628)</f>
        <v>628</v>
      </c>
      <c r="Y288" s="1">
        <f ca="1">IFERROR(__xludf.DUMMYFUNCTION("""COMPUTED_VALUE"""),0.74)</f>
        <v>0.74</v>
      </c>
      <c r="Z288" s="1">
        <f ca="1">IFERROR(__xludf.DUMMYFUNCTION("""COMPUTED_VALUE"""),396)</f>
        <v>396</v>
      </c>
      <c r="AA288" s="1">
        <f ca="1">IFERROR(__xludf.DUMMYFUNCTION("""COMPUTED_VALUE"""),1275)</f>
        <v>1275</v>
      </c>
      <c r="AB288" s="1">
        <f ca="1">IFERROR(__xludf.DUMMYFUNCTION("""COMPUTED_VALUE"""),412)</f>
        <v>412</v>
      </c>
      <c r="AC288" s="1">
        <f ca="1">IFERROR(__xludf.DUMMYFUNCTION("""COMPUTED_VALUE"""),158)</f>
        <v>158</v>
      </c>
      <c r="AD288" s="1">
        <f ca="1">IFERROR(__xludf.DUMMYFUNCTION("""COMPUTED_VALUE"""),129)</f>
        <v>129</v>
      </c>
      <c r="AE288" s="1">
        <f ca="1">IFERROR(__xludf.DUMMYFUNCTION("""COMPUTED_VALUE"""),438)</f>
        <v>438</v>
      </c>
      <c r="AF288" s="1">
        <f ca="1">IFERROR(__xludf.DUMMYFUNCTION("""COMPUTED_VALUE"""),488)</f>
        <v>488</v>
      </c>
    </row>
    <row r="289" spans="1:32" x14ac:dyDescent="0.25">
      <c r="A289" s="1" t="str">
        <f ca="1">IFERROR(__xludf.DUMMYFUNCTION("""COMPUTED_VALUE"""),"Saint Francis (PA)")</f>
        <v>Saint Francis (PA)</v>
      </c>
      <c r="B289" s="1">
        <f ca="1">IFERROR(__xludf.DUMMYFUNCTION("""COMPUTED_VALUE"""),29)</f>
        <v>29</v>
      </c>
      <c r="C289" s="1">
        <f ca="1">IFERROR(__xludf.DUMMYFUNCTION("""COMPUTED_VALUE"""),20)</f>
        <v>20</v>
      </c>
      <c r="D289" s="1">
        <f ca="1">IFERROR(__xludf.DUMMYFUNCTION("""COMPUTED_VALUE"""),9)</f>
        <v>9</v>
      </c>
      <c r="E289" s="1">
        <f ca="1">IFERROR(__xludf.DUMMYFUNCTION("""COMPUTED_VALUE"""),0.69)</f>
        <v>0.69</v>
      </c>
      <c r="F289" s="1">
        <f ca="1">IFERROR(__xludf.DUMMYFUNCTION("""COMPUTED_VALUE"""),-2.61)</f>
        <v>-2.61</v>
      </c>
      <c r="G289" s="1">
        <f ca="1">IFERROR(__xludf.DUMMYFUNCTION("""COMPUTED_VALUE"""),-6.54)</f>
        <v>-6.54</v>
      </c>
      <c r="H289" s="1">
        <f ca="1">IFERROR(__xludf.DUMMYFUNCTION("""COMPUTED_VALUE"""),13)</f>
        <v>13</v>
      </c>
      <c r="I289" s="1">
        <f ca="1">IFERROR(__xludf.DUMMYFUNCTION("""COMPUTED_VALUE"""),5)</f>
        <v>5</v>
      </c>
      <c r="J289" s="1">
        <f ca="1">IFERROR(__xludf.DUMMYFUNCTION("""COMPUTED_VALUE"""),11)</f>
        <v>11</v>
      </c>
      <c r="K289" s="1">
        <f ca="1">IFERROR(__xludf.DUMMYFUNCTION("""COMPUTED_VALUE"""),2)</f>
        <v>2</v>
      </c>
      <c r="L289" s="1">
        <f ca="1">IFERROR(__xludf.DUMMYFUNCTION("""COMPUTED_VALUE"""),8)</f>
        <v>8</v>
      </c>
      <c r="M289" s="1">
        <f ca="1">IFERROR(__xludf.DUMMYFUNCTION("""COMPUTED_VALUE"""),7)</f>
        <v>7</v>
      </c>
      <c r="N289" s="1">
        <f ca="1">IFERROR(__xludf.DUMMYFUNCTION("""COMPUTED_VALUE"""),2247)</f>
        <v>2247</v>
      </c>
      <c r="O289" s="1">
        <f ca="1">IFERROR(__xludf.DUMMYFUNCTION("""COMPUTED_VALUE"""),2088)</f>
        <v>2088</v>
      </c>
      <c r="P289" s="1">
        <f ca="1">IFERROR(__xludf.DUMMYFUNCTION("""COMPUTED_VALUE"""),1165)</f>
        <v>1165</v>
      </c>
      <c r="Q289" s="1">
        <f ca="1">IFERROR(__xludf.DUMMYFUNCTION("""COMPUTED_VALUE"""),806)</f>
        <v>806</v>
      </c>
      <c r="R289" s="1">
        <f ca="1">IFERROR(__xludf.DUMMYFUNCTION("""COMPUTED_VALUE"""),1746)</f>
        <v>1746</v>
      </c>
      <c r="S289" s="1">
        <f ca="1">IFERROR(__xludf.DUMMYFUNCTION("""COMPUTED_VALUE"""),0.462)</f>
        <v>0.46200000000000002</v>
      </c>
      <c r="T289" s="1">
        <f ca="1">IFERROR(__xludf.DUMMYFUNCTION("""COMPUTED_VALUE"""),188)</f>
        <v>188</v>
      </c>
      <c r="U289" s="1">
        <f ca="1">IFERROR(__xludf.DUMMYFUNCTION("""COMPUTED_VALUE"""),517)</f>
        <v>517</v>
      </c>
      <c r="V289" s="1">
        <f ca="1">IFERROR(__xludf.DUMMYFUNCTION("""COMPUTED_VALUE"""),0.364)</f>
        <v>0.36399999999999999</v>
      </c>
      <c r="W289" s="1">
        <f ca="1">IFERROR(__xludf.DUMMYFUNCTION("""COMPUTED_VALUE"""),447)</f>
        <v>447</v>
      </c>
      <c r="X289" s="1">
        <f ca="1">IFERROR(__xludf.DUMMYFUNCTION("""COMPUTED_VALUE"""),599)</f>
        <v>599</v>
      </c>
      <c r="Y289" s="1">
        <f ca="1">IFERROR(__xludf.DUMMYFUNCTION("""COMPUTED_VALUE"""),0.746)</f>
        <v>0.746</v>
      </c>
      <c r="Z289" s="1">
        <f ca="1">IFERROR(__xludf.DUMMYFUNCTION("""COMPUTED_VALUE"""),332)</f>
        <v>332</v>
      </c>
      <c r="AA289" s="1">
        <f ca="1">IFERROR(__xludf.DUMMYFUNCTION("""COMPUTED_VALUE"""),1057)</f>
        <v>1057</v>
      </c>
      <c r="AB289" s="1">
        <f ca="1">IFERROR(__xludf.DUMMYFUNCTION("""COMPUTED_VALUE"""),337)</f>
        <v>337</v>
      </c>
      <c r="AC289" s="1">
        <f ca="1">IFERROR(__xludf.DUMMYFUNCTION("""COMPUTED_VALUE"""),207)</f>
        <v>207</v>
      </c>
      <c r="AD289" s="1">
        <f ca="1">IFERROR(__xludf.DUMMYFUNCTION("""COMPUTED_VALUE"""),73)</f>
        <v>73</v>
      </c>
      <c r="AE289" s="1">
        <f ca="1">IFERROR(__xludf.DUMMYFUNCTION("""COMPUTED_VALUE"""),362)</f>
        <v>362</v>
      </c>
      <c r="AF289" s="1">
        <f ca="1">IFERROR(__xludf.DUMMYFUNCTION("""COMPUTED_VALUE"""),489)</f>
        <v>489</v>
      </c>
    </row>
    <row r="290" spans="1:32" x14ac:dyDescent="0.25">
      <c r="A290" s="1" t="str">
        <f ca="1">IFERROR(__xludf.DUMMYFUNCTION("""COMPUTED_VALUE"""),"Saint Joseph's")</f>
        <v>Saint Joseph's</v>
      </c>
      <c r="B290" s="1">
        <f ca="1">IFERROR(__xludf.DUMMYFUNCTION("""COMPUTED_VALUE"""),29)</f>
        <v>29</v>
      </c>
      <c r="C290" s="1">
        <f ca="1">IFERROR(__xludf.DUMMYFUNCTION("""COMPUTED_VALUE"""),6)</f>
        <v>6</v>
      </c>
      <c r="D290" s="1">
        <f ca="1">IFERROR(__xludf.DUMMYFUNCTION("""COMPUTED_VALUE"""),23)</f>
        <v>23</v>
      </c>
      <c r="E290" s="1">
        <f ca="1">IFERROR(__xludf.DUMMYFUNCTION("""COMPUTED_VALUE"""),0.207)</f>
        <v>0.20699999999999999</v>
      </c>
      <c r="F290" s="1">
        <f ca="1">IFERROR(__xludf.DUMMYFUNCTION("""COMPUTED_VALUE"""),-5.38)</f>
        <v>-5.38</v>
      </c>
      <c r="G290" s="1">
        <f ca="1">IFERROR(__xludf.DUMMYFUNCTION("""COMPUTED_VALUE"""),5.35)</f>
        <v>5.35</v>
      </c>
      <c r="H290" s="1">
        <f ca="1">IFERROR(__xludf.DUMMYFUNCTION("""COMPUTED_VALUE"""),2)</f>
        <v>2</v>
      </c>
      <c r="I290" s="1">
        <f ca="1">IFERROR(__xludf.DUMMYFUNCTION("""COMPUTED_VALUE"""),14)</f>
        <v>14</v>
      </c>
      <c r="J290" s="1">
        <f ca="1">IFERROR(__xludf.DUMMYFUNCTION("""COMPUTED_VALUE"""),4)</f>
        <v>4</v>
      </c>
      <c r="K290" s="1">
        <f ca="1">IFERROR(__xludf.DUMMYFUNCTION("""COMPUTED_VALUE"""),9)</f>
        <v>9</v>
      </c>
      <c r="L290" s="1">
        <f ca="1">IFERROR(__xludf.DUMMYFUNCTION("""COMPUTED_VALUE"""),2)</f>
        <v>2</v>
      </c>
      <c r="M290" s="1">
        <f ca="1">IFERROR(__xludf.DUMMYFUNCTION("""COMPUTED_VALUE"""),11)</f>
        <v>11</v>
      </c>
      <c r="N290" s="1">
        <f ca="1">IFERROR(__xludf.DUMMYFUNCTION("""COMPUTED_VALUE"""),1988)</f>
        <v>1988</v>
      </c>
      <c r="O290" s="1">
        <f ca="1">IFERROR(__xludf.DUMMYFUNCTION("""COMPUTED_VALUE"""),2299)</f>
        <v>2299</v>
      </c>
      <c r="P290" s="1">
        <f ca="1">IFERROR(__xludf.DUMMYFUNCTION("""COMPUTED_VALUE"""),1165)</f>
        <v>1165</v>
      </c>
      <c r="Q290" s="1">
        <f ca="1">IFERROR(__xludf.DUMMYFUNCTION("""COMPUTED_VALUE"""),679)</f>
        <v>679</v>
      </c>
      <c r="R290" s="1">
        <f ca="1">IFERROR(__xludf.DUMMYFUNCTION("""COMPUTED_VALUE"""),1764)</f>
        <v>1764</v>
      </c>
      <c r="S290" s="1">
        <f ca="1">IFERROR(__xludf.DUMMYFUNCTION("""COMPUTED_VALUE"""),0.385)</f>
        <v>0.38500000000000001</v>
      </c>
      <c r="T290" s="1">
        <f ca="1">IFERROR(__xludf.DUMMYFUNCTION("""COMPUTED_VALUE"""),260)</f>
        <v>260</v>
      </c>
      <c r="U290" s="1">
        <f ca="1">IFERROR(__xludf.DUMMYFUNCTION("""COMPUTED_VALUE"""),877)</f>
        <v>877</v>
      </c>
      <c r="V290" s="1">
        <f ca="1">IFERROR(__xludf.DUMMYFUNCTION("""COMPUTED_VALUE"""),0.296)</f>
        <v>0.29599999999999999</v>
      </c>
      <c r="W290" s="1">
        <f ca="1">IFERROR(__xludf.DUMMYFUNCTION("""COMPUTED_VALUE"""),370)</f>
        <v>370</v>
      </c>
      <c r="X290" s="1">
        <f ca="1">IFERROR(__xludf.DUMMYFUNCTION("""COMPUTED_VALUE"""),526)</f>
        <v>526</v>
      </c>
      <c r="Y290" s="1">
        <f ca="1">IFERROR(__xludf.DUMMYFUNCTION("""COMPUTED_VALUE"""),0.703)</f>
        <v>0.70299999999999996</v>
      </c>
      <c r="Z290" s="1">
        <f ca="1">IFERROR(__xludf.DUMMYFUNCTION("""COMPUTED_VALUE"""),307)</f>
        <v>307</v>
      </c>
      <c r="AA290" s="1">
        <f ca="1">IFERROR(__xludf.DUMMYFUNCTION("""COMPUTED_VALUE"""),1043)</f>
        <v>1043</v>
      </c>
      <c r="AB290" s="1">
        <f ca="1">IFERROR(__xludf.DUMMYFUNCTION("""COMPUTED_VALUE"""),358)</f>
        <v>358</v>
      </c>
      <c r="AC290" s="1">
        <f ca="1">IFERROR(__xludf.DUMMYFUNCTION("""COMPUTED_VALUE"""),139)</f>
        <v>139</v>
      </c>
      <c r="AD290" s="1">
        <f ca="1">IFERROR(__xludf.DUMMYFUNCTION("""COMPUTED_VALUE"""),81)</f>
        <v>81</v>
      </c>
      <c r="AE290" s="1">
        <f ca="1">IFERROR(__xludf.DUMMYFUNCTION("""COMPUTED_VALUE"""),390)</f>
        <v>390</v>
      </c>
      <c r="AF290" s="1">
        <f ca="1">IFERROR(__xludf.DUMMYFUNCTION("""COMPUTED_VALUE"""),505)</f>
        <v>505</v>
      </c>
    </row>
    <row r="291" spans="1:32" x14ac:dyDescent="0.25">
      <c r="A291" s="1" t="str">
        <f ca="1">IFERROR(__xludf.DUMMYFUNCTION("""COMPUTED_VALUE"""),"Saint Louis")</f>
        <v>Saint Louis</v>
      </c>
      <c r="B291" s="1">
        <f ca="1">IFERROR(__xludf.DUMMYFUNCTION("""COMPUTED_VALUE"""),29)</f>
        <v>29</v>
      </c>
      <c r="C291" s="1">
        <f ca="1">IFERROR(__xludf.DUMMYFUNCTION("""COMPUTED_VALUE"""),21)</f>
        <v>21</v>
      </c>
      <c r="D291" s="1">
        <f ca="1">IFERROR(__xludf.DUMMYFUNCTION("""COMPUTED_VALUE"""),8)</f>
        <v>8</v>
      </c>
      <c r="E291" s="1">
        <f ca="1">IFERROR(__xludf.DUMMYFUNCTION("""COMPUTED_VALUE"""),0.724)</f>
        <v>0.72399999999999998</v>
      </c>
      <c r="F291" s="1">
        <f ca="1">IFERROR(__xludf.DUMMYFUNCTION("""COMPUTED_VALUE"""),8.75)</f>
        <v>8.75</v>
      </c>
      <c r="G291" s="1">
        <f ca="1">IFERROR(__xludf.DUMMYFUNCTION("""COMPUTED_VALUE"""),3.21)</f>
        <v>3.21</v>
      </c>
      <c r="H291" s="1">
        <f ca="1">IFERROR(__xludf.DUMMYFUNCTION("""COMPUTED_VALUE"""),10)</f>
        <v>10</v>
      </c>
      <c r="I291" s="1">
        <f ca="1">IFERROR(__xludf.DUMMYFUNCTION("""COMPUTED_VALUE"""),6)</f>
        <v>6</v>
      </c>
      <c r="J291" s="1">
        <f ca="1">IFERROR(__xludf.DUMMYFUNCTION("""COMPUTED_VALUE"""),14)</f>
        <v>14</v>
      </c>
      <c r="K291" s="1">
        <f ca="1">IFERROR(__xludf.DUMMYFUNCTION("""COMPUTED_VALUE"""),3)</f>
        <v>3</v>
      </c>
      <c r="L291" s="1">
        <f ca="1">IFERROR(__xludf.DUMMYFUNCTION("""COMPUTED_VALUE"""),5)</f>
        <v>5</v>
      </c>
      <c r="M291" s="1">
        <f ca="1">IFERROR(__xludf.DUMMYFUNCTION("""COMPUTED_VALUE"""),4)</f>
        <v>4</v>
      </c>
      <c r="N291" s="1">
        <f ca="1">IFERROR(__xludf.DUMMYFUNCTION("""COMPUTED_VALUE"""),2082)</f>
        <v>2082</v>
      </c>
      <c r="O291" s="1">
        <f ca="1">IFERROR(__xludf.DUMMYFUNCTION("""COMPUTED_VALUE"""),1914)</f>
        <v>1914</v>
      </c>
      <c r="P291" s="1">
        <f ca="1">IFERROR(__xludf.DUMMYFUNCTION("""COMPUTED_VALUE"""),1175)</f>
        <v>1175</v>
      </c>
      <c r="Q291" s="1">
        <f ca="1">IFERROR(__xludf.DUMMYFUNCTION("""COMPUTED_VALUE"""),768)</f>
        <v>768</v>
      </c>
      <c r="R291" s="1">
        <f ca="1">IFERROR(__xludf.DUMMYFUNCTION("""COMPUTED_VALUE"""),1696)</f>
        <v>1696</v>
      </c>
      <c r="S291" s="1">
        <f ca="1">IFERROR(__xludf.DUMMYFUNCTION("""COMPUTED_VALUE"""),0.453)</f>
        <v>0.45300000000000001</v>
      </c>
      <c r="T291" s="1">
        <f ca="1">IFERROR(__xludf.DUMMYFUNCTION("""COMPUTED_VALUE"""),153)</f>
        <v>153</v>
      </c>
      <c r="U291" s="1">
        <f ca="1">IFERROR(__xludf.DUMMYFUNCTION("""COMPUTED_VALUE"""),452)</f>
        <v>452</v>
      </c>
      <c r="V291" s="1">
        <f ca="1">IFERROR(__xludf.DUMMYFUNCTION("""COMPUTED_VALUE"""),0.338)</f>
        <v>0.33800000000000002</v>
      </c>
      <c r="W291" s="1">
        <f ca="1">IFERROR(__xludf.DUMMYFUNCTION("""COMPUTED_VALUE"""),393)</f>
        <v>393</v>
      </c>
      <c r="X291" s="1">
        <f ca="1">IFERROR(__xludf.DUMMYFUNCTION("""COMPUTED_VALUE"""),673)</f>
        <v>673</v>
      </c>
      <c r="Y291" s="1">
        <f ca="1">IFERROR(__xludf.DUMMYFUNCTION("""COMPUTED_VALUE"""),0.584)</f>
        <v>0.58399999999999996</v>
      </c>
      <c r="Z291" s="1">
        <f ca="1">IFERROR(__xludf.DUMMYFUNCTION("""COMPUTED_VALUE"""),364)</f>
        <v>364</v>
      </c>
      <c r="AA291" s="1">
        <f ca="1">IFERROR(__xludf.DUMMYFUNCTION("""COMPUTED_VALUE"""),1153)</f>
        <v>1153</v>
      </c>
      <c r="AB291" s="1">
        <f ca="1">IFERROR(__xludf.DUMMYFUNCTION("""COMPUTED_VALUE"""),420)</f>
        <v>420</v>
      </c>
      <c r="AC291" s="1">
        <f ca="1">IFERROR(__xludf.DUMMYFUNCTION("""COMPUTED_VALUE"""),218)</f>
        <v>218</v>
      </c>
      <c r="AD291" s="1">
        <f ca="1">IFERROR(__xludf.DUMMYFUNCTION("""COMPUTED_VALUE"""),122)</f>
        <v>122</v>
      </c>
      <c r="AE291" s="1">
        <f ca="1">IFERROR(__xludf.DUMMYFUNCTION("""COMPUTED_VALUE"""),370)</f>
        <v>370</v>
      </c>
      <c r="AF291" s="1">
        <f ca="1">IFERROR(__xludf.DUMMYFUNCTION("""COMPUTED_VALUE"""),533)</f>
        <v>533</v>
      </c>
    </row>
    <row r="292" spans="1:32" x14ac:dyDescent="0.25">
      <c r="A292" s="1" t="str">
        <f ca="1">IFERROR(__xludf.DUMMYFUNCTION("""COMPUTED_VALUE"""),"Saint Mary's (CA)")</f>
        <v>Saint Mary's (CA)</v>
      </c>
      <c r="B292" s="1">
        <f ca="1">IFERROR(__xludf.DUMMYFUNCTION("""COMPUTED_VALUE"""),31)</f>
        <v>31</v>
      </c>
      <c r="C292" s="1">
        <f ca="1">IFERROR(__xludf.DUMMYFUNCTION("""COMPUTED_VALUE"""),24)</f>
        <v>24</v>
      </c>
      <c r="D292" s="1">
        <f ca="1">IFERROR(__xludf.DUMMYFUNCTION("""COMPUTED_VALUE"""),7)</f>
        <v>7</v>
      </c>
      <c r="E292" s="1">
        <f ca="1">IFERROR(__xludf.DUMMYFUNCTION("""COMPUTED_VALUE"""),0.774)</f>
        <v>0.77400000000000002</v>
      </c>
      <c r="F292" s="1">
        <f ca="1">IFERROR(__xludf.DUMMYFUNCTION("""COMPUTED_VALUE"""),12.52)</f>
        <v>12.52</v>
      </c>
      <c r="G292" s="1">
        <f ca="1">IFERROR(__xludf.DUMMYFUNCTION("""COMPUTED_VALUE"""),4.45)</f>
        <v>4.45</v>
      </c>
      <c r="H292" s="1">
        <f ca="1">IFERROR(__xludf.DUMMYFUNCTION("""COMPUTED_VALUE"""),11)</f>
        <v>11</v>
      </c>
      <c r="I292" s="1">
        <f ca="1">IFERROR(__xludf.DUMMYFUNCTION("""COMPUTED_VALUE"""),5)</f>
        <v>5</v>
      </c>
      <c r="J292" s="1">
        <f ca="1">IFERROR(__xludf.DUMMYFUNCTION("""COMPUTED_VALUE"""),14)</f>
        <v>14</v>
      </c>
      <c r="K292" s="1">
        <f ca="1">IFERROR(__xludf.DUMMYFUNCTION("""COMPUTED_VALUE"""),3)</f>
        <v>3</v>
      </c>
      <c r="L292" s="1">
        <f ca="1">IFERROR(__xludf.DUMMYFUNCTION("""COMPUTED_VALUE"""),6)</f>
        <v>6</v>
      </c>
      <c r="M292" s="1">
        <f ca="1">IFERROR(__xludf.DUMMYFUNCTION("""COMPUTED_VALUE"""),3)</f>
        <v>3</v>
      </c>
      <c r="N292" s="1">
        <f ca="1">IFERROR(__xludf.DUMMYFUNCTION("""COMPUTED_VALUE"""),2353)</f>
        <v>2353</v>
      </c>
      <c r="O292" s="1">
        <f ca="1">IFERROR(__xludf.DUMMYFUNCTION("""COMPUTED_VALUE"""),2060)</f>
        <v>2060</v>
      </c>
      <c r="P292" s="1">
        <f ca="1">IFERROR(__xludf.DUMMYFUNCTION("""COMPUTED_VALUE"""),1270)</f>
        <v>1270</v>
      </c>
      <c r="Q292" s="1">
        <f ca="1">IFERROR(__xludf.DUMMYFUNCTION("""COMPUTED_VALUE"""),848)</f>
        <v>848</v>
      </c>
      <c r="R292" s="1">
        <f ca="1">IFERROR(__xludf.DUMMYFUNCTION("""COMPUTED_VALUE"""),1753)</f>
        <v>1753</v>
      </c>
      <c r="S292" s="1">
        <f ca="1">IFERROR(__xludf.DUMMYFUNCTION("""COMPUTED_VALUE"""),0.484)</f>
        <v>0.48399999999999999</v>
      </c>
      <c r="T292" s="1">
        <f ca="1">IFERROR(__xludf.DUMMYFUNCTION("""COMPUTED_VALUE"""),255)</f>
        <v>255</v>
      </c>
      <c r="U292" s="1">
        <f ca="1">IFERROR(__xludf.DUMMYFUNCTION("""COMPUTED_VALUE"""),634)</f>
        <v>634</v>
      </c>
      <c r="V292" s="1">
        <f ca="1">IFERROR(__xludf.DUMMYFUNCTION("""COMPUTED_VALUE"""),0.402)</f>
        <v>0.40200000000000002</v>
      </c>
      <c r="W292" s="1">
        <f ca="1">IFERROR(__xludf.DUMMYFUNCTION("""COMPUTED_VALUE"""),402)</f>
        <v>402</v>
      </c>
      <c r="X292" s="1">
        <f ca="1">IFERROR(__xludf.DUMMYFUNCTION("""COMPUTED_VALUE"""),533)</f>
        <v>533</v>
      </c>
      <c r="Y292" s="1">
        <f ca="1">IFERROR(__xludf.DUMMYFUNCTION("""COMPUTED_VALUE"""),0.754)</f>
        <v>0.754</v>
      </c>
      <c r="Z292" s="1">
        <f ca="1">IFERROR(__xludf.DUMMYFUNCTION("""COMPUTED_VALUE"""),240)</f>
        <v>240</v>
      </c>
      <c r="AA292" s="1">
        <f ca="1">IFERROR(__xludf.DUMMYFUNCTION("""COMPUTED_VALUE"""),996)</f>
        <v>996</v>
      </c>
      <c r="AB292" s="1">
        <f ca="1">IFERROR(__xludf.DUMMYFUNCTION("""COMPUTED_VALUE"""),378)</f>
        <v>378</v>
      </c>
      <c r="AC292" s="1">
        <f ca="1">IFERROR(__xludf.DUMMYFUNCTION("""COMPUTED_VALUE"""),205)</f>
        <v>205</v>
      </c>
      <c r="AD292" s="1">
        <f ca="1">IFERROR(__xludf.DUMMYFUNCTION("""COMPUTED_VALUE"""),63)</f>
        <v>63</v>
      </c>
      <c r="AE292" s="1">
        <f ca="1">IFERROR(__xludf.DUMMYFUNCTION("""COMPUTED_VALUE"""),304)</f>
        <v>304</v>
      </c>
      <c r="AF292" s="1">
        <f ca="1">IFERROR(__xludf.DUMMYFUNCTION("""COMPUTED_VALUE"""),510)</f>
        <v>510</v>
      </c>
    </row>
    <row r="293" spans="1:32" x14ac:dyDescent="0.25">
      <c r="A293" s="1" t="str">
        <f ca="1">IFERROR(__xludf.DUMMYFUNCTION("""COMPUTED_VALUE"""),"Saint Peter's")</f>
        <v>Saint Peter's</v>
      </c>
      <c r="B293" s="1">
        <f ca="1">IFERROR(__xludf.DUMMYFUNCTION("""COMPUTED_VALUE"""),28)</f>
        <v>28</v>
      </c>
      <c r="C293" s="1">
        <f ca="1">IFERROR(__xludf.DUMMYFUNCTION("""COMPUTED_VALUE"""),16)</f>
        <v>16</v>
      </c>
      <c r="D293" s="1">
        <f ca="1">IFERROR(__xludf.DUMMYFUNCTION("""COMPUTED_VALUE"""),12)</f>
        <v>12</v>
      </c>
      <c r="E293" s="1">
        <f ca="1">IFERROR(__xludf.DUMMYFUNCTION("""COMPUTED_VALUE"""),0.571)</f>
        <v>0.57099999999999995</v>
      </c>
      <c r="F293" s="1">
        <f ca="1">IFERROR(__xludf.DUMMYFUNCTION("""COMPUTED_VALUE"""),-3.72)</f>
        <v>-3.72</v>
      </c>
      <c r="G293" s="1">
        <f ca="1">IFERROR(__xludf.DUMMYFUNCTION("""COMPUTED_VALUE"""),-5.93)</f>
        <v>-5.93</v>
      </c>
      <c r="H293" s="1">
        <f ca="1">IFERROR(__xludf.DUMMYFUNCTION("""COMPUTED_VALUE"""),13)</f>
        <v>13</v>
      </c>
      <c r="I293" s="1">
        <f ca="1">IFERROR(__xludf.DUMMYFUNCTION("""COMPUTED_VALUE"""),6)</f>
        <v>6</v>
      </c>
      <c r="J293" s="1">
        <f ca="1">IFERROR(__xludf.DUMMYFUNCTION("""COMPUTED_VALUE"""),10)</f>
        <v>10</v>
      </c>
      <c r="K293" s="1">
        <f ca="1">IFERROR(__xludf.DUMMYFUNCTION("""COMPUTED_VALUE"""),3)</f>
        <v>3</v>
      </c>
      <c r="L293" s="1">
        <f ca="1">IFERROR(__xludf.DUMMYFUNCTION("""COMPUTED_VALUE"""),6)</f>
        <v>6</v>
      </c>
      <c r="M293" s="1">
        <f ca="1">IFERROR(__xludf.DUMMYFUNCTION("""COMPUTED_VALUE"""),9)</f>
        <v>9</v>
      </c>
      <c r="N293" s="1">
        <f ca="1">IFERROR(__xludf.DUMMYFUNCTION("""COMPUTED_VALUE"""),1866)</f>
        <v>1866</v>
      </c>
      <c r="O293" s="1">
        <f ca="1">IFERROR(__xludf.DUMMYFUNCTION("""COMPUTED_VALUE"""),1804)</f>
        <v>1804</v>
      </c>
      <c r="P293" s="1">
        <f ca="1">IFERROR(__xludf.DUMMYFUNCTION("""COMPUTED_VALUE"""),1125)</f>
        <v>1125</v>
      </c>
      <c r="Q293" s="1">
        <f ca="1">IFERROR(__xludf.DUMMYFUNCTION("""COMPUTED_VALUE"""),631)</f>
        <v>631</v>
      </c>
      <c r="R293" s="1">
        <f ca="1">IFERROR(__xludf.DUMMYFUNCTION("""COMPUTED_VALUE"""),1539)</f>
        <v>1539</v>
      </c>
      <c r="S293" s="1">
        <f ca="1">IFERROR(__xludf.DUMMYFUNCTION("""COMPUTED_VALUE"""),0.41)</f>
        <v>0.41</v>
      </c>
      <c r="T293" s="1">
        <f ca="1">IFERROR(__xludf.DUMMYFUNCTION("""COMPUTED_VALUE"""),176)</f>
        <v>176</v>
      </c>
      <c r="U293" s="1">
        <f ca="1">IFERROR(__xludf.DUMMYFUNCTION("""COMPUTED_VALUE"""),502)</f>
        <v>502</v>
      </c>
      <c r="V293" s="1">
        <f ca="1">IFERROR(__xludf.DUMMYFUNCTION("""COMPUTED_VALUE"""),0.351)</f>
        <v>0.35099999999999998</v>
      </c>
      <c r="W293" s="1">
        <f ca="1">IFERROR(__xludf.DUMMYFUNCTION("""COMPUTED_VALUE"""),428)</f>
        <v>428</v>
      </c>
      <c r="X293" s="1">
        <f ca="1">IFERROR(__xludf.DUMMYFUNCTION("""COMPUTED_VALUE"""),593)</f>
        <v>593</v>
      </c>
      <c r="Y293" s="1">
        <f ca="1">IFERROR(__xludf.DUMMYFUNCTION("""COMPUTED_VALUE"""),0.722)</f>
        <v>0.72199999999999998</v>
      </c>
      <c r="Z293" s="1">
        <f ca="1">IFERROR(__xludf.DUMMYFUNCTION("""COMPUTED_VALUE"""),341)</f>
        <v>341</v>
      </c>
      <c r="AA293" s="1">
        <f ca="1">IFERROR(__xludf.DUMMYFUNCTION("""COMPUTED_VALUE"""),1046)</f>
        <v>1046</v>
      </c>
      <c r="AB293" s="1">
        <f ca="1">IFERROR(__xludf.DUMMYFUNCTION("""COMPUTED_VALUE"""),298)</f>
        <v>298</v>
      </c>
      <c r="AC293" s="1">
        <f ca="1">IFERROR(__xludf.DUMMYFUNCTION("""COMPUTED_VALUE"""),205)</f>
        <v>205</v>
      </c>
      <c r="AD293" s="1">
        <f ca="1">IFERROR(__xludf.DUMMYFUNCTION("""COMPUTED_VALUE"""),128)</f>
        <v>128</v>
      </c>
      <c r="AE293" s="1">
        <f ca="1">IFERROR(__xludf.DUMMYFUNCTION("""COMPUTED_VALUE"""),459)</f>
        <v>459</v>
      </c>
      <c r="AF293" s="1">
        <f ca="1">IFERROR(__xludf.DUMMYFUNCTION("""COMPUTED_VALUE"""),586)</f>
        <v>586</v>
      </c>
    </row>
    <row r="294" spans="1:32" x14ac:dyDescent="0.25">
      <c r="A294" s="1" t="str">
        <f ca="1">IFERROR(__xludf.DUMMYFUNCTION("""COMPUTED_VALUE"""),"Sam Houston State")</f>
        <v>Sam Houston State</v>
      </c>
      <c r="B294" s="1">
        <f ca="1">IFERROR(__xludf.DUMMYFUNCTION("""COMPUTED_VALUE"""),29)</f>
        <v>29</v>
      </c>
      <c r="C294" s="1">
        <f ca="1">IFERROR(__xludf.DUMMYFUNCTION("""COMPUTED_VALUE"""),18)</f>
        <v>18</v>
      </c>
      <c r="D294" s="1">
        <f ca="1">IFERROR(__xludf.DUMMYFUNCTION("""COMPUTED_VALUE"""),11)</f>
        <v>11</v>
      </c>
      <c r="E294" s="1">
        <f ca="1">IFERROR(__xludf.DUMMYFUNCTION("""COMPUTED_VALUE"""),0.621)</f>
        <v>0.621</v>
      </c>
      <c r="F294" s="1">
        <f ca="1">IFERROR(__xludf.DUMMYFUNCTION("""COMPUTED_VALUE"""),-4.44)</f>
        <v>-4.4400000000000004</v>
      </c>
      <c r="G294" s="1">
        <f ca="1">IFERROR(__xludf.DUMMYFUNCTION("""COMPUTED_VALUE"""),-6.88)</f>
        <v>-6.88</v>
      </c>
      <c r="H294" s="1">
        <f ca="1">IFERROR(__xludf.DUMMYFUNCTION("""COMPUTED_VALUE"""),11)</f>
        <v>11</v>
      </c>
      <c r="I294" s="1">
        <f ca="1">IFERROR(__xludf.DUMMYFUNCTION("""COMPUTED_VALUE"""),7)</f>
        <v>7</v>
      </c>
      <c r="J294" s="1">
        <f ca="1">IFERROR(__xludf.DUMMYFUNCTION("""COMPUTED_VALUE"""),12)</f>
        <v>12</v>
      </c>
      <c r="K294" s="1">
        <f ca="1">IFERROR(__xludf.DUMMYFUNCTION("""COMPUTED_VALUE"""),3)</f>
        <v>3</v>
      </c>
      <c r="L294" s="1">
        <f ca="1">IFERROR(__xludf.DUMMYFUNCTION("""COMPUTED_VALUE"""),6)</f>
        <v>6</v>
      </c>
      <c r="M294" s="1">
        <f ca="1">IFERROR(__xludf.DUMMYFUNCTION("""COMPUTED_VALUE"""),8)</f>
        <v>8</v>
      </c>
      <c r="N294" s="1">
        <f ca="1">IFERROR(__xludf.DUMMYFUNCTION("""COMPUTED_VALUE"""),2300)</f>
        <v>2300</v>
      </c>
      <c r="O294" s="1">
        <f ca="1">IFERROR(__xludf.DUMMYFUNCTION("""COMPUTED_VALUE"""),2103)</f>
        <v>2103</v>
      </c>
      <c r="P294" s="1">
        <f ca="1">IFERROR(__xludf.DUMMYFUNCTION("""COMPUTED_VALUE"""),1185)</f>
        <v>1185</v>
      </c>
      <c r="Q294" s="1">
        <f ca="1">IFERROR(__xludf.DUMMYFUNCTION("""COMPUTED_VALUE"""),830)</f>
        <v>830</v>
      </c>
      <c r="R294" s="1">
        <f ca="1">IFERROR(__xludf.DUMMYFUNCTION("""COMPUTED_VALUE"""),1826)</f>
        <v>1826</v>
      </c>
      <c r="S294" s="1">
        <f ca="1">IFERROR(__xludf.DUMMYFUNCTION("""COMPUTED_VALUE"""),0.455)</f>
        <v>0.45500000000000002</v>
      </c>
      <c r="T294" s="1">
        <f ca="1">IFERROR(__xludf.DUMMYFUNCTION("""COMPUTED_VALUE"""),226)</f>
        <v>226</v>
      </c>
      <c r="U294" s="1">
        <f ca="1">IFERROR(__xludf.DUMMYFUNCTION("""COMPUTED_VALUE"""),652)</f>
        <v>652</v>
      </c>
      <c r="V294" s="1">
        <f ca="1">IFERROR(__xludf.DUMMYFUNCTION("""COMPUTED_VALUE"""),0.347)</f>
        <v>0.34699999999999998</v>
      </c>
      <c r="W294" s="1">
        <f ca="1">IFERROR(__xludf.DUMMYFUNCTION("""COMPUTED_VALUE"""),414)</f>
        <v>414</v>
      </c>
      <c r="X294" s="1">
        <f ca="1">IFERROR(__xludf.DUMMYFUNCTION("""COMPUTED_VALUE"""),550)</f>
        <v>550</v>
      </c>
      <c r="Y294" s="1">
        <f ca="1">IFERROR(__xludf.DUMMYFUNCTION("""COMPUTED_VALUE"""),0.753)</f>
        <v>0.753</v>
      </c>
      <c r="Z294" s="1">
        <f ca="1">IFERROR(__xludf.DUMMYFUNCTION("""COMPUTED_VALUE"""),293)</f>
        <v>293</v>
      </c>
      <c r="AA294" s="1">
        <f ca="1">IFERROR(__xludf.DUMMYFUNCTION("""COMPUTED_VALUE"""),993)</f>
        <v>993</v>
      </c>
      <c r="AB294" s="1">
        <f ca="1">IFERROR(__xludf.DUMMYFUNCTION("""COMPUTED_VALUE"""),472)</f>
        <v>472</v>
      </c>
      <c r="AC294" s="1">
        <f ca="1">IFERROR(__xludf.DUMMYFUNCTION("""COMPUTED_VALUE"""),270)</f>
        <v>270</v>
      </c>
      <c r="AD294" s="1">
        <f ca="1">IFERROR(__xludf.DUMMYFUNCTION("""COMPUTED_VALUE"""),85)</f>
        <v>85</v>
      </c>
      <c r="AE294" s="1">
        <f ca="1">IFERROR(__xludf.DUMMYFUNCTION("""COMPUTED_VALUE"""),405)</f>
        <v>405</v>
      </c>
      <c r="AF294" s="1">
        <f ca="1">IFERROR(__xludf.DUMMYFUNCTION("""COMPUTED_VALUE"""),602)</f>
        <v>602</v>
      </c>
    </row>
    <row r="295" spans="1:32" x14ac:dyDescent="0.25">
      <c r="A295" s="1" t="str">
        <f ca="1">IFERROR(__xludf.DUMMYFUNCTION("""COMPUTED_VALUE"""),"Samford")</f>
        <v>Samford</v>
      </c>
      <c r="B295" s="1">
        <f ca="1">IFERROR(__xludf.DUMMYFUNCTION("""COMPUTED_VALUE"""),32)</f>
        <v>32</v>
      </c>
      <c r="C295" s="1">
        <f ca="1">IFERROR(__xludf.DUMMYFUNCTION("""COMPUTED_VALUE"""),10)</f>
        <v>10</v>
      </c>
      <c r="D295" s="1">
        <f ca="1">IFERROR(__xludf.DUMMYFUNCTION("""COMPUTED_VALUE"""),22)</f>
        <v>22</v>
      </c>
      <c r="E295" s="1">
        <f ca="1">IFERROR(__xludf.DUMMYFUNCTION("""COMPUTED_VALUE"""),0.313)</f>
        <v>0.313</v>
      </c>
      <c r="F295" s="1">
        <f ca="1">IFERROR(__xludf.DUMMYFUNCTION("""COMPUTED_VALUE"""),-12.58)</f>
        <v>-12.58</v>
      </c>
      <c r="G295" s="1">
        <f ca="1">IFERROR(__xludf.DUMMYFUNCTION("""COMPUTED_VALUE"""),-0.79)</f>
        <v>-0.79</v>
      </c>
      <c r="H295" s="1">
        <f ca="1">IFERROR(__xludf.DUMMYFUNCTION("""COMPUTED_VALUE"""),4)</f>
        <v>4</v>
      </c>
      <c r="I295" s="1">
        <f ca="1">IFERROR(__xludf.DUMMYFUNCTION("""COMPUTED_VALUE"""),14)</f>
        <v>14</v>
      </c>
      <c r="J295" s="1">
        <f ca="1">IFERROR(__xludf.DUMMYFUNCTION("""COMPUTED_VALUE"""),7)</f>
        <v>7</v>
      </c>
      <c r="K295" s="1">
        <f ca="1">IFERROR(__xludf.DUMMYFUNCTION("""COMPUTED_VALUE"""),8)</f>
        <v>8</v>
      </c>
      <c r="L295" s="1">
        <f ca="1">IFERROR(__xludf.DUMMYFUNCTION("""COMPUTED_VALUE"""),3)</f>
        <v>3</v>
      </c>
      <c r="M295" s="1">
        <f ca="1">IFERROR(__xludf.DUMMYFUNCTION("""COMPUTED_VALUE"""),14)</f>
        <v>14</v>
      </c>
      <c r="N295" s="1">
        <f ca="1">IFERROR(__xludf.DUMMYFUNCTION("""COMPUTED_VALUE"""),2370)</f>
        <v>2370</v>
      </c>
      <c r="O295" s="1">
        <f ca="1">IFERROR(__xludf.DUMMYFUNCTION("""COMPUTED_VALUE"""),2615)</f>
        <v>2615</v>
      </c>
      <c r="P295" s="1">
        <f ca="1">IFERROR(__xludf.DUMMYFUNCTION("""COMPUTED_VALUE"""),1290)</f>
        <v>1290</v>
      </c>
      <c r="Q295" s="1">
        <f ca="1">IFERROR(__xludf.DUMMYFUNCTION("""COMPUTED_VALUE"""),838)</f>
        <v>838</v>
      </c>
      <c r="R295" s="1">
        <f ca="1">IFERROR(__xludf.DUMMYFUNCTION("""COMPUTED_VALUE"""),1932)</f>
        <v>1932</v>
      </c>
      <c r="S295" s="1">
        <f ca="1">IFERROR(__xludf.DUMMYFUNCTION("""COMPUTED_VALUE"""),0.434)</f>
        <v>0.434</v>
      </c>
      <c r="T295" s="1">
        <f ca="1">IFERROR(__xludf.DUMMYFUNCTION("""COMPUTED_VALUE"""),213)</f>
        <v>213</v>
      </c>
      <c r="U295" s="1">
        <f ca="1">IFERROR(__xludf.DUMMYFUNCTION("""COMPUTED_VALUE"""),630)</f>
        <v>630</v>
      </c>
      <c r="V295" s="1">
        <f ca="1">IFERROR(__xludf.DUMMYFUNCTION("""COMPUTED_VALUE"""),0.338)</f>
        <v>0.33800000000000002</v>
      </c>
      <c r="W295" s="1">
        <f ca="1">IFERROR(__xludf.DUMMYFUNCTION("""COMPUTED_VALUE"""),481)</f>
        <v>481</v>
      </c>
      <c r="X295" s="1">
        <f ca="1">IFERROR(__xludf.DUMMYFUNCTION("""COMPUTED_VALUE"""),651)</f>
        <v>651</v>
      </c>
      <c r="Y295" s="1">
        <f ca="1">IFERROR(__xludf.DUMMYFUNCTION("""COMPUTED_VALUE"""),0.739)</f>
        <v>0.73899999999999999</v>
      </c>
      <c r="Z295" s="1">
        <f ca="1">IFERROR(__xludf.DUMMYFUNCTION("""COMPUTED_VALUE"""),342)</f>
        <v>342</v>
      </c>
      <c r="AA295" s="1">
        <f ca="1">IFERROR(__xludf.DUMMYFUNCTION("""COMPUTED_VALUE"""),1169)</f>
        <v>1169</v>
      </c>
      <c r="AB295" s="1">
        <f ca="1">IFERROR(__xludf.DUMMYFUNCTION("""COMPUTED_VALUE"""),374)</f>
        <v>374</v>
      </c>
      <c r="AC295" s="1">
        <f ca="1">IFERROR(__xludf.DUMMYFUNCTION("""COMPUTED_VALUE"""),223)</f>
        <v>223</v>
      </c>
      <c r="AD295" s="1">
        <f ca="1">IFERROR(__xludf.DUMMYFUNCTION("""COMPUTED_VALUE"""),106)</f>
        <v>106</v>
      </c>
      <c r="AE295" s="1">
        <f ca="1">IFERROR(__xludf.DUMMYFUNCTION("""COMPUTED_VALUE"""),504)</f>
        <v>504</v>
      </c>
      <c r="AF295" s="1">
        <f ca="1">IFERROR(__xludf.DUMMYFUNCTION("""COMPUTED_VALUE"""),518)</f>
        <v>518</v>
      </c>
    </row>
    <row r="296" spans="1:32" x14ac:dyDescent="0.25">
      <c r="A296" s="1" t="str">
        <f ca="1">IFERROR(__xludf.DUMMYFUNCTION("""COMPUTED_VALUE"""),"San Diego State")</f>
        <v>San Diego State</v>
      </c>
      <c r="B296" s="1">
        <f ca="1">IFERROR(__xludf.DUMMYFUNCTION("""COMPUTED_VALUE"""),29)</f>
        <v>29</v>
      </c>
      <c r="C296" s="1">
        <f ca="1">IFERROR(__xludf.DUMMYFUNCTION("""COMPUTED_VALUE"""),28)</f>
        <v>28</v>
      </c>
      <c r="D296" s="1">
        <f ca="1">IFERROR(__xludf.DUMMYFUNCTION("""COMPUTED_VALUE"""),1)</f>
        <v>1</v>
      </c>
      <c r="E296" s="1">
        <f ca="1">IFERROR(__xludf.DUMMYFUNCTION("""COMPUTED_VALUE"""),0.966)</f>
        <v>0.96599999999999997</v>
      </c>
      <c r="F296" s="1">
        <f ca="1">IFERROR(__xludf.DUMMYFUNCTION("""COMPUTED_VALUE"""),18.86)</f>
        <v>18.86</v>
      </c>
      <c r="G296" s="1">
        <f ca="1">IFERROR(__xludf.DUMMYFUNCTION("""COMPUTED_VALUE"""),3.68)</f>
        <v>3.68</v>
      </c>
      <c r="H296" s="1">
        <f ca="1">IFERROR(__xludf.DUMMYFUNCTION("""COMPUTED_VALUE"""),17)</f>
        <v>17</v>
      </c>
      <c r="I296" s="1">
        <f ca="1">IFERROR(__xludf.DUMMYFUNCTION("""COMPUTED_VALUE"""),1)</f>
        <v>1</v>
      </c>
      <c r="J296" s="1">
        <f ca="1">IFERROR(__xludf.DUMMYFUNCTION("""COMPUTED_VALUE"""),14)</f>
        <v>14</v>
      </c>
      <c r="K296" s="1">
        <f ca="1">IFERROR(__xludf.DUMMYFUNCTION("""COMPUTED_VALUE"""),1)</f>
        <v>1</v>
      </c>
      <c r="L296" s="1">
        <f ca="1">IFERROR(__xludf.DUMMYFUNCTION("""COMPUTED_VALUE"""),11)</f>
        <v>11</v>
      </c>
      <c r="M296" s="1">
        <f ca="1">IFERROR(__xludf.DUMMYFUNCTION("""COMPUTED_VALUE"""),0)</f>
        <v>0</v>
      </c>
      <c r="N296" s="1">
        <f ca="1">IFERROR(__xludf.DUMMYFUNCTION("""COMPUTED_VALUE"""),2185)</f>
        <v>2185</v>
      </c>
      <c r="O296" s="1">
        <f ca="1">IFERROR(__xludf.DUMMYFUNCTION("""COMPUTED_VALUE"""),1716)</f>
        <v>1716</v>
      </c>
      <c r="P296" s="1">
        <f ca="1">IFERROR(__xludf.DUMMYFUNCTION("""COMPUTED_VALUE"""),1160)</f>
        <v>1160</v>
      </c>
      <c r="Q296" s="1">
        <f ca="1">IFERROR(__xludf.DUMMYFUNCTION("""COMPUTED_VALUE"""),778)</f>
        <v>778</v>
      </c>
      <c r="R296" s="1">
        <f ca="1">IFERROR(__xludf.DUMMYFUNCTION("""COMPUTED_VALUE"""),1652)</f>
        <v>1652</v>
      </c>
      <c r="S296" s="1">
        <f ca="1">IFERROR(__xludf.DUMMYFUNCTION("""COMPUTED_VALUE"""),0.471)</f>
        <v>0.47099999999999997</v>
      </c>
      <c r="T296" s="1">
        <f ca="1">IFERROR(__xludf.DUMMYFUNCTION("""COMPUTED_VALUE"""),260)</f>
        <v>260</v>
      </c>
      <c r="U296" s="1">
        <f ca="1">IFERROR(__xludf.DUMMYFUNCTION("""COMPUTED_VALUE"""),684)</f>
        <v>684</v>
      </c>
      <c r="V296" s="1">
        <f ca="1">IFERROR(__xludf.DUMMYFUNCTION("""COMPUTED_VALUE"""),0.38)</f>
        <v>0.38</v>
      </c>
      <c r="W296" s="1">
        <f ca="1">IFERROR(__xludf.DUMMYFUNCTION("""COMPUTED_VALUE"""),369)</f>
        <v>369</v>
      </c>
      <c r="X296" s="1">
        <f ca="1">IFERROR(__xludf.DUMMYFUNCTION("""COMPUTED_VALUE"""),483)</f>
        <v>483</v>
      </c>
      <c r="Y296" s="1">
        <f ca="1">IFERROR(__xludf.DUMMYFUNCTION("""COMPUTED_VALUE"""),0.764)</f>
        <v>0.76400000000000001</v>
      </c>
      <c r="Z296" s="1">
        <f ca="1">IFERROR(__xludf.DUMMYFUNCTION("""COMPUTED_VALUE"""),270)</f>
        <v>270</v>
      </c>
      <c r="AA296" s="1">
        <f ca="1">IFERROR(__xludf.DUMMYFUNCTION("""COMPUTED_VALUE"""),1030)</f>
        <v>1030</v>
      </c>
      <c r="AB296" s="1">
        <f ca="1">IFERROR(__xludf.DUMMYFUNCTION("""COMPUTED_VALUE"""),433)</f>
        <v>433</v>
      </c>
      <c r="AC296" s="1">
        <f ca="1">IFERROR(__xludf.DUMMYFUNCTION("""COMPUTED_VALUE"""),199)</f>
        <v>199</v>
      </c>
      <c r="AD296" s="1">
        <f ca="1">IFERROR(__xludf.DUMMYFUNCTION("""COMPUTED_VALUE"""),83)</f>
        <v>83</v>
      </c>
      <c r="AE296" s="1">
        <f ca="1">IFERROR(__xludf.DUMMYFUNCTION("""COMPUTED_VALUE"""),318)</f>
        <v>318</v>
      </c>
      <c r="AF296" s="1">
        <f ca="1">IFERROR(__xludf.DUMMYFUNCTION("""COMPUTED_VALUE"""),485)</f>
        <v>485</v>
      </c>
    </row>
    <row r="297" spans="1:32" x14ac:dyDescent="0.25">
      <c r="A297" s="1" t="str">
        <f ca="1">IFERROR(__xludf.DUMMYFUNCTION("""COMPUTED_VALUE"""),"San Diego")</f>
        <v>San Diego</v>
      </c>
      <c r="B297" s="1">
        <f ca="1">IFERROR(__xludf.DUMMYFUNCTION("""COMPUTED_VALUE"""),31)</f>
        <v>31</v>
      </c>
      <c r="C297" s="1">
        <f ca="1">IFERROR(__xludf.DUMMYFUNCTION("""COMPUTED_VALUE"""),9)</f>
        <v>9</v>
      </c>
      <c r="D297" s="1">
        <f ca="1">IFERROR(__xludf.DUMMYFUNCTION("""COMPUTED_VALUE"""),22)</f>
        <v>22</v>
      </c>
      <c r="E297" s="1">
        <f ca="1">IFERROR(__xludf.DUMMYFUNCTION("""COMPUTED_VALUE"""),0.29)</f>
        <v>0.28999999999999998</v>
      </c>
      <c r="F297" s="1">
        <f ca="1">IFERROR(__xludf.DUMMYFUNCTION("""COMPUTED_VALUE"""),-3.01)</f>
        <v>-3.01</v>
      </c>
      <c r="G297" s="1">
        <f ca="1">IFERROR(__xludf.DUMMYFUNCTION("""COMPUTED_VALUE"""),4.65)</f>
        <v>4.6500000000000004</v>
      </c>
      <c r="H297" s="1">
        <f ca="1">IFERROR(__xludf.DUMMYFUNCTION("""COMPUTED_VALUE"""),2)</f>
        <v>2</v>
      </c>
      <c r="I297" s="1">
        <f ca="1">IFERROR(__xludf.DUMMYFUNCTION("""COMPUTED_VALUE"""),14)</f>
        <v>14</v>
      </c>
      <c r="J297" s="1">
        <f ca="1">IFERROR(__xludf.DUMMYFUNCTION("""COMPUTED_VALUE"""),6)</f>
        <v>6</v>
      </c>
      <c r="K297" s="1">
        <f ca="1">IFERROR(__xludf.DUMMYFUNCTION("""COMPUTED_VALUE"""),9)</f>
        <v>9</v>
      </c>
      <c r="L297" s="1">
        <f ca="1">IFERROR(__xludf.DUMMYFUNCTION("""COMPUTED_VALUE"""),3)</f>
        <v>3</v>
      </c>
      <c r="M297" s="1">
        <f ca="1">IFERROR(__xludf.DUMMYFUNCTION("""COMPUTED_VALUE"""),10)</f>
        <v>10</v>
      </c>
      <c r="N297" s="1">
        <f ca="1">IFERROR(__xludf.DUMMYFUNCTION("""COMPUTED_VALUE"""),2040)</f>
        <v>2040</v>
      </c>
      <c r="O297" s="1">
        <f ca="1">IFERROR(__xludf.DUMMYFUNCTION("""COMPUTED_VALUE"""),2244)</f>
        <v>2244</v>
      </c>
      <c r="P297" s="1">
        <f ca="1">IFERROR(__xludf.DUMMYFUNCTION("""COMPUTED_VALUE"""),1255)</f>
        <v>1255</v>
      </c>
      <c r="Q297" s="1">
        <f ca="1">IFERROR(__xludf.DUMMYFUNCTION("""COMPUTED_VALUE"""),743)</f>
        <v>743</v>
      </c>
      <c r="R297" s="1">
        <f ca="1">IFERROR(__xludf.DUMMYFUNCTION("""COMPUTED_VALUE"""),1791)</f>
        <v>1791</v>
      </c>
      <c r="S297" s="1">
        <f ca="1">IFERROR(__xludf.DUMMYFUNCTION("""COMPUTED_VALUE"""),0.415)</f>
        <v>0.41499999999999998</v>
      </c>
      <c r="T297" s="1">
        <f ca="1">IFERROR(__xludf.DUMMYFUNCTION("""COMPUTED_VALUE"""),190)</f>
        <v>190</v>
      </c>
      <c r="U297" s="1">
        <f ca="1">IFERROR(__xludf.DUMMYFUNCTION("""COMPUTED_VALUE"""),614)</f>
        <v>614</v>
      </c>
      <c r="V297" s="1">
        <f ca="1">IFERROR(__xludf.DUMMYFUNCTION("""COMPUTED_VALUE"""),0.309)</f>
        <v>0.309</v>
      </c>
      <c r="W297" s="1">
        <f ca="1">IFERROR(__xludf.DUMMYFUNCTION("""COMPUTED_VALUE"""),364)</f>
        <v>364</v>
      </c>
      <c r="X297" s="1">
        <f ca="1">IFERROR(__xludf.DUMMYFUNCTION("""COMPUTED_VALUE"""),550)</f>
        <v>550</v>
      </c>
      <c r="Y297" s="1">
        <f ca="1">IFERROR(__xludf.DUMMYFUNCTION("""COMPUTED_VALUE"""),0.662)</f>
        <v>0.66200000000000003</v>
      </c>
      <c r="Z297" s="1">
        <f ca="1">IFERROR(__xludf.DUMMYFUNCTION("""COMPUTED_VALUE"""),277)</f>
        <v>277</v>
      </c>
      <c r="AA297" s="1">
        <f ca="1">IFERROR(__xludf.DUMMYFUNCTION("""COMPUTED_VALUE"""),1042)</f>
        <v>1042</v>
      </c>
      <c r="AB297" s="1">
        <f ca="1">IFERROR(__xludf.DUMMYFUNCTION("""COMPUTED_VALUE"""),380)</f>
        <v>380</v>
      </c>
      <c r="AC297" s="1">
        <f ca="1">IFERROR(__xludf.DUMMYFUNCTION("""COMPUTED_VALUE"""),176)</f>
        <v>176</v>
      </c>
      <c r="AD297" s="1">
        <f ca="1">IFERROR(__xludf.DUMMYFUNCTION("""COMPUTED_VALUE"""),105)</f>
        <v>105</v>
      </c>
      <c r="AE297" s="1">
        <f ca="1">IFERROR(__xludf.DUMMYFUNCTION("""COMPUTED_VALUE"""),454)</f>
        <v>454</v>
      </c>
      <c r="AF297" s="1">
        <f ca="1">IFERROR(__xludf.DUMMYFUNCTION("""COMPUTED_VALUE"""),555)</f>
        <v>555</v>
      </c>
    </row>
    <row r="298" spans="1:32" x14ac:dyDescent="0.25">
      <c r="A298" s="1" t="str">
        <f ca="1">IFERROR(__xludf.DUMMYFUNCTION("""COMPUTED_VALUE"""),"San Francisco")</f>
        <v>San Francisco</v>
      </c>
      <c r="B298" s="1">
        <f ca="1">IFERROR(__xludf.DUMMYFUNCTION("""COMPUTED_VALUE"""),31)</f>
        <v>31</v>
      </c>
      <c r="C298" s="1">
        <f ca="1">IFERROR(__xludf.DUMMYFUNCTION("""COMPUTED_VALUE"""),20)</f>
        <v>20</v>
      </c>
      <c r="D298" s="1">
        <f ca="1">IFERROR(__xludf.DUMMYFUNCTION("""COMPUTED_VALUE"""),11)</f>
        <v>11</v>
      </c>
      <c r="E298" s="1">
        <f ca="1">IFERROR(__xludf.DUMMYFUNCTION("""COMPUTED_VALUE"""),0.645)</f>
        <v>0.64500000000000002</v>
      </c>
      <c r="F298" s="1">
        <f ca="1">IFERROR(__xludf.DUMMYFUNCTION("""COMPUTED_VALUE"""),7.36)</f>
        <v>7.36</v>
      </c>
      <c r="G298" s="1">
        <f ca="1">IFERROR(__xludf.DUMMYFUNCTION("""COMPUTED_VALUE"""),3.59)</f>
        <v>3.59</v>
      </c>
      <c r="H298" s="1">
        <f ca="1">IFERROR(__xludf.DUMMYFUNCTION("""COMPUTED_VALUE"""),9)</f>
        <v>9</v>
      </c>
      <c r="I298" s="1">
        <f ca="1">IFERROR(__xludf.DUMMYFUNCTION("""COMPUTED_VALUE"""),7)</f>
        <v>7</v>
      </c>
      <c r="J298" s="1">
        <f ca="1">IFERROR(__xludf.DUMMYFUNCTION("""COMPUTED_VALUE"""),12)</f>
        <v>12</v>
      </c>
      <c r="K298" s="1">
        <f ca="1">IFERROR(__xludf.DUMMYFUNCTION("""COMPUTED_VALUE"""),5)</f>
        <v>5</v>
      </c>
      <c r="L298" s="1">
        <f ca="1">IFERROR(__xludf.DUMMYFUNCTION("""COMPUTED_VALUE"""),7)</f>
        <v>7</v>
      </c>
      <c r="M298" s="1">
        <f ca="1">IFERROR(__xludf.DUMMYFUNCTION("""COMPUTED_VALUE"""),6)</f>
        <v>6</v>
      </c>
      <c r="N298" s="1">
        <f ca="1">IFERROR(__xludf.DUMMYFUNCTION("""COMPUTED_VALUE"""),2315)</f>
        <v>2315</v>
      </c>
      <c r="O298" s="1">
        <f ca="1">IFERROR(__xludf.DUMMYFUNCTION("""COMPUTED_VALUE"""),2151)</f>
        <v>2151</v>
      </c>
      <c r="P298" s="1">
        <f ca="1">IFERROR(__xludf.DUMMYFUNCTION("""COMPUTED_VALUE"""),1255)</f>
        <v>1255</v>
      </c>
      <c r="Q298" s="1">
        <f ca="1">IFERROR(__xludf.DUMMYFUNCTION("""COMPUTED_VALUE"""),819)</f>
        <v>819</v>
      </c>
      <c r="R298" s="1">
        <f ca="1">IFERROR(__xludf.DUMMYFUNCTION("""COMPUTED_VALUE"""),1878)</f>
        <v>1878</v>
      </c>
      <c r="S298" s="1">
        <f ca="1">IFERROR(__xludf.DUMMYFUNCTION("""COMPUTED_VALUE"""),0.436)</f>
        <v>0.436</v>
      </c>
      <c r="T298" s="1">
        <f ca="1">IFERROR(__xludf.DUMMYFUNCTION("""COMPUTED_VALUE"""),280)</f>
        <v>280</v>
      </c>
      <c r="U298" s="1">
        <f ca="1">IFERROR(__xludf.DUMMYFUNCTION("""COMPUTED_VALUE"""),834)</f>
        <v>834</v>
      </c>
      <c r="V298" s="1">
        <f ca="1">IFERROR(__xludf.DUMMYFUNCTION("""COMPUTED_VALUE"""),0.336)</f>
        <v>0.33600000000000002</v>
      </c>
      <c r="W298" s="1">
        <f ca="1">IFERROR(__xludf.DUMMYFUNCTION("""COMPUTED_VALUE"""),397)</f>
        <v>397</v>
      </c>
      <c r="X298" s="1">
        <f ca="1">IFERROR(__xludf.DUMMYFUNCTION("""COMPUTED_VALUE"""),549)</f>
        <v>549</v>
      </c>
      <c r="Y298" s="1">
        <f ca="1">IFERROR(__xludf.DUMMYFUNCTION("""COMPUTED_VALUE"""),0.723)</f>
        <v>0.72299999999999998</v>
      </c>
      <c r="Z298" s="1">
        <f ca="1">IFERROR(__xludf.DUMMYFUNCTION("""COMPUTED_VALUE"""),332)</f>
        <v>332</v>
      </c>
      <c r="AA298" s="1">
        <f ca="1">IFERROR(__xludf.DUMMYFUNCTION("""COMPUTED_VALUE"""),1132)</f>
        <v>1132</v>
      </c>
      <c r="AB298" s="1">
        <f ca="1">IFERROR(__xludf.DUMMYFUNCTION("""COMPUTED_VALUE"""),371)</f>
        <v>371</v>
      </c>
      <c r="AC298" s="1">
        <f ca="1">IFERROR(__xludf.DUMMYFUNCTION("""COMPUTED_VALUE"""),225)</f>
        <v>225</v>
      </c>
      <c r="AD298" s="1">
        <f ca="1">IFERROR(__xludf.DUMMYFUNCTION("""COMPUTED_VALUE"""),94)</f>
        <v>94</v>
      </c>
      <c r="AE298" s="1">
        <f ca="1">IFERROR(__xludf.DUMMYFUNCTION("""COMPUTED_VALUE"""),390)</f>
        <v>390</v>
      </c>
      <c r="AF298" s="1">
        <f ca="1">IFERROR(__xludf.DUMMYFUNCTION("""COMPUTED_VALUE"""),543)</f>
        <v>543</v>
      </c>
    </row>
    <row r="299" spans="1:32" x14ac:dyDescent="0.25">
      <c r="A299" s="1" t="str">
        <f ca="1">IFERROR(__xludf.DUMMYFUNCTION("""COMPUTED_VALUE"""),"San Jose State")</f>
        <v>San Jose State</v>
      </c>
      <c r="B299" s="1">
        <f ca="1">IFERROR(__xludf.DUMMYFUNCTION("""COMPUTED_VALUE"""),30)</f>
        <v>30</v>
      </c>
      <c r="C299" s="1">
        <f ca="1">IFERROR(__xludf.DUMMYFUNCTION("""COMPUTED_VALUE"""),7)</f>
        <v>7</v>
      </c>
      <c r="D299" s="1">
        <f ca="1">IFERROR(__xludf.DUMMYFUNCTION("""COMPUTED_VALUE"""),23)</f>
        <v>23</v>
      </c>
      <c r="E299" s="1">
        <f ca="1">IFERROR(__xludf.DUMMYFUNCTION("""COMPUTED_VALUE"""),0.233)</f>
        <v>0.23300000000000001</v>
      </c>
      <c r="F299" s="1">
        <f ca="1">IFERROR(__xludf.DUMMYFUNCTION("""COMPUTED_VALUE"""),-7.39)</f>
        <v>-7.39</v>
      </c>
      <c r="G299" s="1">
        <f ca="1">IFERROR(__xludf.DUMMYFUNCTION("""COMPUTED_VALUE"""),5.3)</f>
        <v>5.3</v>
      </c>
      <c r="H299" s="1">
        <f ca="1">IFERROR(__xludf.DUMMYFUNCTION("""COMPUTED_VALUE"""),3)</f>
        <v>3</v>
      </c>
      <c r="I299" s="1">
        <f ca="1">IFERROR(__xludf.DUMMYFUNCTION("""COMPUTED_VALUE"""),15)</f>
        <v>15</v>
      </c>
      <c r="J299" s="1">
        <f ca="1">IFERROR(__xludf.DUMMYFUNCTION("""COMPUTED_VALUE"""),6)</f>
        <v>6</v>
      </c>
      <c r="K299" s="1">
        <f ca="1">IFERROR(__xludf.DUMMYFUNCTION("""COMPUTED_VALUE"""),10)</f>
        <v>10</v>
      </c>
      <c r="L299" s="1">
        <f ca="1">IFERROR(__xludf.DUMMYFUNCTION("""COMPUTED_VALUE"""),1)</f>
        <v>1</v>
      </c>
      <c r="M299" s="1">
        <f ca="1">IFERROR(__xludf.DUMMYFUNCTION("""COMPUTED_VALUE"""),12)</f>
        <v>12</v>
      </c>
      <c r="N299" s="1">
        <f ca="1">IFERROR(__xludf.DUMMYFUNCTION("""COMPUTED_VALUE"""),2101)</f>
        <v>2101</v>
      </c>
      <c r="O299" s="1">
        <f ca="1">IFERROR(__xludf.DUMMYFUNCTION("""COMPUTED_VALUE"""),2444)</f>
        <v>2444</v>
      </c>
      <c r="P299" s="1">
        <f ca="1">IFERROR(__xludf.DUMMYFUNCTION("""COMPUTED_VALUE"""),1205)</f>
        <v>1205</v>
      </c>
      <c r="Q299" s="1">
        <f ca="1">IFERROR(__xludf.DUMMYFUNCTION("""COMPUTED_VALUE"""),701)</f>
        <v>701</v>
      </c>
      <c r="R299" s="1">
        <f ca="1">IFERROR(__xludf.DUMMYFUNCTION("""COMPUTED_VALUE"""),1804)</f>
        <v>1804</v>
      </c>
      <c r="S299" s="1">
        <f ca="1">IFERROR(__xludf.DUMMYFUNCTION("""COMPUTED_VALUE"""),0.389)</f>
        <v>0.38900000000000001</v>
      </c>
      <c r="T299" s="1">
        <f ca="1">IFERROR(__xludf.DUMMYFUNCTION("""COMPUTED_VALUE"""),252)</f>
        <v>252</v>
      </c>
      <c r="U299" s="1">
        <f ca="1">IFERROR(__xludf.DUMMYFUNCTION("""COMPUTED_VALUE"""),839)</f>
        <v>839</v>
      </c>
      <c r="V299" s="1">
        <f ca="1">IFERROR(__xludf.DUMMYFUNCTION("""COMPUTED_VALUE"""),0.3)</f>
        <v>0.3</v>
      </c>
      <c r="W299" s="1">
        <f ca="1">IFERROR(__xludf.DUMMYFUNCTION("""COMPUTED_VALUE"""),447)</f>
        <v>447</v>
      </c>
      <c r="X299" s="1">
        <f ca="1">IFERROR(__xludf.DUMMYFUNCTION("""COMPUTED_VALUE"""),623)</f>
        <v>623</v>
      </c>
      <c r="Y299" s="1">
        <f ca="1">IFERROR(__xludf.DUMMYFUNCTION("""COMPUTED_VALUE"""),0.717)</f>
        <v>0.71699999999999997</v>
      </c>
      <c r="Z299" s="1">
        <f ca="1">IFERROR(__xludf.DUMMYFUNCTION("""COMPUTED_VALUE"""),291)</f>
        <v>291</v>
      </c>
      <c r="AA299" s="1">
        <f ca="1">IFERROR(__xludf.DUMMYFUNCTION("""COMPUTED_VALUE"""),1042)</f>
        <v>1042</v>
      </c>
      <c r="AB299" s="1">
        <f ca="1">IFERROR(__xludf.DUMMYFUNCTION("""COMPUTED_VALUE"""),391)</f>
        <v>391</v>
      </c>
      <c r="AC299" s="1">
        <f ca="1">IFERROR(__xludf.DUMMYFUNCTION("""COMPUTED_VALUE"""),187)</f>
        <v>187</v>
      </c>
      <c r="AD299" s="1">
        <f ca="1">IFERROR(__xludf.DUMMYFUNCTION("""COMPUTED_VALUE"""),100)</f>
        <v>100</v>
      </c>
      <c r="AE299" s="1">
        <f ca="1">IFERROR(__xludf.DUMMYFUNCTION("""COMPUTED_VALUE"""),414)</f>
        <v>414</v>
      </c>
      <c r="AF299" s="1">
        <f ca="1">IFERROR(__xludf.DUMMYFUNCTION("""COMPUTED_VALUE"""),554)</f>
        <v>554</v>
      </c>
    </row>
    <row r="300" spans="1:32" x14ac:dyDescent="0.25">
      <c r="A300" s="1" t="str">
        <f ca="1">IFERROR(__xludf.DUMMYFUNCTION("""COMPUTED_VALUE"""),"Santa Clara")</f>
        <v>Santa Clara</v>
      </c>
      <c r="B300" s="1">
        <f ca="1">IFERROR(__xludf.DUMMYFUNCTION("""COMPUTED_VALUE"""),31)</f>
        <v>31</v>
      </c>
      <c r="C300" s="1">
        <f ca="1">IFERROR(__xludf.DUMMYFUNCTION("""COMPUTED_VALUE"""),19)</f>
        <v>19</v>
      </c>
      <c r="D300" s="1">
        <f ca="1">IFERROR(__xludf.DUMMYFUNCTION("""COMPUTED_VALUE"""),12)</f>
        <v>12</v>
      </c>
      <c r="E300" s="1">
        <f ca="1">IFERROR(__xludf.DUMMYFUNCTION("""COMPUTED_VALUE"""),0.613)</f>
        <v>0.61299999999999999</v>
      </c>
      <c r="F300" s="1">
        <f ca="1">IFERROR(__xludf.DUMMYFUNCTION("""COMPUTED_VALUE"""),2.19)</f>
        <v>2.19</v>
      </c>
      <c r="G300" s="1">
        <f ca="1">IFERROR(__xludf.DUMMYFUNCTION("""COMPUTED_VALUE"""),0.88)</f>
        <v>0.88</v>
      </c>
      <c r="H300" s="1">
        <f ca="1">IFERROR(__xludf.DUMMYFUNCTION("""COMPUTED_VALUE"""),6)</f>
        <v>6</v>
      </c>
      <c r="I300" s="1">
        <f ca="1">IFERROR(__xludf.DUMMYFUNCTION("""COMPUTED_VALUE"""),10)</f>
        <v>10</v>
      </c>
      <c r="J300" s="1">
        <f ca="1">IFERROR(__xludf.DUMMYFUNCTION("""COMPUTED_VALUE"""),16)</f>
        <v>16</v>
      </c>
      <c r="K300" s="1">
        <f ca="1">IFERROR(__xludf.DUMMYFUNCTION("""COMPUTED_VALUE"""),5)</f>
        <v>5</v>
      </c>
      <c r="L300" s="1">
        <f ca="1">IFERROR(__xludf.DUMMYFUNCTION("""COMPUTED_VALUE"""),3)</f>
        <v>3</v>
      </c>
      <c r="M300" s="1">
        <f ca="1">IFERROR(__xludf.DUMMYFUNCTION("""COMPUTED_VALUE"""),7)</f>
        <v>7</v>
      </c>
      <c r="N300" s="1">
        <f ca="1">IFERROR(__xludf.DUMMYFUNCTION("""COMPUTED_VALUE"""),2349)</f>
        <v>2349</v>
      </c>
      <c r="O300" s="1">
        <f ca="1">IFERROR(__xludf.DUMMYFUNCTION("""COMPUTED_VALUE"""),2219)</f>
        <v>2219</v>
      </c>
      <c r="P300" s="1">
        <f ca="1">IFERROR(__xludf.DUMMYFUNCTION("""COMPUTED_VALUE"""),1245)</f>
        <v>1245</v>
      </c>
      <c r="Q300" s="1">
        <f ca="1">IFERROR(__xludf.DUMMYFUNCTION("""COMPUTED_VALUE"""),830)</f>
        <v>830</v>
      </c>
      <c r="R300" s="1">
        <f ca="1">IFERROR(__xludf.DUMMYFUNCTION("""COMPUTED_VALUE"""),1785)</f>
        <v>1785</v>
      </c>
      <c r="S300" s="1">
        <f ca="1">IFERROR(__xludf.DUMMYFUNCTION("""COMPUTED_VALUE"""),0.465)</f>
        <v>0.46500000000000002</v>
      </c>
      <c r="T300" s="1">
        <f ca="1">IFERROR(__xludf.DUMMYFUNCTION("""COMPUTED_VALUE"""),237)</f>
        <v>237</v>
      </c>
      <c r="U300" s="1">
        <f ca="1">IFERROR(__xludf.DUMMYFUNCTION("""COMPUTED_VALUE"""),660)</f>
        <v>660</v>
      </c>
      <c r="V300" s="1">
        <f ca="1">IFERROR(__xludf.DUMMYFUNCTION("""COMPUTED_VALUE"""),0.359)</f>
        <v>0.35899999999999999</v>
      </c>
      <c r="W300" s="1">
        <f ca="1">IFERROR(__xludf.DUMMYFUNCTION("""COMPUTED_VALUE"""),452)</f>
        <v>452</v>
      </c>
      <c r="X300" s="1">
        <f ca="1">IFERROR(__xludf.DUMMYFUNCTION("""COMPUTED_VALUE"""),611)</f>
        <v>611</v>
      </c>
      <c r="Y300" s="1">
        <f ca="1">IFERROR(__xludf.DUMMYFUNCTION("""COMPUTED_VALUE"""),0.74)</f>
        <v>0.74</v>
      </c>
      <c r="Z300" s="1">
        <f ca="1">IFERROR(__xludf.DUMMYFUNCTION("""COMPUTED_VALUE"""),228)</f>
        <v>228</v>
      </c>
      <c r="AA300" s="1">
        <f ca="1">IFERROR(__xludf.DUMMYFUNCTION("""COMPUTED_VALUE"""),1055)</f>
        <v>1055</v>
      </c>
      <c r="AB300" s="1">
        <f ca="1">IFERROR(__xludf.DUMMYFUNCTION("""COMPUTED_VALUE"""),481)</f>
        <v>481</v>
      </c>
      <c r="AC300" s="1">
        <f ca="1">IFERROR(__xludf.DUMMYFUNCTION("""COMPUTED_VALUE"""),214)</f>
        <v>214</v>
      </c>
      <c r="AD300" s="1">
        <f ca="1">IFERROR(__xludf.DUMMYFUNCTION("""COMPUTED_VALUE"""),108)</f>
        <v>108</v>
      </c>
      <c r="AE300" s="1">
        <f ca="1">IFERROR(__xludf.DUMMYFUNCTION("""COMPUTED_VALUE"""),419)</f>
        <v>419</v>
      </c>
      <c r="AF300" s="1">
        <f ca="1">IFERROR(__xludf.DUMMYFUNCTION("""COMPUTED_VALUE"""),625)</f>
        <v>625</v>
      </c>
    </row>
    <row r="301" spans="1:32" x14ac:dyDescent="0.25">
      <c r="A301" s="1" t="str">
        <f ca="1">IFERROR(__xludf.DUMMYFUNCTION("""COMPUTED_VALUE"""),"Seattle")</f>
        <v>Seattle</v>
      </c>
      <c r="B301" s="1">
        <f ca="1">IFERROR(__xludf.DUMMYFUNCTION("""COMPUTED_VALUE"""),29)</f>
        <v>29</v>
      </c>
      <c r="C301" s="1">
        <f ca="1">IFERROR(__xludf.DUMMYFUNCTION("""COMPUTED_VALUE"""),14)</f>
        <v>14</v>
      </c>
      <c r="D301" s="1">
        <f ca="1">IFERROR(__xludf.DUMMYFUNCTION("""COMPUTED_VALUE"""),15)</f>
        <v>15</v>
      </c>
      <c r="E301" s="1">
        <f ca="1">IFERROR(__xludf.DUMMYFUNCTION("""COMPUTED_VALUE"""),0.483)</f>
        <v>0.48299999999999998</v>
      </c>
      <c r="F301" s="1">
        <f ca="1">IFERROR(__xludf.DUMMYFUNCTION("""COMPUTED_VALUE"""),-3.91)</f>
        <v>-3.91</v>
      </c>
      <c r="G301" s="1">
        <f ca="1">IFERROR(__xludf.DUMMYFUNCTION("""COMPUTED_VALUE"""),-3.88)</f>
        <v>-3.88</v>
      </c>
      <c r="H301" s="1">
        <f ca="1">IFERROR(__xludf.DUMMYFUNCTION("""COMPUTED_VALUE"""),7)</f>
        <v>7</v>
      </c>
      <c r="I301" s="1">
        <f ca="1">IFERROR(__xludf.DUMMYFUNCTION("""COMPUTED_VALUE"""),7)</f>
        <v>7</v>
      </c>
      <c r="J301" s="1">
        <f ca="1">IFERROR(__xludf.DUMMYFUNCTION("""COMPUTED_VALUE"""),9)</f>
        <v>9</v>
      </c>
      <c r="K301" s="1">
        <f ca="1">IFERROR(__xludf.DUMMYFUNCTION("""COMPUTED_VALUE"""),4)</f>
        <v>4</v>
      </c>
      <c r="L301" s="1">
        <f ca="1">IFERROR(__xludf.DUMMYFUNCTION("""COMPUTED_VALUE"""),3)</f>
        <v>3</v>
      </c>
      <c r="M301" s="1">
        <f ca="1">IFERROR(__xludf.DUMMYFUNCTION("""COMPUTED_VALUE"""),10)</f>
        <v>10</v>
      </c>
      <c r="N301" s="1">
        <f ca="1">IFERROR(__xludf.DUMMYFUNCTION("""COMPUTED_VALUE"""),2177)</f>
        <v>2177</v>
      </c>
      <c r="O301" s="1">
        <f ca="1">IFERROR(__xludf.DUMMYFUNCTION("""COMPUTED_VALUE"""),2110)</f>
        <v>2110</v>
      </c>
      <c r="P301" s="1">
        <f ca="1">IFERROR(__xludf.DUMMYFUNCTION("""COMPUTED_VALUE"""),1185)</f>
        <v>1185</v>
      </c>
      <c r="Q301" s="1">
        <f ca="1">IFERROR(__xludf.DUMMYFUNCTION("""COMPUTED_VALUE"""),731)</f>
        <v>731</v>
      </c>
      <c r="R301" s="1">
        <f ca="1">IFERROR(__xludf.DUMMYFUNCTION("""COMPUTED_VALUE"""),1800)</f>
        <v>1800</v>
      </c>
      <c r="S301" s="1">
        <f ca="1">IFERROR(__xludf.DUMMYFUNCTION("""COMPUTED_VALUE"""),0.406)</f>
        <v>0.40600000000000003</v>
      </c>
      <c r="T301" s="1">
        <f ca="1">IFERROR(__xludf.DUMMYFUNCTION("""COMPUTED_VALUE"""),209)</f>
        <v>209</v>
      </c>
      <c r="U301" s="1">
        <f ca="1">IFERROR(__xludf.DUMMYFUNCTION("""COMPUTED_VALUE"""),679)</f>
        <v>679</v>
      </c>
      <c r="V301" s="1">
        <f ca="1">IFERROR(__xludf.DUMMYFUNCTION("""COMPUTED_VALUE"""),0.308)</f>
        <v>0.308</v>
      </c>
      <c r="W301" s="1">
        <f ca="1">IFERROR(__xludf.DUMMYFUNCTION("""COMPUTED_VALUE"""),506)</f>
        <v>506</v>
      </c>
      <c r="X301" s="1">
        <f ca="1">IFERROR(__xludf.DUMMYFUNCTION("""COMPUTED_VALUE"""),653)</f>
        <v>653</v>
      </c>
      <c r="Y301" s="1">
        <f ca="1">IFERROR(__xludf.DUMMYFUNCTION("""COMPUTED_VALUE"""),0.775)</f>
        <v>0.77500000000000002</v>
      </c>
      <c r="Z301" s="1">
        <f ca="1">IFERROR(__xludf.DUMMYFUNCTION("""COMPUTED_VALUE"""),301)</f>
        <v>301</v>
      </c>
      <c r="AA301" s="1">
        <f ca="1">IFERROR(__xludf.DUMMYFUNCTION("""COMPUTED_VALUE"""),1028)</f>
        <v>1028</v>
      </c>
      <c r="AB301" s="1">
        <f ca="1">IFERROR(__xludf.DUMMYFUNCTION("""COMPUTED_VALUE"""),316)</f>
        <v>316</v>
      </c>
      <c r="AC301" s="1">
        <f ca="1">IFERROR(__xludf.DUMMYFUNCTION("""COMPUTED_VALUE"""),171)</f>
        <v>171</v>
      </c>
      <c r="AD301" s="1">
        <f ca="1">IFERROR(__xludf.DUMMYFUNCTION("""COMPUTED_VALUE"""),90)</f>
        <v>90</v>
      </c>
      <c r="AE301" s="1">
        <f ca="1">IFERROR(__xludf.DUMMYFUNCTION("""COMPUTED_VALUE"""),297)</f>
        <v>297</v>
      </c>
      <c r="AF301" s="1">
        <f ca="1">IFERROR(__xludf.DUMMYFUNCTION("""COMPUTED_VALUE"""),581)</f>
        <v>581</v>
      </c>
    </row>
    <row r="302" spans="1:32" x14ac:dyDescent="0.25">
      <c r="A302" s="1" t="str">
        <f ca="1">IFERROR(__xludf.DUMMYFUNCTION("""COMPUTED_VALUE"""),"Seton Hall")</f>
        <v>Seton Hall</v>
      </c>
      <c r="B302" s="1">
        <f ca="1">IFERROR(__xludf.DUMMYFUNCTION("""COMPUTED_VALUE"""),28)</f>
        <v>28</v>
      </c>
      <c r="C302" s="1">
        <f ca="1">IFERROR(__xludf.DUMMYFUNCTION("""COMPUTED_VALUE"""),21)</f>
        <v>21</v>
      </c>
      <c r="D302" s="1">
        <f ca="1">IFERROR(__xludf.DUMMYFUNCTION("""COMPUTED_VALUE"""),7)</f>
        <v>7</v>
      </c>
      <c r="E302" s="1">
        <f ca="1">IFERROR(__xludf.DUMMYFUNCTION("""COMPUTED_VALUE"""),0.75)</f>
        <v>0.75</v>
      </c>
      <c r="F302" s="1">
        <f ca="1">IFERROR(__xludf.DUMMYFUNCTION("""COMPUTED_VALUE"""),17.51)</f>
        <v>17.510000000000002</v>
      </c>
      <c r="G302" s="1">
        <f ca="1">IFERROR(__xludf.DUMMYFUNCTION("""COMPUTED_VALUE"""),9.55)</f>
        <v>9.5500000000000007</v>
      </c>
      <c r="H302" s="1">
        <f ca="1">IFERROR(__xludf.DUMMYFUNCTION("""COMPUTED_VALUE"""),13)</f>
        <v>13</v>
      </c>
      <c r="I302" s="1">
        <f ca="1">IFERROR(__xludf.DUMMYFUNCTION("""COMPUTED_VALUE"""),3)</f>
        <v>3</v>
      </c>
      <c r="J302" s="1">
        <f ca="1">IFERROR(__xludf.DUMMYFUNCTION("""COMPUTED_VALUE"""),11)</f>
        <v>11</v>
      </c>
      <c r="K302" s="1">
        <f ca="1">IFERROR(__xludf.DUMMYFUNCTION("""COMPUTED_VALUE"""),3)</f>
        <v>3</v>
      </c>
      <c r="L302" s="1">
        <f ca="1">IFERROR(__xludf.DUMMYFUNCTION("""COMPUTED_VALUE"""),8)</f>
        <v>8</v>
      </c>
      <c r="M302" s="1">
        <f ca="1">IFERROR(__xludf.DUMMYFUNCTION("""COMPUTED_VALUE"""),3)</f>
        <v>3</v>
      </c>
      <c r="N302" s="1">
        <f ca="1">IFERROR(__xludf.DUMMYFUNCTION("""COMPUTED_VALUE"""),2104)</f>
        <v>2104</v>
      </c>
      <c r="O302" s="1">
        <f ca="1">IFERROR(__xludf.DUMMYFUNCTION("""COMPUTED_VALUE"""),1881)</f>
        <v>1881</v>
      </c>
      <c r="P302" s="1">
        <f ca="1">IFERROR(__xludf.DUMMYFUNCTION("""COMPUTED_VALUE"""),1120)</f>
        <v>1120</v>
      </c>
      <c r="Q302" s="1">
        <f ca="1">IFERROR(__xludf.DUMMYFUNCTION("""COMPUTED_VALUE"""),730)</f>
        <v>730</v>
      </c>
      <c r="R302" s="1">
        <f ca="1">IFERROR(__xludf.DUMMYFUNCTION("""COMPUTED_VALUE"""),1634)</f>
        <v>1634</v>
      </c>
      <c r="S302" s="1">
        <f ca="1">IFERROR(__xludf.DUMMYFUNCTION("""COMPUTED_VALUE"""),0.447)</f>
        <v>0.44700000000000001</v>
      </c>
      <c r="T302" s="1">
        <f ca="1">IFERROR(__xludf.DUMMYFUNCTION("""COMPUTED_VALUE"""),218)</f>
        <v>218</v>
      </c>
      <c r="U302" s="1">
        <f ca="1">IFERROR(__xludf.DUMMYFUNCTION("""COMPUTED_VALUE"""),660)</f>
        <v>660</v>
      </c>
      <c r="V302" s="1">
        <f ca="1">IFERROR(__xludf.DUMMYFUNCTION("""COMPUTED_VALUE"""),0.33)</f>
        <v>0.33</v>
      </c>
      <c r="W302" s="1">
        <f ca="1">IFERROR(__xludf.DUMMYFUNCTION("""COMPUTED_VALUE"""),426)</f>
        <v>426</v>
      </c>
      <c r="X302" s="1">
        <f ca="1">IFERROR(__xludf.DUMMYFUNCTION("""COMPUTED_VALUE"""),591)</f>
        <v>591</v>
      </c>
      <c r="Y302" s="1">
        <f ca="1">IFERROR(__xludf.DUMMYFUNCTION("""COMPUTED_VALUE"""),0.721)</f>
        <v>0.72099999999999997</v>
      </c>
      <c r="Z302" s="1">
        <f ca="1">IFERROR(__xludf.DUMMYFUNCTION("""COMPUTED_VALUE"""),286)</f>
        <v>286</v>
      </c>
      <c r="AA302" s="1">
        <f ca="1">IFERROR(__xludf.DUMMYFUNCTION("""COMPUTED_VALUE"""),1045)</f>
        <v>1045</v>
      </c>
      <c r="AB302" s="1">
        <f ca="1">IFERROR(__xludf.DUMMYFUNCTION("""COMPUTED_VALUE"""),410)</f>
        <v>410</v>
      </c>
      <c r="AC302" s="1">
        <f ca="1">IFERROR(__xludf.DUMMYFUNCTION("""COMPUTED_VALUE"""),201)</f>
        <v>201</v>
      </c>
      <c r="AD302" s="1">
        <f ca="1">IFERROR(__xludf.DUMMYFUNCTION("""COMPUTED_VALUE"""),172)</f>
        <v>172</v>
      </c>
      <c r="AE302" s="1">
        <f ca="1">IFERROR(__xludf.DUMMYFUNCTION("""COMPUTED_VALUE"""),377)</f>
        <v>377</v>
      </c>
      <c r="AF302" s="1">
        <f ca="1">IFERROR(__xludf.DUMMYFUNCTION("""COMPUTED_VALUE"""),524)</f>
        <v>524</v>
      </c>
    </row>
    <row r="303" spans="1:32" x14ac:dyDescent="0.25">
      <c r="A303" s="1" t="str">
        <f ca="1">IFERROR(__xludf.DUMMYFUNCTION("""COMPUTED_VALUE"""),"Siena")</f>
        <v>Siena</v>
      </c>
      <c r="B303" s="1">
        <f ca="1">IFERROR(__xludf.DUMMYFUNCTION("""COMPUTED_VALUE"""),27)</f>
        <v>27</v>
      </c>
      <c r="C303" s="1">
        <f ca="1">IFERROR(__xludf.DUMMYFUNCTION("""COMPUTED_VALUE"""),17)</f>
        <v>17</v>
      </c>
      <c r="D303" s="1">
        <f ca="1">IFERROR(__xludf.DUMMYFUNCTION("""COMPUTED_VALUE"""),10)</f>
        <v>10</v>
      </c>
      <c r="E303" s="1">
        <f ca="1">IFERROR(__xludf.DUMMYFUNCTION("""COMPUTED_VALUE"""),0.63)</f>
        <v>0.63</v>
      </c>
      <c r="F303" s="1">
        <f ca="1">IFERROR(__xludf.DUMMYFUNCTION("""COMPUTED_VALUE"""),-2.11)</f>
        <v>-2.11</v>
      </c>
      <c r="G303" s="1">
        <f ca="1">IFERROR(__xludf.DUMMYFUNCTION("""COMPUTED_VALUE"""),-5.3)</f>
        <v>-5.3</v>
      </c>
      <c r="H303" s="1">
        <f ca="1">IFERROR(__xludf.DUMMYFUNCTION("""COMPUTED_VALUE"""),13)</f>
        <v>13</v>
      </c>
      <c r="I303" s="1">
        <f ca="1">IFERROR(__xludf.DUMMYFUNCTION("""COMPUTED_VALUE"""),5)</f>
        <v>5</v>
      </c>
      <c r="J303" s="1">
        <f ca="1">IFERROR(__xludf.DUMMYFUNCTION("""COMPUTED_VALUE"""),13)</f>
        <v>13</v>
      </c>
      <c r="K303" s="1">
        <f ca="1">IFERROR(__xludf.DUMMYFUNCTION("""COMPUTED_VALUE"""),0)</f>
        <v>0</v>
      </c>
      <c r="L303" s="1">
        <f ca="1">IFERROR(__xludf.DUMMYFUNCTION("""COMPUTED_VALUE"""),4)</f>
        <v>4</v>
      </c>
      <c r="M303" s="1">
        <f ca="1">IFERROR(__xludf.DUMMYFUNCTION("""COMPUTED_VALUE"""),10)</f>
        <v>10</v>
      </c>
      <c r="N303" s="1">
        <f ca="1">IFERROR(__xludf.DUMMYFUNCTION("""COMPUTED_VALUE"""),1941)</f>
        <v>1941</v>
      </c>
      <c r="O303" s="1">
        <f ca="1">IFERROR(__xludf.DUMMYFUNCTION("""COMPUTED_VALUE"""),1855)</f>
        <v>1855</v>
      </c>
      <c r="P303" s="1">
        <f ca="1">IFERROR(__xludf.DUMMYFUNCTION("""COMPUTED_VALUE"""),1095)</f>
        <v>1095</v>
      </c>
      <c r="Q303" s="1">
        <f ca="1">IFERROR(__xludf.DUMMYFUNCTION("""COMPUTED_VALUE"""),685)</f>
        <v>685</v>
      </c>
      <c r="R303" s="1">
        <f ca="1">IFERROR(__xludf.DUMMYFUNCTION("""COMPUTED_VALUE"""),1510)</f>
        <v>1510</v>
      </c>
      <c r="S303" s="1">
        <f ca="1">IFERROR(__xludf.DUMMYFUNCTION("""COMPUTED_VALUE"""),0.454)</f>
        <v>0.45400000000000001</v>
      </c>
      <c r="T303" s="1">
        <f ca="1">IFERROR(__xludf.DUMMYFUNCTION("""COMPUTED_VALUE"""),174)</f>
        <v>174</v>
      </c>
      <c r="U303" s="1">
        <f ca="1">IFERROR(__xludf.DUMMYFUNCTION("""COMPUTED_VALUE"""),490)</f>
        <v>490</v>
      </c>
      <c r="V303" s="1">
        <f ca="1">IFERROR(__xludf.DUMMYFUNCTION("""COMPUTED_VALUE"""),0.355)</f>
        <v>0.35499999999999998</v>
      </c>
      <c r="W303" s="1">
        <f ca="1">IFERROR(__xludf.DUMMYFUNCTION("""COMPUTED_VALUE"""),397)</f>
        <v>397</v>
      </c>
      <c r="X303" s="1">
        <f ca="1">IFERROR(__xludf.DUMMYFUNCTION("""COMPUTED_VALUE"""),566)</f>
        <v>566</v>
      </c>
      <c r="Y303" s="1">
        <f ca="1">IFERROR(__xludf.DUMMYFUNCTION("""COMPUTED_VALUE"""),0.701)</f>
        <v>0.70099999999999996</v>
      </c>
      <c r="Z303" s="1">
        <f ca="1">IFERROR(__xludf.DUMMYFUNCTION("""COMPUTED_VALUE"""),290)</f>
        <v>290</v>
      </c>
      <c r="AA303" s="1">
        <f ca="1">IFERROR(__xludf.DUMMYFUNCTION("""COMPUTED_VALUE"""),973)</f>
        <v>973</v>
      </c>
      <c r="AB303" s="1">
        <f ca="1">IFERROR(__xludf.DUMMYFUNCTION("""COMPUTED_VALUE"""),340)</f>
        <v>340</v>
      </c>
      <c r="AC303" s="1">
        <f ca="1">IFERROR(__xludf.DUMMYFUNCTION("""COMPUTED_VALUE"""),149)</f>
        <v>149</v>
      </c>
      <c r="AD303" s="1">
        <f ca="1">IFERROR(__xludf.DUMMYFUNCTION("""COMPUTED_VALUE"""),81)</f>
        <v>81</v>
      </c>
      <c r="AE303" s="1">
        <f ca="1">IFERROR(__xludf.DUMMYFUNCTION("""COMPUTED_VALUE"""),350)</f>
        <v>350</v>
      </c>
      <c r="AF303" s="1">
        <f ca="1">IFERROR(__xludf.DUMMYFUNCTION("""COMPUTED_VALUE"""),452)</f>
        <v>452</v>
      </c>
    </row>
    <row r="304" spans="1:32" x14ac:dyDescent="0.25">
      <c r="A304" s="1" t="str">
        <f ca="1">IFERROR(__xludf.DUMMYFUNCTION("""COMPUTED_VALUE"""),"South Alabama")</f>
        <v>South Alabama</v>
      </c>
      <c r="B304" s="1">
        <f ca="1">IFERROR(__xludf.DUMMYFUNCTION("""COMPUTED_VALUE"""),30)</f>
        <v>30</v>
      </c>
      <c r="C304" s="1">
        <f ca="1">IFERROR(__xludf.DUMMYFUNCTION("""COMPUTED_VALUE"""),19)</f>
        <v>19</v>
      </c>
      <c r="D304" s="1">
        <f ca="1">IFERROR(__xludf.DUMMYFUNCTION("""COMPUTED_VALUE"""),11)</f>
        <v>11</v>
      </c>
      <c r="E304" s="1">
        <f ca="1">IFERROR(__xludf.DUMMYFUNCTION("""COMPUTED_VALUE"""),0.633)</f>
        <v>0.63300000000000001</v>
      </c>
      <c r="F304" s="1">
        <f ca="1">IFERROR(__xludf.DUMMYFUNCTION("""COMPUTED_VALUE"""),-0.24)</f>
        <v>-0.24</v>
      </c>
      <c r="G304" s="1">
        <f ca="1">IFERROR(__xludf.DUMMYFUNCTION("""COMPUTED_VALUE"""),-1.24)</f>
        <v>-1.24</v>
      </c>
      <c r="H304" s="1">
        <f ca="1">IFERROR(__xludf.DUMMYFUNCTION("""COMPUTED_VALUE"""),12)</f>
        <v>12</v>
      </c>
      <c r="I304" s="1">
        <f ca="1">IFERROR(__xludf.DUMMYFUNCTION("""COMPUTED_VALUE"""),7)</f>
        <v>7</v>
      </c>
      <c r="J304" s="1">
        <f ca="1">IFERROR(__xludf.DUMMYFUNCTION("""COMPUTED_VALUE"""),10)</f>
        <v>10</v>
      </c>
      <c r="K304" s="1">
        <f ca="1">IFERROR(__xludf.DUMMYFUNCTION("""COMPUTED_VALUE"""),5)</f>
        <v>5</v>
      </c>
      <c r="L304" s="1">
        <f ca="1">IFERROR(__xludf.DUMMYFUNCTION("""COMPUTED_VALUE"""),7)</f>
        <v>7</v>
      </c>
      <c r="M304" s="1">
        <f ca="1">IFERROR(__xludf.DUMMYFUNCTION("""COMPUTED_VALUE"""),5)</f>
        <v>5</v>
      </c>
      <c r="N304" s="1">
        <f ca="1">IFERROR(__xludf.DUMMYFUNCTION("""COMPUTED_VALUE"""),2151)</f>
        <v>2151</v>
      </c>
      <c r="O304" s="1">
        <f ca="1">IFERROR(__xludf.DUMMYFUNCTION("""COMPUTED_VALUE"""),2038)</f>
        <v>2038</v>
      </c>
      <c r="P304" s="1">
        <f ca="1">IFERROR(__xludf.DUMMYFUNCTION("""COMPUTED_VALUE"""),1205)</f>
        <v>1205</v>
      </c>
      <c r="Q304" s="1">
        <f ca="1">IFERROR(__xludf.DUMMYFUNCTION("""COMPUTED_VALUE"""),757)</f>
        <v>757</v>
      </c>
      <c r="R304" s="1">
        <f ca="1">IFERROR(__xludf.DUMMYFUNCTION("""COMPUTED_VALUE"""),1606)</f>
        <v>1606</v>
      </c>
      <c r="S304" s="1">
        <f ca="1">IFERROR(__xludf.DUMMYFUNCTION("""COMPUTED_VALUE"""),0.471)</f>
        <v>0.47099999999999997</v>
      </c>
      <c r="T304" s="1">
        <f ca="1">IFERROR(__xludf.DUMMYFUNCTION("""COMPUTED_VALUE"""),164)</f>
        <v>164</v>
      </c>
      <c r="U304" s="1">
        <f ca="1">IFERROR(__xludf.DUMMYFUNCTION("""COMPUTED_VALUE"""),488)</f>
        <v>488</v>
      </c>
      <c r="V304" s="1">
        <f ca="1">IFERROR(__xludf.DUMMYFUNCTION("""COMPUTED_VALUE"""),0.336)</f>
        <v>0.33600000000000002</v>
      </c>
      <c r="W304" s="1">
        <f ca="1">IFERROR(__xludf.DUMMYFUNCTION("""COMPUTED_VALUE"""),473)</f>
        <v>473</v>
      </c>
      <c r="X304" s="1">
        <f ca="1">IFERROR(__xludf.DUMMYFUNCTION("""COMPUTED_VALUE"""),652)</f>
        <v>652</v>
      </c>
      <c r="Y304" s="1">
        <f ca="1">IFERROR(__xludf.DUMMYFUNCTION("""COMPUTED_VALUE"""),0.725)</f>
        <v>0.72499999999999998</v>
      </c>
      <c r="Z304" s="1">
        <f ca="1">IFERROR(__xludf.DUMMYFUNCTION("""COMPUTED_VALUE"""),249)</f>
        <v>249</v>
      </c>
      <c r="AA304" s="1">
        <f ca="1">IFERROR(__xludf.DUMMYFUNCTION("""COMPUTED_VALUE"""),985)</f>
        <v>985</v>
      </c>
      <c r="AB304" s="1">
        <f ca="1">IFERROR(__xludf.DUMMYFUNCTION("""COMPUTED_VALUE"""),338)</f>
        <v>338</v>
      </c>
      <c r="AC304" s="1">
        <f ca="1">IFERROR(__xludf.DUMMYFUNCTION("""COMPUTED_VALUE"""),231)</f>
        <v>231</v>
      </c>
      <c r="AD304" s="1">
        <f ca="1">IFERROR(__xludf.DUMMYFUNCTION("""COMPUTED_VALUE"""),114)</f>
        <v>114</v>
      </c>
      <c r="AE304" s="1">
        <f ca="1">IFERROR(__xludf.DUMMYFUNCTION("""COMPUTED_VALUE"""),368)</f>
        <v>368</v>
      </c>
      <c r="AF304" s="1">
        <f ca="1">IFERROR(__xludf.DUMMYFUNCTION("""COMPUTED_VALUE"""),484)</f>
        <v>484</v>
      </c>
    </row>
    <row r="305" spans="1:32" x14ac:dyDescent="0.25">
      <c r="A305" s="1" t="str">
        <f ca="1">IFERROR(__xludf.DUMMYFUNCTION("""COMPUTED_VALUE"""),"South Carolina State")</f>
        <v>South Carolina State</v>
      </c>
      <c r="B305" s="1">
        <f ca="1">IFERROR(__xludf.DUMMYFUNCTION("""COMPUTED_VALUE"""),28)</f>
        <v>28</v>
      </c>
      <c r="C305" s="1">
        <f ca="1">IFERROR(__xludf.DUMMYFUNCTION("""COMPUTED_VALUE"""),11)</f>
        <v>11</v>
      </c>
      <c r="D305" s="1">
        <f ca="1">IFERROR(__xludf.DUMMYFUNCTION("""COMPUTED_VALUE"""),17)</f>
        <v>17</v>
      </c>
      <c r="E305" s="1">
        <f ca="1">IFERROR(__xludf.DUMMYFUNCTION("""COMPUTED_VALUE"""),0.393)</f>
        <v>0.39300000000000002</v>
      </c>
      <c r="F305" s="1">
        <f ca="1">IFERROR(__xludf.DUMMYFUNCTION("""COMPUTED_VALUE"""),-15.41)</f>
        <v>-15.41</v>
      </c>
      <c r="G305" s="1">
        <f ca="1">IFERROR(__xludf.DUMMYFUNCTION("""COMPUTED_VALUE"""),-8.68)</f>
        <v>-8.68</v>
      </c>
      <c r="H305" s="1">
        <f ca="1">IFERROR(__xludf.DUMMYFUNCTION("""COMPUTED_VALUE"""),6)</f>
        <v>6</v>
      </c>
      <c r="I305" s="1">
        <f ca="1">IFERROR(__xludf.DUMMYFUNCTION("""COMPUTED_VALUE"""),10)</f>
        <v>10</v>
      </c>
      <c r="J305" s="1">
        <f ca="1">IFERROR(__xludf.DUMMYFUNCTION("""COMPUTED_VALUE"""),8)</f>
        <v>8</v>
      </c>
      <c r="K305" s="1">
        <f ca="1">IFERROR(__xludf.DUMMYFUNCTION("""COMPUTED_VALUE"""),5)</f>
        <v>5</v>
      </c>
      <c r="L305" s="1">
        <f ca="1">IFERROR(__xludf.DUMMYFUNCTION("""COMPUTED_VALUE"""),3)</f>
        <v>3</v>
      </c>
      <c r="M305" s="1">
        <f ca="1">IFERROR(__xludf.DUMMYFUNCTION("""COMPUTED_VALUE"""),12)</f>
        <v>12</v>
      </c>
      <c r="N305" s="1">
        <f ca="1">IFERROR(__xludf.DUMMYFUNCTION("""COMPUTED_VALUE"""),1974)</f>
        <v>1974</v>
      </c>
      <c r="O305" s="1">
        <f ca="1">IFERROR(__xludf.DUMMYFUNCTION("""COMPUTED_VALUE"""),2110)</f>
        <v>2110</v>
      </c>
      <c r="P305" s="1">
        <f ca="1">IFERROR(__xludf.DUMMYFUNCTION("""COMPUTED_VALUE"""),1145)</f>
        <v>1145</v>
      </c>
      <c r="Q305" s="1">
        <f ca="1">IFERROR(__xludf.DUMMYFUNCTION("""COMPUTED_VALUE"""),682)</f>
        <v>682</v>
      </c>
      <c r="R305" s="1">
        <f ca="1">IFERROR(__xludf.DUMMYFUNCTION("""COMPUTED_VALUE"""),1551)</f>
        <v>1551</v>
      </c>
      <c r="S305" s="1">
        <f ca="1">IFERROR(__xludf.DUMMYFUNCTION("""COMPUTED_VALUE"""),0.44)</f>
        <v>0.44</v>
      </c>
      <c r="T305" s="1">
        <f ca="1">IFERROR(__xludf.DUMMYFUNCTION("""COMPUTED_VALUE"""),144)</f>
        <v>144</v>
      </c>
      <c r="U305" s="1">
        <f ca="1">IFERROR(__xludf.DUMMYFUNCTION("""COMPUTED_VALUE"""),464)</f>
        <v>464</v>
      </c>
      <c r="V305" s="1">
        <f ca="1">IFERROR(__xludf.DUMMYFUNCTION("""COMPUTED_VALUE"""),0.31)</f>
        <v>0.31</v>
      </c>
      <c r="W305" s="1">
        <f ca="1">IFERROR(__xludf.DUMMYFUNCTION("""COMPUTED_VALUE"""),466)</f>
        <v>466</v>
      </c>
      <c r="X305" s="1">
        <f ca="1">IFERROR(__xludf.DUMMYFUNCTION("""COMPUTED_VALUE"""),621)</f>
        <v>621</v>
      </c>
      <c r="Y305" s="1">
        <f ca="1">IFERROR(__xludf.DUMMYFUNCTION("""COMPUTED_VALUE"""),0.75)</f>
        <v>0.75</v>
      </c>
      <c r="Z305" s="1">
        <f ca="1">IFERROR(__xludf.DUMMYFUNCTION("""COMPUTED_VALUE"""),281)</f>
        <v>281</v>
      </c>
      <c r="AA305" s="1">
        <f ca="1">IFERROR(__xludf.DUMMYFUNCTION("""COMPUTED_VALUE"""),982)</f>
        <v>982</v>
      </c>
      <c r="AB305" s="1">
        <f ca="1">IFERROR(__xludf.DUMMYFUNCTION("""COMPUTED_VALUE"""),316)</f>
        <v>316</v>
      </c>
      <c r="AC305" s="1">
        <f ca="1">IFERROR(__xludf.DUMMYFUNCTION("""COMPUTED_VALUE"""),123)</f>
        <v>123</v>
      </c>
      <c r="AD305" s="1">
        <f ca="1">IFERROR(__xludf.DUMMYFUNCTION("""COMPUTED_VALUE"""),52)</f>
        <v>52</v>
      </c>
      <c r="AE305" s="1">
        <f ca="1">IFERROR(__xludf.DUMMYFUNCTION("""COMPUTED_VALUE"""),404)</f>
        <v>404</v>
      </c>
      <c r="AF305" s="1">
        <f ca="1">IFERROR(__xludf.DUMMYFUNCTION("""COMPUTED_VALUE"""),513)</f>
        <v>513</v>
      </c>
    </row>
    <row r="306" spans="1:32" x14ac:dyDescent="0.25">
      <c r="A306" s="1" t="str">
        <f ca="1">IFERROR(__xludf.DUMMYFUNCTION("""COMPUTED_VALUE"""),"South Carolina Upstate")</f>
        <v>South Carolina Upstate</v>
      </c>
      <c r="B306" s="1">
        <f ca="1">IFERROR(__xludf.DUMMYFUNCTION("""COMPUTED_VALUE"""),31)</f>
        <v>31</v>
      </c>
      <c r="C306" s="1">
        <f ca="1">IFERROR(__xludf.DUMMYFUNCTION("""COMPUTED_VALUE"""),12)</f>
        <v>12</v>
      </c>
      <c r="D306" s="1">
        <f ca="1">IFERROR(__xludf.DUMMYFUNCTION("""COMPUTED_VALUE"""),19)</f>
        <v>19</v>
      </c>
      <c r="E306" s="1">
        <f ca="1">IFERROR(__xludf.DUMMYFUNCTION("""COMPUTED_VALUE"""),0.387)</f>
        <v>0.38700000000000001</v>
      </c>
      <c r="F306" s="1">
        <f ca="1">IFERROR(__xludf.DUMMYFUNCTION("""COMPUTED_VALUE"""),-13.08)</f>
        <v>-13.08</v>
      </c>
      <c r="G306" s="1">
        <f ca="1">IFERROR(__xludf.DUMMYFUNCTION("""COMPUTED_VALUE"""),-5.94)</f>
        <v>-5.94</v>
      </c>
      <c r="H306" s="1">
        <f ca="1">IFERROR(__xludf.DUMMYFUNCTION("""COMPUTED_VALUE"""),7)</f>
        <v>7</v>
      </c>
      <c r="I306" s="1">
        <f ca="1">IFERROR(__xludf.DUMMYFUNCTION("""COMPUTED_VALUE"""),11)</f>
        <v>11</v>
      </c>
      <c r="J306" s="1">
        <f ca="1">IFERROR(__xludf.DUMMYFUNCTION("""COMPUTED_VALUE"""),8)</f>
        <v>8</v>
      </c>
      <c r="K306" s="1">
        <f ca="1">IFERROR(__xludf.DUMMYFUNCTION("""COMPUTED_VALUE"""),6)</f>
        <v>6</v>
      </c>
      <c r="L306" s="1">
        <f ca="1">IFERROR(__xludf.DUMMYFUNCTION("""COMPUTED_VALUE"""),4)</f>
        <v>4</v>
      </c>
      <c r="M306" s="1">
        <f ca="1">IFERROR(__xludf.DUMMYFUNCTION("""COMPUTED_VALUE"""),13)</f>
        <v>13</v>
      </c>
      <c r="N306" s="1">
        <f ca="1">IFERROR(__xludf.DUMMYFUNCTION("""COMPUTED_VALUE"""),2147)</f>
        <v>2147</v>
      </c>
      <c r="O306" s="1">
        <f ca="1">IFERROR(__xludf.DUMMYFUNCTION("""COMPUTED_VALUE"""),2295)</f>
        <v>2295</v>
      </c>
      <c r="P306" s="1">
        <f ca="1">IFERROR(__xludf.DUMMYFUNCTION("""COMPUTED_VALUE"""),1240)</f>
        <v>1240</v>
      </c>
      <c r="Q306" s="1">
        <f ca="1">IFERROR(__xludf.DUMMYFUNCTION("""COMPUTED_VALUE"""),764)</f>
        <v>764</v>
      </c>
      <c r="R306" s="1">
        <f ca="1">IFERROR(__xludf.DUMMYFUNCTION("""COMPUTED_VALUE"""),1799)</f>
        <v>1799</v>
      </c>
      <c r="S306" s="1">
        <f ca="1">IFERROR(__xludf.DUMMYFUNCTION("""COMPUTED_VALUE"""),0.425)</f>
        <v>0.42499999999999999</v>
      </c>
      <c r="T306" s="1">
        <f ca="1">IFERROR(__xludf.DUMMYFUNCTION("""COMPUTED_VALUE"""),212)</f>
        <v>212</v>
      </c>
      <c r="U306" s="1">
        <f ca="1">IFERROR(__xludf.DUMMYFUNCTION("""COMPUTED_VALUE"""),657)</f>
        <v>657</v>
      </c>
      <c r="V306" s="1">
        <f ca="1">IFERROR(__xludf.DUMMYFUNCTION("""COMPUTED_VALUE"""),0.323)</f>
        <v>0.32300000000000001</v>
      </c>
      <c r="W306" s="1">
        <f ca="1">IFERROR(__xludf.DUMMYFUNCTION("""COMPUTED_VALUE"""),407)</f>
        <v>407</v>
      </c>
      <c r="X306" s="1">
        <f ca="1">IFERROR(__xludf.DUMMYFUNCTION("""COMPUTED_VALUE"""),591)</f>
        <v>591</v>
      </c>
      <c r="Y306" s="1">
        <f ca="1">IFERROR(__xludf.DUMMYFUNCTION("""COMPUTED_VALUE"""),0.689)</f>
        <v>0.68899999999999995</v>
      </c>
      <c r="Z306" s="1">
        <f ca="1">IFERROR(__xludf.DUMMYFUNCTION("""COMPUTED_VALUE"""),304)</f>
        <v>304</v>
      </c>
      <c r="AA306" s="1">
        <f ca="1">IFERROR(__xludf.DUMMYFUNCTION("""COMPUTED_VALUE"""),1033)</f>
        <v>1033</v>
      </c>
      <c r="AB306" s="1">
        <f ca="1">IFERROR(__xludf.DUMMYFUNCTION("""COMPUTED_VALUE"""),393)</f>
        <v>393</v>
      </c>
      <c r="AC306" s="1">
        <f ca="1">IFERROR(__xludf.DUMMYFUNCTION("""COMPUTED_VALUE"""),182)</f>
        <v>182</v>
      </c>
      <c r="AD306" s="1">
        <f ca="1">IFERROR(__xludf.DUMMYFUNCTION("""COMPUTED_VALUE"""),77)</f>
        <v>77</v>
      </c>
      <c r="AE306" s="1">
        <f ca="1">IFERROR(__xludf.DUMMYFUNCTION("""COMPUTED_VALUE"""),385)</f>
        <v>385</v>
      </c>
      <c r="AF306" s="1">
        <f ca="1">IFERROR(__xludf.DUMMYFUNCTION("""COMPUTED_VALUE"""),592)</f>
        <v>592</v>
      </c>
    </row>
    <row r="307" spans="1:32" x14ac:dyDescent="0.25">
      <c r="A307" s="1" t="str">
        <f ca="1">IFERROR(__xludf.DUMMYFUNCTION("""COMPUTED_VALUE"""),"South Carolina")</f>
        <v>South Carolina</v>
      </c>
      <c r="B307" s="1">
        <f ca="1">IFERROR(__xludf.DUMMYFUNCTION("""COMPUTED_VALUE"""),29)</f>
        <v>29</v>
      </c>
      <c r="C307" s="1">
        <f ca="1">IFERROR(__xludf.DUMMYFUNCTION("""COMPUTED_VALUE"""),17)</f>
        <v>17</v>
      </c>
      <c r="D307" s="1">
        <f ca="1">IFERROR(__xludf.DUMMYFUNCTION("""COMPUTED_VALUE"""),12)</f>
        <v>12</v>
      </c>
      <c r="E307" s="1">
        <f ca="1">IFERROR(__xludf.DUMMYFUNCTION("""COMPUTED_VALUE"""),0.586)</f>
        <v>0.58599999999999997</v>
      </c>
      <c r="F307" s="1">
        <f ca="1">IFERROR(__xludf.DUMMYFUNCTION("""COMPUTED_VALUE"""),10.37)</f>
        <v>10.37</v>
      </c>
      <c r="G307" s="1">
        <f ca="1">IFERROR(__xludf.DUMMYFUNCTION("""COMPUTED_VALUE"""),6.37)</f>
        <v>6.37</v>
      </c>
      <c r="H307" s="1">
        <f ca="1">IFERROR(__xludf.DUMMYFUNCTION("""COMPUTED_VALUE"""),9)</f>
        <v>9</v>
      </c>
      <c r="I307" s="1">
        <f ca="1">IFERROR(__xludf.DUMMYFUNCTION("""COMPUTED_VALUE"""),7)</f>
        <v>7</v>
      </c>
      <c r="J307" s="1">
        <f ca="1">IFERROR(__xludf.DUMMYFUNCTION("""COMPUTED_VALUE"""),11)</f>
        <v>11</v>
      </c>
      <c r="K307" s="1">
        <f ca="1">IFERROR(__xludf.DUMMYFUNCTION("""COMPUTED_VALUE"""),5)</f>
        <v>5</v>
      </c>
      <c r="L307" s="1">
        <f ca="1">IFERROR(__xludf.DUMMYFUNCTION("""COMPUTED_VALUE"""),6)</f>
        <v>6</v>
      </c>
      <c r="M307" s="1">
        <f ca="1">IFERROR(__xludf.DUMMYFUNCTION("""COMPUTED_VALUE"""),5)</f>
        <v>5</v>
      </c>
      <c r="N307" s="1">
        <f ca="1">IFERROR(__xludf.DUMMYFUNCTION("""COMPUTED_VALUE"""),2118)</f>
        <v>2118</v>
      </c>
      <c r="O307" s="1">
        <f ca="1">IFERROR(__xludf.DUMMYFUNCTION("""COMPUTED_VALUE"""),2002)</f>
        <v>2002</v>
      </c>
      <c r="P307" s="1">
        <f ca="1">IFERROR(__xludf.DUMMYFUNCTION("""COMPUTED_VALUE"""),1165)</f>
        <v>1165</v>
      </c>
      <c r="Q307" s="1">
        <f ca="1">IFERROR(__xludf.DUMMYFUNCTION("""COMPUTED_VALUE"""),773)</f>
        <v>773</v>
      </c>
      <c r="R307" s="1">
        <f ca="1">IFERROR(__xludf.DUMMYFUNCTION("""COMPUTED_VALUE"""),1762)</f>
        <v>1762</v>
      </c>
      <c r="S307" s="1">
        <f ca="1">IFERROR(__xludf.DUMMYFUNCTION("""COMPUTED_VALUE"""),0.439)</f>
        <v>0.439</v>
      </c>
      <c r="T307" s="1">
        <f ca="1">IFERROR(__xludf.DUMMYFUNCTION("""COMPUTED_VALUE"""),168)</f>
        <v>168</v>
      </c>
      <c r="U307" s="1">
        <f ca="1">IFERROR(__xludf.DUMMYFUNCTION("""COMPUTED_VALUE"""),537)</f>
        <v>537</v>
      </c>
      <c r="V307" s="1">
        <f ca="1">IFERROR(__xludf.DUMMYFUNCTION("""COMPUTED_VALUE"""),0.313)</f>
        <v>0.313</v>
      </c>
      <c r="W307" s="1">
        <f ca="1">IFERROR(__xludf.DUMMYFUNCTION("""COMPUTED_VALUE"""),404)</f>
        <v>404</v>
      </c>
      <c r="X307" s="1">
        <f ca="1">IFERROR(__xludf.DUMMYFUNCTION("""COMPUTED_VALUE"""),652)</f>
        <v>652</v>
      </c>
      <c r="Y307" s="1">
        <f ca="1">IFERROR(__xludf.DUMMYFUNCTION("""COMPUTED_VALUE"""),0.62)</f>
        <v>0.62</v>
      </c>
      <c r="Z307" s="1">
        <f ca="1">IFERROR(__xludf.DUMMYFUNCTION("""COMPUTED_VALUE"""),345)</f>
        <v>345</v>
      </c>
      <c r="AA307" s="1">
        <f ca="1">IFERROR(__xludf.DUMMYFUNCTION("""COMPUTED_VALUE"""),1087)</f>
        <v>1087</v>
      </c>
      <c r="AB307" s="1">
        <f ca="1">IFERROR(__xludf.DUMMYFUNCTION("""COMPUTED_VALUE"""),415)</f>
        <v>415</v>
      </c>
      <c r="AC307" s="1">
        <f ca="1">IFERROR(__xludf.DUMMYFUNCTION("""COMPUTED_VALUE"""),225)</f>
        <v>225</v>
      </c>
      <c r="AD307" s="1">
        <f ca="1">IFERROR(__xludf.DUMMYFUNCTION("""COMPUTED_VALUE"""),124)</f>
        <v>124</v>
      </c>
      <c r="AE307" s="1">
        <f ca="1">IFERROR(__xludf.DUMMYFUNCTION("""COMPUTED_VALUE"""),382)</f>
        <v>382</v>
      </c>
      <c r="AF307" s="1">
        <f ca="1">IFERROR(__xludf.DUMMYFUNCTION("""COMPUTED_VALUE"""),670)</f>
        <v>670</v>
      </c>
    </row>
    <row r="308" spans="1:32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x14ac:dyDescent="0.25">
      <c r="A310" s="1" t="str">
        <f ca="1">IFERROR(__xludf.DUMMYFUNCTION("""COMPUTED_VALUE"""),"South Dakota State")</f>
        <v>South Dakota State</v>
      </c>
      <c r="B310" s="1">
        <f ca="1">IFERROR(__xludf.DUMMYFUNCTION("""COMPUTED_VALUE"""),31)</f>
        <v>31</v>
      </c>
      <c r="C310" s="1">
        <f ca="1">IFERROR(__xludf.DUMMYFUNCTION("""COMPUTED_VALUE"""),22)</f>
        <v>22</v>
      </c>
      <c r="D310" s="1">
        <f ca="1">IFERROR(__xludf.DUMMYFUNCTION("""COMPUTED_VALUE"""),9)</f>
        <v>9</v>
      </c>
      <c r="E310" s="1">
        <f ca="1">IFERROR(__xludf.DUMMYFUNCTION("""COMPUTED_VALUE"""),0.71)</f>
        <v>0.71</v>
      </c>
      <c r="F310" s="1">
        <f ca="1">IFERROR(__xludf.DUMMYFUNCTION("""COMPUTED_VALUE"""),2.78)</f>
        <v>2.78</v>
      </c>
      <c r="G310" s="1">
        <f ca="1">IFERROR(__xludf.DUMMYFUNCTION("""COMPUTED_VALUE"""),-4.09)</f>
        <v>-4.09</v>
      </c>
      <c r="H310" s="1">
        <f ca="1">IFERROR(__xludf.DUMMYFUNCTION("""COMPUTED_VALUE"""),13)</f>
        <v>13</v>
      </c>
      <c r="I310" s="1">
        <f ca="1">IFERROR(__xludf.DUMMYFUNCTION("""COMPUTED_VALUE"""),3)</f>
        <v>3</v>
      </c>
      <c r="J310" s="1">
        <f ca="1">IFERROR(__xludf.DUMMYFUNCTION("""COMPUTED_VALUE"""),16)</f>
        <v>16</v>
      </c>
      <c r="K310" s="1">
        <f ca="1">IFERROR(__xludf.DUMMYFUNCTION("""COMPUTED_VALUE"""),0)</f>
        <v>0</v>
      </c>
      <c r="L310" s="1">
        <f ca="1">IFERROR(__xludf.DUMMYFUNCTION("""COMPUTED_VALUE"""),6)</f>
        <v>6</v>
      </c>
      <c r="M310" s="1">
        <f ca="1">IFERROR(__xludf.DUMMYFUNCTION("""COMPUTED_VALUE"""),9)</f>
        <v>9</v>
      </c>
      <c r="N310" s="1">
        <f ca="1">IFERROR(__xludf.DUMMYFUNCTION("""COMPUTED_VALUE"""),2419)</f>
        <v>2419</v>
      </c>
      <c r="O310" s="1">
        <f ca="1">IFERROR(__xludf.DUMMYFUNCTION("""COMPUTED_VALUE"""),2179)</f>
        <v>2179</v>
      </c>
      <c r="P310" s="1">
        <f ca="1">IFERROR(__xludf.DUMMYFUNCTION("""COMPUTED_VALUE"""),1255)</f>
        <v>1255</v>
      </c>
      <c r="Q310" s="1">
        <f ca="1">IFERROR(__xludf.DUMMYFUNCTION("""COMPUTED_VALUE"""),890)</f>
        <v>890</v>
      </c>
      <c r="R310" s="1">
        <f ca="1">IFERROR(__xludf.DUMMYFUNCTION("""COMPUTED_VALUE"""),1807)</f>
        <v>1807</v>
      </c>
      <c r="S310" s="1">
        <f ca="1">IFERROR(__xludf.DUMMYFUNCTION("""COMPUTED_VALUE"""),0.493)</f>
        <v>0.49299999999999999</v>
      </c>
      <c r="T310" s="1">
        <f ca="1">IFERROR(__xludf.DUMMYFUNCTION("""COMPUTED_VALUE"""),226)</f>
        <v>226</v>
      </c>
      <c r="U310" s="1">
        <f ca="1">IFERROR(__xludf.DUMMYFUNCTION("""COMPUTED_VALUE"""),649)</f>
        <v>649</v>
      </c>
      <c r="V310" s="1">
        <f ca="1">IFERROR(__xludf.DUMMYFUNCTION("""COMPUTED_VALUE"""),0.348)</f>
        <v>0.34799999999999998</v>
      </c>
      <c r="W310" s="1">
        <f ca="1">IFERROR(__xludf.DUMMYFUNCTION("""COMPUTED_VALUE"""),413)</f>
        <v>413</v>
      </c>
      <c r="X310" s="1">
        <f ca="1">IFERROR(__xludf.DUMMYFUNCTION("""COMPUTED_VALUE"""),586)</f>
        <v>586</v>
      </c>
      <c r="Y310" s="1">
        <f ca="1">IFERROR(__xludf.DUMMYFUNCTION("""COMPUTED_VALUE"""),0.705)</f>
        <v>0.70499999999999996</v>
      </c>
      <c r="Z310" s="1">
        <f ca="1">IFERROR(__xludf.DUMMYFUNCTION("""COMPUTED_VALUE"""),297)</f>
        <v>297</v>
      </c>
      <c r="AA310" s="1">
        <f ca="1">IFERROR(__xludf.DUMMYFUNCTION("""COMPUTED_VALUE"""),1187)</f>
        <v>1187</v>
      </c>
      <c r="AB310" s="1">
        <f ca="1">IFERROR(__xludf.DUMMYFUNCTION("""COMPUTED_VALUE"""),448)</f>
        <v>448</v>
      </c>
      <c r="AC310" s="1">
        <f ca="1">IFERROR(__xludf.DUMMYFUNCTION("""COMPUTED_VALUE"""),158)</f>
        <v>158</v>
      </c>
      <c r="AD310" s="1">
        <f ca="1">IFERROR(__xludf.DUMMYFUNCTION("""COMPUTED_VALUE"""),104)</f>
        <v>104</v>
      </c>
      <c r="AE310" s="1">
        <f ca="1">IFERROR(__xludf.DUMMYFUNCTION("""COMPUTED_VALUE"""),403)</f>
        <v>403</v>
      </c>
      <c r="AF310" s="1">
        <f ca="1">IFERROR(__xludf.DUMMYFUNCTION("""COMPUTED_VALUE"""),521)</f>
        <v>521</v>
      </c>
    </row>
    <row r="311" spans="1:32" x14ac:dyDescent="0.25">
      <c r="A311" s="1" t="str">
        <f ca="1">IFERROR(__xludf.DUMMYFUNCTION("""COMPUTED_VALUE"""),"South Dakota")</f>
        <v>South Dakota</v>
      </c>
      <c r="B311" s="1">
        <f ca="1">IFERROR(__xludf.DUMMYFUNCTION("""COMPUTED_VALUE"""),31)</f>
        <v>31</v>
      </c>
      <c r="C311" s="1">
        <f ca="1">IFERROR(__xludf.DUMMYFUNCTION("""COMPUTED_VALUE"""),20)</f>
        <v>20</v>
      </c>
      <c r="D311" s="1">
        <f ca="1">IFERROR(__xludf.DUMMYFUNCTION("""COMPUTED_VALUE"""),11)</f>
        <v>11</v>
      </c>
      <c r="E311" s="1">
        <f ca="1">IFERROR(__xludf.DUMMYFUNCTION("""COMPUTED_VALUE"""),0.645)</f>
        <v>0.64500000000000002</v>
      </c>
      <c r="F311" s="1">
        <f ca="1">IFERROR(__xludf.DUMMYFUNCTION("""COMPUTED_VALUE"""),-1.36)</f>
        <v>-1.36</v>
      </c>
      <c r="G311" s="1">
        <f ca="1">IFERROR(__xludf.DUMMYFUNCTION("""COMPUTED_VALUE"""),-3.64)</f>
        <v>-3.64</v>
      </c>
      <c r="H311" s="1">
        <f ca="1">IFERROR(__xludf.DUMMYFUNCTION("""COMPUTED_VALUE"""),10)</f>
        <v>10</v>
      </c>
      <c r="I311" s="1">
        <f ca="1">IFERROR(__xludf.DUMMYFUNCTION("""COMPUTED_VALUE"""),6)</f>
        <v>6</v>
      </c>
      <c r="J311" s="1">
        <f ca="1">IFERROR(__xludf.DUMMYFUNCTION("""COMPUTED_VALUE"""),13)</f>
        <v>13</v>
      </c>
      <c r="K311" s="1">
        <f ca="1">IFERROR(__xludf.DUMMYFUNCTION("""COMPUTED_VALUE"""),2)</f>
        <v>2</v>
      </c>
      <c r="L311" s="1">
        <f ca="1">IFERROR(__xludf.DUMMYFUNCTION("""COMPUTED_VALUE"""),5)</f>
        <v>5</v>
      </c>
      <c r="M311" s="1">
        <f ca="1">IFERROR(__xludf.DUMMYFUNCTION("""COMPUTED_VALUE"""),8)</f>
        <v>8</v>
      </c>
      <c r="N311" s="1">
        <f ca="1">IFERROR(__xludf.DUMMYFUNCTION("""COMPUTED_VALUE"""),2476)</f>
        <v>2476</v>
      </c>
      <c r="O311" s="1">
        <f ca="1">IFERROR(__xludf.DUMMYFUNCTION("""COMPUTED_VALUE"""),2300)</f>
        <v>2300</v>
      </c>
      <c r="P311" s="1">
        <f ca="1">IFERROR(__xludf.DUMMYFUNCTION("""COMPUTED_VALUE"""),1240)</f>
        <v>1240</v>
      </c>
      <c r="Q311" s="1">
        <f ca="1">IFERROR(__xludf.DUMMYFUNCTION("""COMPUTED_VALUE"""),865)</f>
        <v>865</v>
      </c>
      <c r="R311" s="1">
        <f ca="1">IFERROR(__xludf.DUMMYFUNCTION("""COMPUTED_VALUE"""),1750)</f>
        <v>1750</v>
      </c>
      <c r="S311" s="1">
        <f ca="1">IFERROR(__xludf.DUMMYFUNCTION("""COMPUTED_VALUE"""),0.494)</f>
        <v>0.49399999999999999</v>
      </c>
      <c r="T311" s="1">
        <f ca="1">IFERROR(__xludf.DUMMYFUNCTION("""COMPUTED_VALUE"""),226)</f>
        <v>226</v>
      </c>
      <c r="U311" s="1">
        <f ca="1">IFERROR(__xludf.DUMMYFUNCTION("""COMPUTED_VALUE"""),580)</f>
        <v>580</v>
      </c>
      <c r="V311" s="1">
        <f ca="1">IFERROR(__xludf.DUMMYFUNCTION("""COMPUTED_VALUE"""),0.39)</f>
        <v>0.39</v>
      </c>
      <c r="W311" s="1">
        <f ca="1">IFERROR(__xludf.DUMMYFUNCTION("""COMPUTED_VALUE"""),520)</f>
        <v>520</v>
      </c>
      <c r="X311" s="1">
        <f ca="1">IFERROR(__xludf.DUMMYFUNCTION("""COMPUTED_VALUE"""),689)</f>
        <v>689</v>
      </c>
      <c r="Y311" s="1">
        <f ca="1">IFERROR(__xludf.DUMMYFUNCTION("""COMPUTED_VALUE"""),0.755)</f>
        <v>0.755</v>
      </c>
      <c r="Z311" s="1">
        <f ca="1">IFERROR(__xludf.DUMMYFUNCTION("""COMPUTED_VALUE"""),195)</f>
        <v>195</v>
      </c>
      <c r="AA311" s="1">
        <f ca="1">IFERROR(__xludf.DUMMYFUNCTION("""COMPUTED_VALUE"""),1014)</f>
        <v>1014</v>
      </c>
      <c r="AB311" s="1">
        <f ca="1">IFERROR(__xludf.DUMMYFUNCTION("""COMPUTED_VALUE"""),433)</f>
        <v>433</v>
      </c>
      <c r="AC311" s="1">
        <f ca="1">IFERROR(__xludf.DUMMYFUNCTION("""COMPUTED_VALUE"""),141)</f>
        <v>141</v>
      </c>
      <c r="AD311" s="1">
        <f ca="1">IFERROR(__xludf.DUMMYFUNCTION("""COMPUTED_VALUE"""),84)</f>
        <v>84</v>
      </c>
      <c r="AE311" s="1">
        <f ca="1">IFERROR(__xludf.DUMMYFUNCTION("""COMPUTED_VALUE"""),329)</f>
        <v>329</v>
      </c>
      <c r="AF311" s="1">
        <f ca="1">IFERROR(__xludf.DUMMYFUNCTION("""COMPUTED_VALUE"""),533)</f>
        <v>533</v>
      </c>
    </row>
    <row r="312" spans="1:32" x14ac:dyDescent="0.25">
      <c r="A312" s="1" t="str">
        <f ca="1">IFERROR(__xludf.DUMMYFUNCTION("""COMPUTED_VALUE"""),"South Florida")</f>
        <v>South Florida</v>
      </c>
      <c r="B312" s="1">
        <f ca="1">IFERROR(__xludf.DUMMYFUNCTION("""COMPUTED_VALUE"""),29)</f>
        <v>29</v>
      </c>
      <c r="C312" s="1">
        <f ca="1">IFERROR(__xludf.DUMMYFUNCTION("""COMPUTED_VALUE"""),13)</f>
        <v>13</v>
      </c>
      <c r="D312" s="1">
        <f ca="1">IFERROR(__xludf.DUMMYFUNCTION("""COMPUTED_VALUE"""),16)</f>
        <v>16</v>
      </c>
      <c r="E312" s="1">
        <f ca="1">IFERROR(__xludf.DUMMYFUNCTION("""COMPUTED_VALUE"""),0.448)</f>
        <v>0.44800000000000001</v>
      </c>
      <c r="F312" s="1">
        <f ca="1">IFERROR(__xludf.DUMMYFUNCTION("""COMPUTED_VALUE"""),5.28)</f>
        <v>5.28</v>
      </c>
      <c r="G312" s="1">
        <f ca="1">IFERROR(__xludf.DUMMYFUNCTION("""COMPUTED_VALUE"""),4.93)</f>
        <v>4.93</v>
      </c>
      <c r="H312" s="1">
        <f ca="1">IFERROR(__xludf.DUMMYFUNCTION("""COMPUTED_VALUE"""),6)</f>
        <v>6</v>
      </c>
      <c r="I312" s="1">
        <f ca="1">IFERROR(__xludf.DUMMYFUNCTION("""COMPUTED_VALUE"""),10)</f>
        <v>10</v>
      </c>
      <c r="J312" s="1">
        <f ca="1">IFERROR(__xludf.DUMMYFUNCTION("""COMPUTED_VALUE"""),9)</f>
        <v>9</v>
      </c>
      <c r="K312" s="1">
        <f ca="1">IFERROR(__xludf.DUMMYFUNCTION("""COMPUTED_VALUE"""),6)</f>
        <v>6</v>
      </c>
      <c r="L312" s="1">
        <f ca="1">IFERROR(__xludf.DUMMYFUNCTION("""COMPUTED_VALUE"""),3)</f>
        <v>3</v>
      </c>
      <c r="M312" s="1">
        <f ca="1">IFERROR(__xludf.DUMMYFUNCTION("""COMPUTED_VALUE"""),6)</f>
        <v>6</v>
      </c>
      <c r="N312" s="1">
        <f ca="1">IFERROR(__xludf.DUMMYFUNCTION("""COMPUTED_VALUE"""),1815)</f>
        <v>1815</v>
      </c>
      <c r="O312" s="1">
        <f ca="1">IFERROR(__xludf.DUMMYFUNCTION("""COMPUTED_VALUE"""),1805)</f>
        <v>1805</v>
      </c>
      <c r="P312" s="1">
        <f ca="1">IFERROR(__xludf.DUMMYFUNCTION("""COMPUTED_VALUE"""),1170)</f>
        <v>1170</v>
      </c>
      <c r="Q312" s="1">
        <f ca="1">IFERROR(__xludf.DUMMYFUNCTION("""COMPUTED_VALUE"""),628)</f>
        <v>628</v>
      </c>
      <c r="R312" s="1">
        <f ca="1">IFERROR(__xludf.DUMMYFUNCTION("""COMPUTED_VALUE"""),1540)</f>
        <v>1540</v>
      </c>
      <c r="S312" s="1">
        <f ca="1">IFERROR(__xludf.DUMMYFUNCTION("""COMPUTED_VALUE"""),0.408)</f>
        <v>0.40799999999999997</v>
      </c>
      <c r="T312" s="1">
        <f ca="1">IFERROR(__xludf.DUMMYFUNCTION("""COMPUTED_VALUE"""),183)</f>
        <v>183</v>
      </c>
      <c r="U312" s="1">
        <f ca="1">IFERROR(__xludf.DUMMYFUNCTION("""COMPUTED_VALUE"""),596)</f>
        <v>596</v>
      </c>
      <c r="V312" s="1">
        <f ca="1">IFERROR(__xludf.DUMMYFUNCTION("""COMPUTED_VALUE"""),0.307)</f>
        <v>0.307</v>
      </c>
      <c r="W312" s="1">
        <f ca="1">IFERROR(__xludf.DUMMYFUNCTION("""COMPUTED_VALUE"""),376)</f>
        <v>376</v>
      </c>
      <c r="X312" s="1">
        <f ca="1">IFERROR(__xludf.DUMMYFUNCTION("""COMPUTED_VALUE"""),578)</f>
        <v>578</v>
      </c>
      <c r="Y312" s="1">
        <f ca="1">IFERROR(__xludf.DUMMYFUNCTION("""COMPUTED_VALUE"""),0.651)</f>
        <v>0.65100000000000002</v>
      </c>
      <c r="Z312" s="1">
        <f ca="1">IFERROR(__xludf.DUMMYFUNCTION("""COMPUTED_VALUE"""),326)</f>
        <v>326</v>
      </c>
      <c r="AA312" s="1">
        <f ca="1">IFERROR(__xludf.DUMMYFUNCTION("""COMPUTED_VALUE"""),982)</f>
        <v>982</v>
      </c>
      <c r="AB312" s="1">
        <f ca="1">IFERROR(__xludf.DUMMYFUNCTION("""COMPUTED_VALUE"""),292)</f>
        <v>292</v>
      </c>
      <c r="AC312" s="1">
        <f ca="1">IFERROR(__xludf.DUMMYFUNCTION("""COMPUTED_VALUE"""),217)</f>
        <v>217</v>
      </c>
      <c r="AD312" s="1">
        <f ca="1">IFERROR(__xludf.DUMMYFUNCTION("""COMPUTED_VALUE"""),61)</f>
        <v>61</v>
      </c>
      <c r="AE312" s="1">
        <f ca="1">IFERROR(__xludf.DUMMYFUNCTION("""COMPUTED_VALUE"""),430)</f>
        <v>430</v>
      </c>
      <c r="AF312" s="1">
        <f ca="1">IFERROR(__xludf.DUMMYFUNCTION("""COMPUTED_VALUE"""),510)</f>
        <v>510</v>
      </c>
    </row>
    <row r="313" spans="1:32" x14ac:dyDescent="0.25">
      <c r="A313" s="1" t="str">
        <f ca="1">IFERROR(__xludf.DUMMYFUNCTION("""COMPUTED_VALUE"""),"Southeast Missouri State")</f>
        <v>Southeast Missouri State</v>
      </c>
      <c r="B313" s="1">
        <f ca="1">IFERROR(__xludf.DUMMYFUNCTION("""COMPUTED_VALUE"""),31)</f>
        <v>31</v>
      </c>
      <c r="C313" s="1">
        <f ca="1">IFERROR(__xludf.DUMMYFUNCTION("""COMPUTED_VALUE"""),7)</f>
        <v>7</v>
      </c>
      <c r="D313" s="1">
        <f ca="1">IFERROR(__xludf.DUMMYFUNCTION("""COMPUTED_VALUE"""),24)</f>
        <v>24</v>
      </c>
      <c r="E313" s="1">
        <f ca="1">IFERROR(__xludf.DUMMYFUNCTION("""COMPUTED_VALUE"""),0.226)</f>
        <v>0.22600000000000001</v>
      </c>
      <c r="F313" s="1">
        <f ca="1">IFERROR(__xludf.DUMMYFUNCTION("""COMPUTED_VALUE"""),-14.6)</f>
        <v>-14.6</v>
      </c>
      <c r="G313" s="1">
        <f ca="1">IFERROR(__xludf.DUMMYFUNCTION("""COMPUTED_VALUE"""),-5.32)</f>
        <v>-5.32</v>
      </c>
      <c r="H313" s="1">
        <f ca="1">IFERROR(__xludf.DUMMYFUNCTION("""COMPUTED_VALUE"""),3)</f>
        <v>3</v>
      </c>
      <c r="I313" s="1">
        <f ca="1">IFERROR(__xludf.DUMMYFUNCTION("""COMPUTED_VALUE"""),15)</f>
        <v>15</v>
      </c>
      <c r="J313" s="1">
        <f ca="1">IFERROR(__xludf.DUMMYFUNCTION("""COMPUTED_VALUE"""),6)</f>
        <v>6</v>
      </c>
      <c r="K313" s="1">
        <f ca="1">IFERROR(__xludf.DUMMYFUNCTION("""COMPUTED_VALUE"""),7)</f>
        <v>7</v>
      </c>
      <c r="L313" s="1">
        <f ca="1">IFERROR(__xludf.DUMMYFUNCTION("""COMPUTED_VALUE"""),0)</f>
        <v>0</v>
      </c>
      <c r="M313" s="1">
        <f ca="1">IFERROR(__xludf.DUMMYFUNCTION("""COMPUTED_VALUE"""),16)</f>
        <v>16</v>
      </c>
      <c r="N313" s="1">
        <f ca="1">IFERROR(__xludf.DUMMYFUNCTION("""COMPUTED_VALUE"""),2054)</f>
        <v>2054</v>
      </c>
      <c r="O313" s="1">
        <f ca="1">IFERROR(__xludf.DUMMYFUNCTION("""COMPUTED_VALUE"""),2307)</f>
        <v>2307</v>
      </c>
      <c r="P313" s="1">
        <f ca="1">IFERROR(__xludf.DUMMYFUNCTION("""COMPUTED_VALUE"""),1245)</f>
        <v>1245</v>
      </c>
      <c r="Q313" s="1">
        <f ca="1">IFERROR(__xludf.DUMMYFUNCTION("""COMPUTED_VALUE"""),720)</f>
        <v>720</v>
      </c>
      <c r="R313" s="1">
        <f ca="1">IFERROR(__xludf.DUMMYFUNCTION("""COMPUTED_VALUE"""),1727)</f>
        <v>1727</v>
      </c>
      <c r="S313" s="1">
        <f ca="1">IFERROR(__xludf.DUMMYFUNCTION("""COMPUTED_VALUE"""),0.417)</f>
        <v>0.41699999999999998</v>
      </c>
      <c r="T313" s="1">
        <f ca="1">IFERROR(__xludf.DUMMYFUNCTION("""COMPUTED_VALUE"""),191)</f>
        <v>191</v>
      </c>
      <c r="U313" s="1">
        <f ca="1">IFERROR(__xludf.DUMMYFUNCTION("""COMPUTED_VALUE"""),596)</f>
        <v>596</v>
      </c>
      <c r="V313" s="1">
        <f ca="1">IFERROR(__xludf.DUMMYFUNCTION("""COMPUTED_VALUE"""),0.32)</f>
        <v>0.32</v>
      </c>
      <c r="W313" s="1">
        <f ca="1">IFERROR(__xludf.DUMMYFUNCTION("""COMPUTED_VALUE"""),423)</f>
        <v>423</v>
      </c>
      <c r="X313" s="1">
        <f ca="1">IFERROR(__xludf.DUMMYFUNCTION("""COMPUTED_VALUE"""),612)</f>
        <v>612</v>
      </c>
      <c r="Y313" s="1">
        <f ca="1">IFERROR(__xludf.DUMMYFUNCTION("""COMPUTED_VALUE"""),0.691)</f>
        <v>0.69099999999999995</v>
      </c>
      <c r="Z313" s="1">
        <f ca="1">IFERROR(__xludf.DUMMYFUNCTION("""COMPUTED_VALUE"""),286)</f>
        <v>286</v>
      </c>
      <c r="AA313" s="1">
        <f ca="1">IFERROR(__xludf.DUMMYFUNCTION("""COMPUTED_VALUE"""),1027)</f>
        <v>1027</v>
      </c>
      <c r="AB313" s="1">
        <f ca="1">IFERROR(__xludf.DUMMYFUNCTION("""COMPUTED_VALUE"""),353)</f>
        <v>353</v>
      </c>
      <c r="AC313" s="1">
        <f ca="1">IFERROR(__xludf.DUMMYFUNCTION("""COMPUTED_VALUE"""),161)</f>
        <v>161</v>
      </c>
      <c r="AD313" s="1">
        <f ca="1">IFERROR(__xludf.DUMMYFUNCTION("""COMPUTED_VALUE"""),64)</f>
        <v>64</v>
      </c>
      <c r="AE313" s="1">
        <f ca="1">IFERROR(__xludf.DUMMYFUNCTION("""COMPUTED_VALUE"""),414)</f>
        <v>414</v>
      </c>
      <c r="AF313" s="1">
        <f ca="1">IFERROR(__xludf.DUMMYFUNCTION("""COMPUTED_VALUE"""),577)</f>
        <v>577</v>
      </c>
    </row>
    <row r="314" spans="1:32" x14ac:dyDescent="0.25">
      <c r="A314" s="1" t="str">
        <f ca="1">IFERROR(__xludf.DUMMYFUNCTION("""COMPUTED_VALUE"""),"Southeastern Louisiana")</f>
        <v>Southeastern Louisiana</v>
      </c>
      <c r="B314" s="1">
        <f ca="1">IFERROR(__xludf.DUMMYFUNCTION("""COMPUTED_VALUE"""),29)</f>
        <v>29</v>
      </c>
      <c r="C314" s="1">
        <f ca="1">IFERROR(__xludf.DUMMYFUNCTION("""COMPUTED_VALUE"""),7)</f>
        <v>7</v>
      </c>
      <c r="D314" s="1">
        <f ca="1">IFERROR(__xludf.DUMMYFUNCTION("""COMPUTED_VALUE"""),22)</f>
        <v>22</v>
      </c>
      <c r="E314" s="1">
        <f ca="1">IFERROR(__xludf.DUMMYFUNCTION("""COMPUTED_VALUE"""),0.241)</f>
        <v>0.24099999999999999</v>
      </c>
      <c r="F314" s="1">
        <f ca="1">IFERROR(__xludf.DUMMYFUNCTION("""COMPUTED_VALUE"""),-16.22)</f>
        <v>-16.22</v>
      </c>
      <c r="G314" s="1">
        <f ca="1">IFERROR(__xludf.DUMMYFUNCTION("""COMPUTED_VALUE"""),-5.26)</f>
        <v>-5.26</v>
      </c>
      <c r="H314" s="1">
        <f ca="1">IFERROR(__xludf.DUMMYFUNCTION("""COMPUTED_VALUE"""),4)</f>
        <v>4</v>
      </c>
      <c r="I314" s="1">
        <f ca="1">IFERROR(__xludf.DUMMYFUNCTION("""COMPUTED_VALUE"""),14)</f>
        <v>14</v>
      </c>
      <c r="J314" s="1">
        <f ca="1">IFERROR(__xludf.DUMMYFUNCTION("""COMPUTED_VALUE"""),5)</f>
        <v>5</v>
      </c>
      <c r="K314" s="1">
        <f ca="1">IFERROR(__xludf.DUMMYFUNCTION("""COMPUTED_VALUE"""),8)</f>
        <v>8</v>
      </c>
      <c r="L314" s="1">
        <f ca="1">IFERROR(__xludf.DUMMYFUNCTION("""COMPUTED_VALUE"""),2)</f>
        <v>2</v>
      </c>
      <c r="M314" s="1">
        <f ca="1">IFERROR(__xludf.DUMMYFUNCTION("""COMPUTED_VALUE"""),13)</f>
        <v>13</v>
      </c>
      <c r="N314" s="1">
        <f ca="1">IFERROR(__xludf.DUMMYFUNCTION("""COMPUTED_VALUE"""),2019)</f>
        <v>2019</v>
      </c>
      <c r="O314" s="1">
        <f ca="1">IFERROR(__xludf.DUMMYFUNCTION("""COMPUTED_VALUE"""),2285)</f>
        <v>2285</v>
      </c>
      <c r="P314" s="1">
        <f ca="1">IFERROR(__xludf.DUMMYFUNCTION("""COMPUTED_VALUE"""),1175)</f>
        <v>1175</v>
      </c>
      <c r="Q314" s="1">
        <f ca="1">IFERROR(__xludf.DUMMYFUNCTION("""COMPUTED_VALUE"""),732)</f>
        <v>732</v>
      </c>
      <c r="R314" s="1">
        <f ca="1">IFERROR(__xludf.DUMMYFUNCTION("""COMPUTED_VALUE"""),1753)</f>
        <v>1753</v>
      </c>
      <c r="S314" s="1">
        <f ca="1">IFERROR(__xludf.DUMMYFUNCTION("""COMPUTED_VALUE"""),0.418)</f>
        <v>0.41799999999999998</v>
      </c>
      <c r="T314" s="1">
        <f ca="1">IFERROR(__xludf.DUMMYFUNCTION("""COMPUTED_VALUE"""),187)</f>
        <v>187</v>
      </c>
      <c r="U314" s="1">
        <f ca="1">IFERROR(__xludf.DUMMYFUNCTION("""COMPUTED_VALUE"""),625)</f>
        <v>625</v>
      </c>
      <c r="V314" s="1">
        <f ca="1">IFERROR(__xludf.DUMMYFUNCTION("""COMPUTED_VALUE"""),0.299)</f>
        <v>0.29899999999999999</v>
      </c>
      <c r="W314" s="1">
        <f ca="1">IFERROR(__xludf.DUMMYFUNCTION("""COMPUTED_VALUE"""),368)</f>
        <v>368</v>
      </c>
      <c r="X314" s="1">
        <f ca="1">IFERROR(__xludf.DUMMYFUNCTION("""COMPUTED_VALUE"""),550)</f>
        <v>550</v>
      </c>
      <c r="Y314" s="1">
        <f ca="1">IFERROR(__xludf.DUMMYFUNCTION("""COMPUTED_VALUE"""),0.669)</f>
        <v>0.66900000000000004</v>
      </c>
      <c r="Z314" s="1">
        <f ca="1">IFERROR(__xludf.DUMMYFUNCTION("""COMPUTED_VALUE"""),314)</f>
        <v>314</v>
      </c>
      <c r="AA314" s="1">
        <f ca="1">IFERROR(__xludf.DUMMYFUNCTION("""COMPUTED_VALUE"""),940)</f>
        <v>940</v>
      </c>
      <c r="AB314" s="1">
        <f ca="1">IFERROR(__xludf.DUMMYFUNCTION("""COMPUTED_VALUE"""),363)</f>
        <v>363</v>
      </c>
      <c r="AC314" s="1">
        <f ca="1">IFERROR(__xludf.DUMMYFUNCTION("""COMPUTED_VALUE"""),225)</f>
        <v>225</v>
      </c>
      <c r="AD314" s="1">
        <f ca="1">IFERROR(__xludf.DUMMYFUNCTION("""COMPUTED_VALUE"""),51)</f>
        <v>51</v>
      </c>
      <c r="AE314" s="1">
        <f ca="1">IFERROR(__xludf.DUMMYFUNCTION("""COMPUTED_VALUE"""),482)</f>
        <v>482</v>
      </c>
      <c r="AF314" s="1">
        <f ca="1">IFERROR(__xludf.DUMMYFUNCTION("""COMPUTED_VALUE"""),610)</f>
        <v>610</v>
      </c>
    </row>
    <row r="315" spans="1:32" x14ac:dyDescent="0.25">
      <c r="A315" s="1" t="str">
        <f ca="1">IFERROR(__xludf.DUMMYFUNCTION("""COMPUTED_VALUE"""),"Southern California")</f>
        <v>Southern California</v>
      </c>
      <c r="B315" s="1">
        <f ca="1">IFERROR(__xludf.DUMMYFUNCTION("""COMPUTED_VALUE"""),30)</f>
        <v>30</v>
      </c>
      <c r="C315" s="1">
        <f ca="1">IFERROR(__xludf.DUMMYFUNCTION("""COMPUTED_VALUE"""),21)</f>
        <v>21</v>
      </c>
      <c r="D315" s="1">
        <f ca="1">IFERROR(__xludf.DUMMYFUNCTION("""COMPUTED_VALUE"""),9)</f>
        <v>9</v>
      </c>
      <c r="E315" s="1">
        <f ca="1">IFERROR(__xludf.DUMMYFUNCTION("""COMPUTED_VALUE"""),0.7)</f>
        <v>0.7</v>
      </c>
      <c r="F315" s="1">
        <f ca="1">IFERROR(__xludf.DUMMYFUNCTION("""COMPUTED_VALUE"""),11.64)</f>
        <v>11.64</v>
      </c>
      <c r="G315" s="1">
        <f ca="1">IFERROR(__xludf.DUMMYFUNCTION("""COMPUTED_VALUE"""),7.28)</f>
        <v>7.28</v>
      </c>
      <c r="H315" s="1">
        <f ca="1">IFERROR(__xludf.DUMMYFUNCTION("""COMPUTED_VALUE"""),10)</f>
        <v>10</v>
      </c>
      <c r="I315" s="1">
        <f ca="1">IFERROR(__xludf.DUMMYFUNCTION("""COMPUTED_VALUE"""),7)</f>
        <v>7</v>
      </c>
      <c r="J315" s="1">
        <f ca="1">IFERROR(__xludf.DUMMYFUNCTION("""COMPUTED_VALUE"""),13)</f>
        <v>13</v>
      </c>
      <c r="K315" s="1">
        <f ca="1">IFERROR(__xludf.DUMMYFUNCTION("""COMPUTED_VALUE"""),2)</f>
        <v>2</v>
      </c>
      <c r="L315" s="1">
        <f ca="1">IFERROR(__xludf.DUMMYFUNCTION("""COMPUTED_VALUE"""),5)</f>
        <v>5</v>
      </c>
      <c r="M315" s="1">
        <f ca="1">IFERROR(__xludf.DUMMYFUNCTION("""COMPUTED_VALUE"""),6)</f>
        <v>6</v>
      </c>
      <c r="N315" s="1">
        <f ca="1">IFERROR(__xludf.DUMMYFUNCTION("""COMPUTED_VALUE"""),2125)</f>
        <v>2125</v>
      </c>
      <c r="O315" s="1">
        <f ca="1">IFERROR(__xludf.DUMMYFUNCTION("""COMPUTED_VALUE"""),1994)</f>
        <v>1994</v>
      </c>
      <c r="P315" s="1">
        <f ca="1">IFERROR(__xludf.DUMMYFUNCTION("""COMPUTED_VALUE"""),1215)</f>
        <v>1215</v>
      </c>
      <c r="Q315" s="1">
        <f ca="1">IFERROR(__xludf.DUMMYFUNCTION("""COMPUTED_VALUE"""),760)</f>
        <v>760</v>
      </c>
      <c r="R315" s="1">
        <f ca="1">IFERROR(__xludf.DUMMYFUNCTION("""COMPUTED_VALUE"""),1729)</f>
        <v>1729</v>
      </c>
      <c r="S315" s="1">
        <f ca="1">IFERROR(__xludf.DUMMYFUNCTION("""COMPUTED_VALUE"""),0.44)</f>
        <v>0.44</v>
      </c>
      <c r="T315" s="1">
        <f ca="1">IFERROR(__xludf.DUMMYFUNCTION("""COMPUTED_VALUE"""),193)</f>
        <v>193</v>
      </c>
      <c r="U315" s="1">
        <f ca="1">IFERROR(__xludf.DUMMYFUNCTION("""COMPUTED_VALUE"""),554)</f>
        <v>554</v>
      </c>
      <c r="V315" s="1">
        <f ca="1">IFERROR(__xludf.DUMMYFUNCTION("""COMPUTED_VALUE"""),0.348)</f>
        <v>0.34799999999999998</v>
      </c>
      <c r="W315" s="1">
        <f ca="1">IFERROR(__xludf.DUMMYFUNCTION("""COMPUTED_VALUE"""),412)</f>
        <v>412</v>
      </c>
      <c r="X315" s="1">
        <f ca="1">IFERROR(__xludf.DUMMYFUNCTION("""COMPUTED_VALUE"""),618)</f>
        <v>618</v>
      </c>
      <c r="Y315" s="1">
        <f ca="1">IFERROR(__xludf.DUMMYFUNCTION("""COMPUTED_VALUE"""),0.667)</f>
        <v>0.66700000000000004</v>
      </c>
      <c r="Z315" s="1">
        <f ca="1">IFERROR(__xludf.DUMMYFUNCTION("""COMPUTED_VALUE"""),325)</f>
        <v>325</v>
      </c>
      <c r="AA315" s="1">
        <f ca="1">IFERROR(__xludf.DUMMYFUNCTION("""COMPUTED_VALUE"""),1160)</f>
        <v>1160</v>
      </c>
      <c r="AB315" s="1">
        <f ca="1">IFERROR(__xludf.DUMMYFUNCTION("""COMPUTED_VALUE"""),417)</f>
        <v>417</v>
      </c>
      <c r="AC315" s="1">
        <f ca="1">IFERROR(__xludf.DUMMYFUNCTION("""COMPUTED_VALUE"""),202)</f>
        <v>202</v>
      </c>
      <c r="AD315" s="1">
        <f ca="1">IFERROR(__xludf.DUMMYFUNCTION("""COMPUTED_VALUE"""),149)</f>
        <v>149</v>
      </c>
      <c r="AE315" s="1">
        <f ca="1">IFERROR(__xludf.DUMMYFUNCTION("""COMPUTED_VALUE"""),437)</f>
        <v>437</v>
      </c>
      <c r="AF315" s="1">
        <f ca="1">IFERROR(__xludf.DUMMYFUNCTION("""COMPUTED_VALUE"""),505)</f>
        <v>505</v>
      </c>
    </row>
    <row r="316" spans="1:32" x14ac:dyDescent="0.25">
      <c r="A316" s="1" t="str">
        <f ca="1">IFERROR(__xludf.DUMMYFUNCTION("""COMPUTED_VALUE"""),"SIU Edwardsville")</f>
        <v>SIU Edwardsville</v>
      </c>
      <c r="B316" s="1">
        <f ca="1">IFERROR(__xludf.DUMMYFUNCTION("""COMPUTED_VALUE"""),31)</f>
        <v>31</v>
      </c>
      <c r="C316" s="1">
        <f ca="1">IFERROR(__xludf.DUMMYFUNCTION("""COMPUTED_VALUE"""),8)</f>
        <v>8</v>
      </c>
      <c r="D316" s="1">
        <f ca="1">IFERROR(__xludf.DUMMYFUNCTION("""COMPUTED_VALUE"""),23)</f>
        <v>23</v>
      </c>
      <c r="E316" s="1">
        <f ca="1">IFERROR(__xludf.DUMMYFUNCTION("""COMPUTED_VALUE"""),0.258)</f>
        <v>0.25800000000000001</v>
      </c>
      <c r="F316" s="1">
        <f ca="1">IFERROR(__xludf.DUMMYFUNCTION("""COMPUTED_VALUE"""),-14.14)</f>
        <v>-14.14</v>
      </c>
      <c r="G316" s="1">
        <f ca="1">IFERROR(__xludf.DUMMYFUNCTION("""COMPUTED_VALUE"""),-5.7)</f>
        <v>-5.7</v>
      </c>
      <c r="H316" s="1">
        <f ca="1">IFERROR(__xludf.DUMMYFUNCTION("""COMPUTED_VALUE"""),5)</f>
        <v>5</v>
      </c>
      <c r="I316" s="1">
        <f ca="1">IFERROR(__xludf.DUMMYFUNCTION("""COMPUTED_VALUE"""),13)</f>
        <v>13</v>
      </c>
      <c r="J316" s="1">
        <f ca="1">IFERROR(__xludf.DUMMYFUNCTION("""COMPUTED_VALUE"""),4)</f>
        <v>4</v>
      </c>
      <c r="K316" s="1">
        <f ca="1">IFERROR(__xludf.DUMMYFUNCTION("""COMPUTED_VALUE"""),10)</f>
        <v>10</v>
      </c>
      <c r="L316" s="1">
        <f ca="1">IFERROR(__xludf.DUMMYFUNCTION("""COMPUTED_VALUE"""),4)</f>
        <v>4</v>
      </c>
      <c r="M316" s="1">
        <f ca="1">IFERROR(__xludf.DUMMYFUNCTION("""COMPUTED_VALUE"""),13)</f>
        <v>13</v>
      </c>
      <c r="N316" s="1">
        <f ca="1">IFERROR(__xludf.DUMMYFUNCTION("""COMPUTED_VALUE"""),2073)</f>
        <v>2073</v>
      </c>
      <c r="O316" s="1">
        <f ca="1">IFERROR(__xludf.DUMMYFUNCTION("""COMPUTED_VALUE"""),2261)</f>
        <v>2261</v>
      </c>
      <c r="P316" s="1">
        <f ca="1">IFERROR(__xludf.DUMMYFUNCTION("""COMPUTED_VALUE"""),1240)</f>
        <v>1240</v>
      </c>
      <c r="Q316" s="1">
        <f ca="1">IFERROR(__xludf.DUMMYFUNCTION("""COMPUTED_VALUE"""),769)</f>
        <v>769</v>
      </c>
      <c r="R316" s="1">
        <f ca="1">IFERROR(__xludf.DUMMYFUNCTION("""COMPUTED_VALUE"""),1801)</f>
        <v>1801</v>
      </c>
      <c r="S316" s="1">
        <f ca="1">IFERROR(__xludf.DUMMYFUNCTION("""COMPUTED_VALUE"""),0.427)</f>
        <v>0.42699999999999999</v>
      </c>
      <c r="T316" s="1">
        <f ca="1">IFERROR(__xludf.DUMMYFUNCTION("""COMPUTED_VALUE"""),176)</f>
        <v>176</v>
      </c>
      <c r="U316" s="1">
        <f ca="1">IFERROR(__xludf.DUMMYFUNCTION("""COMPUTED_VALUE"""),562)</f>
        <v>562</v>
      </c>
      <c r="V316" s="1">
        <f ca="1">IFERROR(__xludf.DUMMYFUNCTION("""COMPUTED_VALUE"""),0.313)</f>
        <v>0.313</v>
      </c>
      <c r="W316" s="1">
        <f ca="1">IFERROR(__xludf.DUMMYFUNCTION("""COMPUTED_VALUE"""),359)</f>
        <v>359</v>
      </c>
      <c r="X316" s="1">
        <f ca="1">IFERROR(__xludf.DUMMYFUNCTION("""COMPUTED_VALUE"""),526)</f>
        <v>526</v>
      </c>
      <c r="Y316" s="1">
        <f ca="1">IFERROR(__xludf.DUMMYFUNCTION("""COMPUTED_VALUE"""),0.683)</f>
        <v>0.68300000000000005</v>
      </c>
      <c r="Z316" s="1">
        <f ca="1">IFERROR(__xludf.DUMMYFUNCTION("""COMPUTED_VALUE"""),305)</f>
        <v>305</v>
      </c>
      <c r="AA316" s="1">
        <f ca="1">IFERROR(__xludf.DUMMYFUNCTION("""COMPUTED_VALUE"""),1063)</f>
        <v>1063</v>
      </c>
      <c r="AB316" s="1">
        <f ca="1">IFERROR(__xludf.DUMMYFUNCTION("""COMPUTED_VALUE"""),428)</f>
        <v>428</v>
      </c>
      <c r="AC316" s="1">
        <f ca="1">IFERROR(__xludf.DUMMYFUNCTION("""COMPUTED_VALUE"""),177)</f>
        <v>177</v>
      </c>
      <c r="AD316" s="1">
        <f ca="1">IFERROR(__xludf.DUMMYFUNCTION("""COMPUTED_VALUE"""),91)</f>
        <v>91</v>
      </c>
      <c r="AE316" s="1">
        <f ca="1">IFERROR(__xludf.DUMMYFUNCTION("""COMPUTED_VALUE"""),436)</f>
        <v>436</v>
      </c>
      <c r="AF316" s="1">
        <f ca="1">IFERROR(__xludf.DUMMYFUNCTION("""COMPUTED_VALUE"""),607)</f>
        <v>607</v>
      </c>
    </row>
    <row r="317" spans="1:32" x14ac:dyDescent="0.25">
      <c r="A317" s="1" t="str">
        <f ca="1">IFERROR(__xludf.DUMMYFUNCTION("""COMPUTED_VALUE"""),"Southern Illinois")</f>
        <v>Southern Illinois</v>
      </c>
      <c r="B317" s="1">
        <f ca="1">IFERROR(__xludf.DUMMYFUNCTION("""COMPUTED_VALUE"""),31)</f>
        <v>31</v>
      </c>
      <c r="C317" s="1">
        <f ca="1">IFERROR(__xludf.DUMMYFUNCTION("""COMPUTED_VALUE"""),16)</f>
        <v>16</v>
      </c>
      <c r="D317" s="1">
        <f ca="1">IFERROR(__xludf.DUMMYFUNCTION("""COMPUTED_VALUE"""),15)</f>
        <v>15</v>
      </c>
      <c r="E317" s="1">
        <f ca="1">IFERROR(__xludf.DUMMYFUNCTION("""COMPUTED_VALUE"""),0.516)</f>
        <v>0.51600000000000001</v>
      </c>
      <c r="F317" s="1">
        <f ca="1">IFERROR(__xludf.DUMMYFUNCTION("""COMPUTED_VALUE"""),-0.27)</f>
        <v>-0.27</v>
      </c>
      <c r="G317" s="1">
        <f ca="1">IFERROR(__xludf.DUMMYFUNCTION("""COMPUTED_VALUE"""),0.13)</f>
        <v>0.13</v>
      </c>
      <c r="H317" s="1">
        <f ca="1">IFERROR(__xludf.DUMMYFUNCTION("""COMPUTED_VALUE"""),10)</f>
        <v>10</v>
      </c>
      <c r="I317" s="1">
        <f ca="1">IFERROR(__xludf.DUMMYFUNCTION("""COMPUTED_VALUE"""),8)</f>
        <v>8</v>
      </c>
      <c r="J317" s="1">
        <f ca="1">IFERROR(__xludf.DUMMYFUNCTION("""COMPUTED_VALUE"""),12)</f>
        <v>12</v>
      </c>
      <c r="K317" s="1">
        <f ca="1">IFERROR(__xludf.DUMMYFUNCTION("""COMPUTED_VALUE"""),3)</f>
        <v>3</v>
      </c>
      <c r="L317" s="1">
        <f ca="1">IFERROR(__xludf.DUMMYFUNCTION("""COMPUTED_VALUE"""),3)</f>
        <v>3</v>
      </c>
      <c r="M317" s="1">
        <f ca="1">IFERROR(__xludf.DUMMYFUNCTION("""COMPUTED_VALUE"""),10)</f>
        <v>10</v>
      </c>
      <c r="N317" s="1">
        <f ca="1">IFERROR(__xludf.DUMMYFUNCTION("""COMPUTED_VALUE"""),1943)</f>
        <v>1943</v>
      </c>
      <c r="O317" s="1">
        <f ca="1">IFERROR(__xludf.DUMMYFUNCTION("""COMPUTED_VALUE"""),1927)</f>
        <v>1927</v>
      </c>
      <c r="P317" s="1">
        <f ca="1">IFERROR(__xludf.DUMMYFUNCTION("""COMPUTED_VALUE"""),1245)</f>
        <v>1245</v>
      </c>
      <c r="Q317" s="1">
        <f ca="1">IFERROR(__xludf.DUMMYFUNCTION("""COMPUTED_VALUE"""),672)</f>
        <v>672</v>
      </c>
      <c r="R317" s="1">
        <f ca="1">IFERROR(__xludf.DUMMYFUNCTION("""COMPUTED_VALUE"""),1567)</f>
        <v>1567</v>
      </c>
      <c r="S317" s="1">
        <f ca="1">IFERROR(__xludf.DUMMYFUNCTION("""COMPUTED_VALUE"""),0.429)</f>
        <v>0.42899999999999999</v>
      </c>
      <c r="T317" s="1">
        <f ca="1">IFERROR(__xludf.DUMMYFUNCTION("""COMPUTED_VALUE"""),217)</f>
        <v>217</v>
      </c>
      <c r="U317" s="1">
        <f ca="1">IFERROR(__xludf.DUMMYFUNCTION("""COMPUTED_VALUE"""),649)</f>
        <v>649</v>
      </c>
      <c r="V317" s="1">
        <f ca="1">IFERROR(__xludf.DUMMYFUNCTION("""COMPUTED_VALUE"""),0.334)</f>
        <v>0.33400000000000002</v>
      </c>
      <c r="W317" s="1">
        <f ca="1">IFERROR(__xludf.DUMMYFUNCTION("""COMPUTED_VALUE"""),382)</f>
        <v>382</v>
      </c>
      <c r="X317" s="1">
        <f ca="1">IFERROR(__xludf.DUMMYFUNCTION("""COMPUTED_VALUE"""),526)</f>
        <v>526</v>
      </c>
      <c r="Y317" s="1">
        <f ca="1">IFERROR(__xludf.DUMMYFUNCTION("""COMPUTED_VALUE"""),0.726)</f>
        <v>0.72599999999999998</v>
      </c>
      <c r="Z317" s="1">
        <f ca="1">IFERROR(__xludf.DUMMYFUNCTION("""COMPUTED_VALUE"""),202)</f>
        <v>202</v>
      </c>
      <c r="AA317" s="1">
        <f ca="1">IFERROR(__xludf.DUMMYFUNCTION("""COMPUTED_VALUE"""),926)</f>
        <v>926</v>
      </c>
      <c r="AB317" s="1">
        <f ca="1">IFERROR(__xludf.DUMMYFUNCTION("""COMPUTED_VALUE"""),357)</f>
        <v>357</v>
      </c>
      <c r="AC317" s="1">
        <f ca="1">IFERROR(__xludf.DUMMYFUNCTION("""COMPUTED_VALUE"""),204)</f>
        <v>204</v>
      </c>
      <c r="AD317" s="1">
        <f ca="1">IFERROR(__xludf.DUMMYFUNCTION("""COMPUTED_VALUE"""),61)</f>
        <v>61</v>
      </c>
      <c r="AE317" s="1">
        <f ca="1">IFERROR(__xludf.DUMMYFUNCTION("""COMPUTED_VALUE"""),387)</f>
        <v>387</v>
      </c>
      <c r="AF317" s="1">
        <f ca="1">IFERROR(__xludf.DUMMYFUNCTION("""COMPUTED_VALUE"""),452)</f>
        <v>452</v>
      </c>
    </row>
    <row r="318" spans="1:32" x14ac:dyDescent="0.25">
      <c r="A318" s="1" t="str">
        <f ca="1">IFERROR(__xludf.DUMMYFUNCTION("""COMPUTED_VALUE"""),"Southern Methodist")</f>
        <v>Southern Methodist</v>
      </c>
      <c r="B318" s="1">
        <f ca="1">IFERROR(__xludf.DUMMYFUNCTION("""COMPUTED_VALUE"""),28)</f>
        <v>28</v>
      </c>
      <c r="C318" s="1">
        <f ca="1">IFERROR(__xludf.DUMMYFUNCTION("""COMPUTED_VALUE"""),19)</f>
        <v>19</v>
      </c>
      <c r="D318" s="1">
        <f ca="1">IFERROR(__xludf.DUMMYFUNCTION("""COMPUTED_VALUE"""),9)</f>
        <v>9</v>
      </c>
      <c r="E318" s="1">
        <f ca="1">IFERROR(__xludf.DUMMYFUNCTION("""COMPUTED_VALUE"""),0.679)</f>
        <v>0.67900000000000005</v>
      </c>
      <c r="F318" s="1">
        <f ca="1">IFERROR(__xludf.DUMMYFUNCTION("""COMPUTED_VALUE"""),8.28)</f>
        <v>8.2799999999999994</v>
      </c>
      <c r="G318" s="1">
        <f ca="1">IFERROR(__xludf.DUMMYFUNCTION("""COMPUTED_VALUE"""),3.35)</f>
        <v>3.35</v>
      </c>
      <c r="H318" s="1">
        <f ca="1">IFERROR(__xludf.DUMMYFUNCTION("""COMPUTED_VALUE"""),9)</f>
        <v>9</v>
      </c>
      <c r="I318" s="1">
        <f ca="1">IFERROR(__xludf.DUMMYFUNCTION("""COMPUTED_VALUE"""),7)</f>
        <v>7</v>
      </c>
      <c r="J318" s="1">
        <f ca="1">IFERROR(__xludf.DUMMYFUNCTION("""COMPUTED_VALUE"""),15)</f>
        <v>15</v>
      </c>
      <c r="K318" s="1">
        <f ca="1">IFERROR(__xludf.DUMMYFUNCTION("""COMPUTED_VALUE"""),2)</f>
        <v>2</v>
      </c>
      <c r="L318" s="1">
        <f ca="1">IFERROR(__xludf.DUMMYFUNCTION("""COMPUTED_VALUE"""),4)</f>
        <v>4</v>
      </c>
      <c r="M318" s="1">
        <f ca="1">IFERROR(__xludf.DUMMYFUNCTION("""COMPUTED_VALUE"""),7)</f>
        <v>7</v>
      </c>
      <c r="N318" s="1">
        <f ca="1">IFERROR(__xludf.DUMMYFUNCTION("""COMPUTED_VALUE"""),2070)</f>
        <v>2070</v>
      </c>
      <c r="O318" s="1">
        <f ca="1">IFERROR(__xludf.DUMMYFUNCTION("""COMPUTED_VALUE"""),1932)</f>
        <v>1932</v>
      </c>
      <c r="P318" s="1">
        <f ca="1">IFERROR(__xludf.DUMMYFUNCTION("""COMPUTED_VALUE"""),1145)</f>
        <v>1145</v>
      </c>
      <c r="Q318" s="1">
        <f ca="1">IFERROR(__xludf.DUMMYFUNCTION("""COMPUTED_VALUE"""),732)</f>
        <v>732</v>
      </c>
      <c r="R318" s="1">
        <f ca="1">IFERROR(__xludf.DUMMYFUNCTION("""COMPUTED_VALUE"""),1612)</f>
        <v>1612</v>
      </c>
      <c r="S318" s="1">
        <f ca="1">IFERROR(__xludf.DUMMYFUNCTION("""COMPUTED_VALUE"""),0.454)</f>
        <v>0.45400000000000001</v>
      </c>
      <c r="T318" s="1">
        <f ca="1">IFERROR(__xludf.DUMMYFUNCTION("""COMPUTED_VALUE"""),225)</f>
        <v>225</v>
      </c>
      <c r="U318" s="1">
        <f ca="1">IFERROR(__xludf.DUMMYFUNCTION("""COMPUTED_VALUE"""),686)</f>
        <v>686</v>
      </c>
      <c r="V318" s="1">
        <f ca="1">IFERROR(__xludf.DUMMYFUNCTION("""COMPUTED_VALUE"""),0.328)</f>
        <v>0.32800000000000001</v>
      </c>
      <c r="W318" s="1">
        <f ca="1">IFERROR(__xludf.DUMMYFUNCTION("""COMPUTED_VALUE"""),381)</f>
        <v>381</v>
      </c>
      <c r="X318" s="1">
        <f ca="1">IFERROR(__xludf.DUMMYFUNCTION("""COMPUTED_VALUE"""),497)</f>
        <v>497</v>
      </c>
      <c r="Y318" s="1">
        <f ca="1">IFERROR(__xludf.DUMMYFUNCTION("""COMPUTED_VALUE"""),0.767)</f>
        <v>0.76700000000000002</v>
      </c>
      <c r="Z318" s="1">
        <f ca="1">IFERROR(__xludf.DUMMYFUNCTION("""COMPUTED_VALUE"""),324)</f>
        <v>324</v>
      </c>
      <c r="AA318" s="1">
        <f ca="1">IFERROR(__xludf.DUMMYFUNCTION("""COMPUTED_VALUE"""),1026)</f>
        <v>1026</v>
      </c>
      <c r="AB318" s="1">
        <f ca="1">IFERROR(__xludf.DUMMYFUNCTION("""COMPUTED_VALUE"""),443)</f>
        <v>443</v>
      </c>
      <c r="AC318" s="1">
        <f ca="1">IFERROR(__xludf.DUMMYFUNCTION("""COMPUTED_VALUE"""),165)</f>
        <v>165</v>
      </c>
      <c r="AD318" s="1">
        <f ca="1">IFERROR(__xludf.DUMMYFUNCTION("""COMPUTED_VALUE"""),90)</f>
        <v>90</v>
      </c>
      <c r="AE318" s="1">
        <f ca="1">IFERROR(__xludf.DUMMYFUNCTION("""COMPUTED_VALUE"""),369)</f>
        <v>369</v>
      </c>
      <c r="AF318" s="1">
        <f ca="1">IFERROR(__xludf.DUMMYFUNCTION("""COMPUTED_VALUE"""),450)</f>
        <v>450</v>
      </c>
    </row>
    <row r="319" spans="1:32" x14ac:dyDescent="0.25">
      <c r="A319" s="1" t="str">
        <f ca="1">IFERROR(__xludf.DUMMYFUNCTION("""COMPUTED_VALUE"""),"Southern Mississippi")</f>
        <v>Southern Mississippi</v>
      </c>
      <c r="B319" s="1">
        <f ca="1">IFERROR(__xludf.DUMMYFUNCTION("""COMPUTED_VALUE"""),29)</f>
        <v>29</v>
      </c>
      <c r="C319" s="1">
        <f ca="1">IFERROR(__xludf.DUMMYFUNCTION("""COMPUTED_VALUE"""),9)</f>
        <v>9</v>
      </c>
      <c r="D319" s="1">
        <f ca="1">IFERROR(__xludf.DUMMYFUNCTION("""COMPUTED_VALUE"""),20)</f>
        <v>20</v>
      </c>
      <c r="E319" s="1">
        <f ca="1">IFERROR(__xludf.DUMMYFUNCTION("""COMPUTED_VALUE"""),0.31)</f>
        <v>0.31</v>
      </c>
      <c r="F319" s="1">
        <f ca="1">IFERROR(__xludf.DUMMYFUNCTION("""COMPUTED_VALUE"""),-5.89)</f>
        <v>-5.89</v>
      </c>
      <c r="G319" s="1">
        <f ca="1">IFERROR(__xludf.DUMMYFUNCTION("""COMPUTED_VALUE"""),3.11)</f>
        <v>3.11</v>
      </c>
      <c r="H319" s="1">
        <f ca="1">IFERROR(__xludf.DUMMYFUNCTION("""COMPUTED_VALUE"""),5)</f>
        <v>5</v>
      </c>
      <c r="I319" s="1">
        <f ca="1">IFERROR(__xludf.DUMMYFUNCTION("""COMPUTED_VALUE"""),11)</f>
        <v>11</v>
      </c>
      <c r="J319" s="1">
        <f ca="1">IFERROR(__xludf.DUMMYFUNCTION("""COMPUTED_VALUE"""),8)</f>
        <v>8</v>
      </c>
      <c r="K319" s="1">
        <f ca="1">IFERROR(__xludf.DUMMYFUNCTION("""COMPUTED_VALUE"""),6)</f>
        <v>6</v>
      </c>
      <c r="L319" s="1">
        <f ca="1">IFERROR(__xludf.DUMMYFUNCTION("""COMPUTED_VALUE"""),1)</f>
        <v>1</v>
      </c>
      <c r="M319" s="1">
        <f ca="1">IFERROR(__xludf.DUMMYFUNCTION("""COMPUTED_VALUE"""),11)</f>
        <v>11</v>
      </c>
      <c r="N319" s="1">
        <f ca="1">IFERROR(__xludf.DUMMYFUNCTION("""COMPUTED_VALUE"""),1928)</f>
        <v>1928</v>
      </c>
      <c r="O319" s="1">
        <f ca="1">IFERROR(__xludf.DUMMYFUNCTION("""COMPUTED_VALUE"""),2105)</f>
        <v>2105</v>
      </c>
      <c r="P319" s="1">
        <f ca="1">IFERROR(__xludf.DUMMYFUNCTION("""COMPUTED_VALUE"""),1165)</f>
        <v>1165</v>
      </c>
      <c r="Q319" s="1">
        <f ca="1">IFERROR(__xludf.DUMMYFUNCTION("""COMPUTED_VALUE"""),738)</f>
        <v>738</v>
      </c>
      <c r="R319" s="1">
        <f ca="1">IFERROR(__xludf.DUMMYFUNCTION("""COMPUTED_VALUE"""),1655)</f>
        <v>1655</v>
      </c>
      <c r="S319" s="1">
        <f ca="1">IFERROR(__xludf.DUMMYFUNCTION("""COMPUTED_VALUE"""),0.446)</f>
        <v>0.44600000000000001</v>
      </c>
      <c r="T319" s="1">
        <f ca="1">IFERROR(__xludf.DUMMYFUNCTION("""COMPUTED_VALUE"""),154)</f>
        <v>154</v>
      </c>
      <c r="U319" s="1">
        <f ca="1">IFERROR(__xludf.DUMMYFUNCTION("""COMPUTED_VALUE"""),492)</f>
        <v>492</v>
      </c>
      <c r="V319" s="1">
        <f ca="1">IFERROR(__xludf.DUMMYFUNCTION("""COMPUTED_VALUE"""),0.313)</f>
        <v>0.313</v>
      </c>
      <c r="W319" s="1">
        <f ca="1">IFERROR(__xludf.DUMMYFUNCTION("""COMPUTED_VALUE"""),298)</f>
        <v>298</v>
      </c>
      <c r="X319" s="1">
        <f ca="1">IFERROR(__xludf.DUMMYFUNCTION("""COMPUTED_VALUE"""),405)</f>
        <v>405</v>
      </c>
      <c r="Y319" s="1">
        <f ca="1">IFERROR(__xludf.DUMMYFUNCTION("""COMPUTED_VALUE"""),0.736)</f>
        <v>0.73599999999999999</v>
      </c>
      <c r="Z319" s="1">
        <f ca="1">IFERROR(__xludf.DUMMYFUNCTION("""COMPUTED_VALUE"""),278)</f>
        <v>278</v>
      </c>
      <c r="AA319" s="1">
        <f ca="1">IFERROR(__xludf.DUMMYFUNCTION("""COMPUTED_VALUE"""),1023)</f>
        <v>1023</v>
      </c>
      <c r="AB319" s="1">
        <f ca="1">IFERROR(__xludf.DUMMYFUNCTION("""COMPUTED_VALUE"""),419)</f>
        <v>419</v>
      </c>
      <c r="AC319" s="1">
        <f ca="1">IFERROR(__xludf.DUMMYFUNCTION("""COMPUTED_VALUE"""),167)</f>
        <v>167</v>
      </c>
      <c r="AD319" s="1">
        <f ca="1">IFERROR(__xludf.DUMMYFUNCTION("""COMPUTED_VALUE"""),73)</f>
        <v>73</v>
      </c>
      <c r="AE319" s="1">
        <f ca="1">IFERROR(__xludf.DUMMYFUNCTION("""COMPUTED_VALUE"""),428)</f>
        <v>428</v>
      </c>
      <c r="AF319" s="1">
        <f ca="1">IFERROR(__xludf.DUMMYFUNCTION("""COMPUTED_VALUE"""),459)</f>
        <v>459</v>
      </c>
    </row>
    <row r="320" spans="1:32" x14ac:dyDescent="0.25">
      <c r="A320" s="1" t="str">
        <f ca="1">IFERROR(__xludf.DUMMYFUNCTION("""COMPUTED_VALUE"""),"Southern Utah")</f>
        <v>Southern Utah</v>
      </c>
      <c r="B320" s="1">
        <f ca="1">IFERROR(__xludf.DUMMYFUNCTION("""COMPUTED_VALUE"""),29)</f>
        <v>29</v>
      </c>
      <c r="C320" s="1">
        <f ca="1">IFERROR(__xludf.DUMMYFUNCTION("""COMPUTED_VALUE"""),15)</f>
        <v>15</v>
      </c>
      <c r="D320" s="1">
        <f ca="1">IFERROR(__xludf.DUMMYFUNCTION("""COMPUTED_VALUE"""),14)</f>
        <v>14</v>
      </c>
      <c r="E320" s="1">
        <f ca="1">IFERROR(__xludf.DUMMYFUNCTION("""COMPUTED_VALUE"""),0.517)</f>
        <v>0.51700000000000002</v>
      </c>
      <c r="F320" s="1">
        <f ca="1">IFERROR(__xludf.DUMMYFUNCTION("""COMPUTED_VALUE"""),0.73)</f>
        <v>0.73</v>
      </c>
      <c r="G320" s="1">
        <f ca="1">IFERROR(__xludf.DUMMYFUNCTION("""COMPUTED_VALUE"""),-2.01)</f>
        <v>-2.0099999999999998</v>
      </c>
      <c r="H320" s="1">
        <f ca="1">IFERROR(__xludf.DUMMYFUNCTION("""COMPUTED_VALUE"""),8)</f>
        <v>8</v>
      </c>
      <c r="I320" s="1">
        <f ca="1">IFERROR(__xludf.DUMMYFUNCTION("""COMPUTED_VALUE"""),10)</f>
        <v>10</v>
      </c>
      <c r="J320" s="1">
        <f ca="1">IFERROR(__xludf.DUMMYFUNCTION("""COMPUTED_VALUE"""),9)</f>
        <v>9</v>
      </c>
      <c r="K320" s="1">
        <f ca="1">IFERROR(__xludf.DUMMYFUNCTION("""COMPUTED_VALUE"""),5)</f>
        <v>5</v>
      </c>
      <c r="L320" s="1">
        <f ca="1">IFERROR(__xludf.DUMMYFUNCTION("""COMPUTED_VALUE"""),5)</f>
        <v>5</v>
      </c>
      <c r="M320" s="1">
        <f ca="1">IFERROR(__xludf.DUMMYFUNCTION("""COMPUTED_VALUE"""),9)</f>
        <v>9</v>
      </c>
      <c r="N320" s="1">
        <f ca="1">IFERROR(__xludf.DUMMYFUNCTION("""COMPUTED_VALUE"""),2104)</f>
        <v>2104</v>
      </c>
      <c r="O320" s="1">
        <f ca="1">IFERROR(__xludf.DUMMYFUNCTION("""COMPUTED_VALUE"""),1900)</f>
        <v>1900</v>
      </c>
      <c r="P320" s="1">
        <f ca="1">IFERROR(__xludf.DUMMYFUNCTION("""COMPUTED_VALUE"""),1175)</f>
        <v>1175</v>
      </c>
      <c r="Q320" s="1">
        <f ca="1">IFERROR(__xludf.DUMMYFUNCTION("""COMPUTED_VALUE"""),764)</f>
        <v>764</v>
      </c>
      <c r="R320" s="1">
        <f ca="1">IFERROR(__xludf.DUMMYFUNCTION("""COMPUTED_VALUE"""),1686)</f>
        <v>1686</v>
      </c>
      <c r="S320" s="1">
        <f ca="1">IFERROR(__xludf.DUMMYFUNCTION("""COMPUTED_VALUE"""),0.453)</f>
        <v>0.45300000000000001</v>
      </c>
      <c r="T320" s="1">
        <f ca="1">IFERROR(__xludf.DUMMYFUNCTION("""COMPUTED_VALUE"""),174)</f>
        <v>174</v>
      </c>
      <c r="U320" s="1">
        <f ca="1">IFERROR(__xludf.DUMMYFUNCTION("""COMPUTED_VALUE"""),531)</f>
        <v>531</v>
      </c>
      <c r="V320" s="1">
        <f ca="1">IFERROR(__xludf.DUMMYFUNCTION("""COMPUTED_VALUE"""),0.328)</f>
        <v>0.32800000000000001</v>
      </c>
      <c r="W320" s="1">
        <f ca="1">IFERROR(__xludf.DUMMYFUNCTION("""COMPUTED_VALUE"""),402)</f>
        <v>402</v>
      </c>
      <c r="X320" s="1">
        <f ca="1">IFERROR(__xludf.DUMMYFUNCTION("""COMPUTED_VALUE"""),563)</f>
        <v>563</v>
      </c>
      <c r="Y320" s="1">
        <f ca="1">IFERROR(__xludf.DUMMYFUNCTION("""COMPUTED_VALUE"""),0.714)</f>
        <v>0.71399999999999997</v>
      </c>
      <c r="Z320" s="1">
        <f ca="1">IFERROR(__xludf.DUMMYFUNCTION("""COMPUTED_VALUE"""),272)</f>
        <v>272</v>
      </c>
      <c r="AA320" s="1">
        <f ca="1">IFERROR(__xludf.DUMMYFUNCTION("""COMPUTED_VALUE"""),1082)</f>
        <v>1082</v>
      </c>
      <c r="AB320" s="1">
        <f ca="1">IFERROR(__xludf.DUMMYFUNCTION("""COMPUTED_VALUE"""),350)</f>
        <v>350</v>
      </c>
      <c r="AC320" s="1">
        <f ca="1">IFERROR(__xludf.DUMMYFUNCTION("""COMPUTED_VALUE"""),203)</f>
        <v>203</v>
      </c>
      <c r="AD320" s="1">
        <f ca="1">IFERROR(__xludf.DUMMYFUNCTION("""COMPUTED_VALUE"""),122)</f>
        <v>122</v>
      </c>
      <c r="AE320" s="1">
        <f ca="1">IFERROR(__xludf.DUMMYFUNCTION("""COMPUTED_VALUE"""),393)</f>
        <v>393</v>
      </c>
      <c r="AF320" s="1">
        <f ca="1">IFERROR(__xludf.DUMMYFUNCTION("""COMPUTED_VALUE"""),552)</f>
        <v>552</v>
      </c>
    </row>
    <row r="321" spans="1:32" x14ac:dyDescent="0.25">
      <c r="A321" s="1" t="str">
        <f ca="1">IFERROR(__xludf.DUMMYFUNCTION("""COMPUTED_VALUE"""),"Southern")</f>
        <v>Southern</v>
      </c>
      <c r="B321" s="1">
        <f ca="1">IFERROR(__xludf.DUMMYFUNCTION("""COMPUTED_VALUE"""),29)</f>
        <v>29</v>
      </c>
      <c r="C321" s="1">
        <f ca="1">IFERROR(__xludf.DUMMYFUNCTION("""COMPUTED_VALUE"""),14)</f>
        <v>14</v>
      </c>
      <c r="D321" s="1">
        <f ca="1">IFERROR(__xludf.DUMMYFUNCTION("""COMPUTED_VALUE"""),15)</f>
        <v>15</v>
      </c>
      <c r="E321" s="1">
        <f ca="1">IFERROR(__xludf.DUMMYFUNCTION("""COMPUTED_VALUE"""),0.483)</f>
        <v>0.48299999999999998</v>
      </c>
      <c r="F321" s="1">
        <f ca="1">IFERROR(__xludf.DUMMYFUNCTION("""COMPUTED_VALUE"""),-10.43)</f>
        <v>-10.43</v>
      </c>
      <c r="G321" s="1">
        <f ca="1">IFERROR(__xludf.DUMMYFUNCTION("""COMPUTED_VALUE"""),-9.17)</f>
        <v>-9.17</v>
      </c>
      <c r="H321" s="1">
        <f ca="1">IFERROR(__xludf.DUMMYFUNCTION("""COMPUTED_VALUE"""),11)</f>
        <v>11</v>
      </c>
      <c r="I321" s="1">
        <f ca="1">IFERROR(__xludf.DUMMYFUNCTION("""COMPUTED_VALUE"""),5)</f>
        <v>5</v>
      </c>
      <c r="J321" s="1">
        <f ca="1">IFERROR(__xludf.DUMMYFUNCTION("""COMPUTED_VALUE"""),8)</f>
        <v>8</v>
      </c>
      <c r="K321" s="1">
        <f ca="1">IFERROR(__xludf.DUMMYFUNCTION("""COMPUTED_VALUE"""),1)</f>
        <v>1</v>
      </c>
      <c r="L321" s="1">
        <f ca="1">IFERROR(__xludf.DUMMYFUNCTION("""COMPUTED_VALUE"""),5)</f>
        <v>5</v>
      </c>
      <c r="M321" s="1">
        <f ca="1">IFERROR(__xludf.DUMMYFUNCTION("""COMPUTED_VALUE"""),14)</f>
        <v>14</v>
      </c>
      <c r="N321" s="1">
        <f ca="1">IFERROR(__xludf.DUMMYFUNCTION("""COMPUTED_VALUE"""),1989)</f>
        <v>1989</v>
      </c>
      <c r="O321" s="1">
        <f ca="1">IFERROR(__xludf.DUMMYFUNCTION("""COMPUTED_VALUE"""),1940)</f>
        <v>1940</v>
      </c>
      <c r="P321" s="1">
        <f ca="1">IFERROR(__xludf.DUMMYFUNCTION("""COMPUTED_VALUE"""),1165)</f>
        <v>1165</v>
      </c>
      <c r="Q321" s="1">
        <f ca="1">IFERROR(__xludf.DUMMYFUNCTION("""COMPUTED_VALUE"""),735)</f>
        <v>735</v>
      </c>
      <c r="R321" s="1">
        <f ca="1">IFERROR(__xludf.DUMMYFUNCTION("""COMPUTED_VALUE"""),1689)</f>
        <v>1689</v>
      </c>
      <c r="S321" s="1">
        <f ca="1">IFERROR(__xludf.DUMMYFUNCTION("""COMPUTED_VALUE"""),0.435)</f>
        <v>0.435</v>
      </c>
      <c r="T321" s="1">
        <f ca="1">IFERROR(__xludf.DUMMYFUNCTION("""COMPUTED_VALUE"""),158)</f>
        <v>158</v>
      </c>
      <c r="U321" s="1">
        <f ca="1">IFERROR(__xludf.DUMMYFUNCTION("""COMPUTED_VALUE"""),501)</f>
        <v>501</v>
      </c>
      <c r="V321" s="1">
        <f ca="1">IFERROR(__xludf.DUMMYFUNCTION("""COMPUTED_VALUE"""),0.315)</f>
        <v>0.315</v>
      </c>
      <c r="W321" s="1">
        <f ca="1">IFERROR(__xludf.DUMMYFUNCTION("""COMPUTED_VALUE"""),361)</f>
        <v>361</v>
      </c>
      <c r="X321" s="1">
        <f ca="1">IFERROR(__xludf.DUMMYFUNCTION("""COMPUTED_VALUE"""),541)</f>
        <v>541</v>
      </c>
      <c r="Y321" s="1">
        <f ca="1">IFERROR(__xludf.DUMMYFUNCTION("""COMPUTED_VALUE"""),0.667)</f>
        <v>0.66700000000000004</v>
      </c>
      <c r="Z321" s="1">
        <f ca="1">IFERROR(__xludf.DUMMYFUNCTION("""COMPUTED_VALUE"""),314)</f>
        <v>314</v>
      </c>
      <c r="AA321" s="1">
        <f ca="1">IFERROR(__xludf.DUMMYFUNCTION("""COMPUTED_VALUE"""),1008)</f>
        <v>1008</v>
      </c>
      <c r="AB321" s="1">
        <f ca="1">IFERROR(__xludf.DUMMYFUNCTION("""COMPUTED_VALUE"""),385)</f>
        <v>385</v>
      </c>
      <c r="AC321" s="1">
        <f ca="1">IFERROR(__xludf.DUMMYFUNCTION("""COMPUTED_VALUE"""),197)</f>
        <v>197</v>
      </c>
      <c r="AD321" s="1">
        <f ca="1">IFERROR(__xludf.DUMMYFUNCTION("""COMPUTED_VALUE"""),69)</f>
        <v>69</v>
      </c>
      <c r="AE321" s="1">
        <f ca="1">IFERROR(__xludf.DUMMYFUNCTION("""COMPUTED_VALUE"""),399)</f>
        <v>399</v>
      </c>
      <c r="AF321" s="1">
        <f ca="1">IFERROR(__xludf.DUMMYFUNCTION("""COMPUTED_VALUE"""),626)</f>
        <v>626</v>
      </c>
    </row>
    <row r="322" spans="1:32" x14ac:dyDescent="0.25">
      <c r="A322" s="1" t="str">
        <f ca="1">IFERROR(__xludf.DUMMYFUNCTION("""COMPUTED_VALUE"""),"St. Bonaventure")</f>
        <v>St. Bonaventure</v>
      </c>
      <c r="B322" s="1">
        <f ca="1">IFERROR(__xludf.DUMMYFUNCTION("""COMPUTED_VALUE"""),29)</f>
        <v>29</v>
      </c>
      <c r="C322" s="1">
        <f ca="1">IFERROR(__xludf.DUMMYFUNCTION("""COMPUTED_VALUE"""),18)</f>
        <v>18</v>
      </c>
      <c r="D322" s="1">
        <f ca="1">IFERROR(__xludf.DUMMYFUNCTION("""COMPUTED_VALUE"""),11)</f>
        <v>11</v>
      </c>
      <c r="E322" s="1">
        <f ca="1">IFERROR(__xludf.DUMMYFUNCTION("""COMPUTED_VALUE"""),0.621)</f>
        <v>0.621</v>
      </c>
      <c r="F322" s="1">
        <f ca="1">IFERROR(__xludf.DUMMYFUNCTION("""COMPUTED_VALUE"""),3.5)</f>
        <v>3.5</v>
      </c>
      <c r="G322" s="1">
        <f ca="1">IFERROR(__xludf.DUMMYFUNCTION("""COMPUTED_VALUE"""),1.65)</f>
        <v>1.65</v>
      </c>
      <c r="H322" s="1">
        <f ca="1">IFERROR(__xludf.DUMMYFUNCTION("""COMPUTED_VALUE"""),10)</f>
        <v>10</v>
      </c>
      <c r="I322" s="1">
        <f ca="1">IFERROR(__xludf.DUMMYFUNCTION("""COMPUTED_VALUE"""),6)</f>
        <v>6</v>
      </c>
      <c r="J322" s="1">
        <f ca="1">IFERROR(__xludf.DUMMYFUNCTION("""COMPUTED_VALUE"""),8)</f>
        <v>8</v>
      </c>
      <c r="K322" s="1">
        <f ca="1">IFERROR(__xludf.DUMMYFUNCTION("""COMPUTED_VALUE"""),5)</f>
        <v>5</v>
      </c>
      <c r="L322" s="1">
        <f ca="1">IFERROR(__xludf.DUMMYFUNCTION("""COMPUTED_VALUE"""),7)</f>
        <v>7</v>
      </c>
      <c r="M322" s="1">
        <f ca="1">IFERROR(__xludf.DUMMYFUNCTION("""COMPUTED_VALUE"""),6)</f>
        <v>6</v>
      </c>
      <c r="N322" s="1">
        <f ca="1">IFERROR(__xludf.DUMMYFUNCTION("""COMPUTED_VALUE"""),2005)</f>
        <v>2005</v>
      </c>
      <c r="O322" s="1">
        <f ca="1">IFERROR(__xludf.DUMMYFUNCTION("""COMPUTED_VALUE"""),1928)</f>
        <v>1928</v>
      </c>
      <c r="P322" s="1">
        <f ca="1">IFERROR(__xludf.DUMMYFUNCTION("""COMPUTED_VALUE"""),1170)</f>
        <v>1170</v>
      </c>
      <c r="Q322" s="1">
        <f ca="1">IFERROR(__xludf.DUMMYFUNCTION("""COMPUTED_VALUE"""),740)</f>
        <v>740</v>
      </c>
      <c r="R322" s="1">
        <f ca="1">IFERROR(__xludf.DUMMYFUNCTION("""COMPUTED_VALUE"""),1693)</f>
        <v>1693</v>
      </c>
      <c r="S322" s="1">
        <f ca="1">IFERROR(__xludf.DUMMYFUNCTION("""COMPUTED_VALUE"""),0.437)</f>
        <v>0.437</v>
      </c>
      <c r="T322" s="1">
        <f ca="1">IFERROR(__xludf.DUMMYFUNCTION("""COMPUTED_VALUE"""),195)</f>
        <v>195</v>
      </c>
      <c r="U322" s="1">
        <f ca="1">IFERROR(__xludf.DUMMYFUNCTION("""COMPUTED_VALUE"""),579)</f>
        <v>579</v>
      </c>
      <c r="V322" s="1">
        <f ca="1">IFERROR(__xludf.DUMMYFUNCTION("""COMPUTED_VALUE"""),0.337)</f>
        <v>0.33700000000000002</v>
      </c>
      <c r="W322" s="1">
        <f ca="1">IFERROR(__xludf.DUMMYFUNCTION("""COMPUTED_VALUE"""),330)</f>
        <v>330</v>
      </c>
      <c r="X322" s="1">
        <f ca="1">IFERROR(__xludf.DUMMYFUNCTION("""COMPUTED_VALUE"""),455)</f>
        <v>455</v>
      </c>
      <c r="Y322" s="1">
        <f ca="1">IFERROR(__xludf.DUMMYFUNCTION("""COMPUTED_VALUE"""),0.725)</f>
        <v>0.72499999999999998</v>
      </c>
      <c r="Z322" s="1">
        <f ca="1">IFERROR(__xludf.DUMMYFUNCTION("""COMPUTED_VALUE"""),313)</f>
        <v>313</v>
      </c>
      <c r="AA322" s="1">
        <f ca="1">IFERROR(__xludf.DUMMYFUNCTION("""COMPUTED_VALUE"""),1064)</f>
        <v>1064</v>
      </c>
      <c r="AB322" s="1">
        <f ca="1">IFERROR(__xludf.DUMMYFUNCTION("""COMPUTED_VALUE"""),404)</f>
        <v>404</v>
      </c>
      <c r="AC322" s="1">
        <f ca="1">IFERROR(__xludf.DUMMYFUNCTION("""COMPUTED_VALUE"""),164)</f>
        <v>164</v>
      </c>
      <c r="AD322" s="1">
        <f ca="1">IFERROR(__xludf.DUMMYFUNCTION("""COMPUTED_VALUE"""),100)</f>
        <v>100</v>
      </c>
      <c r="AE322" s="1">
        <f ca="1">IFERROR(__xludf.DUMMYFUNCTION("""COMPUTED_VALUE"""),340)</f>
        <v>340</v>
      </c>
      <c r="AF322" s="1">
        <f ca="1">IFERROR(__xludf.DUMMYFUNCTION("""COMPUTED_VALUE"""),502)</f>
        <v>502</v>
      </c>
    </row>
    <row r="323" spans="1:32" x14ac:dyDescent="0.25">
      <c r="A323" s="1" t="str">
        <f ca="1">IFERROR(__xludf.DUMMYFUNCTION("""COMPUTED_VALUE"""),"St. Francis (NY)")</f>
        <v>St. Francis (NY)</v>
      </c>
      <c r="B323" s="1">
        <f ca="1">IFERROR(__xludf.DUMMYFUNCTION("""COMPUTED_VALUE"""),30)</f>
        <v>30</v>
      </c>
      <c r="C323" s="1">
        <f ca="1">IFERROR(__xludf.DUMMYFUNCTION("""COMPUTED_VALUE"""),13)</f>
        <v>13</v>
      </c>
      <c r="D323" s="1">
        <f ca="1">IFERROR(__xludf.DUMMYFUNCTION("""COMPUTED_VALUE"""),17)</f>
        <v>17</v>
      </c>
      <c r="E323" s="1">
        <f ca="1">IFERROR(__xludf.DUMMYFUNCTION("""COMPUTED_VALUE"""),0.433)</f>
        <v>0.433</v>
      </c>
      <c r="F323" s="1">
        <f ca="1">IFERROR(__xludf.DUMMYFUNCTION("""COMPUTED_VALUE"""),-11.46)</f>
        <v>-11.46</v>
      </c>
      <c r="G323" s="1">
        <f ca="1">IFERROR(__xludf.DUMMYFUNCTION("""COMPUTED_VALUE"""),-7.49)</f>
        <v>-7.49</v>
      </c>
      <c r="H323" s="1">
        <f ca="1">IFERROR(__xludf.DUMMYFUNCTION("""COMPUTED_VALUE"""),7)</f>
        <v>7</v>
      </c>
      <c r="I323" s="1">
        <f ca="1">IFERROR(__xludf.DUMMYFUNCTION("""COMPUTED_VALUE"""),11)</f>
        <v>11</v>
      </c>
      <c r="J323" s="1">
        <f ca="1">IFERROR(__xludf.DUMMYFUNCTION("""COMPUTED_VALUE"""),9)</f>
        <v>9</v>
      </c>
      <c r="K323" s="1">
        <f ca="1">IFERROR(__xludf.DUMMYFUNCTION("""COMPUTED_VALUE"""),5)</f>
        <v>5</v>
      </c>
      <c r="L323" s="1">
        <f ca="1">IFERROR(__xludf.DUMMYFUNCTION("""COMPUTED_VALUE"""),4)</f>
        <v>4</v>
      </c>
      <c r="M323" s="1">
        <f ca="1">IFERROR(__xludf.DUMMYFUNCTION("""COMPUTED_VALUE"""),12)</f>
        <v>12</v>
      </c>
      <c r="N323" s="1">
        <f ca="1">IFERROR(__xludf.DUMMYFUNCTION("""COMPUTED_VALUE"""),2110)</f>
        <v>2110</v>
      </c>
      <c r="O323" s="1">
        <f ca="1">IFERROR(__xludf.DUMMYFUNCTION("""COMPUTED_VALUE"""),2161)</f>
        <v>2161</v>
      </c>
      <c r="P323" s="1">
        <f ca="1">IFERROR(__xludf.DUMMYFUNCTION("""COMPUTED_VALUE"""),1205)</f>
        <v>1205</v>
      </c>
      <c r="Q323" s="1">
        <f ca="1">IFERROR(__xludf.DUMMYFUNCTION("""COMPUTED_VALUE"""),777)</f>
        <v>777</v>
      </c>
      <c r="R323" s="1">
        <f ca="1">IFERROR(__xludf.DUMMYFUNCTION("""COMPUTED_VALUE"""),1851)</f>
        <v>1851</v>
      </c>
      <c r="S323" s="1">
        <f ca="1">IFERROR(__xludf.DUMMYFUNCTION("""COMPUTED_VALUE"""),0.42)</f>
        <v>0.42</v>
      </c>
      <c r="T323" s="1">
        <f ca="1">IFERROR(__xludf.DUMMYFUNCTION("""COMPUTED_VALUE"""),190)</f>
        <v>190</v>
      </c>
      <c r="U323" s="1">
        <f ca="1">IFERROR(__xludf.DUMMYFUNCTION("""COMPUTED_VALUE"""),651)</f>
        <v>651</v>
      </c>
      <c r="V323" s="1">
        <f ca="1">IFERROR(__xludf.DUMMYFUNCTION("""COMPUTED_VALUE"""),0.292)</f>
        <v>0.29199999999999998</v>
      </c>
      <c r="W323" s="1">
        <f ca="1">IFERROR(__xludf.DUMMYFUNCTION("""COMPUTED_VALUE"""),364)</f>
        <v>364</v>
      </c>
      <c r="X323" s="1">
        <f ca="1">IFERROR(__xludf.DUMMYFUNCTION("""COMPUTED_VALUE"""),500)</f>
        <v>500</v>
      </c>
      <c r="Y323" s="1">
        <f ca="1">IFERROR(__xludf.DUMMYFUNCTION("""COMPUTED_VALUE"""),0.728)</f>
        <v>0.72799999999999998</v>
      </c>
      <c r="Z323" s="1">
        <f ca="1">IFERROR(__xludf.DUMMYFUNCTION("""COMPUTED_VALUE"""),315)</f>
        <v>315</v>
      </c>
      <c r="AA323" s="1">
        <f ca="1">IFERROR(__xludf.DUMMYFUNCTION("""COMPUTED_VALUE"""),1084)</f>
        <v>1084</v>
      </c>
      <c r="AB323" s="1">
        <f ca="1">IFERROR(__xludf.DUMMYFUNCTION("""COMPUTED_VALUE"""),366)</f>
        <v>366</v>
      </c>
      <c r="AC323" s="1">
        <f ca="1">IFERROR(__xludf.DUMMYFUNCTION("""COMPUTED_VALUE"""),190)</f>
        <v>190</v>
      </c>
      <c r="AD323" s="1">
        <f ca="1">IFERROR(__xludf.DUMMYFUNCTION("""COMPUTED_VALUE"""),138)</f>
        <v>138</v>
      </c>
      <c r="AE323" s="1">
        <f ca="1">IFERROR(__xludf.DUMMYFUNCTION("""COMPUTED_VALUE"""),375)</f>
        <v>375</v>
      </c>
      <c r="AF323" s="1">
        <f ca="1">IFERROR(__xludf.DUMMYFUNCTION("""COMPUTED_VALUE"""),570)</f>
        <v>570</v>
      </c>
    </row>
    <row r="324" spans="1:32" x14ac:dyDescent="0.25">
      <c r="A324" s="1" t="str">
        <f ca="1">IFERROR(__xludf.DUMMYFUNCTION("""COMPUTED_VALUE"""),"St. John's (NY)")</f>
        <v>St. John's (NY)</v>
      </c>
      <c r="B324" s="1">
        <f ca="1">IFERROR(__xludf.DUMMYFUNCTION("""COMPUTED_VALUE"""),29)</f>
        <v>29</v>
      </c>
      <c r="C324" s="1">
        <f ca="1">IFERROR(__xludf.DUMMYFUNCTION("""COMPUTED_VALUE"""),15)</f>
        <v>15</v>
      </c>
      <c r="D324" s="1">
        <f ca="1">IFERROR(__xludf.DUMMYFUNCTION("""COMPUTED_VALUE"""),14)</f>
        <v>14</v>
      </c>
      <c r="E324" s="1">
        <f ca="1">IFERROR(__xludf.DUMMYFUNCTION("""COMPUTED_VALUE"""),0.517)</f>
        <v>0.51700000000000002</v>
      </c>
      <c r="F324" s="1">
        <f ca="1">IFERROR(__xludf.DUMMYFUNCTION("""COMPUTED_VALUE"""),10.73)</f>
        <v>10.73</v>
      </c>
      <c r="G324" s="1">
        <f ca="1">IFERROR(__xludf.DUMMYFUNCTION("""COMPUTED_VALUE"""),7.15)</f>
        <v>7.15</v>
      </c>
      <c r="H324" s="1">
        <f ca="1">IFERROR(__xludf.DUMMYFUNCTION("""COMPUTED_VALUE"""),4)</f>
        <v>4</v>
      </c>
      <c r="I324" s="1">
        <f ca="1">IFERROR(__xludf.DUMMYFUNCTION("""COMPUTED_VALUE"""),12)</f>
        <v>12</v>
      </c>
      <c r="J324" s="1">
        <f ca="1">IFERROR(__xludf.DUMMYFUNCTION("""COMPUTED_VALUE"""),12)</f>
        <v>12</v>
      </c>
      <c r="K324" s="1">
        <f ca="1">IFERROR(__xludf.DUMMYFUNCTION("""COMPUTED_VALUE"""),6)</f>
        <v>6</v>
      </c>
      <c r="L324" s="1">
        <f ca="1">IFERROR(__xludf.DUMMYFUNCTION("""COMPUTED_VALUE"""),1)</f>
        <v>1</v>
      </c>
      <c r="M324" s="1">
        <f ca="1">IFERROR(__xludf.DUMMYFUNCTION("""COMPUTED_VALUE"""),7)</f>
        <v>7</v>
      </c>
      <c r="N324" s="1">
        <f ca="1">IFERROR(__xludf.DUMMYFUNCTION("""COMPUTED_VALUE"""),2169)</f>
        <v>2169</v>
      </c>
      <c r="O324" s="1">
        <f ca="1">IFERROR(__xludf.DUMMYFUNCTION("""COMPUTED_VALUE"""),2065)</f>
        <v>2065</v>
      </c>
      <c r="P324" s="1">
        <f ca="1">IFERROR(__xludf.DUMMYFUNCTION("""COMPUTED_VALUE"""),1160)</f>
        <v>1160</v>
      </c>
      <c r="Q324" s="1">
        <f ca="1">IFERROR(__xludf.DUMMYFUNCTION("""COMPUTED_VALUE"""),788)</f>
        <v>788</v>
      </c>
      <c r="R324" s="1">
        <f ca="1">IFERROR(__xludf.DUMMYFUNCTION("""COMPUTED_VALUE"""),1924)</f>
        <v>1924</v>
      </c>
      <c r="S324" s="1">
        <f ca="1">IFERROR(__xludf.DUMMYFUNCTION("""COMPUTED_VALUE"""),0.41)</f>
        <v>0.41</v>
      </c>
      <c r="T324" s="1">
        <f ca="1">IFERROR(__xludf.DUMMYFUNCTION("""COMPUTED_VALUE"""),189)</f>
        <v>189</v>
      </c>
      <c r="U324" s="1">
        <f ca="1">IFERROR(__xludf.DUMMYFUNCTION("""COMPUTED_VALUE"""),597)</f>
        <v>597</v>
      </c>
      <c r="V324" s="1">
        <f ca="1">IFERROR(__xludf.DUMMYFUNCTION("""COMPUTED_VALUE"""),0.317)</f>
        <v>0.317</v>
      </c>
      <c r="W324" s="1">
        <f ca="1">IFERROR(__xludf.DUMMYFUNCTION("""COMPUTED_VALUE"""),404)</f>
        <v>404</v>
      </c>
      <c r="X324" s="1">
        <f ca="1">IFERROR(__xludf.DUMMYFUNCTION("""COMPUTED_VALUE"""),571)</f>
        <v>571</v>
      </c>
      <c r="Y324" s="1">
        <f ca="1">IFERROR(__xludf.DUMMYFUNCTION("""COMPUTED_VALUE"""),0.708)</f>
        <v>0.70799999999999996</v>
      </c>
      <c r="Z324" s="1">
        <f ca="1">IFERROR(__xludf.DUMMYFUNCTION("""COMPUTED_VALUE"""),361)</f>
        <v>361</v>
      </c>
      <c r="AA324" s="1">
        <f ca="1">IFERROR(__xludf.DUMMYFUNCTION("""COMPUTED_VALUE"""),1128)</f>
        <v>1128</v>
      </c>
      <c r="AB324" s="1">
        <f ca="1">IFERROR(__xludf.DUMMYFUNCTION("""COMPUTED_VALUE"""),430)</f>
        <v>430</v>
      </c>
      <c r="AC324" s="1">
        <f ca="1">IFERROR(__xludf.DUMMYFUNCTION("""COMPUTED_VALUE"""),287)</f>
        <v>287</v>
      </c>
      <c r="AD324" s="1">
        <f ca="1">IFERROR(__xludf.DUMMYFUNCTION("""COMPUTED_VALUE"""),122)</f>
        <v>122</v>
      </c>
      <c r="AE324" s="1">
        <f ca="1">IFERROR(__xludf.DUMMYFUNCTION("""COMPUTED_VALUE"""),329)</f>
        <v>329</v>
      </c>
      <c r="AF324" s="1">
        <f ca="1">IFERROR(__xludf.DUMMYFUNCTION("""COMPUTED_VALUE"""),557)</f>
        <v>557</v>
      </c>
    </row>
    <row r="325" spans="1:32" x14ac:dyDescent="0.25">
      <c r="A325" s="1" t="str">
        <f ca="1">IFERROR(__xludf.DUMMYFUNCTION("""COMPUTED_VALUE"""),"Stanford")</f>
        <v>Stanford</v>
      </c>
      <c r="B325" s="1">
        <f ca="1">IFERROR(__xludf.DUMMYFUNCTION("""COMPUTED_VALUE"""),29)</f>
        <v>29</v>
      </c>
      <c r="C325" s="1">
        <f ca="1">IFERROR(__xludf.DUMMYFUNCTION("""COMPUTED_VALUE"""),20)</f>
        <v>20</v>
      </c>
      <c r="D325" s="1">
        <f ca="1">IFERROR(__xludf.DUMMYFUNCTION("""COMPUTED_VALUE"""),9)</f>
        <v>9</v>
      </c>
      <c r="E325" s="1">
        <f ca="1">IFERROR(__xludf.DUMMYFUNCTION("""COMPUTED_VALUE"""),0.69)</f>
        <v>0.69</v>
      </c>
      <c r="F325" s="1">
        <f ca="1">IFERROR(__xludf.DUMMYFUNCTION("""COMPUTED_VALUE"""),14.71)</f>
        <v>14.71</v>
      </c>
      <c r="G325" s="1">
        <f ca="1">IFERROR(__xludf.DUMMYFUNCTION("""COMPUTED_VALUE"""),6.05)</f>
        <v>6.05</v>
      </c>
      <c r="H325" s="1">
        <f ca="1">IFERROR(__xludf.DUMMYFUNCTION("""COMPUTED_VALUE"""),9)</f>
        <v>9</v>
      </c>
      <c r="I325" s="1">
        <f ca="1">IFERROR(__xludf.DUMMYFUNCTION("""COMPUTED_VALUE"""),7)</f>
        <v>7</v>
      </c>
      <c r="J325" s="1">
        <f ca="1">IFERROR(__xludf.DUMMYFUNCTION("""COMPUTED_VALUE"""),14)</f>
        <v>14</v>
      </c>
      <c r="K325" s="1">
        <f ca="1">IFERROR(__xludf.DUMMYFUNCTION("""COMPUTED_VALUE"""),4)</f>
        <v>4</v>
      </c>
      <c r="L325" s="1">
        <f ca="1">IFERROR(__xludf.DUMMYFUNCTION("""COMPUTED_VALUE"""),4)</f>
        <v>4</v>
      </c>
      <c r="M325" s="1">
        <f ca="1">IFERROR(__xludf.DUMMYFUNCTION("""COMPUTED_VALUE"""),4)</f>
        <v>4</v>
      </c>
      <c r="N325" s="1">
        <f ca="1">IFERROR(__xludf.DUMMYFUNCTION("""COMPUTED_VALUE"""),2040)</f>
        <v>2040</v>
      </c>
      <c r="O325" s="1">
        <f ca="1">IFERROR(__xludf.DUMMYFUNCTION("""COMPUTED_VALUE"""),1789)</f>
        <v>1789</v>
      </c>
      <c r="P325" s="1">
        <f ca="1">IFERROR(__xludf.DUMMYFUNCTION("""COMPUTED_VALUE"""),1170)</f>
        <v>1170</v>
      </c>
      <c r="Q325" s="1">
        <f ca="1">IFERROR(__xludf.DUMMYFUNCTION("""COMPUTED_VALUE"""),744)</f>
        <v>744</v>
      </c>
      <c r="R325" s="1">
        <f ca="1">IFERROR(__xludf.DUMMYFUNCTION("""COMPUTED_VALUE"""),1566)</f>
        <v>1566</v>
      </c>
      <c r="S325" s="1">
        <f ca="1">IFERROR(__xludf.DUMMYFUNCTION("""COMPUTED_VALUE"""),0.475)</f>
        <v>0.47499999999999998</v>
      </c>
      <c r="T325" s="1">
        <f ca="1">IFERROR(__xludf.DUMMYFUNCTION("""COMPUTED_VALUE"""),212)</f>
        <v>212</v>
      </c>
      <c r="U325" s="1">
        <f ca="1">IFERROR(__xludf.DUMMYFUNCTION("""COMPUTED_VALUE"""),565)</f>
        <v>565</v>
      </c>
      <c r="V325" s="1">
        <f ca="1">IFERROR(__xludf.DUMMYFUNCTION("""COMPUTED_VALUE"""),0.375)</f>
        <v>0.375</v>
      </c>
      <c r="W325" s="1">
        <f ca="1">IFERROR(__xludf.DUMMYFUNCTION("""COMPUTED_VALUE"""),340)</f>
        <v>340</v>
      </c>
      <c r="X325" s="1">
        <f ca="1">IFERROR(__xludf.DUMMYFUNCTION("""COMPUTED_VALUE"""),489)</f>
        <v>489</v>
      </c>
      <c r="Y325" s="1">
        <f ca="1">IFERROR(__xludf.DUMMYFUNCTION("""COMPUTED_VALUE"""),0.695)</f>
        <v>0.69499999999999995</v>
      </c>
      <c r="Z325" s="1">
        <f ca="1">IFERROR(__xludf.DUMMYFUNCTION("""COMPUTED_VALUE"""),203)</f>
        <v>203</v>
      </c>
      <c r="AA325" s="1">
        <f ca="1">IFERROR(__xludf.DUMMYFUNCTION("""COMPUTED_VALUE"""),965)</f>
        <v>965</v>
      </c>
      <c r="AB325" s="1">
        <f ca="1">IFERROR(__xludf.DUMMYFUNCTION("""COMPUTED_VALUE"""),377)</f>
        <v>377</v>
      </c>
      <c r="AC325" s="1">
        <f ca="1">IFERROR(__xludf.DUMMYFUNCTION("""COMPUTED_VALUE"""),204)</f>
        <v>204</v>
      </c>
      <c r="AD325" s="1">
        <f ca="1">IFERROR(__xludf.DUMMYFUNCTION("""COMPUTED_VALUE"""),112)</f>
        <v>112</v>
      </c>
      <c r="AE325" s="1">
        <f ca="1">IFERROR(__xludf.DUMMYFUNCTION("""COMPUTED_VALUE"""),424)</f>
        <v>424</v>
      </c>
      <c r="AF325" s="1">
        <f ca="1">IFERROR(__xludf.DUMMYFUNCTION("""COMPUTED_VALUE"""),468)</f>
        <v>468</v>
      </c>
    </row>
    <row r="326" spans="1:32" x14ac:dyDescent="0.25">
      <c r="A326" s="1" t="str">
        <f ca="1">IFERROR(__xludf.DUMMYFUNCTION("""COMPUTED_VALUE"""),"Stephen F. Austin")</f>
        <v>Stephen F. Austin</v>
      </c>
      <c r="B326" s="1">
        <f ca="1">IFERROR(__xludf.DUMMYFUNCTION("""COMPUTED_VALUE"""),29)</f>
        <v>29</v>
      </c>
      <c r="C326" s="1">
        <f ca="1">IFERROR(__xludf.DUMMYFUNCTION("""COMPUTED_VALUE"""),26)</f>
        <v>26</v>
      </c>
      <c r="D326" s="1">
        <f ca="1">IFERROR(__xludf.DUMMYFUNCTION("""COMPUTED_VALUE"""),3)</f>
        <v>3</v>
      </c>
      <c r="E326" s="1">
        <f ca="1">IFERROR(__xludf.DUMMYFUNCTION("""COMPUTED_VALUE"""),0.897)</f>
        <v>0.89700000000000002</v>
      </c>
      <c r="F326" s="1">
        <f ca="1">IFERROR(__xludf.DUMMYFUNCTION("""COMPUTED_VALUE"""),4.02)</f>
        <v>4.0199999999999996</v>
      </c>
      <c r="G326" s="1">
        <f ca="1">IFERROR(__xludf.DUMMYFUNCTION("""COMPUTED_VALUE"""),-7.13)</f>
        <v>-7.13</v>
      </c>
      <c r="H326" s="1">
        <f ca="1">IFERROR(__xludf.DUMMYFUNCTION("""COMPUTED_VALUE"""),17)</f>
        <v>17</v>
      </c>
      <c r="I326" s="1">
        <f ca="1">IFERROR(__xludf.DUMMYFUNCTION("""COMPUTED_VALUE"""),1)</f>
        <v>1</v>
      </c>
      <c r="J326" s="1">
        <f ca="1">IFERROR(__xludf.DUMMYFUNCTION("""COMPUTED_VALUE"""),15)</f>
        <v>15</v>
      </c>
      <c r="K326" s="1">
        <f ca="1">IFERROR(__xludf.DUMMYFUNCTION("""COMPUTED_VALUE"""),1)</f>
        <v>1</v>
      </c>
      <c r="L326" s="1">
        <f ca="1">IFERROR(__xludf.DUMMYFUNCTION("""COMPUTED_VALUE"""),11)</f>
        <v>11</v>
      </c>
      <c r="M326" s="1">
        <f ca="1">IFERROR(__xludf.DUMMYFUNCTION("""COMPUTED_VALUE"""),2)</f>
        <v>2</v>
      </c>
      <c r="N326" s="1">
        <f ca="1">IFERROR(__xludf.DUMMYFUNCTION("""COMPUTED_VALUE"""),2354)</f>
        <v>2354</v>
      </c>
      <c r="O326" s="1">
        <f ca="1">IFERROR(__xludf.DUMMYFUNCTION("""COMPUTED_VALUE"""),1948)</f>
        <v>1948</v>
      </c>
      <c r="P326" s="1">
        <f ca="1">IFERROR(__xludf.DUMMYFUNCTION("""COMPUTED_VALUE"""),1165)</f>
        <v>1165</v>
      </c>
      <c r="Q326" s="1">
        <f ca="1">IFERROR(__xludf.DUMMYFUNCTION("""COMPUTED_VALUE"""),840)</f>
        <v>840</v>
      </c>
      <c r="R326" s="1">
        <f ca="1">IFERROR(__xludf.DUMMYFUNCTION("""COMPUTED_VALUE"""),1701)</f>
        <v>1701</v>
      </c>
      <c r="S326" s="1">
        <f ca="1">IFERROR(__xludf.DUMMYFUNCTION("""COMPUTED_VALUE"""),0.494)</f>
        <v>0.49399999999999999</v>
      </c>
      <c r="T326" s="1">
        <f ca="1">IFERROR(__xludf.DUMMYFUNCTION("""COMPUTED_VALUE"""),171)</f>
        <v>171</v>
      </c>
      <c r="U326" s="1">
        <f ca="1">IFERROR(__xludf.DUMMYFUNCTION("""COMPUTED_VALUE"""),464)</f>
        <v>464</v>
      </c>
      <c r="V326" s="1">
        <f ca="1">IFERROR(__xludf.DUMMYFUNCTION("""COMPUTED_VALUE"""),0.369)</f>
        <v>0.36899999999999999</v>
      </c>
      <c r="W326" s="1">
        <f ca="1">IFERROR(__xludf.DUMMYFUNCTION("""COMPUTED_VALUE"""),503)</f>
        <v>503</v>
      </c>
      <c r="X326" s="1">
        <f ca="1">IFERROR(__xludf.DUMMYFUNCTION("""COMPUTED_VALUE"""),716)</f>
        <v>716</v>
      </c>
      <c r="Y326" s="1">
        <f ca="1">IFERROR(__xludf.DUMMYFUNCTION("""COMPUTED_VALUE"""),0.703)</f>
        <v>0.70299999999999996</v>
      </c>
      <c r="Z326" s="1">
        <f ca="1">IFERROR(__xludf.DUMMYFUNCTION("""COMPUTED_VALUE"""),379)</f>
        <v>379</v>
      </c>
      <c r="AA326" s="1">
        <f ca="1">IFERROR(__xludf.DUMMYFUNCTION("""COMPUTED_VALUE"""),1082)</f>
        <v>1082</v>
      </c>
      <c r="AB326" s="1">
        <f ca="1">IFERROR(__xludf.DUMMYFUNCTION("""COMPUTED_VALUE"""),444)</f>
        <v>444</v>
      </c>
      <c r="AC326" s="1">
        <f ca="1">IFERROR(__xludf.DUMMYFUNCTION("""COMPUTED_VALUE"""),303)</f>
        <v>303</v>
      </c>
      <c r="AD326" s="1">
        <f ca="1">IFERROR(__xludf.DUMMYFUNCTION("""COMPUTED_VALUE"""),91)</f>
        <v>91</v>
      </c>
      <c r="AE326" s="1">
        <f ca="1">IFERROR(__xludf.DUMMYFUNCTION("""COMPUTED_VALUE"""),517)</f>
        <v>517</v>
      </c>
      <c r="AF326" s="1">
        <f ca="1">IFERROR(__xludf.DUMMYFUNCTION("""COMPUTED_VALUE"""),605)</f>
        <v>605</v>
      </c>
    </row>
    <row r="327" spans="1:32" x14ac:dyDescent="0.25">
      <c r="A327" s="1" t="str">
        <f ca="1">IFERROR(__xludf.DUMMYFUNCTION("""COMPUTED_VALUE"""),"Stetson")</f>
        <v>Stetson</v>
      </c>
      <c r="B327" s="1">
        <f ca="1">IFERROR(__xludf.DUMMYFUNCTION("""COMPUTED_VALUE"""),31)</f>
        <v>31</v>
      </c>
      <c r="C327" s="1">
        <f ca="1">IFERROR(__xludf.DUMMYFUNCTION("""COMPUTED_VALUE"""),15)</f>
        <v>15</v>
      </c>
      <c r="D327" s="1">
        <f ca="1">IFERROR(__xludf.DUMMYFUNCTION("""COMPUTED_VALUE"""),16)</f>
        <v>16</v>
      </c>
      <c r="E327" s="1">
        <f ca="1">IFERROR(__xludf.DUMMYFUNCTION("""COMPUTED_VALUE"""),0.484)</f>
        <v>0.48399999999999999</v>
      </c>
      <c r="F327" s="1">
        <f ca="1">IFERROR(__xludf.DUMMYFUNCTION("""COMPUTED_VALUE"""),-10.3)</f>
        <v>-10.3</v>
      </c>
      <c r="G327" s="1">
        <f ca="1">IFERROR(__xludf.DUMMYFUNCTION("""COMPUTED_VALUE"""),-5.47)</f>
        <v>-5.47</v>
      </c>
      <c r="H327" s="1">
        <f ca="1">IFERROR(__xludf.DUMMYFUNCTION("""COMPUTED_VALUE"""),9)</f>
        <v>9</v>
      </c>
      <c r="I327" s="1">
        <f ca="1">IFERROR(__xludf.DUMMYFUNCTION("""COMPUTED_VALUE"""),7)</f>
        <v>7</v>
      </c>
      <c r="J327" s="1">
        <f ca="1">IFERROR(__xludf.DUMMYFUNCTION("""COMPUTED_VALUE"""),7)</f>
        <v>7</v>
      </c>
      <c r="K327" s="1">
        <f ca="1">IFERROR(__xludf.DUMMYFUNCTION("""COMPUTED_VALUE"""),7)</f>
        <v>7</v>
      </c>
      <c r="L327" s="1">
        <f ca="1">IFERROR(__xludf.DUMMYFUNCTION("""COMPUTED_VALUE"""),7)</f>
        <v>7</v>
      </c>
      <c r="M327" s="1">
        <f ca="1">IFERROR(__xludf.DUMMYFUNCTION("""COMPUTED_VALUE"""),8)</f>
        <v>8</v>
      </c>
      <c r="N327" s="1">
        <f ca="1">IFERROR(__xludf.DUMMYFUNCTION("""COMPUTED_VALUE"""),1959)</f>
        <v>1959</v>
      </c>
      <c r="O327" s="1">
        <f ca="1">IFERROR(__xludf.DUMMYFUNCTION("""COMPUTED_VALUE"""),2029)</f>
        <v>2029</v>
      </c>
      <c r="P327" s="1">
        <f ca="1">IFERROR(__xludf.DUMMYFUNCTION("""COMPUTED_VALUE"""),1245)</f>
        <v>1245</v>
      </c>
      <c r="Q327" s="1">
        <f ca="1">IFERROR(__xludf.DUMMYFUNCTION("""COMPUTED_VALUE"""),700)</f>
        <v>700</v>
      </c>
      <c r="R327" s="1">
        <f ca="1">IFERROR(__xludf.DUMMYFUNCTION("""COMPUTED_VALUE"""),1584)</f>
        <v>1584</v>
      </c>
      <c r="S327" s="1">
        <f ca="1">IFERROR(__xludf.DUMMYFUNCTION("""COMPUTED_VALUE"""),0.442)</f>
        <v>0.442</v>
      </c>
      <c r="T327" s="1">
        <f ca="1">IFERROR(__xludf.DUMMYFUNCTION("""COMPUTED_VALUE"""),165)</f>
        <v>165</v>
      </c>
      <c r="U327" s="1">
        <f ca="1">IFERROR(__xludf.DUMMYFUNCTION("""COMPUTED_VALUE"""),507)</f>
        <v>507</v>
      </c>
      <c r="V327" s="1">
        <f ca="1">IFERROR(__xludf.DUMMYFUNCTION("""COMPUTED_VALUE"""),0.325)</f>
        <v>0.32500000000000001</v>
      </c>
      <c r="W327" s="1">
        <f ca="1">IFERROR(__xludf.DUMMYFUNCTION("""COMPUTED_VALUE"""),394)</f>
        <v>394</v>
      </c>
      <c r="X327" s="1">
        <f ca="1">IFERROR(__xludf.DUMMYFUNCTION("""COMPUTED_VALUE"""),605)</f>
        <v>605</v>
      </c>
      <c r="Y327" s="1">
        <f ca="1">IFERROR(__xludf.DUMMYFUNCTION("""COMPUTED_VALUE"""),0.651)</f>
        <v>0.65100000000000002</v>
      </c>
      <c r="Z327" s="1">
        <f ca="1">IFERROR(__xludf.DUMMYFUNCTION("""COMPUTED_VALUE"""),298)</f>
        <v>298</v>
      </c>
      <c r="AA327" s="1">
        <f ca="1">IFERROR(__xludf.DUMMYFUNCTION("""COMPUTED_VALUE"""),1058)</f>
        <v>1058</v>
      </c>
      <c r="AB327" s="1">
        <f ca="1">IFERROR(__xludf.DUMMYFUNCTION("""COMPUTED_VALUE"""),302)</f>
        <v>302</v>
      </c>
      <c r="AC327" s="1">
        <f ca="1">IFERROR(__xludf.DUMMYFUNCTION("""COMPUTED_VALUE"""),200)</f>
        <v>200</v>
      </c>
      <c r="AD327" s="1">
        <f ca="1">IFERROR(__xludf.DUMMYFUNCTION("""COMPUTED_VALUE"""),75)</f>
        <v>75</v>
      </c>
      <c r="AE327" s="1">
        <f ca="1">IFERROR(__xludf.DUMMYFUNCTION("""COMPUTED_VALUE"""),429)</f>
        <v>429</v>
      </c>
      <c r="AF327" s="1">
        <f ca="1">IFERROR(__xludf.DUMMYFUNCTION("""COMPUTED_VALUE"""),483)</f>
        <v>483</v>
      </c>
    </row>
    <row r="328" spans="1:32" x14ac:dyDescent="0.25">
      <c r="A328" s="1" t="str">
        <f ca="1">IFERROR(__xludf.DUMMYFUNCTION("""COMPUTED_VALUE"""),"Stony Brook")</f>
        <v>Stony Brook</v>
      </c>
      <c r="B328" s="1">
        <f ca="1">IFERROR(__xludf.DUMMYFUNCTION("""COMPUTED_VALUE"""),30)</f>
        <v>30</v>
      </c>
      <c r="C328" s="1">
        <f ca="1">IFERROR(__xludf.DUMMYFUNCTION("""COMPUTED_VALUE"""),19)</f>
        <v>19</v>
      </c>
      <c r="D328" s="1">
        <f ca="1">IFERROR(__xludf.DUMMYFUNCTION("""COMPUTED_VALUE"""),11)</f>
        <v>11</v>
      </c>
      <c r="E328" s="1">
        <f ca="1">IFERROR(__xludf.DUMMYFUNCTION("""COMPUTED_VALUE"""),0.633)</f>
        <v>0.63300000000000001</v>
      </c>
      <c r="F328" s="1">
        <f ca="1">IFERROR(__xludf.DUMMYFUNCTION("""COMPUTED_VALUE"""),-1.5)</f>
        <v>-1.5</v>
      </c>
      <c r="G328" s="1">
        <f ca="1">IFERROR(__xludf.DUMMYFUNCTION("""COMPUTED_VALUE"""),-4.09)</f>
        <v>-4.09</v>
      </c>
      <c r="H328" s="1">
        <f ca="1">IFERROR(__xludf.DUMMYFUNCTION("""COMPUTED_VALUE"""),10)</f>
        <v>10</v>
      </c>
      <c r="I328" s="1">
        <f ca="1">IFERROR(__xludf.DUMMYFUNCTION("""COMPUTED_VALUE"""),5)</f>
        <v>5</v>
      </c>
      <c r="J328" s="1">
        <f ca="1">IFERROR(__xludf.DUMMYFUNCTION("""COMPUTED_VALUE"""),9)</f>
        <v>9</v>
      </c>
      <c r="K328" s="1">
        <f ca="1">IFERROR(__xludf.DUMMYFUNCTION("""COMPUTED_VALUE"""),4)</f>
        <v>4</v>
      </c>
      <c r="L328" s="1">
        <f ca="1">IFERROR(__xludf.DUMMYFUNCTION("""COMPUTED_VALUE"""),8)</f>
        <v>8</v>
      </c>
      <c r="M328" s="1">
        <f ca="1">IFERROR(__xludf.DUMMYFUNCTION("""COMPUTED_VALUE"""),7)</f>
        <v>7</v>
      </c>
      <c r="N328" s="1">
        <f ca="1">IFERROR(__xludf.DUMMYFUNCTION("""COMPUTED_VALUE"""),2082)</f>
        <v>2082</v>
      </c>
      <c r="O328" s="1">
        <f ca="1">IFERROR(__xludf.DUMMYFUNCTION("""COMPUTED_VALUE"""),1960)</f>
        <v>1960</v>
      </c>
      <c r="P328" s="1">
        <f ca="1">IFERROR(__xludf.DUMMYFUNCTION("""COMPUTED_VALUE"""),1210)</f>
        <v>1210</v>
      </c>
      <c r="Q328" s="1">
        <f ca="1">IFERROR(__xludf.DUMMYFUNCTION("""COMPUTED_VALUE"""),710)</f>
        <v>710</v>
      </c>
      <c r="R328" s="1">
        <f ca="1">IFERROR(__xludf.DUMMYFUNCTION("""COMPUTED_VALUE"""),1757)</f>
        <v>1757</v>
      </c>
      <c r="S328" s="1">
        <f ca="1">IFERROR(__xludf.DUMMYFUNCTION("""COMPUTED_VALUE"""),0.404)</f>
        <v>0.40400000000000003</v>
      </c>
      <c r="T328" s="1">
        <f ca="1">IFERROR(__xludf.DUMMYFUNCTION("""COMPUTED_VALUE"""),247)</f>
        <v>247</v>
      </c>
      <c r="U328" s="1">
        <f ca="1">IFERROR(__xludf.DUMMYFUNCTION("""COMPUTED_VALUE"""),753)</f>
        <v>753</v>
      </c>
      <c r="V328" s="1">
        <f ca="1">IFERROR(__xludf.DUMMYFUNCTION("""COMPUTED_VALUE"""),0.328)</f>
        <v>0.32800000000000001</v>
      </c>
      <c r="W328" s="1">
        <f ca="1">IFERROR(__xludf.DUMMYFUNCTION("""COMPUTED_VALUE"""),415)</f>
        <v>415</v>
      </c>
      <c r="X328" s="1">
        <f ca="1">IFERROR(__xludf.DUMMYFUNCTION("""COMPUTED_VALUE"""),573)</f>
        <v>573</v>
      </c>
      <c r="Y328" s="1">
        <f ca="1">IFERROR(__xludf.DUMMYFUNCTION("""COMPUTED_VALUE"""),0.724)</f>
        <v>0.72399999999999998</v>
      </c>
      <c r="Z328" s="1">
        <f ca="1">IFERROR(__xludf.DUMMYFUNCTION("""COMPUTED_VALUE"""),329)</f>
        <v>329</v>
      </c>
      <c r="AA328" s="1">
        <f ca="1">IFERROR(__xludf.DUMMYFUNCTION("""COMPUTED_VALUE"""),1171)</f>
        <v>1171</v>
      </c>
      <c r="AB328" s="1">
        <f ca="1">IFERROR(__xludf.DUMMYFUNCTION("""COMPUTED_VALUE"""),338)</f>
        <v>338</v>
      </c>
      <c r="AC328" s="1">
        <f ca="1">IFERROR(__xludf.DUMMYFUNCTION("""COMPUTED_VALUE"""),200)</f>
        <v>200</v>
      </c>
      <c r="AD328" s="1">
        <f ca="1">IFERROR(__xludf.DUMMYFUNCTION("""COMPUTED_VALUE"""),138)</f>
        <v>138</v>
      </c>
      <c r="AE328" s="1">
        <f ca="1">IFERROR(__xludf.DUMMYFUNCTION("""COMPUTED_VALUE"""),435)</f>
        <v>435</v>
      </c>
      <c r="AF328" s="1">
        <f ca="1">IFERROR(__xludf.DUMMYFUNCTION("""COMPUTED_VALUE"""),492)</f>
        <v>492</v>
      </c>
    </row>
    <row r="329" spans="1:32" x14ac:dyDescent="0.25">
      <c r="A329" s="1" t="str">
        <f ca="1">IFERROR(__xludf.DUMMYFUNCTION("""COMPUTED_VALUE"""),"Syracuse")</f>
        <v>Syracuse</v>
      </c>
      <c r="B329" s="1">
        <f ca="1">IFERROR(__xludf.DUMMYFUNCTION("""COMPUTED_VALUE"""),29)</f>
        <v>29</v>
      </c>
      <c r="C329" s="1">
        <f ca="1">IFERROR(__xludf.DUMMYFUNCTION("""COMPUTED_VALUE"""),16)</f>
        <v>16</v>
      </c>
      <c r="D329" s="1">
        <f ca="1">IFERROR(__xludf.DUMMYFUNCTION("""COMPUTED_VALUE"""),13)</f>
        <v>13</v>
      </c>
      <c r="E329" s="1">
        <f ca="1">IFERROR(__xludf.DUMMYFUNCTION("""COMPUTED_VALUE"""),0.552)</f>
        <v>0.55200000000000005</v>
      </c>
      <c r="F329" s="1">
        <f ca="1">IFERROR(__xludf.DUMMYFUNCTION("""COMPUTED_VALUE"""),11.8)</f>
        <v>11.8</v>
      </c>
      <c r="G329" s="1">
        <f ca="1">IFERROR(__xludf.DUMMYFUNCTION("""COMPUTED_VALUE"""),7.49)</f>
        <v>7.49</v>
      </c>
      <c r="H329" s="1">
        <f ca="1">IFERROR(__xludf.DUMMYFUNCTION("""COMPUTED_VALUE"""),9)</f>
        <v>9</v>
      </c>
      <c r="I329" s="1">
        <f ca="1">IFERROR(__xludf.DUMMYFUNCTION("""COMPUTED_VALUE"""),9)</f>
        <v>9</v>
      </c>
      <c r="J329" s="1">
        <f ca="1">IFERROR(__xludf.DUMMYFUNCTION("""COMPUTED_VALUE"""),11)</f>
        <v>11</v>
      </c>
      <c r="K329" s="1">
        <f ca="1">IFERROR(__xludf.DUMMYFUNCTION("""COMPUTED_VALUE"""),7)</f>
        <v>7</v>
      </c>
      <c r="L329" s="1">
        <f ca="1">IFERROR(__xludf.DUMMYFUNCTION("""COMPUTED_VALUE"""),5)</f>
        <v>5</v>
      </c>
      <c r="M329" s="1">
        <f ca="1">IFERROR(__xludf.DUMMYFUNCTION("""COMPUTED_VALUE"""),4)</f>
        <v>4</v>
      </c>
      <c r="N329" s="1">
        <f ca="1">IFERROR(__xludf.DUMMYFUNCTION("""COMPUTED_VALUE"""),2148)</f>
        <v>2148</v>
      </c>
      <c r="O329" s="1">
        <f ca="1">IFERROR(__xludf.DUMMYFUNCTION("""COMPUTED_VALUE"""),2023)</f>
        <v>2023</v>
      </c>
      <c r="P329" s="1">
        <f ca="1">IFERROR(__xludf.DUMMYFUNCTION("""COMPUTED_VALUE"""),1165)</f>
        <v>1165</v>
      </c>
      <c r="Q329" s="1">
        <f ca="1">IFERROR(__xludf.DUMMYFUNCTION("""COMPUTED_VALUE"""),733)</f>
        <v>733</v>
      </c>
      <c r="R329" s="1">
        <f ca="1">IFERROR(__xludf.DUMMYFUNCTION("""COMPUTED_VALUE"""),1680)</f>
        <v>1680</v>
      </c>
      <c r="S329" s="1">
        <f ca="1">IFERROR(__xludf.DUMMYFUNCTION("""COMPUTED_VALUE"""),0.436)</f>
        <v>0.436</v>
      </c>
      <c r="T329" s="1">
        <f ca="1">IFERROR(__xludf.DUMMYFUNCTION("""COMPUTED_VALUE"""),240)</f>
        <v>240</v>
      </c>
      <c r="U329" s="1">
        <f ca="1">IFERROR(__xludf.DUMMYFUNCTION("""COMPUTED_VALUE"""),716)</f>
        <v>716</v>
      </c>
      <c r="V329" s="1">
        <f ca="1">IFERROR(__xludf.DUMMYFUNCTION("""COMPUTED_VALUE"""),0.335)</f>
        <v>0.33500000000000002</v>
      </c>
      <c r="W329" s="1">
        <f ca="1">IFERROR(__xludf.DUMMYFUNCTION("""COMPUTED_VALUE"""),442)</f>
        <v>442</v>
      </c>
      <c r="X329" s="1">
        <f ca="1">IFERROR(__xludf.DUMMYFUNCTION("""COMPUTED_VALUE"""),594)</f>
        <v>594</v>
      </c>
      <c r="Y329" s="1">
        <f ca="1">IFERROR(__xludf.DUMMYFUNCTION("""COMPUTED_VALUE"""),0.744)</f>
        <v>0.74399999999999999</v>
      </c>
      <c r="Z329" s="1">
        <f ca="1">IFERROR(__xludf.DUMMYFUNCTION("""COMPUTED_VALUE"""),296)</f>
        <v>296</v>
      </c>
      <c r="AA329" s="1">
        <f ca="1">IFERROR(__xludf.DUMMYFUNCTION("""COMPUTED_VALUE"""),1028)</f>
        <v>1028</v>
      </c>
      <c r="AB329" s="1">
        <f ca="1">IFERROR(__xludf.DUMMYFUNCTION("""COMPUTED_VALUE"""),413)</f>
        <v>413</v>
      </c>
      <c r="AC329" s="1">
        <f ca="1">IFERROR(__xludf.DUMMYFUNCTION("""COMPUTED_VALUE"""),210)</f>
        <v>210</v>
      </c>
      <c r="AD329" s="1">
        <f ca="1">IFERROR(__xludf.DUMMYFUNCTION("""COMPUTED_VALUE"""),131)</f>
        <v>131</v>
      </c>
      <c r="AE329" s="1">
        <f ca="1">IFERROR(__xludf.DUMMYFUNCTION("""COMPUTED_VALUE"""),336)</f>
        <v>336</v>
      </c>
      <c r="AF329" s="1">
        <f ca="1">IFERROR(__xludf.DUMMYFUNCTION("""COMPUTED_VALUE"""),478)</f>
        <v>478</v>
      </c>
    </row>
    <row r="330" spans="1:32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x14ac:dyDescent="0.25">
      <c r="A332" s="1" t="str">
        <f ca="1">IFERROR(__xludf.DUMMYFUNCTION("""COMPUTED_VALUE"""),"Temple")</f>
        <v>Temple</v>
      </c>
      <c r="B332" s="1">
        <f ca="1">IFERROR(__xludf.DUMMYFUNCTION("""COMPUTED_VALUE"""),29)</f>
        <v>29</v>
      </c>
      <c r="C332" s="1">
        <f ca="1">IFERROR(__xludf.DUMMYFUNCTION("""COMPUTED_VALUE"""),14)</f>
        <v>14</v>
      </c>
      <c r="D332" s="1">
        <f ca="1">IFERROR(__xludf.DUMMYFUNCTION("""COMPUTED_VALUE"""),15)</f>
        <v>15</v>
      </c>
      <c r="E332" s="1">
        <f ca="1">IFERROR(__xludf.DUMMYFUNCTION("""COMPUTED_VALUE"""),0.483)</f>
        <v>0.48299999999999998</v>
      </c>
      <c r="F332" s="1">
        <f ca="1">IFERROR(__xludf.DUMMYFUNCTION("""COMPUTED_VALUE"""),6.7)</f>
        <v>6.7</v>
      </c>
      <c r="G332" s="1">
        <f ca="1">IFERROR(__xludf.DUMMYFUNCTION("""COMPUTED_VALUE"""),5.87)</f>
        <v>5.87</v>
      </c>
      <c r="H332" s="1">
        <f ca="1">IFERROR(__xludf.DUMMYFUNCTION("""COMPUTED_VALUE"""),6)</f>
        <v>6</v>
      </c>
      <c r="I332" s="1">
        <f ca="1">IFERROR(__xludf.DUMMYFUNCTION("""COMPUTED_VALUE"""),10)</f>
        <v>10</v>
      </c>
      <c r="J332" s="1">
        <f ca="1">IFERROR(__xludf.DUMMYFUNCTION("""COMPUTED_VALUE"""),8)</f>
        <v>8</v>
      </c>
      <c r="K332" s="1">
        <f ca="1">IFERROR(__xludf.DUMMYFUNCTION("""COMPUTED_VALUE"""),6)</f>
        <v>6</v>
      </c>
      <c r="L332" s="1">
        <f ca="1">IFERROR(__xludf.DUMMYFUNCTION("""COMPUTED_VALUE"""),4)</f>
        <v>4</v>
      </c>
      <c r="M332" s="1">
        <f ca="1">IFERROR(__xludf.DUMMYFUNCTION("""COMPUTED_VALUE"""),7)</f>
        <v>7</v>
      </c>
      <c r="N332" s="1">
        <f ca="1">IFERROR(__xludf.DUMMYFUNCTION("""COMPUTED_VALUE"""),2003)</f>
        <v>2003</v>
      </c>
      <c r="O332" s="1">
        <f ca="1">IFERROR(__xludf.DUMMYFUNCTION("""COMPUTED_VALUE"""),1979)</f>
        <v>1979</v>
      </c>
      <c r="P332" s="1">
        <f ca="1">IFERROR(__xludf.DUMMYFUNCTION("""COMPUTED_VALUE"""),1175)</f>
        <v>1175</v>
      </c>
      <c r="Q332" s="1">
        <f ca="1">IFERROR(__xludf.DUMMYFUNCTION("""COMPUTED_VALUE"""),705)</f>
        <v>705</v>
      </c>
      <c r="R332" s="1">
        <f ca="1">IFERROR(__xludf.DUMMYFUNCTION("""COMPUTED_VALUE"""),1727)</f>
        <v>1727</v>
      </c>
      <c r="S332" s="1">
        <f ca="1">IFERROR(__xludf.DUMMYFUNCTION("""COMPUTED_VALUE"""),0.408)</f>
        <v>0.40799999999999997</v>
      </c>
      <c r="T332" s="1">
        <f ca="1">IFERROR(__xludf.DUMMYFUNCTION("""COMPUTED_VALUE"""),193)</f>
        <v>193</v>
      </c>
      <c r="U332" s="1">
        <f ca="1">IFERROR(__xludf.DUMMYFUNCTION("""COMPUTED_VALUE"""),600)</f>
        <v>600</v>
      </c>
      <c r="V332" s="1">
        <f ca="1">IFERROR(__xludf.DUMMYFUNCTION("""COMPUTED_VALUE"""),0.322)</f>
        <v>0.32200000000000001</v>
      </c>
      <c r="W332" s="1">
        <f ca="1">IFERROR(__xludf.DUMMYFUNCTION("""COMPUTED_VALUE"""),400)</f>
        <v>400</v>
      </c>
      <c r="X332" s="1">
        <f ca="1">IFERROR(__xludf.DUMMYFUNCTION("""COMPUTED_VALUE"""),584)</f>
        <v>584</v>
      </c>
      <c r="Y332" s="1">
        <f ca="1">IFERROR(__xludf.DUMMYFUNCTION("""COMPUTED_VALUE"""),0.685)</f>
        <v>0.68500000000000005</v>
      </c>
      <c r="Z332" s="1">
        <f ca="1">IFERROR(__xludf.DUMMYFUNCTION("""COMPUTED_VALUE"""),279)</f>
        <v>279</v>
      </c>
      <c r="AA332" s="1">
        <f ca="1">IFERROR(__xludf.DUMMYFUNCTION("""COMPUTED_VALUE"""),1091)</f>
        <v>1091</v>
      </c>
      <c r="AB332" s="1">
        <f ca="1">IFERROR(__xludf.DUMMYFUNCTION("""COMPUTED_VALUE"""),400)</f>
        <v>400</v>
      </c>
      <c r="AC332" s="1">
        <f ca="1">IFERROR(__xludf.DUMMYFUNCTION("""COMPUTED_VALUE"""),232)</f>
        <v>232</v>
      </c>
      <c r="AD332" s="1">
        <f ca="1">IFERROR(__xludf.DUMMYFUNCTION("""COMPUTED_VALUE"""),86)</f>
        <v>86</v>
      </c>
      <c r="AE332" s="1">
        <f ca="1">IFERROR(__xludf.DUMMYFUNCTION("""COMPUTED_VALUE"""),377)</f>
        <v>377</v>
      </c>
      <c r="AF332" s="1">
        <f ca="1">IFERROR(__xludf.DUMMYFUNCTION("""COMPUTED_VALUE"""),512)</f>
        <v>512</v>
      </c>
    </row>
    <row r="333" spans="1:32" x14ac:dyDescent="0.25">
      <c r="A333" s="1" t="str">
        <f ca="1">IFERROR(__xludf.DUMMYFUNCTION("""COMPUTED_VALUE"""),"Tennessee-Martin")</f>
        <v>Tennessee-Martin</v>
      </c>
      <c r="B333" s="1">
        <f ca="1">IFERROR(__xludf.DUMMYFUNCTION("""COMPUTED_VALUE"""),29)</f>
        <v>29</v>
      </c>
      <c r="C333" s="1">
        <f ca="1">IFERROR(__xludf.DUMMYFUNCTION("""COMPUTED_VALUE"""),9)</f>
        <v>9</v>
      </c>
      <c r="D333" s="1">
        <f ca="1">IFERROR(__xludf.DUMMYFUNCTION("""COMPUTED_VALUE"""),20)</f>
        <v>20</v>
      </c>
      <c r="E333" s="1">
        <f ca="1">IFERROR(__xludf.DUMMYFUNCTION("""COMPUTED_VALUE"""),0.31)</f>
        <v>0.31</v>
      </c>
      <c r="F333" s="1">
        <f ca="1">IFERROR(__xludf.DUMMYFUNCTION("""COMPUTED_VALUE"""),-14.08)</f>
        <v>-14.08</v>
      </c>
      <c r="G333" s="1">
        <f ca="1">IFERROR(__xludf.DUMMYFUNCTION("""COMPUTED_VALUE"""),-4.23)</f>
        <v>-4.2300000000000004</v>
      </c>
      <c r="H333" s="1">
        <f ca="1">IFERROR(__xludf.DUMMYFUNCTION("""COMPUTED_VALUE"""),5)</f>
        <v>5</v>
      </c>
      <c r="I333" s="1">
        <f ca="1">IFERROR(__xludf.DUMMYFUNCTION("""COMPUTED_VALUE"""),13)</f>
        <v>13</v>
      </c>
      <c r="J333" s="1">
        <f ca="1">IFERROR(__xludf.DUMMYFUNCTION("""COMPUTED_VALUE"""),6)</f>
        <v>6</v>
      </c>
      <c r="K333" s="1">
        <f ca="1">IFERROR(__xludf.DUMMYFUNCTION("""COMPUTED_VALUE"""),6)</f>
        <v>6</v>
      </c>
      <c r="L333" s="1">
        <f ca="1">IFERROR(__xludf.DUMMYFUNCTION("""COMPUTED_VALUE"""),2)</f>
        <v>2</v>
      </c>
      <c r="M333" s="1">
        <f ca="1">IFERROR(__xludf.DUMMYFUNCTION("""COMPUTED_VALUE"""),12)</f>
        <v>12</v>
      </c>
      <c r="N333" s="1">
        <f ca="1">IFERROR(__xludf.DUMMYFUNCTION("""COMPUTED_VALUE"""),2194)</f>
        <v>2194</v>
      </c>
      <c r="O333" s="1">
        <f ca="1">IFERROR(__xludf.DUMMYFUNCTION("""COMPUTED_VALUE"""),2382)</f>
        <v>2382</v>
      </c>
      <c r="P333" s="1">
        <f ca="1">IFERROR(__xludf.DUMMYFUNCTION("""COMPUTED_VALUE"""),1165)</f>
        <v>1165</v>
      </c>
      <c r="Q333" s="1">
        <f ca="1">IFERROR(__xludf.DUMMYFUNCTION("""COMPUTED_VALUE"""),781)</f>
        <v>781</v>
      </c>
      <c r="R333" s="1">
        <f ca="1">IFERROR(__xludf.DUMMYFUNCTION("""COMPUTED_VALUE"""),1718)</f>
        <v>1718</v>
      </c>
      <c r="S333" s="1">
        <f ca="1">IFERROR(__xludf.DUMMYFUNCTION("""COMPUTED_VALUE"""),0.455)</f>
        <v>0.45500000000000002</v>
      </c>
      <c r="T333" s="1">
        <f ca="1">IFERROR(__xludf.DUMMYFUNCTION("""COMPUTED_VALUE"""),218)</f>
        <v>218</v>
      </c>
      <c r="U333" s="1">
        <f ca="1">IFERROR(__xludf.DUMMYFUNCTION("""COMPUTED_VALUE"""),646)</f>
        <v>646</v>
      </c>
      <c r="V333" s="1">
        <f ca="1">IFERROR(__xludf.DUMMYFUNCTION("""COMPUTED_VALUE"""),0.337)</f>
        <v>0.33700000000000002</v>
      </c>
      <c r="W333" s="1">
        <f ca="1">IFERROR(__xludf.DUMMYFUNCTION("""COMPUTED_VALUE"""),414)</f>
        <v>414</v>
      </c>
      <c r="X333" s="1">
        <f ca="1">IFERROR(__xludf.DUMMYFUNCTION("""COMPUTED_VALUE"""),550)</f>
        <v>550</v>
      </c>
      <c r="Y333" s="1">
        <f ca="1">IFERROR(__xludf.DUMMYFUNCTION("""COMPUTED_VALUE"""),0.753)</f>
        <v>0.753</v>
      </c>
      <c r="Z333" s="1">
        <f ca="1">IFERROR(__xludf.DUMMYFUNCTION("""COMPUTED_VALUE"""),311)</f>
        <v>311</v>
      </c>
      <c r="AA333" s="1">
        <f ca="1">IFERROR(__xludf.DUMMYFUNCTION("""COMPUTED_VALUE"""),954)</f>
        <v>954</v>
      </c>
      <c r="AB333" s="1">
        <f ca="1">IFERROR(__xludf.DUMMYFUNCTION("""COMPUTED_VALUE"""),353)</f>
        <v>353</v>
      </c>
      <c r="AC333" s="1">
        <f ca="1">IFERROR(__xludf.DUMMYFUNCTION("""COMPUTED_VALUE"""),147)</f>
        <v>147</v>
      </c>
      <c r="AD333" s="1">
        <f ca="1">IFERROR(__xludf.DUMMYFUNCTION("""COMPUTED_VALUE"""),80)</f>
        <v>80</v>
      </c>
      <c r="AE333" s="1">
        <f ca="1">IFERROR(__xludf.DUMMYFUNCTION("""COMPUTED_VALUE"""),374)</f>
        <v>374</v>
      </c>
      <c r="AF333" s="1">
        <f ca="1">IFERROR(__xludf.DUMMYFUNCTION("""COMPUTED_VALUE"""),464)</f>
        <v>464</v>
      </c>
    </row>
    <row r="334" spans="1:32" x14ac:dyDescent="0.25">
      <c r="A334" s="1" t="str">
        <f ca="1">IFERROR(__xludf.DUMMYFUNCTION("""COMPUTED_VALUE"""),"Tennessee State")</f>
        <v>Tennessee State</v>
      </c>
      <c r="B334" s="1">
        <f ca="1">IFERROR(__xludf.DUMMYFUNCTION("""COMPUTED_VALUE"""),31)</f>
        <v>31</v>
      </c>
      <c r="C334" s="1">
        <f ca="1">IFERROR(__xludf.DUMMYFUNCTION("""COMPUTED_VALUE"""),17)</f>
        <v>17</v>
      </c>
      <c r="D334" s="1">
        <f ca="1">IFERROR(__xludf.DUMMYFUNCTION("""COMPUTED_VALUE"""),14)</f>
        <v>14</v>
      </c>
      <c r="E334" s="1">
        <f ca="1">IFERROR(__xludf.DUMMYFUNCTION("""COMPUTED_VALUE"""),0.548)</f>
        <v>0.54800000000000004</v>
      </c>
      <c r="F334" s="1">
        <f ca="1">IFERROR(__xludf.DUMMYFUNCTION("""COMPUTED_VALUE"""),-6.33)</f>
        <v>-6.33</v>
      </c>
      <c r="G334" s="1">
        <f ca="1">IFERROR(__xludf.DUMMYFUNCTION("""COMPUTED_VALUE"""),-5.09)</f>
        <v>-5.09</v>
      </c>
      <c r="H334" s="1">
        <f ca="1">IFERROR(__xludf.DUMMYFUNCTION("""COMPUTED_VALUE"""),9)</f>
        <v>9</v>
      </c>
      <c r="I334" s="1">
        <f ca="1">IFERROR(__xludf.DUMMYFUNCTION("""COMPUTED_VALUE"""),9)</f>
        <v>9</v>
      </c>
      <c r="J334" s="1">
        <f ca="1">IFERROR(__xludf.DUMMYFUNCTION("""COMPUTED_VALUE"""),11)</f>
        <v>11</v>
      </c>
      <c r="K334" s="1">
        <f ca="1">IFERROR(__xludf.DUMMYFUNCTION("""COMPUTED_VALUE"""),3)</f>
        <v>3</v>
      </c>
      <c r="L334" s="1">
        <f ca="1">IFERROR(__xludf.DUMMYFUNCTION("""COMPUTED_VALUE"""),4)</f>
        <v>4</v>
      </c>
      <c r="M334" s="1">
        <f ca="1">IFERROR(__xludf.DUMMYFUNCTION("""COMPUTED_VALUE"""),11)</f>
        <v>11</v>
      </c>
      <c r="N334" s="1">
        <f ca="1">IFERROR(__xludf.DUMMYFUNCTION("""COMPUTED_VALUE"""),2233)</f>
        <v>2233</v>
      </c>
      <c r="O334" s="1">
        <f ca="1">IFERROR(__xludf.DUMMYFUNCTION("""COMPUTED_VALUE"""),2220)</f>
        <v>2220</v>
      </c>
      <c r="P334" s="1">
        <f ca="1">IFERROR(__xludf.DUMMYFUNCTION("""COMPUTED_VALUE"""),1245)</f>
        <v>1245</v>
      </c>
      <c r="Q334" s="1">
        <f ca="1">IFERROR(__xludf.DUMMYFUNCTION("""COMPUTED_VALUE"""),820)</f>
        <v>820</v>
      </c>
      <c r="R334" s="1">
        <f ca="1">IFERROR(__xludf.DUMMYFUNCTION("""COMPUTED_VALUE"""),1731)</f>
        <v>1731</v>
      </c>
      <c r="S334" s="1">
        <f ca="1">IFERROR(__xludf.DUMMYFUNCTION("""COMPUTED_VALUE"""),0.474)</f>
        <v>0.47399999999999998</v>
      </c>
      <c r="T334" s="1">
        <f ca="1">IFERROR(__xludf.DUMMYFUNCTION("""COMPUTED_VALUE"""),231)</f>
        <v>231</v>
      </c>
      <c r="U334" s="1">
        <f ca="1">IFERROR(__xludf.DUMMYFUNCTION("""COMPUTED_VALUE"""),648)</f>
        <v>648</v>
      </c>
      <c r="V334" s="1">
        <f ca="1">IFERROR(__xludf.DUMMYFUNCTION("""COMPUTED_VALUE"""),0.356)</f>
        <v>0.35599999999999998</v>
      </c>
      <c r="W334" s="1">
        <f ca="1">IFERROR(__xludf.DUMMYFUNCTION("""COMPUTED_VALUE"""),357)</f>
        <v>357</v>
      </c>
      <c r="X334" s="1">
        <f ca="1">IFERROR(__xludf.DUMMYFUNCTION("""COMPUTED_VALUE"""),549)</f>
        <v>549</v>
      </c>
      <c r="Y334" s="1">
        <f ca="1">IFERROR(__xludf.DUMMYFUNCTION("""COMPUTED_VALUE"""),0.65)</f>
        <v>0.65</v>
      </c>
      <c r="Z334" s="1">
        <f ca="1">IFERROR(__xludf.DUMMYFUNCTION("""COMPUTED_VALUE"""),322)</f>
        <v>322</v>
      </c>
      <c r="AA334" s="1">
        <f ca="1">IFERROR(__xludf.DUMMYFUNCTION("""COMPUTED_VALUE"""),1164)</f>
        <v>1164</v>
      </c>
      <c r="AB334" s="1">
        <f ca="1">IFERROR(__xludf.DUMMYFUNCTION("""COMPUTED_VALUE"""),431)</f>
        <v>431</v>
      </c>
      <c r="AC334" s="1">
        <f ca="1">IFERROR(__xludf.DUMMYFUNCTION("""COMPUTED_VALUE"""),160)</f>
        <v>160</v>
      </c>
      <c r="AD334" s="1">
        <f ca="1">IFERROR(__xludf.DUMMYFUNCTION("""COMPUTED_VALUE"""),128)</f>
        <v>128</v>
      </c>
      <c r="AE334" s="1">
        <f ca="1">IFERROR(__xludf.DUMMYFUNCTION("""COMPUTED_VALUE"""),531)</f>
        <v>531</v>
      </c>
      <c r="AF334" s="1">
        <f ca="1">IFERROR(__xludf.DUMMYFUNCTION("""COMPUTED_VALUE"""),619)</f>
        <v>619</v>
      </c>
    </row>
    <row r="335" spans="1:32" x14ac:dyDescent="0.25">
      <c r="A335" s="1" t="str">
        <f ca="1">IFERROR(__xludf.DUMMYFUNCTION("""COMPUTED_VALUE"""),"Tennessee Tech")</f>
        <v>Tennessee Tech</v>
      </c>
      <c r="B335" s="1">
        <f ca="1">IFERROR(__xludf.DUMMYFUNCTION("""COMPUTED_VALUE"""),31)</f>
        <v>31</v>
      </c>
      <c r="C335" s="1">
        <f ca="1">IFERROR(__xludf.DUMMYFUNCTION("""COMPUTED_VALUE"""),9)</f>
        <v>9</v>
      </c>
      <c r="D335" s="1">
        <f ca="1">IFERROR(__xludf.DUMMYFUNCTION("""COMPUTED_VALUE"""),22)</f>
        <v>22</v>
      </c>
      <c r="E335" s="1">
        <f ca="1">IFERROR(__xludf.DUMMYFUNCTION("""COMPUTED_VALUE"""),0.29)</f>
        <v>0.28999999999999998</v>
      </c>
      <c r="F335" s="1">
        <f ca="1">IFERROR(__xludf.DUMMYFUNCTION("""COMPUTED_VALUE"""),-13.57)</f>
        <v>-13.57</v>
      </c>
      <c r="G335" s="1">
        <f ca="1">IFERROR(__xludf.DUMMYFUNCTION("""COMPUTED_VALUE"""),-4.6)</f>
        <v>-4.5999999999999996</v>
      </c>
      <c r="H335" s="1">
        <f ca="1">IFERROR(__xludf.DUMMYFUNCTION("""COMPUTED_VALUE"""),6)</f>
        <v>6</v>
      </c>
      <c r="I335" s="1">
        <f ca="1">IFERROR(__xludf.DUMMYFUNCTION("""COMPUTED_VALUE"""),12)</f>
        <v>12</v>
      </c>
      <c r="J335" s="1">
        <f ca="1">IFERROR(__xludf.DUMMYFUNCTION("""COMPUTED_VALUE"""),6)</f>
        <v>6</v>
      </c>
      <c r="K335" s="1">
        <f ca="1">IFERROR(__xludf.DUMMYFUNCTION("""COMPUTED_VALUE"""),8)</f>
        <v>8</v>
      </c>
      <c r="L335" s="1">
        <f ca="1">IFERROR(__xludf.DUMMYFUNCTION("""COMPUTED_VALUE"""),3)</f>
        <v>3</v>
      </c>
      <c r="M335" s="1">
        <f ca="1">IFERROR(__xludf.DUMMYFUNCTION("""COMPUTED_VALUE"""),12)</f>
        <v>12</v>
      </c>
      <c r="N335" s="1">
        <f ca="1">IFERROR(__xludf.DUMMYFUNCTION("""COMPUTED_VALUE"""),2033)</f>
        <v>2033</v>
      </c>
      <c r="O335" s="1">
        <f ca="1">IFERROR(__xludf.DUMMYFUNCTION("""COMPUTED_VALUE"""),2241)</f>
        <v>2241</v>
      </c>
      <c r="P335" s="1">
        <f ca="1">IFERROR(__xludf.DUMMYFUNCTION("""COMPUTED_VALUE"""),1250)</f>
        <v>1250</v>
      </c>
      <c r="Q335" s="1">
        <f ca="1">IFERROR(__xludf.DUMMYFUNCTION("""COMPUTED_VALUE"""),754)</f>
        <v>754</v>
      </c>
      <c r="R335" s="1">
        <f ca="1">IFERROR(__xludf.DUMMYFUNCTION("""COMPUTED_VALUE"""),1826)</f>
        <v>1826</v>
      </c>
      <c r="S335" s="1">
        <f ca="1">IFERROR(__xludf.DUMMYFUNCTION("""COMPUTED_VALUE"""),0.413)</f>
        <v>0.41299999999999998</v>
      </c>
      <c r="T335" s="1">
        <f ca="1">IFERROR(__xludf.DUMMYFUNCTION("""COMPUTED_VALUE"""),257)</f>
        <v>257</v>
      </c>
      <c r="U335" s="1">
        <f ca="1">IFERROR(__xludf.DUMMYFUNCTION("""COMPUTED_VALUE"""),776)</f>
        <v>776</v>
      </c>
      <c r="V335" s="1">
        <f ca="1">IFERROR(__xludf.DUMMYFUNCTION("""COMPUTED_VALUE"""),0.331)</f>
        <v>0.33100000000000002</v>
      </c>
      <c r="W335" s="1">
        <f ca="1">IFERROR(__xludf.DUMMYFUNCTION("""COMPUTED_VALUE"""),268)</f>
        <v>268</v>
      </c>
      <c r="X335" s="1">
        <f ca="1">IFERROR(__xludf.DUMMYFUNCTION("""COMPUTED_VALUE"""),397)</f>
        <v>397</v>
      </c>
      <c r="Y335" s="1">
        <f ca="1">IFERROR(__xludf.DUMMYFUNCTION("""COMPUTED_VALUE"""),0.675)</f>
        <v>0.67500000000000004</v>
      </c>
      <c r="Z335" s="1">
        <f ca="1">IFERROR(__xludf.DUMMYFUNCTION("""COMPUTED_VALUE"""),327)</f>
        <v>327</v>
      </c>
      <c r="AA335" s="1">
        <f ca="1">IFERROR(__xludf.DUMMYFUNCTION("""COMPUTED_VALUE"""),1072)</f>
        <v>1072</v>
      </c>
      <c r="AB335" s="1">
        <f ca="1">IFERROR(__xludf.DUMMYFUNCTION("""COMPUTED_VALUE"""),431)</f>
        <v>431</v>
      </c>
      <c r="AC335" s="1">
        <f ca="1">IFERROR(__xludf.DUMMYFUNCTION("""COMPUTED_VALUE"""),213)</f>
        <v>213</v>
      </c>
      <c r="AD335" s="1">
        <f ca="1">IFERROR(__xludf.DUMMYFUNCTION("""COMPUTED_VALUE"""),93)</f>
        <v>93</v>
      </c>
      <c r="AE335" s="1">
        <f ca="1">IFERROR(__xludf.DUMMYFUNCTION("""COMPUTED_VALUE"""),463)</f>
        <v>463</v>
      </c>
      <c r="AF335" s="1">
        <f ca="1">IFERROR(__xludf.DUMMYFUNCTION("""COMPUTED_VALUE"""),460)</f>
        <v>460</v>
      </c>
    </row>
    <row r="336" spans="1:32" x14ac:dyDescent="0.25">
      <c r="A336" s="1" t="str">
        <f ca="1">IFERROR(__xludf.DUMMYFUNCTION("""COMPUTED_VALUE"""),"Tennessee")</f>
        <v>Tennessee</v>
      </c>
      <c r="B336" s="1">
        <f ca="1">IFERROR(__xludf.DUMMYFUNCTION("""COMPUTED_VALUE"""),29)</f>
        <v>29</v>
      </c>
      <c r="C336" s="1">
        <f ca="1">IFERROR(__xludf.DUMMYFUNCTION("""COMPUTED_VALUE"""),16)</f>
        <v>16</v>
      </c>
      <c r="D336" s="1">
        <f ca="1">IFERROR(__xludf.DUMMYFUNCTION("""COMPUTED_VALUE"""),13)</f>
        <v>13</v>
      </c>
      <c r="E336" s="1">
        <f ca="1">IFERROR(__xludf.DUMMYFUNCTION("""COMPUTED_VALUE"""),0.552)</f>
        <v>0.55200000000000005</v>
      </c>
      <c r="F336" s="1">
        <f ca="1">IFERROR(__xludf.DUMMYFUNCTION("""COMPUTED_VALUE"""),11.36)</f>
        <v>11.36</v>
      </c>
      <c r="G336" s="1">
        <f ca="1">IFERROR(__xludf.DUMMYFUNCTION("""COMPUTED_VALUE"""),7.8)</f>
        <v>7.8</v>
      </c>
      <c r="H336" s="1">
        <f ca="1">IFERROR(__xludf.DUMMYFUNCTION("""COMPUTED_VALUE"""),8)</f>
        <v>8</v>
      </c>
      <c r="I336" s="1">
        <f ca="1">IFERROR(__xludf.DUMMYFUNCTION("""COMPUTED_VALUE"""),8)</f>
        <v>8</v>
      </c>
      <c r="J336" s="1">
        <f ca="1">IFERROR(__xludf.DUMMYFUNCTION("""COMPUTED_VALUE"""),11)</f>
        <v>11</v>
      </c>
      <c r="K336" s="1">
        <f ca="1">IFERROR(__xludf.DUMMYFUNCTION("""COMPUTED_VALUE"""),5)</f>
        <v>5</v>
      </c>
      <c r="L336" s="1">
        <f ca="1">IFERROR(__xludf.DUMMYFUNCTION("""COMPUTED_VALUE"""),3)</f>
        <v>3</v>
      </c>
      <c r="M336" s="1">
        <f ca="1">IFERROR(__xludf.DUMMYFUNCTION("""COMPUTED_VALUE"""),7)</f>
        <v>7</v>
      </c>
      <c r="N336" s="1">
        <f ca="1">IFERROR(__xludf.DUMMYFUNCTION("""COMPUTED_VALUE"""),1935)</f>
        <v>1935</v>
      </c>
      <c r="O336" s="1">
        <f ca="1">IFERROR(__xludf.DUMMYFUNCTION("""COMPUTED_VALUE"""),1832)</f>
        <v>1832</v>
      </c>
      <c r="P336" s="1">
        <f ca="1">IFERROR(__xludf.DUMMYFUNCTION("""COMPUTED_VALUE"""),1160)</f>
        <v>1160</v>
      </c>
      <c r="Q336" s="1">
        <f ca="1">IFERROR(__xludf.DUMMYFUNCTION("""COMPUTED_VALUE"""),669)</f>
        <v>669</v>
      </c>
      <c r="R336" s="1">
        <f ca="1">IFERROR(__xludf.DUMMYFUNCTION("""COMPUTED_VALUE"""),1549)</f>
        <v>1549</v>
      </c>
      <c r="S336" s="1">
        <f ca="1">IFERROR(__xludf.DUMMYFUNCTION("""COMPUTED_VALUE"""),0.432)</f>
        <v>0.432</v>
      </c>
      <c r="T336" s="1">
        <f ca="1">IFERROR(__xludf.DUMMYFUNCTION("""COMPUTED_VALUE"""),171)</f>
        <v>171</v>
      </c>
      <c r="U336" s="1">
        <f ca="1">IFERROR(__xludf.DUMMYFUNCTION("""COMPUTED_VALUE"""),558)</f>
        <v>558</v>
      </c>
      <c r="V336" s="1">
        <f ca="1">IFERROR(__xludf.DUMMYFUNCTION("""COMPUTED_VALUE"""),0.306)</f>
        <v>0.30599999999999999</v>
      </c>
      <c r="W336" s="1">
        <f ca="1">IFERROR(__xludf.DUMMYFUNCTION("""COMPUTED_VALUE"""),426)</f>
        <v>426</v>
      </c>
      <c r="X336" s="1">
        <f ca="1">IFERROR(__xludf.DUMMYFUNCTION("""COMPUTED_VALUE"""),572)</f>
        <v>572</v>
      </c>
      <c r="Y336" s="1">
        <f ca="1">IFERROR(__xludf.DUMMYFUNCTION("""COMPUTED_VALUE"""),0.745)</f>
        <v>0.745</v>
      </c>
      <c r="Z336" s="1">
        <f ca="1">IFERROR(__xludf.DUMMYFUNCTION("""COMPUTED_VALUE"""),291)</f>
        <v>291</v>
      </c>
      <c r="AA336" s="1">
        <f ca="1">IFERROR(__xludf.DUMMYFUNCTION("""COMPUTED_VALUE"""),1012)</f>
        <v>1012</v>
      </c>
      <c r="AB336" s="1">
        <f ca="1">IFERROR(__xludf.DUMMYFUNCTION("""COMPUTED_VALUE"""),425)</f>
        <v>425</v>
      </c>
      <c r="AC336" s="1">
        <f ca="1">IFERROR(__xludf.DUMMYFUNCTION("""COMPUTED_VALUE"""),175)</f>
        <v>175</v>
      </c>
      <c r="AD336" s="1">
        <f ca="1">IFERROR(__xludf.DUMMYFUNCTION("""COMPUTED_VALUE"""),168)</f>
        <v>168</v>
      </c>
      <c r="AE336" s="1">
        <f ca="1">IFERROR(__xludf.DUMMYFUNCTION("""COMPUTED_VALUE"""),397)</f>
        <v>397</v>
      </c>
      <c r="AF336" s="1">
        <f ca="1">IFERROR(__xludf.DUMMYFUNCTION("""COMPUTED_VALUE"""),527)</f>
        <v>527</v>
      </c>
    </row>
    <row r="337" spans="1:32" x14ac:dyDescent="0.25">
      <c r="A337" s="1" t="str">
        <f ca="1">IFERROR(__xludf.DUMMYFUNCTION("""COMPUTED_VALUE"""),"Texas A&amp;M-Corpus Christi")</f>
        <v>Texas A&amp;M-Corpus Christi</v>
      </c>
      <c r="B337" s="1">
        <f ca="1">IFERROR(__xludf.DUMMYFUNCTION("""COMPUTED_VALUE"""),29)</f>
        <v>29</v>
      </c>
      <c r="C337" s="1">
        <f ca="1">IFERROR(__xludf.DUMMYFUNCTION("""COMPUTED_VALUE"""),12)</f>
        <v>12</v>
      </c>
      <c r="D337" s="1">
        <f ca="1">IFERROR(__xludf.DUMMYFUNCTION("""COMPUTED_VALUE"""),17)</f>
        <v>17</v>
      </c>
      <c r="E337" s="1">
        <f ca="1">IFERROR(__xludf.DUMMYFUNCTION("""COMPUTED_VALUE"""),0.414)</f>
        <v>0.41399999999999998</v>
      </c>
      <c r="F337" s="1">
        <f ca="1">IFERROR(__xludf.DUMMYFUNCTION("""COMPUTED_VALUE"""),-10.93)</f>
        <v>-10.93</v>
      </c>
      <c r="G337" s="1">
        <f ca="1">IFERROR(__xludf.DUMMYFUNCTION("""COMPUTED_VALUE"""),-6.19)</f>
        <v>-6.19</v>
      </c>
      <c r="H337" s="1">
        <f ca="1">IFERROR(__xludf.DUMMYFUNCTION("""COMPUTED_VALUE"""),8)</f>
        <v>8</v>
      </c>
      <c r="I337" s="1">
        <f ca="1">IFERROR(__xludf.DUMMYFUNCTION("""COMPUTED_VALUE"""),10)</f>
        <v>10</v>
      </c>
      <c r="J337" s="1">
        <f ca="1">IFERROR(__xludf.DUMMYFUNCTION("""COMPUTED_VALUE"""),8)</f>
        <v>8</v>
      </c>
      <c r="K337" s="1">
        <f ca="1">IFERROR(__xludf.DUMMYFUNCTION("""COMPUTED_VALUE"""),6)</f>
        <v>6</v>
      </c>
      <c r="L337" s="1">
        <f ca="1">IFERROR(__xludf.DUMMYFUNCTION("""COMPUTED_VALUE"""),4)</f>
        <v>4</v>
      </c>
      <c r="M337" s="1">
        <f ca="1">IFERROR(__xludf.DUMMYFUNCTION("""COMPUTED_VALUE"""),11)</f>
        <v>11</v>
      </c>
      <c r="N337" s="1">
        <f ca="1">IFERROR(__xludf.DUMMYFUNCTION("""COMPUTED_VALUE"""),1892)</f>
        <v>1892</v>
      </c>
      <c r="O337" s="1">
        <f ca="1">IFERROR(__xludf.DUMMYFUNCTION("""COMPUTED_VALUE"""),1982)</f>
        <v>1982</v>
      </c>
      <c r="P337" s="1">
        <f ca="1">IFERROR(__xludf.DUMMYFUNCTION("""COMPUTED_VALUE"""),1160)</f>
        <v>1160</v>
      </c>
      <c r="Q337" s="1">
        <f ca="1">IFERROR(__xludf.DUMMYFUNCTION("""COMPUTED_VALUE"""),660)</f>
        <v>660</v>
      </c>
      <c r="R337" s="1">
        <f ca="1">IFERROR(__xludf.DUMMYFUNCTION("""COMPUTED_VALUE"""),1494)</f>
        <v>1494</v>
      </c>
      <c r="S337" s="1">
        <f ca="1">IFERROR(__xludf.DUMMYFUNCTION("""COMPUTED_VALUE"""),0.442)</f>
        <v>0.442</v>
      </c>
      <c r="T337" s="1">
        <f ca="1">IFERROR(__xludf.DUMMYFUNCTION("""COMPUTED_VALUE"""),216)</f>
        <v>216</v>
      </c>
      <c r="U337" s="1">
        <f ca="1">IFERROR(__xludf.DUMMYFUNCTION("""COMPUTED_VALUE"""),585)</f>
        <v>585</v>
      </c>
      <c r="V337" s="1">
        <f ca="1">IFERROR(__xludf.DUMMYFUNCTION("""COMPUTED_VALUE"""),0.369)</f>
        <v>0.36899999999999999</v>
      </c>
      <c r="W337" s="1">
        <f ca="1">IFERROR(__xludf.DUMMYFUNCTION("""COMPUTED_VALUE"""),354)</f>
        <v>354</v>
      </c>
      <c r="X337" s="1">
        <f ca="1">IFERROR(__xludf.DUMMYFUNCTION("""COMPUTED_VALUE"""),505)</f>
        <v>505</v>
      </c>
      <c r="Y337" s="1">
        <f ca="1">IFERROR(__xludf.DUMMYFUNCTION("""COMPUTED_VALUE"""),0.701)</f>
        <v>0.70099999999999996</v>
      </c>
      <c r="Z337" s="1">
        <f ca="1">IFERROR(__xludf.DUMMYFUNCTION("""COMPUTED_VALUE"""),270)</f>
        <v>270</v>
      </c>
      <c r="AA337" s="1">
        <f ca="1">IFERROR(__xludf.DUMMYFUNCTION("""COMPUTED_VALUE"""),985)</f>
        <v>985</v>
      </c>
      <c r="AB337" s="1">
        <f ca="1">IFERROR(__xludf.DUMMYFUNCTION("""COMPUTED_VALUE"""),358)</f>
        <v>358</v>
      </c>
      <c r="AC337" s="1">
        <f ca="1">IFERROR(__xludf.DUMMYFUNCTION("""COMPUTED_VALUE"""),163)</f>
        <v>163</v>
      </c>
      <c r="AD337" s="1">
        <f ca="1">IFERROR(__xludf.DUMMYFUNCTION("""COMPUTED_VALUE"""),89)</f>
        <v>89</v>
      </c>
      <c r="AE337" s="1">
        <f ca="1">IFERROR(__xludf.DUMMYFUNCTION("""COMPUTED_VALUE"""),513)</f>
        <v>513</v>
      </c>
      <c r="AF337" s="1">
        <f ca="1">IFERROR(__xludf.DUMMYFUNCTION("""COMPUTED_VALUE"""),561)</f>
        <v>561</v>
      </c>
    </row>
    <row r="338" spans="1:32" x14ac:dyDescent="0.25">
      <c r="A338" s="1" t="str">
        <f ca="1">IFERROR(__xludf.DUMMYFUNCTION("""COMPUTED_VALUE"""),"Texas A&amp;M")</f>
        <v>Texas A&amp;M</v>
      </c>
      <c r="B338" s="1">
        <f ca="1">IFERROR(__xludf.DUMMYFUNCTION("""COMPUTED_VALUE"""),28)</f>
        <v>28</v>
      </c>
      <c r="C338" s="1">
        <f ca="1">IFERROR(__xludf.DUMMYFUNCTION("""COMPUTED_VALUE"""),14)</f>
        <v>14</v>
      </c>
      <c r="D338" s="1">
        <f ca="1">IFERROR(__xludf.DUMMYFUNCTION("""COMPUTED_VALUE"""),14)</f>
        <v>14</v>
      </c>
      <c r="E338" s="1">
        <f ca="1">IFERROR(__xludf.DUMMYFUNCTION("""COMPUTED_VALUE"""),0.5)</f>
        <v>0.5</v>
      </c>
      <c r="F338" s="1">
        <f ca="1">IFERROR(__xludf.DUMMYFUNCTION("""COMPUTED_VALUE"""),3.85)</f>
        <v>3.85</v>
      </c>
      <c r="G338" s="1">
        <f ca="1">IFERROR(__xludf.DUMMYFUNCTION("""COMPUTED_VALUE"""),6.42)</f>
        <v>6.42</v>
      </c>
      <c r="H338" s="1">
        <f ca="1">IFERROR(__xludf.DUMMYFUNCTION("""COMPUTED_VALUE"""),8)</f>
        <v>8</v>
      </c>
      <c r="I338" s="1">
        <f ca="1">IFERROR(__xludf.DUMMYFUNCTION("""COMPUTED_VALUE"""),8)</f>
        <v>8</v>
      </c>
      <c r="J338" s="1">
        <f ca="1">IFERROR(__xludf.DUMMYFUNCTION("""COMPUTED_VALUE"""),10)</f>
        <v>10</v>
      </c>
      <c r="K338" s="1">
        <f ca="1">IFERROR(__xludf.DUMMYFUNCTION("""COMPUTED_VALUE"""),6)</f>
        <v>6</v>
      </c>
      <c r="L338" s="1">
        <f ca="1">IFERROR(__xludf.DUMMYFUNCTION("""COMPUTED_VALUE"""),4)</f>
        <v>4</v>
      </c>
      <c r="M338" s="1">
        <f ca="1">IFERROR(__xludf.DUMMYFUNCTION("""COMPUTED_VALUE"""),4)</f>
        <v>4</v>
      </c>
      <c r="N338" s="1">
        <f ca="1">IFERROR(__xludf.DUMMYFUNCTION("""COMPUTED_VALUE"""),1739)</f>
        <v>1739</v>
      </c>
      <c r="O338" s="1">
        <f ca="1">IFERROR(__xludf.DUMMYFUNCTION("""COMPUTED_VALUE"""),1811)</f>
        <v>1811</v>
      </c>
      <c r="P338" s="1">
        <f ca="1">IFERROR(__xludf.DUMMYFUNCTION("""COMPUTED_VALUE"""),1125)</f>
        <v>1125</v>
      </c>
      <c r="Q338" s="1">
        <f ca="1">IFERROR(__xludf.DUMMYFUNCTION("""COMPUTED_VALUE"""),581)</f>
        <v>581</v>
      </c>
      <c r="R338" s="1">
        <f ca="1">IFERROR(__xludf.DUMMYFUNCTION("""COMPUTED_VALUE"""),1458)</f>
        <v>1458</v>
      </c>
      <c r="S338" s="1">
        <f ca="1">IFERROR(__xludf.DUMMYFUNCTION("""COMPUTED_VALUE"""),0.398)</f>
        <v>0.39800000000000002</v>
      </c>
      <c r="T338" s="1">
        <f ca="1">IFERROR(__xludf.DUMMYFUNCTION("""COMPUTED_VALUE"""),173)</f>
        <v>173</v>
      </c>
      <c r="U338" s="1">
        <f ca="1">IFERROR(__xludf.DUMMYFUNCTION("""COMPUTED_VALUE"""),602)</f>
        <v>602</v>
      </c>
      <c r="V338" s="1">
        <f ca="1">IFERROR(__xludf.DUMMYFUNCTION("""COMPUTED_VALUE"""),0.287)</f>
        <v>0.28699999999999998</v>
      </c>
      <c r="W338" s="1">
        <f ca="1">IFERROR(__xludf.DUMMYFUNCTION("""COMPUTED_VALUE"""),404)</f>
        <v>404</v>
      </c>
      <c r="X338" s="1">
        <f ca="1">IFERROR(__xludf.DUMMYFUNCTION("""COMPUTED_VALUE"""),592)</f>
        <v>592</v>
      </c>
      <c r="Y338" s="1">
        <f ca="1">IFERROR(__xludf.DUMMYFUNCTION("""COMPUTED_VALUE"""),0.682)</f>
        <v>0.68200000000000005</v>
      </c>
      <c r="Z338" s="1">
        <f ca="1">IFERROR(__xludf.DUMMYFUNCTION("""COMPUTED_VALUE"""),298)</f>
        <v>298</v>
      </c>
      <c r="AA338" s="1">
        <f ca="1">IFERROR(__xludf.DUMMYFUNCTION("""COMPUTED_VALUE"""),947)</f>
        <v>947</v>
      </c>
      <c r="AB338" s="1">
        <f ca="1">IFERROR(__xludf.DUMMYFUNCTION("""COMPUTED_VALUE"""),305)</f>
        <v>305</v>
      </c>
      <c r="AC338" s="1">
        <f ca="1">IFERROR(__xludf.DUMMYFUNCTION("""COMPUTED_VALUE"""),179)</f>
        <v>179</v>
      </c>
      <c r="AD338" s="1">
        <f ca="1">IFERROR(__xludf.DUMMYFUNCTION("""COMPUTED_VALUE"""),83)</f>
        <v>83</v>
      </c>
      <c r="AE338" s="1">
        <f ca="1">IFERROR(__xludf.DUMMYFUNCTION("""COMPUTED_VALUE"""),393)</f>
        <v>393</v>
      </c>
      <c r="AF338" s="1">
        <f ca="1">IFERROR(__xludf.DUMMYFUNCTION("""COMPUTED_VALUE"""),432)</f>
        <v>432</v>
      </c>
    </row>
    <row r="339" spans="1:32" x14ac:dyDescent="0.25">
      <c r="A339" s="1" t="str">
        <f ca="1">IFERROR(__xludf.DUMMYFUNCTION("""COMPUTED_VALUE"""),"Texas-Arlington")</f>
        <v>Texas-Arlington</v>
      </c>
      <c r="B339" s="1">
        <f ca="1">IFERROR(__xludf.DUMMYFUNCTION("""COMPUTED_VALUE"""),30)</f>
        <v>30</v>
      </c>
      <c r="C339" s="1">
        <f ca="1">IFERROR(__xludf.DUMMYFUNCTION("""COMPUTED_VALUE"""),13)</f>
        <v>13</v>
      </c>
      <c r="D339" s="1">
        <f ca="1">IFERROR(__xludf.DUMMYFUNCTION("""COMPUTED_VALUE"""),17)</f>
        <v>17</v>
      </c>
      <c r="E339" s="1">
        <f ca="1">IFERROR(__xludf.DUMMYFUNCTION("""COMPUTED_VALUE"""),0.433)</f>
        <v>0.433</v>
      </c>
      <c r="F339" s="1">
        <f ca="1">IFERROR(__xludf.DUMMYFUNCTION("""COMPUTED_VALUE"""),2.95)</f>
        <v>2.95</v>
      </c>
      <c r="G339" s="1">
        <f ca="1">IFERROR(__xludf.DUMMYFUNCTION("""COMPUTED_VALUE"""),2.73)</f>
        <v>2.73</v>
      </c>
      <c r="H339" s="1">
        <f ca="1">IFERROR(__xludf.DUMMYFUNCTION("""COMPUTED_VALUE"""),9)</f>
        <v>9</v>
      </c>
      <c r="I339" s="1">
        <f ca="1">IFERROR(__xludf.DUMMYFUNCTION("""COMPUTED_VALUE"""),10)</f>
        <v>10</v>
      </c>
      <c r="J339" s="1">
        <f ca="1">IFERROR(__xludf.DUMMYFUNCTION("""COMPUTED_VALUE"""),8)</f>
        <v>8</v>
      </c>
      <c r="K339" s="1">
        <f ca="1">IFERROR(__xludf.DUMMYFUNCTION("""COMPUTED_VALUE"""),7)</f>
        <v>7</v>
      </c>
      <c r="L339" s="1">
        <f ca="1">IFERROR(__xludf.DUMMYFUNCTION("""COMPUTED_VALUE"""),5)</f>
        <v>5</v>
      </c>
      <c r="M339" s="1">
        <f ca="1">IFERROR(__xludf.DUMMYFUNCTION("""COMPUTED_VALUE"""),9)</f>
        <v>9</v>
      </c>
      <c r="N339" s="1">
        <f ca="1">IFERROR(__xludf.DUMMYFUNCTION("""COMPUTED_VALUE"""),2119)</f>
        <v>2119</v>
      </c>
      <c r="O339" s="1">
        <f ca="1">IFERROR(__xludf.DUMMYFUNCTION("""COMPUTED_VALUE"""),2062)</f>
        <v>2062</v>
      </c>
      <c r="P339" s="1">
        <f ca="1">IFERROR(__xludf.DUMMYFUNCTION("""COMPUTED_VALUE"""),1215)</f>
        <v>1215</v>
      </c>
      <c r="Q339" s="1">
        <f ca="1">IFERROR(__xludf.DUMMYFUNCTION("""COMPUTED_VALUE"""),746)</f>
        <v>746</v>
      </c>
      <c r="R339" s="1">
        <f ca="1">IFERROR(__xludf.DUMMYFUNCTION("""COMPUTED_VALUE"""),1808)</f>
        <v>1808</v>
      </c>
      <c r="S339" s="1">
        <f ca="1">IFERROR(__xludf.DUMMYFUNCTION("""COMPUTED_VALUE"""),0.413)</f>
        <v>0.41299999999999998</v>
      </c>
      <c r="T339" s="1">
        <f ca="1">IFERROR(__xludf.DUMMYFUNCTION("""COMPUTED_VALUE"""),231)</f>
        <v>231</v>
      </c>
      <c r="U339" s="1">
        <f ca="1">IFERROR(__xludf.DUMMYFUNCTION("""COMPUTED_VALUE"""),749)</f>
        <v>749</v>
      </c>
      <c r="V339" s="1">
        <f ca="1">IFERROR(__xludf.DUMMYFUNCTION("""COMPUTED_VALUE"""),0.308)</f>
        <v>0.308</v>
      </c>
      <c r="W339" s="1">
        <f ca="1">IFERROR(__xludf.DUMMYFUNCTION("""COMPUTED_VALUE"""),396)</f>
        <v>396</v>
      </c>
      <c r="X339" s="1">
        <f ca="1">IFERROR(__xludf.DUMMYFUNCTION("""COMPUTED_VALUE"""),525)</f>
        <v>525</v>
      </c>
      <c r="Y339" s="1">
        <f ca="1">IFERROR(__xludf.DUMMYFUNCTION("""COMPUTED_VALUE"""),0.754)</f>
        <v>0.754</v>
      </c>
      <c r="Z339" s="1">
        <f ca="1">IFERROR(__xludf.DUMMYFUNCTION("""COMPUTED_VALUE"""),308)</f>
        <v>308</v>
      </c>
      <c r="AA339" s="1">
        <f ca="1">IFERROR(__xludf.DUMMYFUNCTION("""COMPUTED_VALUE"""),1122)</f>
        <v>1122</v>
      </c>
      <c r="AB339" s="1">
        <f ca="1">IFERROR(__xludf.DUMMYFUNCTION("""COMPUTED_VALUE"""),444)</f>
        <v>444</v>
      </c>
      <c r="AC339" s="1">
        <f ca="1">IFERROR(__xludf.DUMMYFUNCTION("""COMPUTED_VALUE"""),178)</f>
        <v>178</v>
      </c>
      <c r="AD339" s="1">
        <f ca="1">IFERROR(__xludf.DUMMYFUNCTION("""COMPUTED_VALUE"""),86)</f>
        <v>86</v>
      </c>
      <c r="AE339" s="1">
        <f ca="1">IFERROR(__xludf.DUMMYFUNCTION("""COMPUTED_VALUE"""),343)</f>
        <v>343</v>
      </c>
      <c r="AF339" s="1">
        <f ca="1">IFERROR(__xludf.DUMMYFUNCTION("""COMPUTED_VALUE"""),534)</f>
        <v>534</v>
      </c>
    </row>
    <row r="340" spans="1:32" x14ac:dyDescent="0.25">
      <c r="A340" s="1" t="str">
        <f ca="1">IFERROR(__xludf.DUMMYFUNCTION("""COMPUTED_VALUE"""),"Texas Christian")</f>
        <v>Texas Christian</v>
      </c>
      <c r="B340" s="1">
        <f ca="1">IFERROR(__xludf.DUMMYFUNCTION("""COMPUTED_VALUE"""),29)</f>
        <v>29</v>
      </c>
      <c r="C340" s="1">
        <f ca="1">IFERROR(__xludf.DUMMYFUNCTION("""COMPUTED_VALUE"""),16)</f>
        <v>16</v>
      </c>
      <c r="D340" s="1">
        <f ca="1">IFERROR(__xludf.DUMMYFUNCTION("""COMPUTED_VALUE"""),13)</f>
        <v>13</v>
      </c>
      <c r="E340" s="1">
        <f ca="1">IFERROR(__xludf.DUMMYFUNCTION("""COMPUTED_VALUE"""),0.552)</f>
        <v>0.55200000000000005</v>
      </c>
      <c r="F340" s="1">
        <f ca="1">IFERROR(__xludf.DUMMYFUNCTION("""COMPUTED_VALUE"""),9.78)</f>
        <v>9.7799999999999994</v>
      </c>
      <c r="G340" s="1">
        <f ca="1">IFERROR(__xludf.DUMMYFUNCTION("""COMPUTED_VALUE"""),9.49)</f>
        <v>9.49</v>
      </c>
      <c r="H340" s="1">
        <f ca="1">IFERROR(__xludf.DUMMYFUNCTION("""COMPUTED_VALUE"""),7)</f>
        <v>7</v>
      </c>
      <c r="I340" s="1">
        <f ca="1">IFERROR(__xludf.DUMMYFUNCTION("""COMPUTED_VALUE"""),9)</f>
        <v>9</v>
      </c>
      <c r="J340" s="1">
        <f ca="1">IFERROR(__xludf.DUMMYFUNCTION("""COMPUTED_VALUE"""),14)</f>
        <v>14</v>
      </c>
      <c r="K340" s="1">
        <f ca="1">IFERROR(__xludf.DUMMYFUNCTION("""COMPUTED_VALUE"""),4)</f>
        <v>4</v>
      </c>
      <c r="L340" s="1">
        <f ca="1">IFERROR(__xludf.DUMMYFUNCTION("""COMPUTED_VALUE"""),1)</f>
        <v>1</v>
      </c>
      <c r="M340" s="1">
        <f ca="1">IFERROR(__xludf.DUMMYFUNCTION("""COMPUTED_VALUE"""),8)</f>
        <v>8</v>
      </c>
      <c r="N340" s="1">
        <f ca="1">IFERROR(__xludf.DUMMYFUNCTION("""COMPUTED_VALUE"""),1902)</f>
        <v>1902</v>
      </c>
      <c r="O340" s="1">
        <f ca="1">IFERROR(__xludf.DUMMYFUNCTION("""COMPUTED_VALUE"""),1873)</f>
        <v>1873</v>
      </c>
      <c r="P340" s="1">
        <f ca="1">IFERROR(__xludf.DUMMYFUNCTION("""COMPUTED_VALUE"""),1175)</f>
        <v>1175</v>
      </c>
      <c r="Q340" s="1">
        <f ca="1">IFERROR(__xludf.DUMMYFUNCTION("""COMPUTED_VALUE"""),688)</f>
        <v>688</v>
      </c>
      <c r="R340" s="1">
        <f ca="1">IFERROR(__xludf.DUMMYFUNCTION("""COMPUTED_VALUE"""),1633)</f>
        <v>1633</v>
      </c>
      <c r="S340" s="1">
        <f ca="1">IFERROR(__xludf.DUMMYFUNCTION("""COMPUTED_VALUE"""),0.421)</f>
        <v>0.42099999999999999</v>
      </c>
      <c r="T340" s="1">
        <f ca="1">IFERROR(__xludf.DUMMYFUNCTION("""COMPUTED_VALUE"""),243)</f>
        <v>243</v>
      </c>
      <c r="U340" s="1">
        <f ca="1">IFERROR(__xludf.DUMMYFUNCTION("""COMPUTED_VALUE"""),710)</f>
        <v>710</v>
      </c>
      <c r="V340" s="1">
        <f ca="1">IFERROR(__xludf.DUMMYFUNCTION("""COMPUTED_VALUE"""),0.342)</f>
        <v>0.34200000000000003</v>
      </c>
      <c r="W340" s="1">
        <f ca="1">IFERROR(__xludf.DUMMYFUNCTION("""COMPUTED_VALUE"""),283)</f>
        <v>283</v>
      </c>
      <c r="X340" s="1">
        <f ca="1">IFERROR(__xludf.DUMMYFUNCTION("""COMPUTED_VALUE"""),446)</f>
        <v>446</v>
      </c>
      <c r="Y340" s="1">
        <f ca="1">IFERROR(__xludf.DUMMYFUNCTION("""COMPUTED_VALUE"""),0.635)</f>
        <v>0.63500000000000001</v>
      </c>
      <c r="Z340" s="1">
        <f ca="1">IFERROR(__xludf.DUMMYFUNCTION("""COMPUTED_VALUE"""),333)</f>
        <v>333</v>
      </c>
      <c r="AA340" s="1">
        <f ca="1">IFERROR(__xludf.DUMMYFUNCTION("""COMPUTED_VALUE"""),1027)</f>
        <v>1027</v>
      </c>
      <c r="AB340" s="1">
        <f ca="1">IFERROR(__xludf.DUMMYFUNCTION("""COMPUTED_VALUE"""),423)</f>
        <v>423</v>
      </c>
      <c r="AC340" s="1">
        <f ca="1">IFERROR(__xludf.DUMMYFUNCTION("""COMPUTED_VALUE"""),200)</f>
        <v>200</v>
      </c>
      <c r="AD340" s="1">
        <f ca="1">IFERROR(__xludf.DUMMYFUNCTION("""COMPUTED_VALUE"""),144)</f>
        <v>144</v>
      </c>
      <c r="AE340" s="1">
        <f ca="1">IFERROR(__xludf.DUMMYFUNCTION("""COMPUTED_VALUE"""),414)</f>
        <v>414</v>
      </c>
      <c r="AF340" s="1">
        <f ca="1">IFERROR(__xludf.DUMMYFUNCTION("""COMPUTED_VALUE"""),476)</f>
        <v>476</v>
      </c>
    </row>
    <row r="341" spans="1:32" x14ac:dyDescent="0.25">
      <c r="A341" s="1" t="str">
        <f ca="1">IFERROR(__xludf.DUMMYFUNCTION("""COMPUTED_VALUE"""),"Texas-El Paso")</f>
        <v>Texas-El Paso</v>
      </c>
      <c r="B341" s="1">
        <f ca="1">IFERROR(__xludf.DUMMYFUNCTION("""COMPUTED_VALUE"""),29)</f>
        <v>29</v>
      </c>
      <c r="C341" s="1">
        <f ca="1">IFERROR(__xludf.DUMMYFUNCTION("""COMPUTED_VALUE"""),15)</f>
        <v>15</v>
      </c>
      <c r="D341" s="1">
        <f ca="1">IFERROR(__xludf.DUMMYFUNCTION("""COMPUTED_VALUE"""),14)</f>
        <v>14</v>
      </c>
      <c r="E341" s="1">
        <f ca="1">IFERROR(__xludf.DUMMYFUNCTION("""COMPUTED_VALUE"""),0.517)</f>
        <v>0.51700000000000002</v>
      </c>
      <c r="F341" s="1">
        <f ca="1">IFERROR(__xludf.DUMMYFUNCTION("""COMPUTED_VALUE"""),-0.68)</f>
        <v>-0.68</v>
      </c>
      <c r="G341" s="1">
        <f ca="1">IFERROR(__xludf.DUMMYFUNCTION("""COMPUTED_VALUE"""),-0.03)</f>
        <v>-0.03</v>
      </c>
      <c r="H341" s="1">
        <f ca="1">IFERROR(__xludf.DUMMYFUNCTION("""COMPUTED_VALUE"""),6)</f>
        <v>6</v>
      </c>
      <c r="I341" s="1">
        <f ca="1">IFERROR(__xludf.DUMMYFUNCTION("""COMPUTED_VALUE"""),10)</f>
        <v>10</v>
      </c>
      <c r="J341" s="1">
        <f ca="1">IFERROR(__xludf.DUMMYFUNCTION("""COMPUTED_VALUE"""),13)</f>
        <v>13</v>
      </c>
      <c r="K341" s="1">
        <f ca="1">IFERROR(__xludf.DUMMYFUNCTION("""COMPUTED_VALUE"""),4)</f>
        <v>4</v>
      </c>
      <c r="L341" s="1">
        <f ca="1">IFERROR(__xludf.DUMMYFUNCTION("""COMPUTED_VALUE"""),1)</f>
        <v>1</v>
      </c>
      <c r="M341" s="1">
        <f ca="1">IFERROR(__xludf.DUMMYFUNCTION("""COMPUTED_VALUE"""),9)</f>
        <v>9</v>
      </c>
      <c r="N341" s="1">
        <f ca="1">IFERROR(__xludf.DUMMYFUNCTION("""COMPUTED_VALUE"""),1942)</f>
        <v>1942</v>
      </c>
      <c r="O341" s="1">
        <f ca="1">IFERROR(__xludf.DUMMYFUNCTION("""COMPUTED_VALUE"""),1902)</f>
        <v>1902</v>
      </c>
      <c r="P341" s="1">
        <f ca="1">IFERROR(__xludf.DUMMYFUNCTION("""COMPUTED_VALUE"""),1165)</f>
        <v>1165</v>
      </c>
      <c r="Q341" s="1">
        <f ca="1">IFERROR(__xludf.DUMMYFUNCTION("""COMPUTED_VALUE"""),673)</f>
        <v>673</v>
      </c>
      <c r="R341" s="1">
        <f ca="1">IFERROR(__xludf.DUMMYFUNCTION("""COMPUTED_VALUE"""),1585)</f>
        <v>1585</v>
      </c>
      <c r="S341" s="1">
        <f ca="1">IFERROR(__xludf.DUMMYFUNCTION("""COMPUTED_VALUE"""),0.425)</f>
        <v>0.42499999999999999</v>
      </c>
      <c r="T341" s="1">
        <f ca="1">IFERROR(__xludf.DUMMYFUNCTION("""COMPUTED_VALUE"""),187)</f>
        <v>187</v>
      </c>
      <c r="U341" s="1">
        <f ca="1">IFERROR(__xludf.DUMMYFUNCTION("""COMPUTED_VALUE"""),642)</f>
        <v>642</v>
      </c>
      <c r="V341" s="1">
        <f ca="1">IFERROR(__xludf.DUMMYFUNCTION("""COMPUTED_VALUE"""),0.291)</f>
        <v>0.29099999999999998</v>
      </c>
      <c r="W341" s="1">
        <f ca="1">IFERROR(__xludf.DUMMYFUNCTION("""COMPUTED_VALUE"""),409)</f>
        <v>409</v>
      </c>
      <c r="X341" s="1">
        <f ca="1">IFERROR(__xludf.DUMMYFUNCTION("""COMPUTED_VALUE"""),542)</f>
        <v>542</v>
      </c>
      <c r="Y341" s="1">
        <f ca="1">IFERROR(__xludf.DUMMYFUNCTION("""COMPUTED_VALUE"""),0.755)</f>
        <v>0.755</v>
      </c>
      <c r="Z341" s="1">
        <f ca="1">IFERROR(__xludf.DUMMYFUNCTION("""COMPUTED_VALUE"""),233)</f>
        <v>233</v>
      </c>
      <c r="AA341" s="1">
        <f ca="1">IFERROR(__xludf.DUMMYFUNCTION("""COMPUTED_VALUE"""),994)</f>
        <v>994</v>
      </c>
      <c r="AB341" s="1">
        <f ca="1">IFERROR(__xludf.DUMMYFUNCTION("""COMPUTED_VALUE"""),359)</f>
        <v>359</v>
      </c>
      <c r="AC341" s="1">
        <f ca="1">IFERROR(__xludf.DUMMYFUNCTION("""COMPUTED_VALUE"""),180)</f>
        <v>180</v>
      </c>
      <c r="AD341" s="1">
        <f ca="1">IFERROR(__xludf.DUMMYFUNCTION("""COMPUTED_VALUE"""),84)</f>
        <v>84</v>
      </c>
      <c r="AE341" s="1">
        <f ca="1">IFERROR(__xludf.DUMMYFUNCTION("""COMPUTED_VALUE"""),399)</f>
        <v>399</v>
      </c>
      <c r="AF341" s="1">
        <f ca="1">IFERROR(__xludf.DUMMYFUNCTION("""COMPUTED_VALUE"""),502)</f>
        <v>502</v>
      </c>
    </row>
    <row r="342" spans="1:32" x14ac:dyDescent="0.25">
      <c r="A342" s="1" t="str">
        <f ca="1">IFERROR(__xludf.DUMMYFUNCTION("""COMPUTED_VALUE"""),"Texas-Rio Grande Valley")</f>
        <v>Texas-Rio Grande Valley</v>
      </c>
      <c r="B342" s="1">
        <f ca="1">IFERROR(__xludf.DUMMYFUNCTION("""COMPUTED_VALUE"""),29)</f>
        <v>29</v>
      </c>
      <c r="C342" s="1">
        <f ca="1">IFERROR(__xludf.DUMMYFUNCTION("""COMPUTED_VALUE"""),13)</f>
        <v>13</v>
      </c>
      <c r="D342" s="1">
        <f ca="1">IFERROR(__xludf.DUMMYFUNCTION("""COMPUTED_VALUE"""),16)</f>
        <v>16</v>
      </c>
      <c r="E342" s="1">
        <f ca="1">IFERROR(__xludf.DUMMYFUNCTION("""COMPUTED_VALUE"""),0.448)</f>
        <v>0.44800000000000001</v>
      </c>
      <c r="F342" s="1">
        <f ca="1">IFERROR(__xludf.DUMMYFUNCTION("""COMPUTED_VALUE"""),-7.3)</f>
        <v>-7.3</v>
      </c>
      <c r="G342" s="1">
        <f ca="1">IFERROR(__xludf.DUMMYFUNCTION("""COMPUTED_VALUE"""),-3.7)</f>
        <v>-3.7</v>
      </c>
      <c r="H342" s="1">
        <f ca="1">IFERROR(__xludf.DUMMYFUNCTION("""COMPUTED_VALUE"""),8)</f>
        <v>8</v>
      </c>
      <c r="I342" s="1">
        <f ca="1">IFERROR(__xludf.DUMMYFUNCTION("""COMPUTED_VALUE"""),7)</f>
        <v>7</v>
      </c>
      <c r="J342" s="1">
        <f ca="1">IFERROR(__xludf.DUMMYFUNCTION("""COMPUTED_VALUE"""),10)</f>
        <v>10</v>
      </c>
      <c r="K342" s="1">
        <f ca="1">IFERROR(__xludf.DUMMYFUNCTION("""COMPUTED_VALUE"""),3)</f>
        <v>3</v>
      </c>
      <c r="L342" s="1">
        <f ca="1">IFERROR(__xludf.DUMMYFUNCTION("""COMPUTED_VALUE"""),3)</f>
        <v>3</v>
      </c>
      <c r="M342" s="1">
        <f ca="1">IFERROR(__xludf.DUMMYFUNCTION("""COMPUTED_VALUE"""),11)</f>
        <v>11</v>
      </c>
      <c r="N342" s="1">
        <f ca="1">IFERROR(__xludf.DUMMYFUNCTION("""COMPUTED_VALUE"""),2110)</f>
        <v>2110</v>
      </c>
      <c r="O342" s="1">
        <f ca="1">IFERROR(__xludf.DUMMYFUNCTION("""COMPUTED_VALUE"""),2067)</f>
        <v>2067</v>
      </c>
      <c r="P342" s="1">
        <f ca="1">IFERROR(__xludf.DUMMYFUNCTION("""COMPUTED_VALUE"""),1170)</f>
        <v>1170</v>
      </c>
      <c r="Q342" s="1">
        <f ca="1">IFERROR(__xludf.DUMMYFUNCTION("""COMPUTED_VALUE"""),751)</f>
        <v>751</v>
      </c>
      <c r="R342" s="1">
        <f ca="1">IFERROR(__xludf.DUMMYFUNCTION("""COMPUTED_VALUE"""),1716)</f>
        <v>1716</v>
      </c>
      <c r="S342" s="1">
        <f ca="1">IFERROR(__xludf.DUMMYFUNCTION("""COMPUTED_VALUE"""),0.438)</f>
        <v>0.438</v>
      </c>
      <c r="T342" s="1">
        <f ca="1">IFERROR(__xludf.DUMMYFUNCTION("""COMPUTED_VALUE"""),187)</f>
        <v>187</v>
      </c>
      <c r="U342" s="1">
        <f ca="1">IFERROR(__xludf.DUMMYFUNCTION("""COMPUTED_VALUE"""),536)</f>
        <v>536</v>
      </c>
      <c r="V342" s="1">
        <f ca="1">IFERROR(__xludf.DUMMYFUNCTION("""COMPUTED_VALUE"""),0.349)</f>
        <v>0.34899999999999998</v>
      </c>
      <c r="W342" s="1">
        <f ca="1">IFERROR(__xludf.DUMMYFUNCTION("""COMPUTED_VALUE"""),421)</f>
        <v>421</v>
      </c>
      <c r="X342" s="1">
        <f ca="1">IFERROR(__xludf.DUMMYFUNCTION("""COMPUTED_VALUE"""),591)</f>
        <v>591</v>
      </c>
      <c r="Y342" s="1">
        <f ca="1">IFERROR(__xludf.DUMMYFUNCTION("""COMPUTED_VALUE"""),0.712)</f>
        <v>0.71199999999999997</v>
      </c>
      <c r="Z342" s="1">
        <f ca="1">IFERROR(__xludf.DUMMYFUNCTION("""COMPUTED_VALUE"""),304)</f>
        <v>304</v>
      </c>
      <c r="AA342" s="1">
        <f ca="1">IFERROR(__xludf.DUMMYFUNCTION("""COMPUTED_VALUE"""),956)</f>
        <v>956</v>
      </c>
      <c r="AB342" s="1">
        <f ca="1">IFERROR(__xludf.DUMMYFUNCTION("""COMPUTED_VALUE"""),431)</f>
        <v>431</v>
      </c>
      <c r="AC342" s="1">
        <f ca="1">IFERROR(__xludf.DUMMYFUNCTION("""COMPUTED_VALUE"""),237)</f>
        <v>237</v>
      </c>
      <c r="AD342" s="1">
        <f ca="1">IFERROR(__xludf.DUMMYFUNCTION("""COMPUTED_VALUE"""),106)</f>
        <v>106</v>
      </c>
      <c r="AE342" s="1">
        <f ca="1">IFERROR(__xludf.DUMMYFUNCTION("""COMPUTED_VALUE"""),370)</f>
        <v>370</v>
      </c>
      <c r="AF342" s="1">
        <f ca="1">IFERROR(__xludf.DUMMYFUNCTION("""COMPUTED_VALUE"""),581)</f>
        <v>581</v>
      </c>
    </row>
    <row r="343" spans="1:32" x14ac:dyDescent="0.25">
      <c r="A343" s="1" t="str">
        <f ca="1">IFERROR(__xludf.DUMMYFUNCTION("""COMPUTED_VALUE"""),"Texas-San Antonio")</f>
        <v>Texas-San Antonio</v>
      </c>
      <c r="B343" s="1">
        <f ca="1">IFERROR(__xludf.DUMMYFUNCTION("""COMPUTED_VALUE"""),29)</f>
        <v>29</v>
      </c>
      <c r="C343" s="1">
        <f ca="1">IFERROR(__xludf.DUMMYFUNCTION("""COMPUTED_VALUE"""),13)</f>
        <v>13</v>
      </c>
      <c r="D343" s="1">
        <f ca="1">IFERROR(__xludf.DUMMYFUNCTION("""COMPUTED_VALUE"""),16)</f>
        <v>16</v>
      </c>
      <c r="E343" s="1">
        <f ca="1">IFERROR(__xludf.DUMMYFUNCTION("""COMPUTED_VALUE"""),0.448)</f>
        <v>0.44800000000000001</v>
      </c>
      <c r="F343" s="1">
        <f ca="1">IFERROR(__xludf.DUMMYFUNCTION("""COMPUTED_VALUE"""),-2.16)</f>
        <v>-2.16</v>
      </c>
      <c r="G343" s="1">
        <f ca="1">IFERROR(__xludf.DUMMYFUNCTION("""COMPUTED_VALUE"""),0.5)</f>
        <v>0.5</v>
      </c>
      <c r="H343" s="1">
        <f ca="1">IFERROR(__xludf.DUMMYFUNCTION("""COMPUTED_VALUE"""),7)</f>
        <v>7</v>
      </c>
      <c r="I343" s="1">
        <f ca="1">IFERROR(__xludf.DUMMYFUNCTION("""COMPUTED_VALUE"""),9)</f>
        <v>9</v>
      </c>
      <c r="J343" s="1">
        <f ca="1">IFERROR(__xludf.DUMMYFUNCTION("""COMPUTED_VALUE"""),10)</f>
        <v>10</v>
      </c>
      <c r="K343" s="1">
        <f ca="1">IFERROR(__xludf.DUMMYFUNCTION("""COMPUTED_VALUE"""),4)</f>
        <v>4</v>
      </c>
      <c r="L343" s="1">
        <f ca="1">IFERROR(__xludf.DUMMYFUNCTION("""COMPUTED_VALUE"""),3)</f>
        <v>3</v>
      </c>
      <c r="M343" s="1">
        <f ca="1">IFERROR(__xludf.DUMMYFUNCTION("""COMPUTED_VALUE"""),8)</f>
        <v>8</v>
      </c>
      <c r="N343" s="1">
        <f ca="1">IFERROR(__xludf.DUMMYFUNCTION("""COMPUTED_VALUE"""),2256)</f>
        <v>2256</v>
      </c>
      <c r="O343" s="1">
        <f ca="1">IFERROR(__xludf.DUMMYFUNCTION("""COMPUTED_VALUE"""),2225)</f>
        <v>2225</v>
      </c>
      <c r="P343" s="1">
        <f ca="1">IFERROR(__xludf.DUMMYFUNCTION("""COMPUTED_VALUE"""),1180)</f>
        <v>1180</v>
      </c>
      <c r="Q343" s="1">
        <f ca="1">IFERROR(__xludf.DUMMYFUNCTION("""COMPUTED_VALUE"""),796)</f>
        <v>796</v>
      </c>
      <c r="R343" s="1">
        <f ca="1">IFERROR(__xludf.DUMMYFUNCTION("""COMPUTED_VALUE"""),1880)</f>
        <v>1880</v>
      </c>
      <c r="S343" s="1">
        <f ca="1">IFERROR(__xludf.DUMMYFUNCTION("""COMPUTED_VALUE"""),0.423)</f>
        <v>0.42299999999999999</v>
      </c>
      <c r="T343" s="1">
        <f ca="1">IFERROR(__xludf.DUMMYFUNCTION("""COMPUTED_VALUE"""),277)</f>
        <v>277</v>
      </c>
      <c r="U343" s="1">
        <f ca="1">IFERROR(__xludf.DUMMYFUNCTION("""COMPUTED_VALUE"""),801)</f>
        <v>801</v>
      </c>
      <c r="V343" s="1">
        <f ca="1">IFERROR(__xludf.DUMMYFUNCTION("""COMPUTED_VALUE"""),0.346)</f>
        <v>0.34599999999999997</v>
      </c>
      <c r="W343" s="1">
        <f ca="1">IFERROR(__xludf.DUMMYFUNCTION("""COMPUTED_VALUE"""),387)</f>
        <v>387</v>
      </c>
      <c r="X343" s="1">
        <f ca="1">IFERROR(__xludf.DUMMYFUNCTION("""COMPUTED_VALUE"""),509)</f>
        <v>509</v>
      </c>
      <c r="Y343" s="1">
        <f ca="1">IFERROR(__xludf.DUMMYFUNCTION("""COMPUTED_VALUE"""),0.76)</f>
        <v>0.76</v>
      </c>
      <c r="Z343" s="1">
        <f ca="1">IFERROR(__xludf.DUMMYFUNCTION("""COMPUTED_VALUE"""),323)</f>
        <v>323</v>
      </c>
      <c r="AA343" s="1">
        <f ca="1">IFERROR(__xludf.DUMMYFUNCTION("""COMPUTED_VALUE"""),1143)</f>
        <v>1143</v>
      </c>
      <c r="AB343" s="1">
        <f ca="1">IFERROR(__xludf.DUMMYFUNCTION("""COMPUTED_VALUE"""),364)</f>
        <v>364</v>
      </c>
      <c r="AC343" s="1">
        <f ca="1">IFERROR(__xludf.DUMMYFUNCTION("""COMPUTED_VALUE"""),170)</f>
        <v>170</v>
      </c>
      <c r="AD343" s="1">
        <f ca="1">IFERROR(__xludf.DUMMYFUNCTION("""COMPUTED_VALUE"""),82)</f>
        <v>82</v>
      </c>
      <c r="AE343" s="1">
        <f ca="1">IFERROR(__xludf.DUMMYFUNCTION("""COMPUTED_VALUE"""),375)</f>
        <v>375</v>
      </c>
      <c r="AF343" s="1">
        <f ca="1">IFERROR(__xludf.DUMMYFUNCTION("""COMPUTED_VALUE"""),585)</f>
        <v>585</v>
      </c>
    </row>
    <row r="344" spans="1:32" x14ac:dyDescent="0.25">
      <c r="A344" s="1" t="str">
        <f ca="1">IFERROR(__xludf.DUMMYFUNCTION("""COMPUTED_VALUE"""),"Texas Southern")</f>
        <v>Texas Southern</v>
      </c>
      <c r="B344" s="1">
        <f ca="1">IFERROR(__xludf.DUMMYFUNCTION("""COMPUTED_VALUE"""),29)</f>
        <v>29</v>
      </c>
      <c r="C344" s="1">
        <f ca="1">IFERROR(__xludf.DUMMYFUNCTION("""COMPUTED_VALUE"""),15)</f>
        <v>15</v>
      </c>
      <c r="D344" s="1">
        <f ca="1">IFERROR(__xludf.DUMMYFUNCTION("""COMPUTED_VALUE"""),14)</f>
        <v>14</v>
      </c>
      <c r="E344" s="1">
        <f ca="1">IFERROR(__xludf.DUMMYFUNCTION("""COMPUTED_VALUE"""),0.517)</f>
        <v>0.51700000000000002</v>
      </c>
      <c r="F344" s="1">
        <f ca="1">IFERROR(__xludf.DUMMYFUNCTION("""COMPUTED_VALUE"""),-9.54)</f>
        <v>-9.5399999999999991</v>
      </c>
      <c r="G344" s="1">
        <f ca="1">IFERROR(__xludf.DUMMYFUNCTION("""COMPUTED_VALUE"""),-5.37)</f>
        <v>-5.37</v>
      </c>
      <c r="H344" s="1">
        <f ca="1">IFERROR(__xludf.DUMMYFUNCTION("""COMPUTED_VALUE"""),12)</f>
        <v>12</v>
      </c>
      <c r="I344" s="1">
        <f ca="1">IFERROR(__xludf.DUMMYFUNCTION("""COMPUTED_VALUE"""),4)</f>
        <v>4</v>
      </c>
      <c r="J344" s="1">
        <f ca="1">IFERROR(__xludf.DUMMYFUNCTION("""COMPUTED_VALUE"""),10)</f>
        <v>10</v>
      </c>
      <c r="K344" s="1">
        <f ca="1">IFERROR(__xludf.DUMMYFUNCTION("""COMPUTED_VALUE"""),1)</f>
        <v>1</v>
      </c>
      <c r="L344" s="1">
        <f ca="1">IFERROR(__xludf.DUMMYFUNCTION("""COMPUTED_VALUE"""),5)</f>
        <v>5</v>
      </c>
      <c r="M344" s="1">
        <f ca="1">IFERROR(__xludf.DUMMYFUNCTION("""COMPUTED_VALUE"""),13)</f>
        <v>13</v>
      </c>
      <c r="N344" s="1">
        <f ca="1">IFERROR(__xludf.DUMMYFUNCTION("""COMPUTED_VALUE"""),2111)</f>
        <v>2111</v>
      </c>
      <c r="O344" s="1">
        <f ca="1">IFERROR(__xludf.DUMMYFUNCTION("""COMPUTED_VALUE"""),2190)</f>
        <v>2190</v>
      </c>
      <c r="P344" s="1">
        <f ca="1">IFERROR(__xludf.DUMMYFUNCTION("""COMPUTED_VALUE"""),1175)</f>
        <v>1175</v>
      </c>
      <c r="Q344" s="1">
        <f ca="1">IFERROR(__xludf.DUMMYFUNCTION("""COMPUTED_VALUE"""),726)</f>
        <v>726</v>
      </c>
      <c r="R344" s="1">
        <f ca="1">IFERROR(__xludf.DUMMYFUNCTION("""COMPUTED_VALUE"""),1758)</f>
        <v>1758</v>
      </c>
      <c r="S344" s="1">
        <f ca="1">IFERROR(__xludf.DUMMYFUNCTION("""COMPUTED_VALUE"""),0.413)</f>
        <v>0.41299999999999998</v>
      </c>
      <c r="T344" s="1">
        <f ca="1">IFERROR(__xludf.DUMMYFUNCTION("""COMPUTED_VALUE"""),152)</f>
        <v>152</v>
      </c>
      <c r="U344" s="1">
        <f ca="1">IFERROR(__xludf.DUMMYFUNCTION("""COMPUTED_VALUE"""),509)</f>
        <v>509</v>
      </c>
      <c r="V344" s="1">
        <f ca="1">IFERROR(__xludf.DUMMYFUNCTION("""COMPUTED_VALUE"""),0.299)</f>
        <v>0.29899999999999999</v>
      </c>
      <c r="W344" s="1">
        <f ca="1">IFERROR(__xludf.DUMMYFUNCTION("""COMPUTED_VALUE"""),507)</f>
        <v>507</v>
      </c>
      <c r="X344" s="1">
        <f ca="1">IFERROR(__xludf.DUMMYFUNCTION("""COMPUTED_VALUE"""),724)</f>
        <v>724</v>
      </c>
      <c r="Y344" s="1">
        <f ca="1">IFERROR(__xludf.DUMMYFUNCTION("""COMPUTED_VALUE"""),0.7)</f>
        <v>0.7</v>
      </c>
      <c r="Z344" s="1">
        <f ca="1">IFERROR(__xludf.DUMMYFUNCTION("""COMPUTED_VALUE"""),362)</f>
        <v>362</v>
      </c>
      <c r="AA344" s="1">
        <f ca="1">IFERROR(__xludf.DUMMYFUNCTION("""COMPUTED_VALUE"""),1122)</f>
        <v>1122</v>
      </c>
      <c r="AB344" s="1">
        <f ca="1">IFERROR(__xludf.DUMMYFUNCTION("""COMPUTED_VALUE"""),327)</f>
        <v>327</v>
      </c>
      <c r="AC344" s="1">
        <f ca="1">IFERROR(__xludf.DUMMYFUNCTION("""COMPUTED_VALUE"""),187)</f>
        <v>187</v>
      </c>
      <c r="AD344" s="1">
        <f ca="1">IFERROR(__xludf.DUMMYFUNCTION("""COMPUTED_VALUE"""),85)</f>
        <v>85</v>
      </c>
      <c r="AE344" s="1">
        <f ca="1">IFERROR(__xludf.DUMMYFUNCTION("""COMPUTED_VALUE"""),455)</f>
        <v>455</v>
      </c>
      <c r="AF344" s="1">
        <f ca="1">IFERROR(__xludf.DUMMYFUNCTION("""COMPUTED_VALUE"""),558)</f>
        <v>558</v>
      </c>
    </row>
    <row r="345" spans="1:32" x14ac:dyDescent="0.25">
      <c r="A345" s="1" t="str">
        <f ca="1">IFERROR(__xludf.DUMMYFUNCTION("""COMPUTED_VALUE"""),"Texas State")</f>
        <v>Texas State</v>
      </c>
      <c r="B345" s="1">
        <f ca="1">IFERROR(__xludf.DUMMYFUNCTION("""COMPUTED_VALUE"""),30)</f>
        <v>30</v>
      </c>
      <c r="C345" s="1">
        <f ca="1">IFERROR(__xludf.DUMMYFUNCTION("""COMPUTED_VALUE"""),20)</f>
        <v>20</v>
      </c>
      <c r="D345" s="1">
        <f ca="1">IFERROR(__xludf.DUMMYFUNCTION("""COMPUTED_VALUE"""),10)</f>
        <v>10</v>
      </c>
      <c r="E345" s="1">
        <f ca="1">IFERROR(__xludf.DUMMYFUNCTION("""COMPUTED_VALUE"""),0.667)</f>
        <v>0.66700000000000004</v>
      </c>
      <c r="F345" s="1">
        <f ca="1">IFERROR(__xludf.DUMMYFUNCTION("""COMPUTED_VALUE"""),5.5)</f>
        <v>5.5</v>
      </c>
      <c r="G345" s="1">
        <f ca="1">IFERROR(__xludf.DUMMYFUNCTION("""COMPUTED_VALUE"""),-0.15)</f>
        <v>-0.15</v>
      </c>
      <c r="H345" s="1">
        <f ca="1">IFERROR(__xludf.DUMMYFUNCTION("""COMPUTED_VALUE"""),13)</f>
        <v>13</v>
      </c>
      <c r="I345" s="1">
        <f ca="1">IFERROR(__xludf.DUMMYFUNCTION("""COMPUTED_VALUE"""),6)</f>
        <v>6</v>
      </c>
      <c r="J345" s="1">
        <f ca="1">IFERROR(__xludf.DUMMYFUNCTION("""COMPUTED_VALUE"""),14)</f>
        <v>14</v>
      </c>
      <c r="K345" s="1">
        <f ca="1">IFERROR(__xludf.DUMMYFUNCTION("""COMPUTED_VALUE"""),3)</f>
        <v>3</v>
      </c>
      <c r="L345" s="1">
        <f ca="1">IFERROR(__xludf.DUMMYFUNCTION("""COMPUTED_VALUE"""),6)</f>
        <v>6</v>
      </c>
      <c r="M345" s="1">
        <f ca="1">IFERROR(__xludf.DUMMYFUNCTION("""COMPUTED_VALUE"""),7)</f>
        <v>7</v>
      </c>
      <c r="N345" s="1">
        <f ca="1">IFERROR(__xludf.DUMMYFUNCTION("""COMPUTED_VALUE"""),2200)</f>
        <v>2200</v>
      </c>
      <c r="O345" s="1">
        <f ca="1">IFERROR(__xludf.DUMMYFUNCTION("""COMPUTED_VALUE"""),1932)</f>
        <v>1932</v>
      </c>
      <c r="P345" s="1">
        <f ca="1">IFERROR(__xludf.DUMMYFUNCTION("""COMPUTED_VALUE"""),1215)</f>
        <v>1215</v>
      </c>
      <c r="Q345" s="1">
        <f ca="1">IFERROR(__xludf.DUMMYFUNCTION("""COMPUTED_VALUE"""),785)</f>
        <v>785</v>
      </c>
      <c r="R345" s="1">
        <f ca="1">IFERROR(__xludf.DUMMYFUNCTION("""COMPUTED_VALUE"""),1729)</f>
        <v>1729</v>
      </c>
      <c r="S345" s="1">
        <f ca="1">IFERROR(__xludf.DUMMYFUNCTION("""COMPUTED_VALUE"""),0.454)</f>
        <v>0.45400000000000001</v>
      </c>
      <c r="T345" s="1">
        <f ca="1">IFERROR(__xludf.DUMMYFUNCTION("""COMPUTED_VALUE"""),156)</f>
        <v>156</v>
      </c>
      <c r="U345" s="1">
        <f ca="1">IFERROR(__xludf.DUMMYFUNCTION("""COMPUTED_VALUE"""),476)</f>
        <v>476</v>
      </c>
      <c r="V345" s="1">
        <f ca="1">IFERROR(__xludf.DUMMYFUNCTION("""COMPUTED_VALUE"""),0.328)</f>
        <v>0.32800000000000001</v>
      </c>
      <c r="W345" s="1">
        <f ca="1">IFERROR(__xludf.DUMMYFUNCTION("""COMPUTED_VALUE"""),474)</f>
        <v>474</v>
      </c>
      <c r="X345" s="1">
        <f ca="1">IFERROR(__xludf.DUMMYFUNCTION("""COMPUTED_VALUE"""),626)</f>
        <v>626</v>
      </c>
      <c r="Y345" s="1">
        <f ca="1">IFERROR(__xludf.DUMMYFUNCTION("""COMPUTED_VALUE"""),0.757)</f>
        <v>0.75700000000000001</v>
      </c>
      <c r="Z345" s="1">
        <f ca="1">IFERROR(__xludf.DUMMYFUNCTION("""COMPUTED_VALUE"""),305)</f>
        <v>305</v>
      </c>
      <c r="AA345" s="1">
        <f ca="1">IFERROR(__xludf.DUMMYFUNCTION("""COMPUTED_VALUE"""),1040)</f>
        <v>1040</v>
      </c>
      <c r="AB345" s="1">
        <f ca="1">IFERROR(__xludf.DUMMYFUNCTION("""COMPUTED_VALUE"""),423)</f>
        <v>423</v>
      </c>
      <c r="AC345" s="1">
        <f ca="1">IFERROR(__xludf.DUMMYFUNCTION("""COMPUTED_VALUE"""),192)</f>
        <v>192</v>
      </c>
      <c r="AD345" s="1">
        <f ca="1">IFERROR(__xludf.DUMMYFUNCTION("""COMPUTED_VALUE"""),90)</f>
        <v>90</v>
      </c>
      <c r="AE345" s="1">
        <f ca="1">IFERROR(__xludf.DUMMYFUNCTION("""COMPUTED_VALUE"""),332)</f>
        <v>332</v>
      </c>
      <c r="AF345" s="1">
        <f ca="1">IFERROR(__xludf.DUMMYFUNCTION("""COMPUTED_VALUE"""),560)</f>
        <v>560</v>
      </c>
    </row>
    <row r="346" spans="1:32" x14ac:dyDescent="0.25">
      <c r="A346" s="1" t="str">
        <f ca="1">IFERROR(__xludf.DUMMYFUNCTION("""COMPUTED_VALUE"""),"Texas Tech")</f>
        <v>Texas Tech</v>
      </c>
      <c r="B346" s="1">
        <f ca="1">IFERROR(__xludf.DUMMYFUNCTION("""COMPUTED_VALUE"""),30)</f>
        <v>30</v>
      </c>
      <c r="C346" s="1">
        <f ca="1">IFERROR(__xludf.DUMMYFUNCTION("""COMPUTED_VALUE"""),18)</f>
        <v>18</v>
      </c>
      <c r="D346" s="1">
        <f ca="1">IFERROR(__xludf.DUMMYFUNCTION("""COMPUTED_VALUE"""),12)</f>
        <v>12</v>
      </c>
      <c r="E346" s="1">
        <f ca="1">IFERROR(__xludf.DUMMYFUNCTION("""COMPUTED_VALUE"""),0.6)</f>
        <v>0.6</v>
      </c>
      <c r="F346" s="1">
        <f ca="1">IFERROR(__xludf.DUMMYFUNCTION("""COMPUTED_VALUE"""),16.81)</f>
        <v>16.809999999999999</v>
      </c>
      <c r="G346" s="1">
        <f ca="1">IFERROR(__xludf.DUMMYFUNCTION("""COMPUTED_VALUE"""),7.98)</f>
        <v>7.98</v>
      </c>
      <c r="H346" s="1">
        <f ca="1">IFERROR(__xludf.DUMMYFUNCTION("""COMPUTED_VALUE"""),9)</f>
        <v>9</v>
      </c>
      <c r="I346" s="1">
        <f ca="1">IFERROR(__xludf.DUMMYFUNCTION("""COMPUTED_VALUE"""),8)</f>
        <v>8</v>
      </c>
      <c r="J346" s="1">
        <f ca="1">IFERROR(__xludf.DUMMYFUNCTION("""COMPUTED_VALUE"""),13)</f>
        <v>13</v>
      </c>
      <c r="K346" s="1">
        <f ca="1">IFERROR(__xludf.DUMMYFUNCTION("""COMPUTED_VALUE"""),3)</f>
        <v>3</v>
      </c>
      <c r="L346" s="1">
        <f ca="1">IFERROR(__xludf.DUMMYFUNCTION("""COMPUTED_VALUE"""),3)</f>
        <v>3</v>
      </c>
      <c r="M346" s="1">
        <f ca="1">IFERROR(__xludf.DUMMYFUNCTION("""COMPUTED_VALUE"""),7)</f>
        <v>7</v>
      </c>
      <c r="N346" s="1">
        <f ca="1">IFERROR(__xludf.DUMMYFUNCTION("""COMPUTED_VALUE"""),2168)</f>
        <v>2168</v>
      </c>
      <c r="O346" s="1">
        <f ca="1">IFERROR(__xludf.DUMMYFUNCTION("""COMPUTED_VALUE"""),1903)</f>
        <v>1903</v>
      </c>
      <c r="P346" s="1">
        <f ca="1">IFERROR(__xludf.DUMMYFUNCTION("""COMPUTED_VALUE"""),1220)</f>
        <v>1220</v>
      </c>
      <c r="Q346" s="1">
        <f ca="1">IFERROR(__xludf.DUMMYFUNCTION("""COMPUTED_VALUE"""),756)</f>
        <v>756</v>
      </c>
      <c r="R346" s="1">
        <f ca="1">IFERROR(__xludf.DUMMYFUNCTION("""COMPUTED_VALUE"""),1662)</f>
        <v>1662</v>
      </c>
      <c r="S346" s="1">
        <f ca="1">IFERROR(__xludf.DUMMYFUNCTION("""COMPUTED_VALUE"""),0.455)</f>
        <v>0.45500000000000002</v>
      </c>
      <c r="T346" s="1">
        <f ca="1">IFERROR(__xludf.DUMMYFUNCTION("""COMPUTED_VALUE"""),216)</f>
        <v>216</v>
      </c>
      <c r="U346" s="1">
        <f ca="1">IFERROR(__xludf.DUMMYFUNCTION("""COMPUTED_VALUE"""),605)</f>
        <v>605</v>
      </c>
      <c r="V346" s="1">
        <f ca="1">IFERROR(__xludf.DUMMYFUNCTION("""COMPUTED_VALUE"""),0.357)</f>
        <v>0.35699999999999998</v>
      </c>
      <c r="W346" s="1">
        <f ca="1">IFERROR(__xludf.DUMMYFUNCTION("""COMPUTED_VALUE"""),440)</f>
        <v>440</v>
      </c>
      <c r="X346" s="1">
        <f ca="1">IFERROR(__xludf.DUMMYFUNCTION("""COMPUTED_VALUE"""),581)</f>
        <v>581</v>
      </c>
      <c r="Y346" s="1">
        <f ca="1">IFERROR(__xludf.DUMMYFUNCTION("""COMPUTED_VALUE"""),0.757)</f>
        <v>0.75700000000000001</v>
      </c>
      <c r="Z346" s="1">
        <f ca="1">IFERROR(__xludf.DUMMYFUNCTION("""COMPUTED_VALUE"""),270)</f>
        <v>270</v>
      </c>
      <c r="AA346" s="1">
        <f ca="1">IFERROR(__xludf.DUMMYFUNCTION("""COMPUTED_VALUE"""),997)</f>
        <v>997</v>
      </c>
      <c r="AB346" s="1">
        <f ca="1">IFERROR(__xludf.DUMMYFUNCTION("""COMPUTED_VALUE"""),463)</f>
        <v>463</v>
      </c>
      <c r="AC346" s="1">
        <f ca="1">IFERROR(__xludf.DUMMYFUNCTION("""COMPUTED_VALUE"""),234)</f>
        <v>234</v>
      </c>
      <c r="AD346" s="1">
        <f ca="1">IFERROR(__xludf.DUMMYFUNCTION("""COMPUTED_VALUE"""),119)</f>
        <v>119</v>
      </c>
      <c r="AE346" s="1">
        <f ca="1">IFERROR(__xludf.DUMMYFUNCTION("""COMPUTED_VALUE"""),416)</f>
        <v>416</v>
      </c>
      <c r="AF346" s="1">
        <f ca="1">IFERROR(__xludf.DUMMYFUNCTION("""COMPUTED_VALUE"""),528)</f>
        <v>528</v>
      </c>
    </row>
    <row r="347" spans="1:32" x14ac:dyDescent="0.25">
      <c r="A347" s="1" t="str">
        <f ca="1">IFERROR(__xludf.DUMMYFUNCTION("""COMPUTED_VALUE"""),"Texas")</f>
        <v>Texas</v>
      </c>
      <c r="B347" s="1">
        <f ca="1">IFERROR(__xludf.DUMMYFUNCTION("""COMPUTED_VALUE"""),29)</f>
        <v>29</v>
      </c>
      <c r="C347" s="1">
        <f ca="1">IFERROR(__xludf.DUMMYFUNCTION("""COMPUTED_VALUE"""),18)</f>
        <v>18</v>
      </c>
      <c r="D347" s="1">
        <f ca="1">IFERROR(__xludf.DUMMYFUNCTION("""COMPUTED_VALUE"""),11)</f>
        <v>11</v>
      </c>
      <c r="E347" s="1">
        <f ca="1">IFERROR(__xludf.DUMMYFUNCTION("""COMPUTED_VALUE"""),0.621)</f>
        <v>0.621</v>
      </c>
      <c r="F347" s="1">
        <f ca="1">IFERROR(__xludf.DUMMYFUNCTION("""COMPUTED_VALUE"""),11.15)</f>
        <v>11.15</v>
      </c>
      <c r="G347" s="1">
        <f ca="1">IFERROR(__xludf.DUMMYFUNCTION("""COMPUTED_VALUE"""),9.5)</f>
        <v>9.5</v>
      </c>
      <c r="H347" s="1">
        <f ca="1">IFERROR(__xludf.DUMMYFUNCTION("""COMPUTED_VALUE"""),8)</f>
        <v>8</v>
      </c>
      <c r="I347" s="1">
        <f ca="1">IFERROR(__xludf.DUMMYFUNCTION("""COMPUTED_VALUE"""),8)</f>
        <v>8</v>
      </c>
      <c r="J347" s="1">
        <f ca="1">IFERROR(__xludf.DUMMYFUNCTION("""COMPUTED_VALUE"""),11)</f>
        <v>11</v>
      </c>
      <c r="K347" s="1">
        <f ca="1">IFERROR(__xludf.DUMMYFUNCTION("""COMPUTED_VALUE"""),5)</f>
        <v>5</v>
      </c>
      <c r="L347" s="1">
        <f ca="1">IFERROR(__xludf.DUMMYFUNCTION("""COMPUTED_VALUE"""),5)</f>
        <v>5</v>
      </c>
      <c r="M347" s="1">
        <f ca="1">IFERROR(__xludf.DUMMYFUNCTION("""COMPUTED_VALUE"""),5)</f>
        <v>5</v>
      </c>
      <c r="N347" s="1">
        <f ca="1">IFERROR(__xludf.DUMMYFUNCTION("""COMPUTED_VALUE"""),1878)</f>
        <v>1878</v>
      </c>
      <c r="O347" s="1">
        <f ca="1">IFERROR(__xludf.DUMMYFUNCTION("""COMPUTED_VALUE"""),1830)</f>
        <v>1830</v>
      </c>
      <c r="P347" s="1">
        <f ca="1">IFERROR(__xludf.DUMMYFUNCTION("""COMPUTED_VALUE"""),1160)</f>
        <v>1160</v>
      </c>
      <c r="Q347" s="1">
        <f ca="1">IFERROR(__xludf.DUMMYFUNCTION("""COMPUTED_VALUE"""),700)</f>
        <v>700</v>
      </c>
      <c r="R347" s="1">
        <f ca="1">IFERROR(__xludf.DUMMYFUNCTION("""COMPUTED_VALUE"""),1613)</f>
        <v>1613</v>
      </c>
      <c r="S347" s="1">
        <f ca="1">IFERROR(__xludf.DUMMYFUNCTION("""COMPUTED_VALUE"""),0.434)</f>
        <v>0.434</v>
      </c>
      <c r="T347" s="1">
        <f ca="1">IFERROR(__xludf.DUMMYFUNCTION("""COMPUTED_VALUE"""),235)</f>
        <v>235</v>
      </c>
      <c r="U347" s="1">
        <f ca="1">IFERROR(__xludf.DUMMYFUNCTION("""COMPUTED_VALUE"""),685)</f>
        <v>685</v>
      </c>
      <c r="V347" s="1">
        <f ca="1">IFERROR(__xludf.DUMMYFUNCTION("""COMPUTED_VALUE"""),0.343)</f>
        <v>0.34300000000000003</v>
      </c>
      <c r="W347" s="1">
        <f ca="1">IFERROR(__xludf.DUMMYFUNCTION("""COMPUTED_VALUE"""),243)</f>
        <v>243</v>
      </c>
      <c r="X347" s="1">
        <f ca="1">IFERROR(__xludf.DUMMYFUNCTION("""COMPUTED_VALUE"""),359)</f>
        <v>359</v>
      </c>
      <c r="Y347" s="1">
        <f ca="1">IFERROR(__xludf.DUMMYFUNCTION("""COMPUTED_VALUE"""),0.677)</f>
        <v>0.67700000000000005</v>
      </c>
      <c r="Z347" s="1">
        <f ca="1">IFERROR(__xludf.DUMMYFUNCTION("""COMPUTED_VALUE"""),263)</f>
        <v>263</v>
      </c>
      <c r="AA347" s="1">
        <f ca="1">IFERROR(__xludf.DUMMYFUNCTION("""COMPUTED_VALUE"""),926)</f>
        <v>926</v>
      </c>
      <c r="AB347" s="1">
        <f ca="1">IFERROR(__xludf.DUMMYFUNCTION("""COMPUTED_VALUE"""),345)</f>
        <v>345</v>
      </c>
      <c r="AC347" s="1">
        <f ca="1">IFERROR(__xludf.DUMMYFUNCTION("""COMPUTED_VALUE"""),160)</f>
        <v>160</v>
      </c>
      <c r="AD347" s="1">
        <f ca="1">IFERROR(__xludf.DUMMYFUNCTION("""COMPUTED_VALUE"""),127)</f>
        <v>127</v>
      </c>
      <c r="AE347" s="1">
        <f ca="1">IFERROR(__xludf.DUMMYFUNCTION("""COMPUTED_VALUE"""),396)</f>
        <v>396</v>
      </c>
      <c r="AF347" s="1">
        <f ca="1">IFERROR(__xludf.DUMMYFUNCTION("""COMPUTED_VALUE"""),532)</f>
        <v>532</v>
      </c>
    </row>
    <row r="348" spans="1:32" x14ac:dyDescent="0.25">
      <c r="A348" s="1" t="str">
        <f ca="1">IFERROR(__xludf.DUMMYFUNCTION("""COMPUTED_VALUE"""),"Toledo")</f>
        <v>Toledo</v>
      </c>
      <c r="B348" s="1">
        <f ca="1">IFERROR(__xludf.DUMMYFUNCTION("""COMPUTED_VALUE"""),29)</f>
        <v>29</v>
      </c>
      <c r="C348" s="1">
        <f ca="1">IFERROR(__xludf.DUMMYFUNCTION("""COMPUTED_VALUE"""),15)</f>
        <v>15</v>
      </c>
      <c r="D348" s="1">
        <f ca="1">IFERROR(__xludf.DUMMYFUNCTION("""COMPUTED_VALUE"""),14)</f>
        <v>14</v>
      </c>
      <c r="E348" s="1">
        <f ca="1">IFERROR(__xludf.DUMMYFUNCTION("""COMPUTED_VALUE"""),0.517)</f>
        <v>0.51700000000000002</v>
      </c>
      <c r="F348" s="1">
        <f ca="1">IFERROR(__xludf.DUMMYFUNCTION("""COMPUTED_VALUE"""),1.47)</f>
        <v>1.47</v>
      </c>
      <c r="G348" s="1">
        <f ca="1">IFERROR(__xludf.DUMMYFUNCTION("""COMPUTED_VALUE"""),-1.36)</f>
        <v>-1.36</v>
      </c>
      <c r="H348" s="1">
        <f ca="1">IFERROR(__xludf.DUMMYFUNCTION("""COMPUTED_VALUE"""),7)</f>
        <v>7</v>
      </c>
      <c r="I348" s="1">
        <f ca="1">IFERROR(__xludf.DUMMYFUNCTION("""COMPUTED_VALUE"""),9)</f>
        <v>9</v>
      </c>
      <c r="J348" s="1">
        <f ca="1">IFERROR(__xludf.DUMMYFUNCTION("""COMPUTED_VALUE"""),8)</f>
        <v>8</v>
      </c>
      <c r="K348" s="1">
        <f ca="1">IFERROR(__xludf.DUMMYFUNCTION("""COMPUTED_VALUE"""),6)</f>
        <v>6</v>
      </c>
      <c r="L348" s="1">
        <f ca="1">IFERROR(__xludf.DUMMYFUNCTION("""COMPUTED_VALUE"""),7)</f>
        <v>7</v>
      </c>
      <c r="M348" s="1">
        <f ca="1">IFERROR(__xludf.DUMMYFUNCTION("""COMPUTED_VALUE"""),8)</f>
        <v>8</v>
      </c>
      <c r="N348" s="1">
        <f ca="1">IFERROR(__xludf.DUMMYFUNCTION("""COMPUTED_VALUE"""),2181)</f>
        <v>2181</v>
      </c>
      <c r="O348" s="1">
        <f ca="1">IFERROR(__xludf.DUMMYFUNCTION("""COMPUTED_VALUE"""),2043)</f>
        <v>2043</v>
      </c>
      <c r="P348" s="1">
        <f ca="1">IFERROR(__xludf.DUMMYFUNCTION("""COMPUTED_VALUE"""),1165)</f>
        <v>1165</v>
      </c>
      <c r="Q348" s="1">
        <f ca="1">IFERROR(__xludf.DUMMYFUNCTION("""COMPUTED_VALUE"""),732)</f>
        <v>732</v>
      </c>
      <c r="R348" s="1">
        <f ca="1">IFERROR(__xludf.DUMMYFUNCTION("""COMPUTED_VALUE"""),1657)</f>
        <v>1657</v>
      </c>
      <c r="S348" s="1">
        <f ca="1">IFERROR(__xludf.DUMMYFUNCTION("""COMPUTED_VALUE"""),0.442)</f>
        <v>0.442</v>
      </c>
      <c r="T348" s="1">
        <f ca="1">IFERROR(__xludf.DUMMYFUNCTION("""COMPUTED_VALUE"""),259)</f>
        <v>259</v>
      </c>
      <c r="U348" s="1">
        <f ca="1">IFERROR(__xludf.DUMMYFUNCTION("""COMPUTED_VALUE"""),701)</f>
        <v>701</v>
      </c>
      <c r="V348" s="1">
        <f ca="1">IFERROR(__xludf.DUMMYFUNCTION("""COMPUTED_VALUE"""),0.369)</f>
        <v>0.36899999999999999</v>
      </c>
      <c r="W348" s="1">
        <f ca="1">IFERROR(__xludf.DUMMYFUNCTION("""COMPUTED_VALUE"""),458)</f>
        <v>458</v>
      </c>
      <c r="X348" s="1">
        <f ca="1">IFERROR(__xludf.DUMMYFUNCTION("""COMPUTED_VALUE"""),618)</f>
        <v>618</v>
      </c>
      <c r="Y348" s="1">
        <f ca="1">IFERROR(__xludf.DUMMYFUNCTION("""COMPUTED_VALUE"""),0.741)</f>
        <v>0.74099999999999999</v>
      </c>
      <c r="Z348" s="1">
        <f ca="1">IFERROR(__xludf.DUMMYFUNCTION("""COMPUTED_VALUE"""),288)</f>
        <v>288</v>
      </c>
      <c r="AA348" s="1">
        <f ca="1">IFERROR(__xludf.DUMMYFUNCTION("""COMPUTED_VALUE"""),1101)</f>
        <v>1101</v>
      </c>
      <c r="AB348" s="1">
        <f ca="1">IFERROR(__xludf.DUMMYFUNCTION("""COMPUTED_VALUE"""),421)</f>
        <v>421</v>
      </c>
      <c r="AC348" s="1">
        <f ca="1">IFERROR(__xludf.DUMMYFUNCTION("""COMPUTED_VALUE"""),165)</f>
        <v>165</v>
      </c>
      <c r="AD348" s="1">
        <f ca="1">IFERROR(__xludf.DUMMYFUNCTION("""COMPUTED_VALUE"""),99)</f>
        <v>99</v>
      </c>
      <c r="AE348" s="1">
        <f ca="1">IFERROR(__xludf.DUMMYFUNCTION("""COMPUTED_VALUE"""),365)</f>
        <v>365</v>
      </c>
      <c r="AF348" s="1">
        <f ca="1">IFERROR(__xludf.DUMMYFUNCTION("""COMPUTED_VALUE"""),470)</f>
        <v>470</v>
      </c>
    </row>
    <row r="349" spans="1:32" x14ac:dyDescent="0.25">
      <c r="A349" s="1" t="str">
        <f ca="1">IFERROR(__xludf.DUMMYFUNCTION("""COMPUTED_VALUE"""),"Towson")</f>
        <v>Towson</v>
      </c>
      <c r="B349" s="1">
        <f ca="1">IFERROR(__xludf.DUMMYFUNCTION("""COMPUTED_VALUE"""),31)</f>
        <v>31</v>
      </c>
      <c r="C349" s="1">
        <f ca="1">IFERROR(__xludf.DUMMYFUNCTION("""COMPUTED_VALUE"""),19)</f>
        <v>19</v>
      </c>
      <c r="D349" s="1">
        <f ca="1">IFERROR(__xludf.DUMMYFUNCTION("""COMPUTED_VALUE"""),12)</f>
        <v>12</v>
      </c>
      <c r="E349" s="1">
        <f ca="1">IFERROR(__xludf.DUMMYFUNCTION("""COMPUTED_VALUE"""),0.613)</f>
        <v>0.61299999999999999</v>
      </c>
      <c r="F349" s="1">
        <f ca="1">IFERROR(__xludf.DUMMYFUNCTION("""COMPUTED_VALUE"""),0.48)</f>
        <v>0.48</v>
      </c>
      <c r="G349" s="1">
        <f ca="1">IFERROR(__xludf.DUMMYFUNCTION("""COMPUTED_VALUE"""),-1.52)</f>
        <v>-1.52</v>
      </c>
      <c r="H349" s="1">
        <f ca="1">IFERROR(__xludf.DUMMYFUNCTION("""COMPUTED_VALUE"""),12)</f>
        <v>12</v>
      </c>
      <c r="I349" s="1">
        <f ca="1">IFERROR(__xludf.DUMMYFUNCTION("""COMPUTED_VALUE"""),6)</f>
        <v>6</v>
      </c>
      <c r="J349" s="1">
        <f ca="1">IFERROR(__xludf.DUMMYFUNCTION("""COMPUTED_VALUE"""),9)</f>
        <v>9</v>
      </c>
      <c r="K349" s="1">
        <f ca="1">IFERROR(__xludf.DUMMYFUNCTION("""COMPUTED_VALUE"""),5)</f>
        <v>5</v>
      </c>
      <c r="L349" s="1">
        <f ca="1">IFERROR(__xludf.DUMMYFUNCTION("""COMPUTED_VALUE"""),8)</f>
        <v>8</v>
      </c>
      <c r="M349" s="1">
        <f ca="1">IFERROR(__xludf.DUMMYFUNCTION("""COMPUTED_VALUE"""),4)</f>
        <v>4</v>
      </c>
      <c r="N349" s="1">
        <f ca="1">IFERROR(__xludf.DUMMYFUNCTION("""COMPUTED_VALUE"""),2196)</f>
        <v>2196</v>
      </c>
      <c r="O349" s="1">
        <f ca="1">IFERROR(__xludf.DUMMYFUNCTION("""COMPUTED_VALUE"""),2053)</f>
        <v>2053</v>
      </c>
      <c r="P349" s="1">
        <f ca="1">IFERROR(__xludf.DUMMYFUNCTION("""COMPUTED_VALUE"""),1250)</f>
        <v>1250</v>
      </c>
      <c r="Q349" s="1">
        <f ca="1">IFERROR(__xludf.DUMMYFUNCTION("""COMPUTED_VALUE"""),768)</f>
        <v>768</v>
      </c>
      <c r="R349" s="1">
        <f ca="1">IFERROR(__xludf.DUMMYFUNCTION("""COMPUTED_VALUE"""),1775)</f>
        <v>1775</v>
      </c>
      <c r="S349" s="1">
        <f ca="1">IFERROR(__xludf.DUMMYFUNCTION("""COMPUTED_VALUE"""),0.433)</f>
        <v>0.433</v>
      </c>
      <c r="T349" s="1">
        <f ca="1">IFERROR(__xludf.DUMMYFUNCTION("""COMPUTED_VALUE"""),205)</f>
        <v>205</v>
      </c>
      <c r="U349" s="1">
        <f ca="1">IFERROR(__xludf.DUMMYFUNCTION("""COMPUTED_VALUE"""),592)</f>
        <v>592</v>
      </c>
      <c r="V349" s="1">
        <f ca="1">IFERROR(__xludf.DUMMYFUNCTION("""COMPUTED_VALUE"""),0.346)</f>
        <v>0.34599999999999997</v>
      </c>
      <c r="W349" s="1">
        <f ca="1">IFERROR(__xludf.DUMMYFUNCTION("""COMPUTED_VALUE"""),455)</f>
        <v>455</v>
      </c>
      <c r="X349" s="1">
        <f ca="1">IFERROR(__xludf.DUMMYFUNCTION("""COMPUTED_VALUE"""),589)</f>
        <v>589</v>
      </c>
      <c r="Y349" s="1">
        <f ca="1">IFERROR(__xludf.DUMMYFUNCTION("""COMPUTED_VALUE"""),0.772)</f>
        <v>0.77200000000000002</v>
      </c>
      <c r="Z349" s="1">
        <f ca="1">IFERROR(__xludf.DUMMYFUNCTION("""COMPUTED_VALUE"""),352)</f>
        <v>352</v>
      </c>
      <c r="AA349" s="1">
        <f ca="1">IFERROR(__xludf.DUMMYFUNCTION("""COMPUTED_VALUE"""),1157)</f>
        <v>1157</v>
      </c>
      <c r="AB349" s="1">
        <f ca="1">IFERROR(__xludf.DUMMYFUNCTION("""COMPUTED_VALUE"""),353)</f>
        <v>353</v>
      </c>
      <c r="AC349" s="1">
        <f ca="1">IFERROR(__xludf.DUMMYFUNCTION("""COMPUTED_VALUE"""),177)</f>
        <v>177</v>
      </c>
      <c r="AD349" s="1">
        <f ca="1">IFERROR(__xludf.DUMMYFUNCTION("""COMPUTED_VALUE"""),98)</f>
        <v>98</v>
      </c>
      <c r="AE349" s="1">
        <f ca="1">IFERROR(__xludf.DUMMYFUNCTION("""COMPUTED_VALUE"""),365)</f>
        <v>365</v>
      </c>
      <c r="AF349" s="1">
        <f ca="1">IFERROR(__xludf.DUMMYFUNCTION("""COMPUTED_VALUE"""),563)</f>
        <v>563</v>
      </c>
    </row>
    <row r="350" spans="1:32" x14ac:dyDescent="0.25">
      <c r="A350" s="1" t="str">
        <f ca="1">IFERROR(__xludf.DUMMYFUNCTION("""COMPUTED_VALUE"""),"Troy")</f>
        <v>Troy</v>
      </c>
      <c r="B350" s="1">
        <f ca="1">IFERROR(__xludf.DUMMYFUNCTION("""COMPUTED_VALUE"""),30)</f>
        <v>30</v>
      </c>
      <c r="C350" s="1">
        <f ca="1">IFERROR(__xludf.DUMMYFUNCTION("""COMPUTED_VALUE"""),9)</f>
        <v>9</v>
      </c>
      <c r="D350" s="1">
        <f ca="1">IFERROR(__xludf.DUMMYFUNCTION("""COMPUTED_VALUE"""),21)</f>
        <v>21</v>
      </c>
      <c r="E350" s="1">
        <f ca="1">IFERROR(__xludf.DUMMYFUNCTION("""COMPUTED_VALUE"""),0.3)</f>
        <v>0.3</v>
      </c>
      <c r="F350" s="1">
        <f ca="1">IFERROR(__xludf.DUMMYFUNCTION("""COMPUTED_VALUE"""),-8.97)</f>
        <v>-8.9700000000000006</v>
      </c>
      <c r="G350" s="1">
        <f ca="1">IFERROR(__xludf.DUMMYFUNCTION("""COMPUTED_VALUE"""),-1.51)</f>
        <v>-1.51</v>
      </c>
      <c r="H350" s="1">
        <f ca="1">IFERROR(__xludf.DUMMYFUNCTION("""COMPUTED_VALUE"""),5)</f>
        <v>5</v>
      </c>
      <c r="I350" s="1">
        <f ca="1">IFERROR(__xludf.DUMMYFUNCTION("""COMPUTED_VALUE"""),14)</f>
        <v>14</v>
      </c>
      <c r="J350" s="1">
        <f ca="1">IFERROR(__xludf.DUMMYFUNCTION("""COMPUTED_VALUE"""),6)</f>
        <v>6</v>
      </c>
      <c r="K350" s="1">
        <f ca="1">IFERROR(__xludf.DUMMYFUNCTION("""COMPUTED_VALUE"""),8)</f>
        <v>8</v>
      </c>
      <c r="L350" s="1">
        <f ca="1">IFERROR(__xludf.DUMMYFUNCTION("""COMPUTED_VALUE"""),3)</f>
        <v>3</v>
      </c>
      <c r="M350" s="1">
        <f ca="1">IFERROR(__xludf.DUMMYFUNCTION("""COMPUTED_VALUE"""),13)</f>
        <v>13</v>
      </c>
      <c r="N350" s="1">
        <f ca="1">IFERROR(__xludf.DUMMYFUNCTION("""COMPUTED_VALUE"""),2067)</f>
        <v>2067</v>
      </c>
      <c r="O350" s="1">
        <f ca="1">IFERROR(__xludf.DUMMYFUNCTION("""COMPUTED_VALUE"""),2198)</f>
        <v>2198</v>
      </c>
      <c r="P350" s="1">
        <f ca="1">IFERROR(__xludf.DUMMYFUNCTION("""COMPUTED_VALUE"""),1210)</f>
        <v>1210</v>
      </c>
      <c r="Q350" s="1">
        <f ca="1">IFERROR(__xludf.DUMMYFUNCTION("""COMPUTED_VALUE"""),728)</f>
        <v>728</v>
      </c>
      <c r="R350" s="1">
        <f ca="1">IFERROR(__xludf.DUMMYFUNCTION("""COMPUTED_VALUE"""),1830)</f>
        <v>1830</v>
      </c>
      <c r="S350" s="1">
        <f ca="1">IFERROR(__xludf.DUMMYFUNCTION("""COMPUTED_VALUE"""),0.398)</f>
        <v>0.39800000000000002</v>
      </c>
      <c r="T350" s="1">
        <f ca="1">IFERROR(__xludf.DUMMYFUNCTION("""COMPUTED_VALUE"""),253)</f>
        <v>253</v>
      </c>
      <c r="U350" s="1">
        <f ca="1">IFERROR(__xludf.DUMMYFUNCTION("""COMPUTED_VALUE"""),798)</f>
        <v>798</v>
      </c>
      <c r="V350" s="1">
        <f ca="1">IFERROR(__xludf.DUMMYFUNCTION("""COMPUTED_VALUE"""),0.317)</f>
        <v>0.317</v>
      </c>
      <c r="W350" s="1">
        <f ca="1">IFERROR(__xludf.DUMMYFUNCTION("""COMPUTED_VALUE"""),358)</f>
        <v>358</v>
      </c>
      <c r="X350" s="1">
        <f ca="1">IFERROR(__xludf.DUMMYFUNCTION("""COMPUTED_VALUE"""),530)</f>
        <v>530</v>
      </c>
      <c r="Y350" s="1">
        <f ca="1">IFERROR(__xludf.DUMMYFUNCTION("""COMPUTED_VALUE"""),0.675)</f>
        <v>0.67500000000000004</v>
      </c>
      <c r="Z350" s="1">
        <f ca="1">IFERROR(__xludf.DUMMYFUNCTION("""COMPUTED_VALUE"""),363)</f>
        <v>363</v>
      </c>
      <c r="AA350" s="1">
        <f ca="1">IFERROR(__xludf.DUMMYFUNCTION("""COMPUTED_VALUE"""),1105)</f>
        <v>1105</v>
      </c>
      <c r="AB350" s="1">
        <f ca="1">IFERROR(__xludf.DUMMYFUNCTION("""COMPUTED_VALUE"""),419)</f>
        <v>419</v>
      </c>
      <c r="AC350" s="1">
        <f ca="1">IFERROR(__xludf.DUMMYFUNCTION("""COMPUTED_VALUE"""),173)</f>
        <v>173</v>
      </c>
      <c r="AD350" s="1">
        <f ca="1">IFERROR(__xludf.DUMMYFUNCTION("""COMPUTED_VALUE"""),80)</f>
        <v>80</v>
      </c>
      <c r="AE350" s="1">
        <f ca="1">IFERROR(__xludf.DUMMYFUNCTION("""COMPUTED_VALUE"""),429)</f>
        <v>429</v>
      </c>
      <c r="AF350" s="1">
        <f ca="1">IFERROR(__xludf.DUMMYFUNCTION("""COMPUTED_VALUE"""),569)</f>
        <v>569</v>
      </c>
    </row>
    <row r="351" spans="1:32" x14ac:dyDescent="0.25">
      <c r="A351" s="1" t="str">
        <f ca="1">IFERROR(__xludf.DUMMYFUNCTION("""COMPUTED_VALUE"""),"Tulane")</f>
        <v>Tulane</v>
      </c>
      <c r="B351" s="1">
        <f ca="1">IFERROR(__xludf.DUMMYFUNCTION("""COMPUTED_VALUE"""),29)</f>
        <v>29</v>
      </c>
      <c r="C351" s="1">
        <f ca="1">IFERROR(__xludf.DUMMYFUNCTION("""COMPUTED_VALUE"""),12)</f>
        <v>12</v>
      </c>
      <c r="D351" s="1">
        <f ca="1">IFERROR(__xludf.DUMMYFUNCTION("""COMPUTED_VALUE"""),17)</f>
        <v>17</v>
      </c>
      <c r="E351" s="1">
        <f ca="1">IFERROR(__xludf.DUMMYFUNCTION("""COMPUTED_VALUE"""),0.414)</f>
        <v>0.41399999999999998</v>
      </c>
      <c r="F351" s="1">
        <f ca="1">IFERROR(__xludf.DUMMYFUNCTION("""COMPUTED_VALUE"""),0.58)</f>
        <v>0.57999999999999996</v>
      </c>
      <c r="G351" s="1">
        <f ca="1">IFERROR(__xludf.DUMMYFUNCTION("""COMPUTED_VALUE"""),3.13)</f>
        <v>3.13</v>
      </c>
      <c r="H351" s="1">
        <f ca="1">IFERROR(__xludf.DUMMYFUNCTION("""COMPUTED_VALUE"""),4)</f>
        <v>4</v>
      </c>
      <c r="I351" s="1">
        <f ca="1">IFERROR(__xludf.DUMMYFUNCTION("""COMPUTED_VALUE"""),13)</f>
        <v>13</v>
      </c>
      <c r="J351" s="1">
        <f ca="1">IFERROR(__xludf.DUMMYFUNCTION("""COMPUTED_VALUE"""),7)</f>
        <v>7</v>
      </c>
      <c r="K351" s="1">
        <f ca="1">IFERROR(__xludf.DUMMYFUNCTION("""COMPUTED_VALUE"""),6)</f>
        <v>6</v>
      </c>
      <c r="L351" s="1">
        <f ca="1">IFERROR(__xludf.DUMMYFUNCTION("""COMPUTED_VALUE"""),3)</f>
        <v>3</v>
      </c>
      <c r="M351" s="1">
        <f ca="1">IFERROR(__xludf.DUMMYFUNCTION("""COMPUTED_VALUE"""),7)</f>
        <v>7</v>
      </c>
      <c r="N351" s="1">
        <f ca="1">IFERROR(__xludf.DUMMYFUNCTION("""COMPUTED_VALUE"""),1974)</f>
        <v>1974</v>
      </c>
      <c r="O351" s="1">
        <f ca="1">IFERROR(__xludf.DUMMYFUNCTION("""COMPUTED_VALUE"""),2048)</f>
        <v>2048</v>
      </c>
      <c r="P351" s="1">
        <f ca="1">IFERROR(__xludf.DUMMYFUNCTION("""COMPUTED_VALUE"""),1170)</f>
        <v>1170</v>
      </c>
      <c r="Q351" s="1">
        <f ca="1">IFERROR(__xludf.DUMMYFUNCTION("""COMPUTED_VALUE"""),675)</f>
        <v>675</v>
      </c>
      <c r="R351" s="1">
        <f ca="1">IFERROR(__xludf.DUMMYFUNCTION("""COMPUTED_VALUE"""),1653)</f>
        <v>1653</v>
      </c>
      <c r="S351" s="1">
        <f ca="1">IFERROR(__xludf.DUMMYFUNCTION("""COMPUTED_VALUE"""),0.408)</f>
        <v>0.40799999999999997</v>
      </c>
      <c r="T351" s="1">
        <f ca="1">IFERROR(__xludf.DUMMYFUNCTION("""COMPUTED_VALUE"""),225)</f>
        <v>225</v>
      </c>
      <c r="U351" s="1">
        <f ca="1">IFERROR(__xludf.DUMMYFUNCTION("""COMPUTED_VALUE"""),671)</f>
        <v>671</v>
      </c>
      <c r="V351" s="1">
        <f ca="1">IFERROR(__xludf.DUMMYFUNCTION("""COMPUTED_VALUE"""),0.335)</f>
        <v>0.33500000000000002</v>
      </c>
      <c r="W351" s="1">
        <f ca="1">IFERROR(__xludf.DUMMYFUNCTION("""COMPUTED_VALUE"""),399)</f>
        <v>399</v>
      </c>
      <c r="X351" s="1">
        <f ca="1">IFERROR(__xludf.DUMMYFUNCTION("""COMPUTED_VALUE"""),563)</f>
        <v>563</v>
      </c>
      <c r="Y351" s="1">
        <f ca="1">IFERROR(__xludf.DUMMYFUNCTION("""COMPUTED_VALUE"""),0.709)</f>
        <v>0.70899999999999996</v>
      </c>
      <c r="Z351" s="1">
        <f ca="1">IFERROR(__xludf.DUMMYFUNCTION("""COMPUTED_VALUE"""),235)</f>
        <v>235</v>
      </c>
      <c r="AA351" s="1">
        <f ca="1">IFERROR(__xludf.DUMMYFUNCTION("""COMPUTED_VALUE"""),901)</f>
        <v>901</v>
      </c>
      <c r="AB351" s="1">
        <f ca="1">IFERROR(__xludf.DUMMYFUNCTION("""COMPUTED_VALUE"""),328)</f>
        <v>328</v>
      </c>
      <c r="AC351" s="1">
        <f ca="1">IFERROR(__xludf.DUMMYFUNCTION("""COMPUTED_VALUE"""),249)</f>
        <v>249</v>
      </c>
      <c r="AD351" s="1">
        <f ca="1">IFERROR(__xludf.DUMMYFUNCTION("""COMPUTED_VALUE"""),73)</f>
        <v>73</v>
      </c>
      <c r="AE351" s="1">
        <f ca="1">IFERROR(__xludf.DUMMYFUNCTION("""COMPUTED_VALUE"""),342)</f>
        <v>342</v>
      </c>
      <c r="AF351" s="1">
        <f ca="1">IFERROR(__xludf.DUMMYFUNCTION("""COMPUTED_VALUE"""),449)</f>
        <v>449</v>
      </c>
    </row>
    <row r="352" spans="1:32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x14ac:dyDescent="0.25">
      <c r="A354" s="1" t="str">
        <f ca="1">IFERROR(__xludf.DUMMYFUNCTION("""COMPUTED_VALUE"""),"Tulsa")</f>
        <v>Tulsa</v>
      </c>
      <c r="B354" s="1">
        <f ca="1">IFERROR(__xludf.DUMMYFUNCTION("""COMPUTED_VALUE"""),29)</f>
        <v>29</v>
      </c>
      <c r="C354" s="1">
        <f ca="1">IFERROR(__xludf.DUMMYFUNCTION("""COMPUTED_VALUE"""),20)</f>
        <v>20</v>
      </c>
      <c r="D354" s="1">
        <f ca="1">IFERROR(__xludf.DUMMYFUNCTION("""COMPUTED_VALUE"""),9)</f>
        <v>9</v>
      </c>
      <c r="E354" s="1">
        <f ca="1">IFERROR(__xludf.DUMMYFUNCTION("""COMPUTED_VALUE"""),0.69)</f>
        <v>0.69</v>
      </c>
      <c r="F354" s="1">
        <f ca="1">IFERROR(__xludf.DUMMYFUNCTION("""COMPUTED_VALUE"""),8.14)</f>
        <v>8.14</v>
      </c>
      <c r="G354" s="1">
        <f ca="1">IFERROR(__xludf.DUMMYFUNCTION("""COMPUTED_VALUE"""),3.11)</f>
        <v>3.11</v>
      </c>
      <c r="H354" s="1">
        <f ca="1">IFERROR(__xludf.DUMMYFUNCTION("""COMPUTED_VALUE"""),12)</f>
        <v>12</v>
      </c>
      <c r="I354" s="1">
        <f ca="1">IFERROR(__xludf.DUMMYFUNCTION("""COMPUTED_VALUE"""),4)</f>
        <v>4</v>
      </c>
      <c r="J354" s="1">
        <f ca="1">IFERROR(__xludf.DUMMYFUNCTION("""COMPUTED_VALUE"""),15)</f>
        <v>15</v>
      </c>
      <c r="K354" s="1">
        <f ca="1">IFERROR(__xludf.DUMMYFUNCTION("""COMPUTED_VALUE"""),2)</f>
        <v>2</v>
      </c>
      <c r="L354" s="1">
        <f ca="1">IFERROR(__xludf.DUMMYFUNCTION("""COMPUTED_VALUE"""),5)</f>
        <v>5</v>
      </c>
      <c r="M354" s="1">
        <f ca="1">IFERROR(__xludf.DUMMYFUNCTION("""COMPUTED_VALUE"""),6)</f>
        <v>6</v>
      </c>
      <c r="N354" s="1">
        <f ca="1">IFERROR(__xludf.DUMMYFUNCTION("""COMPUTED_VALUE"""),1985)</f>
        <v>1985</v>
      </c>
      <c r="O354" s="1">
        <f ca="1">IFERROR(__xludf.DUMMYFUNCTION("""COMPUTED_VALUE"""),1839)</f>
        <v>1839</v>
      </c>
      <c r="P354" s="1">
        <f ca="1">IFERROR(__xludf.DUMMYFUNCTION("""COMPUTED_VALUE"""),1180)</f>
        <v>1180</v>
      </c>
      <c r="Q354" s="1">
        <f ca="1">IFERROR(__xludf.DUMMYFUNCTION("""COMPUTED_VALUE"""),690)</f>
        <v>690</v>
      </c>
      <c r="R354" s="1">
        <f ca="1">IFERROR(__xludf.DUMMYFUNCTION("""COMPUTED_VALUE"""),1549)</f>
        <v>1549</v>
      </c>
      <c r="S354" s="1">
        <f ca="1">IFERROR(__xludf.DUMMYFUNCTION("""COMPUTED_VALUE"""),0.445)</f>
        <v>0.44500000000000001</v>
      </c>
      <c r="T354" s="1">
        <f ca="1">IFERROR(__xludf.DUMMYFUNCTION("""COMPUTED_VALUE"""),169)</f>
        <v>169</v>
      </c>
      <c r="U354" s="1">
        <f ca="1">IFERROR(__xludf.DUMMYFUNCTION("""COMPUTED_VALUE"""),526)</f>
        <v>526</v>
      </c>
      <c r="V354" s="1">
        <f ca="1">IFERROR(__xludf.DUMMYFUNCTION("""COMPUTED_VALUE"""),0.321)</f>
        <v>0.32100000000000001</v>
      </c>
      <c r="W354" s="1">
        <f ca="1">IFERROR(__xludf.DUMMYFUNCTION("""COMPUTED_VALUE"""),436)</f>
        <v>436</v>
      </c>
      <c r="X354" s="1">
        <f ca="1">IFERROR(__xludf.DUMMYFUNCTION("""COMPUTED_VALUE"""),615)</f>
        <v>615</v>
      </c>
      <c r="Y354" s="1">
        <f ca="1">IFERROR(__xludf.DUMMYFUNCTION("""COMPUTED_VALUE"""),0.709)</f>
        <v>0.70899999999999996</v>
      </c>
      <c r="Z354" s="1">
        <f ca="1">IFERROR(__xludf.DUMMYFUNCTION("""COMPUTED_VALUE"""),258)</f>
        <v>258</v>
      </c>
      <c r="AA354" s="1">
        <f ca="1">IFERROR(__xludf.DUMMYFUNCTION("""COMPUTED_VALUE"""),1005)</f>
        <v>1005</v>
      </c>
      <c r="AB354" s="1">
        <f ca="1">IFERROR(__xludf.DUMMYFUNCTION("""COMPUTED_VALUE"""),368)</f>
        <v>368</v>
      </c>
      <c r="AC354" s="1">
        <f ca="1">IFERROR(__xludf.DUMMYFUNCTION("""COMPUTED_VALUE"""),223)</f>
        <v>223</v>
      </c>
      <c r="AD354" s="1">
        <f ca="1">IFERROR(__xludf.DUMMYFUNCTION("""COMPUTED_VALUE"""),67)</f>
        <v>67</v>
      </c>
      <c r="AE354" s="1">
        <f ca="1">IFERROR(__xludf.DUMMYFUNCTION("""COMPUTED_VALUE"""),391)</f>
        <v>391</v>
      </c>
      <c r="AF354" s="1">
        <f ca="1">IFERROR(__xludf.DUMMYFUNCTION("""COMPUTED_VALUE"""),443)</f>
        <v>443</v>
      </c>
    </row>
    <row r="355" spans="1:32" x14ac:dyDescent="0.25">
      <c r="A355" s="1" t="str">
        <f ca="1">IFERROR(__xludf.DUMMYFUNCTION("""COMPUTED_VALUE"""),"UCLA")</f>
        <v>UCLA</v>
      </c>
      <c r="B355" s="1">
        <f ca="1">IFERROR(__xludf.DUMMYFUNCTION("""COMPUTED_VALUE"""),30)</f>
        <v>30</v>
      </c>
      <c r="C355" s="1">
        <f ca="1">IFERROR(__xludf.DUMMYFUNCTION("""COMPUTED_VALUE"""),19)</f>
        <v>19</v>
      </c>
      <c r="D355" s="1">
        <f ca="1">IFERROR(__xludf.DUMMYFUNCTION("""COMPUTED_VALUE"""),11)</f>
        <v>11</v>
      </c>
      <c r="E355" s="1">
        <f ca="1">IFERROR(__xludf.DUMMYFUNCTION("""COMPUTED_VALUE"""),0.633)</f>
        <v>0.63300000000000001</v>
      </c>
      <c r="F355" s="1">
        <f ca="1">IFERROR(__xludf.DUMMYFUNCTION("""COMPUTED_VALUE"""),9.91)</f>
        <v>9.91</v>
      </c>
      <c r="G355" s="1">
        <f ca="1">IFERROR(__xludf.DUMMYFUNCTION("""COMPUTED_VALUE"""),8.19)</f>
        <v>8.19</v>
      </c>
      <c r="H355" s="1">
        <f ca="1">IFERROR(__xludf.DUMMYFUNCTION("""COMPUTED_VALUE"""),12)</f>
        <v>12</v>
      </c>
      <c r="I355" s="1">
        <f ca="1">IFERROR(__xludf.DUMMYFUNCTION("""COMPUTED_VALUE"""),5)</f>
        <v>5</v>
      </c>
      <c r="J355" s="1">
        <f ca="1">IFERROR(__xludf.DUMMYFUNCTION("""COMPUTED_VALUE"""),13)</f>
        <v>13</v>
      </c>
      <c r="K355" s="1">
        <f ca="1">IFERROR(__xludf.DUMMYFUNCTION("""COMPUTED_VALUE"""),4)</f>
        <v>4</v>
      </c>
      <c r="L355" s="1">
        <f ca="1">IFERROR(__xludf.DUMMYFUNCTION("""COMPUTED_VALUE"""),5)</f>
        <v>5</v>
      </c>
      <c r="M355" s="1">
        <f ca="1">IFERROR(__xludf.DUMMYFUNCTION("""COMPUTED_VALUE"""),4)</f>
        <v>4</v>
      </c>
      <c r="N355" s="1">
        <f ca="1">IFERROR(__xludf.DUMMYFUNCTION("""COMPUTED_VALUE"""),2101)</f>
        <v>2101</v>
      </c>
      <c r="O355" s="1">
        <f ca="1">IFERROR(__xludf.DUMMYFUNCTION("""COMPUTED_VALUE"""),2025)</f>
        <v>2025</v>
      </c>
      <c r="P355" s="1">
        <f ca="1">IFERROR(__xludf.DUMMYFUNCTION("""COMPUTED_VALUE"""),1210)</f>
        <v>1210</v>
      </c>
      <c r="Q355" s="1">
        <f ca="1">IFERROR(__xludf.DUMMYFUNCTION("""COMPUTED_VALUE"""),735)</f>
        <v>735</v>
      </c>
      <c r="R355" s="1">
        <f ca="1">IFERROR(__xludf.DUMMYFUNCTION("""COMPUTED_VALUE"""),1681)</f>
        <v>1681</v>
      </c>
      <c r="S355" s="1">
        <f ca="1">IFERROR(__xludf.DUMMYFUNCTION("""COMPUTED_VALUE"""),0.437)</f>
        <v>0.437</v>
      </c>
      <c r="T355" s="1">
        <f ca="1">IFERROR(__xludf.DUMMYFUNCTION("""COMPUTED_VALUE"""),180)</f>
        <v>180</v>
      </c>
      <c r="U355" s="1">
        <f ca="1">IFERROR(__xludf.DUMMYFUNCTION("""COMPUTED_VALUE"""),558)</f>
        <v>558</v>
      </c>
      <c r="V355" s="1">
        <f ca="1">IFERROR(__xludf.DUMMYFUNCTION("""COMPUTED_VALUE"""),0.323)</f>
        <v>0.32300000000000001</v>
      </c>
      <c r="W355" s="1">
        <f ca="1">IFERROR(__xludf.DUMMYFUNCTION("""COMPUTED_VALUE"""),451)</f>
        <v>451</v>
      </c>
      <c r="X355" s="1">
        <f ca="1">IFERROR(__xludf.DUMMYFUNCTION("""COMPUTED_VALUE"""),633)</f>
        <v>633</v>
      </c>
      <c r="Y355" s="1">
        <f ca="1">IFERROR(__xludf.DUMMYFUNCTION("""COMPUTED_VALUE"""),0.712)</f>
        <v>0.71199999999999997</v>
      </c>
      <c r="Z355" s="1">
        <f ca="1">IFERROR(__xludf.DUMMYFUNCTION("""COMPUTED_VALUE"""),361)</f>
        <v>361</v>
      </c>
      <c r="AA355" s="1">
        <f ca="1">IFERROR(__xludf.DUMMYFUNCTION("""COMPUTED_VALUE"""),1105)</f>
        <v>1105</v>
      </c>
      <c r="AB355" s="1">
        <f ca="1">IFERROR(__xludf.DUMMYFUNCTION("""COMPUTED_VALUE"""),393)</f>
        <v>393</v>
      </c>
      <c r="AC355" s="1">
        <f ca="1">IFERROR(__xludf.DUMMYFUNCTION("""COMPUTED_VALUE"""),202)</f>
        <v>202</v>
      </c>
      <c r="AD355" s="1">
        <f ca="1">IFERROR(__xludf.DUMMYFUNCTION("""COMPUTED_VALUE"""),102)</f>
        <v>102</v>
      </c>
      <c r="AE355" s="1">
        <f ca="1">IFERROR(__xludf.DUMMYFUNCTION("""COMPUTED_VALUE"""),397)</f>
        <v>397</v>
      </c>
      <c r="AF355" s="1">
        <f ca="1">IFERROR(__xludf.DUMMYFUNCTION("""COMPUTED_VALUE"""),556)</f>
        <v>556</v>
      </c>
    </row>
    <row r="356" spans="1:32" x14ac:dyDescent="0.25">
      <c r="A356" s="1" t="str">
        <f ca="1">IFERROR(__xludf.DUMMYFUNCTION("""COMPUTED_VALUE"""),"Utah State")</f>
        <v>Utah State</v>
      </c>
      <c r="B356" s="1">
        <f ca="1">IFERROR(__xludf.DUMMYFUNCTION("""COMPUTED_VALUE"""),31)</f>
        <v>31</v>
      </c>
      <c r="C356" s="1">
        <f ca="1">IFERROR(__xludf.DUMMYFUNCTION("""COMPUTED_VALUE"""),23)</f>
        <v>23</v>
      </c>
      <c r="D356" s="1">
        <f ca="1">IFERROR(__xludf.DUMMYFUNCTION("""COMPUTED_VALUE"""),8)</f>
        <v>8</v>
      </c>
      <c r="E356" s="1">
        <f ca="1">IFERROR(__xludf.DUMMYFUNCTION("""COMPUTED_VALUE"""),0.742)</f>
        <v>0.74199999999999999</v>
      </c>
      <c r="F356" s="1">
        <f ca="1">IFERROR(__xludf.DUMMYFUNCTION("""COMPUTED_VALUE"""),13.99)</f>
        <v>13.99</v>
      </c>
      <c r="G356" s="1">
        <f ca="1">IFERROR(__xludf.DUMMYFUNCTION("""COMPUTED_VALUE"""),3.89)</f>
        <v>3.89</v>
      </c>
      <c r="H356" s="1">
        <f ca="1">IFERROR(__xludf.DUMMYFUNCTION("""COMPUTED_VALUE"""),12)</f>
        <v>12</v>
      </c>
      <c r="I356" s="1">
        <f ca="1">IFERROR(__xludf.DUMMYFUNCTION("""COMPUTED_VALUE"""),6)</f>
        <v>6</v>
      </c>
      <c r="J356" s="1">
        <f ca="1">IFERROR(__xludf.DUMMYFUNCTION("""COMPUTED_VALUE"""),15)</f>
        <v>15</v>
      </c>
      <c r="K356" s="1">
        <f ca="1">IFERROR(__xludf.DUMMYFUNCTION("""COMPUTED_VALUE"""),1)</f>
        <v>1</v>
      </c>
      <c r="L356" s="1">
        <f ca="1">IFERROR(__xludf.DUMMYFUNCTION("""COMPUTED_VALUE"""),4)</f>
        <v>4</v>
      </c>
      <c r="M356" s="1">
        <f ca="1">IFERROR(__xludf.DUMMYFUNCTION("""COMPUTED_VALUE"""),6)</f>
        <v>6</v>
      </c>
      <c r="N356" s="1">
        <f ca="1">IFERROR(__xludf.DUMMYFUNCTION("""COMPUTED_VALUE"""),2377)</f>
        <v>2377</v>
      </c>
      <c r="O356" s="1">
        <f ca="1">IFERROR(__xludf.DUMMYFUNCTION("""COMPUTED_VALUE"""),1971)</f>
        <v>1971</v>
      </c>
      <c r="P356" s="1">
        <f ca="1">IFERROR(__xludf.DUMMYFUNCTION("""COMPUTED_VALUE"""),1255)</f>
        <v>1255</v>
      </c>
      <c r="Q356" s="1">
        <f ca="1">IFERROR(__xludf.DUMMYFUNCTION("""COMPUTED_VALUE"""),829)</f>
        <v>829</v>
      </c>
      <c r="R356" s="1">
        <f ca="1">IFERROR(__xludf.DUMMYFUNCTION("""COMPUTED_VALUE"""),1816)</f>
        <v>1816</v>
      </c>
      <c r="S356" s="1">
        <f ca="1">IFERROR(__xludf.DUMMYFUNCTION("""COMPUTED_VALUE"""),0.456)</f>
        <v>0.45600000000000002</v>
      </c>
      <c r="T356" s="1">
        <f ca="1">IFERROR(__xludf.DUMMYFUNCTION("""COMPUTED_VALUE"""),226)</f>
        <v>226</v>
      </c>
      <c r="U356" s="1">
        <f ca="1">IFERROR(__xludf.DUMMYFUNCTION("""COMPUTED_VALUE"""),681)</f>
        <v>681</v>
      </c>
      <c r="V356" s="1">
        <f ca="1">IFERROR(__xludf.DUMMYFUNCTION("""COMPUTED_VALUE"""),0.332)</f>
        <v>0.33200000000000002</v>
      </c>
      <c r="W356" s="1">
        <f ca="1">IFERROR(__xludf.DUMMYFUNCTION("""COMPUTED_VALUE"""),493)</f>
        <v>493</v>
      </c>
      <c r="X356" s="1">
        <f ca="1">IFERROR(__xludf.DUMMYFUNCTION("""COMPUTED_VALUE"""),638)</f>
        <v>638</v>
      </c>
      <c r="Y356" s="1">
        <f ca="1">IFERROR(__xludf.DUMMYFUNCTION("""COMPUTED_VALUE"""),0.773)</f>
        <v>0.77300000000000002</v>
      </c>
      <c r="Z356" s="1">
        <f ca="1">IFERROR(__xludf.DUMMYFUNCTION("""COMPUTED_VALUE"""),343)</f>
        <v>343</v>
      </c>
      <c r="AA356" s="1">
        <f ca="1">IFERROR(__xludf.DUMMYFUNCTION("""COMPUTED_VALUE"""),1267)</f>
        <v>1267</v>
      </c>
      <c r="AB356" s="1">
        <f ca="1">IFERROR(__xludf.DUMMYFUNCTION("""COMPUTED_VALUE"""),516)</f>
        <v>516</v>
      </c>
      <c r="AC356" s="1">
        <f ca="1">IFERROR(__xludf.DUMMYFUNCTION("""COMPUTED_VALUE"""),194)</f>
        <v>194</v>
      </c>
      <c r="AD356" s="1">
        <f ca="1">IFERROR(__xludf.DUMMYFUNCTION("""COMPUTED_VALUE"""),98)</f>
        <v>98</v>
      </c>
      <c r="AE356" s="1">
        <f ca="1">IFERROR(__xludf.DUMMYFUNCTION("""COMPUTED_VALUE"""),384)</f>
        <v>384</v>
      </c>
      <c r="AF356" s="1">
        <f ca="1">IFERROR(__xludf.DUMMYFUNCTION("""COMPUTED_VALUE"""),486)</f>
        <v>486</v>
      </c>
    </row>
    <row r="357" spans="1:32" x14ac:dyDescent="0.25">
      <c r="A357" s="1" t="str">
        <f ca="1">IFERROR(__xludf.DUMMYFUNCTION("""COMPUTED_VALUE"""),"Utah Valley")</f>
        <v>Utah Valley</v>
      </c>
      <c r="B357" s="1">
        <f ca="1">IFERROR(__xludf.DUMMYFUNCTION("""COMPUTED_VALUE"""),29)</f>
        <v>29</v>
      </c>
      <c r="C357" s="1">
        <f ca="1">IFERROR(__xludf.DUMMYFUNCTION("""COMPUTED_VALUE"""),11)</f>
        <v>11</v>
      </c>
      <c r="D357" s="1">
        <f ca="1">IFERROR(__xludf.DUMMYFUNCTION("""COMPUTED_VALUE"""),18)</f>
        <v>18</v>
      </c>
      <c r="E357" s="1">
        <f ca="1">IFERROR(__xludf.DUMMYFUNCTION("""COMPUTED_VALUE"""),0.379)</f>
        <v>0.379</v>
      </c>
      <c r="F357" s="1">
        <f ca="1">IFERROR(__xludf.DUMMYFUNCTION("""COMPUTED_VALUE"""),-7.13)</f>
        <v>-7.13</v>
      </c>
      <c r="G357" s="1">
        <f ca="1">IFERROR(__xludf.DUMMYFUNCTION("""COMPUTED_VALUE"""),-4.09)</f>
        <v>-4.09</v>
      </c>
      <c r="H357" s="1">
        <f ca="1">IFERROR(__xludf.DUMMYFUNCTION("""COMPUTED_VALUE"""),5)</f>
        <v>5</v>
      </c>
      <c r="I357" s="1">
        <f ca="1">IFERROR(__xludf.DUMMYFUNCTION("""COMPUTED_VALUE"""),9)</f>
        <v>9</v>
      </c>
      <c r="J357" s="1">
        <f ca="1">IFERROR(__xludf.DUMMYFUNCTION("""COMPUTED_VALUE"""),6)</f>
        <v>6</v>
      </c>
      <c r="K357" s="1">
        <f ca="1">IFERROR(__xludf.DUMMYFUNCTION("""COMPUTED_VALUE"""),6)</f>
        <v>6</v>
      </c>
      <c r="L357" s="1">
        <f ca="1">IFERROR(__xludf.DUMMYFUNCTION("""COMPUTED_VALUE"""),5)</f>
        <v>5</v>
      </c>
      <c r="M357" s="1">
        <f ca="1">IFERROR(__xludf.DUMMYFUNCTION("""COMPUTED_VALUE"""),12)</f>
        <v>12</v>
      </c>
      <c r="N357" s="1">
        <f ca="1">IFERROR(__xludf.DUMMYFUNCTION("""COMPUTED_VALUE"""),2054)</f>
        <v>2054</v>
      </c>
      <c r="O357" s="1">
        <f ca="1">IFERROR(__xludf.DUMMYFUNCTION("""COMPUTED_VALUE"""),2070)</f>
        <v>2070</v>
      </c>
      <c r="P357" s="1">
        <f ca="1">IFERROR(__xludf.DUMMYFUNCTION("""COMPUTED_VALUE"""),1170)</f>
        <v>1170</v>
      </c>
      <c r="Q357" s="1">
        <f ca="1">IFERROR(__xludf.DUMMYFUNCTION("""COMPUTED_VALUE"""),730)</f>
        <v>730</v>
      </c>
      <c r="R357" s="1">
        <f ca="1">IFERROR(__xludf.DUMMYFUNCTION("""COMPUTED_VALUE"""),1654)</f>
        <v>1654</v>
      </c>
      <c r="S357" s="1">
        <f ca="1">IFERROR(__xludf.DUMMYFUNCTION("""COMPUTED_VALUE"""),0.441)</f>
        <v>0.441</v>
      </c>
      <c r="T357" s="1">
        <f ca="1">IFERROR(__xludf.DUMMYFUNCTION("""COMPUTED_VALUE"""),189)</f>
        <v>189</v>
      </c>
      <c r="U357" s="1">
        <f ca="1">IFERROR(__xludf.DUMMYFUNCTION("""COMPUTED_VALUE"""),623)</f>
        <v>623</v>
      </c>
      <c r="V357" s="1">
        <f ca="1">IFERROR(__xludf.DUMMYFUNCTION("""COMPUTED_VALUE"""),0.303)</f>
        <v>0.30299999999999999</v>
      </c>
      <c r="W357" s="1">
        <f ca="1">IFERROR(__xludf.DUMMYFUNCTION("""COMPUTED_VALUE"""),405)</f>
        <v>405</v>
      </c>
      <c r="X357" s="1">
        <f ca="1">IFERROR(__xludf.DUMMYFUNCTION("""COMPUTED_VALUE"""),568)</f>
        <v>568</v>
      </c>
      <c r="Y357" s="1">
        <f ca="1">IFERROR(__xludf.DUMMYFUNCTION("""COMPUTED_VALUE"""),0.713)</f>
        <v>0.71299999999999997</v>
      </c>
      <c r="Z357" s="1">
        <f ca="1">IFERROR(__xludf.DUMMYFUNCTION("""COMPUTED_VALUE"""),246)</f>
        <v>246</v>
      </c>
      <c r="AA357" s="1">
        <f ca="1">IFERROR(__xludf.DUMMYFUNCTION("""COMPUTED_VALUE"""),1026)</f>
        <v>1026</v>
      </c>
      <c r="AB357" s="1">
        <f ca="1">IFERROR(__xludf.DUMMYFUNCTION("""COMPUTED_VALUE"""),400)</f>
        <v>400</v>
      </c>
      <c r="AC357" s="1">
        <f ca="1">IFERROR(__xludf.DUMMYFUNCTION("""COMPUTED_VALUE"""),166)</f>
        <v>166</v>
      </c>
      <c r="AD357" s="1">
        <f ca="1">IFERROR(__xludf.DUMMYFUNCTION("""COMPUTED_VALUE"""),152)</f>
        <v>152</v>
      </c>
      <c r="AE357" s="1">
        <f ca="1">IFERROR(__xludf.DUMMYFUNCTION("""COMPUTED_VALUE"""),409)</f>
        <v>409</v>
      </c>
      <c r="AF357" s="1">
        <f ca="1">IFERROR(__xludf.DUMMYFUNCTION("""COMPUTED_VALUE"""),519)</f>
        <v>519</v>
      </c>
    </row>
    <row r="358" spans="1:32" x14ac:dyDescent="0.25">
      <c r="A358" s="1" t="str">
        <f ca="1">IFERROR(__xludf.DUMMYFUNCTION("""COMPUTED_VALUE"""),"Utah")</f>
        <v>Utah</v>
      </c>
      <c r="B358" s="1">
        <f ca="1">IFERROR(__xludf.DUMMYFUNCTION("""COMPUTED_VALUE"""),29)</f>
        <v>29</v>
      </c>
      <c r="C358" s="1">
        <f ca="1">IFERROR(__xludf.DUMMYFUNCTION("""COMPUTED_VALUE"""),15)</f>
        <v>15</v>
      </c>
      <c r="D358" s="1">
        <f ca="1">IFERROR(__xludf.DUMMYFUNCTION("""COMPUTED_VALUE"""),14)</f>
        <v>14</v>
      </c>
      <c r="E358" s="1">
        <f ca="1">IFERROR(__xludf.DUMMYFUNCTION("""COMPUTED_VALUE"""),0.517)</f>
        <v>0.51700000000000002</v>
      </c>
      <c r="F358" s="1">
        <f ca="1">IFERROR(__xludf.DUMMYFUNCTION("""COMPUTED_VALUE"""),8.35)</f>
        <v>8.35</v>
      </c>
      <c r="G358" s="1">
        <f ca="1">IFERROR(__xludf.DUMMYFUNCTION("""COMPUTED_VALUE"""),7.7)</f>
        <v>7.7</v>
      </c>
      <c r="H358" s="1">
        <f ca="1">IFERROR(__xludf.DUMMYFUNCTION("""COMPUTED_VALUE"""),6)</f>
        <v>6</v>
      </c>
      <c r="I358" s="1">
        <f ca="1">IFERROR(__xludf.DUMMYFUNCTION("""COMPUTED_VALUE"""),11)</f>
        <v>11</v>
      </c>
      <c r="J358" s="1">
        <f ca="1">IFERROR(__xludf.DUMMYFUNCTION("""COMPUTED_VALUE"""),11)</f>
        <v>11</v>
      </c>
      <c r="K358" s="1">
        <f ca="1">IFERROR(__xludf.DUMMYFUNCTION("""COMPUTED_VALUE"""),2)</f>
        <v>2</v>
      </c>
      <c r="L358" s="1">
        <f ca="1">IFERROR(__xludf.DUMMYFUNCTION("""COMPUTED_VALUE"""),1)</f>
        <v>1</v>
      </c>
      <c r="M358" s="1">
        <f ca="1">IFERROR(__xludf.DUMMYFUNCTION("""COMPUTED_VALUE"""),10)</f>
        <v>10</v>
      </c>
      <c r="N358" s="1">
        <f ca="1">IFERROR(__xludf.DUMMYFUNCTION("""COMPUTED_VALUE"""),2056)</f>
        <v>2056</v>
      </c>
      <c r="O358" s="1">
        <f ca="1">IFERROR(__xludf.DUMMYFUNCTION("""COMPUTED_VALUE"""),2037)</f>
        <v>2037</v>
      </c>
      <c r="P358" s="1">
        <f ca="1">IFERROR(__xludf.DUMMYFUNCTION("""COMPUTED_VALUE"""),1175)</f>
        <v>1175</v>
      </c>
      <c r="Q358" s="1">
        <f ca="1">IFERROR(__xludf.DUMMYFUNCTION("""COMPUTED_VALUE"""),717)</f>
        <v>717</v>
      </c>
      <c r="R358" s="1">
        <f ca="1">IFERROR(__xludf.DUMMYFUNCTION("""COMPUTED_VALUE"""),1595)</f>
        <v>1595</v>
      </c>
      <c r="S358" s="1">
        <f ca="1">IFERROR(__xludf.DUMMYFUNCTION("""COMPUTED_VALUE"""),0.45)</f>
        <v>0.45</v>
      </c>
      <c r="T358" s="1">
        <f ca="1">IFERROR(__xludf.DUMMYFUNCTION("""COMPUTED_VALUE"""),200)</f>
        <v>200</v>
      </c>
      <c r="U358" s="1">
        <f ca="1">IFERROR(__xludf.DUMMYFUNCTION("""COMPUTED_VALUE"""),610)</f>
        <v>610</v>
      </c>
      <c r="V358" s="1">
        <f ca="1">IFERROR(__xludf.DUMMYFUNCTION("""COMPUTED_VALUE"""),0.328)</f>
        <v>0.32800000000000001</v>
      </c>
      <c r="W358" s="1">
        <f ca="1">IFERROR(__xludf.DUMMYFUNCTION("""COMPUTED_VALUE"""),422)</f>
        <v>422</v>
      </c>
      <c r="X358" s="1">
        <f ca="1">IFERROR(__xludf.DUMMYFUNCTION("""COMPUTED_VALUE"""),579)</f>
        <v>579</v>
      </c>
      <c r="Y358" s="1">
        <f ca="1">IFERROR(__xludf.DUMMYFUNCTION("""COMPUTED_VALUE"""),0.729)</f>
        <v>0.72899999999999998</v>
      </c>
      <c r="Z358" s="1">
        <f ca="1">IFERROR(__xludf.DUMMYFUNCTION("""COMPUTED_VALUE"""),276)</f>
        <v>276</v>
      </c>
      <c r="AA358" s="1">
        <f ca="1">IFERROR(__xludf.DUMMYFUNCTION("""COMPUTED_VALUE"""),1038)</f>
        <v>1038</v>
      </c>
      <c r="AB358" s="1">
        <f ca="1">IFERROR(__xludf.DUMMYFUNCTION("""COMPUTED_VALUE"""),406)</f>
        <v>406</v>
      </c>
      <c r="AC358" s="1">
        <f ca="1">IFERROR(__xludf.DUMMYFUNCTION("""COMPUTED_VALUE"""),160)</f>
        <v>160</v>
      </c>
      <c r="AD358" s="1">
        <f ca="1">IFERROR(__xludf.DUMMYFUNCTION("""COMPUTED_VALUE"""),85)</f>
        <v>85</v>
      </c>
      <c r="AE358" s="1">
        <f ca="1">IFERROR(__xludf.DUMMYFUNCTION("""COMPUTED_VALUE"""),392)</f>
        <v>392</v>
      </c>
      <c r="AF358" s="1">
        <f ca="1">IFERROR(__xludf.DUMMYFUNCTION("""COMPUTED_VALUE"""),450)</f>
        <v>450</v>
      </c>
    </row>
    <row r="359" spans="1:32" x14ac:dyDescent="0.25">
      <c r="A359" s="1" t="str">
        <f ca="1">IFERROR(__xludf.DUMMYFUNCTION("""COMPUTED_VALUE"""),"Valparaiso")</f>
        <v>Valparaiso</v>
      </c>
      <c r="B359" s="1">
        <f ca="1">IFERROR(__xludf.DUMMYFUNCTION("""COMPUTED_VALUE"""),31)</f>
        <v>31</v>
      </c>
      <c r="C359" s="1">
        <f ca="1">IFERROR(__xludf.DUMMYFUNCTION("""COMPUTED_VALUE"""),16)</f>
        <v>16</v>
      </c>
      <c r="D359" s="1">
        <f ca="1">IFERROR(__xludf.DUMMYFUNCTION("""COMPUTED_VALUE"""),15)</f>
        <v>15</v>
      </c>
      <c r="E359" s="1">
        <f ca="1">IFERROR(__xludf.DUMMYFUNCTION("""COMPUTED_VALUE"""),0.516)</f>
        <v>0.51600000000000001</v>
      </c>
      <c r="F359" s="1">
        <f ca="1">IFERROR(__xludf.DUMMYFUNCTION("""COMPUTED_VALUE"""),1.59)</f>
        <v>1.59</v>
      </c>
      <c r="G359" s="1">
        <f ca="1">IFERROR(__xludf.DUMMYFUNCTION("""COMPUTED_VALUE"""),1.19)</f>
        <v>1.19</v>
      </c>
      <c r="H359" s="1">
        <f ca="1">IFERROR(__xludf.DUMMYFUNCTION("""COMPUTED_VALUE"""),9)</f>
        <v>9</v>
      </c>
      <c r="I359" s="1">
        <f ca="1">IFERROR(__xludf.DUMMYFUNCTION("""COMPUTED_VALUE"""),9)</f>
        <v>9</v>
      </c>
      <c r="J359" s="1">
        <f ca="1">IFERROR(__xludf.DUMMYFUNCTION("""COMPUTED_VALUE"""),11)</f>
        <v>11</v>
      </c>
      <c r="K359" s="1">
        <f ca="1">IFERROR(__xludf.DUMMYFUNCTION("""COMPUTED_VALUE"""),2)</f>
        <v>2</v>
      </c>
      <c r="L359" s="1">
        <f ca="1">IFERROR(__xludf.DUMMYFUNCTION("""COMPUTED_VALUE"""),4)</f>
        <v>4</v>
      </c>
      <c r="M359" s="1">
        <f ca="1">IFERROR(__xludf.DUMMYFUNCTION("""COMPUTED_VALUE"""),10)</f>
        <v>10</v>
      </c>
      <c r="N359" s="1">
        <f ca="1">IFERROR(__xludf.DUMMYFUNCTION("""COMPUTED_VALUE"""),2243)</f>
        <v>2243</v>
      </c>
      <c r="O359" s="1">
        <f ca="1">IFERROR(__xludf.DUMMYFUNCTION("""COMPUTED_VALUE"""),2204)</f>
        <v>2204</v>
      </c>
      <c r="P359" s="1">
        <f ca="1">IFERROR(__xludf.DUMMYFUNCTION("""COMPUTED_VALUE"""),1255)</f>
        <v>1255</v>
      </c>
      <c r="Q359" s="1">
        <f ca="1">IFERROR(__xludf.DUMMYFUNCTION("""COMPUTED_VALUE"""),815)</f>
        <v>815</v>
      </c>
      <c r="R359" s="1">
        <f ca="1">IFERROR(__xludf.DUMMYFUNCTION("""COMPUTED_VALUE"""),1847)</f>
        <v>1847</v>
      </c>
      <c r="S359" s="1">
        <f ca="1">IFERROR(__xludf.DUMMYFUNCTION("""COMPUTED_VALUE"""),0.441)</f>
        <v>0.441</v>
      </c>
      <c r="T359" s="1">
        <f ca="1">IFERROR(__xludf.DUMMYFUNCTION("""COMPUTED_VALUE"""),258)</f>
        <v>258</v>
      </c>
      <c r="U359" s="1">
        <f ca="1">IFERROR(__xludf.DUMMYFUNCTION("""COMPUTED_VALUE"""),753)</f>
        <v>753</v>
      </c>
      <c r="V359" s="1">
        <f ca="1">IFERROR(__xludf.DUMMYFUNCTION("""COMPUTED_VALUE"""),0.343)</f>
        <v>0.34300000000000003</v>
      </c>
      <c r="W359" s="1">
        <f ca="1">IFERROR(__xludf.DUMMYFUNCTION("""COMPUTED_VALUE"""),355)</f>
        <v>355</v>
      </c>
      <c r="X359" s="1">
        <f ca="1">IFERROR(__xludf.DUMMYFUNCTION("""COMPUTED_VALUE"""),499)</f>
        <v>499</v>
      </c>
      <c r="Y359" s="1">
        <f ca="1">IFERROR(__xludf.DUMMYFUNCTION("""COMPUTED_VALUE"""),0.711)</f>
        <v>0.71099999999999997</v>
      </c>
      <c r="Z359" s="1">
        <f ca="1">IFERROR(__xludf.DUMMYFUNCTION("""COMPUTED_VALUE"""),294)</f>
        <v>294</v>
      </c>
      <c r="AA359" s="1">
        <f ca="1">IFERROR(__xludf.DUMMYFUNCTION("""COMPUTED_VALUE"""),1058)</f>
        <v>1058</v>
      </c>
      <c r="AB359" s="1">
        <f ca="1">IFERROR(__xludf.DUMMYFUNCTION("""COMPUTED_VALUE"""),472)</f>
        <v>472</v>
      </c>
      <c r="AC359" s="1">
        <f ca="1">IFERROR(__xludf.DUMMYFUNCTION("""COMPUTED_VALUE"""),242)</f>
        <v>242</v>
      </c>
      <c r="AD359" s="1">
        <f ca="1">IFERROR(__xludf.DUMMYFUNCTION("""COMPUTED_VALUE"""),103)</f>
        <v>103</v>
      </c>
      <c r="AE359" s="1">
        <f ca="1">IFERROR(__xludf.DUMMYFUNCTION("""COMPUTED_VALUE"""),403)</f>
        <v>403</v>
      </c>
      <c r="AF359" s="1">
        <f ca="1">IFERROR(__xludf.DUMMYFUNCTION("""COMPUTED_VALUE"""),532)</f>
        <v>532</v>
      </c>
    </row>
    <row r="360" spans="1:32" x14ac:dyDescent="0.25">
      <c r="A360" s="1" t="str">
        <f ca="1">IFERROR(__xludf.DUMMYFUNCTION("""COMPUTED_VALUE"""),"Vanderbilt")</f>
        <v>Vanderbilt</v>
      </c>
      <c r="B360" s="1">
        <f ca="1">IFERROR(__xludf.DUMMYFUNCTION("""COMPUTED_VALUE"""),29)</f>
        <v>29</v>
      </c>
      <c r="C360" s="1">
        <f ca="1">IFERROR(__xludf.DUMMYFUNCTION("""COMPUTED_VALUE"""),9)</f>
        <v>9</v>
      </c>
      <c r="D360" s="1">
        <f ca="1">IFERROR(__xludf.DUMMYFUNCTION("""COMPUTED_VALUE"""),20)</f>
        <v>20</v>
      </c>
      <c r="E360" s="1">
        <f ca="1">IFERROR(__xludf.DUMMYFUNCTION("""COMPUTED_VALUE"""),0.31)</f>
        <v>0.31</v>
      </c>
      <c r="F360" s="1">
        <f ca="1">IFERROR(__xludf.DUMMYFUNCTION("""COMPUTED_VALUE"""),2.26)</f>
        <v>2.2599999999999998</v>
      </c>
      <c r="G360" s="1">
        <f ca="1">IFERROR(__xludf.DUMMYFUNCTION("""COMPUTED_VALUE"""),5.99)</f>
        <v>5.99</v>
      </c>
      <c r="H360" s="1">
        <f ca="1">IFERROR(__xludf.DUMMYFUNCTION("""COMPUTED_VALUE"""),1)</f>
        <v>1</v>
      </c>
      <c r="I360" s="1">
        <f ca="1">IFERROR(__xludf.DUMMYFUNCTION("""COMPUTED_VALUE"""),15)</f>
        <v>15</v>
      </c>
      <c r="J360" s="1">
        <f ca="1">IFERROR(__xludf.DUMMYFUNCTION("""COMPUTED_VALUE"""),9)</f>
        <v>9</v>
      </c>
      <c r="K360" s="1">
        <f ca="1">IFERROR(__xludf.DUMMYFUNCTION("""COMPUTED_VALUE"""),10)</f>
        <v>10</v>
      </c>
      <c r="L360" s="1">
        <f ca="1">IFERROR(__xludf.DUMMYFUNCTION("""COMPUTED_VALUE"""),0)</f>
        <v>0</v>
      </c>
      <c r="M360" s="1">
        <f ca="1">IFERROR(__xludf.DUMMYFUNCTION("""COMPUTED_VALUE"""),9)</f>
        <v>9</v>
      </c>
      <c r="N360" s="1">
        <f ca="1">IFERROR(__xludf.DUMMYFUNCTION("""COMPUTED_VALUE"""),2052)</f>
        <v>2052</v>
      </c>
      <c r="O360" s="1">
        <f ca="1">IFERROR(__xludf.DUMMYFUNCTION("""COMPUTED_VALUE"""),2160)</f>
        <v>2160</v>
      </c>
      <c r="P360" s="1">
        <f ca="1">IFERROR(__xludf.DUMMYFUNCTION("""COMPUTED_VALUE"""),1170)</f>
        <v>1170</v>
      </c>
      <c r="Q360" s="1">
        <f ca="1">IFERROR(__xludf.DUMMYFUNCTION("""COMPUTED_VALUE"""),684)</f>
        <v>684</v>
      </c>
      <c r="R360" s="1">
        <f ca="1">IFERROR(__xludf.DUMMYFUNCTION("""COMPUTED_VALUE"""),1608)</f>
        <v>1608</v>
      </c>
      <c r="S360" s="1">
        <f ca="1">IFERROR(__xludf.DUMMYFUNCTION("""COMPUTED_VALUE"""),0.425)</f>
        <v>0.42499999999999999</v>
      </c>
      <c r="T360" s="1">
        <f ca="1">IFERROR(__xludf.DUMMYFUNCTION("""COMPUTED_VALUE"""),235)</f>
        <v>235</v>
      </c>
      <c r="U360" s="1">
        <f ca="1">IFERROR(__xludf.DUMMYFUNCTION("""COMPUTED_VALUE"""),709)</f>
        <v>709</v>
      </c>
      <c r="V360" s="1">
        <f ca="1">IFERROR(__xludf.DUMMYFUNCTION("""COMPUTED_VALUE"""),0.331)</f>
        <v>0.33100000000000002</v>
      </c>
      <c r="W360" s="1">
        <f ca="1">IFERROR(__xludf.DUMMYFUNCTION("""COMPUTED_VALUE"""),449)</f>
        <v>449</v>
      </c>
      <c r="X360" s="1">
        <f ca="1">IFERROR(__xludf.DUMMYFUNCTION("""COMPUTED_VALUE"""),652)</f>
        <v>652</v>
      </c>
      <c r="Y360" s="1">
        <f ca="1">IFERROR(__xludf.DUMMYFUNCTION("""COMPUTED_VALUE"""),0.689)</f>
        <v>0.68899999999999995</v>
      </c>
      <c r="Z360" s="1">
        <f ca="1">IFERROR(__xludf.DUMMYFUNCTION("""COMPUTED_VALUE"""),255)</f>
        <v>255</v>
      </c>
      <c r="AA360" s="1">
        <f ca="1">IFERROR(__xludf.DUMMYFUNCTION("""COMPUTED_VALUE"""),929)</f>
        <v>929</v>
      </c>
      <c r="AB360" s="1">
        <f ca="1">IFERROR(__xludf.DUMMYFUNCTION("""COMPUTED_VALUE"""),331)</f>
        <v>331</v>
      </c>
      <c r="AC360" s="1">
        <f ca="1">IFERROR(__xludf.DUMMYFUNCTION("""COMPUTED_VALUE"""),202)</f>
        <v>202</v>
      </c>
      <c r="AD360" s="1">
        <f ca="1">IFERROR(__xludf.DUMMYFUNCTION("""COMPUTED_VALUE"""),95)</f>
        <v>95</v>
      </c>
      <c r="AE360" s="1">
        <f ca="1">IFERROR(__xludf.DUMMYFUNCTION("""COMPUTED_VALUE"""),371)</f>
        <v>371</v>
      </c>
      <c r="AF360" s="1">
        <f ca="1">IFERROR(__xludf.DUMMYFUNCTION("""COMPUTED_VALUE"""),545)</f>
        <v>545</v>
      </c>
    </row>
    <row r="361" spans="1:32" x14ac:dyDescent="0.25">
      <c r="A361" s="1" t="str">
        <f ca="1">IFERROR(__xludf.DUMMYFUNCTION("""COMPUTED_VALUE"""),"Vermont")</f>
        <v>Vermont</v>
      </c>
      <c r="B361" s="1">
        <f ca="1">IFERROR(__xludf.DUMMYFUNCTION("""COMPUTED_VALUE"""),30)</f>
        <v>30</v>
      </c>
      <c r="C361" s="1">
        <f ca="1">IFERROR(__xludf.DUMMYFUNCTION("""COMPUTED_VALUE"""),23)</f>
        <v>23</v>
      </c>
      <c r="D361" s="1">
        <f ca="1">IFERROR(__xludf.DUMMYFUNCTION("""COMPUTED_VALUE"""),7)</f>
        <v>7</v>
      </c>
      <c r="E361" s="1">
        <f ca="1">IFERROR(__xludf.DUMMYFUNCTION("""COMPUTED_VALUE"""),0.767)</f>
        <v>0.76700000000000002</v>
      </c>
      <c r="F361" s="1">
        <f ca="1">IFERROR(__xludf.DUMMYFUNCTION("""COMPUTED_VALUE"""),6.41)</f>
        <v>6.41</v>
      </c>
      <c r="G361" s="1">
        <f ca="1">IFERROR(__xludf.DUMMYFUNCTION("""COMPUTED_VALUE"""),-4.21)</f>
        <v>-4.21</v>
      </c>
      <c r="H361" s="1">
        <f ca="1">IFERROR(__xludf.DUMMYFUNCTION("""COMPUTED_VALUE"""),13)</f>
        <v>13</v>
      </c>
      <c r="I361" s="1">
        <f ca="1">IFERROR(__xludf.DUMMYFUNCTION("""COMPUTED_VALUE"""),2)</f>
        <v>2</v>
      </c>
      <c r="J361" s="1">
        <f ca="1">IFERROR(__xludf.DUMMYFUNCTION("""COMPUTED_VALUE"""),10)</f>
        <v>10</v>
      </c>
      <c r="K361" s="1">
        <f ca="1">IFERROR(__xludf.DUMMYFUNCTION("""COMPUTED_VALUE"""),3)</f>
        <v>3</v>
      </c>
      <c r="L361" s="1">
        <f ca="1">IFERROR(__xludf.DUMMYFUNCTION("""COMPUTED_VALUE"""),12)</f>
        <v>12</v>
      </c>
      <c r="M361" s="1">
        <f ca="1">IFERROR(__xludf.DUMMYFUNCTION("""COMPUTED_VALUE"""),3)</f>
        <v>3</v>
      </c>
      <c r="N361" s="1">
        <f ca="1">IFERROR(__xludf.DUMMYFUNCTION("""COMPUTED_VALUE"""),2134)</f>
        <v>2134</v>
      </c>
      <c r="O361" s="1">
        <f ca="1">IFERROR(__xludf.DUMMYFUNCTION("""COMPUTED_VALUE"""),1777)</f>
        <v>1777</v>
      </c>
      <c r="P361" s="1">
        <f ca="1">IFERROR(__xludf.DUMMYFUNCTION("""COMPUTED_VALUE"""),1200)</f>
        <v>1200</v>
      </c>
      <c r="Q361" s="1">
        <f ca="1">IFERROR(__xludf.DUMMYFUNCTION("""COMPUTED_VALUE"""),759)</f>
        <v>759</v>
      </c>
      <c r="R361" s="1">
        <f ca="1">IFERROR(__xludf.DUMMYFUNCTION("""COMPUTED_VALUE"""),1703)</f>
        <v>1703</v>
      </c>
      <c r="S361" s="1">
        <f ca="1">IFERROR(__xludf.DUMMYFUNCTION("""COMPUTED_VALUE"""),0.446)</f>
        <v>0.44600000000000001</v>
      </c>
      <c r="T361" s="1">
        <f ca="1">IFERROR(__xludf.DUMMYFUNCTION("""COMPUTED_VALUE"""),241)</f>
        <v>241</v>
      </c>
      <c r="U361" s="1">
        <f ca="1">IFERROR(__xludf.DUMMYFUNCTION("""COMPUTED_VALUE"""),737)</f>
        <v>737</v>
      </c>
      <c r="V361" s="1">
        <f ca="1">IFERROR(__xludf.DUMMYFUNCTION("""COMPUTED_VALUE"""),0.327)</f>
        <v>0.32700000000000001</v>
      </c>
      <c r="W361" s="1">
        <f ca="1">IFERROR(__xludf.DUMMYFUNCTION("""COMPUTED_VALUE"""),375)</f>
        <v>375</v>
      </c>
      <c r="X361" s="1">
        <f ca="1">IFERROR(__xludf.DUMMYFUNCTION("""COMPUTED_VALUE"""),524)</f>
        <v>524</v>
      </c>
      <c r="Y361" s="1">
        <f ca="1">IFERROR(__xludf.DUMMYFUNCTION("""COMPUTED_VALUE"""),0.716)</f>
        <v>0.71599999999999997</v>
      </c>
      <c r="Z361" s="1">
        <f ca="1">IFERROR(__xludf.DUMMYFUNCTION("""COMPUTED_VALUE"""),289)</f>
        <v>289</v>
      </c>
      <c r="AA361" s="1">
        <f ca="1">IFERROR(__xludf.DUMMYFUNCTION("""COMPUTED_VALUE"""),1105)</f>
        <v>1105</v>
      </c>
      <c r="AB361" s="1">
        <f ca="1">IFERROR(__xludf.DUMMYFUNCTION("""COMPUTED_VALUE"""),409)</f>
        <v>409</v>
      </c>
      <c r="AC361" s="1">
        <f ca="1">IFERROR(__xludf.DUMMYFUNCTION("""COMPUTED_VALUE"""),173)</f>
        <v>173</v>
      </c>
      <c r="AD361" s="1">
        <f ca="1">IFERROR(__xludf.DUMMYFUNCTION("""COMPUTED_VALUE"""),101)</f>
        <v>101</v>
      </c>
      <c r="AE361" s="1">
        <f ca="1">IFERROR(__xludf.DUMMYFUNCTION("""COMPUTED_VALUE"""),341)</f>
        <v>341</v>
      </c>
      <c r="AF361" s="1">
        <f ca="1">IFERROR(__xludf.DUMMYFUNCTION("""COMPUTED_VALUE"""),494)</f>
        <v>494</v>
      </c>
    </row>
    <row r="362" spans="1:32" x14ac:dyDescent="0.25">
      <c r="A362" s="1" t="str">
        <f ca="1">IFERROR(__xludf.DUMMYFUNCTION("""COMPUTED_VALUE"""),"Villanova")</f>
        <v>Villanova</v>
      </c>
      <c r="B362" s="1">
        <f ca="1">IFERROR(__xludf.DUMMYFUNCTION("""COMPUTED_VALUE"""),29)</f>
        <v>29</v>
      </c>
      <c r="C362" s="1">
        <f ca="1">IFERROR(__xludf.DUMMYFUNCTION("""COMPUTED_VALUE"""),22)</f>
        <v>22</v>
      </c>
      <c r="D362" s="1">
        <f ca="1">IFERROR(__xludf.DUMMYFUNCTION("""COMPUTED_VALUE"""),7)</f>
        <v>7</v>
      </c>
      <c r="E362" s="1">
        <f ca="1">IFERROR(__xludf.DUMMYFUNCTION("""COMPUTED_VALUE"""),0.759)</f>
        <v>0.75900000000000001</v>
      </c>
      <c r="F362" s="1">
        <f ca="1">IFERROR(__xludf.DUMMYFUNCTION("""COMPUTED_VALUE"""),16.98)</f>
        <v>16.98</v>
      </c>
      <c r="G362" s="1">
        <f ca="1">IFERROR(__xludf.DUMMYFUNCTION("""COMPUTED_VALUE"""),9.81)</f>
        <v>9.81</v>
      </c>
      <c r="H362" s="1">
        <f ca="1">IFERROR(__xludf.DUMMYFUNCTION("""COMPUTED_VALUE"""),11)</f>
        <v>11</v>
      </c>
      <c r="I362" s="1">
        <f ca="1">IFERROR(__xludf.DUMMYFUNCTION("""COMPUTED_VALUE"""),5)</f>
        <v>5</v>
      </c>
      <c r="J362" s="1">
        <f ca="1">IFERROR(__xludf.DUMMYFUNCTION("""COMPUTED_VALUE"""),12)</f>
        <v>12</v>
      </c>
      <c r="K362" s="1">
        <f ca="1">IFERROR(__xludf.DUMMYFUNCTION("""COMPUTED_VALUE"""),3)</f>
        <v>3</v>
      </c>
      <c r="L362" s="1">
        <f ca="1">IFERROR(__xludf.DUMMYFUNCTION("""COMPUTED_VALUE"""),7)</f>
        <v>7</v>
      </c>
      <c r="M362" s="1">
        <f ca="1">IFERROR(__xludf.DUMMYFUNCTION("""COMPUTED_VALUE"""),3)</f>
        <v>3</v>
      </c>
      <c r="N362" s="1">
        <f ca="1">IFERROR(__xludf.DUMMYFUNCTION("""COMPUTED_VALUE"""),2120)</f>
        <v>2120</v>
      </c>
      <c r="O362" s="1">
        <f ca="1">IFERROR(__xludf.DUMMYFUNCTION("""COMPUTED_VALUE"""),1912)</f>
        <v>1912</v>
      </c>
      <c r="P362" s="1">
        <f ca="1">IFERROR(__xludf.DUMMYFUNCTION("""COMPUTED_VALUE"""),1165)</f>
        <v>1165</v>
      </c>
      <c r="Q362" s="1">
        <f ca="1">IFERROR(__xludf.DUMMYFUNCTION("""COMPUTED_VALUE"""),746)</f>
        <v>746</v>
      </c>
      <c r="R362" s="1">
        <f ca="1">IFERROR(__xludf.DUMMYFUNCTION("""COMPUTED_VALUE"""),1703)</f>
        <v>1703</v>
      </c>
      <c r="S362" s="1">
        <f ca="1">IFERROR(__xludf.DUMMYFUNCTION("""COMPUTED_VALUE"""),0.438)</f>
        <v>0.438</v>
      </c>
      <c r="T362" s="1">
        <f ca="1">IFERROR(__xludf.DUMMYFUNCTION("""COMPUTED_VALUE"""),284)</f>
        <v>284</v>
      </c>
      <c r="U362" s="1">
        <f ca="1">IFERROR(__xludf.DUMMYFUNCTION("""COMPUTED_VALUE"""),797)</f>
        <v>797</v>
      </c>
      <c r="V362" s="1">
        <f ca="1">IFERROR(__xludf.DUMMYFUNCTION("""COMPUTED_VALUE"""),0.356)</f>
        <v>0.35599999999999998</v>
      </c>
      <c r="W362" s="1">
        <f ca="1">IFERROR(__xludf.DUMMYFUNCTION("""COMPUTED_VALUE"""),344)</f>
        <v>344</v>
      </c>
      <c r="X362" s="1">
        <f ca="1">IFERROR(__xludf.DUMMYFUNCTION("""COMPUTED_VALUE"""),449)</f>
        <v>449</v>
      </c>
      <c r="Y362" s="1">
        <f ca="1">IFERROR(__xludf.DUMMYFUNCTION("""COMPUTED_VALUE"""),0.766)</f>
        <v>0.76600000000000001</v>
      </c>
      <c r="Z362" s="1">
        <f ca="1">IFERROR(__xludf.DUMMYFUNCTION("""COMPUTED_VALUE"""),261)</f>
        <v>261</v>
      </c>
      <c r="AA362" s="1">
        <f ca="1">IFERROR(__xludf.DUMMYFUNCTION("""COMPUTED_VALUE"""),1050)</f>
        <v>1050</v>
      </c>
      <c r="AB362" s="1">
        <f ca="1">IFERROR(__xludf.DUMMYFUNCTION("""COMPUTED_VALUE"""),421)</f>
        <v>421</v>
      </c>
      <c r="AC362" s="1">
        <f ca="1">IFERROR(__xludf.DUMMYFUNCTION("""COMPUTED_VALUE"""),168)</f>
        <v>168</v>
      </c>
      <c r="AD362" s="1">
        <f ca="1">IFERROR(__xludf.DUMMYFUNCTION("""COMPUTED_VALUE"""),79)</f>
        <v>79</v>
      </c>
      <c r="AE362" s="1">
        <f ca="1">IFERROR(__xludf.DUMMYFUNCTION("""COMPUTED_VALUE"""),313)</f>
        <v>313</v>
      </c>
      <c r="AF362" s="1">
        <f ca="1">IFERROR(__xludf.DUMMYFUNCTION("""COMPUTED_VALUE"""),444)</f>
        <v>444</v>
      </c>
    </row>
    <row r="363" spans="1:32" x14ac:dyDescent="0.25">
      <c r="A363" s="1" t="str">
        <f ca="1">IFERROR(__xludf.DUMMYFUNCTION("""COMPUTED_VALUE"""),"Virginia Commonwealth")</f>
        <v>Virginia Commonwealth</v>
      </c>
      <c r="B363" s="1">
        <f ca="1">IFERROR(__xludf.DUMMYFUNCTION("""COMPUTED_VALUE"""),29)</f>
        <v>29</v>
      </c>
      <c r="C363" s="1">
        <f ca="1">IFERROR(__xludf.DUMMYFUNCTION("""COMPUTED_VALUE"""),18)</f>
        <v>18</v>
      </c>
      <c r="D363" s="1">
        <f ca="1">IFERROR(__xludf.DUMMYFUNCTION("""COMPUTED_VALUE"""),11)</f>
        <v>11</v>
      </c>
      <c r="E363" s="1">
        <f ca="1">IFERROR(__xludf.DUMMYFUNCTION("""COMPUTED_VALUE"""),0.621)</f>
        <v>0.621</v>
      </c>
      <c r="F363" s="1">
        <f ca="1">IFERROR(__xludf.DUMMYFUNCTION("""COMPUTED_VALUE"""),10.3)</f>
        <v>10.3</v>
      </c>
      <c r="G363" s="1">
        <f ca="1">IFERROR(__xludf.DUMMYFUNCTION("""COMPUTED_VALUE"""),3.89)</f>
        <v>3.89</v>
      </c>
      <c r="H363" s="1">
        <f ca="1">IFERROR(__xludf.DUMMYFUNCTION("""COMPUTED_VALUE"""),8)</f>
        <v>8</v>
      </c>
      <c r="I363" s="1">
        <f ca="1">IFERROR(__xludf.DUMMYFUNCTION("""COMPUTED_VALUE"""),8)</f>
        <v>8</v>
      </c>
      <c r="J363" s="1">
        <f ca="1">IFERROR(__xludf.DUMMYFUNCTION("""COMPUTED_VALUE"""),14)</f>
        <v>14</v>
      </c>
      <c r="K363" s="1">
        <f ca="1">IFERROR(__xludf.DUMMYFUNCTION("""COMPUTED_VALUE"""),3)</f>
        <v>3</v>
      </c>
      <c r="L363" s="1">
        <f ca="1">IFERROR(__xludf.DUMMYFUNCTION("""COMPUTED_VALUE"""),4)</f>
        <v>4</v>
      </c>
      <c r="M363" s="1">
        <f ca="1">IFERROR(__xludf.DUMMYFUNCTION("""COMPUTED_VALUE"""),6)</f>
        <v>6</v>
      </c>
      <c r="N363" s="1">
        <f ca="1">IFERROR(__xludf.DUMMYFUNCTION("""COMPUTED_VALUE"""),2051)</f>
        <v>2051</v>
      </c>
      <c r="O363" s="1">
        <f ca="1">IFERROR(__xludf.DUMMYFUNCTION("""COMPUTED_VALUE"""),1865)</f>
        <v>1865</v>
      </c>
      <c r="P363" s="1">
        <f ca="1">IFERROR(__xludf.DUMMYFUNCTION("""COMPUTED_VALUE"""),1160)</f>
        <v>1160</v>
      </c>
      <c r="Q363" s="1">
        <f ca="1">IFERROR(__xludf.DUMMYFUNCTION("""COMPUTED_VALUE"""),721)</f>
        <v>721</v>
      </c>
      <c r="R363" s="1">
        <f ca="1">IFERROR(__xludf.DUMMYFUNCTION("""COMPUTED_VALUE"""),1682)</f>
        <v>1682</v>
      </c>
      <c r="S363" s="1">
        <f ca="1">IFERROR(__xludf.DUMMYFUNCTION("""COMPUTED_VALUE"""),0.429)</f>
        <v>0.42899999999999999</v>
      </c>
      <c r="T363" s="1">
        <f ca="1">IFERROR(__xludf.DUMMYFUNCTION("""COMPUTED_VALUE"""),216)</f>
        <v>216</v>
      </c>
      <c r="U363" s="1">
        <f ca="1">IFERROR(__xludf.DUMMYFUNCTION("""COMPUTED_VALUE"""),626)</f>
        <v>626</v>
      </c>
      <c r="V363" s="1">
        <f ca="1">IFERROR(__xludf.DUMMYFUNCTION("""COMPUTED_VALUE"""),0.345)</f>
        <v>0.34499999999999997</v>
      </c>
      <c r="W363" s="1">
        <f ca="1">IFERROR(__xludf.DUMMYFUNCTION("""COMPUTED_VALUE"""),393)</f>
        <v>393</v>
      </c>
      <c r="X363" s="1">
        <f ca="1">IFERROR(__xludf.DUMMYFUNCTION("""COMPUTED_VALUE"""),560)</f>
        <v>560</v>
      </c>
      <c r="Y363" s="1">
        <f ca="1">IFERROR(__xludf.DUMMYFUNCTION("""COMPUTED_VALUE"""),0.702)</f>
        <v>0.70199999999999996</v>
      </c>
      <c r="Z363" s="1">
        <f ca="1">IFERROR(__xludf.DUMMYFUNCTION("""COMPUTED_VALUE"""),289)</f>
        <v>289</v>
      </c>
      <c r="AA363" s="1">
        <f ca="1">IFERROR(__xludf.DUMMYFUNCTION("""COMPUTED_VALUE"""),985)</f>
        <v>985</v>
      </c>
      <c r="AB363" s="1">
        <f ca="1">IFERROR(__xludf.DUMMYFUNCTION("""COMPUTED_VALUE"""),383)</f>
        <v>383</v>
      </c>
      <c r="AC363" s="1">
        <f ca="1">IFERROR(__xludf.DUMMYFUNCTION("""COMPUTED_VALUE"""),266)</f>
        <v>266</v>
      </c>
      <c r="AD363" s="1">
        <f ca="1">IFERROR(__xludf.DUMMYFUNCTION("""COMPUTED_VALUE"""),126)</f>
        <v>126</v>
      </c>
      <c r="AE363" s="1">
        <f ca="1">IFERROR(__xludf.DUMMYFUNCTION("""COMPUTED_VALUE"""),356)</f>
        <v>356</v>
      </c>
      <c r="AF363" s="1">
        <f ca="1">IFERROR(__xludf.DUMMYFUNCTION("""COMPUTED_VALUE"""),527)</f>
        <v>527</v>
      </c>
    </row>
    <row r="364" spans="1:32" x14ac:dyDescent="0.25">
      <c r="A364" s="1" t="str">
        <f ca="1">IFERROR(__xludf.DUMMYFUNCTION("""COMPUTED_VALUE"""),"VMI")</f>
        <v>VMI</v>
      </c>
      <c r="B364" s="1">
        <f ca="1">IFERROR(__xludf.DUMMYFUNCTION("""COMPUTED_VALUE"""),31)</f>
        <v>31</v>
      </c>
      <c r="C364" s="1">
        <f ca="1">IFERROR(__xludf.DUMMYFUNCTION("""COMPUTED_VALUE"""),8)</f>
        <v>8</v>
      </c>
      <c r="D364" s="1">
        <f ca="1">IFERROR(__xludf.DUMMYFUNCTION("""COMPUTED_VALUE"""),23)</f>
        <v>23</v>
      </c>
      <c r="E364" s="1">
        <f ca="1">IFERROR(__xludf.DUMMYFUNCTION("""COMPUTED_VALUE"""),0.258)</f>
        <v>0.25800000000000001</v>
      </c>
      <c r="F364" s="1">
        <f ca="1">IFERROR(__xludf.DUMMYFUNCTION("""COMPUTED_VALUE"""),-7.22)</f>
        <v>-7.22</v>
      </c>
      <c r="G364" s="1">
        <f ca="1">IFERROR(__xludf.DUMMYFUNCTION("""COMPUTED_VALUE"""),-2.54)</f>
        <v>-2.54</v>
      </c>
      <c r="H364" s="1">
        <f ca="1">IFERROR(__xludf.DUMMYFUNCTION("""COMPUTED_VALUE"""),3)</f>
        <v>3</v>
      </c>
      <c r="I364" s="1">
        <f ca="1">IFERROR(__xludf.DUMMYFUNCTION("""COMPUTED_VALUE"""),15)</f>
        <v>15</v>
      </c>
      <c r="J364" s="1">
        <f ca="1">IFERROR(__xludf.DUMMYFUNCTION("""COMPUTED_VALUE"""),5)</f>
        <v>5</v>
      </c>
      <c r="K364" s="1">
        <f ca="1">IFERROR(__xludf.DUMMYFUNCTION("""COMPUTED_VALUE"""),10)</f>
        <v>10</v>
      </c>
      <c r="L364" s="1">
        <f ca="1">IFERROR(__xludf.DUMMYFUNCTION("""COMPUTED_VALUE"""),2)</f>
        <v>2</v>
      </c>
      <c r="M364" s="1">
        <f ca="1">IFERROR(__xludf.DUMMYFUNCTION("""COMPUTED_VALUE"""),12)</f>
        <v>12</v>
      </c>
      <c r="N364" s="1">
        <f ca="1">IFERROR(__xludf.DUMMYFUNCTION("""COMPUTED_VALUE"""),2227)</f>
        <v>2227</v>
      </c>
      <c r="O364" s="1">
        <f ca="1">IFERROR(__xludf.DUMMYFUNCTION("""COMPUTED_VALUE"""),2198)</f>
        <v>2198</v>
      </c>
      <c r="P364" s="1">
        <f ca="1">IFERROR(__xludf.DUMMYFUNCTION("""COMPUTED_VALUE"""),1260)</f>
        <v>1260</v>
      </c>
      <c r="Q364" s="1">
        <f ca="1">IFERROR(__xludf.DUMMYFUNCTION("""COMPUTED_VALUE"""),798)</f>
        <v>798</v>
      </c>
      <c r="R364" s="1">
        <f ca="1">IFERROR(__xludf.DUMMYFUNCTION("""COMPUTED_VALUE"""),1862)</f>
        <v>1862</v>
      </c>
      <c r="S364" s="1">
        <f ca="1">IFERROR(__xludf.DUMMYFUNCTION("""COMPUTED_VALUE"""),0.429)</f>
        <v>0.42899999999999999</v>
      </c>
      <c r="T364" s="1">
        <f ca="1">IFERROR(__xludf.DUMMYFUNCTION("""COMPUTED_VALUE"""),333)</f>
        <v>333</v>
      </c>
      <c r="U364" s="1">
        <f ca="1">IFERROR(__xludf.DUMMYFUNCTION("""COMPUTED_VALUE"""),949)</f>
        <v>949</v>
      </c>
      <c r="V364" s="1">
        <f ca="1">IFERROR(__xludf.DUMMYFUNCTION("""COMPUTED_VALUE"""),0.351)</f>
        <v>0.35099999999999998</v>
      </c>
      <c r="W364" s="1">
        <f ca="1">IFERROR(__xludf.DUMMYFUNCTION("""COMPUTED_VALUE"""),298)</f>
        <v>298</v>
      </c>
      <c r="X364" s="1">
        <f ca="1">IFERROR(__xludf.DUMMYFUNCTION("""COMPUTED_VALUE"""),423)</f>
        <v>423</v>
      </c>
      <c r="Y364" s="1">
        <f ca="1">IFERROR(__xludf.DUMMYFUNCTION("""COMPUTED_VALUE"""),0.704)</f>
        <v>0.70399999999999996</v>
      </c>
      <c r="Z364" s="1">
        <f ca="1">IFERROR(__xludf.DUMMYFUNCTION("""COMPUTED_VALUE"""),311)</f>
        <v>311</v>
      </c>
      <c r="AA364" s="1">
        <f ca="1">IFERROR(__xludf.DUMMYFUNCTION("""COMPUTED_VALUE"""),1098)</f>
        <v>1098</v>
      </c>
      <c r="AB364" s="1">
        <f ca="1">IFERROR(__xludf.DUMMYFUNCTION("""COMPUTED_VALUE"""),495)</f>
        <v>495</v>
      </c>
      <c r="AC364" s="1">
        <f ca="1">IFERROR(__xludf.DUMMYFUNCTION("""COMPUTED_VALUE"""),206)</f>
        <v>206</v>
      </c>
      <c r="AD364" s="1">
        <f ca="1">IFERROR(__xludf.DUMMYFUNCTION("""COMPUTED_VALUE"""),80)</f>
        <v>80</v>
      </c>
      <c r="AE364" s="1">
        <f ca="1">IFERROR(__xludf.DUMMYFUNCTION("""COMPUTED_VALUE"""),389)</f>
        <v>389</v>
      </c>
      <c r="AF364" s="1">
        <f ca="1">IFERROR(__xludf.DUMMYFUNCTION("""COMPUTED_VALUE"""),553)</f>
        <v>553</v>
      </c>
    </row>
    <row r="365" spans="1:32" x14ac:dyDescent="0.25">
      <c r="A365" s="1" t="str">
        <f ca="1">IFERROR(__xludf.DUMMYFUNCTION("""COMPUTED_VALUE"""),"Virginia Tech")</f>
        <v>Virginia Tech</v>
      </c>
      <c r="B365" s="1">
        <f ca="1">IFERROR(__xludf.DUMMYFUNCTION("""COMPUTED_VALUE"""),29)</f>
        <v>29</v>
      </c>
      <c r="C365" s="1">
        <f ca="1">IFERROR(__xludf.DUMMYFUNCTION("""COMPUTED_VALUE"""),15)</f>
        <v>15</v>
      </c>
      <c r="D365" s="1">
        <f ca="1">IFERROR(__xludf.DUMMYFUNCTION("""COMPUTED_VALUE"""),14)</f>
        <v>14</v>
      </c>
      <c r="E365" s="1">
        <f ca="1">IFERROR(__xludf.DUMMYFUNCTION("""COMPUTED_VALUE"""),0.517)</f>
        <v>0.51700000000000002</v>
      </c>
      <c r="F365" s="1">
        <f ca="1">IFERROR(__xludf.DUMMYFUNCTION("""COMPUTED_VALUE"""),8.64)</f>
        <v>8.64</v>
      </c>
      <c r="G365" s="1">
        <f ca="1">IFERROR(__xludf.DUMMYFUNCTION("""COMPUTED_VALUE"""),5.74)</f>
        <v>5.74</v>
      </c>
      <c r="H365" s="1">
        <f ca="1">IFERROR(__xludf.DUMMYFUNCTION("""COMPUTED_VALUE"""),6)</f>
        <v>6</v>
      </c>
      <c r="I365" s="1">
        <f ca="1">IFERROR(__xludf.DUMMYFUNCTION("""COMPUTED_VALUE"""),12)</f>
        <v>12</v>
      </c>
      <c r="J365" s="1">
        <f ca="1">IFERROR(__xludf.DUMMYFUNCTION("""COMPUTED_VALUE"""),11)</f>
        <v>11</v>
      </c>
      <c r="K365" s="1">
        <f ca="1">IFERROR(__xludf.DUMMYFUNCTION("""COMPUTED_VALUE"""),6)</f>
        <v>6</v>
      </c>
      <c r="L365" s="1">
        <f ca="1">IFERROR(__xludf.DUMMYFUNCTION("""COMPUTED_VALUE"""),3)</f>
        <v>3</v>
      </c>
      <c r="M365" s="1">
        <f ca="1">IFERROR(__xludf.DUMMYFUNCTION("""COMPUTED_VALUE"""),6)</f>
        <v>6</v>
      </c>
      <c r="N365" s="1">
        <f ca="1">IFERROR(__xludf.DUMMYFUNCTION("""COMPUTED_VALUE"""),2012)</f>
        <v>2012</v>
      </c>
      <c r="O365" s="1">
        <f ca="1">IFERROR(__xludf.DUMMYFUNCTION("""COMPUTED_VALUE"""),1928)</f>
        <v>1928</v>
      </c>
      <c r="P365" s="1">
        <f ca="1">IFERROR(__xludf.DUMMYFUNCTION("""COMPUTED_VALUE"""),1190)</f>
        <v>1190</v>
      </c>
      <c r="Q365" s="1">
        <f ca="1">IFERROR(__xludf.DUMMYFUNCTION("""COMPUTED_VALUE"""),722)</f>
        <v>722</v>
      </c>
      <c r="R365" s="1">
        <f ca="1">IFERROR(__xludf.DUMMYFUNCTION("""COMPUTED_VALUE"""),1709)</f>
        <v>1709</v>
      </c>
      <c r="S365" s="1">
        <f ca="1">IFERROR(__xludf.DUMMYFUNCTION("""COMPUTED_VALUE"""),0.422)</f>
        <v>0.42199999999999999</v>
      </c>
      <c r="T365" s="1">
        <f ca="1">IFERROR(__xludf.DUMMYFUNCTION("""COMPUTED_VALUE"""),283)</f>
        <v>283</v>
      </c>
      <c r="U365" s="1">
        <f ca="1">IFERROR(__xludf.DUMMYFUNCTION("""COMPUTED_VALUE"""),802)</f>
        <v>802</v>
      </c>
      <c r="V365" s="1">
        <f ca="1">IFERROR(__xludf.DUMMYFUNCTION("""COMPUTED_VALUE"""),0.353)</f>
        <v>0.35299999999999998</v>
      </c>
      <c r="W365" s="1">
        <f ca="1">IFERROR(__xludf.DUMMYFUNCTION("""COMPUTED_VALUE"""),285)</f>
        <v>285</v>
      </c>
      <c r="X365" s="1">
        <f ca="1">IFERROR(__xludf.DUMMYFUNCTION("""COMPUTED_VALUE"""),401)</f>
        <v>401</v>
      </c>
      <c r="Y365" s="1">
        <f ca="1">IFERROR(__xludf.DUMMYFUNCTION("""COMPUTED_VALUE"""),0.711)</f>
        <v>0.71099999999999997</v>
      </c>
      <c r="Z365" s="1">
        <f ca="1">IFERROR(__xludf.DUMMYFUNCTION("""COMPUTED_VALUE"""),224)</f>
        <v>224</v>
      </c>
      <c r="AA365" s="1">
        <f ca="1">IFERROR(__xludf.DUMMYFUNCTION("""COMPUTED_VALUE"""),995)</f>
        <v>995</v>
      </c>
      <c r="AB365" s="1">
        <f ca="1">IFERROR(__xludf.DUMMYFUNCTION("""COMPUTED_VALUE"""),428)</f>
        <v>428</v>
      </c>
      <c r="AC365" s="1">
        <f ca="1">IFERROR(__xludf.DUMMYFUNCTION("""COMPUTED_VALUE"""),170)</f>
        <v>170</v>
      </c>
      <c r="AD365" s="1">
        <f ca="1">IFERROR(__xludf.DUMMYFUNCTION("""COMPUTED_VALUE"""),87)</f>
        <v>87</v>
      </c>
      <c r="AE365" s="1">
        <f ca="1">IFERROR(__xludf.DUMMYFUNCTION("""COMPUTED_VALUE"""),285)</f>
        <v>285</v>
      </c>
      <c r="AF365" s="1">
        <f ca="1">IFERROR(__xludf.DUMMYFUNCTION("""COMPUTED_VALUE"""),425)</f>
        <v>425</v>
      </c>
    </row>
    <row r="366" spans="1:32" x14ac:dyDescent="0.25">
      <c r="A366" s="1" t="str">
        <f ca="1">IFERROR(__xludf.DUMMYFUNCTION("""COMPUTED_VALUE"""),"Virginia")</f>
        <v>Virginia</v>
      </c>
      <c r="B366" s="1">
        <f ca="1">IFERROR(__xludf.DUMMYFUNCTION("""COMPUTED_VALUE"""),28)</f>
        <v>28</v>
      </c>
      <c r="C366" s="1">
        <f ca="1">IFERROR(__xludf.DUMMYFUNCTION("""COMPUTED_VALUE"""),21)</f>
        <v>21</v>
      </c>
      <c r="D366" s="1">
        <f ca="1">IFERROR(__xludf.DUMMYFUNCTION("""COMPUTED_VALUE"""),7)</f>
        <v>7</v>
      </c>
      <c r="E366" s="1">
        <f ca="1">IFERROR(__xludf.DUMMYFUNCTION("""COMPUTED_VALUE"""),0.75)</f>
        <v>0.75</v>
      </c>
      <c r="F366" s="1">
        <f ca="1">IFERROR(__xludf.DUMMYFUNCTION("""COMPUTED_VALUE"""),12.09)</f>
        <v>12.09</v>
      </c>
      <c r="G366" s="1">
        <f ca="1">IFERROR(__xludf.DUMMYFUNCTION("""COMPUTED_VALUE"""),7.27)</f>
        <v>7.27</v>
      </c>
      <c r="H366" s="1">
        <f ca="1">IFERROR(__xludf.DUMMYFUNCTION("""COMPUTED_VALUE"""),13)</f>
        <v>13</v>
      </c>
      <c r="I366" s="1">
        <f ca="1">IFERROR(__xludf.DUMMYFUNCTION("""COMPUTED_VALUE"""),5)</f>
        <v>5</v>
      </c>
      <c r="J366" s="1">
        <f ca="1">IFERROR(__xludf.DUMMYFUNCTION("""COMPUTED_VALUE"""),13)</f>
        <v>13</v>
      </c>
      <c r="K366" s="1">
        <f ca="1">IFERROR(__xludf.DUMMYFUNCTION("""COMPUTED_VALUE"""),3)</f>
        <v>3</v>
      </c>
      <c r="L366" s="1">
        <f ca="1">IFERROR(__xludf.DUMMYFUNCTION("""COMPUTED_VALUE"""),6)</f>
        <v>6</v>
      </c>
      <c r="M366" s="1">
        <f ca="1">IFERROR(__xludf.DUMMYFUNCTION("""COMPUTED_VALUE"""),4)</f>
        <v>4</v>
      </c>
      <c r="N366" s="1">
        <f ca="1">IFERROR(__xludf.DUMMYFUNCTION("""COMPUTED_VALUE"""),1608)</f>
        <v>1608</v>
      </c>
      <c r="O366" s="1">
        <f ca="1">IFERROR(__xludf.DUMMYFUNCTION("""COMPUTED_VALUE"""),1473)</f>
        <v>1473</v>
      </c>
      <c r="P366" s="1">
        <f ca="1">IFERROR(__xludf.DUMMYFUNCTION("""COMPUTED_VALUE"""),1135)</f>
        <v>1135</v>
      </c>
      <c r="Q366" s="1">
        <f ca="1">IFERROR(__xludf.DUMMYFUNCTION("""COMPUTED_VALUE"""),589)</f>
        <v>589</v>
      </c>
      <c r="R366" s="1">
        <f ca="1">IFERROR(__xludf.DUMMYFUNCTION("""COMPUTED_VALUE"""),1420)</f>
        <v>1420</v>
      </c>
      <c r="S366" s="1">
        <f ca="1">IFERROR(__xludf.DUMMYFUNCTION("""COMPUTED_VALUE"""),0.415)</f>
        <v>0.41499999999999998</v>
      </c>
      <c r="T366" s="1">
        <f ca="1">IFERROR(__xludf.DUMMYFUNCTION("""COMPUTED_VALUE"""),161)</f>
        <v>161</v>
      </c>
      <c r="U366" s="1">
        <f ca="1">IFERROR(__xludf.DUMMYFUNCTION("""COMPUTED_VALUE"""),531)</f>
        <v>531</v>
      </c>
      <c r="V366" s="1">
        <f ca="1">IFERROR(__xludf.DUMMYFUNCTION("""COMPUTED_VALUE"""),0.303)</f>
        <v>0.30299999999999999</v>
      </c>
      <c r="W366" s="1">
        <f ca="1">IFERROR(__xludf.DUMMYFUNCTION("""COMPUTED_VALUE"""),269)</f>
        <v>269</v>
      </c>
      <c r="X366" s="1">
        <f ca="1">IFERROR(__xludf.DUMMYFUNCTION("""COMPUTED_VALUE"""),377)</f>
        <v>377</v>
      </c>
      <c r="Y366" s="1">
        <f ca="1">IFERROR(__xludf.DUMMYFUNCTION("""COMPUTED_VALUE"""),0.714)</f>
        <v>0.71399999999999997</v>
      </c>
      <c r="Z366" s="1">
        <f ca="1">IFERROR(__xludf.DUMMYFUNCTION("""COMPUTED_VALUE"""),232)</f>
        <v>232</v>
      </c>
      <c r="AA366" s="1">
        <f ca="1">IFERROR(__xludf.DUMMYFUNCTION("""COMPUTED_VALUE"""),961)</f>
        <v>961</v>
      </c>
      <c r="AB366" s="1">
        <f ca="1">IFERROR(__xludf.DUMMYFUNCTION("""COMPUTED_VALUE"""),324)</f>
        <v>324</v>
      </c>
      <c r="AC366" s="1">
        <f ca="1">IFERROR(__xludf.DUMMYFUNCTION("""COMPUTED_VALUE"""),149)</f>
        <v>149</v>
      </c>
      <c r="AD366" s="1">
        <f ca="1">IFERROR(__xludf.DUMMYFUNCTION("""COMPUTED_VALUE"""),139)</f>
        <v>139</v>
      </c>
      <c r="AE366" s="1">
        <f ca="1">IFERROR(__xludf.DUMMYFUNCTION("""COMPUTED_VALUE"""),346)</f>
        <v>346</v>
      </c>
      <c r="AF366" s="1">
        <f ca="1">IFERROR(__xludf.DUMMYFUNCTION("""COMPUTED_VALUE"""),379)</f>
        <v>379</v>
      </c>
    </row>
    <row r="367" spans="1:32" x14ac:dyDescent="0.25">
      <c r="A367" s="1" t="str">
        <f ca="1">IFERROR(__xludf.DUMMYFUNCTION("""COMPUTED_VALUE"""),"Wagner")</f>
        <v>Wagner</v>
      </c>
      <c r="B367" s="1">
        <f ca="1">IFERROR(__xludf.DUMMYFUNCTION("""COMPUTED_VALUE"""),29)</f>
        <v>29</v>
      </c>
      <c r="C367" s="1">
        <f ca="1">IFERROR(__xludf.DUMMYFUNCTION("""COMPUTED_VALUE"""),8)</f>
        <v>8</v>
      </c>
      <c r="D367" s="1">
        <f ca="1">IFERROR(__xludf.DUMMYFUNCTION("""COMPUTED_VALUE"""),21)</f>
        <v>21</v>
      </c>
      <c r="E367" s="1">
        <f ca="1">IFERROR(__xludf.DUMMYFUNCTION("""COMPUTED_VALUE"""),0.276)</f>
        <v>0.27600000000000002</v>
      </c>
      <c r="F367" s="1">
        <f ca="1">IFERROR(__xludf.DUMMYFUNCTION("""COMPUTED_VALUE"""),-14.67)</f>
        <v>-14.67</v>
      </c>
      <c r="G367" s="1">
        <f ca="1">IFERROR(__xludf.DUMMYFUNCTION("""COMPUTED_VALUE"""),-5.46)</f>
        <v>-5.46</v>
      </c>
      <c r="H367" s="1">
        <f ca="1">IFERROR(__xludf.DUMMYFUNCTION("""COMPUTED_VALUE"""),5)</f>
        <v>5</v>
      </c>
      <c r="I367" s="1">
        <f ca="1">IFERROR(__xludf.DUMMYFUNCTION("""COMPUTED_VALUE"""),13)</f>
        <v>13</v>
      </c>
      <c r="J367" s="1">
        <f ca="1">IFERROR(__xludf.DUMMYFUNCTION("""COMPUTED_VALUE"""),5)</f>
        <v>5</v>
      </c>
      <c r="K367" s="1">
        <f ca="1">IFERROR(__xludf.DUMMYFUNCTION("""COMPUTED_VALUE"""),8)</f>
        <v>8</v>
      </c>
      <c r="L367" s="1">
        <f ca="1">IFERROR(__xludf.DUMMYFUNCTION("""COMPUTED_VALUE"""),3)</f>
        <v>3</v>
      </c>
      <c r="M367" s="1">
        <f ca="1">IFERROR(__xludf.DUMMYFUNCTION("""COMPUTED_VALUE"""),13)</f>
        <v>13</v>
      </c>
      <c r="N367" s="1">
        <f ca="1">IFERROR(__xludf.DUMMYFUNCTION("""COMPUTED_VALUE"""),1982)</f>
        <v>1982</v>
      </c>
      <c r="O367" s="1">
        <f ca="1">IFERROR(__xludf.DUMMYFUNCTION("""COMPUTED_VALUE"""),2210)</f>
        <v>2210</v>
      </c>
      <c r="P367" s="1">
        <f ca="1">IFERROR(__xludf.DUMMYFUNCTION("""COMPUTED_VALUE"""),1175)</f>
        <v>1175</v>
      </c>
      <c r="Q367" s="1">
        <f ca="1">IFERROR(__xludf.DUMMYFUNCTION("""COMPUTED_VALUE"""),706)</f>
        <v>706</v>
      </c>
      <c r="R367" s="1">
        <f ca="1">IFERROR(__xludf.DUMMYFUNCTION("""COMPUTED_VALUE"""),1710)</f>
        <v>1710</v>
      </c>
      <c r="S367" s="1">
        <f ca="1">IFERROR(__xludf.DUMMYFUNCTION("""COMPUTED_VALUE"""),0.413)</f>
        <v>0.41299999999999998</v>
      </c>
      <c r="T367" s="1">
        <f ca="1">IFERROR(__xludf.DUMMYFUNCTION("""COMPUTED_VALUE"""),204)</f>
        <v>204</v>
      </c>
      <c r="U367" s="1">
        <f ca="1">IFERROR(__xludf.DUMMYFUNCTION("""COMPUTED_VALUE"""),644)</f>
        <v>644</v>
      </c>
      <c r="V367" s="1">
        <f ca="1">IFERROR(__xludf.DUMMYFUNCTION("""COMPUTED_VALUE"""),0.317)</f>
        <v>0.317</v>
      </c>
      <c r="W367" s="1">
        <f ca="1">IFERROR(__xludf.DUMMYFUNCTION("""COMPUTED_VALUE"""),366)</f>
        <v>366</v>
      </c>
      <c r="X367" s="1">
        <f ca="1">IFERROR(__xludf.DUMMYFUNCTION("""COMPUTED_VALUE"""),504)</f>
        <v>504</v>
      </c>
      <c r="Y367" s="1">
        <f ca="1">IFERROR(__xludf.DUMMYFUNCTION("""COMPUTED_VALUE"""),0.726)</f>
        <v>0.72599999999999998</v>
      </c>
      <c r="Z367" s="1">
        <f ca="1">IFERROR(__xludf.DUMMYFUNCTION("""COMPUTED_VALUE"""),312)</f>
        <v>312</v>
      </c>
      <c r="AA367" s="1">
        <f ca="1">IFERROR(__xludf.DUMMYFUNCTION("""COMPUTED_VALUE"""),983)</f>
        <v>983</v>
      </c>
      <c r="AB367" s="1">
        <f ca="1">IFERROR(__xludf.DUMMYFUNCTION("""COMPUTED_VALUE"""),374)</f>
        <v>374</v>
      </c>
      <c r="AC367" s="1">
        <f ca="1">IFERROR(__xludf.DUMMYFUNCTION("""COMPUTED_VALUE"""),174)</f>
        <v>174</v>
      </c>
      <c r="AD367" s="1">
        <f ca="1">IFERROR(__xludf.DUMMYFUNCTION("""COMPUTED_VALUE"""),68)</f>
        <v>68</v>
      </c>
      <c r="AE367" s="1">
        <f ca="1">IFERROR(__xludf.DUMMYFUNCTION("""COMPUTED_VALUE"""),398)</f>
        <v>398</v>
      </c>
      <c r="AF367" s="1">
        <f ca="1">IFERROR(__xludf.DUMMYFUNCTION("""COMPUTED_VALUE"""),604)</f>
        <v>604</v>
      </c>
    </row>
    <row r="368" spans="1:32" x14ac:dyDescent="0.25">
      <c r="A368" s="1" t="str">
        <f ca="1">IFERROR(__xludf.DUMMYFUNCTION("""COMPUTED_VALUE"""),"Wake Forest")</f>
        <v>Wake Forest</v>
      </c>
      <c r="B368" s="1">
        <f ca="1">IFERROR(__xludf.DUMMYFUNCTION("""COMPUTED_VALUE"""),28)</f>
        <v>28</v>
      </c>
      <c r="C368" s="1">
        <f ca="1">IFERROR(__xludf.DUMMYFUNCTION("""COMPUTED_VALUE"""),13)</f>
        <v>13</v>
      </c>
      <c r="D368" s="1">
        <f ca="1">IFERROR(__xludf.DUMMYFUNCTION("""COMPUTED_VALUE"""),15)</f>
        <v>15</v>
      </c>
      <c r="E368" s="1">
        <f ca="1">IFERROR(__xludf.DUMMYFUNCTION("""COMPUTED_VALUE"""),0.464)</f>
        <v>0.46400000000000002</v>
      </c>
      <c r="F368" s="1">
        <f ca="1">IFERROR(__xludf.DUMMYFUNCTION("""COMPUTED_VALUE"""),7.95)</f>
        <v>7.95</v>
      </c>
      <c r="G368" s="1">
        <f ca="1">IFERROR(__xludf.DUMMYFUNCTION("""COMPUTED_VALUE"""),8.16)</f>
        <v>8.16</v>
      </c>
      <c r="H368" s="1">
        <f ca="1">IFERROR(__xludf.DUMMYFUNCTION("""COMPUTED_VALUE"""),6)</f>
        <v>6</v>
      </c>
      <c r="I368" s="1">
        <f ca="1">IFERROR(__xludf.DUMMYFUNCTION("""COMPUTED_VALUE"""),12)</f>
        <v>12</v>
      </c>
      <c r="J368" s="1">
        <f ca="1">IFERROR(__xludf.DUMMYFUNCTION("""COMPUTED_VALUE"""),9)</f>
        <v>9</v>
      </c>
      <c r="K368" s="1">
        <f ca="1">IFERROR(__xludf.DUMMYFUNCTION("""COMPUTED_VALUE"""),5)</f>
        <v>5</v>
      </c>
      <c r="L368" s="1">
        <f ca="1">IFERROR(__xludf.DUMMYFUNCTION("""COMPUTED_VALUE"""),1)</f>
        <v>1</v>
      </c>
      <c r="M368" s="1">
        <f ca="1">IFERROR(__xludf.DUMMYFUNCTION("""COMPUTED_VALUE"""),9)</f>
        <v>9</v>
      </c>
      <c r="N368" s="1">
        <f ca="1">IFERROR(__xludf.DUMMYFUNCTION("""COMPUTED_VALUE"""),2057)</f>
        <v>2057</v>
      </c>
      <c r="O368" s="1">
        <f ca="1">IFERROR(__xludf.DUMMYFUNCTION("""COMPUTED_VALUE"""),2063)</f>
        <v>2063</v>
      </c>
      <c r="P368" s="1">
        <f ca="1">IFERROR(__xludf.DUMMYFUNCTION("""COMPUTED_VALUE"""),1140)</f>
        <v>1140</v>
      </c>
      <c r="Q368" s="1">
        <f ca="1">IFERROR(__xludf.DUMMYFUNCTION("""COMPUTED_VALUE"""),683)</f>
        <v>683</v>
      </c>
      <c r="R368" s="1">
        <f ca="1">IFERROR(__xludf.DUMMYFUNCTION("""COMPUTED_VALUE"""),1595)</f>
        <v>1595</v>
      </c>
      <c r="S368" s="1">
        <f ca="1">IFERROR(__xludf.DUMMYFUNCTION("""COMPUTED_VALUE"""),0.428)</f>
        <v>0.42799999999999999</v>
      </c>
      <c r="T368" s="1">
        <f ca="1">IFERROR(__xludf.DUMMYFUNCTION("""COMPUTED_VALUE"""),180)</f>
        <v>180</v>
      </c>
      <c r="U368" s="1">
        <f ca="1">IFERROR(__xludf.DUMMYFUNCTION("""COMPUTED_VALUE"""),522)</f>
        <v>522</v>
      </c>
      <c r="V368" s="1">
        <f ca="1">IFERROR(__xludf.DUMMYFUNCTION("""COMPUTED_VALUE"""),0.345)</f>
        <v>0.34499999999999997</v>
      </c>
      <c r="W368" s="1">
        <f ca="1">IFERROR(__xludf.DUMMYFUNCTION("""COMPUTED_VALUE"""),511)</f>
        <v>511</v>
      </c>
      <c r="X368" s="1">
        <f ca="1">IFERROR(__xludf.DUMMYFUNCTION("""COMPUTED_VALUE"""),683)</f>
        <v>683</v>
      </c>
      <c r="Y368" s="1">
        <f ca="1">IFERROR(__xludf.DUMMYFUNCTION("""COMPUTED_VALUE"""),0.748)</f>
        <v>0.748</v>
      </c>
      <c r="Z368" s="1">
        <f ca="1">IFERROR(__xludf.DUMMYFUNCTION("""COMPUTED_VALUE"""),286)</f>
        <v>286</v>
      </c>
      <c r="AA368" s="1">
        <f ca="1">IFERROR(__xludf.DUMMYFUNCTION("""COMPUTED_VALUE"""),1071)</f>
        <v>1071</v>
      </c>
      <c r="AB368" s="1">
        <f ca="1">IFERROR(__xludf.DUMMYFUNCTION("""COMPUTED_VALUE"""),350)</f>
        <v>350</v>
      </c>
      <c r="AC368" s="1">
        <f ca="1">IFERROR(__xludf.DUMMYFUNCTION("""COMPUTED_VALUE"""),138)</f>
        <v>138</v>
      </c>
      <c r="AD368" s="1">
        <f ca="1">IFERROR(__xludf.DUMMYFUNCTION("""COMPUTED_VALUE"""),81)</f>
        <v>81</v>
      </c>
      <c r="AE368" s="1">
        <f ca="1">IFERROR(__xludf.DUMMYFUNCTION("""COMPUTED_VALUE"""),394)</f>
        <v>394</v>
      </c>
      <c r="AF368" s="1">
        <f ca="1">IFERROR(__xludf.DUMMYFUNCTION("""COMPUTED_VALUE"""),542)</f>
        <v>542</v>
      </c>
    </row>
    <row r="369" spans="1:32" x14ac:dyDescent="0.25">
      <c r="A369" s="1" t="str">
        <f ca="1">IFERROR(__xludf.DUMMYFUNCTION("""COMPUTED_VALUE"""),"Washington State")</f>
        <v>Washington State</v>
      </c>
      <c r="B369" s="1">
        <f ca="1">IFERROR(__xludf.DUMMYFUNCTION("""COMPUTED_VALUE"""),29)</f>
        <v>29</v>
      </c>
      <c r="C369" s="1">
        <f ca="1">IFERROR(__xludf.DUMMYFUNCTION("""COMPUTED_VALUE"""),15)</f>
        <v>15</v>
      </c>
      <c r="D369" s="1">
        <f ca="1">IFERROR(__xludf.DUMMYFUNCTION("""COMPUTED_VALUE"""),14)</f>
        <v>14</v>
      </c>
      <c r="E369" s="1">
        <f ca="1">IFERROR(__xludf.DUMMYFUNCTION("""COMPUTED_VALUE"""),0.517)</f>
        <v>0.51700000000000002</v>
      </c>
      <c r="F369" s="1">
        <f ca="1">IFERROR(__xludf.DUMMYFUNCTION("""COMPUTED_VALUE"""),4.85)</f>
        <v>4.8499999999999996</v>
      </c>
      <c r="G369" s="1">
        <f ca="1">IFERROR(__xludf.DUMMYFUNCTION("""COMPUTED_VALUE"""),4.09)</f>
        <v>4.09</v>
      </c>
      <c r="H369" s="1">
        <f ca="1">IFERROR(__xludf.DUMMYFUNCTION("""COMPUTED_VALUE"""),6)</f>
        <v>6</v>
      </c>
      <c r="I369" s="1">
        <f ca="1">IFERROR(__xludf.DUMMYFUNCTION("""COMPUTED_VALUE"""),10)</f>
        <v>10</v>
      </c>
      <c r="J369" s="1">
        <f ca="1">IFERROR(__xludf.DUMMYFUNCTION("""COMPUTED_VALUE"""),11)</f>
        <v>11</v>
      </c>
      <c r="K369" s="1">
        <f ca="1">IFERROR(__xludf.DUMMYFUNCTION("""COMPUTED_VALUE"""),5)</f>
        <v>5</v>
      </c>
      <c r="L369" s="1">
        <f ca="1">IFERROR(__xludf.DUMMYFUNCTION("""COMPUTED_VALUE"""),2)</f>
        <v>2</v>
      </c>
      <c r="M369" s="1">
        <f ca="1">IFERROR(__xludf.DUMMYFUNCTION("""COMPUTED_VALUE"""),7)</f>
        <v>7</v>
      </c>
      <c r="N369" s="1">
        <f ca="1">IFERROR(__xludf.DUMMYFUNCTION("""COMPUTED_VALUE"""),2017)</f>
        <v>2017</v>
      </c>
      <c r="O369" s="1">
        <f ca="1">IFERROR(__xludf.DUMMYFUNCTION("""COMPUTED_VALUE"""),1995)</f>
        <v>1995</v>
      </c>
      <c r="P369" s="1">
        <f ca="1">IFERROR(__xludf.DUMMYFUNCTION("""COMPUTED_VALUE"""),1170)</f>
        <v>1170</v>
      </c>
      <c r="Q369" s="1">
        <f ca="1">IFERROR(__xludf.DUMMYFUNCTION("""COMPUTED_VALUE"""),705)</f>
        <v>705</v>
      </c>
      <c r="R369" s="1">
        <f ca="1">IFERROR(__xludf.DUMMYFUNCTION("""COMPUTED_VALUE"""),1770)</f>
        <v>1770</v>
      </c>
      <c r="S369" s="1">
        <f ca="1">IFERROR(__xludf.DUMMYFUNCTION("""COMPUTED_VALUE"""),0.398)</f>
        <v>0.39800000000000002</v>
      </c>
      <c r="T369" s="1">
        <f ca="1">IFERROR(__xludf.DUMMYFUNCTION("""COMPUTED_VALUE"""),218)</f>
        <v>218</v>
      </c>
      <c r="U369" s="1">
        <f ca="1">IFERROR(__xludf.DUMMYFUNCTION("""COMPUTED_VALUE"""),703)</f>
        <v>703</v>
      </c>
      <c r="V369" s="1">
        <f ca="1">IFERROR(__xludf.DUMMYFUNCTION("""COMPUTED_VALUE"""),0.31)</f>
        <v>0.31</v>
      </c>
      <c r="W369" s="1">
        <f ca="1">IFERROR(__xludf.DUMMYFUNCTION("""COMPUTED_VALUE"""),389)</f>
        <v>389</v>
      </c>
      <c r="X369" s="1">
        <f ca="1">IFERROR(__xludf.DUMMYFUNCTION("""COMPUTED_VALUE"""),530)</f>
        <v>530</v>
      </c>
      <c r="Y369" s="1">
        <f ca="1">IFERROR(__xludf.DUMMYFUNCTION("""COMPUTED_VALUE"""),0.734)</f>
        <v>0.73399999999999999</v>
      </c>
      <c r="Z369" s="1">
        <f ca="1">IFERROR(__xludf.DUMMYFUNCTION("""COMPUTED_VALUE"""),310)</f>
        <v>310</v>
      </c>
      <c r="AA369" s="1">
        <f ca="1">IFERROR(__xludf.DUMMYFUNCTION("""COMPUTED_VALUE"""),1043)</f>
        <v>1043</v>
      </c>
      <c r="AB369" s="1">
        <f ca="1">IFERROR(__xludf.DUMMYFUNCTION("""COMPUTED_VALUE"""),340)</f>
        <v>340</v>
      </c>
      <c r="AC369" s="1">
        <f ca="1">IFERROR(__xludf.DUMMYFUNCTION("""COMPUTED_VALUE"""),195)</f>
        <v>195</v>
      </c>
      <c r="AD369" s="1">
        <f ca="1">IFERROR(__xludf.DUMMYFUNCTION("""COMPUTED_VALUE"""),74)</f>
        <v>74</v>
      </c>
      <c r="AE369" s="1">
        <f ca="1">IFERROR(__xludf.DUMMYFUNCTION("""COMPUTED_VALUE"""),344)</f>
        <v>344</v>
      </c>
      <c r="AF369" s="1">
        <f ca="1">IFERROR(__xludf.DUMMYFUNCTION("""COMPUTED_VALUE"""),502)</f>
        <v>502</v>
      </c>
    </row>
    <row r="370" spans="1:32" x14ac:dyDescent="0.25">
      <c r="A370" s="1" t="str">
        <f ca="1">IFERROR(__xludf.DUMMYFUNCTION("""COMPUTED_VALUE"""),"Washington")</f>
        <v>Washington</v>
      </c>
      <c r="B370" s="1">
        <f ca="1">IFERROR(__xludf.DUMMYFUNCTION("""COMPUTED_VALUE"""),29)</f>
        <v>29</v>
      </c>
      <c r="C370" s="1">
        <f ca="1">IFERROR(__xludf.DUMMYFUNCTION("""COMPUTED_VALUE"""),13)</f>
        <v>13</v>
      </c>
      <c r="D370" s="1">
        <f ca="1">IFERROR(__xludf.DUMMYFUNCTION("""COMPUTED_VALUE"""),16)</f>
        <v>16</v>
      </c>
      <c r="E370" s="1">
        <f ca="1">IFERROR(__xludf.DUMMYFUNCTION("""COMPUTED_VALUE"""),0.448)</f>
        <v>0.44800000000000001</v>
      </c>
      <c r="F370" s="1">
        <f ca="1">IFERROR(__xludf.DUMMYFUNCTION("""COMPUTED_VALUE"""),11.92)</f>
        <v>11.92</v>
      </c>
      <c r="G370" s="1">
        <f ca="1">IFERROR(__xludf.DUMMYFUNCTION("""COMPUTED_VALUE"""),7.54)</f>
        <v>7.54</v>
      </c>
      <c r="H370" s="1">
        <f ca="1">IFERROR(__xludf.DUMMYFUNCTION("""COMPUTED_VALUE"""),3)</f>
        <v>3</v>
      </c>
      <c r="I370" s="1">
        <f ca="1">IFERROR(__xludf.DUMMYFUNCTION("""COMPUTED_VALUE"""),13)</f>
        <v>13</v>
      </c>
      <c r="J370" s="1">
        <f ca="1">IFERROR(__xludf.DUMMYFUNCTION("""COMPUTED_VALUE"""),10)</f>
        <v>10</v>
      </c>
      <c r="K370" s="1">
        <f ca="1">IFERROR(__xludf.DUMMYFUNCTION("""COMPUTED_VALUE"""),7)</f>
        <v>7</v>
      </c>
      <c r="L370" s="1">
        <f ca="1">IFERROR(__xludf.DUMMYFUNCTION("""COMPUTED_VALUE"""),1)</f>
        <v>1</v>
      </c>
      <c r="M370" s="1">
        <f ca="1">IFERROR(__xludf.DUMMYFUNCTION("""COMPUTED_VALUE"""),7)</f>
        <v>7</v>
      </c>
      <c r="N370" s="1">
        <f ca="1">IFERROR(__xludf.DUMMYFUNCTION("""COMPUTED_VALUE"""),2030)</f>
        <v>2030</v>
      </c>
      <c r="O370" s="1">
        <f ca="1">IFERROR(__xludf.DUMMYFUNCTION("""COMPUTED_VALUE"""),1903)</f>
        <v>1903</v>
      </c>
      <c r="P370" s="1">
        <f ca="1">IFERROR(__xludf.DUMMYFUNCTION("""COMPUTED_VALUE"""),1170)</f>
        <v>1170</v>
      </c>
      <c r="Q370" s="1">
        <f ca="1">IFERROR(__xludf.DUMMYFUNCTION("""COMPUTED_VALUE"""),701)</f>
        <v>701</v>
      </c>
      <c r="R370" s="1">
        <f ca="1">IFERROR(__xludf.DUMMYFUNCTION("""COMPUTED_VALUE"""),1590)</f>
        <v>1590</v>
      </c>
      <c r="S370" s="1">
        <f ca="1">IFERROR(__xludf.DUMMYFUNCTION("""COMPUTED_VALUE"""),0.441)</f>
        <v>0.441</v>
      </c>
      <c r="T370" s="1">
        <f ca="1">IFERROR(__xludf.DUMMYFUNCTION("""COMPUTED_VALUE"""),200)</f>
        <v>200</v>
      </c>
      <c r="U370" s="1">
        <f ca="1">IFERROR(__xludf.DUMMYFUNCTION("""COMPUTED_VALUE"""),611)</f>
        <v>611</v>
      </c>
      <c r="V370" s="1">
        <f ca="1">IFERROR(__xludf.DUMMYFUNCTION("""COMPUTED_VALUE"""),0.327)</f>
        <v>0.32700000000000001</v>
      </c>
      <c r="W370" s="1">
        <f ca="1">IFERROR(__xludf.DUMMYFUNCTION("""COMPUTED_VALUE"""),428)</f>
        <v>428</v>
      </c>
      <c r="X370" s="1">
        <f ca="1">IFERROR(__xludf.DUMMYFUNCTION("""COMPUTED_VALUE"""),606)</f>
        <v>606</v>
      </c>
      <c r="Y370" s="1">
        <f ca="1">IFERROR(__xludf.DUMMYFUNCTION("""COMPUTED_VALUE"""),0.706)</f>
        <v>0.70599999999999996</v>
      </c>
      <c r="Z370" s="1">
        <f ca="1">IFERROR(__xludf.DUMMYFUNCTION("""COMPUTED_VALUE"""),256)</f>
        <v>256</v>
      </c>
      <c r="AA370" s="1">
        <f ca="1">IFERROR(__xludf.DUMMYFUNCTION("""COMPUTED_VALUE"""),1016)</f>
        <v>1016</v>
      </c>
      <c r="AB370" s="1">
        <f ca="1">IFERROR(__xludf.DUMMYFUNCTION("""COMPUTED_VALUE"""),362)</f>
        <v>362</v>
      </c>
      <c r="AC370" s="1">
        <f ca="1">IFERROR(__xludf.DUMMYFUNCTION("""COMPUTED_VALUE"""),210)</f>
        <v>210</v>
      </c>
      <c r="AD370" s="1">
        <f ca="1">IFERROR(__xludf.DUMMYFUNCTION("""COMPUTED_VALUE"""),181)</f>
        <v>181</v>
      </c>
      <c r="AE370" s="1">
        <f ca="1">IFERROR(__xludf.DUMMYFUNCTION("""COMPUTED_VALUE"""),434)</f>
        <v>434</v>
      </c>
      <c r="AF370" s="1">
        <f ca="1">IFERROR(__xludf.DUMMYFUNCTION("""COMPUTED_VALUE"""),501)</f>
        <v>501</v>
      </c>
    </row>
    <row r="371" spans="1:32" x14ac:dyDescent="0.25">
      <c r="A371" s="1" t="str">
        <f ca="1">IFERROR(__xludf.DUMMYFUNCTION("""COMPUTED_VALUE"""),"Weber State")</f>
        <v>Weber State</v>
      </c>
      <c r="B371" s="1">
        <f ca="1">IFERROR(__xludf.DUMMYFUNCTION("""COMPUTED_VALUE"""),29)</f>
        <v>29</v>
      </c>
      <c r="C371" s="1">
        <f ca="1">IFERROR(__xludf.DUMMYFUNCTION("""COMPUTED_VALUE"""),11)</f>
        <v>11</v>
      </c>
      <c r="D371" s="1">
        <f ca="1">IFERROR(__xludf.DUMMYFUNCTION("""COMPUTED_VALUE"""),18)</f>
        <v>18</v>
      </c>
      <c r="E371" s="1">
        <f ca="1">IFERROR(__xludf.DUMMYFUNCTION("""COMPUTED_VALUE"""),0.379)</f>
        <v>0.379</v>
      </c>
      <c r="F371" s="1">
        <f ca="1">IFERROR(__xludf.DUMMYFUNCTION("""COMPUTED_VALUE"""),-8.27)</f>
        <v>-8.27</v>
      </c>
      <c r="G371" s="1">
        <f ca="1">IFERROR(__xludf.DUMMYFUNCTION("""COMPUTED_VALUE"""),-0.08)</f>
        <v>-0.08</v>
      </c>
      <c r="H371" s="1">
        <f ca="1">IFERROR(__xludf.DUMMYFUNCTION("""COMPUTED_VALUE"""),7)</f>
        <v>7</v>
      </c>
      <c r="I371" s="1">
        <f ca="1">IFERROR(__xludf.DUMMYFUNCTION("""COMPUTED_VALUE"""),11)</f>
        <v>11</v>
      </c>
      <c r="J371" s="1">
        <f ca="1">IFERROR(__xludf.DUMMYFUNCTION("""COMPUTED_VALUE"""),8)</f>
        <v>8</v>
      </c>
      <c r="K371" s="1">
        <f ca="1">IFERROR(__xludf.DUMMYFUNCTION("""COMPUTED_VALUE"""),6)</f>
        <v>6</v>
      </c>
      <c r="L371" s="1">
        <f ca="1">IFERROR(__xludf.DUMMYFUNCTION("""COMPUTED_VALUE"""),3)</f>
        <v>3</v>
      </c>
      <c r="M371" s="1">
        <f ca="1">IFERROR(__xludf.DUMMYFUNCTION("""COMPUTED_VALUE"""),8)</f>
        <v>8</v>
      </c>
      <c r="N371" s="1">
        <f ca="1">IFERROR(__xludf.DUMMYFUNCTION("""COMPUTED_VALUE"""),2030)</f>
        <v>2030</v>
      </c>
      <c r="O371" s="1">
        <f ca="1">IFERROR(__xludf.DUMMYFUNCTION("""COMPUTED_VALUE"""),2076)</f>
        <v>2076</v>
      </c>
      <c r="P371" s="1">
        <f ca="1">IFERROR(__xludf.DUMMYFUNCTION("""COMPUTED_VALUE"""),1170)</f>
        <v>1170</v>
      </c>
      <c r="Q371" s="1">
        <f ca="1">IFERROR(__xludf.DUMMYFUNCTION("""COMPUTED_VALUE"""),747)</f>
        <v>747</v>
      </c>
      <c r="R371" s="1">
        <f ca="1">IFERROR(__xludf.DUMMYFUNCTION("""COMPUTED_VALUE"""),1642)</f>
        <v>1642</v>
      </c>
      <c r="S371" s="1">
        <f ca="1">IFERROR(__xludf.DUMMYFUNCTION("""COMPUTED_VALUE"""),0.455)</f>
        <v>0.45500000000000002</v>
      </c>
      <c r="T371" s="1">
        <f ca="1">IFERROR(__xludf.DUMMYFUNCTION("""COMPUTED_VALUE"""),199)</f>
        <v>199</v>
      </c>
      <c r="U371" s="1">
        <f ca="1">IFERROR(__xludf.DUMMYFUNCTION("""COMPUTED_VALUE"""),606)</f>
        <v>606</v>
      </c>
      <c r="V371" s="1">
        <f ca="1">IFERROR(__xludf.DUMMYFUNCTION("""COMPUTED_VALUE"""),0.328)</f>
        <v>0.32800000000000001</v>
      </c>
      <c r="W371" s="1">
        <f ca="1">IFERROR(__xludf.DUMMYFUNCTION("""COMPUTED_VALUE"""),337)</f>
        <v>337</v>
      </c>
      <c r="X371" s="1">
        <f ca="1">IFERROR(__xludf.DUMMYFUNCTION("""COMPUTED_VALUE"""),468)</f>
        <v>468</v>
      </c>
      <c r="Y371" s="1">
        <f ca="1">IFERROR(__xludf.DUMMYFUNCTION("""COMPUTED_VALUE"""),0.72)</f>
        <v>0.72</v>
      </c>
      <c r="Z371" s="1">
        <f ca="1">IFERROR(__xludf.DUMMYFUNCTION("""COMPUTED_VALUE"""),208)</f>
        <v>208</v>
      </c>
      <c r="AA371" s="1">
        <f ca="1">IFERROR(__xludf.DUMMYFUNCTION("""COMPUTED_VALUE"""),919)</f>
        <v>919</v>
      </c>
      <c r="AB371" s="1">
        <f ca="1">IFERROR(__xludf.DUMMYFUNCTION("""COMPUTED_VALUE"""),322)</f>
        <v>322</v>
      </c>
      <c r="AC371" s="1">
        <f ca="1">IFERROR(__xludf.DUMMYFUNCTION("""COMPUTED_VALUE"""),151)</f>
        <v>151</v>
      </c>
      <c r="AD371" s="1">
        <f ca="1">IFERROR(__xludf.DUMMYFUNCTION("""COMPUTED_VALUE"""),116)</f>
        <v>116</v>
      </c>
      <c r="AE371" s="1">
        <f ca="1">IFERROR(__xludf.DUMMYFUNCTION("""COMPUTED_VALUE"""),348)</f>
        <v>348</v>
      </c>
      <c r="AF371" s="1">
        <f ca="1">IFERROR(__xludf.DUMMYFUNCTION("""COMPUTED_VALUE"""),415)</f>
        <v>415</v>
      </c>
    </row>
    <row r="372" spans="1:32" x14ac:dyDescent="0.25">
      <c r="A372" s="1" t="str">
        <f ca="1">IFERROR(__xludf.DUMMYFUNCTION("""COMPUTED_VALUE"""),"West Virginia")</f>
        <v>West Virginia</v>
      </c>
      <c r="B372" s="1">
        <f ca="1">IFERROR(__xludf.DUMMYFUNCTION("""COMPUTED_VALUE"""),29)</f>
        <v>29</v>
      </c>
      <c r="C372" s="1">
        <f ca="1">IFERROR(__xludf.DUMMYFUNCTION("""COMPUTED_VALUE"""),19)</f>
        <v>19</v>
      </c>
      <c r="D372" s="1">
        <f ca="1">IFERROR(__xludf.DUMMYFUNCTION("""COMPUTED_VALUE"""),10)</f>
        <v>10</v>
      </c>
      <c r="E372" s="1">
        <f ca="1">IFERROR(__xludf.DUMMYFUNCTION("""COMPUTED_VALUE"""),0.655)</f>
        <v>0.65500000000000003</v>
      </c>
      <c r="F372" s="1">
        <f ca="1">IFERROR(__xludf.DUMMYFUNCTION("""COMPUTED_VALUE"""),18.25)</f>
        <v>18.25</v>
      </c>
      <c r="G372" s="1">
        <f ca="1">IFERROR(__xludf.DUMMYFUNCTION("""COMPUTED_VALUE"""),10.45)</f>
        <v>10.45</v>
      </c>
      <c r="H372" s="1">
        <f ca="1">IFERROR(__xludf.DUMMYFUNCTION("""COMPUTED_VALUE"""),7)</f>
        <v>7</v>
      </c>
      <c r="I372" s="1">
        <f ca="1">IFERROR(__xludf.DUMMYFUNCTION("""COMPUTED_VALUE"""),9)</f>
        <v>9</v>
      </c>
      <c r="J372" s="1">
        <f ca="1">IFERROR(__xludf.DUMMYFUNCTION("""COMPUTED_VALUE"""),13)</f>
        <v>13</v>
      </c>
      <c r="K372" s="1">
        <f ca="1">IFERROR(__xludf.DUMMYFUNCTION("""COMPUTED_VALUE"""),2)</f>
        <v>2</v>
      </c>
      <c r="L372" s="1">
        <f ca="1">IFERROR(__xludf.DUMMYFUNCTION("""COMPUTED_VALUE"""),3)</f>
        <v>3</v>
      </c>
      <c r="M372" s="1">
        <f ca="1">IFERROR(__xludf.DUMMYFUNCTION("""COMPUTED_VALUE"""),8)</f>
        <v>8</v>
      </c>
      <c r="N372" s="1">
        <f ca="1">IFERROR(__xludf.DUMMYFUNCTION("""COMPUTED_VALUE"""),2026)</f>
        <v>2026</v>
      </c>
      <c r="O372" s="1">
        <f ca="1">IFERROR(__xludf.DUMMYFUNCTION("""COMPUTED_VALUE"""),1800)</f>
        <v>1800</v>
      </c>
      <c r="P372" s="1">
        <f ca="1">IFERROR(__xludf.DUMMYFUNCTION("""COMPUTED_VALUE"""),1165)</f>
        <v>1165</v>
      </c>
      <c r="Q372" s="1">
        <f ca="1">IFERROR(__xludf.DUMMYFUNCTION("""COMPUTED_VALUE"""),723)</f>
        <v>723</v>
      </c>
      <c r="R372" s="1">
        <f ca="1">IFERROR(__xludf.DUMMYFUNCTION("""COMPUTED_VALUE"""),1720)</f>
        <v>1720</v>
      </c>
      <c r="S372" s="1">
        <f ca="1">IFERROR(__xludf.DUMMYFUNCTION("""COMPUTED_VALUE"""),0.42)</f>
        <v>0.42</v>
      </c>
      <c r="T372" s="1">
        <f ca="1">IFERROR(__xludf.DUMMYFUNCTION("""COMPUTED_VALUE"""),146)</f>
        <v>146</v>
      </c>
      <c r="U372" s="1">
        <f ca="1">IFERROR(__xludf.DUMMYFUNCTION("""COMPUTED_VALUE"""),516)</f>
        <v>516</v>
      </c>
      <c r="V372" s="1">
        <f ca="1">IFERROR(__xludf.DUMMYFUNCTION("""COMPUTED_VALUE"""),0.283)</f>
        <v>0.28299999999999997</v>
      </c>
      <c r="W372" s="1">
        <f ca="1">IFERROR(__xludf.DUMMYFUNCTION("""COMPUTED_VALUE"""),434)</f>
        <v>434</v>
      </c>
      <c r="X372" s="1">
        <f ca="1">IFERROR(__xludf.DUMMYFUNCTION("""COMPUTED_VALUE"""),685)</f>
        <v>685</v>
      </c>
      <c r="Y372" s="1">
        <f ca="1">IFERROR(__xludf.DUMMYFUNCTION("""COMPUTED_VALUE"""),0.634)</f>
        <v>0.63400000000000001</v>
      </c>
      <c r="Z372" s="1">
        <f ca="1">IFERROR(__xludf.DUMMYFUNCTION("""COMPUTED_VALUE"""),439)</f>
        <v>439</v>
      </c>
      <c r="AA372" s="1">
        <f ca="1">IFERROR(__xludf.DUMMYFUNCTION("""COMPUTED_VALUE"""),1174)</f>
        <v>1174</v>
      </c>
      <c r="AB372" s="1">
        <f ca="1">IFERROR(__xludf.DUMMYFUNCTION("""COMPUTED_VALUE"""),358)</f>
        <v>358</v>
      </c>
      <c r="AC372" s="1">
        <f ca="1">IFERROR(__xludf.DUMMYFUNCTION("""COMPUTED_VALUE"""),222)</f>
        <v>222</v>
      </c>
      <c r="AD372" s="1">
        <f ca="1">IFERROR(__xludf.DUMMYFUNCTION("""COMPUTED_VALUE"""),103)</f>
        <v>103</v>
      </c>
      <c r="AE372" s="1">
        <f ca="1">IFERROR(__xludf.DUMMYFUNCTION("""COMPUTED_VALUE"""),420)</f>
        <v>420</v>
      </c>
      <c r="AF372" s="1">
        <f ca="1">IFERROR(__xludf.DUMMYFUNCTION("""COMPUTED_VALUE"""),534)</f>
        <v>534</v>
      </c>
    </row>
    <row r="373" spans="1:32" x14ac:dyDescent="0.25">
      <c r="A373" s="1" t="str">
        <f ca="1">IFERROR(__xludf.DUMMYFUNCTION("""COMPUTED_VALUE"""),"Western Carolina")</f>
        <v>Western Carolina</v>
      </c>
      <c r="B373" s="1">
        <f ca="1">IFERROR(__xludf.DUMMYFUNCTION("""COMPUTED_VALUE"""),29)</f>
        <v>29</v>
      </c>
      <c r="C373" s="1">
        <f ca="1">IFERROR(__xludf.DUMMYFUNCTION("""COMPUTED_VALUE"""),18)</f>
        <v>18</v>
      </c>
      <c r="D373" s="1">
        <f ca="1">IFERROR(__xludf.DUMMYFUNCTION("""COMPUTED_VALUE"""),11)</f>
        <v>11</v>
      </c>
      <c r="E373" s="1">
        <f ca="1">IFERROR(__xludf.DUMMYFUNCTION("""COMPUTED_VALUE"""),0.621)</f>
        <v>0.621</v>
      </c>
      <c r="F373" s="1">
        <f ca="1">IFERROR(__xludf.DUMMYFUNCTION("""COMPUTED_VALUE"""),0.13)</f>
        <v>0.13</v>
      </c>
      <c r="G373" s="1">
        <f ca="1">IFERROR(__xludf.DUMMYFUNCTION("""COMPUTED_VALUE"""),-1.73)</f>
        <v>-1.73</v>
      </c>
      <c r="H373" s="1">
        <f ca="1">IFERROR(__xludf.DUMMYFUNCTION("""COMPUTED_VALUE"""),10)</f>
        <v>10</v>
      </c>
      <c r="I373" s="1">
        <f ca="1">IFERROR(__xludf.DUMMYFUNCTION("""COMPUTED_VALUE"""),8)</f>
        <v>8</v>
      </c>
      <c r="J373" s="1">
        <f ca="1">IFERROR(__xludf.DUMMYFUNCTION("""COMPUTED_VALUE"""),10)</f>
        <v>10</v>
      </c>
      <c r="K373" s="1">
        <f ca="1">IFERROR(__xludf.DUMMYFUNCTION("""COMPUTED_VALUE"""),4)</f>
        <v>4</v>
      </c>
      <c r="L373" s="1">
        <f ca="1">IFERROR(__xludf.DUMMYFUNCTION("""COMPUTED_VALUE"""),8)</f>
        <v>8</v>
      </c>
      <c r="M373" s="1">
        <f ca="1">IFERROR(__xludf.DUMMYFUNCTION("""COMPUTED_VALUE"""),7)</f>
        <v>7</v>
      </c>
      <c r="N373" s="1">
        <f ca="1">IFERROR(__xludf.DUMMYFUNCTION("""COMPUTED_VALUE"""),2299)</f>
        <v>2299</v>
      </c>
      <c r="O373" s="1">
        <f ca="1">IFERROR(__xludf.DUMMYFUNCTION("""COMPUTED_VALUE"""),2164)</f>
        <v>2164</v>
      </c>
      <c r="P373" s="1">
        <f ca="1">IFERROR(__xludf.DUMMYFUNCTION("""COMPUTED_VALUE"""),1170)</f>
        <v>1170</v>
      </c>
      <c r="Q373" s="1">
        <f ca="1">IFERROR(__xludf.DUMMYFUNCTION("""COMPUTED_VALUE"""),792)</f>
        <v>792</v>
      </c>
      <c r="R373" s="1">
        <f ca="1">IFERROR(__xludf.DUMMYFUNCTION("""COMPUTED_VALUE"""),1695)</f>
        <v>1695</v>
      </c>
      <c r="S373" s="1">
        <f ca="1">IFERROR(__xludf.DUMMYFUNCTION("""COMPUTED_VALUE"""),0.467)</f>
        <v>0.46700000000000003</v>
      </c>
      <c r="T373" s="1">
        <f ca="1">IFERROR(__xludf.DUMMYFUNCTION("""COMPUTED_VALUE"""),288)</f>
        <v>288</v>
      </c>
      <c r="U373" s="1">
        <f ca="1">IFERROR(__xludf.DUMMYFUNCTION("""COMPUTED_VALUE"""),771)</f>
        <v>771</v>
      </c>
      <c r="V373" s="1">
        <f ca="1">IFERROR(__xludf.DUMMYFUNCTION("""COMPUTED_VALUE"""),0.374)</f>
        <v>0.374</v>
      </c>
      <c r="W373" s="1">
        <f ca="1">IFERROR(__xludf.DUMMYFUNCTION("""COMPUTED_VALUE"""),427)</f>
        <v>427</v>
      </c>
      <c r="X373" s="1">
        <f ca="1">IFERROR(__xludf.DUMMYFUNCTION("""COMPUTED_VALUE"""),600)</f>
        <v>600</v>
      </c>
      <c r="Y373" s="1">
        <f ca="1">IFERROR(__xludf.DUMMYFUNCTION("""COMPUTED_VALUE"""),0.712)</f>
        <v>0.71199999999999997</v>
      </c>
      <c r="Z373" s="1">
        <f ca="1">IFERROR(__xludf.DUMMYFUNCTION("""COMPUTED_VALUE"""),291)</f>
        <v>291</v>
      </c>
      <c r="AA373" s="1">
        <f ca="1">IFERROR(__xludf.DUMMYFUNCTION("""COMPUTED_VALUE"""),1111)</f>
        <v>1111</v>
      </c>
      <c r="AB373" s="1">
        <f ca="1">IFERROR(__xludf.DUMMYFUNCTION("""COMPUTED_VALUE"""),427)</f>
        <v>427</v>
      </c>
      <c r="AC373" s="1">
        <f ca="1">IFERROR(__xludf.DUMMYFUNCTION("""COMPUTED_VALUE"""),152)</f>
        <v>152</v>
      </c>
      <c r="AD373" s="1">
        <f ca="1">IFERROR(__xludf.DUMMYFUNCTION("""COMPUTED_VALUE"""),52)</f>
        <v>52</v>
      </c>
      <c r="AE373" s="1">
        <f ca="1">IFERROR(__xludf.DUMMYFUNCTION("""COMPUTED_VALUE"""),420)</f>
        <v>420</v>
      </c>
      <c r="AF373" s="1">
        <f ca="1">IFERROR(__xludf.DUMMYFUNCTION("""COMPUTED_VALUE"""),494)</f>
        <v>494</v>
      </c>
    </row>
    <row r="374" spans="1:32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x14ac:dyDescent="0.25">
      <c r="A376" s="1" t="str">
        <f ca="1">IFERROR(__xludf.DUMMYFUNCTION("""COMPUTED_VALUE"""),"Western Illinois")</f>
        <v>Western Illinois</v>
      </c>
      <c r="B376" s="1">
        <f ca="1">IFERROR(__xludf.DUMMYFUNCTION("""COMPUTED_VALUE"""),26)</f>
        <v>26</v>
      </c>
      <c r="C376" s="1">
        <f ca="1">IFERROR(__xludf.DUMMYFUNCTION("""COMPUTED_VALUE"""),5)</f>
        <v>5</v>
      </c>
      <c r="D376" s="1">
        <f ca="1">IFERROR(__xludf.DUMMYFUNCTION("""COMPUTED_VALUE"""),21)</f>
        <v>21</v>
      </c>
      <c r="E376" s="1">
        <f ca="1">IFERROR(__xludf.DUMMYFUNCTION("""COMPUTED_VALUE"""),0.192)</f>
        <v>0.192</v>
      </c>
      <c r="F376" s="1">
        <f ca="1">IFERROR(__xludf.DUMMYFUNCTION("""COMPUTED_VALUE"""),-14.37)</f>
        <v>-14.37</v>
      </c>
      <c r="G376" s="1">
        <f ca="1">IFERROR(__xludf.DUMMYFUNCTION("""COMPUTED_VALUE"""),-3.12)</f>
        <v>-3.12</v>
      </c>
      <c r="H376" s="1">
        <f ca="1">IFERROR(__xludf.DUMMYFUNCTION("""COMPUTED_VALUE"""),2)</f>
        <v>2</v>
      </c>
      <c r="I376" s="1">
        <f ca="1">IFERROR(__xludf.DUMMYFUNCTION("""COMPUTED_VALUE"""),14)</f>
        <v>14</v>
      </c>
      <c r="J376" s="1">
        <f ca="1">IFERROR(__xludf.DUMMYFUNCTION("""COMPUTED_VALUE"""),4)</f>
        <v>4</v>
      </c>
      <c r="K376" s="1">
        <f ca="1">IFERROR(__xludf.DUMMYFUNCTION("""COMPUTED_VALUE"""),10)</f>
        <v>10</v>
      </c>
      <c r="L376" s="1">
        <f ca="1">IFERROR(__xludf.DUMMYFUNCTION("""COMPUTED_VALUE"""),1)</f>
        <v>1</v>
      </c>
      <c r="M376" s="1">
        <f ca="1">IFERROR(__xludf.DUMMYFUNCTION("""COMPUTED_VALUE"""),11)</f>
        <v>11</v>
      </c>
      <c r="N376" s="1">
        <f ca="1">IFERROR(__xludf.DUMMYFUNCTION("""COMPUTED_VALUE"""),1934)</f>
        <v>1934</v>
      </c>
      <c r="O376" s="1">
        <f ca="1">IFERROR(__xludf.DUMMYFUNCTION("""COMPUTED_VALUE"""),2126)</f>
        <v>2126</v>
      </c>
      <c r="P376" s="1">
        <f ca="1">IFERROR(__xludf.DUMMYFUNCTION("""COMPUTED_VALUE"""),1050)</f>
        <v>1050</v>
      </c>
      <c r="Q376" s="1">
        <f ca="1">IFERROR(__xludf.DUMMYFUNCTION("""COMPUTED_VALUE"""),710)</f>
        <v>710</v>
      </c>
      <c r="R376" s="1">
        <f ca="1">IFERROR(__xludf.DUMMYFUNCTION("""COMPUTED_VALUE"""),1667)</f>
        <v>1667</v>
      </c>
      <c r="S376" s="1">
        <f ca="1">IFERROR(__xludf.DUMMYFUNCTION("""COMPUTED_VALUE"""),0.426)</f>
        <v>0.42599999999999999</v>
      </c>
      <c r="T376" s="1">
        <f ca="1">IFERROR(__xludf.DUMMYFUNCTION("""COMPUTED_VALUE"""),226)</f>
        <v>226</v>
      </c>
      <c r="U376" s="1">
        <f ca="1">IFERROR(__xludf.DUMMYFUNCTION("""COMPUTED_VALUE"""),612)</f>
        <v>612</v>
      </c>
      <c r="V376" s="1">
        <f ca="1">IFERROR(__xludf.DUMMYFUNCTION("""COMPUTED_VALUE"""),0.369)</f>
        <v>0.36899999999999999</v>
      </c>
      <c r="W376" s="1">
        <f ca="1">IFERROR(__xludf.DUMMYFUNCTION("""COMPUTED_VALUE"""),288)</f>
        <v>288</v>
      </c>
      <c r="X376" s="1">
        <f ca="1">IFERROR(__xludf.DUMMYFUNCTION("""COMPUTED_VALUE"""),368)</f>
        <v>368</v>
      </c>
      <c r="Y376" s="1">
        <f ca="1">IFERROR(__xludf.DUMMYFUNCTION("""COMPUTED_VALUE"""),0.783)</f>
        <v>0.78300000000000003</v>
      </c>
      <c r="Z376" s="1">
        <f ca="1">IFERROR(__xludf.DUMMYFUNCTION("""COMPUTED_VALUE"""),216)</f>
        <v>216</v>
      </c>
      <c r="AA376" s="1">
        <f ca="1">IFERROR(__xludf.DUMMYFUNCTION("""COMPUTED_VALUE"""),882)</f>
        <v>882</v>
      </c>
      <c r="AB376" s="1">
        <f ca="1">IFERROR(__xludf.DUMMYFUNCTION("""COMPUTED_VALUE"""),267)</f>
        <v>267</v>
      </c>
      <c r="AC376" s="1">
        <f ca="1">IFERROR(__xludf.DUMMYFUNCTION("""COMPUTED_VALUE"""),129)</f>
        <v>129</v>
      </c>
      <c r="AD376" s="1">
        <f ca="1">IFERROR(__xludf.DUMMYFUNCTION("""COMPUTED_VALUE"""),57)</f>
        <v>57</v>
      </c>
      <c r="AE376" s="1">
        <f ca="1">IFERROR(__xludf.DUMMYFUNCTION("""COMPUTED_VALUE"""),290)</f>
        <v>290</v>
      </c>
      <c r="AF376" s="1">
        <f ca="1">IFERROR(__xludf.DUMMYFUNCTION("""COMPUTED_VALUE"""),467)</f>
        <v>467</v>
      </c>
    </row>
    <row r="377" spans="1:32" x14ac:dyDescent="0.25">
      <c r="A377" s="1" t="str">
        <f ca="1">IFERROR(__xludf.DUMMYFUNCTION("""COMPUTED_VALUE"""),"Western Kentucky")</f>
        <v>Western Kentucky</v>
      </c>
      <c r="B377" s="1">
        <f ca="1">IFERROR(__xludf.DUMMYFUNCTION("""COMPUTED_VALUE"""),29)</f>
        <v>29</v>
      </c>
      <c r="C377" s="1">
        <f ca="1">IFERROR(__xludf.DUMMYFUNCTION("""COMPUTED_VALUE"""),19)</f>
        <v>19</v>
      </c>
      <c r="D377" s="1">
        <f ca="1">IFERROR(__xludf.DUMMYFUNCTION("""COMPUTED_VALUE"""),10)</f>
        <v>10</v>
      </c>
      <c r="E377" s="1">
        <f ca="1">IFERROR(__xludf.DUMMYFUNCTION("""COMPUTED_VALUE"""),0.655)</f>
        <v>0.65500000000000003</v>
      </c>
      <c r="F377" s="1">
        <f ca="1">IFERROR(__xludf.DUMMYFUNCTION("""COMPUTED_VALUE"""),4.24)</f>
        <v>4.24</v>
      </c>
      <c r="G377" s="1">
        <f ca="1">IFERROR(__xludf.DUMMYFUNCTION("""COMPUTED_VALUE"""),1.09)</f>
        <v>1.0900000000000001</v>
      </c>
      <c r="H377" s="1">
        <f ca="1">IFERROR(__xludf.DUMMYFUNCTION("""COMPUTED_VALUE"""),12)</f>
        <v>12</v>
      </c>
      <c r="I377" s="1">
        <f ca="1">IFERROR(__xludf.DUMMYFUNCTION("""COMPUTED_VALUE"""),5)</f>
        <v>5</v>
      </c>
      <c r="J377" s="1">
        <f ca="1">IFERROR(__xludf.DUMMYFUNCTION("""COMPUTED_VALUE"""),12)</f>
        <v>12</v>
      </c>
      <c r="K377" s="1">
        <f ca="1">IFERROR(__xludf.DUMMYFUNCTION("""COMPUTED_VALUE"""),2)</f>
        <v>2</v>
      </c>
      <c r="L377" s="1">
        <f ca="1">IFERROR(__xludf.DUMMYFUNCTION("""COMPUTED_VALUE"""),5)</f>
        <v>5</v>
      </c>
      <c r="M377" s="1">
        <f ca="1">IFERROR(__xludf.DUMMYFUNCTION("""COMPUTED_VALUE"""),6)</f>
        <v>6</v>
      </c>
      <c r="N377" s="1">
        <f ca="1">IFERROR(__xludf.DUMMYFUNCTION("""COMPUTED_VALUE"""),2206)</f>
        <v>2206</v>
      </c>
      <c r="O377" s="1">
        <f ca="1">IFERROR(__xludf.DUMMYFUNCTION("""COMPUTED_VALUE"""),2075)</f>
        <v>2075</v>
      </c>
      <c r="P377" s="1">
        <f ca="1">IFERROR(__xludf.DUMMYFUNCTION("""COMPUTED_VALUE"""),1185)</f>
        <v>1185</v>
      </c>
      <c r="Q377" s="1">
        <f ca="1">IFERROR(__xludf.DUMMYFUNCTION("""COMPUTED_VALUE"""),747)</f>
        <v>747</v>
      </c>
      <c r="R377" s="1">
        <f ca="1">IFERROR(__xludf.DUMMYFUNCTION("""COMPUTED_VALUE"""),1644)</f>
        <v>1644</v>
      </c>
      <c r="S377" s="1">
        <f ca="1">IFERROR(__xludf.DUMMYFUNCTION("""COMPUTED_VALUE"""),0.454)</f>
        <v>0.45400000000000001</v>
      </c>
      <c r="T377" s="1">
        <f ca="1">IFERROR(__xludf.DUMMYFUNCTION("""COMPUTED_VALUE"""),203)</f>
        <v>203</v>
      </c>
      <c r="U377" s="1">
        <f ca="1">IFERROR(__xludf.DUMMYFUNCTION("""COMPUTED_VALUE"""),603)</f>
        <v>603</v>
      </c>
      <c r="V377" s="1">
        <f ca="1">IFERROR(__xludf.DUMMYFUNCTION("""COMPUTED_VALUE"""),0.337)</f>
        <v>0.33700000000000002</v>
      </c>
      <c r="W377" s="1">
        <f ca="1">IFERROR(__xludf.DUMMYFUNCTION("""COMPUTED_VALUE"""),509)</f>
        <v>509</v>
      </c>
      <c r="X377" s="1">
        <f ca="1">IFERROR(__xludf.DUMMYFUNCTION("""COMPUTED_VALUE"""),648)</f>
        <v>648</v>
      </c>
      <c r="Y377" s="1">
        <f ca="1">IFERROR(__xludf.DUMMYFUNCTION("""COMPUTED_VALUE"""),0.785)</f>
        <v>0.78500000000000003</v>
      </c>
      <c r="Z377" s="1">
        <f ca="1">IFERROR(__xludf.DUMMYFUNCTION("""COMPUTED_VALUE"""),243)</f>
        <v>243</v>
      </c>
      <c r="AA377" s="1">
        <f ca="1">IFERROR(__xludf.DUMMYFUNCTION("""COMPUTED_VALUE"""),975)</f>
        <v>975</v>
      </c>
      <c r="AB377" s="1">
        <f ca="1">IFERROR(__xludf.DUMMYFUNCTION("""COMPUTED_VALUE"""),321)</f>
        <v>321</v>
      </c>
      <c r="AC377" s="1">
        <f ca="1">IFERROR(__xludf.DUMMYFUNCTION("""COMPUTED_VALUE"""),196)</f>
        <v>196</v>
      </c>
      <c r="AD377" s="1">
        <f ca="1">IFERROR(__xludf.DUMMYFUNCTION("""COMPUTED_VALUE"""),117)</f>
        <v>117</v>
      </c>
      <c r="AE377" s="1">
        <f ca="1">IFERROR(__xludf.DUMMYFUNCTION("""COMPUTED_VALUE"""),354)</f>
        <v>354</v>
      </c>
      <c r="AF377" s="1">
        <f ca="1">IFERROR(__xludf.DUMMYFUNCTION("""COMPUTED_VALUE"""),395)</f>
        <v>395</v>
      </c>
    </row>
    <row r="378" spans="1:32" x14ac:dyDescent="0.25">
      <c r="A378" s="1" t="str">
        <f ca="1">IFERROR(__xludf.DUMMYFUNCTION("""COMPUTED_VALUE"""),"Western Michigan")</f>
        <v>Western Michigan</v>
      </c>
      <c r="B378" s="1">
        <f ca="1">IFERROR(__xludf.DUMMYFUNCTION("""COMPUTED_VALUE"""),29)</f>
        <v>29</v>
      </c>
      <c r="C378" s="1">
        <f ca="1">IFERROR(__xludf.DUMMYFUNCTION("""COMPUTED_VALUE"""),12)</f>
        <v>12</v>
      </c>
      <c r="D378" s="1">
        <f ca="1">IFERROR(__xludf.DUMMYFUNCTION("""COMPUTED_VALUE"""),17)</f>
        <v>17</v>
      </c>
      <c r="E378" s="1">
        <f ca="1">IFERROR(__xludf.DUMMYFUNCTION("""COMPUTED_VALUE"""),0.414)</f>
        <v>0.41399999999999998</v>
      </c>
      <c r="F378" s="1">
        <f ca="1">IFERROR(__xludf.DUMMYFUNCTION("""COMPUTED_VALUE"""),-5.61)</f>
        <v>-5.61</v>
      </c>
      <c r="G378" s="1">
        <f ca="1">IFERROR(__xludf.DUMMYFUNCTION("""COMPUTED_VALUE"""),-0.02)</f>
        <v>-0.02</v>
      </c>
      <c r="H378" s="1">
        <f ca="1">IFERROR(__xludf.DUMMYFUNCTION("""COMPUTED_VALUE"""),5)</f>
        <v>5</v>
      </c>
      <c r="I378" s="1">
        <f ca="1">IFERROR(__xludf.DUMMYFUNCTION("""COMPUTED_VALUE"""),11)</f>
        <v>11</v>
      </c>
      <c r="J378" s="1">
        <f ca="1">IFERROR(__xludf.DUMMYFUNCTION("""COMPUTED_VALUE"""),9)</f>
        <v>9</v>
      </c>
      <c r="K378" s="1">
        <f ca="1">IFERROR(__xludf.DUMMYFUNCTION("""COMPUTED_VALUE"""),5)</f>
        <v>5</v>
      </c>
      <c r="L378" s="1">
        <f ca="1">IFERROR(__xludf.DUMMYFUNCTION("""COMPUTED_VALUE"""),3)</f>
        <v>3</v>
      </c>
      <c r="M378" s="1">
        <f ca="1">IFERROR(__xludf.DUMMYFUNCTION("""COMPUTED_VALUE"""),10)</f>
        <v>10</v>
      </c>
      <c r="N378" s="1">
        <f ca="1">IFERROR(__xludf.DUMMYFUNCTION("""COMPUTED_VALUE"""),2009)</f>
        <v>2009</v>
      </c>
      <c r="O378" s="1">
        <f ca="1">IFERROR(__xludf.DUMMYFUNCTION("""COMPUTED_VALUE"""),2091)</f>
        <v>2091</v>
      </c>
      <c r="P378" s="1">
        <f ca="1">IFERROR(__xludf.DUMMYFUNCTION("""COMPUTED_VALUE"""),1175)</f>
        <v>1175</v>
      </c>
      <c r="Q378" s="1">
        <f ca="1">IFERROR(__xludf.DUMMYFUNCTION("""COMPUTED_VALUE"""),691)</f>
        <v>691</v>
      </c>
      <c r="R378" s="1">
        <f ca="1">IFERROR(__xludf.DUMMYFUNCTION("""COMPUTED_VALUE"""),1613)</f>
        <v>1613</v>
      </c>
      <c r="S378" s="1">
        <f ca="1">IFERROR(__xludf.DUMMYFUNCTION("""COMPUTED_VALUE"""),0.428)</f>
        <v>0.42799999999999999</v>
      </c>
      <c r="T378" s="1">
        <f ca="1">IFERROR(__xludf.DUMMYFUNCTION("""COMPUTED_VALUE"""),210)</f>
        <v>210</v>
      </c>
      <c r="U378" s="1">
        <f ca="1">IFERROR(__xludf.DUMMYFUNCTION("""COMPUTED_VALUE"""),617)</f>
        <v>617</v>
      </c>
      <c r="V378" s="1">
        <f ca="1">IFERROR(__xludf.DUMMYFUNCTION("""COMPUTED_VALUE"""),0.34)</f>
        <v>0.34</v>
      </c>
      <c r="W378" s="1">
        <f ca="1">IFERROR(__xludf.DUMMYFUNCTION("""COMPUTED_VALUE"""),417)</f>
        <v>417</v>
      </c>
      <c r="X378" s="1">
        <f ca="1">IFERROR(__xludf.DUMMYFUNCTION("""COMPUTED_VALUE"""),582)</f>
        <v>582</v>
      </c>
      <c r="Y378" s="1">
        <f ca="1">IFERROR(__xludf.DUMMYFUNCTION("""COMPUTED_VALUE"""),0.716)</f>
        <v>0.71599999999999997</v>
      </c>
      <c r="Z378" s="1">
        <f ca="1">IFERROR(__xludf.DUMMYFUNCTION("""COMPUTED_VALUE"""),243)</f>
        <v>243</v>
      </c>
      <c r="AA378" s="1">
        <f ca="1">IFERROR(__xludf.DUMMYFUNCTION("""COMPUTED_VALUE"""),998)</f>
        <v>998</v>
      </c>
      <c r="AB378" s="1">
        <f ca="1">IFERROR(__xludf.DUMMYFUNCTION("""COMPUTED_VALUE"""),319)</f>
        <v>319</v>
      </c>
      <c r="AC378" s="1">
        <f ca="1">IFERROR(__xludf.DUMMYFUNCTION("""COMPUTED_VALUE"""),142)</f>
        <v>142</v>
      </c>
      <c r="AD378" s="1">
        <f ca="1">IFERROR(__xludf.DUMMYFUNCTION("""COMPUTED_VALUE"""),60)</f>
        <v>60</v>
      </c>
      <c r="AE378" s="1">
        <f ca="1">IFERROR(__xludf.DUMMYFUNCTION("""COMPUTED_VALUE"""),376)</f>
        <v>376</v>
      </c>
      <c r="AF378" s="1">
        <f ca="1">IFERROR(__xludf.DUMMYFUNCTION("""COMPUTED_VALUE"""),525)</f>
        <v>525</v>
      </c>
    </row>
    <row r="379" spans="1:32" x14ac:dyDescent="0.25">
      <c r="A379" s="1" t="str">
        <f ca="1">IFERROR(__xludf.DUMMYFUNCTION("""COMPUTED_VALUE"""),"Wichita State")</f>
        <v>Wichita State</v>
      </c>
      <c r="B379" s="1">
        <f ca="1">IFERROR(__xludf.DUMMYFUNCTION("""COMPUTED_VALUE"""),29)</f>
        <v>29</v>
      </c>
      <c r="C379" s="1">
        <f ca="1">IFERROR(__xludf.DUMMYFUNCTION("""COMPUTED_VALUE"""),22)</f>
        <v>22</v>
      </c>
      <c r="D379" s="1">
        <f ca="1">IFERROR(__xludf.DUMMYFUNCTION("""COMPUTED_VALUE"""),7)</f>
        <v>7</v>
      </c>
      <c r="E379" s="1">
        <f ca="1">IFERROR(__xludf.DUMMYFUNCTION("""COMPUTED_VALUE"""),0.759)</f>
        <v>0.75900000000000001</v>
      </c>
      <c r="F379" s="1">
        <f ca="1">IFERROR(__xludf.DUMMYFUNCTION("""COMPUTED_VALUE"""),13.52)</f>
        <v>13.52</v>
      </c>
      <c r="G379" s="1">
        <f ca="1">IFERROR(__xludf.DUMMYFUNCTION("""COMPUTED_VALUE"""),5.39)</f>
        <v>5.39</v>
      </c>
      <c r="H379" s="1">
        <f ca="1">IFERROR(__xludf.DUMMYFUNCTION("""COMPUTED_VALUE"""),10)</f>
        <v>10</v>
      </c>
      <c r="I379" s="1">
        <f ca="1">IFERROR(__xludf.DUMMYFUNCTION("""COMPUTED_VALUE"""),6)</f>
        <v>6</v>
      </c>
      <c r="J379" s="1">
        <f ca="1">IFERROR(__xludf.DUMMYFUNCTION("""COMPUTED_VALUE"""),16)</f>
        <v>16</v>
      </c>
      <c r="K379" s="1">
        <f ca="1">IFERROR(__xludf.DUMMYFUNCTION("""COMPUTED_VALUE"""),2)</f>
        <v>2</v>
      </c>
      <c r="L379" s="1">
        <f ca="1">IFERROR(__xludf.DUMMYFUNCTION("""COMPUTED_VALUE"""),5)</f>
        <v>5</v>
      </c>
      <c r="M379" s="1">
        <f ca="1">IFERROR(__xludf.DUMMYFUNCTION("""COMPUTED_VALUE"""),4)</f>
        <v>4</v>
      </c>
      <c r="N379" s="1">
        <f ca="1">IFERROR(__xludf.DUMMYFUNCTION("""COMPUTED_VALUE"""),2088)</f>
        <v>2088</v>
      </c>
      <c r="O379" s="1">
        <f ca="1">IFERROR(__xludf.DUMMYFUNCTION("""COMPUTED_VALUE"""),1852)</f>
        <v>1852</v>
      </c>
      <c r="P379" s="1">
        <f ca="1">IFERROR(__xludf.DUMMYFUNCTION("""COMPUTED_VALUE"""),1170)</f>
        <v>1170</v>
      </c>
      <c r="Q379" s="1">
        <f ca="1">IFERROR(__xludf.DUMMYFUNCTION("""COMPUTED_VALUE"""),721)</f>
        <v>721</v>
      </c>
      <c r="R379" s="1">
        <f ca="1">IFERROR(__xludf.DUMMYFUNCTION("""COMPUTED_VALUE"""),1773)</f>
        <v>1773</v>
      </c>
      <c r="S379" s="1">
        <f ca="1">IFERROR(__xludf.DUMMYFUNCTION("""COMPUTED_VALUE"""),0.407)</f>
        <v>0.40699999999999997</v>
      </c>
      <c r="T379" s="1">
        <f ca="1">IFERROR(__xludf.DUMMYFUNCTION("""COMPUTED_VALUE"""),227)</f>
        <v>227</v>
      </c>
      <c r="U379" s="1">
        <f ca="1">IFERROR(__xludf.DUMMYFUNCTION("""COMPUTED_VALUE"""),693)</f>
        <v>693</v>
      </c>
      <c r="V379" s="1">
        <f ca="1">IFERROR(__xludf.DUMMYFUNCTION("""COMPUTED_VALUE"""),0.328)</f>
        <v>0.32800000000000001</v>
      </c>
      <c r="W379" s="1">
        <f ca="1">IFERROR(__xludf.DUMMYFUNCTION("""COMPUTED_VALUE"""),419)</f>
        <v>419</v>
      </c>
      <c r="X379" s="1">
        <f ca="1">IFERROR(__xludf.DUMMYFUNCTION("""COMPUTED_VALUE"""),601)</f>
        <v>601</v>
      </c>
      <c r="Y379" s="1">
        <f ca="1">IFERROR(__xludf.DUMMYFUNCTION("""COMPUTED_VALUE"""),0.697)</f>
        <v>0.69699999999999995</v>
      </c>
      <c r="Z379" s="1">
        <f ca="1">IFERROR(__xludf.DUMMYFUNCTION("""COMPUTED_VALUE"""),356)</f>
        <v>356</v>
      </c>
      <c r="AA379" s="1">
        <f ca="1">IFERROR(__xludf.DUMMYFUNCTION("""COMPUTED_VALUE"""),1138)</f>
        <v>1138</v>
      </c>
      <c r="AB379" s="1">
        <f ca="1">IFERROR(__xludf.DUMMYFUNCTION("""COMPUTED_VALUE"""),417)</f>
        <v>417</v>
      </c>
      <c r="AC379" s="1">
        <f ca="1">IFERROR(__xludf.DUMMYFUNCTION("""COMPUTED_VALUE"""),207)</f>
        <v>207</v>
      </c>
      <c r="AD379" s="1">
        <f ca="1">IFERROR(__xludf.DUMMYFUNCTION("""COMPUTED_VALUE"""),110)</f>
        <v>110</v>
      </c>
      <c r="AE379" s="1">
        <f ca="1">IFERROR(__xludf.DUMMYFUNCTION("""COMPUTED_VALUE"""),371)</f>
        <v>371</v>
      </c>
      <c r="AF379" s="1">
        <f ca="1">IFERROR(__xludf.DUMMYFUNCTION("""COMPUTED_VALUE"""),537)</f>
        <v>537</v>
      </c>
    </row>
    <row r="380" spans="1:32" x14ac:dyDescent="0.25">
      <c r="A380" s="1" t="str">
        <f ca="1">IFERROR(__xludf.DUMMYFUNCTION("""COMPUTED_VALUE"""),"William &amp; Mary")</f>
        <v>William &amp; Mary</v>
      </c>
      <c r="B380" s="1">
        <f ca="1">IFERROR(__xludf.DUMMYFUNCTION("""COMPUTED_VALUE"""),31)</f>
        <v>31</v>
      </c>
      <c r="C380" s="1">
        <f ca="1">IFERROR(__xludf.DUMMYFUNCTION("""COMPUTED_VALUE"""),21)</f>
        <v>21</v>
      </c>
      <c r="D380" s="1">
        <f ca="1">IFERROR(__xludf.DUMMYFUNCTION("""COMPUTED_VALUE"""),10)</f>
        <v>10</v>
      </c>
      <c r="E380" s="1">
        <f ca="1">IFERROR(__xludf.DUMMYFUNCTION("""COMPUTED_VALUE"""),0.677)</f>
        <v>0.67700000000000005</v>
      </c>
      <c r="F380" s="1">
        <f ca="1">IFERROR(__xludf.DUMMYFUNCTION("""COMPUTED_VALUE"""),-2.04)</f>
        <v>-2.04</v>
      </c>
      <c r="G380" s="1">
        <f ca="1">IFERROR(__xludf.DUMMYFUNCTION("""COMPUTED_VALUE"""),-2.87)</f>
        <v>-2.87</v>
      </c>
      <c r="H380" s="1">
        <f ca="1">IFERROR(__xludf.DUMMYFUNCTION("""COMPUTED_VALUE"""),13)</f>
        <v>13</v>
      </c>
      <c r="I380" s="1">
        <f ca="1">IFERROR(__xludf.DUMMYFUNCTION("""COMPUTED_VALUE"""),5)</f>
        <v>5</v>
      </c>
      <c r="J380" s="1">
        <f ca="1">IFERROR(__xludf.DUMMYFUNCTION("""COMPUTED_VALUE"""),11)</f>
        <v>11</v>
      </c>
      <c r="K380" s="1">
        <f ca="1">IFERROR(__xludf.DUMMYFUNCTION("""COMPUTED_VALUE"""),2)</f>
        <v>2</v>
      </c>
      <c r="L380" s="1">
        <f ca="1">IFERROR(__xludf.DUMMYFUNCTION("""COMPUTED_VALUE"""),10)</f>
        <v>10</v>
      </c>
      <c r="M380" s="1">
        <f ca="1">IFERROR(__xludf.DUMMYFUNCTION("""COMPUTED_VALUE"""),7)</f>
        <v>7</v>
      </c>
      <c r="N380" s="1">
        <f ca="1">IFERROR(__xludf.DUMMYFUNCTION("""COMPUTED_VALUE"""),2225)</f>
        <v>2225</v>
      </c>
      <c r="O380" s="1">
        <f ca="1">IFERROR(__xludf.DUMMYFUNCTION("""COMPUTED_VALUE"""),2140)</f>
        <v>2140</v>
      </c>
      <c r="P380" s="1">
        <f ca="1">IFERROR(__xludf.DUMMYFUNCTION("""COMPUTED_VALUE"""),1240)</f>
        <v>1240</v>
      </c>
      <c r="Q380" s="1">
        <f ca="1">IFERROR(__xludf.DUMMYFUNCTION("""COMPUTED_VALUE"""),801)</f>
        <v>801</v>
      </c>
      <c r="R380" s="1">
        <f ca="1">IFERROR(__xludf.DUMMYFUNCTION("""COMPUTED_VALUE"""),1719)</f>
        <v>1719</v>
      </c>
      <c r="S380" s="1">
        <f ca="1">IFERROR(__xludf.DUMMYFUNCTION("""COMPUTED_VALUE"""),0.466)</f>
        <v>0.46600000000000003</v>
      </c>
      <c r="T380" s="1">
        <f ca="1">IFERROR(__xludf.DUMMYFUNCTION("""COMPUTED_VALUE"""),231)</f>
        <v>231</v>
      </c>
      <c r="U380" s="1">
        <f ca="1">IFERROR(__xludf.DUMMYFUNCTION("""COMPUTED_VALUE"""),667)</f>
        <v>667</v>
      </c>
      <c r="V380" s="1">
        <f ca="1">IFERROR(__xludf.DUMMYFUNCTION("""COMPUTED_VALUE"""),0.346)</f>
        <v>0.34599999999999997</v>
      </c>
      <c r="W380" s="1">
        <f ca="1">IFERROR(__xludf.DUMMYFUNCTION("""COMPUTED_VALUE"""),392)</f>
        <v>392</v>
      </c>
      <c r="X380" s="1">
        <f ca="1">IFERROR(__xludf.DUMMYFUNCTION("""COMPUTED_VALUE"""),527)</f>
        <v>527</v>
      </c>
      <c r="Y380" s="1">
        <f ca="1">IFERROR(__xludf.DUMMYFUNCTION("""COMPUTED_VALUE"""),0.744)</f>
        <v>0.74399999999999999</v>
      </c>
      <c r="Z380" s="1">
        <f ca="1">IFERROR(__xludf.DUMMYFUNCTION("""COMPUTED_VALUE"""),257)</f>
        <v>257</v>
      </c>
      <c r="AA380" s="1">
        <f ca="1">IFERROR(__xludf.DUMMYFUNCTION("""COMPUTED_VALUE"""),1117)</f>
        <v>1117</v>
      </c>
      <c r="AB380" s="1">
        <f ca="1">IFERROR(__xludf.DUMMYFUNCTION("""COMPUTED_VALUE"""),424)</f>
        <v>424</v>
      </c>
      <c r="AC380" s="1">
        <f ca="1">IFERROR(__xludf.DUMMYFUNCTION("""COMPUTED_VALUE"""),135)</f>
        <v>135</v>
      </c>
      <c r="AD380" s="1">
        <f ca="1">IFERROR(__xludf.DUMMYFUNCTION("""COMPUTED_VALUE"""),123)</f>
        <v>123</v>
      </c>
      <c r="AE380" s="1">
        <f ca="1">IFERROR(__xludf.DUMMYFUNCTION("""COMPUTED_VALUE"""),394)</f>
        <v>394</v>
      </c>
      <c r="AF380" s="1">
        <f ca="1">IFERROR(__xludf.DUMMYFUNCTION("""COMPUTED_VALUE"""),482)</f>
        <v>482</v>
      </c>
    </row>
    <row r="381" spans="1:32" x14ac:dyDescent="0.25">
      <c r="A381" s="1" t="str">
        <f ca="1">IFERROR(__xludf.DUMMYFUNCTION("""COMPUTED_VALUE"""),"Winthrop")</f>
        <v>Winthrop</v>
      </c>
      <c r="B381" s="1">
        <f ca="1">IFERROR(__xludf.DUMMYFUNCTION("""COMPUTED_VALUE"""),31)</f>
        <v>31</v>
      </c>
      <c r="C381" s="1">
        <f ca="1">IFERROR(__xludf.DUMMYFUNCTION("""COMPUTED_VALUE"""),21)</f>
        <v>21</v>
      </c>
      <c r="D381" s="1">
        <f ca="1">IFERROR(__xludf.DUMMYFUNCTION("""COMPUTED_VALUE"""),10)</f>
        <v>10</v>
      </c>
      <c r="E381" s="1">
        <f ca="1">IFERROR(__xludf.DUMMYFUNCTION("""COMPUTED_VALUE"""),0.677)</f>
        <v>0.67700000000000005</v>
      </c>
      <c r="F381" s="1">
        <f ca="1">IFERROR(__xludf.DUMMYFUNCTION("""COMPUTED_VALUE"""),0.53)</f>
        <v>0.53</v>
      </c>
      <c r="G381" s="1">
        <f ca="1">IFERROR(__xludf.DUMMYFUNCTION("""COMPUTED_VALUE"""),-6.03)</f>
        <v>-6.03</v>
      </c>
      <c r="H381" s="1">
        <f ca="1">IFERROR(__xludf.DUMMYFUNCTION("""COMPUTED_VALUE"""),15)</f>
        <v>15</v>
      </c>
      <c r="I381" s="1">
        <f ca="1">IFERROR(__xludf.DUMMYFUNCTION("""COMPUTED_VALUE"""),3)</f>
        <v>3</v>
      </c>
      <c r="J381" s="1">
        <f ca="1">IFERROR(__xludf.DUMMYFUNCTION("""COMPUTED_VALUE"""),11)</f>
        <v>11</v>
      </c>
      <c r="K381" s="1">
        <f ca="1">IFERROR(__xludf.DUMMYFUNCTION("""COMPUTED_VALUE"""),4)</f>
        <v>4</v>
      </c>
      <c r="L381" s="1">
        <f ca="1">IFERROR(__xludf.DUMMYFUNCTION("""COMPUTED_VALUE"""),10)</f>
        <v>10</v>
      </c>
      <c r="M381" s="1">
        <f ca="1">IFERROR(__xludf.DUMMYFUNCTION("""COMPUTED_VALUE"""),6)</f>
        <v>6</v>
      </c>
      <c r="N381" s="1">
        <f ca="1">IFERROR(__xludf.DUMMYFUNCTION("""COMPUTED_VALUE"""),2505)</f>
        <v>2505</v>
      </c>
      <c r="O381" s="1">
        <f ca="1">IFERROR(__xludf.DUMMYFUNCTION("""COMPUTED_VALUE"""),2227)</f>
        <v>2227</v>
      </c>
      <c r="P381" s="1">
        <f ca="1">IFERROR(__xludf.DUMMYFUNCTION("""COMPUTED_VALUE"""),1255)</f>
        <v>1255</v>
      </c>
      <c r="Q381" s="1">
        <f ca="1">IFERROR(__xludf.DUMMYFUNCTION("""COMPUTED_VALUE"""),892)</f>
        <v>892</v>
      </c>
      <c r="R381" s="1">
        <f ca="1">IFERROR(__xludf.DUMMYFUNCTION("""COMPUTED_VALUE"""),1944)</f>
        <v>1944</v>
      </c>
      <c r="S381" s="1">
        <f ca="1">IFERROR(__xludf.DUMMYFUNCTION("""COMPUTED_VALUE"""),0.459)</f>
        <v>0.45900000000000002</v>
      </c>
      <c r="T381" s="1">
        <f ca="1">IFERROR(__xludf.DUMMYFUNCTION("""COMPUTED_VALUE"""),293)</f>
        <v>293</v>
      </c>
      <c r="U381" s="1">
        <f ca="1">IFERROR(__xludf.DUMMYFUNCTION("""COMPUTED_VALUE"""),855)</f>
        <v>855</v>
      </c>
      <c r="V381" s="1">
        <f ca="1">IFERROR(__xludf.DUMMYFUNCTION("""COMPUTED_VALUE"""),0.343)</f>
        <v>0.34300000000000003</v>
      </c>
      <c r="W381" s="1">
        <f ca="1">IFERROR(__xludf.DUMMYFUNCTION("""COMPUTED_VALUE"""),428)</f>
        <v>428</v>
      </c>
      <c r="X381" s="1">
        <f ca="1">IFERROR(__xludf.DUMMYFUNCTION("""COMPUTED_VALUE"""),674)</f>
        <v>674</v>
      </c>
      <c r="Y381" s="1">
        <f ca="1">IFERROR(__xludf.DUMMYFUNCTION("""COMPUTED_VALUE"""),0.635)</f>
        <v>0.63500000000000001</v>
      </c>
      <c r="Z381" s="1">
        <f ca="1">IFERROR(__xludf.DUMMYFUNCTION("""COMPUTED_VALUE"""),422)</f>
        <v>422</v>
      </c>
      <c r="AA381" s="1">
        <f ca="1">IFERROR(__xludf.DUMMYFUNCTION("""COMPUTED_VALUE"""),1260)</f>
        <v>1260</v>
      </c>
      <c r="AB381" s="1">
        <f ca="1">IFERROR(__xludf.DUMMYFUNCTION("""COMPUTED_VALUE"""),503)</f>
        <v>503</v>
      </c>
      <c r="AC381" s="1">
        <f ca="1">IFERROR(__xludf.DUMMYFUNCTION("""COMPUTED_VALUE"""),209)</f>
        <v>209</v>
      </c>
      <c r="AD381" s="1">
        <f ca="1">IFERROR(__xludf.DUMMYFUNCTION("""COMPUTED_VALUE"""),77)</f>
        <v>77</v>
      </c>
      <c r="AE381" s="1">
        <f ca="1">IFERROR(__xludf.DUMMYFUNCTION("""COMPUTED_VALUE"""),436)</f>
        <v>436</v>
      </c>
      <c r="AF381" s="1">
        <f ca="1">IFERROR(__xludf.DUMMYFUNCTION("""COMPUTED_VALUE"""),623)</f>
        <v>623</v>
      </c>
    </row>
    <row r="382" spans="1:32" x14ac:dyDescent="0.25">
      <c r="A382" s="1" t="str">
        <f ca="1">IFERROR(__xludf.DUMMYFUNCTION("""COMPUTED_VALUE"""),"Wisconsin")</f>
        <v>Wisconsin</v>
      </c>
      <c r="B382" s="1">
        <f ca="1">IFERROR(__xludf.DUMMYFUNCTION("""COMPUTED_VALUE"""),29)</f>
        <v>29</v>
      </c>
      <c r="C382" s="1">
        <f ca="1">IFERROR(__xludf.DUMMYFUNCTION("""COMPUTED_VALUE"""),19)</f>
        <v>19</v>
      </c>
      <c r="D382" s="1">
        <f ca="1">IFERROR(__xludf.DUMMYFUNCTION("""COMPUTED_VALUE"""),10)</f>
        <v>10</v>
      </c>
      <c r="E382" s="1">
        <f ca="1">IFERROR(__xludf.DUMMYFUNCTION("""COMPUTED_VALUE"""),0.655)</f>
        <v>0.65500000000000003</v>
      </c>
      <c r="F382" s="1">
        <f ca="1">IFERROR(__xludf.DUMMYFUNCTION("""COMPUTED_VALUE"""),15.75)</f>
        <v>15.75</v>
      </c>
      <c r="G382" s="1">
        <f ca="1">IFERROR(__xludf.DUMMYFUNCTION("""COMPUTED_VALUE"""),11.06)</f>
        <v>11.06</v>
      </c>
      <c r="H382" s="1">
        <f ca="1">IFERROR(__xludf.DUMMYFUNCTION("""COMPUTED_VALUE"""),12)</f>
        <v>12</v>
      </c>
      <c r="I382" s="1">
        <f ca="1">IFERROR(__xludf.DUMMYFUNCTION("""COMPUTED_VALUE"""),6)</f>
        <v>6</v>
      </c>
      <c r="J382" s="1">
        <f ca="1">IFERROR(__xludf.DUMMYFUNCTION("""COMPUTED_VALUE"""),14)</f>
        <v>14</v>
      </c>
      <c r="K382" s="1">
        <f ca="1">IFERROR(__xludf.DUMMYFUNCTION("""COMPUTED_VALUE"""),1)</f>
        <v>1</v>
      </c>
      <c r="L382" s="1">
        <f ca="1">IFERROR(__xludf.DUMMYFUNCTION("""COMPUTED_VALUE"""),5)</f>
        <v>5</v>
      </c>
      <c r="M382" s="1">
        <f ca="1">IFERROR(__xludf.DUMMYFUNCTION("""COMPUTED_VALUE"""),6)</f>
        <v>6</v>
      </c>
      <c r="N382" s="1">
        <f ca="1">IFERROR(__xludf.DUMMYFUNCTION("""COMPUTED_VALUE"""),1959)</f>
        <v>1959</v>
      </c>
      <c r="O382" s="1">
        <f ca="1">IFERROR(__xludf.DUMMYFUNCTION("""COMPUTED_VALUE"""),1823)</f>
        <v>1823</v>
      </c>
      <c r="P382" s="1">
        <f ca="1">IFERROR(__xludf.DUMMYFUNCTION("""COMPUTED_VALUE"""),1165)</f>
        <v>1165</v>
      </c>
      <c r="Q382" s="1">
        <f ca="1">IFERROR(__xludf.DUMMYFUNCTION("""COMPUTED_VALUE"""),685)</f>
        <v>685</v>
      </c>
      <c r="R382" s="1">
        <f ca="1">IFERROR(__xludf.DUMMYFUNCTION("""COMPUTED_VALUE"""),1606)</f>
        <v>1606</v>
      </c>
      <c r="S382" s="1">
        <f ca="1">IFERROR(__xludf.DUMMYFUNCTION("""COMPUTED_VALUE"""),0.427)</f>
        <v>0.42699999999999999</v>
      </c>
      <c r="T382" s="1">
        <f ca="1">IFERROR(__xludf.DUMMYFUNCTION("""COMPUTED_VALUE"""),252)</f>
        <v>252</v>
      </c>
      <c r="U382" s="1">
        <f ca="1">IFERROR(__xludf.DUMMYFUNCTION("""COMPUTED_VALUE"""),717)</f>
        <v>717</v>
      </c>
      <c r="V382" s="1">
        <f ca="1">IFERROR(__xludf.DUMMYFUNCTION("""COMPUTED_VALUE"""),0.351)</f>
        <v>0.35099999999999998</v>
      </c>
      <c r="W382" s="1">
        <f ca="1">IFERROR(__xludf.DUMMYFUNCTION("""COMPUTED_VALUE"""),337)</f>
        <v>337</v>
      </c>
      <c r="X382" s="1">
        <f ca="1">IFERROR(__xludf.DUMMYFUNCTION("""COMPUTED_VALUE"""),440)</f>
        <v>440</v>
      </c>
      <c r="Y382" s="1">
        <f ca="1">IFERROR(__xludf.DUMMYFUNCTION("""COMPUTED_VALUE"""),0.766)</f>
        <v>0.76600000000000001</v>
      </c>
      <c r="Z382" s="1">
        <f ca="1">IFERROR(__xludf.DUMMYFUNCTION("""COMPUTED_VALUE"""),237)</f>
        <v>237</v>
      </c>
      <c r="AA382" s="1">
        <f ca="1">IFERROR(__xludf.DUMMYFUNCTION("""COMPUTED_VALUE"""),976)</f>
        <v>976</v>
      </c>
      <c r="AB382" s="1">
        <f ca="1">IFERROR(__xludf.DUMMYFUNCTION("""COMPUTED_VALUE"""),353)</f>
        <v>353</v>
      </c>
      <c r="AC382" s="1">
        <f ca="1">IFERROR(__xludf.DUMMYFUNCTION("""COMPUTED_VALUE"""),130)</f>
        <v>130</v>
      </c>
      <c r="AD382" s="1">
        <f ca="1">IFERROR(__xludf.DUMMYFUNCTION("""COMPUTED_VALUE"""),108)</f>
        <v>108</v>
      </c>
      <c r="AE382" s="1">
        <f ca="1">IFERROR(__xludf.DUMMYFUNCTION("""COMPUTED_VALUE"""),291)</f>
        <v>291</v>
      </c>
      <c r="AF382" s="1">
        <f ca="1">IFERROR(__xludf.DUMMYFUNCTION("""COMPUTED_VALUE"""),446)</f>
        <v>446</v>
      </c>
    </row>
    <row r="383" spans="1:32" x14ac:dyDescent="0.25">
      <c r="A383" s="1" t="str">
        <f ca="1">IFERROR(__xludf.DUMMYFUNCTION("""COMPUTED_VALUE"""),"Wofford")</f>
        <v>Wofford</v>
      </c>
      <c r="B383" s="1">
        <f ca="1">IFERROR(__xludf.DUMMYFUNCTION("""COMPUTED_VALUE"""),31)</f>
        <v>31</v>
      </c>
      <c r="C383" s="1">
        <f ca="1">IFERROR(__xludf.DUMMYFUNCTION("""COMPUTED_VALUE"""),16)</f>
        <v>16</v>
      </c>
      <c r="D383" s="1">
        <f ca="1">IFERROR(__xludf.DUMMYFUNCTION("""COMPUTED_VALUE"""),15)</f>
        <v>15</v>
      </c>
      <c r="E383" s="1">
        <f ca="1">IFERROR(__xludf.DUMMYFUNCTION("""COMPUTED_VALUE"""),0.516)</f>
        <v>0.51600000000000001</v>
      </c>
      <c r="F383" s="1">
        <f ca="1">IFERROR(__xludf.DUMMYFUNCTION("""COMPUTED_VALUE"""),-0.24)</f>
        <v>-0.24</v>
      </c>
      <c r="G383" s="1">
        <f ca="1">IFERROR(__xludf.DUMMYFUNCTION("""COMPUTED_VALUE"""),-1.65)</f>
        <v>-1.65</v>
      </c>
      <c r="H383" s="1">
        <f ca="1">IFERROR(__xludf.DUMMYFUNCTION("""COMPUTED_VALUE"""),8)</f>
        <v>8</v>
      </c>
      <c r="I383" s="1">
        <f ca="1">IFERROR(__xludf.DUMMYFUNCTION("""COMPUTED_VALUE"""),10)</f>
        <v>10</v>
      </c>
      <c r="J383" s="1">
        <f ca="1">IFERROR(__xludf.DUMMYFUNCTION("""COMPUTED_VALUE"""),10)</f>
        <v>10</v>
      </c>
      <c r="K383" s="1">
        <f ca="1">IFERROR(__xludf.DUMMYFUNCTION("""COMPUTED_VALUE"""),5)</f>
        <v>5</v>
      </c>
      <c r="L383" s="1">
        <f ca="1">IFERROR(__xludf.DUMMYFUNCTION("""COMPUTED_VALUE"""),6)</f>
        <v>6</v>
      </c>
      <c r="M383" s="1">
        <f ca="1">IFERROR(__xludf.DUMMYFUNCTION("""COMPUTED_VALUE"""),10)</f>
        <v>10</v>
      </c>
      <c r="N383" s="1">
        <f ca="1">IFERROR(__xludf.DUMMYFUNCTION("""COMPUTED_VALUE"""),2223)</f>
        <v>2223</v>
      </c>
      <c r="O383" s="1">
        <f ca="1">IFERROR(__xludf.DUMMYFUNCTION("""COMPUTED_VALUE"""),2113)</f>
        <v>2113</v>
      </c>
      <c r="P383" s="1">
        <f ca="1">IFERROR(__xludf.DUMMYFUNCTION("""COMPUTED_VALUE"""),1255)</f>
        <v>1255</v>
      </c>
      <c r="Q383" s="1">
        <f ca="1">IFERROR(__xludf.DUMMYFUNCTION("""COMPUTED_VALUE"""),802)</f>
        <v>802</v>
      </c>
      <c r="R383" s="1">
        <f ca="1">IFERROR(__xludf.DUMMYFUNCTION("""COMPUTED_VALUE"""),1753)</f>
        <v>1753</v>
      </c>
      <c r="S383" s="1">
        <f ca="1">IFERROR(__xludf.DUMMYFUNCTION("""COMPUTED_VALUE"""),0.458)</f>
        <v>0.45800000000000002</v>
      </c>
      <c r="T383" s="1">
        <f ca="1">IFERROR(__xludf.DUMMYFUNCTION("""COMPUTED_VALUE"""),294)</f>
        <v>294</v>
      </c>
      <c r="U383" s="1">
        <f ca="1">IFERROR(__xludf.DUMMYFUNCTION("""COMPUTED_VALUE"""),849)</f>
        <v>849</v>
      </c>
      <c r="V383" s="1">
        <f ca="1">IFERROR(__xludf.DUMMYFUNCTION("""COMPUTED_VALUE"""),0.346)</f>
        <v>0.34599999999999997</v>
      </c>
      <c r="W383" s="1">
        <f ca="1">IFERROR(__xludf.DUMMYFUNCTION("""COMPUTED_VALUE"""),325)</f>
        <v>325</v>
      </c>
      <c r="X383" s="1">
        <f ca="1">IFERROR(__xludf.DUMMYFUNCTION("""COMPUTED_VALUE"""),454)</f>
        <v>454</v>
      </c>
      <c r="Y383" s="1">
        <f ca="1">IFERROR(__xludf.DUMMYFUNCTION("""COMPUTED_VALUE"""),0.716)</f>
        <v>0.71599999999999997</v>
      </c>
      <c r="Z383" s="1">
        <f ca="1">IFERROR(__xludf.DUMMYFUNCTION("""COMPUTED_VALUE"""),241)</f>
        <v>241</v>
      </c>
      <c r="AA383" s="1">
        <f ca="1">IFERROR(__xludf.DUMMYFUNCTION("""COMPUTED_VALUE"""),958)</f>
        <v>958</v>
      </c>
      <c r="AB383" s="1">
        <f ca="1">IFERROR(__xludf.DUMMYFUNCTION("""COMPUTED_VALUE"""),414)</f>
        <v>414</v>
      </c>
      <c r="AC383" s="1">
        <f ca="1">IFERROR(__xludf.DUMMYFUNCTION("""COMPUTED_VALUE"""),180)</f>
        <v>180</v>
      </c>
      <c r="AD383" s="1">
        <f ca="1">IFERROR(__xludf.DUMMYFUNCTION("""COMPUTED_VALUE"""),82)</f>
        <v>82</v>
      </c>
      <c r="AE383" s="1">
        <f ca="1">IFERROR(__xludf.DUMMYFUNCTION("""COMPUTED_VALUE"""),373)</f>
        <v>373</v>
      </c>
      <c r="AF383" s="1">
        <f ca="1">IFERROR(__xludf.DUMMYFUNCTION("""COMPUTED_VALUE"""),526)</f>
        <v>526</v>
      </c>
    </row>
    <row r="384" spans="1:32" x14ac:dyDescent="0.25">
      <c r="A384" s="1" t="str">
        <f ca="1">IFERROR(__xludf.DUMMYFUNCTION("""COMPUTED_VALUE"""),"Wright State")</f>
        <v>Wright State</v>
      </c>
      <c r="B384" s="1">
        <f ca="1">IFERROR(__xludf.DUMMYFUNCTION("""COMPUTED_VALUE"""),31)</f>
        <v>31</v>
      </c>
      <c r="C384" s="1">
        <f ca="1">IFERROR(__xludf.DUMMYFUNCTION("""COMPUTED_VALUE"""),25)</f>
        <v>25</v>
      </c>
      <c r="D384" s="1">
        <f ca="1">IFERROR(__xludf.DUMMYFUNCTION("""COMPUTED_VALUE"""),6)</f>
        <v>6</v>
      </c>
      <c r="E384" s="1">
        <f ca="1">IFERROR(__xludf.DUMMYFUNCTION("""COMPUTED_VALUE"""),0.806)</f>
        <v>0.80600000000000005</v>
      </c>
      <c r="F384" s="1">
        <f ca="1">IFERROR(__xludf.DUMMYFUNCTION("""COMPUTED_VALUE"""),3.13)</f>
        <v>3.13</v>
      </c>
      <c r="G384" s="1">
        <f ca="1">IFERROR(__xludf.DUMMYFUNCTION("""COMPUTED_VALUE"""),-6.42)</f>
        <v>-6.42</v>
      </c>
      <c r="H384" s="1">
        <f ca="1">IFERROR(__xludf.DUMMYFUNCTION("""COMPUTED_VALUE"""),15)</f>
        <v>15</v>
      </c>
      <c r="I384" s="1">
        <f ca="1">IFERROR(__xludf.DUMMYFUNCTION("""COMPUTED_VALUE"""),3)</f>
        <v>3</v>
      </c>
      <c r="J384" s="1">
        <f ca="1">IFERROR(__xludf.DUMMYFUNCTION("""COMPUTED_VALUE"""),14)</f>
        <v>14</v>
      </c>
      <c r="K384" s="1">
        <f ca="1">IFERROR(__xludf.DUMMYFUNCTION("""COMPUTED_VALUE"""),2)</f>
        <v>2</v>
      </c>
      <c r="L384" s="1">
        <f ca="1">IFERROR(__xludf.DUMMYFUNCTION("""COMPUTED_VALUE"""),9)</f>
        <v>9</v>
      </c>
      <c r="M384" s="1">
        <f ca="1">IFERROR(__xludf.DUMMYFUNCTION("""COMPUTED_VALUE"""),3)</f>
        <v>3</v>
      </c>
      <c r="N384" s="1">
        <f ca="1">IFERROR(__xludf.DUMMYFUNCTION("""COMPUTED_VALUE"""),2524)</f>
        <v>2524</v>
      </c>
      <c r="O384" s="1">
        <f ca="1">IFERROR(__xludf.DUMMYFUNCTION("""COMPUTED_VALUE"""),2191)</f>
        <v>2191</v>
      </c>
      <c r="P384" s="1">
        <f ca="1">IFERROR(__xludf.DUMMYFUNCTION("""COMPUTED_VALUE"""),1255)</f>
        <v>1255</v>
      </c>
      <c r="Q384" s="1">
        <f ca="1">IFERROR(__xludf.DUMMYFUNCTION("""COMPUTED_VALUE"""),900)</f>
        <v>900</v>
      </c>
      <c r="R384" s="1">
        <f ca="1">IFERROR(__xludf.DUMMYFUNCTION("""COMPUTED_VALUE"""),1950)</f>
        <v>1950</v>
      </c>
      <c r="S384" s="1">
        <f ca="1">IFERROR(__xludf.DUMMYFUNCTION("""COMPUTED_VALUE"""),0.462)</f>
        <v>0.46200000000000002</v>
      </c>
      <c r="T384" s="1">
        <f ca="1">IFERROR(__xludf.DUMMYFUNCTION("""COMPUTED_VALUE"""),240)</f>
        <v>240</v>
      </c>
      <c r="U384" s="1">
        <f ca="1">IFERROR(__xludf.DUMMYFUNCTION("""COMPUTED_VALUE"""),656)</f>
        <v>656</v>
      </c>
      <c r="V384" s="1">
        <f ca="1">IFERROR(__xludf.DUMMYFUNCTION("""COMPUTED_VALUE"""),0.366)</f>
        <v>0.36599999999999999</v>
      </c>
      <c r="W384" s="1">
        <f ca="1">IFERROR(__xludf.DUMMYFUNCTION("""COMPUTED_VALUE"""),484)</f>
        <v>484</v>
      </c>
      <c r="X384" s="1">
        <f ca="1">IFERROR(__xludf.DUMMYFUNCTION("""COMPUTED_VALUE"""),712)</f>
        <v>712</v>
      </c>
      <c r="Y384" s="1">
        <f ca="1">IFERROR(__xludf.DUMMYFUNCTION("""COMPUTED_VALUE"""),0.68)</f>
        <v>0.68</v>
      </c>
      <c r="Z384" s="1">
        <f ca="1">IFERROR(__xludf.DUMMYFUNCTION("""COMPUTED_VALUE"""),377)</f>
        <v>377</v>
      </c>
      <c r="AA384" s="1">
        <f ca="1">IFERROR(__xludf.DUMMYFUNCTION("""COMPUTED_VALUE"""),1246)</f>
        <v>1246</v>
      </c>
      <c r="AB384" s="1">
        <f ca="1">IFERROR(__xludf.DUMMYFUNCTION("""COMPUTED_VALUE"""),432)</f>
        <v>432</v>
      </c>
      <c r="AC384" s="1">
        <f ca="1">IFERROR(__xludf.DUMMYFUNCTION("""COMPUTED_VALUE"""),201)</f>
        <v>201</v>
      </c>
      <c r="AD384" s="1">
        <f ca="1">IFERROR(__xludf.DUMMYFUNCTION("""COMPUTED_VALUE"""),109)</f>
        <v>109</v>
      </c>
      <c r="AE384" s="1">
        <f ca="1">IFERROR(__xludf.DUMMYFUNCTION("""COMPUTED_VALUE"""),386)</f>
        <v>386</v>
      </c>
      <c r="AF384" s="1">
        <f ca="1">IFERROR(__xludf.DUMMYFUNCTION("""COMPUTED_VALUE"""),503)</f>
        <v>503</v>
      </c>
    </row>
    <row r="385" spans="1:32" x14ac:dyDescent="0.25">
      <c r="A385" s="1" t="str">
        <f ca="1">IFERROR(__xludf.DUMMYFUNCTION("""COMPUTED_VALUE"""),"Wyoming")</f>
        <v>Wyoming</v>
      </c>
      <c r="B385" s="1">
        <f ca="1">IFERROR(__xludf.DUMMYFUNCTION("""COMPUTED_VALUE"""),30)</f>
        <v>30</v>
      </c>
      <c r="C385" s="1">
        <f ca="1">IFERROR(__xludf.DUMMYFUNCTION("""COMPUTED_VALUE"""),7)</f>
        <v>7</v>
      </c>
      <c r="D385" s="1">
        <f ca="1">IFERROR(__xludf.DUMMYFUNCTION("""COMPUTED_VALUE"""),23)</f>
        <v>23</v>
      </c>
      <c r="E385" s="1">
        <f ca="1">IFERROR(__xludf.DUMMYFUNCTION("""COMPUTED_VALUE"""),0.233)</f>
        <v>0.23300000000000001</v>
      </c>
      <c r="F385" s="1">
        <f ca="1">IFERROR(__xludf.DUMMYFUNCTION("""COMPUTED_VALUE"""),-4.32)</f>
        <v>-4.32</v>
      </c>
      <c r="G385" s="1">
        <f ca="1">IFERROR(__xludf.DUMMYFUNCTION("""COMPUTED_VALUE"""),4.44)</f>
        <v>4.4400000000000004</v>
      </c>
      <c r="H385" s="1">
        <f ca="1">IFERROR(__xludf.DUMMYFUNCTION("""COMPUTED_VALUE"""),2)</f>
        <v>2</v>
      </c>
      <c r="I385" s="1">
        <f ca="1">IFERROR(__xludf.DUMMYFUNCTION("""COMPUTED_VALUE"""),16)</f>
        <v>16</v>
      </c>
      <c r="J385" s="1">
        <f ca="1">IFERROR(__xludf.DUMMYFUNCTION("""COMPUTED_VALUE"""),4)</f>
        <v>4</v>
      </c>
      <c r="K385" s="1">
        <f ca="1">IFERROR(__xludf.DUMMYFUNCTION("""COMPUTED_VALUE"""),13)</f>
        <v>13</v>
      </c>
      <c r="L385" s="1">
        <f ca="1">IFERROR(__xludf.DUMMYFUNCTION("""COMPUTED_VALUE"""),3)</f>
        <v>3</v>
      </c>
      <c r="M385" s="1">
        <f ca="1">IFERROR(__xludf.DUMMYFUNCTION("""COMPUTED_VALUE"""),8)</f>
        <v>8</v>
      </c>
      <c r="N385" s="1">
        <f ca="1">IFERROR(__xludf.DUMMYFUNCTION("""COMPUTED_VALUE"""),1834)</f>
        <v>1834</v>
      </c>
      <c r="O385" s="1">
        <f ca="1">IFERROR(__xludf.DUMMYFUNCTION("""COMPUTED_VALUE"""),2074)</f>
        <v>2074</v>
      </c>
      <c r="P385" s="1">
        <f ca="1">IFERROR(__xludf.DUMMYFUNCTION("""COMPUTED_VALUE"""),1215)</f>
        <v>1215</v>
      </c>
      <c r="Q385" s="1">
        <f ca="1">IFERROR(__xludf.DUMMYFUNCTION("""COMPUTED_VALUE"""),636)</f>
        <v>636</v>
      </c>
      <c r="R385" s="1">
        <f ca="1">IFERROR(__xludf.DUMMYFUNCTION("""COMPUTED_VALUE"""),1559)</f>
        <v>1559</v>
      </c>
      <c r="S385" s="1">
        <f ca="1">IFERROR(__xludf.DUMMYFUNCTION("""COMPUTED_VALUE"""),0.408)</f>
        <v>0.40799999999999997</v>
      </c>
      <c r="T385" s="1">
        <f ca="1">IFERROR(__xludf.DUMMYFUNCTION("""COMPUTED_VALUE"""),222)</f>
        <v>222</v>
      </c>
      <c r="U385" s="1">
        <f ca="1">IFERROR(__xludf.DUMMYFUNCTION("""COMPUTED_VALUE"""),723)</f>
        <v>723</v>
      </c>
      <c r="V385" s="1">
        <f ca="1">IFERROR(__xludf.DUMMYFUNCTION("""COMPUTED_VALUE"""),0.307)</f>
        <v>0.307</v>
      </c>
      <c r="W385" s="1">
        <f ca="1">IFERROR(__xludf.DUMMYFUNCTION("""COMPUTED_VALUE"""),340)</f>
        <v>340</v>
      </c>
      <c r="X385" s="1">
        <f ca="1">IFERROR(__xludf.DUMMYFUNCTION("""COMPUTED_VALUE"""),470)</f>
        <v>470</v>
      </c>
      <c r="Y385" s="1">
        <f ca="1">IFERROR(__xludf.DUMMYFUNCTION("""COMPUTED_VALUE"""),0.723)</f>
        <v>0.72299999999999998</v>
      </c>
      <c r="Z385" s="1">
        <f ca="1">IFERROR(__xludf.DUMMYFUNCTION("""COMPUTED_VALUE"""),142)</f>
        <v>142</v>
      </c>
      <c r="AA385" s="1">
        <f ca="1">IFERROR(__xludf.DUMMYFUNCTION("""COMPUTED_VALUE"""),877)</f>
        <v>877</v>
      </c>
      <c r="AB385" s="1">
        <f ca="1">IFERROR(__xludf.DUMMYFUNCTION("""COMPUTED_VALUE"""),323)</f>
        <v>323</v>
      </c>
      <c r="AC385" s="1">
        <f ca="1">IFERROR(__xludf.DUMMYFUNCTION("""COMPUTED_VALUE"""),160)</f>
        <v>160</v>
      </c>
      <c r="AD385" s="1">
        <f ca="1">IFERROR(__xludf.DUMMYFUNCTION("""COMPUTED_VALUE"""),61)</f>
        <v>61</v>
      </c>
      <c r="AE385" s="1">
        <f ca="1">IFERROR(__xludf.DUMMYFUNCTION("""COMPUTED_VALUE"""),391)</f>
        <v>391</v>
      </c>
      <c r="AF385" s="1">
        <f ca="1">IFERROR(__xludf.DUMMYFUNCTION("""COMPUTED_VALUE"""),563)</f>
        <v>563</v>
      </c>
    </row>
    <row r="386" spans="1:32" x14ac:dyDescent="0.25">
      <c r="A386" s="1" t="str">
        <f ca="1">IFERROR(__xludf.DUMMYFUNCTION("""COMPUTED_VALUE"""),"Xavier")</f>
        <v>Xavier</v>
      </c>
      <c r="B386" s="1">
        <f ca="1">IFERROR(__xludf.DUMMYFUNCTION("""COMPUTED_VALUE"""),29)</f>
        <v>29</v>
      </c>
      <c r="C386" s="1">
        <f ca="1">IFERROR(__xludf.DUMMYFUNCTION("""COMPUTED_VALUE"""),19)</f>
        <v>19</v>
      </c>
      <c r="D386" s="1">
        <f ca="1">IFERROR(__xludf.DUMMYFUNCTION("""COMPUTED_VALUE"""),10)</f>
        <v>10</v>
      </c>
      <c r="E386" s="1">
        <f ca="1">IFERROR(__xludf.DUMMYFUNCTION("""COMPUTED_VALUE"""),0.655)</f>
        <v>0.65500000000000003</v>
      </c>
      <c r="F386" s="1">
        <f ca="1">IFERROR(__xludf.DUMMYFUNCTION("""COMPUTED_VALUE"""),13.02)</f>
        <v>13.02</v>
      </c>
      <c r="G386" s="1">
        <f ca="1">IFERROR(__xludf.DUMMYFUNCTION("""COMPUTED_VALUE"""),9.23)</f>
        <v>9.23</v>
      </c>
      <c r="H386" s="1">
        <f ca="1">IFERROR(__xludf.DUMMYFUNCTION("""COMPUTED_VALUE"""),8)</f>
        <v>8</v>
      </c>
      <c r="I386" s="1">
        <f ca="1">IFERROR(__xludf.DUMMYFUNCTION("""COMPUTED_VALUE"""),8)</f>
        <v>8</v>
      </c>
      <c r="J386" s="1">
        <f ca="1">IFERROR(__xludf.DUMMYFUNCTION("""COMPUTED_VALUE"""),12)</f>
        <v>12</v>
      </c>
      <c r="K386" s="1">
        <f ca="1">IFERROR(__xludf.DUMMYFUNCTION("""COMPUTED_VALUE"""),4)</f>
        <v>4</v>
      </c>
      <c r="L386" s="1">
        <f ca="1">IFERROR(__xludf.DUMMYFUNCTION("""COMPUTED_VALUE"""),5)</f>
        <v>5</v>
      </c>
      <c r="M386" s="1">
        <f ca="1">IFERROR(__xludf.DUMMYFUNCTION("""COMPUTED_VALUE"""),5)</f>
        <v>5</v>
      </c>
      <c r="N386" s="1">
        <f ca="1">IFERROR(__xludf.DUMMYFUNCTION("""COMPUTED_VALUE"""),2049)</f>
        <v>2049</v>
      </c>
      <c r="O386" s="1">
        <f ca="1">IFERROR(__xludf.DUMMYFUNCTION("""COMPUTED_VALUE"""),1939)</f>
        <v>1939</v>
      </c>
      <c r="P386" s="1">
        <f ca="1">IFERROR(__xludf.DUMMYFUNCTION("""COMPUTED_VALUE"""),1185)</f>
        <v>1185</v>
      </c>
      <c r="Q386" s="1">
        <f ca="1">IFERROR(__xludf.DUMMYFUNCTION("""COMPUTED_VALUE"""),754)</f>
        <v>754</v>
      </c>
      <c r="R386" s="1">
        <f ca="1">IFERROR(__xludf.DUMMYFUNCTION("""COMPUTED_VALUE"""),1742)</f>
        <v>1742</v>
      </c>
      <c r="S386" s="1">
        <f ca="1">IFERROR(__xludf.DUMMYFUNCTION("""COMPUTED_VALUE"""),0.433)</f>
        <v>0.433</v>
      </c>
      <c r="T386" s="1">
        <f ca="1">IFERROR(__xludf.DUMMYFUNCTION("""COMPUTED_VALUE"""),192)</f>
        <v>192</v>
      </c>
      <c r="U386" s="1">
        <f ca="1">IFERROR(__xludf.DUMMYFUNCTION("""COMPUTED_VALUE"""),608)</f>
        <v>608</v>
      </c>
      <c r="V386" s="1">
        <f ca="1">IFERROR(__xludf.DUMMYFUNCTION("""COMPUTED_VALUE"""),0.316)</f>
        <v>0.316</v>
      </c>
      <c r="W386" s="1">
        <f ca="1">IFERROR(__xludf.DUMMYFUNCTION("""COMPUTED_VALUE"""),349)</f>
        <v>349</v>
      </c>
      <c r="X386" s="1">
        <f ca="1">IFERROR(__xludf.DUMMYFUNCTION("""COMPUTED_VALUE"""),532)</f>
        <v>532</v>
      </c>
      <c r="Y386" s="1">
        <f ca="1">IFERROR(__xludf.DUMMYFUNCTION("""COMPUTED_VALUE"""),0.656)</f>
        <v>0.65600000000000003</v>
      </c>
      <c r="Z386" s="1">
        <f ca="1">IFERROR(__xludf.DUMMYFUNCTION("""COMPUTED_VALUE"""),346)</f>
        <v>346</v>
      </c>
      <c r="AA386" s="1">
        <f ca="1">IFERROR(__xludf.DUMMYFUNCTION("""COMPUTED_VALUE"""),1144)</f>
        <v>1144</v>
      </c>
      <c r="AB386" s="1">
        <f ca="1">IFERROR(__xludf.DUMMYFUNCTION("""COMPUTED_VALUE"""),424)</f>
        <v>424</v>
      </c>
      <c r="AC386" s="1">
        <f ca="1">IFERROR(__xludf.DUMMYFUNCTION("""COMPUTED_VALUE"""),174)</f>
        <v>174</v>
      </c>
      <c r="AD386" s="1">
        <f ca="1">IFERROR(__xludf.DUMMYFUNCTION("""COMPUTED_VALUE"""),109)</f>
        <v>109</v>
      </c>
      <c r="AE386" s="1">
        <f ca="1">IFERROR(__xludf.DUMMYFUNCTION("""COMPUTED_VALUE"""),408)</f>
        <v>408</v>
      </c>
      <c r="AF386" s="1">
        <f ca="1">IFERROR(__xludf.DUMMYFUNCTION("""COMPUTED_VALUE"""),494)</f>
        <v>494</v>
      </c>
    </row>
    <row r="387" spans="1:32" x14ac:dyDescent="0.25">
      <c r="A387" s="1" t="str">
        <f ca="1">IFERROR(__xludf.DUMMYFUNCTION("""COMPUTED_VALUE"""),"Yale")</f>
        <v>Yale</v>
      </c>
      <c r="B387" s="1">
        <f ca="1">IFERROR(__xludf.DUMMYFUNCTION("""COMPUTED_VALUE"""),28)</f>
        <v>28</v>
      </c>
      <c r="C387" s="1">
        <f ca="1">IFERROR(__xludf.DUMMYFUNCTION("""COMPUTED_VALUE"""),22)</f>
        <v>22</v>
      </c>
      <c r="D387" s="1">
        <f ca="1">IFERROR(__xludf.DUMMYFUNCTION("""COMPUTED_VALUE"""),6)</f>
        <v>6</v>
      </c>
      <c r="E387" s="1">
        <f ca="1">IFERROR(__xludf.DUMMYFUNCTION("""COMPUTED_VALUE"""),0.786)</f>
        <v>0.78600000000000003</v>
      </c>
      <c r="F387" s="1">
        <f ca="1">IFERROR(__xludf.DUMMYFUNCTION("""COMPUTED_VALUE"""),7.21)</f>
        <v>7.21</v>
      </c>
      <c r="G387" s="1">
        <f ca="1">IFERROR(__xludf.DUMMYFUNCTION("""COMPUTED_VALUE"""),-1.67)</f>
        <v>-1.67</v>
      </c>
      <c r="H387" s="1">
        <f ca="1">IFERROR(__xludf.DUMMYFUNCTION("""COMPUTED_VALUE"""),10)</f>
        <v>10</v>
      </c>
      <c r="I387" s="1">
        <f ca="1">IFERROR(__xludf.DUMMYFUNCTION("""COMPUTED_VALUE"""),2)</f>
        <v>2</v>
      </c>
      <c r="J387" s="1">
        <f ca="1">IFERROR(__xludf.DUMMYFUNCTION("""COMPUTED_VALUE"""),10)</f>
        <v>10</v>
      </c>
      <c r="K387" s="1">
        <f ca="1">IFERROR(__xludf.DUMMYFUNCTION("""COMPUTED_VALUE"""),1)</f>
        <v>1</v>
      </c>
      <c r="L387" s="1">
        <f ca="1">IFERROR(__xludf.DUMMYFUNCTION("""COMPUTED_VALUE"""),10)</f>
        <v>10</v>
      </c>
      <c r="M387" s="1">
        <f ca="1">IFERROR(__xludf.DUMMYFUNCTION("""COMPUTED_VALUE"""),5)</f>
        <v>5</v>
      </c>
      <c r="N387" s="1">
        <f ca="1">IFERROR(__xludf.DUMMYFUNCTION("""COMPUTED_VALUE"""),2148)</f>
        <v>2148</v>
      </c>
      <c r="O387" s="1">
        <f ca="1">IFERROR(__xludf.DUMMYFUNCTION("""COMPUTED_VALUE"""),1810)</f>
        <v>1810</v>
      </c>
      <c r="P387" s="1">
        <f ca="1">IFERROR(__xludf.DUMMYFUNCTION("""COMPUTED_VALUE"""),1160)</f>
        <v>1160</v>
      </c>
      <c r="Q387" s="1">
        <f ca="1">IFERROR(__xludf.DUMMYFUNCTION("""COMPUTED_VALUE"""),760)</f>
        <v>760</v>
      </c>
      <c r="R387" s="1">
        <f ca="1">IFERROR(__xludf.DUMMYFUNCTION("""COMPUTED_VALUE"""),1613)</f>
        <v>1613</v>
      </c>
      <c r="S387" s="1">
        <f ca="1">IFERROR(__xludf.DUMMYFUNCTION("""COMPUTED_VALUE"""),0.471)</f>
        <v>0.47099999999999997</v>
      </c>
      <c r="T387" s="1">
        <f ca="1">IFERROR(__xludf.DUMMYFUNCTION("""COMPUTED_VALUE"""),249)</f>
        <v>249</v>
      </c>
      <c r="U387" s="1">
        <f ca="1">IFERROR(__xludf.DUMMYFUNCTION("""COMPUTED_VALUE"""),669)</f>
        <v>669</v>
      </c>
      <c r="V387" s="1">
        <f ca="1">IFERROR(__xludf.DUMMYFUNCTION("""COMPUTED_VALUE"""),0.372)</f>
        <v>0.372</v>
      </c>
      <c r="W387" s="1">
        <f ca="1">IFERROR(__xludf.DUMMYFUNCTION("""COMPUTED_VALUE"""),379)</f>
        <v>379</v>
      </c>
      <c r="X387" s="1">
        <f ca="1">IFERROR(__xludf.DUMMYFUNCTION("""COMPUTED_VALUE"""),530)</f>
        <v>530</v>
      </c>
      <c r="Y387" s="1">
        <f ca="1">IFERROR(__xludf.DUMMYFUNCTION("""COMPUTED_VALUE"""),0.715)</f>
        <v>0.71499999999999997</v>
      </c>
      <c r="Z387" s="1">
        <f ca="1">IFERROR(__xludf.DUMMYFUNCTION("""COMPUTED_VALUE"""),252)</f>
        <v>252</v>
      </c>
      <c r="AA387" s="1">
        <f ca="1">IFERROR(__xludf.DUMMYFUNCTION("""COMPUTED_VALUE"""),1093)</f>
        <v>1093</v>
      </c>
      <c r="AB387" s="1">
        <f ca="1">IFERROR(__xludf.DUMMYFUNCTION("""COMPUTED_VALUE"""),450)</f>
        <v>450</v>
      </c>
      <c r="AC387" s="1">
        <f ca="1">IFERROR(__xludf.DUMMYFUNCTION("""COMPUTED_VALUE"""),176)</f>
        <v>176</v>
      </c>
      <c r="AD387" s="1">
        <f ca="1">IFERROR(__xludf.DUMMYFUNCTION("""COMPUTED_VALUE"""),99)</f>
        <v>99</v>
      </c>
      <c r="AE387" s="1">
        <f ca="1">IFERROR(__xludf.DUMMYFUNCTION("""COMPUTED_VALUE"""),368)</f>
        <v>368</v>
      </c>
      <c r="AF387" s="1">
        <f ca="1">IFERROR(__xludf.DUMMYFUNCTION("""COMPUTED_VALUE"""),419)</f>
        <v>419</v>
      </c>
    </row>
    <row r="388" spans="1:32" x14ac:dyDescent="0.25">
      <c r="A388" s="1" t="str">
        <f ca="1">IFERROR(__xludf.DUMMYFUNCTION("""COMPUTED_VALUE"""),"Youngstown State")</f>
        <v>Youngstown State</v>
      </c>
      <c r="B388" s="1">
        <f ca="1">IFERROR(__xludf.DUMMYFUNCTION("""COMPUTED_VALUE"""),31)</f>
        <v>31</v>
      </c>
      <c r="C388" s="1">
        <f ca="1">IFERROR(__xludf.DUMMYFUNCTION("""COMPUTED_VALUE"""),17)</f>
        <v>17</v>
      </c>
      <c r="D388" s="1">
        <f ca="1">IFERROR(__xludf.DUMMYFUNCTION("""COMPUTED_VALUE"""),14)</f>
        <v>14</v>
      </c>
      <c r="E388" s="1">
        <f ca="1">IFERROR(__xludf.DUMMYFUNCTION("""COMPUTED_VALUE"""),0.548)</f>
        <v>0.54800000000000004</v>
      </c>
      <c r="F388" s="1">
        <f ca="1">IFERROR(__xludf.DUMMYFUNCTION("""COMPUTED_VALUE"""),-5.64)</f>
        <v>-5.64</v>
      </c>
      <c r="G388" s="1">
        <f ca="1">IFERROR(__xludf.DUMMYFUNCTION("""COMPUTED_VALUE"""),-4.81)</f>
        <v>-4.8099999999999996</v>
      </c>
      <c r="H388" s="1">
        <f ca="1">IFERROR(__xludf.DUMMYFUNCTION("""COMPUTED_VALUE"""),10)</f>
        <v>10</v>
      </c>
      <c r="I388" s="1">
        <f ca="1">IFERROR(__xludf.DUMMYFUNCTION("""COMPUTED_VALUE"""),8)</f>
        <v>8</v>
      </c>
      <c r="J388" s="1">
        <f ca="1">IFERROR(__xludf.DUMMYFUNCTION("""COMPUTED_VALUE"""),12)</f>
        <v>12</v>
      </c>
      <c r="K388" s="1">
        <f ca="1">IFERROR(__xludf.DUMMYFUNCTION("""COMPUTED_VALUE"""),4)</f>
        <v>4</v>
      </c>
      <c r="L388" s="1">
        <f ca="1">IFERROR(__xludf.DUMMYFUNCTION("""COMPUTED_VALUE"""),5)</f>
        <v>5</v>
      </c>
      <c r="M388" s="1">
        <f ca="1">IFERROR(__xludf.DUMMYFUNCTION("""COMPUTED_VALUE"""),10)</f>
        <v>10</v>
      </c>
      <c r="N388" s="1">
        <f ca="1">IFERROR(__xludf.DUMMYFUNCTION("""COMPUTED_VALUE"""),2277)</f>
        <v>2277</v>
      </c>
      <c r="O388" s="1">
        <f ca="1">IFERROR(__xludf.DUMMYFUNCTION("""COMPUTED_VALUE"""),2227)</f>
        <v>2227</v>
      </c>
      <c r="P388" s="1">
        <f ca="1">IFERROR(__xludf.DUMMYFUNCTION("""COMPUTED_VALUE"""),1255)</f>
        <v>1255</v>
      </c>
      <c r="Q388" s="1">
        <f ca="1">IFERROR(__xludf.DUMMYFUNCTION("""COMPUTED_VALUE"""),823)</f>
        <v>823</v>
      </c>
      <c r="R388" s="1">
        <f ca="1">IFERROR(__xludf.DUMMYFUNCTION("""COMPUTED_VALUE"""),1942)</f>
        <v>1942</v>
      </c>
      <c r="S388" s="1">
        <f ca="1">IFERROR(__xludf.DUMMYFUNCTION("""COMPUTED_VALUE"""),0.424)</f>
        <v>0.42399999999999999</v>
      </c>
      <c r="T388" s="1">
        <f ca="1">IFERROR(__xludf.DUMMYFUNCTION("""COMPUTED_VALUE"""),225)</f>
        <v>225</v>
      </c>
      <c r="U388" s="1">
        <f ca="1">IFERROR(__xludf.DUMMYFUNCTION("""COMPUTED_VALUE"""),722)</f>
        <v>722</v>
      </c>
      <c r="V388" s="1">
        <f ca="1">IFERROR(__xludf.DUMMYFUNCTION("""COMPUTED_VALUE"""),0.312)</f>
        <v>0.312</v>
      </c>
      <c r="W388" s="1">
        <f ca="1">IFERROR(__xludf.DUMMYFUNCTION("""COMPUTED_VALUE"""),406)</f>
        <v>406</v>
      </c>
      <c r="X388" s="1">
        <f ca="1">IFERROR(__xludf.DUMMYFUNCTION("""COMPUTED_VALUE"""),589)</f>
        <v>589</v>
      </c>
      <c r="Y388" s="1">
        <f ca="1">IFERROR(__xludf.DUMMYFUNCTION("""COMPUTED_VALUE"""),0.689)</f>
        <v>0.68899999999999995</v>
      </c>
      <c r="Z388" s="1">
        <f ca="1">IFERROR(__xludf.DUMMYFUNCTION("""COMPUTED_VALUE"""),433)</f>
        <v>433</v>
      </c>
      <c r="AA388" s="1">
        <f ca="1">IFERROR(__xludf.DUMMYFUNCTION("""COMPUTED_VALUE"""),1219)</f>
        <v>1219</v>
      </c>
      <c r="AB388" s="1">
        <f ca="1">IFERROR(__xludf.DUMMYFUNCTION("""COMPUTED_VALUE"""),384)</f>
        <v>384</v>
      </c>
      <c r="AC388" s="1">
        <f ca="1">IFERROR(__xludf.DUMMYFUNCTION("""COMPUTED_VALUE"""),182)</f>
        <v>182</v>
      </c>
      <c r="AD388" s="1">
        <f ca="1">IFERROR(__xludf.DUMMYFUNCTION("""COMPUTED_VALUE"""),78)</f>
        <v>78</v>
      </c>
      <c r="AE388" s="1">
        <f ca="1">IFERROR(__xludf.DUMMYFUNCTION("""COMPUTED_VALUE"""),371)</f>
        <v>371</v>
      </c>
      <c r="AF388" s="1">
        <f ca="1">IFERROR(__xludf.DUMMYFUNCTION("""COMPUTED_VALUE"""),544)</f>
        <v>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F386"/>
  <sheetViews>
    <sheetView workbookViewId="0">
      <selection sqref="A1:A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IFERROR(__xludf.DUMMYFUNCTION("""COMPUTED_VALUE"""),"Abilene Christian")</f>
        <v>Abilene Christian</v>
      </c>
      <c r="B2" s="1">
        <f ca="1">IFERROR(__xludf.DUMMYFUNCTION("""COMPUTED_VALUE"""),29)</f>
        <v>29</v>
      </c>
      <c r="C2" s="1">
        <f ca="1">IFERROR(__xludf.DUMMYFUNCTION("""COMPUTED_VALUE"""),13)</f>
        <v>13</v>
      </c>
      <c r="D2" s="1">
        <f ca="1">IFERROR(__xludf.DUMMYFUNCTION("""COMPUTED_VALUE"""),16)</f>
        <v>16</v>
      </c>
      <c r="E2" s="1">
        <f ca="1">IFERROR(__xludf.DUMMYFUNCTION("""COMPUTED_VALUE"""),0.448)</f>
        <v>0.44800000000000001</v>
      </c>
      <c r="F2" s="1">
        <f ca="1">IFERROR(__xludf.DUMMYFUNCTION("""COMPUTED_VALUE"""),-11.86)</f>
        <v>-11.86</v>
      </c>
      <c r="G2" s="1">
        <f ca="1">IFERROR(__xludf.DUMMYFUNCTION("""COMPUTED_VALUE"""),-7.1)</f>
        <v>-7.1</v>
      </c>
      <c r="H2" s="1">
        <f ca="1">IFERROR(__xludf.DUMMYFUNCTION("""COMPUTED_VALUE"""),7)</f>
        <v>7</v>
      </c>
      <c r="I2" s="1">
        <f ca="1">IFERROR(__xludf.DUMMYFUNCTION("""COMPUTED_VALUE"""),11)</f>
        <v>11</v>
      </c>
      <c r="J2" s="1">
        <f ca="1">IFERROR(__xludf.DUMMYFUNCTION("""COMPUTED_VALUE"""),9)</f>
        <v>9</v>
      </c>
      <c r="K2" s="1">
        <f ca="1">IFERROR(__xludf.DUMMYFUNCTION("""COMPUTED_VALUE"""),5)</f>
        <v>5</v>
      </c>
      <c r="L2" s="1">
        <f ca="1">IFERROR(__xludf.DUMMYFUNCTION("""COMPUTED_VALUE"""),4)</f>
        <v>4</v>
      </c>
      <c r="M2" s="1">
        <f ca="1">IFERROR(__xludf.DUMMYFUNCTION("""COMPUTED_VALUE"""),11)</f>
        <v>11</v>
      </c>
      <c r="N2" s="1">
        <f ca="1">IFERROR(__xludf.DUMMYFUNCTION("""COMPUTED_VALUE"""),2009)</f>
        <v>2009</v>
      </c>
      <c r="O2" s="1">
        <f ca="1">IFERROR(__xludf.DUMMYFUNCTION("""COMPUTED_VALUE"""),2073)</f>
        <v>2073</v>
      </c>
      <c r="P2" s="1">
        <f ca="1">IFERROR(__xludf.DUMMYFUNCTION("""COMPUTED_VALUE"""),1180)</f>
        <v>1180</v>
      </c>
      <c r="Q2" s="1">
        <f ca="1">IFERROR(__xludf.DUMMYFUNCTION("""COMPUTED_VALUE"""),721)</f>
        <v>721</v>
      </c>
      <c r="R2" s="1">
        <f ca="1">IFERROR(__xludf.DUMMYFUNCTION("""COMPUTED_VALUE"""),1555)</f>
        <v>1555</v>
      </c>
      <c r="S2" s="1">
        <f ca="1">IFERROR(__xludf.DUMMYFUNCTION("""COMPUTED_VALUE"""),0.464)</f>
        <v>0.46400000000000002</v>
      </c>
      <c r="T2" s="1">
        <f ca="1">IFERROR(__xludf.DUMMYFUNCTION("""COMPUTED_VALUE"""),207)</f>
        <v>207</v>
      </c>
      <c r="U2" s="1">
        <f ca="1">IFERROR(__xludf.DUMMYFUNCTION("""COMPUTED_VALUE"""),550)</f>
        <v>550</v>
      </c>
      <c r="V2" s="1">
        <f ca="1">IFERROR(__xludf.DUMMYFUNCTION("""COMPUTED_VALUE"""),0.376)</f>
        <v>0.376</v>
      </c>
      <c r="W2" s="1">
        <f ca="1">IFERROR(__xludf.DUMMYFUNCTION("""COMPUTED_VALUE"""),360)</f>
        <v>360</v>
      </c>
      <c r="X2" s="1">
        <f ca="1">IFERROR(__xludf.DUMMYFUNCTION("""COMPUTED_VALUE"""),543)</f>
        <v>543</v>
      </c>
      <c r="Y2" s="1">
        <f ca="1">IFERROR(__xludf.DUMMYFUNCTION("""COMPUTED_VALUE"""),0.663)</f>
        <v>0.66300000000000003</v>
      </c>
      <c r="Z2" s="1">
        <f ca="1">IFERROR(__xludf.DUMMYFUNCTION("""COMPUTED_VALUE"""),222)</f>
        <v>222</v>
      </c>
      <c r="AA2" s="1">
        <f ca="1">IFERROR(__xludf.DUMMYFUNCTION("""COMPUTED_VALUE"""),904)</f>
        <v>904</v>
      </c>
      <c r="AB2" s="1">
        <f ca="1">IFERROR(__xludf.DUMMYFUNCTION("""COMPUTED_VALUE"""),408)</f>
        <v>408</v>
      </c>
      <c r="AC2" s="1">
        <f ca="1">IFERROR(__xludf.DUMMYFUNCTION("""COMPUTED_VALUE"""),210)</f>
        <v>210</v>
      </c>
      <c r="AD2" s="1">
        <f ca="1">IFERROR(__xludf.DUMMYFUNCTION("""COMPUTED_VALUE"""),83)</f>
        <v>83</v>
      </c>
      <c r="AE2" s="1">
        <f ca="1">IFERROR(__xludf.DUMMYFUNCTION("""COMPUTED_VALUE"""),412)</f>
        <v>412</v>
      </c>
      <c r="AF2" s="1">
        <f ca="1">IFERROR(__xludf.DUMMYFUNCTION("""COMPUTED_VALUE"""),631)</f>
        <v>631</v>
      </c>
    </row>
    <row r="3" spans="1:32" ht="15.75" customHeight="1" x14ac:dyDescent="0.25">
      <c r="A3" s="1" t="str">
        <f ca="1">IFERROR(__xludf.DUMMYFUNCTION("""COMPUTED_VALUE"""),"Air Force")</f>
        <v>Air Force</v>
      </c>
      <c r="B3" s="1">
        <f ca="1">IFERROR(__xludf.DUMMYFUNCTION("""COMPUTED_VALUE"""),33)</f>
        <v>33</v>
      </c>
      <c r="C3" s="1">
        <f ca="1">IFERROR(__xludf.DUMMYFUNCTION("""COMPUTED_VALUE"""),12)</f>
        <v>12</v>
      </c>
      <c r="D3" s="1">
        <f ca="1">IFERROR(__xludf.DUMMYFUNCTION("""COMPUTED_VALUE"""),21)</f>
        <v>21</v>
      </c>
      <c r="E3" s="1">
        <f ca="1">IFERROR(__xludf.DUMMYFUNCTION("""COMPUTED_VALUE"""),0.364)</f>
        <v>0.36399999999999999</v>
      </c>
      <c r="F3" s="1">
        <f ca="1">IFERROR(__xludf.DUMMYFUNCTION("""COMPUTED_VALUE"""),-3.06)</f>
        <v>-3.06</v>
      </c>
      <c r="G3" s="1">
        <f ca="1">IFERROR(__xludf.DUMMYFUNCTION("""COMPUTED_VALUE"""),1)</f>
        <v>1</v>
      </c>
      <c r="H3" s="1">
        <f ca="1">IFERROR(__xludf.DUMMYFUNCTION("""COMPUTED_VALUE"""),4)</f>
        <v>4</v>
      </c>
      <c r="I3" s="1">
        <f ca="1">IFERROR(__xludf.DUMMYFUNCTION("""COMPUTED_VALUE"""),14)</f>
        <v>14</v>
      </c>
      <c r="J3" s="1">
        <f ca="1">IFERROR(__xludf.DUMMYFUNCTION("""COMPUTED_VALUE"""),11)</f>
        <v>11</v>
      </c>
      <c r="K3" s="1">
        <f ca="1">IFERROR(__xludf.DUMMYFUNCTION("""COMPUTED_VALUE"""),7)</f>
        <v>7</v>
      </c>
      <c r="L3" s="1">
        <f ca="1">IFERROR(__xludf.DUMMYFUNCTION("""COMPUTED_VALUE"""),0)</f>
        <v>0</v>
      </c>
      <c r="M3" s="1">
        <f ca="1">IFERROR(__xludf.DUMMYFUNCTION("""COMPUTED_VALUE"""),11)</f>
        <v>11</v>
      </c>
      <c r="N3" s="1">
        <f ca="1">IFERROR(__xludf.DUMMYFUNCTION("""COMPUTED_VALUE"""),2411)</f>
        <v>2411</v>
      </c>
      <c r="O3" s="1">
        <f ca="1">IFERROR(__xludf.DUMMYFUNCTION("""COMPUTED_VALUE"""),2477)</f>
        <v>2477</v>
      </c>
      <c r="P3" s="1">
        <f ca="1">IFERROR(__xludf.DUMMYFUNCTION("""COMPUTED_VALUE"""),1335)</f>
        <v>1335</v>
      </c>
      <c r="Q3" s="1">
        <f ca="1">IFERROR(__xludf.DUMMYFUNCTION("""COMPUTED_VALUE"""),817)</f>
        <v>817</v>
      </c>
      <c r="R3" s="1">
        <f ca="1">IFERROR(__xludf.DUMMYFUNCTION("""COMPUTED_VALUE"""),1876)</f>
        <v>1876</v>
      </c>
      <c r="S3" s="1">
        <f ca="1">IFERROR(__xludf.DUMMYFUNCTION("""COMPUTED_VALUE"""),0.436)</f>
        <v>0.436</v>
      </c>
      <c r="T3" s="1">
        <f ca="1">IFERROR(__xludf.DUMMYFUNCTION("""COMPUTED_VALUE"""),264)</f>
        <v>264</v>
      </c>
      <c r="U3" s="1">
        <f ca="1">IFERROR(__xludf.DUMMYFUNCTION("""COMPUTED_VALUE"""),728)</f>
        <v>728</v>
      </c>
      <c r="V3" s="1">
        <f ca="1">IFERROR(__xludf.DUMMYFUNCTION("""COMPUTED_VALUE"""),0.363)</f>
        <v>0.36299999999999999</v>
      </c>
      <c r="W3" s="1">
        <f ca="1">IFERROR(__xludf.DUMMYFUNCTION("""COMPUTED_VALUE"""),513)</f>
        <v>513</v>
      </c>
      <c r="X3" s="1">
        <f ca="1">IFERROR(__xludf.DUMMYFUNCTION("""COMPUTED_VALUE"""),715)</f>
        <v>715</v>
      </c>
      <c r="Y3" s="1">
        <f ca="1">IFERROR(__xludf.DUMMYFUNCTION("""COMPUTED_VALUE"""),0.717)</f>
        <v>0.71699999999999997</v>
      </c>
      <c r="Z3" s="1">
        <f ca="1">IFERROR(__xludf.DUMMYFUNCTION("""COMPUTED_VALUE"""),310)</f>
        <v>310</v>
      </c>
      <c r="AA3" s="1">
        <f ca="1">IFERROR(__xludf.DUMMYFUNCTION("""COMPUTED_VALUE"""),1149)</f>
        <v>1149</v>
      </c>
      <c r="AB3" s="1">
        <f ca="1">IFERROR(__xludf.DUMMYFUNCTION("""COMPUTED_VALUE"""),494)</f>
        <v>494</v>
      </c>
      <c r="AC3" s="1">
        <f ca="1">IFERROR(__xludf.DUMMYFUNCTION("""COMPUTED_VALUE"""),197)</f>
        <v>197</v>
      </c>
      <c r="AD3" s="1">
        <f ca="1">IFERROR(__xludf.DUMMYFUNCTION("""COMPUTED_VALUE"""),57)</f>
        <v>57</v>
      </c>
      <c r="AE3" s="1">
        <f ca="1">IFERROR(__xludf.DUMMYFUNCTION("""COMPUTED_VALUE"""),390)</f>
        <v>390</v>
      </c>
      <c r="AF3" s="1">
        <f ca="1">IFERROR(__xludf.DUMMYFUNCTION("""COMPUTED_VALUE"""),594)</f>
        <v>594</v>
      </c>
    </row>
    <row r="4" spans="1:32" ht="15.75" customHeight="1" x14ac:dyDescent="0.25">
      <c r="A4" s="1" t="str">
        <f ca="1">IFERROR(__xludf.DUMMYFUNCTION("""COMPUTED_VALUE"""),"Akron")</f>
        <v>Akron</v>
      </c>
      <c r="B4" s="1">
        <f ca="1">IFERROR(__xludf.DUMMYFUNCTION("""COMPUTED_VALUE"""),36)</f>
        <v>36</v>
      </c>
      <c r="C4" s="1">
        <f ca="1">IFERROR(__xludf.DUMMYFUNCTION("""COMPUTED_VALUE"""),27)</f>
        <v>27</v>
      </c>
      <c r="D4" s="1">
        <f ca="1">IFERROR(__xludf.DUMMYFUNCTION("""COMPUTED_VALUE"""),9)</f>
        <v>9</v>
      </c>
      <c r="E4" s="1">
        <f ca="1">IFERROR(__xludf.DUMMYFUNCTION("""COMPUTED_VALUE"""),0.75)</f>
        <v>0.75</v>
      </c>
      <c r="F4" s="1">
        <f ca="1">IFERROR(__xludf.DUMMYFUNCTION("""COMPUTED_VALUE"""),3.59)</f>
        <v>3.59</v>
      </c>
      <c r="G4" s="1">
        <f ca="1">IFERROR(__xludf.DUMMYFUNCTION("""COMPUTED_VALUE"""),-1.21)</f>
        <v>-1.21</v>
      </c>
      <c r="H4" s="1">
        <f ca="1">IFERROR(__xludf.DUMMYFUNCTION("""COMPUTED_VALUE"""),14)</f>
        <v>14</v>
      </c>
      <c r="I4" s="1">
        <f ca="1">IFERROR(__xludf.DUMMYFUNCTION("""COMPUTED_VALUE"""),4)</f>
        <v>4</v>
      </c>
      <c r="J4" s="1">
        <f ca="1">IFERROR(__xludf.DUMMYFUNCTION("""COMPUTED_VALUE"""),13)</f>
        <v>13</v>
      </c>
      <c r="K4" s="1">
        <f ca="1">IFERROR(__xludf.DUMMYFUNCTION("""COMPUTED_VALUE"""),2)</f>
        <v>2</v>
      </c>
      <c r="L4" s="1">
        <f ca="1">IFERROR(__xludf.DUMMYFUNCTION("""COMPUTED_VALUE"""),7)</f>
        <v>7</v>
      </c>
      <c r="M4" s="1">
        <f ca="1">IFERROR(__xludf.DUMMYFUNCTION("""COMPUTED_VALUE"""),6)</f>
        <v>6</v>
      </c>
      <c r="N4" s="1">
        <f ca="1">IFERROR(__xludf.DUMMYFUNCTION("""COMPUTED_VALUE"""),2772)</f>
        <v>2772</v>
      </c>
      <c r="O4" s="1">
        <f ca="1">IFERROR(__xludf.DUMMYFUNCTION("""COMPUTED_VALUE"""),2550)</f>
        <v>2550</v>
      </c>
      <c r="P4" s="1">
        <f ca="1">IFERROR(__xludf.DUMMYFUNCTION("""COMPUTED_VALUE"""),1440)</f>
        <v>1440</v>
      </c>
      <c r="Q4" s="1">
        <f ca="1">IFERROR(__xludf.DUMMYFUNCTION("""COMPUTED_VALUE"""),949)</f>
        <v>949</v>
      </c>
      <c r="R4" s="1">
        <f ca="1">IFERROR(__xludf.DUMMYFUNCTION("""COMPUTED_VALUE"""),2035)</f>
        <v>2035</v>
      </c>
      <c r="S4" s="1">
        <f ca="1">IFERROR(__xludf.DUMMYFUNCTION("""COMPUTED_VALUE"""),0.466)</f>
        <v>0.46600000000000003</v>
      </c>
      <c r="T4" s="1">
        <f ca="1">IFERROR(__xludf.DUMMYFUNCTION("""COMPUTED_VALUE"""),366)</f>
        <v>366</v>
      </c>
      <c r="U4" s="1">
        <f ca="1">IFERROR(__xludf.DUMMYFUNCTION("""COMPUTED_VALUE"""),984)</f>
        <v>984</v>
      </c>
      <c r="V4" s="1">
        <f ca="1">IFERROR(__xludf.DUMMYFUNCTION("""COMPUTED_VALUE"""),0.372)</f>
        <v>0.372</v>
      </c>
      <c r="W4" s="1">
        <f ca="1">IFERROR(__xludf.DUMMYFUNCTION("""COMPUTED_VALUE"""),508)</f>
        <v>508</v>
      </c>
      <c r="X4" s="1">
        <f ca="1">IFERROR(__xludf.DUMMYFUNCTION("""COMPUTED_VALUE"""),744)</f>
        <v>744</v>
      </c>
      <c r="Y4" s="1">
        <f ca="1">IFERROR(__xludf.DUMMYFUNCTION("""COMPUTED_VALUE"""),0.683)</f>
        <v>0.68300000000000005</v>
      </c>
      <c r="Z4" s="1">
        <f ca="1">IFERROR(__xludf.DUMMYFUNCTION("""COMPUTED_VALUE"""),357)</f>
        <v>357</v>
      </c>
      <c r="AA4" s="1">
        <f ca="1">IFERROR(__xludf.DUMMYFUNCTION("""COMPUTED_VALUE"""),1246)</f>
        <v>1246</v>
      </c>
      <c r="AB4" s="1">
        <f ca="1">IFERROR(__xludf.DUMMYFUNCTION("""COMPUTED_VALUE"""),517)</f>
        <v>517</v>
      </c>
      <c r="AC4" s="1">
        <f ca="1">IFERROR(__xludf.DUMMYFUNCTION("""COMPUTED_VALUE"""),198)</f>
        <v>198</v>
      </c>
      <c r="AD4" s="1">
        <f ca="1">IFERROR(__xludf.DUMMYFUNCTION("""COMPUTED_VALUE"""),118)</f>
        <v>118</v>
      </c>
      <c r="AE4" s="1">
        <f ca="1">IFERROR(__xludf.DUMMYFUNCTION("""COMPUTED_VALUE"""),422)</f>
        <v>422</v>
      </c>
      <c r="AF4" s="1">
        <f ca="1">IFERROR(__xludf.DUMMYFUNCTION("""COMPUTED_VALUE"""),653)</f>
        <v>653</v>
      </c>
    </row>
    <row r="5" spans="1:32" ht="15.75" customHeight="1" x14ac:dyDescent="0.25">
      <c r="A5" s="1" t="str">
        <f ca="1">IFERROR(__xludf.DUMMYFUNCTION("""COMPUTED_VALUE"""),"Alabama A&amp;M")</f>
        <v>Alabama A&amp;M</v>
      </c>
      <c r="B5" s="1">
        <f ca="1">IFERROR(__xludf.DUMMYFUNCTION("""COMPUTED_VALUE"""),29)</f>
        <v>29</v>
      </c>
      <c r="C5" s="1">
        <f ca="1">IFERROR(__xludf.DUMMYFUNCTION("""COMPUTED_VALUE"""),2)</f>
        <v>2</v>
      </c>
      <c r="D5" s="1">
        <f ca="1">IFERROR(__xludf.DUMMYFUNCTION("""COMPUTED_VALUE"""),27)</f>
        <v>27</v>
      </c>
      <c r="E5" s="1">
        <f ca="1">IFERROR(__xludf.DUMMYFUNCTION("""COMPUTED_VALUE"""),0.069)</f>
        <v>6.9000000000000006E-2</v>
      </c>
      <c r="F5" s="1">
        <f ca="1">IFERROR(__xludf.DUMMYFUNCTION("""COMPUTED_VALUE"""),-26.99)</f>
        <v>-26.99</v>
      </c>
      <c r="G5" s="1">
        <f ca="1">IFERROR(__xludf.DUMMYFUNCTION("""COMPUTED_VALUE"""),-11.09)</f>
        <v>-11.09</v>
      </c>
      <c r="H5" s="1">
        <f ca="1">IFERROR(__xludf.DUMMYFUNCTION("""COMPUTED_VALUE"""),2)</f>
        <v>2</v>
      </c>
      <c r="I5" s="1">
        <f ca="1">IFERROR(__xludf.DUMMYFUNCTION("""COMPUTED_VALUE"""),16)</f>
        <v>16</v>
      </c>
      <c r="J5" s="1">
        <f ca="1">IFERROR(__xludf.DUMMYFUNCTION("""COMPUTED_VALUE"""),1)</f>
        <v>1</v>
      </c>
      <c r="K5" s="1">
        <f ca="1">IFERROR(__xludf.DUMMYFUNCTION("""COMPUTED_VALUE"""),9)</f>
        <v>9</v>
      </c>
      <c r="L5" s="1">
        <f ca="1">IFERROR(__xludf.DUMMYFUNCTION("""COMPUTED_VALUE"""),1)</f>
        <v>1</v>
      </c>
      <c r="M5" s="1">
        <f ca="1">IFERROR(__xludf.DUMMYFUNCTION("""COMPUTED_VALUE"""),18)</f>
        <v>18</v>
      </c>
      <c r="N5" s="1">
        <f ca="1">IFERROR(__xludf.DUMMYFUNCTION("""COMPUTED_VALUE"""),1794)</f>
        <v>1794</v>
      </c>
      <c r="O5" s="1">
        <f ca="1">IFERROR(__xludf.DUMMYFUNCTION("""COMPUTED_VALUE"""),2255)</f>
        <v>2255</v>
      </c>
      <c r="P5" s="1">
        <f ca="1">IFERROR(__xludf.DUMMYFUNCTION("""COMPUTED_VALUE"""),1175)</f>
        <v>1175</v>
      </c>
      <c r="Q5" s="1">
        <f ca="1">IFERROR(__xludf.DUMMYFUNCTION("""COMPUTED_VALUE"""),628)</f>
        <v>628</v>
      </c>
      <c r="R5" s="1">
        <f ca="1">IFERROR(__xludf.DUMMYFUNCTION("""COMPUTED_VALUE"""),1549)</f>
        <v>1549</v>
      </c>
      <c r="S5" s="1">
        <f ca="1">IFERROR(__xludf.DUMMYFUNCTION("""COMPUTED_VALUE"""),0.405)</f>
        <v>0.40500000000000003</v>
      </c>
      <c r="T5" s="1">
        <f ca="1">IFERROR(__xludf.DUMMYFUNCTION("""COMPUTED_VALUE"""),125)</f>
        <v>125</v>
      </c>
      <c r="U5" s="1">
        <f ca="1">IFERROR(__xludf.DUMMYFUNCTION("""COMPUTED_VALUE"""),447)</f>
        <v>447</v>
      </c>
      <c r="V5" s="1">
        <f ca="1">IFERROR(__xludf.DUMMYFUNCTION("""COMPUTED_VALUE"""),0.28)</f>
        <v>0.28000000000000003</v>
      </c>
      <c r="W5" s="1">
        <f ca="1">IFERROR(__xludf.DUMMYFUNCTION("""COMPUTED_VALUE"""),411)</f>
        <v>411</v>
      </c>
      <c r="X5" s="1">
        <f ca="1">IFERROR(__xludf.DUMMYFUNCTION("""COMPUTED_VALUE"""),614)</f>
        <v>614</v>
      </c>
      <c r="Y5" s="1">
        <f ca="1">IFERROR(__xludf.DUMMYFUNCTION("""COMPUTED_VALUE"""),0.669)</f>
        <v>0.66900000000000004</v>
      </c>
      <c r="Z5" s="1">
        <f ca="1">IFERROR(__xludf.DUMMYFUNCTION("""COMPUTED_VALUE"""),299)</f>
        <v>299</v>
      </c>
      <c r="AA5" s="1">
        <f ca="1">IFERROR(__xludf.DUMMYFUNCTION("""COMPUTED_VALUE"""),914)</f>
        <v>914</v>
      </c>
      <c r="AB5" s="1">
        <f ca="1">IFERROR(__xludf.DUMMYFUNCTION("""COMPUTED_VALUE"""),326)</f>
        <v>326</v>
      </c>
      <c r="AC5" s="1">
        <f ca="1">IFERROR(__xludf.DUMMYFUNCTION("""COMPUTED_VALUE"""),100)</f>
        <v>100</v>
      </c>
      <c r="AD5" s="1">
        <f ca="1">IFERROR(__xludf.DUMMYFUNCTION("""COMPUTED_VALUE"""),50)</f>
        <v>50</v>
      </c>
      <c r="AE5" s="1">
        <f ca="1">IFERROR(__xludf.DUMMYFUNCTION("""COMPUTED_VALUE"""),384)</f>
        <v>384</v>
      </c>
      <c r="AF5" s="1">
        <f ca="1">IFERROR(__xludf.DUMMYFUNCTION("""COMPUTED_VALUE"""),526)</f>
        <v>526</v>
      </c>
    </row>
    <row r="6" spans="1:32" ht="15.75" customHeight="1" x14ac:dyDescent="0.25">
      <c r="A6" s="1" t="str">
        <f ca="1">IFERROR(__xludf.DUMMYFUNCTION("""COMPUTED_VALUE"""),"Alabama-Birmingham")</f>
        <v>Alabama-Birmingham</v>
      </c>
      <c r="B6" s="1">
        <f ca="1">IFERROR(__xludf.DUMMYFUNCTION("""COMPUTED_VALUE"""),33)</f>
        <v>33</v>
      </c>
      <c r="C6" s="1">
        <f ca="1">IFERROR(__xludf.DUMMYFUNCTION("""COMPUTED_VALUE"""),17)</f>
        <v>17</v>
      </c>
      <c r="D6" s="1">
        <f ca="1">IFERROR(__xludf.DUMMYFUNCTION("""COMPUTED_VALUE"""),16)</f>
        <v>16</v>
      </c>
      <c r="E6" s="1">
        <f ca="1">IFERROR(__xludf.DUMMYFUNCTION("""COMPUTED_VALUE"""),0.515)</f>
        <v>0.51500000000000001</v>
      </c>
      <c r="F6" s="1">
        <f ca="1">IFERROR(__xludf.DUMMYFUNCTION("""COMPUTED_VALUE"""),-1.17)</f>
        <v>-1.17</v>
      </c>
      <c r="G6" s="1">
        <f ca="1">IFERROR(__xludf.DUMMYFUNCTION("""COMPUTED_VALUE"""),-1.83)</f>
        <v>-1.83</v>
      </c>
      <c r="H6" s="1">
        <f ca="1">IFERROR(__xludf.DUMMYFUNCTION("""COMPUTED_VALUE"""),9)</f>
        <v>9</v>
      </c>
      <c r="I6" s="1">
        <f ca="1">IFERROR(__xludf.DUMMYFUNCTION("""COMPUTED_VALUE"""),9)</f>
        <v>9</v>
      </c>
      <c r="J6" s="1">
        <f ca="1">IFERROR(__xludf.DUMMYFUNCTION("""COMPUTED_VALUE"""),11)</f>
        <v>11</v>
      </c>
      <c r="K6" s="1">
        <f ca="1">IFERROR(__xludf.DUMMYFUNCTION("""COMPUTED_VALUE"""),5)</f>
        <v>5</v>
      </c>
      <c r="L6" s="1">
        <f ca="1">IFERROR(__xludf.DUMMYFUNCTION("""COMPUTED_VALUE"""),4)</f>
        <v>4</v>
      </c>
      <c r="M6" s="1">
        <f ca="1">IFERROR(__xludf.DUMMYFUNCTION("""COMPUTED_VALUE"""),8)</f>
        <v>8</v>
      </c>
      <c r="N6" s="1">
        <f ca="1">IFERROR(__xludf.DUMMYFUNCTION("""COMPUTED_VALUE"""),2369)</f>
        <v>2369</v>
      </c>
      <c r="O6" s="1">
        <f ca="1">IFERROR(__xludf.DUMMYFUNCTION("""COMPUTED_VALUE"""),2316)</f>
        <v>2316</v>
      </c>
      <c r="P6" s="1">
        <f ca="1">IFERROR(__xludf.DUMMYFUNCTION("""COMPUTED_VALUE"""),1330)</f>
        <v>1330</v>
      </c>
      <c r="Q6" s="1">
        <f ca="1">IFERROR(__xludf.DUMMYFUNCTION("""COMPUTED_VALUE"""),835)</f>
        <v>835</v>
      </c>
      <c r="R6" s="1">
        <f ca="1">IFERROR(__xludf.DUMMYFUNCTION("""COMPUTED_VALUE"""),1809)</f>
        <v>1809</v>
      </c>
      <c r="S6" s="1">
        <f ca="1">IFERROR(__xludf.DUMMYFUNCTION("""COMPUTED_VALUE"""),0.462)</f>
        <v>0.46200000000000002</v>
      </c>
      <c r="T6" s="1">
        <f ca="1">IFERROR(__xludf.DUMMYFUNCTION("""COMPUTED_VALUE"""),203)</f>
        <v>203</v>
      </c>
      <c r="U6" s="1">
        <f ca="1">IFERROR(__xludf.DUMMYFUNCTION("""COMPUTED_VALUE"""),583)</f>
        <v>583</v>
      </c>
      <c r="V6" s="1">
        <f ca="1">IFERROR(__xludf.DUMMYFUNCTION("""COMPUTED_VALUE"""),0.348)</f>
        <v>0.34799999999999998</v>
      </c>
      <c r="W6" s="1">
        <f ca="1">IFERROR(__xludf.DUMMYFUNCTION("""COMPUTED_VALUE"""),496)</f>
        <v>496</v>
      </c>
      <c r="X6" s="1">
        <f ca="1">IFERROR(__xludf.DUMMYFUNCTION("""COMPUTED_VALUE"""),674)</f>
        <v>674</v>
      </c>
      <c r="Y6" s="1">
        <f ca="1">IFERROR(__xludf.DUMMYFUNCTION("""COMPUTED_VALUE"""),0.736)</f>
        <v>0.73599999999999999</v>
      </c>
      <c r="Z6" s="1">
        <f ca="1">IFERROR(__xludf.DUMMYFUNCTION("""COMPUTED_VALUE"""),321)</f>
        <v>321</v>
      </c>
      <c r="AA6" s="1">
        <f ca="1">IFERROR(__xludf.DUMMYFUNCTION("""COMPUTED_VALUE"""),1188)</f>
        <v>1188</v>
      </c>
      <c r="AB6" s="1">
        <f ca="1">IFERROR(__xludf.DUMMYFUNCTION("""COMPUTED_VALUE"""),503)</f>
        <v>503</v>
      </c>
      <c r="AC6" s="1">
        <f ca="1">IFERROR(__xludf.DUMMYFUNCTION("""COMPUTED_VALUE"""),157)</f>
        <v>157</v>
      </c>
      <c r="AD6" s="1">
        <f ca="1">IFERROR(__xludf.DUMMYFUNCTION("""COMPUTED_VALUE"""),160)</f>
        <v>160</v>
      </c>
      <c r="AE6" s="1">
        <f ca="1">IFERROR(__xludf.DUMMYFUNCTION("""COMPUTED_VALUE"""),444)</f>
        <v>444</v>
      </c>
      <c r="AF6" s="1">
        <f ca="1">IFERROR(__xludf.DUMMYFUNCTION("""COMPUTED_VALUE"""),527)</f>
        <v>527</v>
      </c>
    </row>
    <row r="7" spans="1:32" ht="15.75" customHeight="1" x14ac:dyDescent="0.25">
      <c r="A7" s="1" t="str">
        <f ca="1">IFERROR(__xludf.DUMMYFUNCTION("""COMPUTED_VALUE"""),"Alabama State")</f>
        <v>Alabama State</v>
      </c>
      <c r="B7" s="1">
        <f ca="1">IFERROR(__xludf.DUMMYFUNCTION("""COMPUTED_VALUE"""),31)</f>
        <v>31</v>
      </c>
      <c r="C7" s="1">
        <f ca="1">IFERROR(__xludf.DUMMYFUNCTION("""COMPUTED_VALUE"""),8)</f>
        <v>8</v>
      </c>
      <c r="D7" s="1">
        <f ca="1">IFERROR(__xludf.DUMMYFUNCTION("""COMPUTED_VALUE"""),23)</f>
        <v>23</v>
      </c>
      <c r="E7" s="1">
        <f ca="1">IFERROR(__xludf.DUMMYFUNCTION("""COMPUTED_VALUE"""),0.258)</f>
        <v>0.25800000000000001</v>
      </c>
      <c r="F7" s="1">
        <f ca="1">IFERROR(__xludf.DUMMYFUNCTION("""COMPUTED_VALUE"""),-19.75)</f>
        <v>-19.75</v>
      </c>
      <c r="G7" s="1">
        <f ca="1">IFERROR(__xludf.DUMMYFUNCTION("""COMPUTED_VALUE"""),-10.75)</f>
        <v>-10.75</v>
      </c>
      <c r="H7" s="1">
        <f ca="1">IFERROR(__xludf.DUMMYFUNCTION("""COMPUTED_VALUE"""),6)</f>
        <v>6</v>
      </c>
      <c r="I7" s="1">
        <f ca="1">IFERROR(__xludf.DUMMYFUNCTION("""COMPUTED_VALUE"""),12)</f>
        <v>12</v>
      </c>
      <c r="J7" s="1">
        <f ca="1">IFERROR(__xludf.DUMMYFUNCTION("""COMPUTED_VALUE"""),6)</f>
        <v>6</v>
      </c>
      <c r="K7" s="1">
        <f ca="1">IFERROR(__xludf.DUMMYFUNCTION("""COMPUTED_VALUE"""),5)</f>
        <v>5</v>
      </c>
      <c r="L7" s="1">
        <f ca="1">IFERROR(__xludf.DUMMYFUNCTION("""COMPUTED_VALUE"""),1)</f>
        <v>1</v>
      </c>
      <c r="M7" s="1">
        <f ca="1">IFERROR(__xludf.DUMMYFUNCTION("""COMPUTED_VALUE"""),17)</f>
        <v>17</v>
      </c>
      <c r="N7" s="1">
        <f ca="1">IFERROR(__xludf.DUMMYFUNCTION("""COMPUTED_VALUE"""),2042)</f>
        <v>2042</v>
      </c>
      <c r="O7" s="1">
        <f ca="1">IFERROR(__xludf.DUMMYFUNCTION("""COMPUTED_VALUE"""),2305)</f>
        <v>2305</v>
      </c>
      <c r="P7" s="1">
        <f ca="1">IFERROR(__xludf.DUMMYFUNCTION("""COMPUTED_VALUE"""),1260)</f>
        <v>1260</v>
      </c>
      <c r="Q7" s="1">
        <f ca="1">IFERROR(__xludf.DUMMYFUNCTION("""COMPUTED_VALUE"""),719)</f>
        <v>719</v>
      </c>
      <c r="R7" s="1">
        <f ca="1">IFERROR(__xludf.DUMMYFUNCTION("""COMPUTED_VALUE"""),1834)</f>
        <v>1834</v>
      </c>
      <c r="S7" s="1">
        <f ca="1">IFERROR(__xludf.DUMMYFUNCTION("""COMPUTED_VALUE"""),0.392)</f>
        <v>0.39200000000000002</v>
      </c>
      <c r="T7" s="1">
        <f ca="1">IFERROR(__xludf.DUMMYFUNCTION("""COMPUTED_VALUE"""),200)</f>
        <v>200</v>
      </c>
      <c r="U7" s="1">
        <f ca="1">IFERROR(__xludf.DUMMYFUNCTION("""COMPUTED_VALUE"""),674)</f>
        <v>674</v>
      </c>
      <c r="V7" s="1">
        <f ca="1">IFERROR(__xludf.DUMMYFUNCTION("""COMPUTED_VALUE"""),0.297)</f>
        <v>0.29699999999999999</v>
      </c>
      <c r="W7" s="1">
        <f ca="1">IFERROR(__xludf.DUMMYFUNCTION("""COMPUTED_VALUE"""),404)</f>
        <v>404</v>
      </c>
      <c r="X7" s="1">
        <f ca="1">IFERROR(__xludf.DUMMYFUNCTION("""COMPUTED_VALUE"""),634)</f>
        <v>634</v>
      </c>
      <c r="Y7" s="1">
        <f ca="1">IFERROR(__xludf.DUMMYFUNCTION("""COMPUTED_VALUE"""),0.637)</f>
        <v>0.63700000000000001</v>
      </c>
      <c r="Z7" s="1">
        <f ca="1">IFERROR(__xludf.DUMMYFUNCTION("""COMPUTED_VALUE"""),427)</f>
        <v>427</v>
      </c>
      <c r="AA7" s="1">
        <f ca="1">IFERROR(__xludf.DUMMYFUNCTION("""COMPUTED_VALUE"""),1188)</f>
        <v>1188</v>
      </c>
      <c r="AB7" s="1">
        <f ca="1">IFERROR(__xludf.DUMMYFUNCTION("""COMPUTED_VALUE"""),300)</f>
        <v>300</v>
      </c>
      <c r="AC7" s="1">
        <f ca="1">IFERROR(__xludf.DUMMYFUNCTION("""COMPUTED_VALUE"""),150)</f>
        <v>150</v>
      </c>
      <c r="AD7" s="1">
        <f ca="1">IFERROR(__xludf.DUMMYFUNCTION("""COMPUTED_VALUE"""),98)</f>
        <v>98</v>
      </c>
      <c r="AE7" s="1">
        <f ca="1">IFERROR(__xludf.DUMMYFUNCTION("""COMPUTED_VALUE"""),488)</f>
        <v>488</v>
      </c>
      <c r="AF7" s="1">
        <f ca="1">IFERROR(__xludf.DUMMYFUNCTION("""COMPUTED_VALUE"""),629)</f>
        <v>629</v>
      </c>
    </row>
    <row r="8" spans="1:32" ht="15.75" customHeight="1" x14ac:dyDescent="0.25">
      <c r="A8" s="1" t="str">
        <f ca="1">IFERROR(__xludf.DUMMYFUNCTION("""COMPUTED_VALUE"""),"Alabama")</f>
        <v>Alabama</v>
      </c>
      <c r="B8" s="1">
        <f ca="1">IFERROR(__xludf.DUMMYFUNCTION("""COMPUTED_VALUE"""),34)</f>
        <v>34</v>
      </c>
      <c r="C8" s="1">
        <f ca="1">IFERROR(__xludf.DUMMYFUNCTION("""COMPUTED_VALUE"""),19)</f>
        <v>19</v>
      </c>
      <c r="D8" s="1">
        <f ca="1">IFERROR(__xludf.DUMMYFUNCTION("""COMPUTED_VALUE"""),15)</f>
        <v>15</v>
      </c>
      <c r="E8" s="1">
        <f ca="1">IFERROR(__xludf.DUMMYFUNCTION("""COMPUTED_VALUE"""),0.559)</f>
        <v>0.55900000000000005</v>
      </c>
      <c r="F8" s="1">
        <f ca="1">IFERROR(__xludf.DUMMYFUNCTION("""COMPUTED_VALUE"""),11.29)</f>
        <v>11.29</v>
      </c>
      <c r="G8" s="1">
        <f ca="1">IFERROR(__xludf.DUMMYFUNCTION("""COMPUTED_VALUE"""),7.47)</f>
        <v>7.47</v>
      </c>
      <c r="H8" s="1">
        <f ca="1">IFERROR(__xludf.DUMMYFUNCTION("""COMPUTED_VALUE"""),10)</f>
        <v>10</v>
      </c>
      <c r="I8" s="1">
        <f ca="1">IFERROR(__xludf.DUMMYFUNCTION("""COMPUTED_VALUE"""),8)</f>
        <v>8</v>
      </c>
      <c r="J8" s="1">
        <f ca="1">IFERROR(__xludf.DUMMYFUNCTION("""COMPUTED_VALUE"""),11)</f>
        <v>11</v>
      </c>
      <c r="K8" s="1">
        <f ca="1">IFERROR(__xludf.DUMMYFUNCTION("""COMPUTED_VALUE"""),6)</f>
        <v>6</v>
      </c>
      <c r="L8" s="1">
        <f ca="1">IFERROR(__xludf.DUMMYFUNCTION("""COMPUTED_VALUE"""),5)</f>
        <v>5</v>
      </c>
      <c r="M8" s="1">
        <f ca="1">IFERROR(__xludf.DUMMYFUNCTION("""COMPUTED_VALUE"""),6)</f>
        <v>6</v>
      </c>
      <c r="N8" s="1">
        <f ca="1">IFERROR(__xludf.DUMMYFUNCTION("""COMPUTED_VALUE"""),2330)</f>
        <v>2330</v>
      </c>
      <c r="O8" s="1">
        <f ca="1">IFERROR(__xludf.DUMMYFUNCTION("""COMPUTED_VALUE"""),2200)</f>
        <v>2200</v>
      </c>
      <c r="P8" s="1">
        <f ca="1">IFERROR(__xludf.DUMMYFUNCTION("""COMPUTED_VALUE"""),1380)</f>
        <v>1380</v>
      </c>
      <c r="Q8" s="1">
        <f ca="1">IFERROR(__xludf.DUMMYFUNCTION("""COMPUTED_VALUE"""),809)</f>
        <v>809</v>
      </c>
      <c r="R8" s="1">
        <f ca="1">IFERROR(__xludf.DUMMYFUNCTION("""COMPUTED_VALUE"""),1909)</f>
        <v>1909</v>
      </c>
      <c r="S8" s="1">
        <f ca="1">IFERROR(__xludf.DUMMYFUNCTION("""COMPUTED_VALUE"""),0.424)</f>
        <v>0.42399999999999999</v>
      </c>
      <c r="T8" s="1">
        <f ca="1">IFERROR(__xludf.DUMMYFUNCTION("""COMPUTED_VALUE"""),225)</f>
        <v>225</v>
      </c>
      <c r="U8" s="1">
        <f ca="1">IFERROR(__xludf.DUMMYFUNCTION("""COMPUTED_VALUE"""),710)</f>
        <v>710</v>
      </c>
      <c r="V8" s="1">
        <f ca="1">IFERROR(__xludf.DUMMYFUNCTION("""COMPUTED_VALUE"""),0.317)</f>
        <v>0.317</v>
      </c>
      <c r="W8" s="1">
        <f ca="1">IFERROR(__xludf.DUMMYFUNCTION("""COMPUTED_VALUE"""),487)</f>
        <v>487</v>
      </c>
      <c r="X8" s="1">
        <f ca="1">IFERROR(__xludf.DUMMYFUNCTION("""COMPUTED_VALUE"""),746)</f>
        <v>746</v>
      </c>
      <c r="Y8" s="1">
        <f ca="1">IFERROR(__xludf.DUMMYFUNCTION("""COMPUTED_VALUE"""),0.653)</f>
        <v>0.65300000000000002</v>
      </c>
      <c r="Z8" s="1">
        <f ca="1">IFERROR(__xludf.DUMMYFUNCTION("""COMPUTED_VALUE"""),418)</f>
        <v>418</v>
      </c>
      <c r="AA8" s="1">
        <f ca="1">IFERROR(__xludf.DUMMYFUNCTION("""COMPUTED_VALUE"""),1327)</f>
        <v>1327</v>
      </c>
      <c r="AB8" s="1">
        <f ca="1">IFERROR(__xludf.DUMMYFUNCTION("""COMPUTED_VALUE"""),390)</f>
        <v>390</v>
      </c>
      <c r="AC8" s="1">
        <f ca="1">IFERROR(__xludf.DUMMYFUNCTION("""COMPUTED_VALUE"""),200)</f>
        <v>200</v>
      </c>
      <c r="AD8" s="1">
        <f ca="1">IFERROR(__xludf.DUMMYFUNCTION("""COMPUTED_VALUE"""),141)</f>
        <v>141</v>
      </c>
      <c r="AE8" s="1">
        <f ca="1">IFERROR(__xludf.DUMMYFUNCTION("""COMPUTED_VALUE"""),474)</f>
        <v>474</v>
      </c>
      <c r="AF8" s="1">
        <f ca="1">IFERROR(__xludf.DUMMYFUNCTION("""COMPUTED_VALUE"""),664)</f>
        <v>664</v>
      </c>
    </row>
    <row r="9" spans="1:32" ht="15.75" customHeight="1" x14ac:dyDescent="0.25">
      <c r="A9" s="1" t="str">
        <f ca="1">IFERROR(__xludf.DUMMYFUNCTION("""COMPUTED_VALUE"""),"Albany (NY)")</f>
        <v>Albany (NY)</v>
      </c>
      <c r="B9" s="1">
        <f ca="1">IFERROR(__xludf.DUMMYFUNCTION("""COMPUTED_VALUE"""),35)</f>
        <v>35</v>
      </c>
      <c r="C9" s="1">
        <f ca="1">IFERROR(__xludf.DUMMYFUNCTION("""COMPUTED_VALUE"""),21)</f>
        <v>21</v>
      </c>
      <c r="D9" s="1">
        <f ca="1">IFERROR(__xludf.DUMMYFUNCTION("""COMPUTED_VALUE"""),14)</f>
        <v>14</v>
      </c>
      <c r="E9" s="1">
        <f ca="1">IFERROR(__xludf.DUMMYFUNCTION("""COMPUTED_VALUE"""),0.6)</f>
        <v>0.6</v>
      </c>
      <c r="F9" s="1">
        <f ca="1">IFERROR(__xludf.DUMMYFUNCTION("""COMPUTED_VALUE"""),-0.16)</f>
        <v>-0.16</v>
      </c>
      <c r="G9" s="1">
        <f ca="1">IFERROR(__xludf.DUMMYFUNCTION("""COMPUTED_VALUE"""),-4.69)</f>
        <v>-4.6900000000000004</v>
      </c>
      <c r="H9" s="1">
        <f ca="1">IFERROR(__xludf.DUMMYFUNCTION("""COMPUTED_VALUE"""),10)</f>
        <v>10</v>
      </c>
      <c r="I9" s="1">
        <f ca="1">IFERROR(__xludf.DUMMYFUNCTION("""COMPUTED_VALUE"""),6)</f>
        <v>6</v>
      </c>
      <c r="J9" s="1">
        <f ca="1">IFERROR(__xludf.DUMMYFUNCTION("""COMPUTED_VALUE"""),11)</f>
        <v>11</v>
      </c>
      <c r="K9" s="1">
        <f ca="1">IFERROR(__xludf.DUMMYFUNCTION("""COMPUTED_VALUE"""),5)</f>
        <v>5</v>
      </c>
      <c r="L9" s="1">
        <f ca="1">IFERROR(__xludf.DUMMYFUNCTION("""COMPUTED_VALUE"""),9)</f>
        <v>9</v>
      </c>
      <c r="M9" s="1">
        <f ca="1">IFERROR(__xludf.DUMMYFUNCTION("""COMPUTED_VALUE"""),8)</f>
        <v>8</v>
      </c>
      <c r="N9" s="1">
        <f ca="1">IFERROR(__xludf.DUMMYFUNCTION("""COMPUTED_VALUE"""),2496)</f>
        <v>2496</v>
      </c>
      <c r="O9" s="1">
        <f ca="1">IFERROR(__xludf.DUMMYFUNCTION("""COMPUTED_VALUE"""),2301)</f>
        <v>2301</v>
      </c>
      <c r="P9" s="1">
        <f ca="1">IFERROR(__xludf.DUMMYFUNCTION("""COMPUTED_VALUE"""),1400)</f>
        <v>1400</v>
      </c>
      <c r="Q9" s="1">
        <f ca="1">IFERROR(__xludf.DUMMYFUNCTION("""COMPUTED_VALUE"""),907)</f>
        <v>907</v>
      </c>
      <c r="R9" s="1">
        <f ca="1">IFERROR(__xludf.DUMMYFUNCTION("""COMPUTED_VALUE"""),1941)</f>
        <v>1941</v>
      </c>
      <c r="S9" s="1">
        <f ca="1">IFERROR(__xludf.DUMMYFUNCTION("""COMPUTED_VALUE"""),0.467)</f>
        <v>0.46700000000000003</v>
      </c>
      <c r="T9" s="1">
        <f ca="1">IFERROR(__xludf.DUMMYFUNCTION("""COMPUTED_VALUE"""),192)</f>
        <v>192</v>
      </c>
      <c r="U9" s="1">
        <f ca="1">IFERROR(__xludf.DUMMYFUNCTION("""COMPUTED_VALUE"""),516)</f>
        <v>516</v>
      </c>
      <c r="V9" s="1">
        <f ca="1">IFERROR(__xludf.DUMMYFUNCTION("""COMPUTED_VALUE"""),0.372)</f>
        <v>0.372</v>
      </c>
      <c r="W9" s="1">
        <f ca="1">IFERROR(__xludf.DUMMYFUNCTION("""COMPUTED_VALUE"""),490)</f>
        <v>490</v>
      </c>
      <c r="X9" s="1">
        <f ca="1">IFERROR(__xludf.DUMMYFUNCTION("""COMPUTED_VALUE"""),647)</f>
        <v>647</v>
      </c>
      <c r="Y9" s="1">
        <f ca="1">IFERROR(__xludf.DUMMYFUNCTION("""COMPUTED_VALUE"""),0.757)</f>
        <v>0.75700000000000001</v>
      </c>
      <c r="Z9" s="1">
        <f ca="1">IFERROR(__xludf.DUMMYFUNCTION("""COMPUTED_VALUE"""),379)</f>
        <v>379</v>
      </c>
      <c r="AA9" s="1">
        <f ca="1">IFERROR(__xludf.DUMMYFUNCTION("""COMPUTED_VALUE"""),1257)</f>
        <v>1257</v>
      </c>
      <c r="AB9" s="1">
        <f ca="1">IFERROR(__xludf.DUMMYFUNCTION("""COMPUTED_VALUE"""),444)</f>
        <v>444</v>
      </c>
      <c r="AC9" s="1">
        <f ca="1">IFERROR(__xludf.DUMMYFUNCTION("""COMPUTED_VALUE"""),178)</f>
        <v>178</v>
      </c>
      <c r="AD9" s="1">
        <f ca="1">IFERROR(__xludf.DUMMYFUNCTION("""COMPUTED_VALUE"""),60)</f>
        <v>60</v>
      </c>
      <c r="AE9" s="1">
        <f ca="1">IFERROR(__xludf.DUMMYFUNCTION("""COMPUTED_VALUE"""),416)</f>
        <v>416</v>
      </c>
      <c r="AF9" s="1">
        <f ca="1">IFERROR(__xludf.DUMMYFUNCTION("""COMPUTED_VALUE"""),617)</f>
        <v>617</v>
      </c>
    </row>
    <row r="10" spans="1:32" ht="15.75" customHeight="1" x14ac:dyDescent="0.25">
      <c r="A10" s="1" t="str">
        <f ca="1">IFERROR(__xludf.DUMMYFUNCTION("""COMPUTED_VALUE"""),"Alcorn State")</f>
        <v>Alcorn State</v>
      </c>
      <c r="B10" s="1">
        <f ca="1">IFERROR(__xludf.DUMMYFUNCTION("""COMPUTED_VALUE"""),32)</f>
        <v>32</v>
      </c>
      <c r="C10" s="1">
        <f ca="1">IFERROR(__xludf.DUMMYFUNCTION("""COMPUTED_VALUE"""),18)</f>
        <v>18</v>
      </c>
      <c r="D10" s="1">
        <f ca="1">IFERROR(__xludf.DUMMYFUNCTION("""COMPUTED_VALUE"""),14)</f>
        <v>14</v>
      </c>
      <c r="E10" s="1">
        <f ca="1">IFERROR(__xludf.DUMMYFUNCTION("""COMPUTED_VALUE"""),0.563)</f>
        <v>0.56299999999999994</v>
      </c>
      <c r="F10" s="1">
        <f ca="1">IFERROR(__xludf.DUMMYFUNCTION("""COMPUTED_VALUE"""),-12.33)</f>
        <v>-12.33</v>
      </c>
      <c r="G10" s="1">
        <f ca="1">IFERROR(__xludf.DUMMYFUNCTION("""COMPUTED_VALUE"""),-10.95)</f>
        <v>-10.95</v>
      </c>
      <c r="H10" s="1">
        <f ca="1">IFERROR(__xludf.DUMMYFUNCTION("""COMPUTED_VALUE"""),13)</f>
        <v>13</v>
      </c>
      <c r="I10" s="1">
        <f ca="1">IFERROR(__xludf.DUMMYFUNCTION("""COMPUTED_VALUE"""),5)</f>
        <v>5</v>
      </c>
      <c r="J10" s="1">
        <f ca="1">IFERROR(__xludf.DUMMYFUNCTION("""COMPUTED_VALUE"""),11)</f>
        <v>11</v>
      </c>
      <c r="K10" s="1">
        <f ca="1">IFERROR(__xludf.DUMMYFUNCTION("""COMPUTED_VALUE"""),2)</f>
        <v>2</v>
      </c>
      <c r="L10" s="1">
        <f ca="1">IFERROR(__xludf.DUMMYFUNCTION("""COMPUTED_VALUE"""),6)</f>
        <v>6</v>
      </c>
      <c r="M10" s="1">
        <f ca="1">IFERROR(__xludf.DUMMYFUNCTION("""COMPUTED_VALUE"""),11)</f>
        <v>11</v>
      </c>
      <c r="N10" s="1">
        <f ca="1">IFERROR(__xludf.DUMMYFUNCTION("""COMPUTED_VALUE"""),2221)</f>
        <v>2221</v>
      </c>
      <c r="O10" s="1">
        <f ca="1">IFERROR(__xludf.DUMMYFUNCTION("""COMPUTED_VALUE"""),2175)</f>
        <v>2175</v>
      </c>
      <c r="P10" s="1">
        <f ca="1">IFERROR(__xludf.DUMMYFUNCTION("""COMPUTED_VALUE"""),1285)</f>
        <v>1285</v>
      </c>
      <c r="Q10" s="1">
        <f ca="1">IFERROR(__xludf.DUMMYFUNCTION("""COMPUTED_VALUE"""),800)</f>
        <v>800</v>
      </c>
      <c r="R10" s="1">
        <f ca="1">IFERROR(__xludf.DUMMYFUNCTION("""COMPUTED_VALUE"""),1866)</f>
        <v>1866</v>
      </c>
      <c r="S10" s="1">
        <f ca="1">IFERROR(__xludf.DUMMYFUNCTION("""COMPUTED_VALUE"""),0.429)</f>
        <v>0.42899999999999999</v>
      </c>
      <c r="T10" s="1">
        <f ca="1">IFERROR(__xludf.DUMMYFUNCTION("""COMPUTED_VALUE"""),222)</f>
        <v>222</v>
      </c>
      <c r="U10" s="1">
        <f ca="1">IFERROR(__xludf.DUMMYFUNCTION("""COMPUTED_VALUE"""),669)</f>
        <v>669</v>
      </c>
      <c r="V10" s="1">
        <f ca="1">IFERROR(__xludf.DUMMYFUNCTION("""COMPUTED_VALUE"""),0.332)</f>
        <v>0.33200000000000002</v>
      </c>
      <c r="W10" s="1">
        <f ca="1">IFERROR(__xludf.DUMMYFUNCTION("""COMPUTED_VALUE"""),399)</f>
        <v>399</v>
      </c>
      <c r="X10" s="1">
        <f ca="1">IFERROR(__xludf.DUMMYFUNCTION("""COMPUTED_VALUE"""),612)</f>
        <v>612</v>
      </c>
      <c r="Y10" s="1">
        <f ca="1">IFERROR(__xludf.DUMMYFUNCTION("""COMPUTED_VALUE"""),0.652)</f>
        <v>0.65200000000000002</v>
      </c>
      <c r="Z10" s="1">
        <f ca="1">IFERROR(__xludf.DUMMYFUNCTION("""COMPUTED_VALUE"""),387)</f>
        <v>387</v>
      </c>
      <c r="AA10" s="1">
        <f ca="1">IFERROR(__xludf.DUMMYFUNCTION("""COMPUTED_VALUE"""),1243)</f>
        <v>1243</v>
      </c>
      <c r="AB10" s="1">
        <f ca="1">IFERROR(__xludf.DUMMYFUNCTION("""COMPUTED_VALUE"""),425)</f>
        <v>425</v>
      </c>
      <c r="AC10" s="1">
        <f ca="1">IFERROR(__xludf.DUMMYFUNCTION("""COMPUTED_VALUE"""),209)</f>
        <v>209</v>
      </c>
      <c r="AD10" s="1">
        <f ca="1">IFERROR(__xludf.DUMMYFUNCTION("""COMPUTED_VALUE"""),115)</f>
        <v>115</v>
      </c>
      <c r="AE10" s="1">
        <f ca="1">IFERROR(__xludf.DUMMYFUNCTION("""COMPUTED_VALUE"""),452)</f>
        <v>452</v>
      </c>
      <c r="AF10" s="1">
        <f ca="1">IFERROR(__xludf.DUMMYFUNCTION("""COMPUTED_VALUE"""),610)</f>
        <v>610</v>
      </c>
    </row>
    <row r="11" spans="1:32" ht="15.75" customHeight="1" x14ac:dyDescent="0.25">
      <c r="A11" s="1" t="str">
        <f ca="1">IFERROR(__xludf.DUMMYFUNCTION("""COMPUTED_VALUE"""),"American")</f>
        <v>American</v>
      </c>
      <c r="B11" s="1">
        <f ca="1">IFERROR(__xludf.DUMMYFUNCTION("""COMPUTED_VALUE"""),30)</f>
        <v>30</v>
      </c>
      <c r="C11" s="1">
        <f ca="1">IFERROR(__xludf.DUMMYFUNCTION("""COMPUTED_VALUE"""),8)</f>
        <v>8</v>
      </c>
      <c r="D11" s="1">
        <f ca="1">IFERROR(__xludf.DUMMYFUNCTION("""COMPUTED_VALUE"""),22)</f>
        <v>22</v>
      </c>
      <c r="E11" s="1">
        <f ca="1">IFERROR(__xludf.DUMMYFUNCTION("""COMPUTED_VALUE"""),0.267)</f>
        <v>0.26700000000000002</v>
      </c>
      <c r="F11" s="1">
        <f ca="1">IFERROR(__xludf.DUMMYFUNCTION("""COMPUTED_VALUE"""),-10.3)</f>
        <v>-10.3</v>
      </c>
      <c r="G11" s="1">
        <f ca="1">IFERROR(__xludf.DUMMYFUNCTION("""COMPUTED_VALUE"""),-3.5)</f>
        <v>-3.5</v>
      </c>
      <c r="H11" s="1">
        <f ca="1">IFERROR(__xludf.DUMMYFUNCTION("""COMPUTED_VALUE"""),5)</f>
        <v>5</v>
      </c>
      <c r="I11" s="1">
        <f ca="1">IFERROR(__xludf.DUMMYFUNCTION("""COMPUTED_VALUE"""),13)</f>
        <v>13</v>
      </c>
      <c r="J11" s="1">
        <f ca="1">IFERROR(__xludf.DUMMYFUNCTION("""COMPUTED_VALUE"""),4)</f>
        <v>4</v>
      </c>
      <c r="K11" s="1">
        <f ca="1">IFERROR(__xludf.DUMMYFUNCTION("""COMPUTED_VALUE"""),11)</f>
        <v>11</v>
      </c>
      <c r="L11" s="1">
        <f ca="1">IFERROR(__xludf.DUMMYFUNCTION("""COMPUTED_VALUE"""),4)</f>
        <v>4</v>
      </c>
      <c r="M11" s="1">
        <f ca="1">IFERROR(__xludf.DUMMYFUNCTION("""COMPUTED_VALUE"""),11)</f>
        <v>11</v>
      </c>
      <c r="N11" s="1">
        <f ca="1">IFERROR(__xludf.DUMMYFUNCTION("""COMPUTED_VALUE"""),1845)</f>
        <v>1845</v>
      </c>
      <c r="O11" s="1">
        <f ca="1">IFERROR(__xludf.DUMMYFUNCTION("""COMPUTED_VALUE"""),2049)</f>
        <v>2049</v>
      </c>
      <c r="P11" s="1">
        <f ca="1">IFERROR(__xludf.DUMMYFUNCTION("""COMPUTED_VALUE"""),1205)</f>
        <v>1205</v>
      </c>
      <c r="Q11" s="1">
        <f ca="1">IFERROR(__xludf.DUMMYFUNCTION("""COMPUTED_VALUE"""),692)</f>
        <v>692</v>
      </c>
      <c r="R11" s="1">
        <f ca="1">IFERROR(__xludf.DUMMYFUNCTION("""COMPUTED_VALUE"""),1542)</f>
        <v>1542</v>
      </c>
      <c r="S11" s="1">
        <f ca="1">IFERROR(__xludf.DUMMYFUNCTION("""COMPUTED_VALUE"""),0.449)</f>
        <v>0.44900000000000001</v>
      </c>
      <c r="T11" s="1">
        <f ca="1">IFERROR(__xludf.DUMMYFUNCTION("""COMPUTED_VALUE"""),168)</f>
        <v>168</v>
      </c>
      <c r="U11" s="1">
        <f ca="1">IFERROR(__xludf.DUMMYFUNCTION("""COMPUTED_VALUE"""),529)</f>
        <v>529</v>
      </c>
      <c r="V11" s="1">
        <f ca="1">IFERROR(__xludf.DUMMYFUNCTION("""COMPUTED_VALUE"""),0.318)</f>
        <v>0.318</v>
      </c>
      <c r="W11" s="1">
        <f ca="1">IFERROR(__xludf.DUMMYFUNCTION("""COMPUTED_VALUE"""),293)</f>
        <v>293</v>
      </c>
      <c r="X11" s="1">
        <f ca="1">IFERROR(__xludf.DUMMYFUNCTION("""COMPUTED_VALUE"""),474)</f>
        <v>474</v>
      </c>
      <c r="Y11" s="1">
        <f ca="1">IFERROR(__xludf.DUMMYFUNCTION("""COMPUTED_VALUE"""),0.618)</f>
        <v>0.61799999999999999</v>
      </c>
      <c r="Z11" s="1">
        <f ca="1">IFERROR(__xludf.DUMMYFUNCTION("""COMPUTED_VALUE"""),204)</f>
        <v>204</v>
      </c>
      <c r="AA11" s="1">
        <f ca="1">IFERROR(__xludf.DUMMYFUNCTION("""COMPUTED_VALUE"""),868)</f>
        <v>868</v>
      </c>
      <c r="AB11" s="1">
        <f ca="1">IFERROR(__xludf.DUMMYFUNCTION("""COMPUTED_VALUE"""),339)</f>
        <v>339</v>
      </c>
      <c r="AC11" s="1">
        <f ca="1">IFERROR(__xludf.DUMMYFUNCTION("""COMPUTED_VALUE"""),209)</f>
        <v>209</v>
      </c>
      <c r="AD11" s="1">
        <f ca="1">IFERROR(__xludf.DUMMYFUNCTION("""COMPUTED_VALUE"""),73)</f>
        <v>73</v>
      </c>
      <c r="AE11" s="1">
        <f ca="1">IFERROR(__xludf.DUMMYFUNCTION("""COMPUTED_VALUE"""),396)</f>
        <v>396</v>
      </c>
      <c r="AF11" s="1">
        <f ca="1">IFERROR(__xludf.DUMMYFUNCTION("""COMPUTED_VALUE"""),548)</f>
        <v>548</v>
      </c>
    </row>
    <row r="12" spans="1:32" ht="15.75" customHeight="1" x14ac:dyDescent="0.25">
      <c r="A12" s="1" t="str">
        <f ca="1">IFERROR(__xludf.DUMMYFUNCTION("""COMPUTED_VALUE"""),"Appalachian State")</f>
        <v>Appalachian State</v>
      </c>
      <c r="B12" s="1">
        <f ca="1">IFERROR(__xludf.DUMMYFUNCTION("""COMPUTED_VALUE"""),30)</f>
        <v>30</v>
      </c>
      <c r="C12" s="1">
        <f ca="1">IFERROR(__xludf.DUMMYFUNCTION("""COMPUTED_VALUE"""),9)</f>
        <v>9</v>
      </c>
      <c r="D12" s="1">
        <f ca="1">IFERROR(__xludf.DUMMYFUNCTION("""COMPUTED_VALUE"""),21)</f>
        <v>21</v>
      </c>
      <c r="E12" s="1">
        <f ca="1">IFERROR(__xludf.DUMMYFUNCTION("""COMPUTED_VALUE"""),0.3)</f>
        <v>0.3</v>
      </c>
      <c r="F12" s="1">
        <f ca="1">IFERROR(__xludf.DUMMYFUNCTION("""COMPUTED_VALUE"""),-8.67)</f>
        <v>-8.67</v>
      </c>
      <c r="G12" s="1">
        <f ca="1">IFERROR(__xludf.DUMMYFUNCTION("""COMPUTED_VALUE"""),-1.6)</f>
        <v>-1.6</v>
      </c>
      <c r="H12" s="1">
        <f ca="1">IFERROR(__xludf.DUMMYFUNCTION("""COMPUTED_VALUE"""),4)</f>
        <v>4</v>
      </c>
      <c r="I12" s="1">
        <f ca="1">IFERROR(__xludf.DUMMYFUNCTION("""COMPUTED_VALUE"""),14)</f>
        <v>14</v>
      </c>
      <c r="J12" s="1">
        <f ca="1">IFERROR(__xludf.DUMMYFUNCTION("""COMPUTED_VALUE"""),8)</f>
        <v>8</v>
      </c>
      <c r="K12" s="1">
        <f ca="1">IFERROR(__xludf.DUMMYFUNCTION("""COMPUTED_VALUE"""),6)</f>
        <v>6</v>
      </c>
      <c r="L12" s="1">
        <f ca="1">IFERROR(__xludf.DUMMYFUNCTION("""COMPUTED_VALUE"""),1)</f>
        <v>1</v>
      </c>
      <c r="M12" s="1">
        <f ca="1">IFERROR(__xludf.DUMMYFUNCTION("""COMPUTED_VALUE"""),14)</f>
        <v>14</v>
      </c>
      <c r="N12" s="1">
        <f ca="1">IFERROR(__xludf.DUMMYFUNCTION("""COMPUTED_VALUE"""),2208)</f>
        <v>2208</v>
      </c>
      <c r="O12" s="1">
        <f ca="1">IFERROR(__xludf.DUMMYFUNCTION("""COMPUTED_VALUE"""),2279)</f>
        <v>2279</v>
      </c>
      <c r="P12" s="1">
        <f ca="1">IFERROR(__xludf.DUMMYFUNCTION("""COMPUTED_VALUE"""),1205)</f>
        <v>1205</v>
      </c>
      <c r="Q12" s="1">
        <f ca="1">IFERROR(__xludf.DUMMYFUNCTION("""COMPUTED_VALUE"""),749)</f>
        <v>749</v>
      </c>
      <c r="R12" s="1">
        <f ca="1">IFERROR(__xludf.DUMMYFUNCTION("""COMPUTED_VALUE"""),1781)</f>
        <v>1781</v>
      </c>
      <c r="S12" s="1">
        <f ca="1">IFERROR(__xludf.DUMMYFUNCTION("""COMPUTED_VALUE"""),0.421)</f>
        <v>0.42099999999999999</v>
      </c>
      <c r="T12" s="1">
        <f ca="1">IFERROR(__xludf.DUMMYFUNCTION("""COMPUTED_VALUE"""),251)</f>
        <v>251</v>
      </c>
      <c r="U12" s="1">
        <f ca="1">IFERROR(__xludf.DUMMYFUNCTION("""COMPUTED_VALUE"""),742)</f>
        <v>742</v>
      </c>
      <c r="V12" s="1">
        <f ca="1">IFERROR(__xludf.DUMMYFUNCTION("""COMPUTED_VALUE"""),0.338)</f>
        <v>0.33800000000000002</v>
      </c>
      <c r="W12" s="1">
        <f ca="1">IFERROR(__xludf.DUMMYFUNCTION("""COMPUTED_VALUE"""),459)</f>
        <v>459</v>
      </c>
      <c r="X12" s="1">
        <f ca="1">IFERROR(__xludf.DUMMYFUNCTION("""COMPUTED_VALUE"""),674)</f>
        <v>674</v>
      </c>
      <c r="Y12" s="1">
        <f ca="1">IFERROR(__xludf.DUMMYFUNCTION("""COMPUTED_VALUE"""),0.681)</f>
        <v>0.68100000000000005</v>
      </c>
      <c r="Z12" s="1">
        <f ca="1">IFERROR(__xludf.DUMMYFUNCTION("""COMPUTED_VALUE"""),339)</f>
        <v>339</v>
      </c>
      <c r="AA12" s="1">
        <f ca="1">IFERROR(__xludf.DUMMYFUNCTION("""COMPUTED_VALUE"""),1126)</f>
        <v>1126</v>
      </c>
      <c r="AB12" s="1">
        <f ca="1">IFERROR(__xludf.DUMMYFUNCTION("""COMPUTED_VALUE"""),414)</f>
        <v>414</v>
      </c>
      <c r="AC12" s="1">
        <f ca="1">IFERROR(__xludf.DUMMYFUNCTION("""COMPUTED_VALUE"""),167)</f>
        <v>167</v>
      </c>
      <c r="AD12" s="1">
        <f ca="1">IFERROR(__xludf.DUMMYFUNCTION("""COMPUTED_VALUE"""),91)</f>
        <v>91</v>
      </c>
      <c r="AE12" s="1">
        <f ca="1">IFERROR(__xludf.DUMMYFUNCTION("""COMPUTED_VALUE"""),414)</f>
        <v>414</v>
      </c>
      <c r="AF12" s="1">
        <f ca="1">IFERROR(__xludf.DUMMYFUNCTION("""COMPUTED_VALUE"""),641)</f>
        <v>641</v>
      </c>
    </row>
    <row r="13" spans="1:32" ht="15.75" customHeight="1" x14ac:dyDescent="0.25">
      <c r="A13" s="1" t="str">
        <f ca="1">IFERROR(__xludf.DUMMYFUNCTION("""COMPUTED_VALUE"""),"Arizona State")</f>
        <v>Arizona State</v>
      </c>
      <c r="B13" s="1">
        <f ca="1">IFERROR(__xludf.DUMMYFUNCTION("""COMPUTED_VALUE"""),33)</f>
        <v>33</v>
      </c>
      <c r="C13" s="1">
        <f ca="1">IFERROR(__xludf.DUMMYFUNCTION("""COMPUTED_VALUE"""),15)</f>
        <v>15</v>
      </c>
      <c r="D13" s="1">
        <f ca="1">IFERROR(__xludf.DUMMYFUNCTION("""COMPUTED_VALUE"""),18)</f>
        <v>18</v>
      </c>
      <c r="E13" s="1">
        <f ca="1">IFERROR(__xludf.DUMMYFUNCTION("""COMPUTED_VALUE"""),0.455)</f>
        <v>0.45500000000000002</v>
      </c>
      <c r="F13" s="1">
        <f ca="1">IFERROR(__xludf.DUMMYFUNCTION("""COMPUTED_VALUE"""),4.02)</f>
        <v>4.0199999999999996</v>
      </c>
      <c r="G13" s="1">
        <f ca="1">IFERROR(__xludf.DUMMYFUNCTION("""COMPUTED_VALUE"""),7.11)</f>
        <v>7.11</v>
      </c>
      <c r="H13" s="1">
        <f ca="1">IFERROR(__xludf.DUMMYFUNCTION("""COMPUTED_VALUE"""),7)</f>
        <v>7</v>
      </c>
      <c r="I13" s="1">
        <f ca="1">IFERROR(__xludf.DUMMYFUNCTION("""COMPUTED_VALUE"""),11)</f>
        <v>11</v>
      </c>
      <c r="J13" s="1">
        <f ca="1">IFERROR(__xludf.DUMMYFUNCTION("""COMPUTED_VALUE"""),9)</f>
        <v>9</v>
      </c>
      <c r="K13" s="1">
        <f ca="1">IFERROR(__xludf.DUMMYFUNCTION("""COMPUTED_VALUE"""),7)</f>
        <v>7</v>
      </c>
      <c r="L13" s="1">
        <f ca="1">IFERROR(__xludf.DUMMYFUNCTION("""COMPUTED_VALUE"""),4)</f>
        <v>4</v>
      </c>
      <c r="M13" s="1">
        <f ca="1">IFERROR(__xludf.DUMMYFUNCTION("""COMPUTED_VALUE"""),6)</f>
        <v>6</v>
      </c>
      <c r="N13" s="1">
        <f ca="1">IFERROR(__xludf.DUMMYFUNCTION("""COMPUTED_VALUE"""),2593)</f>
        <v>2593</v>
      </c>
      <c r="O13" s="1">
        <f ca="1">IFERROR(__xludf.DUMMYFUNCTION("""COMPUTED_VALUE"""),2695)</f>
        <v>2695</v>
      </c>
      <c r="P13" s="1">
        <f ca="1">IFERROR(__xludf.DUMMYFUNCTION("""COMPUTED_VALUE"""),1325)</f>
        <v>1325</v>
      </c>
      <c r="Q13" s="1">
        <f ca="1">IFERROR(__xludf.DUMMYFUNCTION("""COMPUTED_VALUE"""),888)</f>
        <v>888</v>
      </c>
      <c r="R13" s="1">
        <f ca="1">IFERROR(__xludf.DUMMYFUNCTION("""COMPUTED_VALUE"""),2047)</f>
        <v>2047</v>
      </c>
      <c r="S13" s="1">
        <f ca="1">IFERROR(__xludf.DUMMYFUNCTION("""COMPUTED_VALUE"""),0.434)</f>
        <v>0.434</v>
      </c>
      <c r="T13" s="1">
        <f ca="1">IFERROR(__xludf.DUMMYFUNCTION("""COMPUTED_VALUE"""),328)</f>
        <v>328</v>
      </c>
      <c r="U13" s="1">
        <f ca="1">IFERROR(__xludf.DUMMYFUNCTION("""COMPUTED_VALUE"""),896)</f>
        <v>896</v>
      </c>
      <c r="V13" s="1">
        <f ca="1">IFERROR(__xludf.DUMMYFUNCTION("""COMPUTED_VALUE"""),0.366)</f>
        <v>0.36599999999999999</v>
      </c>
      <c r="W13" s="1">
        <f ca="1">IFERROR(__xludf.DUMMYFUNCTION("""COMPUTED_VALUE"""),489)</f>
        <v>489</v>
      </c>
      <c r="X13" s="1">
        <f ca="1">IFERROR(__xludf.DUMMYFUNCTION("""COMPUTED_VALUE"""),653)</f>
        <v>653</v>
      </c>
      <c r="Y13" s="1">
        <f ca="1">IFERROR(__xludf.DUMMYFUNCTION("""COMPUTED_VALUE"""),0.749)</f>
        <v>0.749</v>
      </c>
      <c r="Z13" s="1">
        <f ca="1">IFERROR(__xludf.DUMMYFUNCTION("""COMPUTED_VALUE"""),304)</f>
        <v>304</v>
      </c>
      <c r="AA13" s="1">
        <f ca="1">IFERROR(__xludf.DUMMYFUNCTION("""COMPUTED_VALUE"""),1075)</f>
        <v>1075</v>
      </c>
      <c r="AB13" s="1">
        <f ca="1">IFERROR(__xludf.DUMMYFUNCTION("""COMPUTED_VALUE"""),430)</f>
        <v>430</v>
      </c>
      <c r="AC13" s="1">
        <f ca="1">IFERROR(__xludf.DUMMYFUNCTION("""COMPUTED_VALUE"""),194)</f>
        <v>194</v>
      </c>
      <c r="AD13" s="1">
        <f ca="1">IFERROR(__xludf.DUMMYFUNCTION("""COMPUTED_VALUE"""),106)</f>
        <v>106</v>
      </c>
      <c r="AE13" s="1">
        <f ca="1">IFERROR(__xludf.DUMMYFUNCTION("""COMPUTED_VALUE"""),344)</f>
        <v>344</v>
      </c>
      <c r="AF13" s="1">
        <f ca="1">IFERROR(__xludf.DUMMYFUNCTION("""COMPUTED_VALUE"""),556)</f>
        <v>556</v>
      </c>
    </row>
    <row r="14" spans="1:32" ht="15.75" customHeight="1" x14ac:dyDescent="0.25">
      <c r="A14" s="1" t="str">
        <f ca="1">IFERROR(__xludf.DUMMYFUNCTION("""COMPUTED_VALUE"""),"ArizonaNCAA")</f>
        <v>ArizonaNCAA</v>
      </c>
      <c r="B14" s="1">
        <f ca="1">IFERROR(__xludf.DUMMYFUNCTION("""COMPUTED_VALUE"""),37)</f>
        <v>37</v>
      </c>
      <c r="C14" s="1">
        <f ca="1">IFERROR(__xludf.DUMMYFUNCTION("""COMPUTED_VALUE"""),32)</f>
        <v>32</v>
      </c>
      <c r="D14" s="1">
        <f ca="1">IFERROR(__xludf.DUMMYFUNCTION("""COMPUTED_VALUE"""),5)</f>
        <v>5</v>
      </c>
      <c r="E14" s="1">
        <f ca="1">IFERROR(__xludf.DUMMYFUNCTION("""COMPUTED_VALUE"""),0.865)</f>
        <v>0.86499999999999999</v>
      </c>
      <c r="F14" s="1">
        <f ca="1">IFERROR(__xludf.DUMMYFUNCTION("""COMPUTED_VALUE"""),18.25)</f>
        <v>18.25</v>
      </c>
      <c r="G14" s="1">
        <f ca="1">IFERROR(__xludf.DUMMYFUNCTION("""COMPUTED_VALUE"""),7.63)</f>
        <v>7.63</v>
      </c>
      <c r="H14" s="1">
        <f ca="1">IFERROR(__xludf.DUMMYFUNCTION("""COMPUTED_VALUE"""),16)</f>
        <v>16</v>
      </c>
      <c r="I14" s="1">
        <f ca="1">IFERROR(__xludf.DUMMYFUNCTION("""COMPUTED_VALUE"""),2)</f>
        <v>2</v>
      </c>
      <c r="J14" s="1">
        <f ca="1">IFERROR(__xludf.DUMMYFUNCTION("""COMPUTED_VALUE"""),15)</f>
        <v>15</v>
      </c>
      <c r="K14" s="1">
        <f ca="1">IFERROR(__xludf.DUMMYFUNCTION("""COMPUTED_VALUE"""),1)</f>
        <v>1</v>
      </c>
      <c r="L14" s="1">
        <f ca="1">IFERROR(__xludf.DUMMYFUNCTION("""COMPUTED_VALUE"""),9)</f>
        <v>9</v>
      </c>
      <c r="M14" s="1">
        <f ca="1">IFERROR(__xludf.DUMMYFUNCTION("""COMPUTED_VALUE"""),1)</f>
        <v>1</v>
      </c>
      <c r="N14" s="1">
        <f ca="1">IFERROR(__xludf.DUMMYFUNCTION("""COMPUTED_VALUE"""),2833)</f>
        <v>2833</v>
      </c>
      <c r="O14" s="1">
        <f ca="1">IFERROR(__xludf.DUMMYFUNCTION("""COMPUTED_VALUE"""),2440)</f>
        <v>2440</v>
      </c>
      <c r="P14" s="1">
        <f ca="1">IFERROR(__xludf.DUMMYFUNCTION("""COMPUTED_VALUE"""),1480)</f>
        <v>1480</v>
      </c>
      <c r="Q14" s="1">
        <f ca="1">IFERROR(__xludf.DUMMYFUNCTION("""COMPUTED_VALUE"""),977)</f>
        <v>977</v>
      </c>
      <c r="R14" s="1">
        <f ca="1">IFERROR(__xludf.DUMMYFUNCTION("""COMPUTED_VALUE"""),2048)</f>
        <v>2048</v>
      </c>
      <c r="S14" s="1">
        <f ca="1">IFERROR(__xludf.DUMMYFUNCTION("""COMPUTED_VALUE"""),0.477)</f>
        <v>0.47699999999999998</v>
      </c>
      <c r="T14" s="1">
        <f ca="1">IFERROR(__xludf.DUMMYFUNCTION("""COMPUTED_VALUE"""),244)</f>
        <v>244</v>
      </c>
      <c r="U14" s="1">
        <f ca="1">IFERROR(__xludf.DUMMYFUNCTION("""COMPUTED_VALUE"""),625)</f>
        <v>625</v>
      </c>
      <c r="V14" s="1">
        <f ca="1">IFERROR(__xludf.DUMMYFUNCTION("""COMPUTED_VALUE"""),0.39)</f>
        <v>0.39</v>
      </c>
      <c r="W14" s="1">
        <f ca="1">IFERROR(__xludf.DUMMYFUNCTION("""COMPUTED_VALUE"""),635)</f>
        <v>635</v>
      </c>
      <c r="X14" s="1">
        <f ca="1">IFERROR(__xludf.DUMMYFUNCTION("""COMPUTED_VALUE"""),830)</f>
        <v>830</v>
      </c>
      <c r="Y14" s="1">
        <f ca="1">IFERROR(__xludf.DUMMYFUNCTION("""COMPUTED_VALUE"""),0.765)</f>
        <v>0.76500000000000001</v>
      </c>
      <c r="Z14" s="1">
        <f ca="1">IFERROR(__xludf.DUMMYFUNCTION("""COMPUTED_VALUE"""),380)</f>
        <v>380</v>
      </c>
      <c r="AA14" s="1">
        <f ca="1">IFERROR(__xludf.DUMMYFUNCTION("""COMPUTED_VALUE"""),1358)</f>
        <v>1358</v>
      </c>
      <c r="AB14" s="1">
        <f ca="1">IFERROR(__xludf.DUMMYFUNCTION("""COMPUTED_VALUE"""),501)</f>
        <v>501</v>
      </c>
      <c r="AC14" s="1">
        <f ca="1">IFERROR(__xludf.DUMMYFUNCTION("""COMPUTED_VALUE"""),201)</f>
        <v>201</v>
      </c>
      <c r="AD14" s="1">
        <f ca="1">IFERROR(__xludf.DUMMYFUNCTION("""COMPUTED_VALUE"""),119)</f>
        <v>119</v>
      </c>
      <c r="AE14" s="1">
        <f ca="1">IFERROR(__xludf.DUMMYFUNCTION("""COMPUTED_VALUE"""),413)</f>
        <v>413</v>
      </c>
      <c r="AF14" s="1">
        <f ca="1">IFERROR(__xludf.DUMMYFUNCTION("""COMPUTED_VALUE"""),625)</f>
        <v>625</v>
      </c>
    </row>
    <row r="15" spans="1:32" ht="15.75" customHeight="1" x14ac:dyDescent="0.25">
      <c r="A15" s="1" t="str">
        <f ca="1">IFERROR(__xludf.DUMMYFUNCTION("""COMPUTED_VALUE"""),"Little Rock")</f>
        <v>Little Rock</v>
      </c>
      <c r="B15" s="1">
        <f ca="1">IFERROR(__xludf.DUMMYFUNCTION("""COMPUTED_VALUE"""),32)</f>
        <v>32</v>
      </c>
      <c r="C15" s="1">
        <f ca="1">IFERROR(__xludf.DUMMYFUNCTION("""COMPUTED_VALUE"""),15)</f>
        <v>15</v>
      </c>
      <c r="D15" s="1">
        <f ca="1">IFERROR(__xludf.DUMMYFUNCTION("""COMPUTED_VALUE"""),17)</f>
        <v>17</v>
      </c>
      <c r="E15" s="1">
        <f ca="1">IFERROR(__xludf.DUMMYFUNCTION("""COMPUTED_VALUE"""),0.469)</f>
        <v>0.46899999999999997</v>
      </c>
      <c r="F15" s="1">
        <f ca="1">IFERROR(__xludf.DUMMYFUNCTION("""COMPUTED_VALUE"""),-6.07)</f>
        <v>-6.07</v>
      </c>
      <c r="G15" s="1">
        <f ca="1">IFERROR(__xludf.DUMMYFUNCTION("""COMPUTED_VALUE"""),-3.8)</f>
        <v>-3.8</v>
      </c>
      <c r="H15" s="1">
        <f ca="1">IFERROR(__xludf.DUMMYFUNCTION("""COMPUTED_VALUE"""),6)</f>
        <v>6</v>
      </c>
      <c r="I15" s="1">
        <f ca="1">IFERROR(__xludf.DUMMYFUNCTION("""COMPUTED_VALUE"""),12)</f>
        <v>12</v>
      </c>
      <c r="J15" s="1">
        <f ca="1">IFERROR(__xludf.DUMMYFUNCTION("""COMPUTED_VALUE"""),9)</f>
        <v>9</v>
      </c>
      <c r="K15" s="1">
        <f ca="1">IFERROR(__xludf.DUMMYFUNCTION("""COMPUTED_VALUE"""),6)</f>
        <v>6</v>
      </c>
      <c r="L15" s="1">
        <f ca="1">IFERROR(__xludf.DUMMYFUNCTION("""COMPUTED_VALUE"""),4)</f>
        <v>4</v>
      </c>
      <c r="M15" s="1">
        <f ca="1">IFERROR(__xludf.DUMMYFUNCTION("""COMPUTED_VALUE"""),9)</f>
        <v>9</v>
      </c>
      <c r="N15" s="1">
        <f ca="1">IFERROR(__xludf.DUMMYFUNCTION("""COMPUTED_VALUE"""),2188)</f>
        <v>2188</v>
      </c>
      <c r="O15" s="1">
        <f ca="1">IFERROR(__xludf.DUMMYFUNCTION("""COMPUTED_VALUE"""),2185)</f>
        <v>2185</v>
      </c>
      <c r="P15" s="1">
        <f ca="1">IFERROR(__xludf.DUMMYFUNCTION("""COMPUTED_VALUE"""),1290)</f>
        <v>1290</v>
      </c>
      <c r="Q15" s="1">
        <f ca="1">IFERROR(__xludf.DUMMYFUNCTION("""COMPUTED_VALUE"""),775)</f>
        <v>775</v>
      </c>
      <c r="R15" s="1">
        <f ca="1">IFERROR(__xludf.DUMMYFUNCTION("""COMPUTED_VALUE"""),1749)</f>
        <v>1749</v>
      </c>
      <c r="S15" s="1">
        <f ca="1">IFERROR(__xludf.DUMMYFUNCTION("""COMPUTED_VALUE"""),0.443)</f>
        <v>0.443</v>
      </c>
      <c r="T15" s="1">
        <f ca="1">IFERROR(__xludf.DUMMYFUNCTION("""COMPUTED_VALUE"""),207)</f>
        <v>207</v>
      </c>
      <c r="U15" s="1">
        <f ca="1">IFERROR(__xludf.DUMMYFUNCTION("""COMPUTED_VALUE"""),599)</f>
        <v>599</v>
      </c>
      <c r="V15" s="1">
        <f ca="1">IFERROR(__xludf.DUMMYFUNCTION("""COMPUTED_VALUE"""),0.346)</f>
        <v>0.34599999999999997</v>
      </c>
      <c r="W15" s="1">
        <f ca="1">IFERROR(__xludf.DUMMYFUNCTION("""COMPUTED_VALUE"""),431)</f>
        <v>431</v>
      </c>
      <c r="X15" s="1">
        <f ca="1">IFERROR(__xludf.DUMMYFUNCTION("""COMPUTED_VALUE"""),582)</f>
        <v>582</v>
      </c>
      <c r="Y15" s="1">
        <f ca="1">IFERROR(__xludf.DUMMYFUNCTION("""COMPUTED_VALUE"""),0.741)</f>
        <v>0.74099999999999999</v>
      </c>
      <c r="Z15" s="1">
        <f ca="1">IFERROR(__xludf.DUMMYFUNCTION("""COMPUTED_VALUE"""),305)</f>
        <v>305</v>
      </c>
      <c r="AA15" s="1">
        <f ca="1">IFERROR(__xludf.DUMMYFUNCTION("""COMPUTED_VALUE"""),1058)</f>
        <v>1058</v>
      </c>
      <c r="AB15" s="1">
        <f ca="1">IFERROR(__xludf.DUMMYFUNCTION("""COMPUTED_VALUE"""),379)</f>
        <v>379</v>
      </c>
      <c r="AC15" s="1">
        <f ca="1">IFERROR(__xludf.DUMMYFUNCTION("""COMPUTED_VALUE"""),183)</f>
        <v>183</v>
      </c>
      <c r="AD15" s="1">
        <f ca="1">IFERROR(__xludf.DUMMYFUNCTION("""COMPUTED_VALUE"""),120)</f>
        <v>120</v>
      </c>
      <c r="AE15" s="1">
        <f ca="1">IFERROR(__xludf.DUMMYFUNCTION("""COMPUTED_VALUE"""),412)</f>
        <v>412</v>
      </c>
      <c r="AF15" s="1">
        <f ca="1">IFERROR(__xludf.DUMMYFUNCTION("""COMPUTED_VALUE"""),591)</f>
        <v>591</v>
      </c>
    </row>
    <row r="16" spans="1:32" ht="15.75" customHeight="1" x14ac:dyDescent="0.25">
      <c r="A16" s="1" t="str">
        <f ca="1">IFERROR(__xludf.DUMMYFUNCTION("""COMPUTED_VALUE"""),"Arkansas-Pine Bluff")</f>
        <v>Arkansas-Pine Bluff</v>
      </c>
      <c r="B16" s="1">
        <f ca="1">IFERROR(__xludf.DUMMYFUNCTION("""COMPUTED_VALUE"""),32)</f>
        <v>32</v>
      </c>
      <c r="C16" s="1">
        <f ca="1">IFERROR(__xludf.DUMMYFUNCTION("""COMPUTED_VALUE"""),7)</f>
        <v>7</v>
      </c>
      <c r="D16" s="1">
        <f ca="1">IFERROR(__xludf.DUMMYFUNCTION("""COMPUTED_VALUE"""),25)</f>
        <v>25</v>
      </c>
      <c r="E16" s="1">
        <f ca="1">IFERROR(__xludf.DUMMYFUNCTION("""COMPUTED_VALUE"""),0.219)</f>
        <v>0.219</v>
      </c>
      <c r="F16" s="1">
        <f ca="1">IFERROR(__xludf.DUMMYFUNCTION("""COMPUTED_VALUE"""),-22.81)</f>
        <v>-22.81</v>
      </c>
      <c r="G16" s="1">
        <f ca="1">IFERROR(__xludf.DUMMYFUNCTION("""COMPUTED_VALUE"""),-10.28)</f>
        <v>-10.28</v>
      </c>
      <c r="H16" s="1">
        <f ca="1">IFERROR(__xludf.DUMMYFUNCTION("""COMPUTED_VALUE"""),6)</f>
        <v>6</v>
      </c>
      <c r="I16" s="1">
        <f ca="1">IFERROR(__xludf.DUMMYFUNCTION("""COMPUTED_VALUE"""),12)</f>
        <v>12</v>
      </c>
      <c r="J16" s="1">
        <f ca="1">IFERROR(__xludf.DUMMYFUNCTION("""COMPUTED_VALUE"""),6)</f>
        <v>6</v>
      </c>
      <c r="K16" s="1">
        <f ca="1">IFERROR(__xludf.DUMMYFUNCTION("""COMPUTED_VALUE"""),6)</f>
        <v>6</v>
      </c>
      <c r="L16" s="1">
        <f ca="1">IFERROR(__xludf.DUMMYFUNCTION("""COMPUTED_VALUE"""),1)</f>
        <v>1</v>
      </c>
      <c r="M16" s="1">
        <f ca="1">IFERROR(__xludf.DUMMYFUNCTION("""COMPUTED_VALUE"""),19)</f>
        <v>19</v>
      </c>
      <c r="N16" s="1">
        <f ca="1">IFERROR(__xludf.DUMMYFUNCTION("""COMPUTED_VALUE"""),1977)</f>
        <v>1977</v>
      </c>
      <c r="O16" s="1">
        <f ca="1">IFERROR(__xludf.DUMMYFUNCTION("""COMPUTED_VALUE"""),2320)</f>
        <v>2320</v>
      </c>
      <c r="P16" s="1">
        <f ca="1">IFERROR(__xludf.DUMMYFUNCTION("""COMPUTED_VALUE"""),1305)</f>
        <v>1305</v>
      </c>
      <c r="Q16" s="1">
        <f ca="1">IFERROR(__xludf.DUMMYFUNCTION("""COMPUTED_VALUE"""),695)</f>
        <v>695</v>
      </c>
      <c r="R16" s="1">
        <f ca="1">IFERROR(__xludf.DUMMYFUNCTION("""COMPUTED_VALUE"""),1725)</f>
        <v>1725</v>
      </c>
      <c r="S16" s="1">
        <f ca="1">IFERROR(__xludf.DUMMYFUNCTION("""COMPUTED_VALUE"""),0.403)</f>
        <v>0.40300000000000002</v>
      </c>
      <c r="T16" s="1">
        <f ca="1">IFERROR(__xludf.DUMMYFUNCTION("""COMPUTED_VALUE"""),208)</f>
        <v>208</v>
      </c>
      <c r="U16" s="1">
        <f ca="1">IFERROR(__xludf.DUMMYFUNCTION("""COMPUTED_VALUE"""),621)</f>
        <v>621</v>
      </c>
      <c r="V16" s="1">
        <f ca="1">IFERROR(__xludf.DUMMYFUNCTION("""COMPUTED_VALUE"""),0.335)</f>
        <v>0.33500000000000002</v>
      </c>
      <c r="W16" s="1">
        <f ca="1">IFERROR(__xludf.DUMMYFUNCTION("""COMPUTED_VALUE"""),379)</f>
        <v>379</v>
      </c>
      <c r="X16" s="1">
        <f ca="1">IFERROR(__xludf.DUMMYFUNCTION("""COMPUTED_VALUE"""),581)</f>
        <v>581</v>
      </c>
      <c r="Y16" s="1">
        <f ca="1">IFERROR(__xludf.DUMMYFUNCTION("""COMPUTED_VALUE"""),0.652)</f>
        <v>0.65200000000000002</v>
      </c>
      <c r="Z16" s="1">
        <f ca="1">IFERROR(__xludf.DUMMYFUNCTION("""COMPUTED_VALUE"""),335)</f>
        <v>335</v>
      </c>
      <c r="AA16" s="1">
        <f ca="1">IFERROR(__xludf.DUMMYFUNCTION("""COMPUTED_VALUE"""),1013)</f>
        <v>1013</v>
      </c>
      <c r="AB16" s="1">
        <f ca="1">IFERROR(__xludf.DUMMYFUNCTION("""COMPUTED_VALUE"""),334)</f>
        <v>334</v>
      </c>
      <c r="AC16" s="1">
        <f ca="1">IFERROR(__xludf.DUMMYFUNCTION("""COMPUTED_VALUE"""),279)</f>
        <v>279</v>
      </c>
      <c r="AD16" s="1">
        <f ca="1">IFERROR(__xludf.DUMMYFUNCTION("""COMPUTED_VALUE"""),93)</f>
        <v>93</v>
      </c>
      <c r="AE16" s="1">
        <f ca="1">IFERROR(__xludf.DUMMYFUNCTION("""COMPUTED_VALUE"""),578)</f>
        <v>578</v>
      </c>
      <c r="AF16" s="1">
        <f ca="1">IFERROR(__xludf.DUMMYFUNCTION("""COMPUTED_VALUE"""),718)</f>
        <v>718</v>
      </c>
    </row>
    <row r="17" spans="1:32" ht="15.75" customHeight="1" x14ac:dyDescent="0.25">
      <c r="A17" s="1" t="str">
        <f ca="1">IFERROR(__xludf.DUMMYFUNCTION("""COMPUTED_VALUE"""),"Arkansas State")</f>
        <v>Arkansas State</v>
      </c>
      <c r="B17" s="1">
        <f ca="1">IFERROR(__xludf.DUMMYFUNCTION("""COMPUTED_VALUE"""),32)</f>
        <v>32</v>
      </c>
      <c r="C17" s="1">
        <f ca="1">IFERROR(__xludf.DUMMYFUNCTION("""COMPUTED_VALUE"""),20)</f>
        <v>20</v>
      </c>
      <c r="D17" s="1">
        <f ca="1">IFERROR(__xludf.DUMMYFUNCTION("""COMPUTED_VALUE"""),12)</f>
        <v>12</v>
      </c>
      <c r="E17" s="1">
        <f ca="1">IFERROR(__xludf.DUMMYFUNCTION("""COMPUTED_VALUE"""),0.625)</f>
        <v>0.625</v>
      </c>
      <c r="F17" s="1">
        <f ca="1">IFERROR(__xludf.DUMMYFUNCTION("""COMPUTED_VALUE"""),0.87)</f>
        <v>0.87</v>
      </c>
      <c r="G17" s="1">
        <f ca="1">IFERROR(__xludf.DUMMYFUNCTION("""COMPUTED_VALUE"""),-2.1)</f>
        <v>-2.1</v>
      </c>
      <c r="H17" s="1">
        <f ca="1">IFERROR(__xludf.DUMMYFUNCTION("""COMPUTED_VALUE"""),11)</f>
        <v>11</v>
      </c>
      <c r="I17" s="1">
        <f ca="1">IFERROR(__xludf.DUMMYFUNCTION("""COMPUTED_VALUE"""),7)</f>
        <v>7</v>
      </c>
      <c r="J17" s="1">
        <f ca="1">IFERROR(__xludf.DUMMYFUNCTION("""COMPUTED_VALUE"""),12)</f>
        <v>12</v>
      </c>
      <c r="K17" s="1">
        <f ca="1">IFERROR(__xludf.DUMMYFUNCTION("""COMPUTED_VALUE"""),1)</f>
        <v>1</v>
      </c>
      <c r="L17" s="1">
        <f ca="1">IFERROR(__xludf.DUMMYFUNCTION("""COMPUTED_VALUE"""),7)</f>
        <v>7</v>
      </c>
      <c r="M17" s="1">
        <f ca="1">IFERROR(__xludf.DUMMYFUNCTION("""COMPUTED_VALUE"""),9)</f>
        <v>9</v>
      </c>
      <c r="N17" s="1">
        <f ca="1">IFERROR(__xludf.DUMMYFUNCTION("""COMPUTED_VALUE"""),2346)</f>
        <v>2346</v>
      </c>
      <c r="O17" s="1">
        <f ca="1">IFERROR(__xludf.DUMMYFUNCTION("""COMPUTED_VALUE"""),2211)</f>
        <v>2211</v>
      </c>
      <c r="P17" s="1">
        <f ca="1">IFERROR(__xludf.DUMMYFUNCTION("""COMPUTED_VALUE"""),1285)</f>
        <v>1285</v>
      </c>
      <c r="Q17" s="1">
        <f ca="1">IFERROR(__xludf.DUMMYFUNCTION("""COMPUTED_VALUE"""),826)</f>
        <v>826</v>
      </c>
      <c r="R17" s="1">
        <f ca="1">IFERROR(__xludf.DUMMYFUNCTION("""COMPUTED_VALUE"""),1792)</f>
        <v>1792</v>
      </c>
      <c r="S17" s="1">
        <f ca="1">IFERROR(__xludf.DUMMYFUNCTION("""COMPUTED_VALUE"""),0.461)</f>
        <v>0.46100000000000002</v>
      </c>
      <c r="T17" s="1">
        <f ca="1">IFERROR(__xludf.DUMMYFUNCTION("""COMPUTED_VALUE"""),220)</f>
        <v>220</v>
      </c>
      <c r="U17" s="1">
        <f ca="1">IFERROR(__xludf.DUMMYFUNCTION("""COMPUTED_VALUE"""),579)</f>
        <v>579</v>
      </c>
      <c r="V17" s="1">
        <f ca="1">IFERROR(__xludf.DUMMYFUNCTION("""COMPUTED_VALUE"""),0.38)</f>
        <v>0.38</v>
      </c>
      <c r="W17" s="1">
        <f ca="1">IFERROR(__xludf.DUMMYFUNCTION("""COMPUTED_VALUE"""),474)</f>
        <v>474</v>
      </c>
      <c r="X17" s="1">
        <f ca="1">IFERROR(__xludf.DUMMYFUNCTION("""COMPUTED_VALUE"""),743)</f>
        <v>743</v>
      </c>
      <c r="Y17" s="1">
        <f ca="1">IFERROR(__xludf.DUMMYFUNCTION("""COMPUTED_VALUE"""),0.638)</f>
        <v>0.63800000000000001</v>
      </c>
      <c r="Z17" s="1">
        <f ca="1">IFERROR(__xludf.DUMMYFUNCTION("""COMPUTED_VALUE"""),352)</f>
        <v>352</v>
      </c>
      <c r="AA17" s="1">
        <f ca="1">IFERROR(__xludf.DUMMYFUNCTION("""COMPUTED_VALUE"""),1169)</f>
        <v>1169</v>
      </c>
      <c r="AB17" s="1">
        <f ca="1">IFERROR(__xludf.DUMMYFUNCTION("""COMPUTED_VALUE"""),397)</f>
        <v>397</v>
      </c>
      <c r="AC17" s="1">
        <f ca="1">IFERROR(__xludf.DUMMYFUNCTION("""COMPUTED_VALUE"""),172)</f>
        <v>172</v>
      </c>
      <c r="AD17" s="1">
        <f ca="1">IFERROR(__xludf.DUMMYFUNCTION("""COMPUTED_VALUE"""),83)</f>
        <v>83</v>
      </c>
      <c r="AE17" s="1">
        <f ca="1">IFERROR(__xludf.DUMMYFUNCTION("""COMPUTED_VALUE"""),414)</f>
        <v>414</v>
      </c>
      <c r="AF17" s="1">
        <f ca="1">IFERROR(__xludf.DUMMYFUNCTION("""COMPUTED_VALUE"""),652)</f>
        <v>652</v>
      </c>
    </row>
    <row r="18" spans="1:32" ht="15.75" customHeight="1" x14ac:dyDescent="0.25">
      <c r="A18" s="1" t="str">
        <f ca="1">IFERROR(__xludf.DUMMYFUNCTION("""COMPUTED_VALUE"""),"ArkansasNCAA")</f>
        <v>ArkansasNCAA</v>
      </c>
      <c r="B18" s="1">
        <f ca="1">IFERROR(__xludf.DUMMYFUNCTION("""COMPUTED_VALUE"""),36)</f>
        <v>36</v>
      </c>
      <c r="C18" s="1">
        <f ca="1">IFERROR(__xludf.DUMMYFUNCTION("""COMPUTED_VALUE"""),26)</f>
        <v>26</v>
      </c>
      <c r="D18" s="1">
        <f ca="1">IFERROR(__xludf.DUMMYFUNCTION("""COMPUTED_VALUE"""),10)</f>
        <v>10</v>
      </c>
      <c r="E18" s="1">
        <f ca="1">IFERROR(__xludf.DUMMYFUNCTION("""COMPUTED_VALUE"""),0.722)</f>
        <v>0.72199999999999998</v>
      </c>
      <c r="F18" s="1">
        <f ca="1">IFERROR(__xludf.DUMMYFUNCTION("""COMPUTED_VALUE"""),14.04)</f>
        <v>14.04</v>
      </c>
      <c r="G18" s="1">
        <f ca="1">IFERROR(__xludf.DUMMYFUNCTION("""COMPUTED_VALUE"""),8.6)</f>
        <v>8.6</v>
      </c>
      <c r="H18" s="1">
        <f ca="1">IFERROR(__xludf.DUMMYFUNCTION("""COMPUTED_VALUE"""),12)</f>
        <v>12</v>
      </c>
      <c r="I18" s="1">
        <f ca="1">IFERROR(__xludf.DUMMYFUNCTION("""COMPUTED_VALUE"""),6)</f>
        <v>6</v>
      </c>
      <c r="J18" s="1">
        <f ca="1">IFERROR(__xludf.DUMMYFUNCTION("""COMPUTED_VALUE"""),15)</f>
        <v>15</v>
      </c>
      <c r="K18" s="1">
        <f ca="1">IFERROR(__xludf.DUMMYFUNCTION("""COMPUTED_VALUE"""),3)</f>
        <v>3</v>
      </c>
      <c r="L18" s="1">
        <f ca="1">IFERROR(__xludf.DUMMYFUNCTION("""COMPUTED_VALUE"""),6)</f>
        <v>6</v>
      </c>
      <c r="M18" s="1">
        <f ca="1">IFERROR(__xludf.DUMMYFUNCTION("""COMPUTED_VALUE"""),5)</f>
        <v>5</v>
      </c>
      <c r="N18" s="1">
        <f ca="1">IFERROR(__xludf.DUMMYFUNCTION("""COMPUTED_VALUE"""),2855)</f>
        <v>2855</v>
      </c>
      <c r="O18" s="1">
        <f ca="1">IFERROR(__xludf.DUMMYFUNCTION("""COMPUTED_VALUE"""),2659)</f>
        <v>2659</v>
      </c>
      <c r="P18" s="1">
        <f ca="1">IFERROR(__xludf.DUMMYFUNCTION("""COMPUTED_VALUE"""),1440)</f>
        <v>1440</v>
      </c>
      <c r="Q18" s="1">
        <f ca="1">IFERROR(__xludf.DUMMYFUNCTION("""COMPUTED_VALUE"""),997)</f>
        <v>997</v>
      </c>
      <c r="R18" s="1">
        <f ca="1">IFERROR(__xludf.DUMMYFUNCTION("""COMPUTED_VALUE"""),2165)</f>
        <v>2165</v>
      </c>
      <c r="S18" s="1">
        <f ca="1">IFERROR(__xludf.DUMMYFUNCTION("""COMPUTED_VALUE"""),0.461)</f>
        <v>0.46100000000000002</v>
      </c>
      <c r="T18" s="1">
        <f ca="1">IFERROR(__xludf.DUMMYFUNCTION("""COMPUTED_VALUE"""),233)</f>
        <v>233</v>
      </c>
      <c r="U18" s="1">
        <f ca="1">IFERROR(__xludf.DUMMYFUNCTION("""COMPUTED_VALUE"""),638)</f>
        <v>638</v>
      </c>
      <c r="V18" s="1">
        <f ca="1">IFERROR(__xludf.DUMMYFUNCTION("""COMPUTED_VALUE"""),0.365)</f>
        <v>0.36499999999999999</v>
      </c>
      <c r="W18" s="1">
        <f ca="1">IFERROR(__xludf.DUMMYFUNCTION("""COMPUTED_VALUE"""),628)</f>
        <v>628</v>
      </c>
      <c r="X18" s="1">
        <f ca="1">IFERROR(__xludf.DUMMYFUNCTION("""COMPUTED_VALUE"""),825)</f>
        <v>825</v>
      </c>
      <c r="Y18" s="1">
        <f ca="1">IFERROR(__xludf.DUMMYFUNCTION("""COMPUTED_VALUE"""),0.761)</f>
        <v>0.76100000000000001</v>
      </c>
      <c r="Z18" s="1">
        <f ca="1">IFERROR(__xludf.DUMMYFUNCTION("""COMPUTED_VALUE"""),401)</f>
        <v>401</v>
      </c>
      <c r="AA18" s="1">
        <f ca="1">IFERROR(__xludf.DUMMYFUNCTION("""COMPUTED_VALUE"""),1298)</f>
        <v>1298</v>
      </c>
      <c r="AB18" s="1">
        <f ca="1">IFERROR(__xludf.DUMMYFUNCTION("""COMPUTED_VALUE"""),497)</f>
        <v>497</v>
      </c>
      <c r="AC18" s="1">
        <f ca="1">IFERROR(__xludf.DUMMYFUNCTION("""COMPUTED_VALUE"""),278)</f>
        <v>278</v>
      </c>
      <c r="AD18" s="1">
        <f ca="1">IFERROR(__xludf.DUMMYFUNCTION("""COMPUTED_VALUE"""),170)</f>
        <v>170</v>
      </c>
      <c r="AE18" s="1">
        <f ca="1">IFERROR(__xludf.DUMMYFUNCTION("""COMPUTED_VALUE"""),428)</f>
        <v>428</v>
      </c>
      <c r="AF18" s="1">
        <f ca="1">IFERROR(__xludf.DUMMYFUNCTION("""COMPUTED_VALUE"""),739)</f>
        <v>739</v>
      </c>
    </row>
    <row r="19" spans="1:32" ht="12.5" x14ac:dyDescent="0.25">
      <c r="A19" s="1" t="str">
        <f ca="1">IFERROR(__xludf.DUMMYFUNCTION("""COMPUTED_VALUE"""),"Army")</f>
        <v>Army</v>
      </c>
      <c r="B19" s="1">
        <f ca="1">IFERROR(__xludf.DUMMYFUNCTION("""COMPUTED_VALUE"""),32)</f>
        <v>32</v>
      </c>
      <c r="C19" s="1">
        <f ca="1">IFERROR(__xludf.DUMMYFUNCTION("""COMPUTED_VALUE"""),13)</f>
        <v>13</v>
      </c>
      <c r="D19" s="1">
        <f ca="1">IFERROR(__xludf.DUMMYFUNCTION("""COMPUTED_VALUE"""),19)</f>
        <v>19</v>
      </c>
      <c r="E19" s="1">
        <f ca="1">IFERROR(__xludf.DUMMYFUNCTION("""COMPUTED_VALUE"""),0.406)</f>
        <v>0.40600000000000003</v>
      </c>
      <c r="F19" s="1">
        <f ca="1">IFERROR(__xludf.DUMMYFUNCTION("""COMPUTED_VALUE"""),-5.84)</f>
        <v>-5.84</v>
      </c>
      <c r="G19" s="1">
        <f ca="1">IFERROR(__xludf.DUMMYFUNCTION("""COMPUTED_VALUE"""),-4.1)</f>
        <v>-4.0999999999999996</v>
      </c>
      <c r="H19" s="1">
        <f ca="1">IFERROR(__xludf.DUMMYFUNCTION("""COMPUTED_VALUE"""),6)</f>
        <v>6</v>
      </c>
      <c r="I19" s="1">
        <f ca="1">IFERROR(__xludf.DUMMYFUNCTION("""COMPUTED_VALUE"""),12)</f>
        <v>12</v>
      </c>
      <c r="J19" s="1">
        <f ca="1">IFERROR(__xludf.DUMMYFUNCTION("""COMPUTED_VALUE"""),9)</f>
        <v>9</v>
      </c>
      <c r="K19" s="1">
        <f ca="1">IFERROR(__xludf.DUMMYFUNCTION("""COMPUTED_VALUE"""),8)</f>
        <v>8</v>
      </c>
      <c r="L19" s="1">
        <f ca="1">IFERROR(__xludf.DUMMYFUNCTION("""COMPUTED_VALUE"""),4)</f>
        <v>4</v>
      </c>
      <c r="M19" s="1">
        <f ca="1">IFERROR(__xludf.DUMMYFUNCTION("""COMPUTED_VALUE"""),10)</f>
        <v>10</v>
      </c>
      <c r="N19" s="1">
        <f ca="1">IFERROR(__xludf.DUMMYFUNCTION("""COMPUTED_VALUE"""),2324)</f>
        <v>2324</v>
      </c>
      <c r="O19" s="1">
        <f ca="1">IFERROR(__xludf.DUMMYFUNCTION("""COMPUTED_VALUE"""),2340)</f>
        <v>2340</v>
      </c>
      <c r="P19" s="1">
        <f ca="1">IFERROR(__xludf.DUMMYFUNCTION("""COMPUTED_VALUE"""),1295)</f>
        <v>1295</v>
      </c>
      <c r="Q19" s="1">
        <f ca="1">IFERROR(__xludf.DUMMYFUNCTION("""COMPUTED_VALUE"""),842)</f>
        <v>842</v>
      </c>
      <c r="R19" s="1">
        <f ca="1">IFERROR(__xludf.DUMMYFUNCTION("""COMPUTED_VALUE"""),1906)</f>
        <v>1906</v>
      </c>
      <c r="S19" s="1">
        <f ca="1">IFERROR(__xludf.DUMMYFUNCTION("""COMPUTED_VALUE"""),0.442)</f>
        <v>0.442</v>
      </c>
      <c r="T19" s="1">
        <f ca="1">IFERROR(__xludf.DUMMYFUNCTION("""COMPUTED_VALUE"""),291)</f>
        <v>291</v>
      </c>
      <c r="U19" s="1">
        <f ca="1">IFERROR(__xludf.DUMMYFUNCTION("""COMPUTED_VALUE"""),825)</f>
        <v>825</v>
      </c>
      <c r="V19" s="1">
        <f ca="1">IFERROR(__xludf.DUMMYFUNCTION("""COMPUTED_VALUE"""),0.353)</f>
        <v>0.35299999999999998</v>
      </c>
      <c r="W19" s="1">
        <f ca="1">IFERROR(__xludf.DUMMYFUNCTION("""COMPUTED_VALUE"""),349)</f>
        <v>349</v>
      </c>
      <c r="X19" s="1">
        <f ca="1">IFERROR(__xludf.DUMMYFUNCTION("""COMPUTED_VALUE"""),533)</f>
        <v>533</v>
      </c>
      <c r="Y19" s="1">
        <f ca="1">IFERROR(__xludf.DUMMYFUNCTION("""COMPUTED_VALUE"""),0.655)</f>
        <v>0.65500000000000003</v>
      </c>
      <c r="Z19" s="1">
        <f ca="1">IFERROR(__xludf.DUMMYFUNCTION("""COMPUTED_VALUE"""),317)</f>
        <v>317</v>
      </c>
      <c r="AA19" s="1">
        <f ca="1">IFERROR(__xludf.DUMMYFUNCTION("""COMPUTED_VALUE"""),1213)</f>
        <v>1213</v>
      </c>
      <c r="AB19" s="1">
        <f ca="1">IFERROR(__xludf.DUMMYFUNCTION("""COMPUTED_VALUE"""),520)</f>
        <v>520</v>
      </c>
      <c r="AC19" s="1">
        <f ca="1">IFERROR(__xludf.DUMMYFUNCTION("""COMPUTED_VALUE"""),178)</f>
        <v>178</v>
      </c>
      <c r="AD19" s="1">
        <f ca="1">IFERROR(__xludf.DUMMYFUNCTION("""COMPUTED_VALUE"""),61)</f>
        <v>61</v>
      </c>
      <c r="AE19" s="1">
        <f ca="1">IFERROR(__xludf.DUMMYFUNCTION("""COMPUTED_VALUE"""),483)</f>
        <v>483</v>
      </c>
      <c r="AF19" s="1">
        <f ca="1">IFERROR(__xludf.DUMMYFUNCTION("""COMPUTED_VALUE"""),620)</f>
        <v>620</v>
      </c>
    </row>
    <row r="20" spans="1:32" ht="12.5" x14ac:dyDescent="0.25">
      <c r="A20" s="1" t="str">
        <f ca="1">IFERROR(__xludf.DUMMYFUNCTION("""COMPUTED_VALUE"""),"Auburn")</f>
        <v>Auburn</v>
      </c>
      <c r="B20" s="1">
        <f ca="1">IFERROR(__xludf.DUMMYFUNCTION("""COMPUTED_VALUE"""),32)</f>
        <v>32</v>
      </c>
      <c r="C20" s="1">
        <f ca="1">IFERROR(__xludf.DUMMYFUNCTION("""COMPUTED_VALUE"""),18)</f>
        <v>18</v>
      </c>
      <c r="D20" s="1">
        <f ca="1">IFERROR(__xludf.DUMMYFUNCTION("""COMPUTED_VALUE"""),14)</f>
        <v>14</v>
      </c>
      <c r="E20" s="1">
        <f ca="1">IFERROR(__xludf.DUMMYFUNCTION("""COMPUTED_VALUE"""),0.563)</f>
        <v>0.56299999999999994</v>
      </c>
      <c r="F20" s="1">
        <f ca="1">IFERROR(__xludf.DUMMYFUNCTION("""COMPUTED_VALUE"""),8.17)</f>
        <v>8.17</v>
      </c>
      <c r="G20" s="1">
        <f ca="1">IFERROR(__xludf.DUMMYFUNCTION("""COMPUTED_VALUE"""),7.33)</f>
        <v>7.33</v>
      </c>
      <c r="H20" s="1">
        <f ca="1">IFERROR(__xludf.DUMMYFUNCTION("""COMPUTED_VALUE"""),7)</f>
        <v>7</v>
      </c>
      <c r="I20" s="1">
        <f ca="1">IFERROR(__xludf.DUMMYFUNCTION("""COMPUTED_VALUE"""),11)</f>
        <v>11</v>
      </c>
      <c r="J20" s="1">
        <f ca="1">IFERROR(__xludf.DUMMYFUNCTION("""COMPUTED_VALUE"""),10)</f>
        <v>10</v>
      </c>
      <c r="K20" s="1">
        <f ca="1">IFERROR(__xludf.DUMMYFUNCTION("""COMPUTED_VALUE"""),5)</f>
        <v>5</v>
      </c>
      <c r="L20" s="1">
        <f ca="1">IFERROR(__xludf.DUMMYFUNCTION("""COMPUTED_VALUE"""),6)</f>
        <v>6</v>
      </c>
      <c r="M20" s="1">
        <f ca="1">IFERROR(__xludf.DUMMYFUNCTION("""COMPUTED_VALUE"""),6)</f>
        <v>6</v>
      </c>
      <c r="N20" s="1">
        <f ca="1">IFERROR(__xludf.DUMMYFUNCTION("""COMPUTED_VALUE"""),2573)</f>
        <v>2573</v>
      </c>
      <c r="O20" s="1">
        <f ca="1">IFERROR(__xludf.DUMMYFUNCTION("""COMPUTED_VALUE"""),2546)</f>
        <v>2546</v>
      </c>
      <c r="P20" s="1">
        <f ca="1">IFERROR(__xludf.DUMMYFUNCTION("""COMPUTED_VALUE"""),1290)</f>
        <v>1290</v>
      </c>
      <c r="Q20" s="1">
        <f ca="1">IFERROR(__xludf.DUMMYFUNCTION("""COMPUTED_VALUE"""),861)</f>
        <v>861</v>
      </c>
      <c r="R20" s="1">
        <f ca="1">IFERROR(__xludf.DUMMYFUNCTION("""COMPUTED_VALUE"""),1969)</f>
        <v>1969</v>
      </c>
      <c r="S20" s="1">
        <f ca="1">IFERROR(__xludf.DUMMYFUNCTION("""COMPUTED_VALUE"""),0.437)</f>
        <v>0.437</v>
      </c>
      <c r="T20" s="1">
        <f ca="1">IFERROR(__xludf.DUMMYFUNCTION("""COMPUTED_VALUE"""),289)</f>
        <v>289</v>
      </c>
      <c r="U20" s="1">
        <f ca="1">IFERROR(__xludf.DUMMYFUNCTION("""COMPUTED_VALUE"""),789)</f>
        <v>789</v>
      </c>
      <c r="V20" s="1">
        <f ca="1">IFERROR(__xludf.DUMMYFUNCTION("""COMPUTED_VALUE"""),0.366)</f>
        <v>0.36599999999999999</v>
      </c>
      <c r="W20" s="1">
        <f ca="1">IFERROR(__xludf.DUMMYFUNCTION("""COMPUTED_VALUE"""),562)</f>
        <v>562</v>
      </c>
      <c r="X20" s="1">
        <f ca="1">IFERROR(__xludf.DUMMYFUNCTION("""COMPUTED_VALUE"""),836)</f>
        <v>836</v>
      </c>
      <c r="Y20" s="1">
        <f ca="1">IFERROR(__xludf.DUMMYFUNCTION("""COMPUTED_VALUE"""),0.672)</f>
        <v>0.67200000000000004</v>
      </c>
      <c r="Z20" s="1">
        <f ca="1">IFERROR(__xludf.DUMMYFUNCTION("""COMPUTED_VALUE"""),369)</f>
        <v>369</v>
      </c>
      <c r="AA20" s="1">
        <f ca="1">IFERROR(__xludf.DUMMYFUNCTION("""COMPUTED_VALUE"""),1171)</f>
        <v>1171</v>
      </c>
      <c r="AB20" s="1">
        <f ca="1">IFERROR(__xludf.DUMMYFUNCTION("""COMPUTED_VALUE"""),416)</f>
        <v>416</v>
      </c>
      <c r="AC20" s="1">
        <f ca="1">IFERROR(__xludf.DUMMYFUNCTION("""COMPUTED_VALUE"""),234)</f>
        <v>234</v>
      </c>
      <c r="AD20" s="1">
        <f ca="1">IFERROR(__xludf.DUMMYFUNCTION("""COMPUTED_VALUE"""),162)</f>
        <v>162</v>
      </c>
      <c r="AE20" s="1">
        <f ca="1">IFERROR(__xludf.DUMMYFUNCTION("""COMPUTED_VALUE"""),434)</f>
        <v>434</v>
      </c>
      <c r="AF20" s="1">
        <f ca="1">IFERROR(__xludf.DUMMYFUNCTION("""COMPUTED_VALUE"""),668)</f>
        <v>668</v>
      </c>
    </row>
    <row r="21" spans="1:32" ht="12.5" x14ac:dyDescent="0.25">
      <c r="A21" s="1" t="str">
        <f ca="1">IFERROR(__xludf.DUMMYFUNCTION("""COMPUTED_VALUE"""),"Austin Peay")</f>
        <v>Austin Peay</v>
      </c>
      <c r="B21" s="1">
        <f ca="1">IFERROR(__xludf.DUMMYFUNCTION("""COMPUTED_VALUE"""),30)</f>
        <v>30</v>
      </c>
      <c r="C21" s="1">
        <f ca="1">IFERROR(__xludf.DUMMYFUNCTION("""COMPUTED_VALUE"""),11)</f>
        <v>11</v>
      </c>
      <c r="D21" s="1">
        <f ca="1">IFERROR(__xludf.DUMMYFUNCTION("""COMPUTED_VALUE"""),19)</f>
        <v>19</v>
      </c>
      <c r="E21" s="1">
        <f ca="1">IFERROR(__xludf.DUMMYFUNCTION("""COMPUTED_VALUE"""),0.367)</f>
        <v>0.36699999999999999</v>
      </c>
      <c r="F21" s="1">
        <f ca="1">IFERROR(__xludf.DUMMYFUNCTION("""COMPUTED_VALUE"""),-11)</f>
        <v>-11</v>
      </c>
      <c r="G21" s="1">
        <f ca="1">IFERROR(__xludf.DUMMYFUNCTION("""COMPUTED_VALUE"""),-2.32)</f>
        <v>-2.3199999999999998</v>
      </c>
      <c r="H21" s="1">
        <f ca="1">IFERROR(__xludf.DUMMYFUNCTION("""COMPUTED_VALUE"""),7)</f>
        <v>7</v>
      </c>
      <c r="I21" s="1">
        <f ca="1">IFERROR(__xludf.DUMMYFUNCTION("""COMPUTED_VALUE"""),9)</f>
        <v>9</v>
      </c>
      <c r="J21" s="1">
        <f ca="1">IFERROR(__xludf.DUMMYFUNCTION("""COMPUTED_VALUE"""),5)</f>
        <v>5</v>
      </c>
      <c r="K21" s="1">
        <f ca="1">IFERROR(__xludf.DUMMYFUNCTION("""COMPUTED_VALUE"""),8)</f>
        <v>8</v>
      </c>
      <c r="L21" s="1">
        <f ca="1">IFERROR(__xludf.DUMMYFUNCTION("""COMPUTED_VALUE"""),4)</f>
        <v>4</v>
      </c>
      <c r="M21" s="1">
        <f ca="1">IFERROR(__xludf.DUMMYFUNCTION("""COMPUTED_VALUE"""),11)</f>
        <v>11</v>
      </c>
      <c r="N21" s="1">
        <f ca="1">IFERROR(__xludf.DUMMYFUNCTION("""COMPUTED_VALUE"""),2331)</f>
        <v>2331</v>
      </c>
      <c r="O21" s="1">
        <f ca="1">IFERROR(__xludf.DUMMYFUNCTION("""COMPUTED_VALUE"""),2515)</f>
        <v>2515</v>
      </c>
      <c r="P21" s="1">
        <f ca="1">IFERROR(__xludf.DUMMYFUNCTION("""COMPUTED_VALUE"""),1215)</f>
        <v>1215</v>
      </c>
      <c r="Q21" s="1">
        <f ca="1">IFERROR(__xludf.DUMMYFUNCTION("""COMPUTED_VALUE"""),806)</f>
        <v>806</v>
      </c>
      <c r="R21" s="1">
        <f ca="1">IFERROR(__xludf.DUMMYFUNCTION("""COMPUTED_VALUE"""),1718)</f>
        <v>1718</v>
      </c>
      <c r="S21" s="1">
        <f ca="1">IFERROR(__xludf.DUMMYFUNCTION("""COMPUTED_VALUE"""),0.469)</f>
        <v>0.46899999999999997</v>
      </c>
      <c r="T21" s="1">
        <f ca="1">IFERROR(__xludf.DUMMYFUNCTION("""COMPUTED_VALUE"""),227)</f>
        <v>227</v>
      </c>
      <c r="U21" s="1">
        <f ca="1">IFERROR(__xludf.DUMMYFUNCTION("""COMPUTED_VALUE"""),640)</f>
        <v>640</v>
      </c>
      <c r="V21" s="1">
        <f ca="1">IFERROR(__xludf.DUMMYFUNCTION("""COMPUTED_VALUE"""),0.355)</f>
        <v>0.35499999999999998</v>
      </c>
      <c r="W21" s="1">
        <f ca="1">IFERROR(__xludf.DUMMYFUNCTION("""COMPUTED_VALUE"""),492)</f>
        <v>492</v>
      </c>
      <c r="X21" s="1">
        <f ca="1">IFERROR(__xludf.DUMMYFUNCTION("""COMPUTED_VALUE"""),695)</f>
        <v>695</v>
      </c>
      <c r="Y21" s="1">
        <f ca="1">IFERROR(__xludf.DUMMYFUNCTION("""COMPUTED_VALUE"""),0.708)</f>
        <v>0.70799999999999996</v>
      </c>
      <c r="Z21" s="1">
        <f ca="1">IFERROR(__xludf.DUMMYFUNCTION("""COMPUTED_VALUE"""),245)</f>
        <v>245</v>
      </c>
      <c r="AA21" s="1">
        <f ca="1">IFERROR(__xludf.DUMMYFUNCTION("""COMPUTED_VALUE"""),913)</f>
        <v>913</v>
      </c>
      <c r="AB21" s="1">
        <f ca="1">IFERROR(__xludf.DUMMYFUNCTION("""COMPUTED_VALUE"""),324)</f>
        <v>324</v>
      </c>
      <c r="AC21" s="1">
        <f ca="1">IFERROR(__xludf.DUMMYFUNCTION("""COMPUTED_VALUE"""),171)</f>
        <v>171</v>
      </c>
      <c r="AD21" s="1">
        <f ca="1">IFERROR(__xludf.DUMMYFUNCTION("""COMPUTED_VALUE"""),73)</f>
        <v>73</v>
      </c>
      <c r="AE21" s="1">
        <f ca="1">IFERROR(__xludf.DUMMYFUNCTION("""COMPUTED_VALUE"""),373)</f>
        <v>373</v>
      </c>
      <c r="AF21" s="1">
        <f ca="1">IFERROR(__xludf.DUMMYFUNCTION("""COMPUTED_VALUE"""),547)</f>
        <v>547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IFERROR(__xludf.DUMMYFUNCTION("""COMPUTED_VALUE"""),"Ball State")</f>
        <v>Ball State</v>
      </c>
      <c r="B24" s="1">
        <f ca="1">IFERROR(__xludf.DUMMYFUNCTION("""COMPUTED_VALUE"""),34)</f>
        <v>34</v>
      </c>
      <c r="C24" s="1">
        <f ca="1">IFERROR(__xludf.DUMMYFUNCTION("""COMPUTED_VALUE"""),21)</f>
        <v>21</v>
      </c>
      <c r="D24" s="1">
        <f ca="1">IFERROR(__xludf.DUMMYFUNCTION("""COMPUTED_VALUE"""),13)</f>
        <v>13</v>
      </c>
      <c r="E24" s="1">
        <f ca="1">IFERROR(__xludf.DUMMYFUNCTION("""COMPUTED_VALUE"""),0.618)</f>
        <v>0.61799999999999999</v>
      </c>
      <c r="F24" s="1">
        <f ca="1">IFERROR(__xludf.DUMMYFUNCTION("""COMPUTED_VALUE"""),-1.45)</f>
        <v>-1.45</v>
      </c>
      <c r="G24" s="1">
        <f ca="1">IFERROR(__xludf.DUMMYFUNCTION("""COMPUTED_VALUE"""),-3.57)</f>
        <v>-3.57</v>
      </c>
      <c r="H24" s="1">
        <f ca="1">IFERROR(__xludf.DUMMYFUNCTION("""COMPUTED_VALUE"""),11)</f>
        <v>11</v>
      </c>
      <c r="I24" s="1">
        <f ca="1">IFERROR(__xludf.DUMMYFUNCTION("""COMPUTED_VALUE"""),7)</f>
        <v>7</v>
      </c>
      <c r="J24" s="1">
        <f ca="1">IFERROR(__xludf.DUMMYFUNCTION("""COMPUTED_VALUE"""),11)</f>
        <v>11</v>
      </c>
      <c r="K24" s="1">
        <f ca="1">IFERROR(__xludf.DUMMYFUNCTION("""COMPUTED_VALUE"""),5)</f>
        <v>5</v>
      </c>
      <c r="L24" s="1">
        <f ca="1">IFERROR(__xludf.DUMMYFUNCTION("""COMPUTED_VALUE"""),7)</f>
        <v>7</v>
      </c>
      <c r="M24" s="1">
        <f ca="1">IFERROR(__xludf.DUMMYFUNCTION("""COMPUTED_VALUE"""),7)</f>
        <v>7</v>
      </c>
      <c r="N24" s="1">
        <f ca="1">IFERROR(__xludf.DUMMYFUNCTION("""COMPUTED_VALUE"""),2677)</f>
        <v>2677</v>
      </c>
      <c r="O24" s="1">
        <f ca="1">IFERROR(__xludf.DUMMYFUNCTION("""COMPUTED_VALUE"""),2567)</f>
        <v>2567</v>
      </c>
      <c r="P24" s="1">
        <f ca="1">IFERROR(__xludf.DUMMYFUNCTION("""COMPUTED_VALUE"""),1380)</f>
        <v>1380</v>
      </c>
      <c r="Q24" s="1">
        <f ca="1">IFERROR(__xludf.DUMMYFUNCTION("""COMPUTED_VALUE"""),929)</f>
        <v>929</v>
      </c>
      <c r="R24" s="1">
        <f ca="1">IFERROR(__xludf.DUMMYFUNCTION("""COMPUTED_VALUE"""),2014)</f>
        <v>2014</v>
      </c>
      <c r="S24" s="1">
        <f ca="1">IFERROR(__xludf.DUMMYFUNCTION("""COMPUTED_VALUE"""),0.461)</f>
        <v>0.46100000000000002</v>
      </c>
      <c r="T24" s="1">
        <f ca="1">IFERROR(__xludf.DUMMYFUNCTION("""COMPUTED_VALUE"""),319)</f>
        <v>319</v>
      </c>
      <c r="U24" s="1">
        <f ca="1">IFERROR(__xludf.DUMMYFUNCTION("""COMPUTED_VALUE"""),841)</f>
        <v>841</v>
      </c>
      <c r="V24" s="1">
        <f ca="1">IFERROR(__xludf.DUMMYFUNCTION("""COMPUTED_VALUE"""),0.379)</f>
        <v>0.379</v>
      </c>
      <c r="W24" s="1">
        <f ca="1">IFERROR(__xludf.DUMMYFUNCTION("""COMPUTED_VALUE"""),500)</f>
        <v>500</v>
      </c>
      <c r="X24" s="1">
        <f ca="1">IFERROR(__xludf.DUMMYFUNCTION("""COMPUTED_VALUE"""),696)</f>
        <v>696</v>
      </c>
      <c r="Y24" s="1">
        <f ca="1">IFERROR(__xludf.DUMMYFUNCTION("""COMPUTED_VALUE"""),0.718)</f>
        <v>0.71799999999999997</v>
      </c>
      <c r="Z24" s="1">
        <f ca="1">IFERROR(__xludf.DUMMYFUNCTION("""COMPUTED_VALUE"""),335)</f>
        <v>335</v>
      </c>
      <c r="AA24" s="1">
        <f ca="1">IFERROR(__xludf.DUMMYFUNCTION("""COMPUTED_VALUE"""),1281)</f>
        <v>1281</v>
      </c>
      <c r="AB24" s="1">
        <f ca="1">IFERROR(__xludf.DUMMYFUNCTION("""COMPUTED_VALUE"""),529)</f>
        <v>529</v>
      </c>
      <c r="AC24" s="1">
        <f ca="1">IFERROR(__xludf.DUMMYFUNCTION("""COMPUTED_VALUE"""),203)</f>
        <v>203</v>
      </c>
      <c r="AD24" s="1">
        <f ca="1">IFERROR(__xludf.DUMMYFUNCTION("""COMPUTED_VALUE"""),118)</f>
        <v>118</v>
      </c>
      <c r="AE24" s="1">
        <f ca="1">IFERROR(__xludf.DUMMYFUNCTION("""COMPUTED_VALUE"""),496)</f>
        <v>496</v>
      </c>
      <c r="AF24" s="1">
        <f ca="1">IFERROR(__xludf.DUMMYFUNCTION("""COMPUTED_VALUE"""),658)</f>
        <v>658</v>
      </c>
    </row>
    <row r="25" spans="1:32" ht="12.5" x14ac:dyDescent="0.25">
      <c r="A25" s="1" t="str">
        <f ca="1">IFERROR(__xludf.DUMMYFUNCTION("""COMPUTED_VALUE"""),"BaylorNCAA")</f>
        <v>BaylorNCAA</v>
      </c>
      <c r="B25" s="1">
        <f ca="1">IFERROR(__xludf.DUMMYFUNCTION("""COMPUTED_VALUE"""),35)</f>
        <v>35</v>
      </c>
      <c r="C25" s="1">
        <f ca="1">IFERROR(__xludf.DUMMYFUNCTION("""COMPUTED_VALUE"""),27)</f>
        <v>27</v>
      </c>
      <c r="D25" s="1">
        <f ca="1">IFERROR(__xludf.DUMMYFUNCTION("""COMPUTED_VALUE"""),8)</f>
        <v>8</v>
      </c>
      <c r="E25" s="1">
        <f ca="1">IFERROR(__xludf.DUMMYFUNCTION("""COMPUTED_VALUE"""),0.771)</f>
        <v>0.77100000000000002</v>
      </c>
      <c r="F25" s="1">
        <f ca="1">IFERROR(__xludf.DUMMYFUNCTION("""COMPUTED_VALUE"""),19.75)</f>
        <v>19.75</v>
      </c>
      <c r="G25" s="1">
        <f ca="1">IFERROR(__xludf.DUMMYFUNCTION("""COMPUTED_VALUE"""),11.87)</f>
        <v>11.87</v>
      </c>
      <c r="H25" s="1">
        <f ca="1">IFERROR(__xludf.DUMMYFUNCTION("""COMPUTED_VALUE"""),12)</f>
        <v>12</v>
      </c>
      <c r="I25" s="1">
        <f ca="1">IFERROR(__xludf.DUMMYFUNCTION("""COMPUTED_VALUE"""),6)</f>
        <v>6</v>
      </c>
      <c r="J25" s="1">
        <f ca="1">IFERROR(__xludf.DUMMYFUNCTION("""COMPUTED_VALUE"""),15)</f>
        <v>15</v>
      </c>
      <c r="K25" s="1">
        <f ca="1">IFERROR(__xludf.DUMMYFUNCTION("""COMPUTED_VALUE"""),2)</f>
        <v>2</v>
      </c>
      <c r="L25" s="1">
        <f ca="1">IFERROR(__xludf.DUMMYFUNCTION("""COMPUTED_VALUE"""),6)</f>
        <v>6</v>
      </c>
      <c r="M25" s="1">
        <f ca="1">IFERROR(__xludf.DUMMYFUNCTION("""COMPUTED_VALUE"""),4)</f>
        <v>4</v>
      </c>
      <c r="N25" s="1">
        <f ca="1">IFERROR(__xludf.DUMMYFUNCTION("""COMPUTED_VALUE"""),2550)</f>
        <v>2550</v>
      </c>
      <c r="O25" s="1">
        <f ca="1">IFERROR(__xludf.DUMMYFUNCTION("""COMPUTED_VALUE"""),2228)</f>
        <v>2228</v>
      </c>
      <c r="P25" s="1">
        <f ca="1">IFERROR(__xludf.DUMMYFUNCTION("""COMPUTED_VALUE"""),1400)</f>
        <v>1400</v>
      </c>
      <c r="Q25" s="1">
        <f ca="1">IFERROR(__xludf.DUMMYFUNCTION("""COMPUTED_VALUE"""),921)</f>
        <v>921</v>
      </c>
      <c r="R25" s="1">
        <f ca="1">IFERROR(__xludf.DUMMYFUNCTION("""COMPUTED_VALUE"""),1956)</f>
        <v>1956</v>
      </c>
      <c r="S25" s="1">
        <f ca="1">IFERROR(__xludf.DUMMYFUNCTION("""COMPUTED_VALUE"""),0.471)</f>
        <v>0.47099999999999997</v>
      </c>
      <c r="T25" s="1">
        <f ca="1">IFERROR(__xludf.DUMMYFUNCTION("""COMPUTED_VALUE"""),230)</f>
        <v>230</v>
      </c>
      <c r="U25" s="1">
        <f ca="1">IFERROR(__xludf.DUMMYFUNCTION("""COMPUTED_VALUE"""),641)</f>
        <v>641</v>
      </c>
      <c r="V25" s="1">
        <f ca="1">IFERROR(__xludf.DUMMYFUNCTION("""COMPUTED_VALUE"""),0.359)</f>
        <v>0.35899999999999999</v>
      </c>
      <c r="W25" s="1">
        <f ca="1">IFERROR(__xludf.DUMMYFUNCTION("""COMPUTED_VALUE"""),478)</f>
        <v>478</v>
      </c>
      <c r="X25" s="1">
        <f ca="1">IFERROR(__xludf.DUMMYFUNCTION("""COMPUTED_VALUE"""),661)</f>
        <v>661</v>
      </c>
      <c r="Y25" s="1">
        <f ca="1">IFERROR(__xludf.DUMMYFUNCTION("""COMPUTED_VALUE"""),0.723)</f>
        <v>0.72299999999999998</v>
      </c>
      <c r="Z25" s="1">
        <f ca="1">IFERROR(__xludf.DUMMYFUNCTION("""COMPUTED_VALUE"""),451)</f>
        <v>451</v>
      </c>
      <c r="AA25" s="1">
        <f ca="1">IFERROR(__xludf.DUMMYFUNCTION("""COMPUTED_VALUE"""),1329)</f>
        <v>1329</v>
      </c>
      <c r="AB25" s="1">
        <f ca="1">IFERROR(__xludf.DUMMYFUNCTION("""COMPUTED_VALUE"""),544)</f>
        <v>544</v>
      </c>
      <c r="AC25" s="1">
        <f ca="1">IFERROR(__xludf.DUMMYFUNCTION("""COMPUTED_VALUE"""),180)</f>
        <v>180</v>
      </c>
      <c r="AD25" s="1">
        <f ca="1">IFERROR(__xludf.DUMMYFUNCTION("""COMPUTED_VALUE"""),166)</f>
        <v>166</v>
      </c>
      <c r="AE25" s="1">
        <f ca="1">IFERROR(__xludf.DUMMYFUNCTION("""COMPUTED_VALUE"""),469)</f>
        <v>469</v>
      </c>
      <c r="AF25" s="1">
        <f ca="1">IFERROR(__xludf.DUMMYFUNCTION("""COMPUTED_VALUE"""),617)</f>
        <v>617</v>
      </c>
    </row>
    <row r="26" spans="1:32" ht="12.5" x14ac:dyDescent="0.25">
      <c r="A26" s="1" t="str">
        <f ca="1">IFERROR(__xludf.DUMMYFUNCTION("""COMPUTED_VALUE"""),"Belmont")</f>
        <v>Belmont</v>
      </c>
      <c r="B26" s="1">
        <f ca="1">IFERROR(__xludf.DUMMYFUNCTION("""COMPUTED_VALUE"""),30)</f>
        <v>30</v>
      </c>
      <c r="C26" s="1">
        <f ca="1">IFERROR(__xludf.DUMMYFUNCTION("""COMPUTED_VALUE"""),23)</f>
        <v>23</v>
      </c>
      <c r="D26" s="1">
        <f ca="1">IFERROR(__xludf.DUMMYFUNCTION("""COMPUTED_VALUE"""),7)</f>
        <v>7</v>
      </c>
      <c r="E26" s="1">
        <f ca="1">IFERROR(__xludf.DUMMYFUNCTION("""COMPUTED_VALUE"""),0.767)</f>
        <v>0.76700000000000002</v>
      </c>
      <c r="F26" s="1">
        <f ca="1">IFERROR(__xludf.DUMMYFUNCTION("""COMPUTED_VALUE"""),4.28)</f>
        <v>4.28</v>
      </c>
      <c r="G26" s="1">
        <f ca="1">IFERROR(__xludf.DUMMYFUNCTION("""COMPUTED_VALUE"""),-1.69)</f>
        <v>-1.69</v>
      </c>
      <c r="H26" s="1">
        <f ca="1">IFERROR(__xludf.DUMMYFUNCTION("""COMPUTED_VALUE"""),15)</f>
        <v>15</v>
      </c>
      <c r="I26" s="1">
        <f ca="1">IFERROR(__xludf.DUMMYFUNCTION("""COMPUTED_VALUE"""),1)</f>
        <v>1</v>
      </c>
      <c r="J26" s="1">
        <f ca="1">IFERROR(__xludf.DUMMYFUNCTION("""COMPUTED_VALUE"""),12)</f>
        <v>12</v>
      </c>
      <c r="K26" s="1">
        <f ca="1">IFERROR(__xludf.DUMMYFUNCTION("""COMPUTED_VALUE"""),1)</f>
        <v>1</v>
      </c>
      <c r="L26" s="1">
        <f ca="1">IFERROR(__xludf.DUMMYFUNCTION("""COMPUTED_VALUE"""),11)</f>
        <v>11</v>
      </c>
      <c r="M26" s="1">
        <f ca="1">IFERROR(__xludf.DUMMYFUNCTION("""COMPUTED_VALUE"""),4)</f>
        <v>4</v>
      </c>
      <c r="N26" s="1">
        <f ca="1">IFERROR(__xludf.DUMMYFUNCTION("""COMPUTED_VALUE"""),2302)</f>
        <v>2302</v>
      </c>
      <c r="O26" s="1">
        <f ca="1">IFERROR(__xludf.DUMMYFUNCTION("""COMPUTED_VALUE"""),2078)</f>
        <v>2078</v>
      </c>
      <c r="P26" s="1">
        <f ca="1">IFERROR(__xludf.DUMMYFUNCTION("""COMPUTED_VALUE"""),1205)</f>
        <v>1205</v>
      </c>
      <c r="Q26" s="1">
        <f ca="1">IFERROR(__xludf.DUMMYFUNCTION("""COMPUTED_VALUE"""),798)</f>
        <v>798</v>
      </c>
      <c r="R26" s="1">
        <f ca="1">IFERROR(__xludf.DUMMYFUNCTION("""COMPUTED_VALUE"""),1703)</f>
        <v>1703</v>
      </c>
      <c r="S26" s="1">
        <f ca="1">IFERROR(__xludf.DUMMYFUNCTION("""COMPUTED_VALUE"""),0.469)</f>
        <v>0.46899999999999997</v>
      </c>
      <c r="T26" s="1">
        <f ca="1">IFERROR(__xludf.DUMMYFUNCTION("""COMPUTED_VALUE"""),306)</f>
        <v>306</v>
      </c>
      <c r="U26" s="1">
        <f ca="1">IFERROR(__xludf.DUMMYFUNCTION("""COMPUTED_VALUE"""),895)</f>
        <v>895</v>
      </c>
      <c r="V26" s="1">
        <f ca="1">IFERROR(__xludf.DUMMYFUNCTION("""COMPUTED_VALUE"""),0.342)</f>
        <v>0.34200000000000003</v>
      </c>
      <c r="W26" s="1">
        <f ca="1">IFERROR(__xludf.DUMMYFUNCTION("""COMPUTED_VALUE"""),400)</f>
        <v>400</v>
      </c>
      <c r="X26" s="1">
        <f ca="1">IFERROR(__xludf.DUMMYFUNCTION("""COMPUTED_VALUE"""),521)</f>
        <v>521</v>
      </c>
      <c r="Y26" s="1">
        <f ca="1">IFERROR(__xludf.DUMMYFUNCTION("""COMPUTED_VALUE"""),0.768)</f>
        <v>0.76800000000000002</v>
      </c>
      <c r="Z26" s="1">
        <f ca="1">IFERROR(__xludf.DUMMYFUNCTION("""COMPUTED_VALUE"""),254)</f>
        <v>254</v>
      </c>
      <c r="AA26" s="1">
        <f ca="1">IFERROR(__xludf.DUMMYFUNCTION("""COMPUTED_VALUE"""),1057)</f>
        <v>1057</v>
      </c>
      <c r="AB26" s="1">
        <f ca="1">IFERROR(__xludf.DUMMYFUNCTION("""COMPUTED_VALUE"""),481)</f>
        <v>481</v>
      </c>
      <c r="AC26" s="1">
        <f ca="1">IFERROR(__xludf.DUMMYFUNCTION("""COMPUTED_VALUE"""),131)</f>
        <v>131</v>
      </c>
      <c r="AD26" s="1">
        <f ca="1">IFERROR(__xludf.DUMMYFUNCTION("""COMPUTED_VALUE"""),80)</f>
        <v>80</v>
      </c>
      <c r="AE26" s="1">
        <f ca="1">IFERROR(__xludf.DUMMYFUNCTION("""COMPUTED_VALUE"""),380)</f>
        <v>380</v>
      </c>
      <c r="AF26" s="1">
        <f ca="1">IFERROR(__xludf.DUMMYFUNCTION("""COMPUTED_VALUE"""),531)</f>
        <v>531</v>
      </c>
    </row>
    <row r="27" spans="1:32" ht="12.5" x14ac:dyDescent="0.25">
      <c r="A27" s="1" t="str">
        <f ca="1">IFERROR(__xludf.DUMMYFUNCTION("""COMPUTED_VALUE"""),"Bethune-Cookman")</f>
        <v>Bethune-Cookman</v>
      </c>
      <c r="B27" s="1">
        <f ca="1">IFERROR(__xludf.DUMMYFUNCTION("""COMPUTED_VALUE"""),32)</f>
        <v>32</v>
      </c>
      <c r="C27" s="1">
        <f ca="1">IFERROR(__xludf.DUMMYFUNCTION("""COMPUTED_VALUE"""),10)</f>
        <v>10</v>
      </c>
      <c r="D27" s="1">
        <f ca="1">IFERROR(__xludf.DUMMYFUNCTION("""COMPUTED_VALUE"""),22)</f>
        <v>22</v>
      </c>
      <c r="E27" s="1">
        <f ca="1">IFERROR(__xludf.DUMMYFUNCTION("""COMPUTED_VALUE"""),0.313)</f>
        <v>0.313</v>
      </c>
      <c r="F27" s="1">
        <f ca="1">IFERROR(__xludf.DUMMYFUNCTION("""COMPUTED_VALUE"""),-19.44)</f>
        <v>-19.440000000000001</v>
      </c>
      <c r="G27" s="1">
        <f ca="1">IFERROR(__xludf.DUMMYFUNCTION("""COMPUTED_VALUE"""),-11.21)</f>
        <v>-11.21</v>
      </c>
      <c r="H27" s="1">
        <f ca="1">IFERROR(__xludf.DUMMYFUNCTION("""COMPUTED_VALUE"""),6)</f>
        <v>6</v>
      </c>
      <c r="I27" s="1">
        <f ca="1">IFERROR(__xludf.DUMMYFUNCTION("""COMPUTED_VALUE"""),10)</f>
        <v>10</v>
      </c>
      <c r="J27" s="1">
        <f ca="1">IFERROR(__xludf.DUMMYFUNCTION("""COMPUTED_VALUE"""),7)</f>
        <v>7</v>
      </c>
      <c r="K27" s="1">
        <f ca="1">IFERROR(__xludf.DUMMYFUNCTION("""COMPUTED_VALUE"""),7)</f>
        <v>7</v>
      </c>
      <c r="L27" s="1">
        <f ca="1">IFERROR(__xludf.DUMMYFUNCTION("""COMPUTED_VALUE"""),2)</f>
        <v>2</v>
      </c>
      <c r="M27" s="1">
        <f ca="1">IFERROR(__xludf.DUMMYFUNCTION("""COMPUTED_VALUE"""),13)</f>
        <v>13</v>
      </c>
      <c r="N27" s="1">
        <f ca="1">IFERROR(__xludf.DUMMYFUNCTION("""COMPUTED_VALUE"""),2275)</f>
        <v>2275</v>
      </c>
      <c r="O27" s="1">
        <f ca="1">IFERROR(__xludf.DUMMYFUNCTION("""COMPUTED_VALUE"""),2490)</f>
        <v>2490</v>
      </c>
      <c r="P27" s="1">
        <f ca="1">IFERROR(__xludf.DUMMYFUNCTION("""COMPUTED_VALUE"""),1315)</f>
        <v>1315</v>
      </c>
      <c r="Q27" s="1">
        <f ca="1">IFERROR(__xludf.DUMMYFUNCTION("""COMPUTED_VALUE"""),840)</f>
        <v>840</v>
      </c>
      <c r="R27" s="1">
        <f ca="1">IFERROR(__xludf.DUMMYFUNCTION("""COMPUTED_VALUE"""),2022)</f>
        <v>2022</v>
      </c>
      <c r="S27" s="1">
        <f ca="1">IFERROR(__xludf.DUMMYFUNCTION("""COMPUTED_VALUE"""),0.415)</f>
        <v>0.41499999999999998</v>
      </c>
      <c r="T27" s="1">
        <f ca="1">IFERROR(__xludf.DUMMYFUNCTION("""COMPUTED_VALUE"""),228)</f>
        <v>228</v>
      </c>
      <c r="U27" s="1">
        <f ca="1">IFERROR(__xludf.DUMMYFUNCTION("""COMPUTED_VALUE"""),712)</f>
        <v>712</v>
      </c>
      <c r="V27" s="1">
        <f ca="1">IFERROR(__xludf.DUMMYFUNCTION("""COMPUTED_VALUE"""),0.32)</f>
        <v>0.32</v>
      </c>
      <c r="W27" s="1">
        <f ca="1">IFERROR(__xludf.DUMMYFUNCTION("""COMPUTED_VALUE"""),367)</f>
        <v>367</v>
      </c>
      <c r="X27" s="1">
        <f ca="1">IFERROR(__xludf.DUMMYFUNCTION("""COMPUTED_VALUE"""),554)</f>
        <v>554</v>
      </c>
      <c r="Y27" s="1">
        <f ca="1">IFERROR(__xludf.DUMMYFUNCTION("""COMPUTED_VALUE"""),0.662)</f>
        <v>0.66200000000000003</v>
      </c>
      <c r="Z27" s="1">
        <f ca="1">IFERROR(__xludf.DUMMYFUNCTION("""COMPUTED_VALUE"""),397)</f>
        <v>397</v>
      </c>
      <c r="AA27" s="1">
        <f ca="1">IFERROR(__xludf.DUMMYFUNCTION("""COMPUTED_VALUE"""),1135)</f>
        <v>1135</v>
      </c>
      <c r="AB27" s="1">
        <f ca="1">IFERROR(__xludf.DUMMYFUNCTION("""COMPUTED_VALUE"""),448)</f>
        <v>448</v>
      </c>
      <c r="AC27" s="1">
        <f ca="1">IFERROR(__xludf.DUMMYFUNCTION("""COMPUTED_VALUE"""),245)</f>
        <v>245</v>
      </c>
      <c r="AD27" s="1">
        <f ca="1">IFERROR(__xludf.DUMMYFUNCTION("""COMPUTED_VALUE"""),96)</f>
        <v>96</v>
      </c>
      <c r="AE27" s="1">
        <f ca="1">IFERROR(__xludf.DUMMYFUNCTION("""COMPUTED_VALUE"""),413)</f>
        <v>413</v>
      </c>
      <c r="AF27" s="1">
        <f ca="1">IFERROR(__xludf.DUMMYFUNCTION("""COMPUTED_VALUE"""),644)</f>
        <v>644</v>
      </c>
    </row>
    <row r="28" spans="1:32" ht="12.5" x14ac:dyDescent="0.25">
      <c r="A28" s="1" t="str">
        <f ca="1">IFERROR(__xludf.DUMMYFUNCTION("""COMPUTED_VALUE"""),"Binghamton")</f>
        <v>Binghamton</v>
      </c>
      <c r="B28" s="1">
        <f ca="1">IFERROR(__xludf.DUMMYFUNCTION("""COMPUTED_VALUE"""),32)</f>
        <v>32</v>
      </c>
      <c r="C28" s="1">
        <f ca="1">IFERROR(__xludf.DUMMYFUNCTION("""COMPUTED_VALUE"""),12)</f>
        <v>12</v>
      </c>
      <c r="D28" s="1">
        <f ca="1">IFERROR(__xludf.DUMMYFUNCTION("""COMPUTED_VALUE"""),20)</f>
        <v>20</v>
      </c>
      <c r="E28" s="1">
        <f ca="1">IFERROR(__xludf.DUMMYFUNCTION("""COMPUTED_VALUE"""),0.375)</f>
        <v>0.375</v>
      </c>
      <c r="F28" s="1">
        <f ca="1">IFERROR(__xludf.DUMMYFUNCTION("""COMPUTED_VALUE"""),-11.99)</f>
        <v>-11.99</v>
      </c>
      <c r="G28" s="1">
        <f ca="1">IFERROR(__xludf.DUMMYFUNCTION("""COMPUTED_VALUE"""),-5.79)</f>
        <v>-5.79</v>
      </c>
      <c r="H28" s="1">
        <f ca="1">IFERROR(__xludf.DUMMYFUNCTION("""COMPUTED_VALUE"""),3)</f>
        <v>3</v>
      </c>
      <c r="I28" s="1">
        <f ca="1">IFERROR(__xludf.DUMMYFUNCTION("""COMPUTED_VALUE"""),13)</f>
        <v>13</v>
      </c>
      <c r="J28" s="1">
        <f ca="1">IFERROR(__xludf.DUMMYFUNCTION("""COMPUTED_VALUE"""),7)</f>
        <v>7</v>
      </c>
      <c r="K28" s="1">
        <f ca="1">IFERROR(__xludf.DUMMYFUNCTION("""COMPUTED_VALUE"""),7)</f>
        <v>7</v>
      </c>
      <c r="L28" s="1">
        <f ca="1">IFERROR(__xludf.DUMMYFUNCTION("""COMPUTED_VALUE"""),4)</f>
        <v>4</v>
      </c>
      <c r="M28" s="1">
        <f ca="1">IFERROR(__xludf.DUMMYFUNCTION("""COMPUTED_VALUE"""),13)</f>
        <v>13</v>
      </c>
      <c r="N28" s="1">
        <f ca="1">IFERROR(__xludf.DUMMYFUNCTION("""COMPUTED_VALUE"""),2175)</f>
        <v>2175</v>
      </c>
      <c r="O28" s="1">
        <f ca="1">IFERROR(__xludf.DUMMYFUNCTION("""COMPUTED_VALUE"""),2270)</f>
        <v>2270</v>
      </c>
      <c r="P28" s="1">
        <f ca="1">IFERROR(__xludf.DUMMYFUNCTION("""COMPUTED_VALUE"""),1285)</f>
        <v>1285</v>
      </c>
      <c r="Q28" s="1">
        <f ca="1">IFERROR(__xludf.DUMMYFUNCTION("""COMPUTED_VALUE"""),768)</f>
        <v>768</v>
      </c>
      <c r="R28" s="1">
        <f ca="1">IFERROR(__xludf.DUMMYFUNCTION("""COMPUTED_VALUE"""),1757)</f>
        <v>1757</v>
      </c>
      <c r="S28" s="1">
        <f ca="1">IFERROR(__xludf.DUMMYFUNCTION("""COMPUTED_VALUE"""),0.437)</f>
        <v>0.437</v>
      </c>
      <c r="T28" s="1">
        <f ca="1">IFERROR(__xludf.DUMMYFUNCTION("""COMPUTED_VALUE"""),248)</f>
        <v>248</v>
      </c>
      <c r="U28" s="1">
        <f ca="1">IFERROR(__xludf.DUMMYFUNCTION("""COMPUTED_VALUE"""),685)</f>
        <v>685</v>
      </c>
      <c r="V28" s="1">
        <f ca="1">IFERROR(__xludf.DUMMYFUNCTION("""COMPUTED_VALUE"""),0.362)</f>
        <v>0.36199999999999999</v>
      </c>
      <c r="W28" s="1">
        <f ca="1">IFERROR(__xludf.DUMMYFUNCTION("""COMPUTED_VALUE"""),391)</f>
        <v>391</v>
      </c>
      <c r="X28" s="1">
        <f ca="1">IFERROR(__xludf.DUMMYFUNCTION("""COMPUTED_VALUE"""),555)</f>
        <v>555</v>
      </c>
      <c r="Y28" s="1">
        <f ca="1">IFERROR(__xludf.DUMMYFUNCTION("""COMPUTED_VALUE"""),0.705)</f>
        <v>0.70499999999999996</v>
      </c>
      <c r="Z28" s="1">
        <f ca="1">IFERROR(__xludf.DUMMYFUNCTION("""COMPUTED_VALUE"""),251)</f>
        <v>251</v>
      </c>
      <c r="AA28" s="1">
        <f ca="1">IFERROR(__xludf.DUMMYFUNCTION("""COMPUTED_VALUE"""),1055)</f>
        <v>1055</v>
      </c>
      <c r="AB28" s="1">
        <f ca="1">IFERROR(__xludf.DUMMYFUNCTION("""COMPUTED_VALUE"""),410)</f>
        <v>410</v>
      </c>
      <c r="AC28" s="1">
        <f ca="1">IFERROR(__xludf.DUMMYFUNCTION("""COMPUTED_VALUE"""),167)</f>
        <v>167</v>
      </c>
      <c r="AD28" s="1">
        <f ca="1">IFERROR(__xludf.DUMMYFUNCTION("""COMPUTED_VALUE"""),78)</f>
        <v>78</v>
      </c>
      <c r="AE28" s="1">
        <f ca="1">IFERROR(__xludf.DUMMYFUNCTION("""COMPUTED_VALUE"""),397)</f>
        <v>397</v>
      </c>
      <c r="AF28" s="1">
        <f ca="1">IFERROR(__xludf.DUMMYFUNCTION("""COMPUTED_VALUE"""),545)</f>
        <v>545</v>
      </c>
    </row>
    <row r="29" spans="1:32" ht="12.5" x14ac:dyDescent="0.25">
      <c r="A29" s="1" t="str">
        <f ca="1">IFERROR(__xludf.DUMMYFUNCTION("""COMPUTED_VALUE"""),"Boise State")</f>
        <v>Boise State</v>
      </c>
      <c r="B29" s="1">
        <f ca="1">IFERROR(__xludf.DUMMYFUNCTION("""COMPUTED_VALUE"""),32)</f>
        <v>32</v>
      </c>
      <c r="C29" s="1">
        <f ca="1">IFERROR(__xludf.DUMMYFUNCTION("""COMPUTED_VALUE"""),20)</f>
        <v>20</v>
      </c>
      <c r="D29" s="1">
        <f ca="1">IFERROR(__xludf.DUMMYFUNCTION("""COMPUTED_VALUE"""),12)</f>
        <v>12</v>
      </c>
      <c r="E29" s="1">
        <f ca="1">IFERROR(__xludf.DUMMYFUNCTION("""COMPUTED_VALUE"""),0.625)</f>
        <v>0.625</v>
      </c>
      <c r="F29" s="1">
        <f ca="1">IFERROR(__xludf.DUMMYFUNCTION("""COMPUTED_VALUE"""),5.52)</f>
        <v>5.52</v>
      </c>
      <c r="G29" s="1">
        <f ca="1">IFERROR(__xludf.DUMMYFUNCTION("""COMPUTED_VALUE"""),2.72)</f>
        <v>2.72</v>
      </c>
      <c r="H29" s="1">
        <f ca="1">IFERROR(__xludf.DUMMYFUNCTION("""COMPUTED_VALUE"""),12)</f>
        <v>12</v>
      </c>
      <c r="I29" s="1">
        <f ca="1">IFERROR(__xludf.DUMMYFUNCTION("""COMPUTED_VALUE"""),6)</f>
        <v>6</v>
      </c>
      <c r="J29" s="1">
        <f ca="1">IFERROR(__xludf.DUMMYFUNCTION("""COMPUTED_VALUE"""),11)</f>
        <v>11</v>
      </c>
      <c r="K29" s="1">
        <f ca="1">IFERROR(__xludf.DUMMYFUNCTION("""COMPUTED_VALUE"""),3)</f>
        <v>3</v>
      </c>
      <c r="L29" s="1">
        <f ca="1">IFERROR(__xludf.DUMMYFUNCTION("""COMPUTED_VALUE"""),8)</f>
        <v>8</v>
      </c>
      <c r="M29" s="1">
        <f ca="1">IFERROR(__xludf.DUMMYFUNCTION("""COMPUTED_VALUE"""),7)</f>
        <v>7</v>
      </c>
      <c r="N29" s="1">
        <f ca="1">IFERROR(__xludf.DUMMYFUNCTION("""COMPUTED_VALUE"""),2404)</f>
        <v>2404</v>
      </c>
      <c r="O29" s="1">
        <f ca="1">IFERROR(__xludf.DUMMYFUNCTION("""COMPUTED_VALUE"""),2278)</f>
        <v>2278</v>
      </c>
      <c r="P29" s="1">
        <f ca="1">IFERROR(__xludf.DUMMYFUNCTION("""COMPUTED_VALUE"""),1280)</f>
        <v>1280</v>
      </c>
      <c r="Q29" s="1">
        <f ca="1">IFERROR(__xludf.DUMMYFUNCTION("""COMPUTED_VALUE"""),811)</f>
        <v>811</v>
      </c>
      <c r="R29" s="1">
        <f ca="1">IFERROR(__xludf.DUMMYFUNCTION("""COMPUTED_VALUE"""),1802)</f>
        <v>1802</v>
      </c>
      <c r="S29" s="1">
        <f ca="1">IFERROR(__xludf.DUMMYFUNCTION("""COMPUTED_VALUE"""),0.45)</f>
        <v>0.45</v>
      </c>
      <c r="T29" s="1">
        <f ca="1">IFERROR(__xludf.DUMMYFUNCTION("""COMPUTED_VALUE"""),253)</f>
        <v>253</v>
      </c>
      <c r="U29" s="1">
        <f ca="1">IFERROR(__xludf.DUMMYFUNCTION("""COMPUTED_VALUE"""),726)</f>
        <v>726</v>
      </c>
      <c r="V29" s="1">
        <f ca="1">IFERROR(__xludf.DUMMYFUNCTION("""COMPUTED_VALUE"""),0.348)</f>
        <v>0.34799999999999998</v>
      </c>
      <c r="W29" s="1">
        <f ca="1">IFERROR(__xludf.DUMMYFUNCTION("""COMPUTED_VALUE"""),529)</f>
        <v>529</v>
      </c>
      <c r="X29" s="1">
        <f ca="1">IFERROR(__xludf.DUMMYFUNCTION("""COMPUTED_VALUE"""),743)</f>
        <v>743</v>
      </c>
      <c r="Y29" s="1">
        <f ca="1">IFERROR(__xludf.DUMMYFUNCTION("""COMPUTED_VALUE"""),0.712)</f>
        <v>0.71199999999999997</v>
      </c>
      <c r="Z29" s="1">
        <f ca="1">IFERROR(__xludf.DUMMYFUNCTION("""COMPUTED_VALUE"""),309)</f>
        <v>309</v>
      </c>
      <c r="AA29" s="1">
        <f ca="1">IFERROR(__xludf.DUMMYFUNCTION("""COMPUTED_VALUE"""),1139)</f>
        <v>1139</v>
      </c>
      <c r="AB29" s="1">
        <f ca="1">IFERROR(__xludf.DUMMYFUNCTION("""COMPUTED_VALUE"""),387)</f>
        <v>387</v>
      </c>
      <c r="AC29" s="1">
        <f ca="1">IFERROR(__xludf.DUMMYFUNCTION("""COMPUTED_VALUE"""),158)</f>
        <v>158</v>
      </c>
      <c r="AD29" s="1">
        <f ca="1">IFERROR(__xludf.DUMMYFUNCTION("""COMPUTED_VALUE"""),77)</f>
        <v>77</v>
      </c>
      <c r="AE29" s="1">
        <f ca="1">IFERROR(__xludf.DUMMYFUNCTION("""COMPUTED_VALUE"""),409)</f>
        <v>409</v>
      </c>
      <c r="AF29" s="1">
        <f ca="1">IFERROR(__xludf.DUMMYFUNCTION("""COMPUTED_VALUE"""),662)</f>
        <v>662</v>
      </c>
    </row>
    <row r="30" spans="1:32" ht="12.5" x14ac:dyDescent="0.25">
      <c r="A30" s="1" t="str">
        <f ca="1">IFERROR(__xludf.DUMMYFUNCTION("""COMPUTED_VALUE"""),"Boston College")</f>
        <v>Boston College</v>
      </c>
      <c r="B30" s="1">
        <f ca="1">IFERROR(__xludf.DUMMYFUNCTION("""COMPUTED_VALUE"""),32)</f>
        <v>32</v>
      </c>
      <c r="C30" s="1">
        <f ca="1">IFERROR(__xludf.DUMMYFUNCTION("""COMPUTED_VALUE"""),9)</f>
        <v>9</v>
      </c>
      <c r="D30" s="1">
        <f ca="1">IFERROR(__xludf.DUMMYFUNCTION("""COMPUTED_VALUE"""),23)</f>
        <v>23</v>
      </c>
      <c r="E30" s="1">
        <f ca="1">IFERROR(__xludf.DUMMYFUNCTION("""COMPUTED_VALUE"""),0.281)</f>
        <v>0.28100000000000003</v>
      </c>
      <c r="F30" s="1">
        <f ca="1">IFERROR(__xludf.DUMMYFUNCTION("""COMPUTED_VALUE"""),2.2)</f>
        <v>2.2000000000000002</v>
      </c>
      <c r="G30" s="1">
        <f ca="1">IFERROR(__xludf.DUMMYFUNCTION("""COMPUTED_VALUE"""),8.08)</f>
        <v>8.08</v>
      </c>
      <c r="H30" s="1">
        <f ca="1">IFERROR(__xludf.DUMMYFUNCTION("""COMPUTED_VALUE"""),2)</f>
        <v>2</v>
      </c>
      <c r="I30" s="1">
        <f ca="1">IFERROR(__xludf.DUMMYFUNCTION("""COMPUTED_VALUE"""),16)</f>
        <v>16</v>
      </c>
      <c r="J30" s="1">
        <f ca="1">IFERROR(__xludf.DUMMYFUNCTION("""COMPUTED_VALUE"""),8)</f>
        <v>8</v>
      </c>
      <c r="K30" s="1">
        <f ca="1">IFERROR(__xludf.DUMMYFUNCTION("""COMPUTED_VALUE"""),10)</f>
        <v>10</v>
      </c>
      <c r="L30" s="1">
        <f ca="1">IFERROR(__xludf.DUMMYFUNCTION("""COMPUTED_VALUE"""),0)</f>
        <v>0</v>
      </c>
      <c r="M30" s="1">
        <f ca="1">IFERROR(__xludf.DUMMYFUNCTION("""COMPUTED_VALUE"""),9)</f>
        <v>9</v>
      </c>
      <c r="N30" s="1">
        <f ca="1">IFERROR(__xludf.DUMMYFUNCTION("""COMPUTED_VALUE"""),2320)</f>
        <v>2320</v>
      </c>
      <c r="O30" s="1">
        <f ca="1">IFERROR(__xludf.DUMMYFUNCTION("""COMPUTED_VALUE"""),2508)</f>
        <v>2508</v>
      </c>
      <c r="P30" s="1">
        <f ca="1">IFERROR(__xludf.DUMMYFUNCTION("""COMPUTED_VALUE"""),1280)</f>
        <v>1280</v>
      </c>
      <c r="Q30" s="1">
        <f ca="1">IFERROR(__xludf.DUMMYFUNCTION("""COMPUTED_VALUE"""),843)</f>
        <v>843</v>
      </c>
      <c r="R30" s="1">
        <f ca="1">IFERROR(__xludf.DUMMYFUNCTION("""COMPUTED_VALUE"""),1880)</f>
        <v>1880</v>
      </c>
      <c r="S30" s="1">
        <f ca="1">IFERROR(__xludf.DUMMYFUNCTION("""COMPUTED_VALUE"""),0.448)</f>
        <v>0.44800000000000001</v>
      </c>
      <c r="T30" s="1">
        <f ca="1">IFERROR(__xludf.DUMMYFUNCTION("""COMPUTED_VALUE"""),256)</f>
        <v>256</v>
      </c>
      <c r="U30" s="1">
        <f ca="1">IFERROR(__xludf.DUMMYFUNCTION("""COMPUTED_VALUE"""),685)</f>
        <v>685</v>
      </c>
      <c r="V30" s="1">
        <f ca="1">IFERROR(__xludf.DUMMYFUNCTION("""COMPUTED_VALUE"""),0.374)</f>
        <v>0.374</v>
      </c>
      <c r="W30" s="1">
        <f ca="1">IFERROR(__xludf.DUMMYFUNCTION("""COMPUTED_VALUE"""),378)</f>
        <v>378</v>
      </c>
      <c r="X30" s="1">
        <f ca="1">IFERROR(__xludf.DUMMYFUNCTION("""COMPUTED_VALUE"""),556)</f>
        <v>556</v>
      </c>
      <c r="Y30" s="1">
        <f ca="1">IFERROR(__xludf.DUMMYFUNCTION("""COMPUTED_VALUE"""),0.68)</f>
        <v>0.68</v>
      </c>
      <c r="Z30" s="1">
        <f ca="1">IFERROR(__xludf.DUMMYFUNCTION("""COMPUTED_VALUE"""),292)</f>
        <v>292</v>
      </c>
      <c r="AA30" s="1">
        <f ca="1">IFERROR(__xludf.DUMMYFUNCTION("""COMPUTED_VALUE"""),1119)</f>
        <v>1119</v>
      </c>
      <c r="AB30" s="1">
        <f ca="1">IFERROR(__xludf.DUMMYFUNCTION("""COMPUTED_VALUE"""),473)</f>
        <v>473</v>
      </c>
      <c r="AC30" s="1">
        <f ca="1">IFERROR(__xludf.DUMMYFUNCTION("""COMPUTED_VALUE"""),179)</f>
        <v>179</v>
      </c>
      <c r="AD30" s="1">
        <f ca="1">IFERROR(__xludf.DUMMYFUNCTION("""COMPUTED_VALUE"""),87)</f>
        <v>87</v>
      </c>
      <c r="AE30" s="1">
        <f ca="1">IFERROR(__xludf.DUMMYFUNCTION("""COMPUTED_VALUE"""),467)</f>
        <v>467</v>
      </c>
      <c r="AF30" s="1">
        <f ca="1">IFERROR(__xludf.DUMMYFUNCTION("""COMPUTED_VALUE"""),597)</f>
        <v>597</v>
      </c>
    </row>
    <row r="31" spans="1:32" ht="12.5" x14ac:dyDescent="0.25">
      <c r="A31" s="1" t="str">
        <f ca="1">IFERROR(__xludf.DUMMYFUNCTION("""COMPUTED_VALUE"""),"Boston University")</f>
        <v>Boston University</v>
      </c>
      <c r="B31" s="1">
        <f ca="1">IFERROR(__xludf.DUMMYFUNCTION("""COMPUTED_VALUE"""),32)</f>
        <v>32</v>
      </c>
      <c r="C31" s="1">
        <f ca="1">IFERROR(__xludf.DUMMYFUNCTION("""COMPUTED_VALUE"""),18)</f>
        <v>18</v>
      </c>
      <c r="D31" s="1">
        <f ca="1">IFERROR(__xludf.DUMMYFUNCTION("""COMPUTED_VALUE"""),14)</f>
        <v>14</v>
      </c>
      <c r="E31" s="1">
        <f ca="1">IFERROR(__xludf.DUMMYFUNCTION("""COMPUTED_VALUE"""),0.563)</f>
        <v>0.56299999999999994</v>
      </c>
      <c r="F31" s="1">
        <f ca="1">IFERROR(__xludf.DUMMYFUNCTION("""COMPUTED_VALUE"""),-2.43)</f>
        <v>-2.4300000000000002</v>
      </c>
      <c r="G31" s="1">
        <f ca="1">IFERROR(__xludf.DUMMYFUNCTION("""COMPUTED_VALUE"""),-3.66)</f>
        <v>-3.66</v>
      </c>
      <c r="H31" s="1">
        <f ca="1">IFERROR(__xludf.DUMMYFUNCTION("""COMPUTED_VALUE"""),12)</f>
        <v>12</v>
      </c>
      <c r="I31" s="1">
        <f ca="1">IFERROR(__xludf.DUMMYFUNCTION("""COMPUTED_VALUE"""),6)</f>
        <v>6</v>
      </c>
      <c r="J31" s="1">
        <f ca="1">IFERROR(__xludf.DUMMYFUNCTION("""COMPUTED_VALUE"""),11)</f>
        <v>11</v>
      </c>
      <c r="K31" s="1">
        <f ca="1">IFERROR(__xludf.DUMMYFUNCTION("""COMPUTED_VALUE"""),5)</f>
        <v>5</v>
      </c>
      <c r="L31" s="1">
        <f ca="1">IFERROR(__xludf.DUMMYFUNCTION("""COMPUTED_VALUE"""),6)</f>
        <v>6</v>
      </c>
      <c r="M31" s="1">
        <f ca="1">IFERROR(__xludf.DUMMYFUNCTION("""COMPUTED_VALUE"""),9)</f>
        <v>9</v>
      </c>
      <c r="N31" s="1">
        <f ca="1">IFERROR(__xludf.DUMMYFUNCTION("""COMPUTED_VALUE"""),2339)</f>
        <v>2339</v>
      </c>
      <c r="O31" s="1">
        <f ca="1">IFERROR(__xludf.DUMMYFUNCTION("""COMPUTED_VALUE"""),2264)</f>
        <v>2264</v>
      </c>
      <c r="P31" s="1">
        <f ca="1">IFERROR(__xludf.DUMMYFUNCTION("""COMPUTED_VALUE"""),1300)</f>
        <v>1300</v>
      </c>
      <c r="Q31" s="1">
        <f ca="1">IFERROR(__xludf.DUMMYFUNCTION("""COMPUTED_VALUE"""),817)</f>
        <v>817</v>
      </c>
      <c r="R31" s="1">
        <f ca="1">IFERROR(__xludf.DUMMYFUNCTION("""COMPUTED_VALUE"""),1844)</f>
        <v>1844</v>
      </c>
      <c r="S31" s="1">
        <f ca="1">IFERROR(__xludf.DUMMYFUNCTION("""COMPUTED_VALUE"""),0.443)</f>
        <v>0.443</v>
      </c>
      <c r="T31" s="1">
        <f ca="1">IFERROR(__xludf.DUMMYFUNCTION("""COMPUTED_VALUE"""),274)</f>
        <v>274</v>
      </c>
      <c r="U31" s="1">
        <f ca="1">IFERROR(__xludf.DUMMYFUNCTION("""COMPUTED_VALUE"""),773)</f>
        <v>773</v>
      </c>
      <c r="V31" s="1">
        <f ca="1">IFERROR(__xludf.DUMMYFUNCTION("""COMPUTED_VALUE"""),0.354)</f>
        <v>0.35399999999999998</v>
      </c>
      <c r="W31" s="1">
        <f ca="1">IFERROR(__xludf.DUMMYFUNCTION("""COMPUTED_VALUE"""),431)</f>
        <v>431</v>
      </c>
      <c r="X31" s="1">
        <f ca="1">IFERROR(__xludf.DUMMYFUNCTION("""COMPUTED_VALUE"""),619)</f>
        <v>619</v>
      </c>
      <c r="Y31" s="1">
        <f ca="1">IFERROR(__xludf.DUMMYFUNCTION("""COMPUTED_VALUE"""),0.696)</f>
        <v>0.69599999999999995</v>
      </c>
      <c r="Z31" s="1">
        <f ca="1">IFERROR(__xludf.DUMMYFUNCTION("""COMPUTED_VALUE"""),321)</f>
        <v>321</v>
      </c>
      <c r="AA31" s="1">
        <f ca="1">IFERROR(__xludf.DUMMYFUNCTION("""COMPUTED_VALUE"""),1141)</f>
        <v>1141</v>
      </c>
      <c r="AB31" s="1">
        <f ca="1">IFERROR(__xludf.DUMMYFUNCTION("""COMPUTED_VALUE"""),449)</f>
        <v>449</v>
      </c>
      <c r="AC31" s="1">
        <f ca="1">IFERROR(__xludf.DUMMYFUNCTION("""COMPUTED_VALUE"""),265)</f>
        <v>265</v>
      </c>
      <c r="AD31" s="1">
        <f ca="1">IFERROR(__xludf.DUMMYFUNCTION("""COMPUTED_VALUE"""),81)</f>
        <v>81</v>
      </c>
      <c r="AE31" s="1">
        <f ca="1">IFERROR(__xludf.DUMMYFUNCTION("""COMPUTED_VALUE"""),444)</f>
        <v>444</v>
      </c>
      <c r="AF31" s="1">
        <f ca="1">IFERROR(__xludf.DUMMYFUNCTION("""COMPUTED_VALUE"""),610)</f>
        <v>610</v>
      </c>
    </row>
    <row r="32" spans="1:32" ht="12.5" x14ac:dyDescent="0.25">
      <c r="A32" s="1" t="str">
        <f ca="1">IFERROR(__xludf.DUMMYFUNCTION("""COMPUTED_VALUE"""),"Bowling Green State")</f>
        <v>Bowling Green State</v>
      </c>
      <c r="B32" s="1">
        <f ca="1">IFERROR(__xludf.DUMMYFUNCTION("""COMPUTED_VALUE"""),32)</f>
        <v>32</v>
      </c>
      <c r="C32" s="1">
        <f ca="1">IFERROR(__xludf.DUMMYFUNCTION("""COMPUTED_VALUE"""),13)</f>
        <v>13</v>
      </c>
      <c r="D32" s="1">
        <f ca="1">IFERROR(__xludf.DUMMYFUNCTION("""COMPUTED_VALUE"""),19)</f>
        <v>19</v>
      </c>
      <c r="E32" s="1">
        <f ca="1">IFERROR(__xludf.DUMMYFUNCTION("""COMPUTED_VALUE"""),0.406)</f>
        <v>0.40600000000000003</v>
      </c>
      <c r="F32" s="1">
        <f ca="1">IFERROR(__xludf.DUMMYFUNCTION("""COMPUTED_VALUE"""),-6)</f>
        <v>-6</v>
      </c>
      <c r="G32" s="1">
        <f ca="1">IFERROR(__xludf.DUMMYFUNCTION("""COMPUTED_VALUE"""),-2)</f>
        <v>-2</v>
      </c>
      <c r="H32" s="1">
        <f ca="1">IFERROR(__xludf.DUMMYFUNCTION("""COMPUTED_VALUE"""),7)</f>
        <v>7</v>
      </c>
      <c r="I32" s="1">
        <f ca="1">IFERROR(__xludf.DUMMYFUNCTION("""COMPUTED_VALUE"""),11)</f>
        <v>11</v>
      </c>
      <c r="J32" s="1">
        <f ca="1">IFERROR(__xludf.DUMMYFUNCTION("""COMPUTED_VALUE"""),10)</f>
        <v>10</v>
      </c>
      <c r="K32" s="1">
        <f ca="1">IFERROR(__xludf.DUMMYFUNCTION("""COMPUTED_VALUE"""),7)</f>
        <v>7</v>
      </c>
      <c r="L32" s="1">
        <f ca="1">IFERROR(__xludf.DUMMYFUNCTION("""COMPUTED_VALUE"""),3)</f>
        <v>3</v>
      </c>
      <c r="M32" s="1">
        <f ca="1">IFERROR(__xludf.DUMMYFUNCTION("""COMPUTED_VALUE"""),12)</f>
        <v>12</v>
      </c>
      <c r="N32" s="1">
        <f ca="1">IFERROR(__xludf.DUMMYFUNCTION("""COMPUTED_VALUE"""),2355)</f>
        <v>2355</v>
      </c>
      <c r="O32" s="1">
        <f ca="1">IFERROR(__xludf.DUMMYFUNCTION("""COMPUTED_VALUE"""),2453)</f>
        <v>2453</v>
      </c>
      <c r="P32" s="1">
        <f ca="1">IFERROR(__xludf.DUMMYFUNCTION("""COMPUTED_VALUE"""),1295)</f>
        <v>1295</v>
      </c>
      <c r="Q32" s="1">
        <f ca="1">IFERROR(__xludf.DUMMYFUNCTION("""COMPUTED_VALUE"""),832)</f>
        <v>832</v>
      </c>
      <c r="R32" s="1">
        <f ca="1">IFERROR(__xludf.DUMMYFUNCTION("""COMPUTED_VALUE"""),1957)</f>
        <v>1957</v>
      </c>
      <c r="S32" s="1">
        <f ca="1">IFERROR(__xludf.DUMMYFUNCTION("""COMPUTED_VALUE"""),0.425)</f>
        <v>0.42499999999999999</v>
      </c>
      <c r="T32" s="1">
        <f ca="1">IFERROR(__xludf.DUMMYFUNCTION("""COMPUTED_VALUE"""),220)</f>
        <v>220</v>
      </c>
      <c r="U32" s="1">
        <f ca="1">IFERROR(__xludf.DUMMYFUNCTION("""COMPUTED_VALUE"""),644)</f>
        <v>644</v>
      </c>
      <c r="V32" s="1">
        <f ca="1">IFERROR(__xludf.DUMMYFUNCTION("""COMPUTED_VALUE"""),0.342)</f>
        <v>0.34200000000000003</v>
      </c>
      <c r="W32" s="1">
        <f ca="1">IFERROR(__xludf.DUMMYFUNCTION("""COMPUTED_VALUE"""),471)</f>
        <v>471</v>
      </c>
      <c r="X32" s="1">
        <f ca="1">IFERROR(__xludf.DUMMYFUNCTION("""COMPUTED_VALUE"""),706)</f>
        <v>706</v>
      </c>
      <c r="Y32" s="1">
        <f ca="1">IFERROR(__xludf.DUMMYFUNCTION("""COMPUTED_VALUE"""),0.667)</f>
        <v>0.66700000000000004</v>
      </c>
      <c r="Z32" s="1">
        <f ca="1">IFERROR(__xludf.DUMMYFUNCTION("""COMPUTED_VALUE"""),353)</f>
        <v>353</v>
      </c>
      <c r="AA32" s="1">
        <f ca="1">IFERROR(__xludf.DUMMYFUNCTION("""COMPUTED_VALUE"""),1153)</f>
        <v>1153</v>
      </c>
      <c r="AB32" s="1">
        <f ca="1">IFERROR(__xludf.DUMMYFUNCTION("""COMPUTED_VALUE"""),390)</f>
        <v>390</v>
      </c>
      <c r="AC32" s="1">
        <f ca="1">IFERROR(__xludf.DUMMYFUNCTION("""COMPUTED_VALUE"""),221)</f>
        <v>221</v>
      </c>
      <c r="AD32" s="1">
        <f ca="1">IFERROR(__xludf.DUMMYFUNCTION("""COMPUTED_VALUE"""),87)</f>
        <v>87</v>
      </c>
      <c r="AE32" s="1">
        <f ca="1">IFERROR(__xludf.DUMMYFUNCTION("""COMPUTED_VALUE"""),408)</f>
        <v>408</v>
      </c>
      <c r="AF32" s="1">
        <f ca="1">IFERROR(__xludf.DUMMYFUNCTION("""COMPUTED_VALUE"""),623)</f>
        <v>623</v>
      </c>
    </row>
    <row r="33" spans="1:32" ht="12.5" x14ac:dyDescent="0.25">
      <c r="A33" s="1" t="str">
        <f ca="1">IFERROR(__xludf.DUMMYFUNCTION("""COMPUTED_VALUE"""),"Bradley")</f>
        <v>Bradley</v>
      </c>
      <c r="B33" s="1">
        <f ca="1">IFERROR(__xludf.DUMMYFUNCTION("""COMPUTED_VALUE"""),33)</f>
        <v>33</v>
      </c>
      <c r="C33" s="1">
        <f ca="1">IFERROR(__xludf.DUMMYFUNCTION("""COMPUTED_VALUE"""),13)</f>
        <v>13</v>
      </c>
      <c r="D33" s="1">
        <f ca="1">IFERROR(__xludf.DUMMYFUNCTION("""COMPUTED_VALUE"""),20)</f>
        <v>20</v>
      </c>
      <c r="E33" s="1">
        <f ca="1">IFERROR(__xludf.DUMMYFUNCTION("""COMPUTED_VALUE"""),0.394)</f>
        <v>0.39400000000000002</v>
      </c>
      <c r="F33" s="1">
        <f ca="1">IFERROR(__xludf.DUMMYFUNCTION("""COMPUTED_VALUE"""),-2.84)</f>
        <v>-2.84</v>
      </c>
      <c r="G33" s="1">
        <f ca="1">IFERROR(__xludf.DUMMYFUNCTION("""COMPUTED_VALUE"""),2.94)</f>
        <v>2.94</v>
      </c>
      <c r="H33" s="1">
        <f ca="1">IFERROR(__xludf.DUMMYFUNCTION("""COMPUTED_VALUE"""),7)</f>
        <v>7</v>
      </c>
      <c r="I33" s="1">
        <f ca="1">IFERROR(__xludf.DUMMYFUNCTION("""COMPUTED_VALUE"""),11)</f>
        <v>11</v>
      </c>
      <c r="J33" s="1">
        <f ca="1">IFERROR(__xludf.DUMMYFUNCTION("""COMPUTED_VALUE"""),8)</f>
        <v>8</v>
      </c>
      <c r="K33" s="1">
        <f ca="1">IFERROR(__xludf.DUMMYFUNCTION("""COMPUTED_VALUE"""),7)</f>
        <v>7</v>
      </c>
      <c r="L33" s="1">
        <f ca="1">IFERROR(__xludf.DUMMYFUNCTION("""COMPUTED_VALUE"""),3)</f>
        <v>3</v>
      </c>
      <c r="M33" s="1">
        <f ca="1">IFERROR(__xludf.DUMMYFUNCTION("""COMPUTED_VALUE"""),10)</f>
        <v>10</v>
      </c>
      <c r="N33" s="1">
        <f ca="1">IFERROR(__xludf.DUMMYFUNCTION("""COMPUTED_VALUE"""),2163)</f>
        <v>2163</v>
      </c>
      <c r="O33" s="1">
        <f ca="1">IFERROR(__xludf.DUMMYFUNCTION("""COMPUTED_VALUE"""),2333)</f>
        <v>2333</v>
      </c>
      <c r="P33" s="1">
        <f ca="1">IFERROR(__xludf.DUMMYFUNCTION("""COMPUTED_VALUE"""),1325)</f>
        <v>1325</v>
      </c>
      <c r="Q33" s="1">
        <f ca="1">IFERROR(__xludf.DUMMYFUNCTION("""COMPUTED_VALUE"""),731)</f>
        <v>731</v>
      </c>
      <c r="R33" s="1">
        <f ca="1">IFERROR(__xludf.DUMMYFUNCTION("""COMPUTED_VALUE"""),1722)</f>
        <v>1722</v>
      </c>
      <c r="S33" s="1">
        <f ca="1">IFERROR(__xludf.DUMMYFUNCTION("""COMPUTED_VALUE"""),0.425)</f>
        <v>0.42499999999999999</v>
      </c>
      <c r="T33" s="1">
        <f ca="1">IFERROR(__xludf.DUMMYFUNCTION("""COMPUTED_VALUE"""),217)</f>
        <v>217</v>
      </c>
      <c r="U33" s="1">
        <f ca="1">IFERROR(__xludf.DUMMYFUNCTION("""COMPUTED_VALUE"""),609)</f>
        <v>609</v>
      </c>
      <c r="V33" s="1">
        <f ca="1">IFERROR(__xludf.DUMMYFUNCTION("""COMPUTED_VALUE"""),0.356)</f>
        <v>0.35599999999999998</v>
      </c>
      <c r="W33" s="1">
        <f ca="1">IFERROR(__xludf.DUMMYFUNCTION("""COMPUTED_VALUE"""),484)</f>
        <v>484</v>
      </c>
      <c r="X33" s="1">
        <f ca="1">IFERROR(__xludf.DUMMYFUNCTION("""COMPUTED_VALUE"""),719)</f>
        <v>719</v>
      </c>
      <c r="Y33" s="1">
        <f ca="1">IFERROR(__xludf.DUMMYFUNCTION("""COMPUTED_VALUE"""),0.673)</f>
        <v>0.67300000000000004</v>
      </c>
      <c r="Z33" s="1">
        <f ca="1">IFERROR(__xludf.DUMMYFUNCTION("""COMPUTED_VALUE"""),297)</f>
        <v>297</v>
      </c>
      <c r="AA33" s="1">
        <f ca="1">IFERROR(__xludf.DUMMYFUNCTION("""COMPUTED_VALUE"""),1156)</f>
        <v>1156</v>
      </c>
      <c r="AB33" s="1">
        <f ca="1">IFERROR(__xludf.DUMMYFUNCTION("""COMPUTED_VALUE"""),372)</f>
        <v>372</v>
      </c>
      <c r="AC33" s="1">
        <f ca="1">IFERROR(__xludf.DUMMYFUNCTION("""COMPUTED_VALUE"""),203)</f>
        <v>203</v>
      </c>
      <c r="AD33" s="1">
        <f ca="1">IFERROR(__xludf.DUMMYFUNCTION("""COMPUTED_VALUE"""),118)</f>
        <v>118</v>
      </c>
      <c r="AE33" s="1">
        <f ca="1">IFERROR(__xludf.DUMMYFUNCTION("""COMPUTED_VALUE"""),499)</f>
        <v>499</v>
      </c>
      <c r="AF33" s="1">
        <f ca="1">IFERROR(__xludf.DUMMYFUNCTION("""COMPUTED_VALUE"""),672)</f>
        <v>672</v>
      </c>
    </row>
    <row r="34" spans="1:32" ht="12.5" x14ac:dyDescent="0.25">
      <c r="A34" s="1" t="str">
        <f ca="1">IFERROR(__xludf.DUMMYFUNCTION("""COMPUTED_VALUE"""),"Brigham Young")</f>
        <v>Brigham Young</v>
      </c>
      <c r="B34" s="1">
        <f ca="1">IFERROR(__xludf.DUMMYFUNCTION("""COMPUTED_VALUE"""),34)</f>
        <v>34</v>
      </c>
      <c r="C34" s="1">
        <f ca="1">IFERROR(__xludf.DUMMYFUNCTION("""COMPUTED_VALUE"""),22)</f>
        <v>22</v>
      </c>
      <c r="D34" s="1">
        <f ca="1">IFERROR(__xludf.DUMMYFUNCTION("""COMPUTED_VALUE"""),12)</f>
        <v>12</v>
      </c>
      <c r="E34" s="1">
        <f ca="1">IFERROR(__xludf.DUMMYFUNCTION("""COMPUTED_VALUE"""),0.647)</f>
        <v>0.64700000000000002</v>
      </c>
      <c r="F34" s="1">
        <f ca="1">IFERROR(__xludf.DUMMYFUNCTION("""COMPUTED_VALUE"""),8.22)</f>
        <v>8.2200000000000006</v>
      </c>
      <c r="G34" s="1">
        <f ca="1">IFERROR(__xludf.DUMMYFUNCTION("""COMPUTED_VALUE"""),1.87)</f>
        <v>1.87</v>
      </c>
      <c r="H34" s="1">
        <f ca="1">IFERROR(__xludf.DUMMYFUNCTION("""COMPUTED_VALUE"""),12)</f>
        <v>12</v>
      </c>
      <c r="I34" s="1">
        <f ca="1">IFERROR(__xludf.DUMMYFUNCTION("""COMPUTED_VALUE"""),6)</f>
        <v>6</v>
      </c>
      <c r="J34" s="1">
        <f ca="1">IFERROR(__xludf.DUMMYFUNCTION("""COMPUTED_VALUE"""),14)</f>
        <v>14</v>
      </c>
      <c r="K34" s="1">
        <f ca="1">IFERROR(__xludf.DUMMYFUNCTION("""COMPUTED_VALUE"""),4)</f>
        <v>4</v>
      </c>
      <c r="L34" s="1">
        <f ca="1">IFERROR(__xludf.DUMMYFUNCTION("""COMPUTED_VALUE"""),5)</f>
        <v>5</v>
      </c>
      <c r="M34" s="1">
        <f ca="1">IFERROR(__xludf.DUMMYFUNCTION("""COMPUTED_VALUE"""),4)</f>
        <v>4</v>
      </c>
      <c r="N34" s="1">
        <f ca="1">IFERROR(__xludf.DUMMYFUNCTION("""COMPUTED_VALUE"""),2741)</f>
        <v>2741</v>
      </c>
      <c r="O34" s="1">
        <f ca="1">IFERROR(__xludf.DUMMYFUNCTION("""COMPUTED_VALUE"""),2525)</f>
        <v>2525</v>
      </c>
      <c r="P34" s="1">
        <f ca="1">IFERROR(__xludf.DUMMYFUNCTION("""COMPUTED_VALUE"""),1360)</f>
        <v>1360</v>
      </c>
      <c r="Q34" s="1">
        <f ca="1">IFERROR(__xludf.DUMMYFUNCTION("""COMPUTED_VALUE"""),937)</f>
        <v>937</v>
      </c>
      <c r="R34" s="1">
        <f ca="1">IFERROR(__xludf.DUMMYFUNCTION("""COMPUTED_VALUE"""),2057)</f>
        <v>2057</v>
      </c>
      <c r="S34" s="1">
        <f ca="1">IFERROR(__xludf.DUMMYFUNCTION("""COMPUTED_VALUE"""),0.456)</f>
        <v>0.45600000000000002</v>
      </c>
      <c r="T34" s="1">
        <f ca="1">IFERROR(__xludf.DUMMYFUNCTION("""COMPUTED_VALUE"""),230)</f>
        <v>230</v>
      </c>
      <c r="U34" s="1">
        <f ca="1">IFERROR(__xludf.DUMMYFUNCTION("""COMPUTED_VALUE"""),668)</f>
        <v>668</v>
      </c>
      <c r="V34" s="1">
        <f ca="1">IFERROR(__xludf.DUMMYFUNCTION("""COMPUTED_VALUE"""),0.344)</f>
        <v>0.34399999999999997</v>
      </c>
      <c r="W34" s="1">
        <f ca="1">IFERROR(__xludf.DUMMYFUNCTION("""COMPUTED_VALUE"""),637)</f>
        <v>637</v>
      </c>
      <c r="X34" s="1">
        <f ca="1">IFERROR(__xludf.DUMMYFUNCTION("""COMPUTED_VALUE"""),869)</f>
        <v>869</v>
      </c>
      <c r="Y34" s="1">
        <f ca="1">IFERROR(__xludf.DUMMYFUNCTION("""COMPUTED_VALUE"""),0.733)</f>
        <v>0.73299999999999998</v>
      </c>
      <c r="Z34" s="1">
        <f ca="1">IFERROR(__xludf.DUMMYFUNCTION("""COMPUTED_VALUE"""),363)</f>
        <v>363</v>
      </c>
      <c r="AA34" s="1">
        <f ca="1">IFERROR(__xludf.DUMMYFUNCTION("""COMPUTED_VALUE"""),1418)</f>
        <v>1418</v>
      </c>
      <c r="AB34" s="1">
        <f ca="1">IFERROR(__xludf.DUMMYFUNCTION("""COMPUTED_VALUE"""),534)</f>
        <v>534</v>
      </c>
      <c r="AC34" s="1">
        <f ca="1">IFERROR(__xludf.DUMMYFUNCTION("""COMPUTED_VALUE"""),224)</f>
        <v>224</v>
      </c>
      <c r="AD34" s="1">
        <f ca="1">IFERROR(__xludf.DUMMYFUNCTION("""COMPUTED_VALUE"""),156)</f>
        <v>156</v>
      </c>
      <c r="AE34" s="1">
        <f ca="1">IFERROR(__xludf.DUMMYFUNCTION("""COMPUTED_VALUE"""),469)</f>
        <v>469</v>
      </c>
      <c r="AF34" s="1">
        <f ca="1">IFERROR(__xludf.DUMMYFUNCTION("""COMPUTED_VALUE"""),657)</f>
        <v>657</v>
      </c>
    </row>
    <row r="35" spans="1:32" ht="12.5" x14ac:dyDescent="0.25">
      <c r="A35" s="1" t="str">
        <f ca="1">IFERROR(__xludf.DUMMYFUNCTION("""COMPUTED_VALUE"""),"Brown")</f>
        <v>Brown</v>
      </c>
      <c r="B35" s="1">
        <f ca="1">IFERROR(__xludf.DUMMYFUNCTION("""COMPUTED_VALUE"""),30)</f>
        <v>30</v>
      </c>
      <c r="C35" s="1">
        <f ca="1">IFERROR(__xludf.DUMMYFUNCTION("""COMPUTED_VALUE"""),13)</f>
        <v>13</v>
      </c>
      <c r="D35" s="1">
        <f ca="1">IFERROR(__xludf.DUMMYFUNCTION("""COMPUTED_VALUE"""),17)</f>
        <v>17</v>
      </c>
      <c r="E35" s="1">
        <f ca="1">IFERROR(__xludf.DUMMYFUNCTION("""COMPUTED_VALUE"""),0.433)</f>
        <v>0.433</v>
      </c>
      <c r="F35" s="1">
        <f ca="1">IFERROR(__xludf.DUMMYFUNCTION("""COMPUTED_VALUE"""),-8.55)</f>
        <v>-8.5500000000000007</v>
      </c>
      <c r="G35" s="1">
        <f ca="1">IFERROR(__xludf.DUMMYFUNCTION("""COMPUTED_VALUE"""),-4.08)</f>
        <v>-4.08</v>
      </c>
      <c r="H35" s="1">
        <f ca="1">IFERROR(__xludf.DUMMYFUNCTION("""COMPUTED_VALUE"""),4)</f>
        <v>4</v>
      </c>
      <c r="I35" s="1">
        <f ca="1">IFERROR(__xludf.DUMMYFUNCTION("""COMPUTED_VALUE"""),10)</f>
        <v>10</v>
      </c>
      <c r="J35" s="1">
        <f ca="1">IFERROR(__xludf.DUMMYFUNCTION("""COMPUTED_VALUE"""),9)</f>
        <v>9</v>
      </c>
      <c r="K35" s="1">
        <f ca="1">IFERROR(__xludf.DUMMYFUNCTION("""COMPUTED_VALUE"""),7)</f>
        <v>7</v>
      </c>
      <c r="L35" s="1">
        <f ca="1">IFERROR(__xludf.DUMMYFUNCTION("""COMPUTED_VALUE"""),4)</f>
        <v>4</v>
      </c>
      <c r="M35" s="1">
        <f ca="1">IFERROR(__xludf.DUMMYFUNCTION("""COMPUTED_VALUE"""),8)</f>
        <v>8</v>
      </c>
      <c r="N35" s="1">
        <f ca="1">IFERROR(__xludf.DUMMYFUNCTION("""COMPUTED_VALUE"""),2275)</f>
        <v>2275</v>
      </c>
      <c r="O35" s="1">
        <f ca="1">IFERROR(__xludf.DUMMYFUNCTION("""COMPUTED_VALUE"""),2338)</f>
        <v>2338</v>
      </c>
      <c r="P35" s="1">
        <f ca="1">IFERROR(__xludf.DUMMYFUNCTION("""COMPUTED_VALUE"""),1200)</f>
        <v>1200</v>
      </c>
      <c r="Q35" s="1">
        <f ca="1">IFERROR(__xludf.DUMMYFUNCTION("""COMPUTED_VALUE"""),735)</f>
        <v>735</v>
      </c>
      <c r="R35" s="1">
        <f ca="1">IFERROR(__xludf.DUMMYFUNCTION("""COMPUTED_VALUE"""),1660)</f>
        <v>1660</v>
      </c>
      <c r="S35" s="1">
        <f ca="1">IFERROR(__xludf.DUMMYFUNCTION("""COMPUTED_VALUE"""),0.443)</f>
        <v>0.443</v>
      </c>
      <c r="T35" s="1">
        <f ca="1">IFERROR(__xludf.DUMMYFUNCTION("""COMPUTED_VALUE"""),244)</f>
        <v>244</v>
      </c>
      <c r="U35" s="1">
        <f ca="1">IFERROR(__xludf.DUMMYFUNCTION("""COMPUTED_VALUE"""),665)</f>
        <v>665</v>
      </c>
      <c r="V35" s="1">
        <f ca="1">IFERROR(__xludf.DUMMYFUNCTION("""COMPUTED_VALUE"""),0.367)</f>
        <v>0.36699999999999999</v>
      </c>
      <c r="W35" s="1">
        <f ca="1">IFERROR(__xludf.DUMMYFUNCTION("""COMPUTED_VALUE"""),561)</f>
        <v>561</v>
      </c>
      <c r="X35" s="1">
        <f ca="1">IFERROR(__xludf.DUMMYFUNCTION("""COMPUTED_VALUE"""),739)</f>
        <v>739</v>
      </c>
      <c r="Y35" s="1">
        <f ca="1">IFERROR(__xludf.DUMMYFUNCTION("""COMPUTED_VALUE"""),0.759)</f>
        <v>0.75900000000000001</v>
      </c>
      <c r="Z35" s="1">
        <f ca="1">IFERROR(__xludf.DUMMYFUNCTION("""COMPUTED_VALUE"""),275)</f>
        <v>275</v>
      </c>
      <c r="AA35" s="1">
        <f ca="1">IFERROR(__xludf.DUMMYFUNCTION("""COMPUTED_VALUE"""),933)</f>
        <v>933</v>
      </c>
      <c r="AB35" s="1">
        <f ca="1">IFERROR(__xludf.DUMMYFUNCTION("""COMPUTED_VALUE"""),399)</f>
        <v>399</v>
      </c>
      <c r="AC35" s="1">
        <f ca="1">IFERROR(__xludf.DUMMYFUNCTION("""COMPUTED_VALUE"""),228)</f>
        <v>228</v>
      </c>
      <c r="AD35" s="1">
        <f ca="1">IFERROR(__xludf.DUMMYFUNCTION("""COMPUTED_VALUE"""),56)</f>
        <v>56</v>
      </c>
      <c r="AE35" s="1">
        <f ca="1">IFERROR(__xludf.DUMMYFUNCTION("""COMPUTED_VALUE"""),430)</f>
        <v>430</v>
      </c>
      <c r="AF35" s="1">
        <f ca="1">IFERROR(__xludf.DUMMYFUNCTION("""COMPUTED_VALUE"""),597)</f>
        <v>597</v>
      </c>
    </row>
    <row r="36" spans="1:32" ht="12.5" x14ac:dyDescent="0.25">
      <c r="A36" s="1" t="str">
        <f ca="1">IFERROR(__xludf.DUMMYFUNCTION("""COMPUTED_VALUE"""),"Bryant")</f>
        <v>Bryant</v>
      </c>
      <c r="B36" s="1">
        <f ca="1">IFERROR(__xludf.DUMMYFUNCTION("""COMPUTED_VALUE"""),32)</f>
        <v>32</v>
      </c>
      <c r="C36" s="1">
        <f ca="1">IFERROR(__xludf.DUMMYFUNCTION("""COMPUTED_VALUE"""),12)</f>
        <v>12</v>
      </c>
      <c r="D36" s="1">
        <f ca="1">IFERROR(__xludf.DUMMYFUNCTION("""COMPUTED_VALUE"""),20)</f>
        <v>20</v>
      </c>
      <c r="E36" s="1">
        <f ca="1">IFERROR(__xludf.DUMMYFUNCTION("""COMPUTED_VALUE"""),0.375)</f>
        <v>0.375</v>
      </c>
      <c r="F36" s="1">
        <f ca="1">IFERROR(__xludf.DUMMYFUNCTION("""COMPUTED_VALUE"""),-9.69)</f>
        <v>-9.69</v>
      </c>
      <c r="G36" s="1">
        <f ca="1">IFERROR(__xludf.DUMMYFUNCTION("""COMPUTED_VALUE"""),-5.43)</f>
        <v>-5.43</v>
      </c>
      <c r="H36" s="1">
        <f ca="1">IFERROR(__xludf.DUMMYFUNCTION("""COMPUTED_VALUE"""),9)</f>
        <v>9</v>
      </c>
      <c r="I36" s="1">
        <f ca="1">IFERROR(__xludf.DUMMYFUNCTION("""COMPUTED_VALUE"""),9)</f>
        <v>9</v>
      </c>
      <c r="J36" s="1">
        <f ca="1">IFERROR(__xludf.DUMMYFUNCTION("""COMPUTED_VALUE"""),9)</f>
        <v>9</v>
      </c>
      <c r="K36" s="1">
        <f ca="1">IFERROR(__xludf.DUMMYFUNCTION("""COMPUTED_VALUE"""),5)</f>
        <v>5</v>
      </c>
      <c r="L36" s="1">
        <f ca="1">IFERROR(__xludf.DUMMYFUNCTION("""COMPUTED_VALUE"""),2)</f>
        <v>2</v>
      </c>
      <c r="M36" s="1">
        <f ca="1">IFERROR(__xludf.DUMMYFUNCTION("""COMPUTED_VALUE"""),15)</f>
        <v>15</v>
      </c>
      <c r="N36" s="1">
        <f ca="1">IFERROR(__xludf.DUMMYFUNCTION("""COMPUTED_VALUE"""),2373)</f>
        <v>2373</v>
      </c>
      <c r="O36" s="1">
        <f ca="1">IFERROR(__xludf.DUMMYFUNCTION("""COMPUTED_VALUE"""),2478)</f>
        <v>2478</v>
      </c>
      <c r="P36" s="1">
        <f ca="1">IFERROR(__xludf.DUMMYFUNCTION("""COMPUTED_VALUE"""),1315)</f>
        <v>1315</v>
      </c>
      <c r="Q36" s="1">
        <f ca="1">IFERROR(__xludf.DUMMYFUNCTION("""COMPUTED_VALUE"""),839)</f>
        <v>839</v>
      </c>
      <c r="R36" s="1">
        <f ca="1">IFERROR(__xludf.DUMMYFUNCTION("""COMPUTED_VALUE"""),1917)</f>
        <v>1917</v>
      </c>
      <c r="S36" s="1">
        <f ca="1">IFERROR(__xludf.DUMMYFUNCTION("""COMPUTED_VALUE"""),0.438)</f>
        <v>0.438</v>
      </c>
      <c r="T36" s="1">
        <f ca="1">IFERROR(__xludf.DUMMYFUNCTION("""COMPUTED_VALUE"""),237)</f>
        <v>237</v>
      </c>
      <c r="U36" s="1">
        <f ca="1">IFERROR(__xludf.DUMMYFUNCTION("""COMPUTED_VALUE"""),701)</f>
        <v>701</v>
      </c>
      <c r="V36" s="1">
        <f ca="1">IFERROR(__xludf.DUMMYFUNCTION("""COMPUTED_VALUE"""),0.338)</f>
        <v>0.33800000000000002</v>
      </c>
      <c r="W36" s="1">
        <f ca="1">IFERROR(__xludf.DUMMYFUNCTION("""COMPUTED_VALUE"""),458)</f>
        <v>458</v>
      </c>
      <c r="X36" s="1">
        <f ca="1">IFERROR(__xludf.DUMMYFUNCTION("""COMPUTED_VALUE"""),636)</f>
        <v>636</v>
      </c>
      <c r="Y36" s="1">
        <f ca="1">IFERROR(__xludf.DUMMYFUNCTION("""COMPUTED_VALUE"""),0.72)</f>
        <v>0.72</v>
      </c>
      <c r="Z36" s="1">
        <f ca="1">IFERROR(__xludf.DUMMYFUNCTION("""COMPUTED_VALUE"""),345)</f>
        <v>345</v>
      </c>
      <c r="AA36" s="1">
        <f ca="1">IFERROR(__xludf.DUMMYFUNCTION("""COMPUTED_VALUE"""),1148)</f>
        <v>1148</v>
      </c>
      <c r="AB36" s="1">
        <f ca="1">IFERROR(__xludf.DUMMYFUNCTION("""COMPUTED_VALUE"""),460)</f>
        <v>460</v>
      </c>
      <c r="AC36" s="1">
        <f ca="1">IFERROR(__xludf.DUMMYFUNCTION("""COMPUTED_VALUE"""),218)</f>
        <v>218</v>
      </c>
      <c r="AD36" s="1">
        <f ca="1">IFERROR(__xludf.DUMMYFUNCTION("""COMPUTED_VALUE"""),69)</f>
        <v>69</v>
      </c>
      <c r="AE36" s="1">
        <f ca="1">IFERROR(__xludf.DUMMYFUNCTION("""COMPUTED_VALUE"""),428)</f>
        <v>428</v>
      </c>
      <c r="AF36" s="1">
        <f ca="1">IFERROR(__xludf.DUMMYFUNCTION("""COMPUTED_VALUE"""),680)</f>
        <v>680</v>
      </c>
    </row>
    <row r="37" spans="1:32" ht="12.5" x14ac:dyDescent="0.25">
      <c r="A37" s="1" t="str">
        <f ca="1">IFERROR(__xludf.DUMMYFUNCTION("""COMPUTED_VALUE"""),"BucknellNCAA")</f>
        <v>BucknellNCAA</v>
      </c>
      <c r="B37" s="1">
        <f ca="1">IFERROR(__xludf.DUMMYFUNCTION("""COMPUTED_VALUE"""),35)</f>
        <v>35</v>
      </c>
      <c r="C37" s="1">
        <f ca="1">IFERROR(__xludf.DUMMYFUNCTION("""COMPUTED_VALUE"""),26)</f>
        <v>26</v>
      </c>
      <c r="D37" s="1">
        <f ca="1">IFERROR(__xludf.DUMMYFUNCTION("""COMPUTED_VALUE"""),9)</f>
        <v>9</v>
      </c>
      <c r="E37" s="1">
        <f ca="1">IFERROR(__xludf.DUMMYFUNCTION("""COMPUTED_VALUE"""),0.743)</f>
        <v>0.74299999999999999</v>
      </c>
      <c r="F37" s="1">
        <f ca="1">IFERROR(__xludf.DUMMYFUNCTION("""COMPUTED_VALUE"""),5.89)</f>
        <v>5.89</v>
      </c>
      <c r="G37" s="1">
        <f ca="1">IFERROR(__xludf.DUMMYFUNCTION("""COMPUTED_VALUE"""),-2.48)</f>
        <v>-2.48</v>
      </c>
      <c r="H37" s="1">
        <f ca="1">IFERROR(__xludf.DUMMYFUNCTION("""COMPUTED_VALUE"""),15)</f>
        <v>15</v>
      </c>
      <c r="I37" s="1">
        <f ca="1">IFERROR(__xludf.DUMMYFUNCTION("""COMPUTED_VALUE"""),3)</f>
        <v>3</v>
      </c>
      <c r="J37" s="1">
        <f ca="1">IFERROR(__xludf.DUMMYFUNCTION("""COMPUTED_VALUE"""),14)</f>
        <v>14</v>
      </c>
      <c r="K37" s="1">
        <f ca="1">IFERROR(__xludf.DUMMYFUNCTION("""COMPUTED_VALUE"""),2)</f>
        <v>2</v>
      </c>
      <c r="L37" s="1">
        <f ca="1">IFERROR(__xludf.DUMMYFUNCTION("""COMPUTED_VALUE"""),9)</f>
        <v>9</v>
      </c>
      <c r="M37" s="1">
        <f ca="1">IFERROR(__xludf.DUMMYFUNCTION("""COMPUTED_VALUE"""),6)</f>
        <v>6</v>
      </c>
      <c r="N37" s="1">
        <f ca="1">IFERROR(__xludf.DUMMYFUNCTION("""COMPUTED_VALUE"""),2669)</f>
        <v>2669</v>
      </c>
      <c r="O37" s="1">
        <f ca="1">IFERROR(__xludf.DUMMYFUNCTION("""COMPUTED_VALUE"""),2376)</f>
        <v>2376</v>
      </c>
      <c r="P37" s="1">
        <f ca="1">IFERROR(__xludf.DUMMYFUNCTION("""COMPUTED_VALUE"""),1400)</f>
        <v>1400</v>
      </c>
      <c r="Q37" s="1">
        <f ca="1">IFERROR(__xludf.DUMMYFUNCTION("""COMPUTED_VALUE"""),942)</f>
        <v>942</v>
      </c>
      <c r="R37" s="1">
        <f ca="1">IFERROR(__xludf.DUMMYFUNCTION("""COMPUTED_VALUE"""),1961)</f>
        <v>1961</v>
      </c>
      <c r="S37" s="1">
        <f ca="1">IFERROR(__xludf.DUMMYFUNCTION("""COMPUTED_VALUE"""),0.48)</f>
        <v>0.48</v>
      </c>
      <c r="T37" s="1">
        <f ca="1">IFERROR(__xludf.DUMMYFUNCTION("""COMPUTED_VALUE"""),286)</f>
        <v>286</v>
      </c>
      <c r="U37" s="1">
        <f ca="1">IFERROR(__xludf.DUMMYFUNCTION("""COMPUTED_VALUE"""),754)</f>
        <v>754</v>
      </c>
      <c r="V37" s="1">
        <f ca="1">IFERROR(__xludf.DUMMYFUNCTION("""COMPUTED_VALUE"""),0.379)</f>
        <v>0.379</v>
      </c>
      <c r="W37" s="1">
        <f ca="1">IFERROR(__xludf.DUMMYFUNCTION("""COMPUTED_VALUE"""),497)</f>
        <v>497</v>
      </c>
      <c r="X37" s="1">
        <f ca="1">IFERROR(__xludf.DUMMYFUNCTION("""COMPUTED_VALUE"""),730)</f>
        <v>730</v>
      </c>
      <c r="Y37" s="1">
        <f ca="1">IFERROR(__xludf.DUMMYFUNCTION("""COMPUTED_VALUE"""),0.681)</f>
        <v>0.68100000000000005</v>
      </c>
      <c r="Z37" s="1">
        <f ca="1">IFERROR(__xludf.DUMMYFUNCTION("""COMPUTED_VALUE"""),302)</f>
        <v>302</v>
      </c>
      <c r="AA37" s="1">
        <f ca="1">IFERROR(__xludf.DUMMYFUNCTION("""COMPUTED_VALUE"""),1203)</f>
        <v>1203</v>
      </c>
      <c r="AB37" s="1">
        <f ca="1">IFERROR(__xludf.DUMMYFUNCTION("""COMPUTED_VALUE"""),510)</f>
        <v>510</v>
      </c>
      <c r="AC37" s="1">
        <f ca="1">IFERROR(__xludf.DUMMYFUNCTION("""COMPUTED_VALUE"""),252)</f>
        <v>252</v>
      </c>
      <c r="AD37" s="1">
        <f ca="1">IFERROR(__xludf.DUMMYFUNCTION("""COMPUTED_VALUE"""),134)</f>
        <v>134</v>
      </c>
      <c r="AE37" s="1">
        <f ca="1">IFERROR(__xludf.DUMMYFUNCTION("""COMPUTED_VALUE"""),466)</f>
        <v>466</v>
      </c>
      <c r="AF37" s="1">
        <f ca="1">IFERROR(__xludf.DUMMYFUNCTION("""COMPUTED_VALUE"""),655)</f>
        <v>655</v>
      </c>
    </row>
    <row r="38" spans="1:32" ht="12.5" x14ac:dyDescent="0.25">
      <c r="A38" s="1" t="str">
        <f ca="1">IFERROR(__xludf.DUMMYFUNCTION("""COMPUTED_VALUE"""),"Buffalo")</f>
        <v>Buffalo</v>
      </c>
      <c r="B38" s="1">
        <f ca="1">IFERROR(__xludf.DUMMYFUNCTION("""COMPUTED_VALUE"""),32)</f>
        <v>32</v>
      </c>
      <c r="C38" s="1">
        <f ca="1">IFERROR(__xludf.DUMMYFUNCTION("""COMPUTED_VALUE"""),17)</f>
        <v>17</v>
      </c>
      <c r="D38" s="1">
        <f ca="1">IFERROR(__xludf.DUMMYFUNCTION("""COMPUTED_VALUE"""),15)</f>
        <v>15</v>
      </c>
      <c r="E38" s="1">
        <f ca="1">IFERROR(__xludf.DUMMYFUNCTION("""COMPUTED_VALUE"""),0.531)</f>
        <v>0.53100000000000003</v>
      </c>
      <c r="F38" s="1">
        <f ca="1">IFERROR(__xludf.DUMMYFUNCTION("""COMPUTED_VALUE"""),0.92)</f>
        <v>0.92</v>
      </c>
      <c r="G38" s="1">
        <f ca="1">IFERROR(__xludf.DUMMYFUNCTION("""COMPUTED_VALUE"""),-1.01)</f>
        <v>-1.01</v>
      </c>
      <c r="H38" s="1">
        <f ca="1">IFERROR(__xludf.DUMMYFUNCTION("""COMPUTED_VALUE"""),11)</f>
        <v>11</v>
      </c>
      <c r="I38" s="1">
        <f ca="1">IFERROR(__xludf.DUMMYFUNCTION("""COMPUTED_VALUE"""),7)</f>
        <v>7</v>
      </c>
      <c r="J38" s="1">
        <f ca="1">IFERROR(__xludf.DUMMYFUNCTION("""COMPUTED_VALUE"""),8)</f>
        <v>8</v>
      </c>
      <c r="K38" s="1">
        <f ca="1">IFERROR(__xludf.DUMMYFUNCTION("""COMPUTED_VALUE"""),4)</f>
        <v>4</v>
      </c>
      <c r="L38" s="1">
        <f ca="1">IFERROR(__xludf.DUMMYFUNCTION("""COMPUTED_VALUE"""),8)</f>
        <v>8</v>
      </c>
      <c r="M38" s="1">
        <f ca="1">IFERROR(__xludf.DUMMYFUNCTION("""COMPUTED_VALUE"""),7)</f>
        <v>7</v>
      </c>
      <c r="N38" s="1">
        <f ca="1">IFERROR(__xludf.DUMMYFUNCTION("""COMPUTED_VALUE"""),2486)</f>
        <v>2486</v>
      </c>
      <c r="O38" s="1">
        <f ca="1">IFERROR(__xludf.DUMMYFUNCTION("""COMPUTED_VALUE"""),2375)</f>
        <v>2375</v>
      </c>
      <c r="P38" s="1">
        <f ca="1">IFERROR(__xludf.DUMMYFUNCTION("""COMPUTED_VALUE"""),1285)</f>
        <v>1285</v>
      </c>
      <c r="Q38" s="1">
        <f ca="1">IFERROR(__xludf.DUMMYFUNCTION("""COMPUTED_VALUE"""),877)</f>
        <v>877</v>
      </c>
      <c r="R38" s="1">
        <f ca="1">IFERROR(__xludf.DUMMYFUNCTION("""COMPUTED_VALUE"""),1945)</f>
        <v>1945</v>
      </c>
      <c r="S38" s="1">
        <f ca="1">IFERROR(__xludf.DUMMYFUNCTION("""COMPUTED_VALUE"""),0.451)</f>
        <v>0.45100000000000001</v>
      </c>
      <c r="T38" s="1">
        <f ca="1">IFERROR(__xludf.DUMMYFUNCTION("""COMPUTED_VALUE"""),240)</f>
        <v>240</v>
      </c>
      <c r="U38" s="1">
        <f ca="1">IFERROR(__xludf.DUMMYFUNCTION("""COMPUTED_VALUE"""),727)</f>
        <v>727</v>
      </c>
      <c r="V38" s="1">
        <f ca="1">IFERROR(__xludf.DUMMYFUNCTION("""COMPUTED_VALUE"""),0.33)</f>
        <v>0.33</v>
      </c>
      <c r="W38" s="1">
        <f ca="1">IFERROR(__xludf.DUMMYFUNCTION("""COMPUTED_VALUE"""),492)</f>
        <v>492</v>
      </c>
      <c r="X38" s="1">
        <f ca="1">IFERROR(__xludf.DUMMYFUNCTION("""COMPUTED_VALUE"""),711)</f>
        <v>711</v>
      </c>
      <c r="Y38" s="1">
        <f ca="1">IFERROR(__xludf.DUMMYFUNCTION("""COMPUTED_VALUE"""),0.692)</f>
        <v>0.69199999999999995</v>
      </c>
      <c r="Z38" s="1">
        <f ca="1">IFERROR(__xludf.DUMMYFUNCTION("""COMPUTED_VALUE"""),397)</f>
        <v>397</v>
      </c>
      <c r="AA38" s="1">
        <f ca="1">IFERROR(__xludf.DUMMYFUNCTION("""COMPUTED_VALUE"""),1295)</f>
        <v>1295</v>
      </c>
      <c r="AB38" s="1">
        <f ca="1">IFERROR(__xludf.DUMMYFUNCTION("""COMPUTED_VALUE"""),459)</f>
        <v>459</v>
      </c>
      <c r="AC38" s="1">
        <f ca="1">IFERROR(__xludf.DUMMYFUNCTION("""COMPUTED_VALUE"""),181)</f>
        <v>181</v>
      </c>
      <c r="AD38" s="1">
        <f ca="1">IFERROR(__xludf.DUMMYFUNCTION("""COMPUTED_VALUE"""),127)</f>
        <v>127</v>
      </c>
      <c r="AE38" s="1">
        <f ca="1">IFERROR(__xludf.DUMMYFUNCTION("""COMPUTED_VALUE"""),453)</f>
        <v>453</v>
      </c>
      <c r="AF38" s="1">
        <f ca="1">IFERROR(__xludf.DUMMYFUNCTION("""COMPUTED_VALUE"""),735)</f>
        <v>735</v>
      </c>
    </row>
    <row r="39" spans="1:32" ht="12.5" x14ac:dyDescent="0.25">
      <c r="A39" s="1" t="str">
        <f ca="1">IFERROR(__xludf.DUMMYFUNCTION("""COMPUTED_VALUE"""),"ButlerNCAA")</f>
        <v>ButlerNCAA</v>
      </c>
      <c r="B39" s="1">
        <f ca="1">IFERROR(__xludf.DUMMYFUNCTION("""COMPUTED_VALUE"""),34)</f>
        <v>34</v>
      </c>
      <c r="C39" s="1">
        <f ca="1">IFERROR(__xludf.DUMMYFUNCTION("""COMPUTED_VALUE"""),25)</f>
        <v>25</v>
      </c>
      <c r="D39" s="1">
        <f ca="1">IFERROR(__xludf.DUMMYFUNCTION("""COMPUTED_VALUE"""),9)</f>
        <v>9</v>
      </c>
      <c r="E39" s="1">
        <f ca="1">IFERROR(__xludf.DUMMYFUNCTION("""COMPUTED_VALUE"""),0.735)</f>
        <v>0.73499999999999999</v>
      </c>
      <c r="F39" s="1">
        <f ca="1">IFERROR(__xludf.DUMMYFUNCTION("""COMPUTED_VALUE"""),17.7)</f>
        <v>17.7</v>
      </c>
      <c r="G39" s="1">
        <f ca="1">IFERROR(__xludf.DUMMYFUNCTION("""COMPUTED_VALUE"""),10.23)</f>
        <v>10.23</v>
      </c>
      <c r="H39" s="1">
        <f ca="1">IFERROR(__xludf.DUMMYFUNCTION("""COMPUTED_VALUE"""),12)</f>
        <v>12</v>
      </c>
      <c r="I39" s="1">
        <f ca="1">IFERROR(__xludf.DUMMYFUNCTION("""COMPUTED_VALUE"""),6)</f>
        <v>6</v>
      </c>
      <c r="J39" s="1">
        <f ca="1">IFERROR(__xludf.DUMMYFUNCTION("""COMPUTED_VALUE"""),13)</f>
        <v>13</v>
      </c>
      <c r="K39" s="1">
        <f ca="1">IFERROR(__xludf.DUMMYFUNCTION("""COMPUTED_VALUE"""),3)</f>
        <v>3</v>
      </c>
      <c r="L39" s="1">
        <f ca="1">IFERROR(__xludf.DUMMYFUNCTION("""COMPUTED_VALUE"""),7)</f>
        <v>7</v>
      </c>
      <c r="M39" s="1">
        <f ca="1">IFERROR(__xludf.DUMMYFUNCTION("""COMPUTED_VALUE"""),4)</f>
        <v>4</v>
      </c>
      <c r="N39" s="1">
        <f ca="1">IFERROR(__xludf.DUMMYFUNCTION("""COMPUTED_VALUE"""),2595)</f>
        <v>2595</v>
      </c>
      <c r="O39" s="1">
        <f ca="1">IFERROR(__xludf.DUMMYFUNCTION("""COMPUTED_VALUE"""),2341)</f>
        <v>2341</v>
      </c>
      <c r="P39" s="1">
        <f ca="1">IFERROR(__xludf.DUMMYFUNCTION("""COMPUTED_VALUE"""),1370)</f>
        <v>1370</v>
      </c>
      <c r="Q39" s="1">
        <f ca="1">IFERROR(__xludf.DUMMYFUNCTION("""COMPUTED_VALUE"""),906)</f>
        <v>906</v>
      </c>
      <c r="R39" s="1">
        <f ca="1">IFERROR(__xludf.DUMMYFUNCTION("""COMPUTED_VALUE"""),1898)</f>
        <v>1898</v>
      </c>
      <c r="S39" s="1">
        <f ca="1">IFERROR(__xludf.DUMMYFUNCTION("""COMPUTED_VALUE"""),0.477)</f>
        <v>0.47699999999999998</v>
      </c>
      <c r="T39" s="1">
        <f ca="1">IFERROR(__xludf.DUMMYFUNCTION("""COMPUTED_VALUE"""),261)</f>
        <v>261</v>
      </c>
      <c r="U39" s="1">
        <f ca="1">IFERROR(__xludf.DUMMYFUNCTION("""COMPUTED_VALUE"""),714)</f>
        <v>714</v>
      </c>
      <c r="V39" s="1">
        <f ca="1">IFERROR(__xludf.DUMMYFUNCTION("""COMPUTED_VALUE"""),0.366)</f>
        <v>0.36599999999999999</v>
      </c>
      <c r="W39" s="1">
        <f ca="1">IFERROR(__xludf.DUMMYFUNCTION("""COMPUTED_VALUE"""),522)</f>
        <v>522</v>
      </c>
      <c r="X39" s="1">
        <f ca="1">IFERROR(__xludf.DUMMYFUNCTION("""COMPUTED_VALUE"""),704)</f>
        <v>704</v>
      </c>
      <c r="Y39" s="1">
        <f ca="1">IFERROR(__xludf.DUMMYFUNCTION("""COMPUTED_VALUE"""),0.741)</f>
        <v>0.74099999999999999</v>
      </c>
      <c r="Z39" s="1">
        <f ca="1">IFERROR(__xludf.DUMMYFUNCTION("""COMPUTED_VALUE"""),287)</f>
        <v>287</v>
      </c>
      <c r="AA39" s="1">
        <f ca="1">IFERROR(__xludf.DUMMYFUNCTION("""COMPUTED_VALUE"""),1091)</f>
        <v>1091</v>
      </c>
      <c r="AB39" s="1">
        <f ca="1">IFERROR(__xludf.DUMMYFUNCTION("""COMPUTED_VALUE"""),453)</f>
        <v>453</v>
      </c>
      <c r="AC39" s="1">
        <f ca="1">IFERROR(__xludf.DUMMYFUNCTION("""COMPUTED_VALUE"""),206)</f>
        <v>206</v>
      </c>
      <c r="AD39" s="1">
        <f ca="1">IFERROR(__xludf.DUMMYFUNCTION("""COMPUTED_VALUE"""),96)</f>
        <v>96</v>
      </c>
      <c r="AE39" s="1">
        <f ca="1">IFERROR(__xludf.DUMMYFUNCTION("""COMPUTED_VALUE"""),346)</f>
        <v>346</v>
      </c>
      <c r="AF39" s="1">
        <f ca="1">IFERROR(__xludf.DUMMYFUNCTION("""COMPUTED_VALUE"""),640)</f>
        <v>640</v>
      </c>
    </row>
    <row r="40" spans="1:32" ht="12.5" x14ac:dyDescent="0.25">
      <c r="A40" s="1" t="str">
        <f ca="1">IFERROR(__xludf.DUMMYFUNCTION("""COMPUTED_VALUE"""),"Cal Poly")</f>
        <v>Cal Poly</v>
      </c>
      <c r="B40" s="1">
        <f ca="1">IFERROR(__xludf.DUMMYFUNCTION("""COMPUTED_VALUE"""),31)</f>
        <v>31</v>
      </c>
      <c r="C40" s="1">
        <f ca="1">IFERROR(__xludf.DUMMYFUNCTION("""COMPUTED_VALUE"""),11)</f>
        <v>11</v>
      </c>
      <c r="D40" s="1">
        <f ca="1">IFERROR(__xludf.DUMMYFUNCTION("""COMPUTED_VALUE"""),20)</f>
        <v>20</v>
      </c>
      <c r="E40" s="1">
        <f ca="1">IFERROR(__xludf.DUMMYFUNCTION("""COMPUTED_VALUE"""),0.355)</f>
        <v>0.35499999999999998</v>
      </c>
      <c r="F40" s="1">
        <f ca="1">IFERROR(__xludf.DUMMYFUNCTION("""COMPUTED_VALUE"""),-10.71)</f>
        <v>-10.71</v>
      </c>
      <c r="G40" s="1">
        <f ca="1">IFERROR(__xludf.DUMMYFUNCTION("""COMPUTED_VALUE"""),-4.22)</f>
        <v>-4.22</v>
      </c>
      <c r="H40" s="1">
        <f ca="1">IFERROR(__xludf.DUMMYFUNCTION("""COMPUTED_VALUE"""),6)</f>
        <v>6</v>
      </c>
      <c r="I40" s="1">
        <f ca="1">IFERROR(__xludf.DUMMYFUNCTION("""COMPUTED_VALUE"""),10)</f>
        <v>10</v>
      </c>
      <c r="J40" s="1">
        <f ca="1">IFERROR(__xludf.DUMMYFUNCTION("""COMPUTED_VALUE"""),6)</f>
        <v>6</v>
      </c>
      <c r="K40" s="1">
        <f ca="1">IFERROR(__xludf.DUMMYFUNCTION("""COMPUTED_VALUE"""),6)</f>
        <v>6</v>
      </c>
      <c r="L40" s="1">
        <f ca="1">IFERROR(__xludf.DUMMYFUNCTION("""COMPUTED_VALUE"""),5)</f>
        <v>5</v>
      </c>
      <c r="M40" s="1">
        <f ca="1">IFERROR(__xludf.DUMMYFUNCTION("""COMPUTED_VALUE"""),11)</f>
        <v>11</v>
      </c>
      <c r="N40" s="1">
        <f ca="1">IFERROR(__xludf.DUMMYFUNCTION("""COMPUTED_VALUE"""),2082)</f>
        <v>2082</v>
      </c>
      <c r="O40" s="1">
        <f ca="1">IFERROR(__xludf.DUMMYFUNCTION("""COMPUTED_VALUE"""),2242)</f>
        <v>2242</v>
      </c>
      <c r="P40" s="1">
        <f ca="1">IFERROR(__xludf.DUMMYFUNCTION("""COMPUTED_VALUE"""),1250)</f>
        <v>1250</v>
      </c>
      <c r="Q40" s="1">
        <f ca="1">IFERROR(__xludf.DUMMYFUNCTION("""COMPUTED_VALUE"""),726)</f>
        <v>726</v>
      </c>
      <c r="R40" s="1">
        <f ca="1">IFERROR(__xludf.DUMMYFUNCTION("""COMPUTED_VALUE"""),1800)</f>
        <v>1800</v>
      </c>
      <c r="S40" s="1">
        <f ca="1">IFERROR(__xludf.DUMMYFUNCTION("""COMPUTED_VALUE"""),0.403)</f>
        <v>0.40300000000000002</v>
      </c>
      <c r="T40" s="1">
        <f ca="1">IFERROR(__xludf.DUMMYFUNCTION("""COMPUTED_VALUE"""),258)</f>
        <v>258</v>
      </c>
      <c r="U40" s="1">
        <f ca="1">IFERROR(__xludf.DUMMYFUNCTION("""COMPUTED_VALUE"""),758)</f>
        <v>758</v>
      </c>
      <c r="V40" s="1">
        <f ca="1">IFERROR(__xludf.DUMMYFUNCTION("""COMPUTED_VALUE"""),0.34)</f>
        <v>0.34</v>
      </c>
      <c r="W40" s="1">
        <f ca="1">IFERROR(__xludf.DUMMYFUNCTION("""COMPUTED_VALUE"""),372)</f>
        <v>372</v>
      </c>
      <c r="X40" s="1">
        <f ca="1">IFERROR(__xludf.DUMMYFUNCTION("""COMPUTED_VALUE"""),534)</f>
        <v>534</v>
      </c>
      <c r="Y40" s="1">
        <f ca="1">IFERROR(__xludf.DUMMYFUNCTION("""COMPUTED_VALUE"""),0.697)</f>
        <v>0.69699999999999995</v>
      </c>
      <c r="Z40" s="1">
        <f ca="1">IFERROR(__xludf.DUMMYFUNCTION("""COMPUTED_VALUE"""),300)</f>
        <v>300</v>
      </c>
      <c r="AA40" s="1">
        <f ca="1">IFERROR(__xludf.DUMMYFUNCTION("""COMPUTED_VALUE"""),1003)</f>
        <v>1003</v>
      </c>
      <c r="AB40" s="1">
        <f ca="1">IFERROR(__xludf.DUMMYFUNCTION("""COMPUTED_VALUE"""),322)</f>
        <v>322</v>
      </c>
      <c r="AC40" s="1">
        <f ca="1">IFERROR(__xludf.DUMMYFUNCTION("""COMPUTED_VALUE"""),162)</f>
        <v>162</v>
      </c>
      <c r="AD40" s="1">
        <f ca="1">IFERROR(__xludf.DUMMYFUNCTION("""COMPUTED_VALUE"""),113)</f>
        <v>113</v>
      </c>
      <c r="AE40" s="1">
        <f ca="1">IFERROR(__xludf.DUMMYFUNCTION("""COMPUTED_VALUE"""),333)</f>
        <v>333</v>
      </c>
      <c r="AF40" s="1">
        <f ca="1">IFERROR(__xludf.DUMMYFUNCTION("""COMPUTED_VALUE"""),574)</f>
        <v>574</v>
      </c>
    </row>
    <row r="41" spans="1:32" ht="12.5" x14ac:dyDescent="0.25">
      <c r="A41" s="1" t="str">
        <f ca="1">IFERROR(__xludf.DUMMYFUNCTION("""COMPUTED_VALUE"""),"Cal State Bakersfield")</f>
        <v>Cal State Bakersfield</v>
      </c>
      <c r="B41" s="1">
        <f ca="1">IFERROR(__xludf.DUMMYFUNCTION("""COMPUTED_VALUE"""),35)</f>
        <v>35</v>
      </c>
      <c r="C41" s="1">
        <f ca="1">IFERROR(__xludf.DUMMYFUNCTION("""COMPUTED_VALUE"""),25)</f>
        <v>25</v>
      </c>
      <c r="D41" s="1">
        <f ca="1">IFERROR(__xludf.DUMMYFUNCTION("""COMPUTED_VALUE"""),10)</f>
        <v>10</v>
      </c>
      <c r="E41" s="1">
        <f ca="1">IFERROR(__xludf.DUMMYFUNCTION("""COMPUTED_VALUE"""),0.714)</f>
        <v>0.71399999999999997</v>
      </c>
      <c r="F41" s="1">
        <f ca="1">IFERROR(__xludf.DUMMYFUNCTION("""COMPUTED_VALUE"""),3.21)</f>
        <v>3.21</v>
      </c>
      <c r="G41" s="1">
        <f ca="1">IFERROR(__xludf.DUMMYFUNCTION("""COMPUTED_VALUE"""),-1.94)</f>
        <v>-1.94</v>
      </c>
      <c r="H41" s="1">
        <f ca="1">IFERROR(__xludf.DUMMYFUNCTION("""COMPUTED_VALUE"""),12)</f>
        <v>12</v>
      </c>
      <c r="I41" s="1">
        <f ca="1">IFERROR(__xludf.DUMMYFUNCTION("""COMPUTED_VALUE"""),2)</f>
        <v>2</v>
      </c>
      <c r="J41" s="1">
        <f ca="1">IFERROR(__xludf.DUMMYFUNCTION("""COMPUTED_VALUE"""),12)</f>
        <v>12</v>
      </c>
      <c r="K41" s="1">
        <f ca="1">IFERROR(__xludf.DUMMYFUNCTION("""COMPUTED_VALUE"""),1)</f>
        <v>1</v>
      </c>
      <c r="L41" s="1">
        <f ca="1">IFERROR(__xludf.DUMMYFUNCTION("""COMPUTED_VALUE"""),11)</f>
        <v>11</v>
      </c>
      <c r="M41" s="1">
        <f ca="1">IFERROR(__xludf.DUMMYFUNCTION("""COMPUTED_VALUE"""),6)</f>
        <v>6</v>
      </c>
      <c r="N41" s="1">
        <f ca="1">IFERROR(__xludf.DUMMYFUNCTION("""COMPUTED_VALUE"""),2502)</f>
        <v>2502</v>
      </c>
      <c r="O41" s="1">
        <f ca="1">IFERROR(__xludf.DUMMYFUNCTION("""COMPUTED_VALUE"""),2235)</f>
        <v>2235</v>
      </c>
      <c r="P41" s="1">
        <f ca="1">IFERROR(__xludf.DUMMYFUNCTION("""COMPUTED_VALUE"""),1425)</f>
        <v>1425</v>
      </c>
      <c r="Q41" s="1">
        <f ca="1">IFERROR(__xludf.DUMMYFUNCTION("""COMPUTED_VALUE"""),895)</f>
        <v>895</v>
      </c>
      <c r="R41" s="1">
        <f ca="1">IFERROR(__xludf.DUMMYFUNCTION("""COMPUTED_VALUE"""),2035)</f>
        <v>2035</v>
      </c>
      <c r="S41" s="1">
        <f ca="1">IFERROR(__xludf.DUMMYFUNCTION("""COMPUTED_VALUE"""),0.44)</f>
        <v>0.44</v>
      </c>
      <c r="T41" s="1">
        <f ca="1">IFERROR(__xludf.DUMMYFUNCTION("""COMPUTED_VALUE"""),229)</f>
        <v>229</v>
      </c>
      <c r="U41" s="1">
        <f ca="1">IFERROR(__xludf.DUMMYFUNCTION("""COMPUTED_VALUE"""),652)</f>
        <v>652</v>
      </c>
      <c r="V41" s="1">
        <f ca="1">IFERROR(__xludf.DUMMYFUNCTION("""COMPUTED_VALUE"""),0.351)</f>
        <v>0.35099999999999998</v>
      </c>
      <c r="W41" s="1">
        <f ca="1">IFERROR(__xludf.DUMMYFUNCTION("""COMPUTED_VALUE"""),483)</f>
        <v>483</v>
      </c>
      <c r="X41" s="1">
        <f ca="1">IFERROR(__xludf.DUMMYFUNCTION("""COMPUTED_VALUE"""),755)</f>
        <v>755</v>
      </c>
      <c r="Y41" s="1">
        <f ca="1">IFERROR(__xludf.DUMMYFUNCTION("""COMPUTED_VALUE"""),0.64)</f>
        <v>0.64</v>
      </c>
      <c r="Z41" s="1">
        <f ca="1">IFERROR(__xludf.DUMMYFUNCTION("""COMPUTED_VALUE"""),432)</f>
        <v>432</v>
      </c>
      <c r="AA41" s="1">
        <f ca="1">IFERROR(__xludf.DUMMYFUNCTION("""COMPUTED_VALUE"""),1349)</f>
        <v>1349</v>
      </c>
      <c r="AB41" s="1">
        <f ca="1">IFERROR(__xludf.DUMMYFUNCTION("""COMPUTED_VALUE"""),507)</f>
        <v>507</v>
      </c>
      <c r="AC41" s="1">
        <f ca="1">IFERROR(__xludf.DUMMYFUNCTION("""COMPUTED_VALUE"""),286)</f>
        <v>286</v>
      </c>
      <c r="AD41" s="1">
        <f ca="1">IFERROR(__xludf.DUMMYFUNCTION("""COMPUTED_VALUE"""),137)</f>
        <v>137</v>
      </c>
      <c r="AE41" s="1">
        <f ca="1">IFERROR(__xludf.DUMMYFUNCTION("""COMPUTED_VALUE"""),519)</f>
        <v>519</v>
      </c>
      <c r="AF41" s="1">
        <f ca="1">IFERROR(__xludf.DUMMYFUNCTION("""COMPUTED_VALUE"""),794)</f>
        <v>794</v>
      </c>
    </row>
    <row r="42" spans="1:32" ht="12.5" x14ac:dyDescent="0.25">
      <c r="A42" s="1" t="str">
        <f ca="1">IFERROR(__xludf.DUMMYFUNCTION("""COMPUTED_VALUE"""),"Cal State Fullerton")</f>
        <v>Cal State Fullerton</v>
      </c>
      <c r="B42" s="1">
        <f ca="1">IFERROR(__xludf.DUMMYFUNCTION("""COMPUTED_VALUE"""),32)</f>
        <v>32</v>
      </c>
      <c r="C42" s="1">
        <f ca="1">IFERROR(__xludf.DUMMYFUNCTION("""COMPUTED_VALUE"""),17)</f>
        <v>17</v>
      </c>
      <c r="D42" s="1">
        <f ca="1">IFERROR(__xludf.DUMMYFUNCTION("""COMPUTED_VALUE"""),15)</f>
        <v>15</v>
      </c>
      <c r="E42" s="1">
        <f ca="1">IFERROR(__xludf.DUMMYFUNCTION("""COMPUTED_VALUE"""),0.531)</f>
        <v>0.53100000000000003</v>
      </c>
      <c r="F42" s="1">
        <f ca="1">IFERROR(__xludf.DUMMYFUNCTION("""COMPUTED_VALUE"""),-7.55)</f>
        <v>-7.55</v>
      </c>
      <c r="G42" s="1">
        <f ca="1">IFERROR(__xludf.DUMMYFUNCTION("""COMPUTED_VALUE"""),-6.85)</f>
        <v>-6.85</v>
      </c>
      <c r="H42" s="1">
        <f ca="1">IFERROR(__xludf.DUMMYFUNCTION("""COMPUTED_VALUE"""),10)</f>
        <v>10</v>
      </c>
      <c r="I42" s="1">
        <f ca="1">IFERROR(__xludf.DUMMYFUNCTION("""COMPUTED_VALUE"""),6)</f>
        <v>6</v>
      </c>
      <c r="J42" s="1">
        <f ca="1">IFERROR(__xludf.DUMMYFUNCTION("""COMPUTED_VALUE"""),12)</f>
        <v>12</v>
      </c>
      <c r="K42" s="1">
        <f ca="1">IFERROR(__xludf.DUMMYFUNCTION("""COMPUTED_VALUE"""),4)</f>
        <v>4</v>
      </c>
      <c r="L42" s="1">
        <f ca="1">IFERROR(__xludf.DUMMYFUNCTION("""COMPUTED_VALUE"""),4)</f>
        <v>4</v>
      </c>
      <c r="M42" s="1">
        <f ca="1">IFERROR(__xludf.DUMMYFUNCTION("""COMPUTED_VALUE"""),8)</f>
        <v>8</v>
      </c>
      <c r="N42" s="1">
        <f ca="1">IFERROR(__xludf.DUMMYFUNCTION("""COMPUTED_VALUE"""),2351)</f>
        <v>2351</v>
      </c>
      <c r="O42" s="1">
        <f ca="1">IFERROR(__xludf.DUMMYFUNCTION("""COMPUTED_VALUE"""),2280)</f>
        <v>2280</v>
      </c>
      <c r="P42" s="1">
        <f ca="1">IFERROR(__xludf.DUMMYFUNCTION("""COMPUTED_VALUE"""),1315)</f>
        <v>1315</v>
      </c>
      <c r="Q42" s="1">
        <f ca="1">IFERROR(__xludf.DUMMYFUNCTION("""COMPUTED_VALUE"""),821)</f>
        <v>821</v>
      </c>
      <c r="R42" s="1">
        <f ca="1">IFERROR(__xludf.DUMMYFUNCTION("""COMPUTED_VALUE"""),1850)</f>
        <v>1850</v>
      </c>
      <c r="S42" s="1">
        <f ca="1">IFERROR(__xludf.DUMMYFUNCTION("""COMPUTED_VALUE"""),0.444)</f>
        <v>0.44400000000000001</v>
      </c>
      <c r="T42" s="1">
        <f ca="1">IFERROR(__xludf.DUMMYFUNCTION("""COMPUTED_VALUE"""),196)</f>
        <v>196</v>
      </c>
      <c r="U42" s="1">
        <f ca="1">IFERROR(__xludf.DUMMYFUNCTION("""COMPUTED_VALUE"""),631)</f>
        <v>631</v>
      </c>
      <c r="V42" s="1">
        <f ca="1">IFERROR(__xludf.DUMMYFUNCTION("""COMPUTED_VALUE"""),0.311)</f>
        <v>0.311</v>
      </c>
      <c r="W42" s="1">
        <f ca="1">IFERROR(__xludf.DUMMYFUNCTION("""COMPUTED_VALUE"""),513)</f>
        <v>513</v>
      </c>
      <c r="X42" s="1">
        <f ca="1">IFERROR(__xludf.DUMMYFUNCTION("""COMPUTED_VALUE"""),747)</f>
        <v>747</v>
      </c>
      <c r="Y42" s="1">
        <f ca="1">IFERROR(__xludf.DUMMYFUNCTION("""COMPUTED_VALUE"""),0.687)</f>
        <v>0.68700000000000006</v>
      </c>
      <c r="Z42" s="1">
        <f ca="1">IFERROR(__xludf.DUMMYFUNCTION("""COMPUTED_VALUE"""),348)</f>
        <v>348</v>
      </c>
      <c r="AA42" s="1">
        <f ca="1">IFERROR(__xludf.DUMMYFUNCTION("""COMPUTED_VALUE"""),1196)</f>
        <v>1196</v>
      </c>
      <c r="AB42" s="1">
        <f ca="1">IFERROR(__xludf.DUMMYFUNCTION("""COMPUTED_VALUE"""),387)</f>
        <v>387</v>
      </c>
      <c r="AC42" s="1">
        <f ca="1">IFERROR(__xludf.DUMMYFUNCTION("""COMPUTED_VALUE"""),223)</f>
        <v>223</v>
      </c>
      <c r="AD42" s="1">
        <f ca="1">IFERROR(__xludf.DUMMYFUNCTION("""COMPUTED_VALUE"""),117)</f>
        <v>117</v>
      </c>
      <c r="AE42" s="1">
        <f ca="1">IFERROR(__xludf.DUMMYFUNCTION("""COMPUTED_VALUE"""),465)</f>
        <v>465</v>
      </c>
      <c r="AF42" s="1">
        <f ca="1">IFERROR(__xludf.DUMMYFUNCTION("""COMPUTED_VALUE"""),666)</f>
        <v>666</v>
      </c>
    </row>
    <row r="43" spans="1:32" ht="12.5" x14ac:dyDescent="0.25">
      <c r="A43" s="1" t="str">
        <f ca="1">IFERROR(__xludf.DUMMYFUNCTION("""COMPUTED_VALUE"""),"Cal State Northridge")</f>
        <v>Cal State Northridge</v>
      </c>
      <c r="B43" s="1">
        <f ca="1">IFERROR(__xludf.DUMMYFUNCTION("""COMPUTED_VALUE"""),30)</f>
        <v>30</v>
      </c>
      <c r="C43" s="1">
        <f ca="1">IFERROR(__xludf.DUMMYFUNCTION("""COMPUTED_VALUE"""),11)</f>
        <v>11</v>
      </c>
      <c r="D43" s="1">
        <f ca="1">IFERROR(__xludf.DUMMYFUNCTION("""COMPUTED_VALUE"""),19)</f>
        <v>19</v>
      </c>
      <c r="E43" s="1">
        <f ca="1">IFERROR(__xludf.DUMMYFUNCTION("""COMPUTED_VALUE"""),0.367)</f>
        <v>0.36699999999999999</v>
      </c>
      <c r="F43" s="1">
        <f ca="1">IFERROR(__xludf.DUMMYFUNCTION("""COMPUTED_VALUE"""),-8.34)</f>
        <v>-8.34</v>
      </c>
      <c r="G43" s="1">
        <f ca="1">IFERROR(__xludf.DUMMYFUNCTION("""COMPUTED_VALUE"""),-4.13)</f>
        <v>-4.13</v>
      </c>
      <c r="H43" s="1">
        <f ca="1">IFERROR(__xludf.DUMMYFUNCTION("""COMPUTED_VALUE"""),7)</f>
        <v>7</v>
      </c>
      <c r="I43" s="1">
        <f ca="1">IFERROR(__xludf.DUMMYFUNCTION("""COMPUTED_VALUE"""),9)</f>
        <v>9</v>
      </c>
      <c r="J43" s="1">
        <f ca="1">IFERROR(__xludf.DUMMYFUNCTION("""COMPUTED_VALUE"""),7)</f>
        <v>7</v>
      </c>
      <c r="K43" s="1">
        <f ca="1">IFERROR(__xludf.DUMMYFUNCTION("""COMPUTED_VALUE"""),7)</f>
        <v>7</v>
      </c>
      <c r="L43" s="1">
        <f ca="1">IFERROR(__xludf.DUMMYFUNCTION("""COMPUTED_VALUE"""),4)</f>
        <v>4</v>
      </c>
      <c r="M43" s="1">
        <f ca="1">IFERROR(__xludf.DUMMYFUNCTION("""COMPUTED_VALUE"""),8)</f>
        <v>8</v>
      </c>
      <c r="N43" s="1">
        <f ca="1">IFERROR(__xludf.DUMMYFUNCTION("""COMPUTED_VALUE"""),2341)</f>
        <v>2341</v>
      </c>
      <c r="O43" s="1">
        <f ca="1">IFERROR(__xludf.DUMMYFUNCTION("""COMPUTED_VALUE"""),2440)</f>
        <v>2440</v>
      </c>
      <c r="P43" s="1">
        <f ca="1">IFERROR(__xludf.DUMMYFUNCTION("""COMPUTED_VALUE"""),1200)</f>
        <v>1200</v>
      </c>
      <c r="Q43" s="1">
        <f ca="1">IFERROR(__xludf.DUMMYFUNCTION("""COMPUTED_VALUE"""),806)</f>
        <v>806</v>
      </c>
      <c r="R43" s="1">
        <f ca="1">IFERROR(__xludf.DUMMYFUNCTION("""COMPUTED_VALUE"""),1747)</f>
        <v>1747</v>
      </c>
      <c r="S43" s="1">
        <f ca="1">IFERROR(__xludf.DUMMYFUNCTION("""COMPUTED_VALUE"""),0.461)</f>
        <v>0.46100000000000002</v>
      </c>
      <c r="T43" s="1">
        <f ca="1">IFERROR(__xludf.DUMMYFUNCTION("""COMPUTED_VALUE"""),145)</f>
        <v>145</v>
      </c>
      <c r="U43" s="1">
        <f ca="1">IFERROR(__xludf.DUMMYFUNCTION("""COMPUTED_VALUE"""),415)</f>
        <v>415</v>
      </c>
      <c r="V43" s="1">
        <f ca="1">IFERROR(__xludf.DUMMYFUNCTION("""COMPUTED_VALUE"""),0.349)</f>
        <v>0.34899999999999998</v>
      </c>
      <c r="W43" s="1">
        <f ca="1">IFERROR(__xludf.DUMMYFUNCTION("""COMPUTED_VALUE"""),584)</f>
        <v>584</v>
      </c>
      <c r="X43" s="1">
        <f ca="1">IFERROR(__xludf.DUMMYFUNCTION("""COMPUTED_VALUE"""),801)</f>
        <v>801</v>
      </c>
      <c r="Y43" s="1">
        <f ca="1">IFERROR(__xludf.DUMMYFUNCTION("""COMPUTED_VALUE"""),0.729)</f>
        <v>0.72899999999999998</v>
      </c>
      <c r="Z43" s="1">
        <f ca="1">IFERROR(__xludf.DUMMYFUNCTION("""COMPUTED_VALUE"""),295)</f>
        <v>295</v>
      </c>
      <c r="AA43" s="1">
        <f ca="1">IFERROR(__xludf.DUMMYFUNCTION("""COMPUTED_VALUE"""),1052)</f>
        <v>1052</v>
      </c>
      <c r="AB43" s="1">
        <f ca="1">IFERROR(__xludf.DUMMYFUNCTION("""COMPUTED_VALUE"""),411)</f>
        <v>411</v>
      </c>
      <c r="AC43" s="1">
        <f ca="1">IFERROR(__xludf.DUMMYFUNCTION("""COMPUTED_VALUE"""),207)</f>
        <v>207</v>
      </c>
      <c r="AD43" s="1">
        <f ca="1">IFERROR(__xludf.DUMMYFUNCTION("""COMPUTED_VALUE"""),90)</f>
        <v>90</v>
      </c>
      <c r="AE43" s="1">
        <f ca="1">IFERROR(__xludf.DUMMYFUNCTION("""COMPUTED_VALUE"""),399)</f>
        <v>399</v>
      </c>
      <c r="AF43" s="1">
        <f ca="1">IFERROR(__xludf.DUMMYFUNCTION("""COMPUTED_VALUE"""),638)</f>
        <v>638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IFERROR(__xludf.DUMMYFUNCTION("""COMPUTED_VALUE"""),"UC-DavisNCAA")</f>
        <v>UC-DavisNCAA</v>
      </c>
      <c r="B46" s="1">
        <f ca="1">IFERROR(__xludf.DUMMYFUNCTION("""COMPUTED_VALUE"""),36)</f>
        <v>36</v>
      </c>
      <c r="C46" s="1">
        <f ca="1">IFERROR(__xludf.DUMMYFUNCTION("""COMPUTED_VALUE"""),23)</f>
        <v>23</v>
      </c>
      <c r="D46" s="1">
        <f ca="1">IFERROR(__xludf.DUMMYFUNCTION("""COMPUTED_VALUE"""),13)</f>
        <v>13</v>
      </c>
      <c r="E46" s="1">
        <f ca="1">IFERROR(__xludf.DUMMYFUNCTION("""COMPUTED_VALUE"""),0.639)</f>
        <v>0.63900000000000001</v>
      </c>
      <c r="F46" s="1">
        <f ca="1">IFERROR(__xludf.DUMMYFUNCTION("""COMPUTED_VALUE"""),-5.21)</f>
        <v>-5.21</v>
      </c>
      <c r="G46" s="1">
        <f ca="1">IFERROR(__xludf.DUMMYFUNCTION("""COMPUTED_VALUE"""),-4.68)</f>
        <v>-4.68</v>
      </c>
      <c r="H46" s="1">
        <f ca="1">IFERROR(__xludf.DUMMYFUNCTION("""COMPUTED_VALUE"""),11)</f>
        <v>11</v>
      </c>
      <c r="I46" s="1">
        <f ca="1">IFERROR(__xludf.DUMMYFUNCTION("""COMPUTED_VALUE"""),5)</f>
        <v>5</v>
      </c>
      <c r="J46" s="1">
        <f ca="1">IFERROR(__xludf.DUMMYFUNCTION("""COMPUTED_VALUE"""),11)</f>
        <v>11</v>
      </c>
      <c r="K46" s="1">
        <f ca="1">IFERROR(__xludf.DUMMYFUNCTION("""COMPUTED_VALUE"""),0)</f>
        <v>0</v>
      </c>
      <c r="L46" s="1">
        <f ca="1">IFERROR(__xludf.DUMMYFUNCTION("""COMPUTED_VALUE"""),6)</f>
        <v>6</v>
      </c>
      <c r="M46" s="1">
        <f ca="1">IFERROR(__xludf.DUMMYFUNCTION("""COMPUTED_VALUE"""),9)</f>
        <v>9</v>
      </c>
      <c r="N46" s="1">
        <f ca="1">IFERROR(__xludf.DUMMYFUNCTION("""COMPUTED_VALUE"""),2525)</f>
        <v>2525</v>
      </c>
      <c r="O46" s="1">
        <f ca="1">IFERROR(__xludf.DUMMYFUNCTION("""COMPUTED_VALUE"""),2506)</f>
        <v>2506</v>
      </c>
      <c r="P46" s="1">
        <f ca="1">IFERROR(__xludf.DUMMYFUNCTION("""COMPUTED_VALUE"""),1455)</f>
        <v>1455</v>
      </c>
      <c r="Q46" s="1">
        <f ca="1">IFERROR(__xludf.DUMMYFUNCTION("""COMPUTED_VALUE"""),873)</f>
        <v>873</v>
      </c>
      <c r="R46" s="1">
        <f ca="1">IFERROR(__xludf.DUMMYFUNCTION("""COMPUTED_VALUE"""),2008)</f>
        <v>2008</v>
      </c>
      <c r="S46" s="1">
        <f ca="1">IFERROR(__xludf.DUMMYFUNCTION("""COMPUTED_VALUE"""),0.435)</f>
        <v>0.435</v>
      </c>
      <c r="T46" s="1">
        <f ca="1">IFERROR(__xludf.DUMMYFUNCTION("""COMPUTED_VALUE"""),221)</f>
        <v>221</v>
      </c>
      <c r="U46" s="1">
        <f ca="1">IFERROR(__xludf.DUMMYFUNCTION("""COMPUTED_VALUE"""),635)</f>
        <v>635</v>
      </c>
      <c r="V46" s="1">
        <f ca="1">IFERROR(__xludf.DUMMYFUNCTION("""COMPUTED_VALUE"""),0.348)</f>
        <v>0.34799999999999998</v>
      </c>
      <c r="W46" s="1">
        <f ca="1">IFERROR(__xludf.DUMMYFUNCTION("""COMPUTED_VALUE"""),558)</f>
        <v>558</v>
      </c>
      <c r="X46" s="1">
        <f ca="1">IFERROR(__xludf.DUMMYFUNCTION("""COMPUTED_VALUE"""),828)</f>
        <v>828</v>
      </c>
      <c r="Y46" s="1">
        <f ca="1">IFERROR(__xludf.DUMMYFUNCTION("""COMPUTED_VALUE"""),0.674)</f>
        <v>0.67400000000000004</v>
      </c>
      <c r="Z46" s="1">
        <f ca="1">IFERROR(__xludf.DUMMYFUNCTION("""COMPUTED_VALUE"""),364)</f>
        <v>364</v>
      </c>
      <c r="AA46" s="1">
        <f ca="1">IFERROR(__xludf.DUMMYFUNCTION("""COMPUTED_VALUE"""),1280)</f>
        <v>1280</v>
      </c>
      <c r="AB46" s="1">
        <f ca="1">IFERROR(__xludf.DUMMYFUNCTION("""COMPUTED_VALUE"""),461)</f>
        <v>461</v>
      </c>
      <c r="AC46" s="1">
        <f ca="1">IFERROR(__xludf.DUMMYFUNCTION("""COMPUTED_VALUE"""),202)</f>
        <v>202</v>
      </c>
      <c r="AD46" s="1">
        <f ca="1">IFERROR(__xludf.DUMMYFUNCTION("""COMPUTED_VALUE"""),118)</f>
        <v>118</v>
      </c>
      <c r="AE46" s="1">
        <f ca="1">IFERROR(__xludf.DUMMYFUNCTION("""COMPUTED_VALUE"""),513)</f>
        <v>513</v>
      </c>
      <c r="AF46" s="1">
        <f ca="1">IFERROR(__xludf.DUMMYFUNCTION("""COMPUTED_VALUE"""),688)</f>
        <v>688</v>
      </c>
    </row>
    <row r="47" spans="1:32" ht="12.5" x14ac:dyDescent="0.25">
      <c r="A47" s="1" t="str">
        <f ca="1">IFERROR(__xludf.DUMMYFUNCTION("""COMPUTED_VALUE"""),"UC-Irvine")</f>
        <v>UC-Irvine</v>
      </c>
      <c r="B47" s="1">
        <f ca="1">IFERROR(__xludf.DUMMYFUNCTION("""COMPUTED_VALUE"""),36)</f>
        <v>36</v>
      </c>
      <c r="C47" s="1">
        <f ca="1">IFERROR(__xludf.DUMMYFUNCTION("""COMPUTED_VALUE"""),21)</f>
        <v>21</v>
      </c>
      <c r="D47" s="1">
        <f ca="1">IFERROR(__xludf.DUMMYFUNCTION("""COMPUTED_VALUE"""),15)</f>
        <v>15</v>
      </c>
      <c r="E47" s="1">
        <f ca="1">IFERROR(__xludf.DUMMYFUNCTION("""COMPUTED_VALUE"""),0.583)</f>
        <v>0.58299999999999996</v>
      </c>
      <c r="F47" s="1">
        <f ca="1">IFERROR(__xludf.DUMMYFUNCTION("""COMPUTED_VALUE"""),0.18)</f>
        <v>0.18</v>
      </c>
      <c r="G47" s="1">
        <f ca="1">IFERROR(__xludf.DUMMYFUNCTION("""COMPUTED_VALUE"""),-2.7)</f>
        <v>-2.7</v>
      </c>
      <c r="H47" s="1">
        <f ca="1">IFERROR(__xludf.DUMMYFUNCTION("""COMPUTED_VALUE"""),12)</f>
        <v>12</v>
      </c>
      <c r="I47" s="1">
        <f ca="1">IFERROR(__xludf.DUMMYFUNCTION("""COMPUTED_VALUE"""),4)</f>
        <v>4</v>
      </c>
      <c r="J47" s="1">
        <f ca="1">IFERROR(__xludf.DUMMYFUNCTION("""COMPUTED_VALUE"""),11)</f>
        <v>11</v>
      </c>
      <c r="K47" s="1">
        <f ca="1">IFERROR(__xludf.DUMMYFUNCTION("""COMPUTED_VALUE"""),2)</f>
        <v>2</v>
      </c>
      <c r="L47" s="1">
        <f ca="1">IFERROR(__xludf.DUMMYFUNCTION("""COMPUTED_VALUE"""),8)</f>
        <v>8</v>
      </c>
      <c r="M47" s="1">
        <f ca="1">IFERROR(__xludf.DUMMYFUNCTION("""COMPUTED_VALUE"""),9)</f>
        <v>9</v>
      </c>
      <c r="N47" s="1">
        <f ca="1">IFERROR(__xludf.DUMMYFUNCTION("""COMPUTED_VALUE"""),2514)</f>
        <v>2514</v>
      </c>
      <c r="O47" s="1">
        <f ca="1">IFERROR(__xludf.DUMMYFUNCTION("""COMPUTED_VALUE"""),2331)</f>
        <v>2331</v>
      </c>
      <c r="P47" s="1">
        <f ca="1">IFERROR(__xludf.DUMMYFUNCTION("""COMPUTED_VALUE"""),1450)</f>
        <v>1450</v>
      </c>
      <c r="Q47" s="1">
        <f ca="1">IFERROR(__xludf.DUMMYFUNCTION("""COMPUTED_VALUE"""),915)</f>
        <v>915</v>
      </c>
      <c r="R47" s="1">
        <f ca="1">IFERROR(__xludf.DUMMYFUNCTION("""COMPUTED_VALUE"""),2062)</f>
        <v>2062</v>
      </c>
      <c r="S47" s="1">
        <f ca="1">IFERROR(__xludf.DUMMYFUNCTION("""COMPUTED_VALUE"""),0.444)</f>
        <v>0.44400000000000001</v>
      </c>
      <c r="T47" s="1">
        <f ca="1">IFERROR(__xludf.DUMMYFUNCTION("""COMPUTED_VALUE"""),265)</f>
        <v>265</v>
      </c>
      <c r="U47" s="1">
        <f ca="1">IFERROR(__xludf.DUMMYFUNCTION("""COMPUTED_VALUE"""),734)</f>
        <v>734</v>
      </c>
      <c r="V47" s="1">
        <f ca="1">IFERROR(__xludf.DUMMYFUNCTION("""COMPUTED_VALUE"""),0.361)</f>
        <v>0.36099999999999999</v>
      </c>
      <c r="W47" s="1">
        <f ca="1">IFERROR(__xludf.DUMMYFUNCTION("""COMPUTED_VALUE"""),419)</f>
        <v>419</v>
      </c>
      <c r="X47" s="1">
        <f ca="1">IFERROR(__xludf.DUMMYFUNCTION("""COMPUTED_VALUE"""),611)</f>
        <v>611</v>
      </c>
      <c r="Y47" s="1">
        <f ca="1">IFERROR(__xludf.DUMMYFUNCTION("""COMPUTED_VALUE"""),0.686)</f>
        <v>0.68600000000000005</v>
      </c>
      <c r="Z47" s="1">
        <f ca="1">IFERROR(__xludf.DUMMYFUNCTION("""COMPUTED_VALUE"""),402)</f>
        <v>402</v>
      </c>
      <c r="AA47" s="1">
        <f ca="1">IFERROR(__xludf.DUMMYFUNCTION("""COMPUTED_VALUE"""),1429)</f>
        <v>1429</v>
      </c>
      <c r="AB47" s="1">
        <f ca="1">IFERROR(__xludf.DUMMYFUNCTION("""COMPUTED_VALUE"""),460)</f>
        <v>460</v>
      </c>
      <c r="AC47" s="1">
        <f ca="1">IFERROR(__xludf.DUMMYFUNCTION("""COMPUTED_VALUE"""),176)</f>
        <v>176</v>
      </c>
      <c r="AD47" s="1">
        <f ca="1">IFERROR(__xludf.DUMMYFUNCTION("""COMPUTED_VALUE"""),154)</f>
        <v>154</v>
      </c>
      <c r="AE47" s="1">
        <f ca="1">IFERROR(__xludf.DUMMYFUNCTION("""COMPUTED_VALUE"""),481)</f>
        <v>481</v>
      </c>
      <c r="AF47" s="1">
        <f ca="1">IFERROR(__xludf.DUMMYFUNCTION("""COMPUTED_VALUE"""),748)</f>
        <v>748</v>
      </c>
    </row>
    <row r="48" spans="1:32" ht="12.5" x14ac:dyDescent="0.25">
      <c r="A48" s="1" t="str">
        <f ca="1">IFERROR(__xludf.DUMMYFUNCTION("""COMPUTED_VALUE"""),"UC-Riverside")</f>
        <v>UC-Riverside</v>
      </c>
      <c r="B48" s="1">
        <f ca="1">IFERROR(__xludf.DUMMYFUNCTION("""COMPUTED_VALUE"""),29)</f>
        <v>29</v>
      </c>
      <c r="C48" s="1">
        <f ca="1">IFERROR(__xludf.DUMMYFUNCTION("""COMPUTED_VALUE"""),8)</f>
        <v>8</v>
      </c>
      <c r="D48" s="1">
        <f ca="1">IFERROR(__xludf.DUMMYFUNCTION("""COMPUTED_VALUE"""),21)</f>
        <v>21</v>
      </c>
      <c r="E48" s="1">
        <f ca="1">IFERROR(__xludf.DUMMYFUNCTION("""COMPUTED_VALUE"""),0.276)</f>
        <v>0.27600000000000002</v>
      </c>
      <c r="F48" s="1">
        <f ca="1">IFERROR(__xludf.DUMMYFUNCTION("""COMPUTED_VALUE"""),-11.39)</f>
        <v>-11.39</v>
      </c>
      <c r="G48" s="1">
        <f ca="1">IFERROR(__xludf.DUMMYFUNCTION("""COMPUTED_VALUE"""),-3.87)</f>
        <v>-3.87</v>
      </c>
      <c r="H48" s="1">
        <f ca="1">IFERROR(__xludf.DUMMYFUNCTION("""COMPUTED_VALUE"""),5)</f>
        <v>5</v>
      </c>
      <c r="I48" s="1">
        <f ca="1">IFERROR(__xludf.DUMMYFUNCTION("""COMPUTED_VALUE"""),11)</f>
        <v>11</v>
      </c>
      <c r="J48" s="1">
        <f ca="1">IFERROR(__xludf.DUMMYFUNCTION("""COMPUTED_VALUE"""),5)</f>
        <v>5</v>
      </c>
      <c r="K48" s="1">
        <f ca="1">IFERROR(__xludf.DUMMYFUNCTION("""COMPUTED_VALUE"""),8)</f>
        <v>8</v>
      </c>
      <c r="L48" s="1">
        <f ca="1">IFERROR(__xludf.DUMMYFUNCTION("""COMPUTED_VALUE"""),3)</f>
        <v>3</v>
      </c>
      <c r="M48" s="1">
        <f ca="1">IFERROR(__xludf.DUMMYFUNCTION("""COMPUTED_VALUE"""),12)</f>
        <v>12</v>
      </c>
      <c r="N48" s="1">
        <f ca="1">IFERROR(__xludf.DUMMYFUNCTION("""COMPUTED_VALUE"""),1895)</f>
        <v>1895</v>
      </c>
      <c r="O48" s="1">
        <f ca="1">IFERROR(__xludf.DUMMYFUNCTION("""COMPUTED_VALUE"""),2016)</f>
        <v>2016</v>
      </c>
      <c r="P48" s="1">
        <f ca="1">IFERROR(__xludf.DUMMYFUNCTION("""COMPUTED_VALUE"""),1165)</f>
        <v>1165</v>
      </c>
      <c r="Q48" s="1">
        <f ca="1">IFERROR(__xludf.DUMMYFUNCTION("""COMPUTED_VALUE"""),689)</f>
        <v>689</v>
      </c>
      <c r="R48" s="1">
        <f ca="1">IFERROR(__xludf.DUMMYFUNCTION("""COMPUTED_VALUE"""),1671)</f>
        <v>1671</v>
      </c>
      <c r="S48" s="1">
        <f ca="1">IFERROR(__xludf.DUMMYFUNCTION("""COMPUTED_VALUE"""),0.412)</f>
        <v>0.41199999999999998</v>
      </c>
      <c r="T48" s="1">
        <f ca="1">IFERROR(__xludf.DUMMYFUNCTION("""COMPUTED_VALUE"""),173)</f>
        <v>173</v>
      </c>
      <c r="U48" s="1">
        <f ca="1">IFERROR(__xludf.DUMMYFUNCTION("""COMPUTED_VALUE"""),553)</f>
        <v>553</v>
      </c>
      <c r="V48" s="1">
        <f ca="1">IFERROR(__xludf.DUMMYFUNCTION("""COMPUTED_VALUE"""),0.313)</f>
        <v>0.313</v>
      </c>
      <c r="W48" s="1">
        <f ca="1">IFERROR(__xludf.DUMMYFUNCTION("""COMPUTED_VALUE"""),344)</f>
        <v>344</v>
      </c>
      <c r="X48" s="1">
        <f ca="1">IFERROR(__xludf.DUMMYFUNCTION("""COMPUTED_VALUE"""),495)</f>
        <v>495</v>
      </c>
      <c r="Y48" s="1">
        <f ca="1">IFERROR(__xludf.DUMMYFUNCTION("""COMPUTED_VALUE"""),0.695)</f>
        <v>0.69499999999999995</v>
      </c>
      <c r="Z48" s="1">
        <f ca="1">IFERROR(__xludf.DUMMYFUNCTION("""COMPUTED_VALUE"""),264)</f>
        <v>264</v>
      </c>
      <c r="AA48" s="1">
        <f ca="1">IFERROR(__xludf.DUMMYFUNCTION("""COMPUTED_VALUE"""),1011)</f>
        <v>1011</v>
      </c>
      <c r="AB48" s="1">
        <f ca="1">IFERROR(__xludf.DUMMYFUNCTION("""COMPUTED_VALUE"""),338)</f>
        <v>338</v>
      </c>
      <c r="AC48" s="1">
        <f ca="1">IFERROR(__xludf.DUMMYFUNCTION("""COMPUTED_VALUE"""),198)</f>
        <v>198</v>
      </c>
      <c r="AD48" s="1">
        <f ca="1">IFERROR(__xludf.DUMMYFUNCTION("""COMPUTED_VALUE"""),88)</f>
        <v>88</v>
      </c>
      <c r="AE48" s="1">
        <f ca="1">IFERROR(__xludf.DUMMYFUNCTION("""COMPUTED_VALUE"""),387)</f>
        <v>387</v>
      </c>
      <c r="AF48" s="1">
        <f ca="1">IFERROR(__xludf.DUMMYFUNCTION("""COMPUTED_VALUE"""),572)</f>
        <v>572</v>
      </c>
    </row>
    <row r="49" spans="1:32" ht="12.5" x14ac:dyDescent="0.25">
      <c r="A49" s="1" t="str">
        <f ca="1">IFERROR(__xludf.DUMMYFUNCTION("""COMPUTED_VALUE"""),"UC-Santa Barbara")</f>
        <v>UC-Santa Barbara</v>
      </c>
      <c r="B49" s="1">
        <f ca="1">IFERROR(__xludf.DUMMYFUNCTION("""COMPUTED_VALUE"""),28)</f>
        <v>28</v>
      </c>
      <c r="C49" s="1">
        <f ca="1">IFERROR(__xludf.DUMMYFUNCTION("""COMPUTED_VALUE"""),6)</f>
        <v>6</v>
      </c>
      <c r="D49" s="1">
        <f ca="1">IFERROR(__xludf.DUMMYFUNCTION("""COMPUTED_VALUE"""),22)</f>
        <v>22</v>
      </c>
      <c r="E49" s="1">
        <f ca="1">IFERROR(__xludf.DUMMYFUNCTION("""COMPUTED_VALUE"""),0.214)</f>
        <v>0.214</v>
      </c>
      <c r="F49" s="1">
        <f ca="1">IFERROR(__xludf.DUMMYFUNCTION("""COMPUTED_VALUE"""),-13.49)</f>
        <v>-13.49</v>
      </c>
      <c r="G49" s="1">
        <f ca="1">IFERROR(__xludf.DUMMYFUNCTION("""COMPUTED_VALUE"""),-2)</f>
        <v>-2</v>
      </c>
      <c r="H49" s="1">
        <f ca="1">IFERROR(__xludf.DUMMYFUNCTION("""COMPUTED_VALUE"""),4)</f>
        <v>4</v>
      </c>
      <c r="I49" s="1">
        <f ca="1">IFERROR(__xludf.DUMMYFUNCTION("""COMPUTED_VALUE"""),12)</f>
        <v>12</v>
      </c>
      <c r="J49" s="1">
        <f ca="1">IFERROR(__xludf.DUMMYFUNCTION("""COMPUTED_VALUE"""),5)</f>
        <v>5</v>
      </c>
      <c r="K49" s="1">
        <f ca="1">IFERROR(__xludf.DUMMYFUNCTION("""COMPUTED_VALUE"""),8)</f>
        <v>8</v>
      </c>
      <c r="L49" s="1">
        <f ca="1">IFERROR(__xludf.DUMMYFUNCTION("""COMPUTED_VALUE"""),1)</f>
        <v>1</v>
      </c>
      <c r="M49" s="1">
        <f ca="1">IFERROR(__xludf.DUMMYFUNCTION("""COMPUTED_VALUE"""),12)</f>
        <v>12</v>
      </c>
      <c r="N49" s="1">
        <f ca="1">IFERROR(__xludf.DUMMYFUNCTION("""COMPUTED_VALUE"""),1701)</f>
        <v>1701</v>
      </c>
      <c r="O49" s="1">
        <f ca="1">IFERROR(__xludf.DUMMYFUNCTION("""COMPUTED_VALUE"""),1987)</f>
        <v>1987</v>
      </c>
      <c r="P49" s="1">
        <f ca="1">IFERROR(__xludf.DUMMYFUNCTION("""COMPUTED_VALUE"""),1125)</f>
        <v>1125</v>
      </c>
      <c r="Q49" s="1">
        <f ca="1">IFERROR(__xludf.DUMMYFUNCTION("""COMPUTED_VALUE"""),622)</f>
        <v>622</v>
      </c>
      <c r="R49" s="1">
        <f ca="1">IFERROR(__xludf.DUMMYFUNCTION("""COMPUTED_VALUE"""),1651)</f>
        <v>1651</v>
      </c>
      <c r="S49" s="1">
        <f ca="1">IFERROR(__xludf.DUMMYFUNCTION("""COMPUTED_VALUE"""),0.377)</f>
        <v>0.377</v>
      </c>
      <c r="T49" s="1">
        <f ca="1">IFERROR(__xludf.DUMMYFUNCTION("""COMPUTED_VALUE"""),154)</f>
        <v>154</v>
      </c>
      <c r="U49" s="1">
        <f ca="1">IFERROR(__xludf.DUMMYFUNCTION("""COMPUTED_VALUE"""),531)</f>
        <v>531</v>
      </c>
      <c r="V49" s="1">
        <f ca="1">IFERROR(__xludf.DUMMYFUNCTION("""COMPUTED_VALUE"""),0.29)</f>
        <v>0.28999999999999998</v>
      </c>
      <c r="W49" s="1">
        <f ca="1">IFERROR(__xludf.DUMMYFUNCTION("""COMPUTED_VALUE"""),303)</f>
        <v>303</v>
      </c>
      <c r="X49" s="1">
        <f ca="1">IFERROR(__xludf.DUMMYFUNCTION("""COMPUTED_VALUE"""),478)</f>
        <v>478</v>
      </c>
      <c r="Y49" s="1">
        <f ca="1">IFERROR(__xludf.DUMMYFUNCTION("""COMPUTED_VALUE"""),0.634)</f>
        <v>0.63400000000000001</v>
      </c>
      <c r="Z49" s="1">
        <f ca="1">IFERROR(__xludf.DUMMYFUNCTION("""COMPUTED_VALUE"""),356)</f>
        <v>356</v>
      </c>
      <c r="AA49" s="1">
        <f ca="1">IFERROR(__xludf.DUMMYFUNCTION("""COMPUTED_VALUE"""),1028)</f>
        <v>1028</v>
      </c>
      <c r="AB49" s="1">
        <f ca="1">IFERROR(__xludf.DUMMYFUNCTION("""COMPUTED_VALUE"""),338)</f>
        <v>338</v>
      </c>
      <c r="AC49" s="1">
        <f ca="1">IFERROR(__xludf.DUMMYFUNCTION("""COMPUTED_VALUE"""),148)</f>
        <v>148</v>
      </c>
      <c r="AD49" s="1">
        <f ca="1">IFERROR(__xludf.DUMMYFUNCTION("""COMPUTED_VALUE"""),59)</f>
        <v>59</v>
      </c>
      <c r="AE49" s="1">
        <f ca="1">IFERROR(__xludf.DUMMYFUNCTION("""COMPUTED_VALUE"""),341)</f>
        <v>341</v>
      </c>
      <c r="AF49" s="1">
        <f ca="1">IFERROR(__xludf.DUMMYFUNCTION("""COMPUTED_VALUE"""),502)</f>
        <v>502</v>
      </c>
    </row>
    <row r="50" spans="1:32" ht="12.5" x14ac:dyDescent="0.25">
      <c r="A50" s="1" t="str">
        <f ca="1">IFERROR(__xludf.DUMMYFUNCTION("""COMPUTED_VALUE"""),"University of California")</f>
        <v>University of California</v>
      </c>
      <c r="B50" s="1">
        <f ca="1">IFERROR(__xludf.DUMMYFUNCTION("""COMPUTED_VALUE"""),34)</f>
        <v>34</v>
      </c>
      <c r="C50" s="1">
        <f ca="1">IFERROR(__xludf.DUMMYFUNCTION("""COMPUTED_VALUE"""),21)</f>
        <v>21</v>
      </c>
      <c r="D50" s="1">
        <f ca="1">IFERROR(__xludf.DUMMYFUNCTION("""COMPUTED_VALUE"""),13)</f>
        <v>13</v>
      </c>
      <c r="E50" s="1">
        <f ca="1">IFERROR(__xludf.DUMMYFUNCTION("""COMPUTED_VALUE"""),0.618)</f>
        <v>0.61799999999999999</v>
      </c>
      <c r="F50" s="1">
        <f ca="1">IFERROR(__xludf.DUMMYFUNCTION("""COMPUTED_VALUE"""),11.11)</f>
        <v>11.11</v>
      </c>
      <c r="G50" s="1">
        <f ca="1">IFERROR(__xludf.DUMMYFUNCTION("""COMPUTED_VALUE"""),6.34)</f>
        <v>6.34</v>
      </c>
      <c r="H50" s="1">
        <f ca="1">IFERROR(__xludf.DUMMYFUNCTION("""COMPUTED_VALUE"""),10)</f>
        <v>10</v>
      </c>
      <c r="I50" s="1">
        <f ca="1">IFERROR(__xludf.DUMMYFUNCTION("""COMPUTED_VALUE"""),8)</f>
        <v>8</v>
      </c>
      <c r="J50" s="1">
        <f ca="1">IFERROR(__xludf.DUMMYFUNCTION("""COMPUTED_VALUE"""),15)</f>
        <v>15</v>
      </c>
      <c r="K50" s="1">
        <f ca="1">IFERROR(__xludf.DUMMYFUNCTION("""COMPUTED_VALUE"""),4)</f>
        <v>4</v>
      </c>
      <c r="L50" s="1">
        <f ca="1">IFERROR(__xludf.DUMMYFUNCTION("""COMPUTED_VALUE"""),3)</f>
        <v>3</v>
      </c>
      <c r="M50" s="1">
        <f ca="1">IFERROR(__xludf.DUMMYFUNCTION("""COMPUTED_VALUE"""),6)</f>
        <v>6</v>
      </c>
      <c r="N50" s="1">
        <f ca="1">IFERROR(__xludf.DUMMYFUNCTION("""COMPUTED_VALUE"""),2316)</f>
        <v>2316</v>
      </c>
      <c r="O50" s="1">
        <f ca="1">IFERROR(__xludf.DUMMYFUNCTION("""COMPUTED_VALUE"""),2154)</f>
        <v>2154</v>
      </c>
      <c r="P50" s="1">
        <f ca="1">IFERROR(__xludf.DUMMYFUNCTION("""COMPUTED_VALUE"""),1380)</f>
        <v>1380</v>
      </c>
      <c r="Q50" s="1">
        <f ca="1">IFERROR(__xludf.DUMMYFUNCTION("""COMPUTED_VALUE"""),807)</f>
        <v>807</v>
      </c>
      <c r="R50" s="1">
        <f ca="1">IFERROR(__xludf.DUMMYFUNCTION("""COMPUTED_VALUE"""),1911)</f>
        <v>1911</v>
      </c>
      <c r="S50" s="1">
        <f ca="1">IFERROR(__xludf.DUMMYFUNCTION("""COMPUTED_VALUE"""),0.422)</f>
        <v>0.42199999999999999</v>
      </c>
      <c r="T50" s="1">
        <f ca="1">IFERROR(__xludf.DUMMYFUNCTION("""COMPUTED_VALUE"""),226)</f>
        <v>226</v>
      </c>
      <c r="U50" s="1">
        <f ca="1">IFERROR(__xludf.DUMMYFUNCTION("""COMPUTED_VALUE"""),664)</f>
        <v>664</v>
      </c>
      <c r="V50" s="1">
        <f ca="1">IFERROR(__xludf.DUMMYFUNCTION("""COMPUTED_VALUE"""),0.34)</f>
        <v>0.34</v>
      </c>
      <c r="W50" s="1">
        <f ca="1">IFERROR(__xludf.DUMMYFUNCTION("""COMPUTED_VALUE"""),476)</f>
        <v>476</v>
      </c>
      <c r="X50" s="1">
        <f ca="1">IFERROR(__xludf.DUMMYFUNCTION("""COMPUTED_VALUE"""),720)</f>
        <v>720</v>
      </c>
      <c r="Y50" s="1">
        <f ca="1">IFERROR(__xludf.DUMMYFUNCTION("""COMPUTED_VALUE"""),0.661)</f>
        <v>0.66100000000000003</v>
      </c>
      <c r="Z50" s="1">
        <f ca="1">IFERROR(__xludf.DUMMYFUNCTION("""COMPUTED_VALUE"""),394)</f>
        <v>394</v>
      </c>
      <c r="AA50" s="1">
        <f ca="1">IFERROR(__xludf.DUMMYFUNCTION("""COMPUTED_VALUE"""),1323)</f>
        <v>1323</v>
      </c>
      <c r="AB50" s="1">
        <f ca="1">IFERROR(__xludf.DUMMYFUNCTION("""COMPUTED_VALUE"""),409)</f>
        <v>409</v>
      </c>
      <c r="AC50" s="1">
        <f ca="1">IFERROR(__xludf.DUMMYFUNCTION("""COMPUTED_VALUE"""),165)</f>
        <v>165</v>
      </c>
      <c r="AD50" s="1">
        <f ca="1">IFERROR(__xludf.DUMMYFUNCTION("""COMPUTED_VALUE"""),155)</f>
        <v>155</v>
      </c>
      <c r="AE50" s="1">
        <f ca="1">IFERROR(__xludf.DUMMYFUNCTION("""COMPUTED_VALUE"""),428)</f>
        <v>428</v>
      </c>
      <c r="AF50" s="1">
        <f ca="1">IFERROR(__xludf.DUMMYFUNCTION("""COMPUTED_VALUE"""),656)</f>
        <v>656</v>
      </c>
    </row>
    <row r="51" spans="1:32" ht="12.5" x14ac:dyDescent="0.25">
      <c r="A51" s="1" t="str">
        <f ca="1">IFERROR(__xludf.DUMMYFUNCTION("""COMPUTED_VALUE"""),"Campbell")</f>
        <v>Campbell</v>
      </c>
      <c r="B51" s="1">
        <f ca="1">IFERROR(__xludf.DUMMYFUNCTION("""COMPUTED_VALUE"""),37)</f>
        <v>37</v>
      </c>
      <c r="C51" s="1">
        <f ca="1">IFERROR(__xludf.DUMMYFUNCTION("""COMPUTED_VALUE"""),19)</f>
        <v>19</v>
      </c>
      <c r="D51" s="1">
        <f ca="1">IFERROR(__xludf.DUMMYFUNCTION("""COMPUTED_VALUE"""),18)</f>
        <v>18</v>
      </c>
      <c r="E51" s="1">
        <f ca="1">IFERROR(__xludf.DUMMYFUNCTION("""COMPUTED_VALUE"""),0.514)</f>
        <v>0.51400000000000001</v>
      </c>
      <c r="F51" s="1">
        <f ca="1">IFERROR(__xludf.DUMMYFUNCTION("""COMPUTED_VALUE"""),-9.68)</f>
        <v>-9.68</v>
      </c>
      <c r="G51" s="1">
        <f ca="1">IFERROR(__xludf.DUMMYFUNCTION("""COMPUTED_VALUE"""),-7.59)</f>
        <v>-7.59</v>
      </c>
      <c r="H51" s="1">
        <f ca="1">IFERROR(__xludf.DUMMYFUNCTION("""COMPUTED_VALUE"""),7)</f>
        <v>7</v>
      </c>
      <c r="I51" s="1">
        <f ca="1">IFERROR(__xludf.DUMMYFUNCTION("""COMPUTED_VALUE"""),11)</f>
        <v>11</v>
      </c>
      <c r="J51" s="1">
        <f ca="1">IFERROR(__xludf.DUMMYFUNCTION("""COMPUTED_VALUE"""),11)</f>
        <v>11</v>
      </c>
      <c r="K51" s="1">
        <f ca="1">IFERROR(__xludf.DUMMYFUNCTION("""COMPUTED_VALUE"""),8)</f>
        <v>8</v>
      </c>
      <c r="L51" s="1">
        <f ca="1">IFERROR(__xludf.DUMMYFUNCTION("""COMPUTED_VALUE"""),6)</f>
        <v>6</v>
      </c>
      <c r="M51" s="1">
        <f ca="1">IFERROR(__xludf.DUMMYFUNCTION("""COMPUTED_VALUE"""),9)</f>
        <v>9</v>
      </c>
      <c r="N51" s="1">
        <f ca="1">IFERROR(__xludf.DUMMYFUNCTION("""COMPUTED_VALUE"""),2653)</f>
        <v>2653</v>
      </c>
      <c r="O51" s="1">
        <f ca="1">IFERROR(__xludf.DUMMYFUNCTION("""COMPUTED_VALUE"""),2605)</f>
        <v>2605</v>
      </c>
      <c r="P51" s="1">
        <f ca="1">IFERROR(__xludf.DUMMYFUNCTION("""COMPUTED_VALUE"""),1490)</f>
        <v>1490</v>
      </c>
      <c r="Q51" s="1">
        <f ca="1">IFERROR(__xludf.DUMMYFUNCTION("""COMPUTED_VALUE"""),909)</f>
        <v>909</v>
      </c>
      <c r="R51" s="1">
        <f ca="1">IFERROR(__xludf.DUMMYFUNCTION("""COMPUTED_VALUE"""),1992)</f>
        <v>1992</v>
      </c>
      <c r="S51" s="1">
        <f ca="1">IFERROR(__xludf.DUMMYFUNCTION("""COMPUTED_VALUE"""),0.456)</f>
        <v>0.45600000000000002</v>
      </c>
      <c r="T51" s="1">
        <f ca="1">IFERROR(__xludf.DUMMYFUNCTION("""COMPUTED_VALUE"""),294)</f>
        <v>294</v>
      </c>
      <c r="U51" s="1">
        <f ca="1">IFERROR(__xludf.DUMMYFUNCTION("""COMPUTED_VALUE"""),798)</f>
        <v>798</v>
      </c>
      <c r="V51" s="1">
        <f ca="1">IFERROR(__xludf.DUMMYFUNCTION("""COMPUTED_VALUE"""),0.368)</f>
        <v>0.36799999999999999</v>
      </c>
      <c r="W51" s="1">
        <f ca="1">IFERROR(__xludf.DUMMYFUNCTION("""COMPUTED_VALUE"""),541)</f>
        <v>541</v>
      </c>
      <c r="X51" s="1">
        <f ca="1">IFERROR(__xludf.DUMMYFUNCTION("""COMPUTED_VALUE"""),720)</f>
        <v>720</v>
      </c>
      <c r="Y51" s="1">
        <f ca="1">IFERROR(__xludf.DUMMYFUNCTION("""COMPUTED_VALUE"""),0.751)</f>
        <v>0.751</v>
      </c>
      <c r="Z51" s="1">
        <f ca="1">IFERROR(__xludf.DUMMYFUNCTION("""COMPUTED_VALUE"""),291)</f>
        <v>291</v>
      </c>
      <c r="AA51" s="1">
        <f ca="1">IFERROR(__xludf.DUMMYFUNCTION("""COMPUTED_VALUE"""),1219)</f>
        <v>1219</v>
      </c>
      <c r="AB51" s="1">
        <f ca="1">IFERROR(__xludf.DUMMYFUNCTION("""COMPUTED_VALUE"""),432)</f>
        <v>432</v>
      </c>
      <c r="AC51" s="1">
        <f ca="1">IFERROR(__xludf.DUMMYFUNCTION("""COMPUTED_VALUE"""),244)</f>
        <v>244</v>
      </c>
      <c r="AD51" s="1">
        <f ca="1">IFERROR(__xludf.DUMMYFUNCTION("""COMPUTED_VALUE"""),151)</f>
        <v>151</v>
      </c>
      <c r="AE51" s="1">
        <f ca="1">IFERROR(__xludf.DUMMYFUNCTION("""COMPUTED_VALUE"""),476)</f>
        <v>476</v>
      </c>
      <c r="AF51" s="1">
        <f ca="1">IFERROR(__xludf.DUMMYFUNCTION("""COMPUTED_VALUE"""),662)</f>
        <v>662</v>
      </c>
    </row>
    <row r="52" spans="1:32" ht="12.5" x14ac:dyDescent="0.25">
      <c r="A52" s="1" t="str">
        <f ca="1">IFERROR(__xludf.DUMMYFUNCTION("""COMPUTED_VALUE"""),"Canisius")</f>
        <v>Canisius</v>
      </c>
      <c r="B52" s="1">
        <f ca="1">IFERROR(__xludf.DUMMYFUNCTION("""COMPUTED_VALUE"""),34)</f>
        <v>34</v>
      </c>
      <c r="C52" s="1">
        <f ca="1">IFERROR(__xludf.DUMMYFUNCTION("""COMPUTED_VALUE"""),18)</f>
        <v>18</v>
      </c>
      <c r="D52" s="1">
        <f ca="1">IFERROR(__xludf.DUMMYFUNCTION("""COMPUTED_VALUE"""),16)</f>
        <v>16</v>
      </c>
      <c r="E52" s="1">
        <f ca="1">IFERROR(__xludf.DUMMYFUNCTION("""COMPUTED_VALUE"""),0.529)</f>
        <v>0.52900000000000003</v>
      </c>
      <c r="F52" s="1">
        <f ca="1">IFERROR(__xludf.DUMMYFUNCTION("""COMPUTED_VALUE"""),-2.82)</f>
        <v>-2.82</v>
      </c>
      <c r="G52" s="1">
        <f ca="1">IFERROR(__xludf.DUMMYFUNCTION("""COMPUTED_VALUE"""),-3.5)</f>
        <v>-3.5</v>
      </c>
      <c r="H52" s="1">
        <f ca="1">IFERROR(__xludf.DUMMYFUNCTION("""COMPUTED_VALUE"""),10)</f>
        <v>10</v>
      </c>
      <c r="I52" s="1">
        <f ca="1">IFERROR(__xludf.DUMMYFUNCTION("""COMPUTED_VALUE"""),10)</f>
        <v>10</v>
      </c>
      <c r="J52" s="1">
        <f ca="1">IFERROR(__xludf.DUMMYFUNCTION("""COMPUTED_VALUE"""),7)</f>
        <v>7</v>
      </c>
      <c r="K52" s="1">
        <f ca="1">IFERROR(__xludf.DUMMYFUNCTION("""COMPUTED_VALUE"""),7)</f>
        <v>7</v>
      </c>
      <c r="L52" s="1">
        <f ca="1">IFERROR(__xludf.DUMMYFUNCTION("""COMPUTED_VALUE"""),9)</f>
        <v>9</v>
      </c>
      <c r="M52" s="1">
        <f ca="1">IFERROR(__xludf.DUMMYFUNCTION("""COMPUTED_VALUE"""),8)</f>
        <v>8</v>
      </c>
      <c r="N52" s="1">
        <f ca="1">IFERROR(__xludf.DUMMYFUNCTION("""COMPUTED_VALUE"""),2665)</f>
        <v>2665</v>
      </c>
      <c r="O52" s="1">
        <f ca="1">IFERROR(__xludf.DUMMYFUNCTION("""COMPUTED_VALUE"""),2642)</f>
        <v>2642</v>
      </c>
      <c r="P52" s="1">
        <f ca="1">IFERROR(__xludf.DUMMYFUNCTION("""COMPUTED_VALUE"""),1370)</f>
        <v>1370</v>
      </c>
      <c r="Q52" s="1">
        <f ca="1">IFERROR(__xludf.DUMMYFUNCTION("""COMPUTED_VALUE"""),943)</f>
        <v>943</v>
      </c>
      <c r="R52" s="1">
        <f ca="1">IFERROR(__xludf.DUMMYFUNCTION("""COMPUTED_VALUE"""),2066)</f>
        <v>2066</v>
      </c>
      <c r="S52" s="1">
        <f ca="1">IFERROR(__xludf.DUMMYFUNCTION("""COMPUTED_VALUE"""),0.456)</f>
        <v>0.45600000000000002</v>
      </c>
      <c r="T52" s="1">
        <f ca="1">IFERROR(__xludf.DUMMYFUNCTION("""COMPUTED_VALUE"""),309)</f>
        <v>309</v>
      </c>
      <c r="U52" s="1">
        <f ca="1">IFERROR(__xludf.DUMMYFUNCTION("""COMPUTED_VALUE"""),832)</f>
        <v>832</v>
      </c>
      <c r="V52" s="1">
        <f ca="1">IFERROR(__xludf.DUMMYFUNCTION("""COMPUTED_VALUE"""),0.371)</f>
        <v>0.371</v>
      </c>
      <c r="W52" s="1">
        <f ca="1">IFERROR(__xludf.DUMMYFUNCTION("""COMPUTED_VALUE"""),470)</f>
        <v>470</v>
      </c>
      <c r="X52" s="1">
        <f ca="1">IFERROR(__xludf.DUMMYFUNCTION("""COMPUTED_VALUE"""),639)</f>
        <v>639</v>
      </c>
      <c r="Y52" s="1">
        <f ca="1">IFERROR(__xludf.DUMMYFUNCTION("""COMPUTED_VALUE"""),0.736)</f>
        <v>0.73599999999999999</v>
      </c>
      <c r="Z52" s="1">
        <f ca="1">IFERROR(__xludf.DUMMYFUNCTION("""COMPUTED_VALUE"""),364)</f>
        <v>364</v>
      </c>
      <c r="AA52" s="1">
        <f ca="1">IFERROR(__xludf.DUMMYFUNCTION("""COMPUTED_VALUE"""),1120)</f>
        <v>1120</v>
      </c>
      <c r="AB52" s="1">
        <f ca="1">IFERROR(__xludf.DUMMYFUNCTION("""COMPUTED_VALUE"""),601)</f>
        <v>601</v>
      </c>
      <c r="AC52" s="1">
        <f ca="1">IFERROR(__xludf.DUMMYFUNCTION("""COMPUTED_VALUE"""),230)</f>
        <v>230</v>
      </c>
      <c r="AD52" s="1">
        <f ca="1">IFERROR(__xludf.DUMMYFUNCTION("""COMPUTED_VALUE"""),64)</f>
        <v>64</v>
      </c>
      <c r="AE52" s="1">
        <f ca="1">IFERROR(__xludf.DUMMYFUNCTION("""COMPUTED_VALUE"""),446)</f>
        <v>446</v>
      </c>
      <c r="AF52" s="1">
        <f ca="1">IFERROR(__xludf.DUMMYFUNCTION("""COMPUTED_VALUE"""),659)</f>
        <v>659</v>
      </c>
    </row>
    <row r="53" spans="1:32" ht="12.5" x14ac:dyDescent="0.25">
      <c r="A53" s="1" t="str">
        <f ca="1">IFERROR(__xludf.DUMMYFUNCTION("""COMPUTED_VALUE"""),"Central Arkansas")</f>
        <v>Central Arkansas</v>
      </c>
      <c r="B53" s="1">
        <f ca="1">IFERROR(__xludf.DUMMYFUNCTION("""COMPUTED_VALUE"""),32)</f>
        <v>32</v>
      </c>
      <c r="C53" s="1">
        <f ca="1">IFERROR(__xludf.DUMMYFUNCTION("""COMPUTED_VALUE"""),8)</f>
        <v>8</v>
      </c>
      <c r="D53" s="1">
        <f ca="1">IFERROR(__xludf.DUMMYFUNCTION("""COMPUTED_VALUE"""),24)</f>
        <v>24</v>
      </c>
      <c r="E53" s="1">
        <f ca="1">IFERROR(__xludf.DUMMYFUNCTION("""COMPUTED_VALUE"""),0.25)</f>
        <v>0.25</v>
      </c>
      <c r="F53" s="1">
        <f ca="1">IFERROR(__xludf.DUMMYFUNCTION("""COMPUTED_VALUE"""),-13.04)</f>
        <v>-13.04</v>
      </c>
      <c r="G53" s="1">
        <f ca="1">IFERROR(__xludf.DUMMYFUNCTION("""COMPUTED_VALUE"""),-3.76)</f>
        <v>-3.76</v>
      </c>
      <c r="H53" s="1">
        <f ca="1">IFERROR(__xludf.DUMMYFUNCTION("""COMPUTED_VALUE"""),7)</f>
        <v>7</v>
      </c>
      <c r="I53" s="1">
        <f ca="1">IFERROR(__xludf.DUMMYFUNCTION("""COMPUTED_VALUE"""),11)</f>
        <v>11</v>
      </c>
      <c r="J53" s="1">
        <f ca="1">IFERROR(__xludf.DUMMYFUNCTION("""COMPUTED_VALUE"""),5)</f>
        <v>5</v>
      </c>
      <c r="K53" s="1">
        <f ca="1">IFERROR(__xludf.DUMMYFUNCTION("""COMPUTED_VALUE"""),6)</f>
        <v>6</v>
      </c>
      <c r="L53" s="1">
        <f ca="1">IFERROR(__xludf.DUMMYFUNCTION("""COMPUTED_VALUE"""),3)</f>
        <v>3</v>
      </c>
      <c r="M53" s="1">
        <f ca="1">IFERROR(__xludf.DUMMYFUNCTION("""COMPUTED_VALUE"""),16)</f>
        <v>16</v>
      </c>
      <c r="N53" s="1">
        <f ca="1">IFERROR(__xludf.DUMMYFUNCTION("""COMPUTED_VALUE"""),2395)</f>
        <v>2395</v>
      </c>
      <c r="O53" s="1">
        <f ca="1">IFERROR(__xludf.DUMMYFUNCTION("""COMPUTED_VALUE"""),2692)</f>
        <v>2692</v>
      </c>
      <c r="P53" s="1">
        <f ca="1">IFERROR(__xludf.DUMMYFUNCTION("""COMPUTED_VALUE"""),1295)</f>
        <v>1295</v>
      </c>
      <c r="Q53" s="1">
        <f ca="1">IFERROR(__xludf.DUMMYFUNCTION("""COMPUTED_VALUE"""),836)</f>
        <v>836</v>
      </c>
      <c r="R53" s="1">
        <f ca="1">IFERROR(__xludf.DUMMYFUNCTION("""COMPUTED_VALUE"""),1910)</f>
        <v>1910</v>
      </c>
      <c r="S53" s="1">
        <f ca="1">IFERROR(__xludf.DUMMYFUNCTION("""COMPUTED_VALUE"""),0.438)</f>
        <v>0.438</v>
      </c>
      <c r="T53" s="1">
        <f ca="1">IFERROR(__xludf.DUMMYFUNCTION("""COMPUTED_VALUE"""),230)</f>
        <v>230</v>
      </c>
      <c r="U53" s="1">
        <f ca="1">IFERROR(__xludf.DUMMYFUNCTION("""COMPUTED_VALUE"""),613)</f>
        <v>613</v>
      </c>
      <c r="V53" s="1">
        <f ca="1">IFERROR(__xludf.DUMMYFUNCTION("""COMPUTED_VALUE"""),0.375)</f>
        <v>0.375</v>
      </c>
      <c r="W53" s="1">
        <f ca="1">IFERROR(__xludf.DUMMYFUNCTION("""COMPUTED_VALUE"""),493)</f>
        <v>493</v>
      </c>
      <c r="X53" s="1">
        <f ca="1">IFERROR(__xludf.DUMMYFUNCTION("""COMPUTED_VALUE"""),687)</f>
        <v>687</v>
      </c>
      <c r="Y53" s="1">
        <f ca="1">IFERROR(__xludf.DUMMYFUNCTION("""COMPUTED_VALUE"""),0.718)</f>
        <v>0.71799999999999997</v>
      </c>
      <c r="Z53" s="1">
        <f ca="1">IFERROR(__xludf.DUMMYFUNCTION("""COMPUTED_VALUE"""),337)</f>
        <v>337</v>
      </c>
      <c r="AA53" s="1">
        <f ca="1">IFERROR(__xludf.DUMMYFUNCTION("""COMPUTED_VALUE"""),1151)</f>
        <v>1151</v>
      </c>
      <c r="AB53" s="1">
        <f ca="1">IFERROR(__xludf.DUMMYFUNCTION("""COMPUTED_VALUE"""),465)</f>
        <v>465</v>
      </c>
      <c r="AC53" s="1">
        <f ca="1">IFERROR(__xludf.DUMMYFUNCTION("""COMPUTED_VALUE"""),178)</f>
        <v>178</v>
      </c>
      <c r="AD53" s="1">
        <f ca="1">IFERROR(__xludf.DUMMYFUNCTION("""COMPUTED_VALUE"""),84)</f>
        <v>84</v>
      </c>
      <c r="AE53" s="1">
        <f ca="1">IFERROR(__xludf.DUMMYFUNCTION("""COMPUTED_VALUE"""),446)</f>
        <v>446</v>
      </c>
      <c r="AF53" s="1">
        <f ca="1">IFERROR(__xludf.DUMMYFUNCTION("""COMPUTED_VALUE"""),606)</f>
        <v>606</v>
      </c>
    </row>
    <row r="54" spans="1:32" ht="12.5" x14ac:dyDescent="0.25">
      <c r="A54" s="1" t="str">
        <f ca="1">IFERROR(__xludf.DUMMYFUNCTION("""COMPUTED_VALUE"""),"Central Connecticut State")</f>
        <v>Central Connecticut State</v>
      </c>
      <c r="B54" s="1">
        <f ca="1">IFERROR(__xludf.DUMMYFUNCTION("""COMPUTED_VALUE"""),29)</f>
        <v>29</v>
      </c>
      <c r="C54" s="1">
        <f ca="1">IFERROR(__xludf.DUMMYFUNCTION("""COMPUTED_VALUE"""),6)</f>
        <v>6</v>
      </c>
      <c r="D54" s="1">
        <f ca="1">IFERROR(__xludf.DUMMYFUNCTION("""COMPUTED_VALUE"""),23)</f>
        <v>23</v>
      </c>
      <c r="E54" s="1">
        <f ca="1">IFERROR(__xludf.DUMMYFUNCTION("""COMPUTED_VALUE"""),0.207)</f>
        <v>0.20699999999999999</v>
      </c>
      <c r="F54" s="1">
        <f ca="1">IFERROR(__xludf.DUMMYFUNCTION("""COMPUTED_VALUE"""),-17.51)</f>
        <v>-17.510000000000002</v>
      </c>
      <c r="G54" s="1">
        <f ca="1">IFERROR(__xludf.DUMMYFUNCTION("""COMPUTED_VALUE"""),-7.68)</f>
        <v>-7.68</v>
      </c>
      <c r="H54" s="1">
        <f ca="1">IFERROR(__xludf.DUMMYFUNCTION("""COMPUTED_VALUE"""),4)</f>
        <v>4</v>
      </c>
      <c r="I54" s="1">
        <f ca="1">IFERROR(__xludf.DUMMYFUNCTION("""COMPUTED_VALUE"""),14)</f>
        <v>14</v>
      </c>
      <c r="J54" s="1">
        <f ca="1">IFERROR(__xludf.DUMMYFUNCTION("""COMPUTED_VALUE"""),3)</f>
        <v>3</v>
      </c>
      <c r="K54" s="1">
        <f ca="1">IFERROR(__xludf.DUMMYFUNCTION("""COMPUTED_VALUE"""),9)</f>
        <v>9</v>
      </c>
      <c r="L54" s="1">
        <f ca="1">IFERROR(__xludf.DUMMYFUNCTION("""COMPUTED_VALUE"""),3)</f>
        <v>3</v>
      </c>
      <c r="M54" s="1">
        <f ca="1">IFERROR(__xludf.DUMMYFUNCTION("""COMPUTED_VALUE"""),14)</f>
        <v>14</v>
      </c>
      <c r="N54" s="1">
        <f ca="1">IFERROR(__xludf.DUMMYFUNCTION("""COMPUTED_VALUE"""),1827)</f>
        <v>1827</v>
      </c>
      <c r="O54" s="1">
        <f ca="1">IFERROR(__xludf.DUMMYFUNCTION("""COMPUTED_VALUE"""),2112)</f>
        <v>2112</v>
      </c>
      <c r="P54" s="1">
        <f ca="1">IFERROR(__xludf.DUMMYFUNCTION("""COMPUTED_VALUE"""),1170)</f>
        <v>1170</v>
      </c>
      <c r="Q54" s="1">
        <f ca="1">IFERROR(__xludf.DUMMYFUNCTION("""COMPUTED_VALUE"""),675)</f>
        <v>675</v>
      </c>
      <c r="R54" s="1">
        <f ca="1">IFERROR(__xludf.DUMMYFUNCTION("""COMPUTED_VALUE"""),1602)</f>
        <v>1602</v>
      </c>
      <c r="S54" s="1">
        <f ca="1">IFERROR(__xludf.DUMMYFUNCTION("""COMPUTED_VALUE"""),0.421)</f>
        <v>0.42099999999999999</v>
      </c>
      <c r="T54" s="1">
        <f ca="1">IFERROR(__xludf.DUMMYFUNCTION("""COMPUTED_VALUE"""),146)</f>
        <v>146</v>
      </c>
      <c r="U54" s="1">
        <f ca="1">IFERROR(__xludf.DUMMYFUNCTION("""COMPUTED_VALUE"""),418)</f>
        <v>418</v>
      </c>
      <c r="V54" s="1">
        <f ca="1">IFERROR(__xludf.DUMMYFUNCTION("""COMPUTED_VALUE"""),0.349)</f>
        <v>0.34899999999999998</v>
      </c>
      <c r="W54" s="1">
        <f ca="1">IFERROR(__xludf.DUMMYFUNCTION("""COMPUTED_VALUE"""),331)</f>
        <v>331</v>
      </c>
      <c r="X54" s="1">
        <f ca="1">IFERROR(__xludf.DUMMYFUNCTION("""COMPUTED_VALUE"""),534)</f>
        <v>534</v>
      </c>
      <c r="Y54" s="1">
        <f ca="1">IFERROR(__xludf.DUMMYFUNCTION("""COMPUTED_VALUE"""),0.62)</f>
        <v>0.62</v>
      </c>
      <c r="Z54" s="1">
        <f ca="1">IFERROR(__xludf.DUMMYFUNCTION("""COMPUTED_VALUE"""),332)</f>
        <v>332</v>
      </c>
      <c r="AA54" s="1">
        <f ca="1">IFERROR(__xludf.DUMMYFUNCTION("""COMPUTED_VALUE"""),966)</f>
        <v>966</v>
      </c>
      <c r="AB54" s="1">
        <f ca="1">IFERROR(__xludf.DUMMYFUNCTION("""COMPUTED_VALUE"""),341)</f>
        <v>341</v>
      </c>
      <c r="AC54" s="1">
        <f ca="1">IFERROR(__xludf.DUMMYFUNCTION("""COMPUTED_VALUE"""),166)</f>
        <v>166</v>
      </c>
      <c r="AD54" s="1">
        <f ca="1">IFERROR(__xludf.DUMMYFUNCTION("""COMPUTED_VALUE"""),68)</f>
        <v>68</v>
      </c>
      <c r="AE54" s="1">
        <f ca="1">IFERROR(__xludf.DUMMYFUNCTION("""COMPUTED_VALUE"""),413)</f>
        <v>413</v>
      </c>
      <c r="AF54" s="1">
        <f ca="1">IFERROR(__xludf.DUMMYFUNCTION("""COMPUTED_VALUE"""),539)</f>
        <v>539</v>
      </c>
    </row>
    <row r="55" spans="1:32" ht="12.5" x14ac:dyDescent="0.25">
      <c r="A55" s="1" t="str">
        <f ca="1">IFERROR(__xludf.DUMMYFUNCTION("""COMPUTED_VALUE"""),"Central Florida")</f>
        <v>Central Florida</v>
      </c>
      <c r="B55" s="1">
        <f ca="1">IFERROR(__xludf.DUMMYFUNCTION("""COMPUTED_VALUE"""),36)</f>
        <v>36</v>
      </c>
      <c r="C55" s="1">
        <f ca="1">IFERROR(__xludf.DUMMYFUNCTION("""COMPUTED_VALUE"""),24)</f>
        <v>24</v>
      </c>
      <c r="D55" s="1">
        <f ca="1">IFERROR(__xludf.DUMMYFUNCTION("""COMPUTED_VALUE"""),12)</f>
        <v>12</v>
      </c>
      <c r="E55" s="1">
        <f ca="1">IFERROR(__xludf.DUMMYFUNCTION("""COMPUTED_VALUE"""),0.667)</f>
        <v>0.66700000000000004</v>
      </c>
      <c r="F55" s="1">
        <f ca="1">IFERROR(__xludf.DUMMYFUNCTION("""COMPUTED_VALUE"""),9.58)</f>
        <v>9.58</v>
      </c>
      <c r="G55" s="1">
        <f ca="1">IFERROR(__xludf.DUMMYFUNCTION("""COMPUTED_VALUE"""),3.69)</f>
        <v>3.69</v>
      </c>
      <c r="H55" s="1">
        <f ca="1">IFERROR(__xludf.DUMMYFUNCTION("""COMPUTED_VALUE"""),11)</f>
        <v>11</v>
      </c>
      <c r="I55" s="1">
        <f ca="1">IFERROR(__xludf.DUMMYFUNCTION("""COMPUTED_VALUE"""),7)</f>
        <v>7</v>
      </c>
      <c r="J55" s="1">
        <f ca="1">IFERROR(__xludf.DUMMYFUNCTION("""COMPUTED_VALUE"""),15)</f>
        <v>15</v>
      </c>
      <c r="K55" s="1">
        <f ca="1">IFERROR(__xludf.DUMMYFUNCTION("""COMPUTED_VALUE"""),3)</f>
        <v>3</v>
      </c>
      <c r="L55" s="1">
        <f ca="1">IFERROR(__xludf.DUMMYFUNCTION("""COMPUTED_VALUE"""),6)</f>
        <v>6</v>
      </c>
      <c r="M55" s="1">
        <f ca="1">IFERROR(__xludf.DUMMYFUNCTION("""COMPUTED_VALUE"""),6)</f>
        <v>6</v>
      </c>
      <c r="N55" s="1">
        <f ca="1">IFERROR(__xludf.DUMMYFUNCTION("""COMPUTED_VALUE"""),2414)</f>
        <v>2414</v>
      </c>
      <c r="O55" s="1">
        <f ca="1">IFERROR(__xludf.DUMMYFUNCTION("""COMPUTED_VALUE"""),2202)</f>
        <v>2202</v>
      </c>
      <c r="P55" s="1">
        <f ca="1">IFERROR(__xludf.DUMMYFUNCTION("""COMPUTED_VALUE"""),1445)</f>
        <v>1445</v>
      </c>
      <c r="Q55" s="1">
        <f ca="1">IFERROR(__xludf.DUMMYFUNCTION("""COMPUTED_VALUE"""),825)</f>
        <v>825</v>
      </c>
      <c r="R55" s="1">
        <f ca="1">IFERROR(__xludf.DUMMYFUNCTION("""COMPUTED_VALUE"""),1898)</f>
        <v>1898</v>
      </c>
      <c r="S55" s="1">
        <f ca="1">IFERROR(__xludf.DUMMYFUNCTION("""COMPUTED_VALUE"""),0.435)</f>
        <v>0.435</v>
      </c>
      <c r="T55" s="1">
        <f ca="1">IFERROR(__xludf.DUMMYFUNCTION("""COMPUTED_VALUE"""),263)</f>
        <v>263</v>
      </c>
      <c r="U55" s="1">
        <f ca="1">IFERROR(__xludf.DUMMYFUNCTION("""COMPUTED_VALUE"""),748)</f>
        <v>748</v>
      </c>
      <c r="V55" s="1">
        <f ca="1">IFERROR(__xludf.DUMMYFUNCTION("""COMPUTED_VALUE"""),0.352)</f>
        <v>0.35199999999999998</v>
      </c>
      <c r="W55" s="1">
        <f ca="1">IFERROR(__xludf.DUMMYFUNCTION("""COMPUTED_VALUE"""),501)</f>
        <v>501</v>
      </c>
      <c r="X55" s="1">
        <f ca="1">IFERROR(__xludf.DUMMYFUNCTION("""COMPUTED_VALUE"""),758)</f>
        <v>758</v>
      </c>
      <c r="Y55" s="1">
        <f ca="1">IFERROR(__xludf.DUMMYFUNCTION("""COMPUTED_VALUE"""),0.661)</f>
        <v>0.66100000000000003</v>
      </c>
      <c r="Z55" s="1">
        <f ca="1">IFERROR(__xludf.DUMMYFUNCTION("""COMPUTED_VALUE"""),389)</f>
        <v>389</v>
      </c>
      <c r="AA55" s="1">
        <f ca="1">IFERROR(__xludf.DUMMYFUNCTION("""COMPUTED_VALUE"""),1471)</f>
        <v>1471</v>
      </c>
      <c r="AB55" s="1">
        <f ca="1">IFERROR(__xludf.DUMMYFUNCTION("""COMPUTED_VALUE"""),400)</f>
        <v>400</v>
      </c>
      <c r="AC55" s="1">
        <f ca="1">IFERROR(__xludf.DUMMYFUNCTION("""COMPUTED_VALUE"""),144)</f>
        <v>144</v>
      </c>
      <c r="AD55" s="1">
        <f ca="1">IFERROR(__xludf.DUMMYFUNCTION("""COMPUTED_VALUE"""),145)</f>
        <v>145</v>
      </c>
      <c r="AE55" s="1">
        <f ca="1">IFERROR(__xludf.DUMMYFUNCTION("""COMPUTED_VALUE"""),525)</f>
        <v>525</v>
      </c>
      <c r="AF55" s="1">
        <f ca="1">IFERROR(__xludf.DUMMYFUNCTION("""COMPUTED_VALUE"""),548)</f>
        <v>548</v>
      </c>
    </row>
    <row r="56" spans="1:32" ht="12.5" x14ac:dyDescent="0.25">
      <c r="A56" s="1" t="str">
        <f ca="1">IFERROR(__xludf.DUMMYFUNCTION("""COMPUTED_VALUE"""),"Central Michigan")</f>
        <v>Central Michigan</v>
      </c>
      <c r="B56" s="1">
        <f ca="1">IFERROR(__xludf.DUMMYFUNCTION("""COMPUTED_VALUE"""),32)</f>
        <v>32</v>
      </c>
      <c r="C56" s="1">
        <f ca="1">IFERROR(__xludf.DUMMYFUNCTION("""COMPUTED_VALUE"""),16)</f>
        <v>16</v>
      </c>
      <c r="D56" s="1">
        <f ca="1">IFERROR(__xludf.DUMMYFUNCTION("""COMPUTED_VALUE"""),16)</f>
        <v>16</v>
      </c>
      <c r="E56" s="1">
        <f ca="1">IFERROR(__xludf.DUMMYFUNCTION("""COMPUTED_VALUE"""),0.5)</f>
        <v>0.5</v>
      </c>
      <c r="F56" s="1">
        <f ca="1">IFERROR(__xludf.DUMMYFUNCTION("""COMPUTED_VALUE"""),-5.76)</f>
        <v>-5.76</v>
      </c>
      <c r="G56" s="1">
        <f ca="1">IFERROR(__xludf.DUMMYFUNCTION("""COMPUTED_VALUE"""),-2.63)</f>
        <v>-2.63</v>
      </c>
      <c r="H56" s="1">
        <f ca="1">IFERROR(__xludf.DUMMYFUNCTION("""COMPUTED_VALUE"""),6)</f>
        <v>6</v>
      </c>
      <c r="I56" s="1">
        <f ca="1">IFERROR(__xludf.DUMMYFUNCTION("""COMPUTED_VALUE"""),12)</f>
        <v>12</v>
      </c>
      <c r="J56" s="1">
        <f ca="1">IFERROR(__xludf.DUMMYFUNCTION("""COMPUTED_VALUE"""),10)</f>
        <v>10</v>
      </c>
      <c r="K56" s="1">
        <f ca="1">IFERROR(__xludf.DUMMYFUNCTION("""COMPUTED_VALUE"""),5)</f>
        <v>5</v>
      </c>
      <c r="L56" s="1">
        <f ca="1">IFERROR(__xludf.DUMMYFUNCTION("""COMPUTED_VALUE"""),5)</f>
        <v>5</v>
      </c>
      <c r="M56" s="1">
        <f ca="1">IFERROR(__xludf.DUMMYFUNCTION("""COMPUTED_VALUE"""),9)</f>
        <v>9</v>
      </c>
      <c r="N56" s="1">
        <f ca="1">IFERROR(__xludf.DUMMYFUNCTION("""COMPUTED_VALUE"""),2826)</f>
        <v>2826</v>
      </c>
      <c r="O56" s="1">
        <f ca="1">IFERROR(__xludf.DUMMYFUNCTION("""COMPUTED_VALUE"""),2807)</f>
        <v>2807</v>
      </c>
      <c r="P56" s="1">
        <f ca="1">IFERROR(__xludf.DUMMYFUNCTION("""COMPUTED_VALUE"""),1295)</f>
        <v>1295</v>
      </c>
      <c r="Q56" s="1">
        <f ca="1">IFERROR(__xludf.DUMMYFUNCTION("""COMPUTED_VALUE"""),912)</f>
        <v>912</v>
      </c>
      <c r="R56" s="1">
        <f ca="1">IFERROR(__xludf.DUMMYFUNCTION("""COMPUTED_VALUE"""),2153)</f>
        <v>2153</v>
      </c>
      <c r="S56" s="1">
        <f ca="1">IFERROR(__xludf.DUMMYFUNCTION("""COMPUTED_VALUE"""),0.424)</f>
        <v>0.42399999999999999</v>
      </c>
      <c r="T56" s="1">
        <f ca="1">IFERROR(__xludf.DUMMYFUNCTION("""COMPUTED_VALUE"""),399)</f>
        <v>399</v>
      </c>
      <c r="U56" s="1">
        <f ca="1">IFERROR(__xludf.DUMMYFUNCTION("""COMPUTED_VALUE"""),1115)</f>
        <v>1115</v>
      </c>
      <c r="V56" s="1">
        <f ca="1">IFERROR(__xludf.DUMMYFUNCTION("""COMPUTED_VALUE"""),0.358)</f>
        <v>0.35799999999999998</v>
      </c>
      <c r="W56" s="1">
        <f ca="1">IFERROR(__xludf.DUMMYFUNCTION("""COMPUTED_VALUE"""),603)</f>
        <v>603</v>
      </c>
      <c r="X56" s="1">
        <f ca="1">IFERROR(__xludf.DUMMYFUNCTION("""COMPUTED_VALUE"""),762)</f>
        <v>762</v>
      </c>
      <c r="Y56" s="1">
        <f ca="1">IFERROR(__xludf.DUMMYFUNCTION("""COMPUTED_VALUE"""),0.791)</f>
        <v>0.79100000000000004</v>
      </c>
      <c r="Z56" s="1">
        <f ca="1">IFERROR(__xludf.DUMMYFUNCTION("""COMPUTED_VALUE"""),364)</f>
        <v>364</v>
      </c>
      <c r="AA56" s="1">
        <f ca="1">IFERROR(__xludf.DUMMYFUNCTION("""COMPUTED_VALUE"""),1244)</f>
        <v>1244</v>
      </c>
      <c r="AB56" s="1">
        <f ca="1">IFERROR(__xludf.DUMMYFUNCTION("""COMPUTED_VALUE"""),362)</f>
        <v>362</v>
      </c>
      <c r="AC56" s="1">
        <f ca="1">IFERROR(__xludf.DUMMYFUNCTION("""COMPUTED_VALUE"""),181)</f>
        <v>181</v>
      </c>
      <c r="AD56" s="1">
        <f ca="1">IFERROR(__xludf.DUMMYFUNCTION("""COMPUTED_VALUE"""),93)</f>
        <v>93</v>
      </c>
      <c r="AE56" s="1">
        <f ca="1">IFERROR(__xludf.DUMMYFUNCTION("""COMPUTED_VALUE"""),362)</f>
        <v>362</v>
      </c>
      <c r="AF56" s="1">
        <f ca="1">IFERROR(__xludf.DUMMYFUNCTION("""COMPUTED_VALUE"""),612)</f>
        <v>612</v>
      </c>
    </row>
    <row r="57" spans="1:32" ht="12.5" x14ac:dyDescent="0.25">
      <c r="A57" s="1" t="str">
        <f ca="1">IFERROR(__xludf.DUMMYFUNCTION("""COMPUTED_VALUE"""),"Charleston Southern")</f>
        <v>Charleston Southern</v>
      </c>
      <c r="B57" s="1">
        <f ca="1">IFERROR(__xludf.DUMMYFUNCTION("""COMPUTED_VALUE"""),31)</f>
        <v>31</v>
      </c>
      <c r="C57" s="1">
        <f ca="1">IFERROR(__xludf.DUMMYFUNCTION("""COMPUTED_VALUE"""),12)</f>
        <v>12</v>
      </c>
      <c r="D57" s="1">
        <f ca="1">IFERROR(__xludf.DUMMYFUNCTION("""COMPUTED_VALUE"""),19)</f>
        <v>19</v>
      </c>
      <c r="E57" s="1">
        <f ca="1">IFERROR(__xludf.DUMMYFUNCTION("""COMPUTED_VALUE"""),0.387)</f>
        <v>0.38700000000000001</v>
      </c>
      <c r="F57" s="1">
        <f ca="1">IFERROR(__xludf.DUMMYFUNCTION("""COMPUTED_VALUE"""),-12.28)</f>
        <v>-12.28</v>
      </c>
      <c r="G57" s="1">
        <f ca="1">IFERROR(__xludf.DUMMYFUNCTION("""COMPUTED_VALUE"""),-6.21)</f>
        <v>-6.21</v>
      </c>
      <c r="H57" s="1">
        <f ca="1">IFERROR(__xludf.DUMMYFUNCTION("""COMPUTED_VALUE"""),7)</f>
        <v>7</v>
      </c>
      <c r="I57" s="1">
        <f ca="1">IFERROR(__xludf.DUMMYFUNCTION("""COMPUTED_VALUE"""),11)</f>
        <v>11</v>
      </c>
      <c r="J57" s="1">
        <f ca="1">IFERROR(__xludf.DUMMYFUNCTION("""COMPUTED_VALUE"""),9)</f>
        <v>9</v>
      </c>
      <c r="K57" s="1">
        <f ca="1">IFERROR(__xludf.DUMMYFUNCTION("""COMPUTED_VALUE"""),6)</f>
        <v>6</v>
      </c>
      <c r="L57" s="1">
        <f ca="1">IFERROR(__xludf.DUMMYFUNCTION("""COMPUTED_VALUE"""),3)</f>
        <v>3</v>
      </c>
      <c r="M57" s="1">
        <f ca="1">IFERROR(__xludf.DUMMYFUNCTION("""COMPUTED_VALUE"""),12)</f>
        <v>12</v>
      </c>
      <c r="N57" s="1">
        <f ca="1">IFERROR(__xludf.DUMMYFUNCTION("""COMPUTED_VALUE"""),2304)</f>
        <v>2304</v>
      </c>
      <c r="O57" s="1">
        <f ca="1">IFERROR(__xludf.DUMMYFUNCTION("""COMPUTED_VALUE"""),2343)</f>
        <v>2343</v>
      </c>
      <c r="P57" s="1">
        <f ca="1">IFERROR(__xludf.DUMMYFUNCTION("""COMPUTED_VALUE"""),1255)</f>
        <v>1255</v>
      </c>
      <c r="Q57" s="1">
        <f ca="1">IFERROR(__xludf.DUMMYFUNCTION("""COMPUTED_VALUE"""),824)</f>
        <v>824</v>
      </c>
      <c r="R57" s="1">
        <f ca="1">IFERROR(__xludf.DUMMYFUNCTION("""COMPUTED_VALUE"""),1868)</f>
        <v>1868</v>
      </c>
      <c r="S57" s="1">
        <f ca="1">IFERROR(__xludf.DUMMYFUNCTION("""COMPUTED_VALUE"""),0.441)</f>
        <v>0.441</v>
      </c>
      <c r="T57" s="1">
        <f ca="1">IFERROR(__xludf.DUMMYFUNCTION("""COMPUTED_VALUE"""),228)</f>
        <v>228</v>
      </c>
      <c r="U57" s="1">
        <f ca="1">IFERROR(__xludf.DUMMYFUNCTION("""COMPUTED_VALUE"""),669)</f>
        <v>669</v>
      </c>
      <c r="V57" s="1">
        <f ca="1">IFERROR(__xludf.DUMMYFUNCTION("""COMPUTED_VALUE"""),0.341)</f>
        <v>0.34100000000000003</v>
      </c>
      <c r="W57" s="1">
        <f ca="1">IFERROR(__xludf.DUMMYFUNCTION("""COMPUTED_VALUE"""),428)</f>
        <v>428</v>
      </c>
      <c r="X57" s="1">
        <f ca="1">IFERROR(__xludf.DUMMYFUNCTION("""COMPUTED_VALUE"""),643)</f>
        <v>643</v>
      </c>
      <c r="Y57" s="1">
        <f ca="1">IFERROR(__xludf.DUMMYFUNCTION("""COMPUTED_VALUE"""),0.666)</f>
        <v>0.66600000000000004</v>
      </c>
      <c r="Z57" s="1">
        <f ca="1">IFERROR(__xludf.DUMMYFUNCTION("""COMPUTED_VALUE"""),336)</f>
        <v>336</v>
      </c>
      <c r="AA57" s="1">
        <f ca="1">IFERROR(__xludf.DUMMYFUNCTION("""COMPUTED_VALUE"""),1092)</f>
        <v>1092</v>
      </c>
      <c r="AB57" s="1">
        <f ca="1">IFERROR(__xludf.DUMMYFUNCTION("""COMPUTED_VALUE"""),341)</f>
        <v>341</v>
      </c>
      <c r="AC57" s="1">
        <f ca="1">IFERROR(__xludf.DUMMYFUNCTION("""COMPUTED_VALUE"""),176)</f>
        <v>176</v>
      </c>
      <c r="AD57" s="1">
        <f ca="1">IFERROR(__xludf.DUMMYFUNCTION("""COMPUTED_VALUE"""),89)</f>
        <v>89</v>
      </c>
      <c r="AE57" s="1">
        <f ca="1">IFERROR(__xludf.DUMMYFUNCTION("""COMPUTED_VALUE"""),358)</f>
        <v>358</v>
      </c>
      <c r="AF57" s="1">
        <f ca="1">IFERROR(__xludf.DUMMYFUNCTION("""COMPUTED_VALUE"""),620)</f>
        <v>620</v>
      </c>
    </row>
    <row r="58" spans="1:32" ht="12.5" x14ac:dyDescent="0.25">
      <c r="A58" s="1" t="str">
        <f ca="1">IFERROR(__xludf.DUMMYFUNCTION("""COMPUTED_VALUE"""),"Charlotte")</f>
        <v>Charlotte</v>
      </c>
      <c r="B58" s="1">
        <f ca="1">IFERROR(__xludf.DUMMYFUNCTION("""COMPUTED_VALUE"""),30)</f>
        <v>30</v>
      </c>
      <c r="C58" s="1">
        <f ca="1">IFERROR(__xludf.DUMMYFUNCTION("""COMPUTED_VALUE"""),13)</f>
        <v>13</v>
      </c>
      <c r="D58" s="1">
        <f ca="1">IFERROR(__xludf.DUMMYFUNCTION("""COMPUTED_VALUE"""),17)</f>
        <v>17</v>
      </c>
      <c r="E58" s="1">
        <f ca="1">IFERROR(__xludf.DUMMYFUNCTION("""COMPUTED_VALUE"""),0.433)</f>
        <v>0.433</v>
      </c>
      <c r="F58" s="1">
        <f ca="1">IFERROR(__xludf.DUMMYFUNCTION("""COMPUTED_VALUE"""),-5.24)</f>
        <v>-5.24</v>
      </c>
      <c r="G58" s="1">
        <f ca="1">IFERROR(__xludf.DUMMYFUNCTION("""COMPUTED_VALUE"""),-0.93)</f>
        <v>-0.93</v>
      </c>
      <c r="H58" s="1">
        <f ca="1">IFERROR(__xludf.DUMMYFUNCTION("""COMPUTED_VALUE"""),7)</f>
        <v>7</v>
      </c>
      <c r="I58" s="1">
        <f ca="1">IFERROR(__xludf.DUMMYFUNCTION("""COMPUTED_VALUE"""),11)</f>
        <v>11</v>
      </c>
      <c r="J58" s="1">
        <f ca="1">IFERROR(__xludf.DUMMYFUNCTION("""COMPUTED_VALUE"""),10)</f>
        <v>10</v>
      </c>
      <c r="K58" s="1">
        <f ca="1">IFERROR(__xludf.DUMMYFUNCTION("""COMPUTED_VALUE"""),5)</f>
        <v>5</v>
      </c>
      <c r="L58" s="1">
        <f ca="1">IFERROR(__xludf.DUMMYFUNCTION("""COMPUTED_VALUE"""),3)</f>
        <v>3</v>
      </c>
      <c r="M58" s="1">
        <f ca="1">IFERROR(__xludf.DUMMYFUNCTION("""COMPUTED_VALUE"""),9)</f>
        <v>9</v>
      </c>
      <c r="N58" s="1">
        <f ca="1">IFERROR(__xludf.DUMMYFUNCTION("""COMPUTED_VALUE"""),2295)</f>
        <v>2295</v>
      </c>
      <c r="O58" s="1">
        <f ca="1">IFERROR(__xludf.DUMMYFUNCTION("""COMPUTED_VALUE"""),2407)</f>
        <v>2407</v>
      </c>
      <c r="P58" s="1">
        <f ca="1">IFERROR(__xludf.DUMMYFUNCTION("""COMPUTED_VALUE"""),1205)</f>
        <v>1205</v>
      </c>
      <c r="Q58" s="1">
        <f ca="1">IFERROR(__xludf.DUMMYFUNCTION("""COMPUTED_VALUE"""),800)</f>
        <v>800</v>
      </c>
      <c r="R58" s="1">
        <f ca="1">IFERROR(__xludf.DUMMYFUNCTION("""COMPUTED_VALUE"""),1803)</f>
        <v>1803</v>
      </c>
      <c r="S58" s="1">
        <f ca="1">IFERROR(__xludf.DUMMYFUNCTION("""COMPUTED_VALUE"""),0.444)</f>
        <v>0.44400000000000001</v>
      </c>
      <c r="T58" s="1">
        <f ca="1">IFERROR(__xludf.DUMMYFUNCTION("""COMPUTED_VALUE"""),237)</f>
        <v>237</v>
      </c>
      <c r="U58" s="1">
        <f ca="1">IFERROR(__xludf.DUMMYFUNCTION("""COMPUTED_VALUE"""),630)</f>
        <v>630</v>
      </c>
      <c r="V58" s="1">
        <f ca="1">IFERROR(__xludf.DUMMYFUNCTION("""COMPUTED_VALUE"""),0.376)</f>
        <v>0.376</v>
      </c>
      <c r="W58" s="1">
        <f ca="1">IFERROR(__xludf.DUMMYFUNCTION("""COMPUTED_VALUE"""),458)</f>
        <v>458</v>
      </c>
      <c r="X58" s="1">
        <f ca="1">IFERROR(__xludf.DUMMYFUNCTION("""COMPUTED_VALUE"""),614)</f>
        <v>614</v>
      </c>
      <c r="Y58" s="1">
        <f ca="1">IFERROR(__xludf.DUMMYFUNCTION("""COMPUTED_VALUE"""),0.746)</f>
        <v>0.746</v>
      </c>
      <c r="Z58" s="1">
        <f ca="1">IFERROR(__xludf.DUMMYFUNCTION("""COMPUTED_VALUE"""),224)</f>
        <v>224</v>
      </c>
      <c r="AA58" s="1">
        <f ca="1">IFERROR(__xludf.DUMMYFUNCTION("""COMPUTED_VALUE"""),979)</f>
        <v>979</v>
      </c>
      <c r="AB58" s="1">
        <f ca="1">IFERROR(__xludf.DUMMYFUNCTION("""COMPUTED_VALUE"""),361)</f>
        <v>361</v>
      </c>
      <c r="AC58" s="1">
        <f ca="1">IFERROR(__xludf.DUMMYFUNCTION("""COMPUTED_VALUE"""),190)</f>
        <v>190</v>
      </c>
      <c r="AD58" s="1">
        <f ca="1">IFERROR(__xludf.DUMMYFUNCTION("""COMPUTED_VALUE"""),94)</f>
        <v>94</v>
      </c>
      <c r="AE58" s="1">
        <f ca="1">IFERROR(__xludf.DUMMYFUNCTION("""COMPUTED_VALUE"""),366)</f>
        <v>366</v>
      </c>
      <c r="AF58" s="1">
        <f ca="1">IFERROR(__xludf.DUMMYFUNCTION("""COMPUTED_VALUE"""),578)</f>
        <v>578</v>
      </c>
    </row>
    <row r="59" spans="1:32" ht="12.5" x14ac:dyDescent="0.25">
      <c r="A59" s="1" t="str">
        <f ca="1">IFERROR(__xludf.DUMMYFUNCTION("""COMPUTED_VALUE"""),"Chattanooga")</f>
        <v>Chattanooga</v>
      </c>
      <c r="B59" s="1">
        <f ca="1">IFERROR(__xludf.DUMMYFUNCTION("""COMPUTED_VALUE"""),31)</f>
        <v>31</v>
      </c>
      <c r="C59" s="1">
        <f ca="1">IFERROR(__xludf.DUMMYFUNCTION("""COMPUTED_VALUE"""),19)</f>
        <v>19</v>
      </c>
      <c r="D59" s="1">
        <f ca="1">IFERROR(__xludf.DUMMYFUNCTION("""COMPUTED_VALUE"""),12)</f>
        <v>12</v>
      </c>
      <c r="E59" s="1">
        <f ca="1">IFERROR(__xludf.DUMMYFUNCTION("""COMPUTED_VALUE"""),0.613)</f>
        <v>0.61299999999999999</v>
      </c>
      <c r="F59" s="1">
        <f ca="1">IFERROR(__xludf.DUMMYFUNCTION("""COMPUTED_VALUE"""),1.1)</f>
        <v>1.1000000000000001</v>
      </c>
      <c r="G59" s="1">
        <f ca="1">IFERROR(__xludf.DUMMYFUNCTION("""COMPUTED_VALUE"""),-2.08)</f>
        <v>-2.08</v>
      </c>
      <c r="H59" s="1">
        <f ca="1">IFERROR(__xludf.DUMMYFUNCTION("""COMPUTED_VALUE"""),10)</f>
        <v>10</v>
      </c>
      <c r="I59" s="1">
        <f ca="1">IFERROR(__xludf.DUMMYFUNCTION("""COMPUTED_VALUE"""),8)</f>
        <v>8</v>
      </c>
      <c r="J59" s="1">
        <f ca="1">IFERROR(__xludf.DUMMYFUNCTION("""COMPUTED_VALUE"""),11)</f>
        <v>11</v>
      </c>
      <c r="K59" s="1">
        <f ca="1">IFERROR(__xludf.DUMMYFUNCTION("""COMPUTED_VALUE"""),3)</f>
        <v>3</v>
      </c>
      <c r="L59" s="1">
        <f ca="1">IFERROR(__xludf.DUMMYFUNCTION("""COMPUTED_VALUE"""),7)</f>
        <v>7</v>
      </c>
      <c r="M59" s="1">
        <f ca="1">IFERROR(__xludf.DUMMYFUNCTION("""COMPUTED_VALUE"""),7)</f>
        <v>7</v>
      </c>
      <c r="N59" s="1">
        <f ca="1">IFERROR(__xludf.DUMMYFUNCTION("""COMPUTED_VALUE"""),2314)</f>
        <v>2314</v>
      </c>
      <c r="O59" s="1">
        <f ca="1">IFERROR(__xludf.DUMMYFUNCTION("""COMPUTED_VALUE"""),2132)</f>
        <v>2132</v>
      </c>
      <c r="P59" s="1">
        <f ca="1">IFERROR(__xludf.DUMMYFUNCTION("""COMPUTED_VALUE"""),1245)</f>
        <v>1245</v>
      </c>
      <c r="Q59" s="1">
        <f ca="1">IFERROR(__xludf.DUMMYFUNCTION("""COMPUTED_VALUE"""),801)</f>
        <v>801</v>
      </c>
      <c r="R59" s="1">
        <f ca="1">IFERROR(__xludf.DUMMYFUNCTION("""COMPUTED_VALUE"""),1718)</f>
        <v>1718</v>
      </c>
      <c r="S59" s="1">
        <f ca="1">IFERROR(__xludf.DUMMYFUNCTION("""COMPUTED_VALUE"""),0.466)</f>
        <v>0.46600000000000003</v>
      </c>
      <c r="T59" s="1">
        <f ca="1">IFERROR(__xludf.DUMMYFUNCTION("""COMPUTED_VALUE"""),231)</f>
        <v>231</v>
      </c>
      <c r="U59" s="1">
        <f ca="1">IFERROR(__xludf.DUMMYFUNCTION("""COMPUTED_VALUE"""),667)</f>
        <v>667</v>
      </c>
      <c r="V59" s="1">
        <f ca="1">IFERROR(__xludf.DUMMYFUNCTION("""COMPUTED_VALUE"""),0.346)</f>
        <v>0.34599999999999997</v>
      </c>
      <c r="W59" s="1">
        <f ca="1">IFERROR(__xludf.DUMMYFUNCTION("""COMPUTED_VALUE"""),481)</f>
        <v>481</v>
      </c>
      <c r="X59" s="1">
        <f ca="1">IFERROR(__xludf.DUMMYFUNCTION("""COMPUTED_VALUE"""),677)</f>
        <v>677</v>
      </c>
      <c r="Y59" s="1">
        <f ca="1">IFERROR(__xludf.DUMMYFUNCTION("""COMPUTED_VALUE"""),0.71)</f>
        <v>0.71</v>
      </c>
      <c r="Z59" s="1">
        <f ca="1">IFERROR(__xludf.DUMMYFUNCTION("""COMPUTED_VALUE"""),322)</f>
        <v>322</v>
      </c>
      <c r="AA59" s="1">
        <f ca="1">IFERROR(__xludf.DUMMYFUNCTION("""COMPUTED_VALUE"""),1005)</f>
        <v>1005</v>
      </c>
      <c r="AB59" s="1">
        <f ca="1">IFERROR(__xludf.DUMMYFUNCTION("""COMPUTED_VALUE"""),377)</f>
        <v>377</v>
      </c>
      <c r="AC59" s="1">
        <f ca="1">IFERROR(__xludf.DUMMYFUNCTION("""COMPUTED_VALUE"""),241)</f>
        <v>241</v>
      </c>
      <c r="AD59" s="1">
        <f ca="1">IFERROR(__xludf.DUMMYFUNCTION("""COMPUTED_VALUE"""),145)</f>
        <v>145</v>
      </c>
      <c r="AE59" s="1">
        <f ca="1">IFERROR(__xludf.DUMMYFUNCTION("""COMPUTED_VALUE"""),413)</f>
        <v>413</v>
      </c>
      <c r="AF59" s="1">
        <f ca="1">IFERROR(__xludf.DUMMYFUNCTION("""COMPUTED_VALUE"""),570)</f>
        <v>570</v>
      </c>
    </row>
    <row r="60" spans="1:32" ht="12.5" x14ac:dyDescent="0.25">
      <c r="A60" s="1" t="str">
        <f ca="1">IFERROR(__xludf.DUMMYFUNCTION("""COMPUTED_VALUE"""),"Chicago State")</f>
        <v>Chicago State</v>
      </c>
      <c r="B60" s="1">
        <f ca="1">IFERROR(__xludf.DUMMYFUNCTION("""COMPUTED_VALUE"""),32)</f>
        <v>32</v>
      </c>
      <c r="C60" s="1">
        <f ca="1">IFERROR(__xludf.DUMMYFUNCTION("""COMPUTED_VALUE"""),6)</f>
        <v>6</v>
      </c>
      <c r="D60" s="1">
        <f ca="1">IFERROR(__xludf.DUMMYFUNCTION("""COMPUTED_VALUE"""),26)</f>
        <v>26</v>
      </c>
      <c r="E60" s="1">
        <f ca="1">IFERROR(__xludf.DUMMYFUNCTION("""COMPUTED_VALUE"""),0.188)</f>
        <v>0.188</v>
      </c>
      <c r="F60" s="1">
        <f ca="1">IFERROR(__xludf.DUMMYFUNCTION("""COMPUTED_VALUE"""),-16.67)</f>
        <v>-16.670000000000002</v>
      </c>
      <c r="G60" s="1">
        <f ca="1">IFERROR(__xludf.DUMMYFUNCTION("""COMPUTED_VALUE"""),-0.19)</f>
        <v>-0.19</v>
      </c>
      <c r="H60" s="1">
        <f ca="1">IFERROR(__xludf.DUMMYFUNCTION("""COMPUTED_VALUE"""),1)</f>
        <v>1</v>
      </c>
      <c r="I60" s="1">
        <f ca="1">IFERROR(__xludf.DUMMYFUNCTION("""COMPUTED_VALUE"""),13)</f>
        <v>13</v>
      </c>
      <c r="J60" s="1">
        <f ca="1">IFERROR(__xludf.DUMMYFUNCTION("""COMPUTED_VALUE"""),3)</f>
        <v>3</v>
      </c>
      <c r="K60" s="1">
        <f ca="1">IFERROR(__xludf.DUMMYFUNCTION("""COMPUTED_VALUE"""),7)</f>
        <v>7</v>
      </c>
      <c r="L60" s="1">
        <f ca="1">IFERROR(__xludf.DUMMYFUNCTION("""COMPUTED_VALUE"""),2)</f>
        <v>2</v>
      </c>
      <c r="M60" s="1">
        <f ca="1">IFERROR(__xludf.DUMMYFUNCTION("""COMPUTED_VALUE"""),17)</f>
        <v>17</v>
      </c>
      <c r="N60" s="1">
        <f ca="1">IFERROR(__xludf.DUMMYFUNCTION("""COMPUTED_VALUE"""),2089)</f>
        <v>2089</v>
      </c>
      <c r="O60" s="1">
        <f ca="1">IFERROR(__xludf.DUMMYFUNCTION("""COMPUTED_VALUE"""),2511)</f>
        <v>2511</v>
      </c>
      <c r="P60" s="1">
        <f ca="1">IFERROR(__xludf.DUMMYFUNCTION("""COMPUTED_VALUE"""),1300)</f>
        <v>1300</v>
      </c>
      <c r="Q60" s="1">
        <f ca="1">IFERROR(__xludf.DUMMYFUNCTION("""COMPUTED_VALUE"""),739)</f>
        <v>739</v>
      </c>
      <c r="R60" s="1">
        <f ca="1">IFERROR(__xludf.DUMMYFUNCTION("""COMPUTED_VALUE"""),1923)</f>
        <v>1923</v>
      </c>
      <c r="S60" s="1">
        <f ca="1">IFERROR(__xludf.DUMMYFUNCTION("""COMPUTED_VALUE"""),0.384)</f>
        <v>0.38400000000000001</v>
      </c>
      <c r="T60" s="1">
        <f ca="1">IFERROR(__xludf.DUMMYFUNCTION("""COMPUTED_VALUE"""),212)</f>
        <v>212</v>
      </c>
      <c r="U60" s="1">
        <f ca="1">IFERROR(__xludf.DUMMYFUNCTION("""COMPUTED_VALUE"""),681)</f>
        <v>681</v>
      </c>
      <c r="V60" s="1">
        <f ca="1">IFERROR(__xludf.DUMMYFUNCTION("""COMPUTED_VALUE"""),0.311)</f>
        <v>0.311</v>
      </c>
      <c r="W60" s="1">
        <f ca="1">IFERROR(__xludf.DUMMYFUNCTION("""COMPUTED_VALUE"""),399)</f>
        <v>399</v>
      </c>
      <c r="X60" s="1">
        <f ca="1">IFERROR(__xludf.DUMMYFUNCTION("""COMPUTED_VALUE"""),569)</f>
        <v>569</v>
      </c>
      <c r="Y60" s="1">
        <f ca="1">IFERROR(__xludf.DUMMYFUNCTION("""COMPUTED_VALUE"""),0.701)</f>
        <v>0.70099999999999996</v>
      </c>
      <c r="Z60" s="1">
        <f ca="1">IFERROR(__xludf.DUMMYFUNCTION("""COMPUTED_VALUE"""),344)</f>
        <v>344</v>
      </c>
      <c r="AA60" s="1">
        <f ca="1">IFERROR(__xludf.DUMMYFUNCTION("""COMPUTED_VALUE"""),1123)</f>
        <v>1123</v>
      </c>
      <c r="AB60" s="1">
        <f ca="1">IFERROR(__xludf.DUMMYFUNCTION("""COMPUTED_VALUE"""),360)</f>
        <v>360</v>
      </c>
      <c r="AC60" s="1">
        <f ca="1">IFERROR(__xludf.DUMMYFUNCTION("""COMPUTED_VALUE"""),215)</f>
        <v>215</v>
      </c>
      <c r="AD60" s="1">
        <f ca="1">IFERROR(__xludf.DUMMYFUNCTION("""COMPUTED_VALUE"""),68)</f>
        <v>68</v>
      </c>
      <c r="AE60" s="1">
        <f ca="1">IFERROR(__xludf.DUMMYFUNCTION("""COMPUTED_VALUE"""),440)</f>
        <v>440</v>
      </c>
      <c r="AF60" s="1">
        <f ca="1">IFERROR(__xludf.DUMMYFUNCTION("""COMPUTED_VALUE"""),616)</f>
        <v>616</v>
      </c>
    </row>
    <row r="61" spans="1:32" ht="12.5" x14ac:dyDescent="0.25">
      <c r="A61" s="1" t="str">
        <f ca="1">IFERROR(__xludf.DUMMYFUNCTION("""COMPUTED_VALUE"""),"CincinnatiNCAA")</f>
        <v>CincinnatiNCAA</v>
      </c>
      <c r="B61" s="1">
        <f ca="1">IFERROR(__xludf.DUMMYFUNCTION("""COMPUTED_VALUE"""),36)</f>
        <v>36</v>
      </c>
      <c r="C61" s="1">
        <f ca="1">IFERROR(__xludf.DUMMYFUNCTION("""COMPUTED_VALUE"""),30)</f>
        <v>30</v>
      </c>
      <c r="D61" s="1">
        <f ca="1">IFERROR(__xludf.DUMMYFUNCTION("""COMPUTED_VALUE"""),6)</f>
        <v>6</v>
      </c>
      <c r="E61" s="1">
        <f ca="1">IFERROR(__xludf.DUMMYFUNCTION("""COMPUTED_VALUE"""),0.833)</f>
        <v>0.83299999999999996</v>
      </c>
      <c r="F61" s="1">
        <f ca="1">IFERROR(__xludf.DUMMYFUNCTION("""COMPUTED_VALUE"""),18.43)</f>
        <v>18.43</v>
      </c>
      <c r="G61" s="1">
        <f ca="1">IFERROR(__xludf.DUMMYFUNCTION("""COMPUTED_VALUE"""),5.49)</f>
        <v>5.49</v>
      </c>
      <c r="H61" s="1">
        <f ca="1">IFERROR(__xludf.DUMMYFUNCTION("""COMPUTED_VALUE"""),16)</f>
        <v>16</v>
      </c>
      <c r="I61" s="1">
        <f ca="1">IFERROR(__xludf.DUMMYFUNCTION("""COMPUTED_VALUE"""),2)</f>
        <v>2</v>
      </c>
      <c r="J61" s="1">
        <f ca="1">IFERROR(__xludf.DUMMYFUNCTION("""COMPUTED_VALUE"""),18)</f>
        <v>18</v>
      </c>
      <c r="K61" s="1">
        <f ca="1">IFERROR(__xludf.DUMMYFUNCTION("""COMPUTED_VALUE"""),0)</f>
        <v>0</v>
      </c>
      <c r="L61" s="1">
        <f ca="1">IFERROR(__xludf.DUMMYFUNCTION("""COMPUTED_VALUE"""),8)</f>
        <v>8</v>
      </c>
      <c r="M61" s="1">
        <f ca="1">IFERROR(__xludf.DUMMYFUNCTION("""COMPUTED_VALUE"""),3)</f>
        <v>3</v>
      </c>
      <c r="N61" s="1">
        <f ca="1">IFERROR(__xludf.DUMMYFUNCTION("""COMPUTED_VALUE"""),2674)</f>
        <v>2674</v>
      </c>
      <c r="O61" s="1">
        <f ca="1">IFERROR(__xludf.DUMMYFUNCTION("""COMPUTED_VALUE"""),2208)</f>
        <v>2208</v>
      </c>
      <c r="P61" s="1">
        <f ca="1">IFERROR(__xludf.DUMMYFUNCTION("""COMPUTED_VALUE"""),1450)</f>
        <v>1450</v>
      </c>
      <c r="Q61" s="1">
        <f ca="1">IFERROR(__xludf.DUMMYFUNCTION("""COMPUTED_VALUE"""),969)</f>
        <v>969</v>
      </c>
      <c r="R61" s="1">
        <f ca="1">IFERROR(__xludf.DUMMYFUNCTION("""COMPUTED_VALUE"""),2116)</f>
        <v>2116</v>
      </c>
      <c r="S61" s="1">
        <f ca="1">IFERROR(__xludf.DUMMYFUNCTION("""COMPUTED_VALUE"""),0.458)</f>
        <v>0.45800000000000002</v>
      </c>
      <c r="T61" s="1">
        <f ca="1">IFERROR(__xludf.DUMMYFUNCTION("""COMPUTED_VALUE"""),264)</f>
        <v>264</v>
      </c>
      <c r="U61" s="1">
        <f ca="1">IFERROR(__xludf.DUMMYFUNCTION("""COMPUTED_VALUE"""),764)</f>
        <v>764</v>
      </c>
      <c r="V61" s="1">
        <f ca="1">IFERROR(__xludf.DUMMYFUNCTION("""COMPUTED_VALUE"""),0.346)</f>
        <v>0.34599999999999997</v>
      </c>
      <c r="W61" s="1">
        <f ca="1">IFERROR(__xludf.DUMMYFUNCTION("""COMPUTED_VALUE"""),472)</f>
        <v>472</v>
      </c>
      <c r="X61" s="1">
        <f ca="1">IFERROR(__xludf.DUMMYFUNCTION("""COMPUTED_VALUE"""),688)</f>
        <v>688</v>
      </c>
      <c r="Y61" s="1">
        <f ca="1">IFERROR(__xludf.DUMMYFUNCTION("""COMPUTED_VALUE"""),0.686)</f>
        <v>0.68600000000000005</v>
      </c>
      <c r="Z61" s="1">
        <f ca="1">IFERROR(__xludf.DUMMYFUNCTION("""COMPUTED_VALUE"""),437)</f>
        <v>437</v>
      </c>
      <c r="AA61" s="1">
        <f ca="1">IFERROR(__xludf.DUMMYFUNCTION("""COMPUTED_VALUE"""),1328)</f>
        <v>1328</v>
      </c>
      <c r="AB61" s="1">
        <f ca="1">IFERROR(__xludf.DUMMYFUNCTION("""COMPUTED_VALUE"""),557)</f>
        <v>557</v>
      </c>
      <c r="AC61" s="1">
        <f ca="1">IFERROR(__xludf.DUMMYFUNCTION("""COMPUTED_VALUE"""),261)</f>
        <v>261</v>
      </c>
      <c r="AD61" s="1">
        <f ca="1">IFERROR(__xludf.DUMMYFUNCTION("""COMPUTED_VALUE"""),173)</f>
        <v>173</v>
      </c>
      <c r="AE61" s="1">
        <f ca="1">IFERROR(__xludf.DUMMYFUNCTION("""COMPUTED_VALUE"""),361)</f>
        <v>361</v>
      </c>
      <c r="AF61" s="1">
        <f ca="1">IFERROR(__xludf.DUMMYFUNCTION("""COMPUTED_VALUE"""),566)</f>
        <v>566</v>
      </c>
    </row>
    <row r="62" spans="1:32" ht="12.5" x14ac:dyDescent="0.25">
      <c r="A62" s="1" t="str">
        <f ca="1">IFERROR(__xludf.DUMMYFUNCTION("""COMPUTED_VALUE"""),"Citadel")</f>
        <v>Citadel</v>
      </c>
      <c r="B62" s="1">
        <f ca="1">IFERROR(__xludf.DUMMYFUNCTION("""COMPUTED_VALUE"""),33)</f>
        <v>33</v>
      </c>
      <c r="C62" s="1">
        <f ca="1">IFERROR(__xludf.DUMMYFUNCTION("""COMPUTED_VALUE"""),12)</f>
        <v>12</v>
      </c>
      <c r="D62" s="1">
        <f ca="1">IFERROR(__xludf.DUMMYFUNCTION("""COMPUTED_VALUE"""),21)</f>
        <v>21</v>
      </c>
      <c r="E62" s="1">
        <f ca="1">IFERROR(__xludf.DUMMYFUNCTION("""COMPUTED_VALUE"""),0.364)</f>
        <v>0.36399999999999999</v>
      </c>
      <c r="F62" s="1">
        <f ca="1">IFERROR(__xludf.DUMMYFUNCTION("""COMPUTED_VALUE"""),-12.86)</f>
        <v>-12.86</v>
      </c>
      <c r="G62" s="1">
        <f ca="1">IFERROR(__xludf.DUMMYFUNCTION("""COMPUTED_VALUE"""),-2.93)</f>
        <v>-2.93</v>
      </c>
      <c r="H62" s="1">
        <f ca="1">IFERROR(__xludf.DUMMYFUNCTION("""COMPUTED_VALUE"""),4)</f>
        <v>4</v>
      </c>
      <c r="I62" s="1">
        <f ca="1">IFERROR(__xludf.DUMMYFUNCTION("""COMPUTED_VALUE"""),14)</f>
        <v>14</v>
      </c>
      <c r="J62" s="1">
        <f ca="1">IFERROR(__xludf.DUMMYFUNCTION("""COMPUTED_VALUE"""),8)</f>
        <v>8</v>
      </c>
      <c r="K62" s="1">
        <f ca="1">IFERROR(__xludf.DUMMYFUNCTION("""COMPUTED_VALUE"""),8)</f>
        <v>8</v>
      </c>
      <c r="L62" s="1">
        <f ca="1">IFERROR(__xludf.DUMMYFUNCTION("""COMPUTED_VALUE"""),3)</f>
        <v>3</v>
      </c>
      <c r="M62" s="1">
        <f ca="1">IFERROR(__xludf.DUMMYFUNCTION("""COMPUTED_VALUE"""),12)</f>
        <v>12</v>
      </c>
      <c r="N62" s="1">
        <f ca="1">IFERROR(__xludf.DUMMYFUNCTION("""COMPUTED_VALUE"""),2964)</f>
        <v>2964</v>
      </c>
      <c r="O62" s="1">
        <f ca="1">IFERROR(__xludf.DUMMYFUNCTION("""COMPUTED_VALUE"""),3121)</f>
        <v>3121</v>
      </c>
      <c r="P62" s="1">
        <f ca="1">IFERROR(__xludf.DUMMYFUNCTION("""COMPUTED_VALUE"""),1335)</f>
        <v>1335</v>
      </c>
      <c r="Q62" s="1">
        <f ca="1">IFERROR(__xludf.DUMMYFUNCTION("""COMPUTED_VALUE"""),980)</f>
        <v>980</v>
      </c>
      <c r="R62" s="1">
        <f ca="1">IFERROR(__xludf.DUMMYFUNCTION("""COMPUTED_VALUE"""),2357)</f>
        <v>2357</v>
      </c>
      <c r="S62" s="1">
        <f ca="1">IFERROR(__xludf.DUMMYFUNCTION("""COMPUTED_VALUE"""),0.416)</f>
        <v>0.41599999999999998</v>
      </c>
      <c r="T62" s="1">
        <f ca="1">IFERROR(__xludf.DUMMYFUNCTION("""COMPUTED_VALUE"""),397)</f>
        <v>397</v>
      </c>
      <c r="U62" s="1">
        <f ca="1">IFERROR(__xludf.DUMMYFUNCTION("""COMPUTED_VALUE"""),1165)</f>
        <v>1165</v>
      </c>
      <c r="V62" s="1">
        <f ca="1">IFERROR(__xludf.DUMMYFUNCTION("""COMPUTED_VALUE"""),0.341)</f>
        <v>0.34100000000000003</v>
      </c>
      <c r="W62" s="1">
        <f ca="1">IFERROR(__xludf.DUMMYFUNCTION("""COMPUTED_VALUE"""),607)</f>
        <v>607</v>
      </c>
      <c r="X62" s="1">
        <f ca="1">IFERROR(__xludf.DUMMYFUNCTION("""COMPUTED_VALUE"""),802)</f>
        <v>802</v>
      </c>
      <c r="Y62" s="1">
        <f ca="1">IFERROR(__xludf.DUMMYFUNCTION("""COMPUTED_VALUE"""),0.757)</f>
        <v>0.75700000000000001</v>
      </c>
      <c r="Z62" s="1">
        <f ca="1">IFERROR(__xludf.DUMMYFUNCTION("""COMPUTED_VALUE"""),448)</f>
        <v>448</v>
      </c>
      <c r="AA62" s="1">
        <f ca="1">IFERROR(__xludf.DUMMYFUNCTION("""COMPUTED_VALUE"""),1232)</f>
        <v>1232</v>
      </c>
      <c r="AB62" s="1">
        <f ca="1">IFERROR(__xludf.DUMMYFUNCTION("""COMPUTED_VALUE"""),561)</f>
        <v>561</v>
      </c>
      <c r="AC62" s="1">
        <f ca="1">IFERROR(__xludf.DUMMYFUNCTION("""COMPUTED_VALUE"""),306)</f>
        <v>306</v>
      </c>
      <c r="AD62" s="1">
        <f ca="1">IFERROR(__xludf.DUMMYFUNCTION("""COMPUTED_VALUE"""),85)</f>
        <v>85</v>
      </c>
      <c r="AE62" s="1">
        <f ca="1">IFERROR(__xludf.DUMMYFUNCTION("""COMPUTED_VALUE"""),473)</f>
        <v>473</v>
      </c>
      <c r="AF62" s="1">
        <f ca="1">IFERROR(__xludf.DUMMYFUNCTION("""COMPUTED_VALUE"""),737)</f>
        <v>737</v>
      </c>
    </row>
    <row r="63" spans="1:32" ht="12.5" x14ac:dyDescent="0.25">
      <c r="A63" s="1" t="str">
        <f ca="1">IFERROR(__xludf.DUMMYFUNCTION("""COMPUTED_VALUE"""),"Clemson")</f>
        <v>Clemson</v>
      </c>
      <c r="B63" s="1">
        <f ca="1">IFERROR(__xludf.DUMMYFUNCTION("""COMPUTED_VALUE"""),33)</f>
        <v>33</v>
      </c>
      <c r="C63" s="1">
        <f ca="1">IFERROR(__xludf.DUMMYFUNCTION("""COMPUTED_VALUE"""),17)</f>
        <v>17</v>
      </c>
      <c r="D63" s="1">
        <f ca="1">IFERROR(__xludf.DUMMYFUNCTION("""COMPUTED_VALUE"""),16)</f>
        <v>16</v>
      </c>
      <c r="E63" s="1">
        <f ca="1">IFERROR(__xludf.DUMMYFUNCTION("""COMPUTED_VALUE"""),0.515)</f>
        <v>0.51500000000000001</v>
      </c>
      <c r="F63" s="1">
        <f ca="1">IFERROR(__xludf.DUMMYFUNCTION("""COMPUTED_VALUE"""),13.22)</f>
        <v>13.22</v>
      </c>
      <c r="G63" s="1">
        <f ca="1">IFERROR(__xludf.DUMMYFUNCTION("""COMPUTED_VALUE"""),9.98)</f>
        <v>9.98</v>
      </c>
      <c r="H63" s="1">
        <f ca="1">IFERROR(__xludf.DUMMYFUNCTION("""COMPUTED_VALUE"""),6)</f>
        <v>6</v>
      </c>
      <c r="I63" s="1">
        <f ca="1">IFERROR(__xludf.DUMMYFUNCTION("""COMPUTED_VALUE"""),12)</f>
        <v>12</v>
      </c>
      <c r="J63" s="1">
        <f ca="1">IFERROR(__xludf.DUMMYFUNCTION("""COMPUTED_VALUE"""),11)</f>
        <v>11</v>
      </c>
      <c r="K63" s="1">
        <f ca="1">IFERROR(__xludf.DUMMYFUNCTION("""COMPUTED_VALUE"""),6)</f>
        <v>6</v>
      </c>
      <c r="L63" s="1">
        <f ca="1">IFERROR(__xludf.DUMMYFUNCTION("""COMPUTED_VALUE"""),3)</f>
        <v>3</v>
      </c>
      <c r="M63" s="1">
        <f ca="1">IFERROR(__xludf.DUMMYFUNCTION("""COMPUTED_VALUE"""),7)</f>
        <v>7</v>
      </c>
      <c r="N63" s="1">
        <f ca="1">IFERROR(__xludf.DUMMYFUNCTION("""COMPUTED_VALUE"""),2468)</f>
        <v>2468</v>
      </c>
      <c r="O63" s="1">
        <f ca="1">IFERROR(__xludf.DUMMYFUNCTION("""COMPUTED_VALUE"""),2361)</f>
        <v>2361</v>
      </c>
      <c r="P63" s="1">
        <f ca="1">IFERROR(__xludf.DUMMYFUNCTION("""COMPUTED_VALUE"""),1325)</f>
        <v>1325</v>
      </c>
      <c r="Q63" s="1">
        <f ca="1">IFERROR(__xludf.DUMMYFUNCTION("""COMPUTED_VALUE"""),871)</f>
        <v>871</v>
      </c>
      <c r="R63" s="1">
        <f ca="1">IFERROR(__xludf.DUMMYFUNCTION("""COMPUTED_VALUE"""),1939)</f>
        <v>1939</v>
      </c>
      <c r="S63" s="1">
        <f ca="1">IFERROR(__xludf.DUMMYFUNCTION("""COMPUTED_VALUE"""),0.449)</f>
        <v>0.44900000000000001</v>
      </c>
      <c r="T63" s="1">
        <f ca="1">IFERROR(__xludf.DUMMYFUNCTION("""COMPUTED_VALUE"""),239)</f>
        <v>239</v>
      </c>
      <c r="U63" s="1">
        <f ca="1">IFERROR(__xludf.DUMMYFUNCTION("""COMPUTED_VALUE"""),669)</f>
        <v>669</v>
      </c>
      <c r="V63" s="1">
        <f ca="1">IFERROR(__xludf.DUMMYFUNCTION("""COMPUTED_VALUE"""),0.357)</f>
        <v>0.35699999999999998</v>
      </c>
      <c r="W63" s="1">
        <f ca="1">IFERROR(__xludf.DUMMYFUNCTION("""COMPUTED_VALUE"""),487)</f>
        <v>487</v>
      </c>
      <c r="X63" s="1">
        <f ca="1">IFERROR(__xludf.DUMMYFUNCTION("""COMPUTED_VALUE"""),666)</f>
        <v>666</v>
      </c>
      <c r="Y63" s="1">
        <f ca="1">IFERROR(__xludf.DUMMYFUNCTION("""COMPUTED_VALUE"""),0.731)</f>
        <v>0.73099999999999998</v>
      </c>
      <c r="Z63" s="1">
        <f ca="1">IFERROR(__xludf.DUMMYFUNCTION("""COMPUTED_VALUE"""),365)</f>
        <v>365</v>
      </c>
      <c r="AA63" s="1">
        <f ca="1">IFERROR(__xludf.DUMMYFUNCTION("""COMPUTED_VALUE"""),1124)</f>
        <v>1124</v>
      </c>
      <c r="AB63" s="1">
        <f ca="1">IFERROR(__xludf.DUMMYFUNCTION("""COMPUTED_VALUE"""),414)</f>
        <v>414</v>
      </c>
      <c r="AC63" s="1">
        <f ca="1">IFERROR(__xludf.DUMMYFUNCTION("""COMPUTED_VALUE"""),235)</f>
        <v>235</v>
      </c>
      <c r="AD63" s="1">
        <f ca="1">IFERROR(__xludf.DUMMYFUNCTION("""COMPUTED_VALUE"""),130)</f>
        <v>130</v>
      </c>
      <c r="AE63" s="1">
        <f ca="1">IFERROR(__xludf.DUMMYFUNCTION("""COMPUTED_VALUE"""),354)</f>
        <v>354</v>
      </c>
      <c r="AF63" s="1">
        <f ca="1">IFERROR(__xludf.DUMMYFUNCTION("""COMPUTED_VALUE"""),501)</f>
        <v>501</v>
      </c>
    </row>
    <row r="64" spans="1:32" ht="12.5" x14ac:dyDescent="0.25">
      <c r="A64" s="1" t="str">
        <f ca="1">IFERROR(__xludf.DUMMYFUNCTION("""COMPUTED_VALUE"""),"Cleveland State")</f>
        <v>Cleveland State</v>
      </c>
      <c r="B64" s="1">
        <f ca="1">IFERROR(__xludf.DUMMYFUNCTION("""COMPUTED_VALUE"""),31)</f>
        <v>31</v>
      </c>
      <c r="C64" s="1">
        <f ca="1">IFERROR(__xludf.DUMMYFUNCTION("""COMPUTED_VALUE"""),9)</f>
        <v>9</v>
      </c>
      <c r="D64" s="1">
        <f ca="1">IFERROR(__xludf.DUMMYFUNCTION("""COMPUTED_VALUE"""),22)</f>
        <v>22</v>
      </c>
      <c r="E64" s="1">
        <f ca="1">IFERROR(__xludf.DUMMYFUNCTION("""COMPUTED_VALUE"""),0.29)</f>
        <v>0.28999999999999998</v>
      </c>
      <c r="F64" s="1">
        <f ca="1">IFERROR(__xludf.DUMMYFUNCTION("""COMPUTED_VALUE"""),-6.73)</f>
        <v>-6.73</v>
      </c>
      <c r="G64" s="1">
        <f ca="1">IFERROR(__xludf.DUMMYFUNCTION("""COMPUTED_VALUE"""),-1.53)</f>
        <v>-1.53</v>
      </c>
      <c r="H64" s="1">
        <f ca="1">IFERROR(__xludf.DUMMYFUNCTION("""COMPUTED_VALUE"""),5)</f>
        <v>5</v>
      </c>
      <c r="I64" s="1">
        <f ca="1">IFERROR(__xludf.DUMMYFUNCTION("""COMPUTED_VALUE"""),13)</f>
        <v>13</v>
      </c>
      <c r="J64" s="1">
        <f ca="1">IFERROR(__xludf.DUMMYFUNCTION("""COMPUTED_VALUE"""),5)</f>
        <v>5</v>
      </c>
      <c r="K64" s="1">
        <f ca="1">IFERROR(__xludf.DUMMYFUNCTION("""COMPUTED_VALUE"""),6)</f>
        <v>6</v>
      </c>
      <c r="L64" s="1">
        <f ca="1">IFERROR(__xludf.DUMMYFUNCTION("""COMPUTED_VALUE"""),2)</f>
        <v>2</v>
      </c>
      <c r="M64" s="1">
        <f ca="1">IFERROR(__xludf.DUMMYFUNCTION("""COMPUTED_VALUE"""),14)</f>
        <v>14</v>
      </c>
      <c r="N64" s="1">
        <f ca="1">IFERROR(__xludf.DUMMYFUNCTION("""COMPUTED_VALUE"""),2083)</f>
        <v>2083</v>
      </c>
      <c r="O64" s="1">
        <f ca="1">IFERROR(__xludf.DUMMYFUNCTION("""COMPUTED_VALUE"""),2222)</f>
        <v>2222</v>
      </c>
      <c r="P64" s="1">
        <f ca="1">IFERROR(__xludf.DUMMYFUNCTION("""COMPUTED_VALUE"""),1260)</f>
        <v>1260</v>
      </c>
      <c r="Q64" s="1">
        <f ca="1">IFERROR(__xludf.DUMMYFUNCTION("""COMPUTED_VALUE"""),745)</f>
        <v>745</v>
      </c>
      <c r="R64" s="1">
        <f ca="1">IFERROR(__xludf.DUMMYFUNCTION("""COMPUTED_VALUE"""),1838)</f>
        <v>1838</v>
      </c>
      <c r="S64" s="1">
        <f ca="1">IFERROR(__xludf.DUMMYFUNCTION("""COMPUTED_VALUE"""),0.405)</f>
        <v>0.40500000000000003</v>
      </c>
      <c r="T64" s="1">
        <f ca="1">IFERROR(__xludf.DUMMYFUNCTION("""COMPUTED_VALUE"""),219)</f>
        <v>219</v>
      </c>
      <c r="U64" s="1">
        <f ca="1">IFERROR(__xludf.DUMMYFUNCTION("""COMPUTED_VALUE"""),709)</f>
        <v>709</v>
      </c>
      <c r="V64" s="1">
        <f ca="1">IFERROR(__xludf.DUMMYFUNCTION("""COMPUTED_VALUE"""),0.309)</f>
        <v>0.309</v>
      </c>
      <c r="W64" s="1">
        <f ca="1">IFERROR(__xludf.DUMMYFUNCTION("""COMPUTED_VALUE"""),374)</f>
        <v>374</v>
      </c>
      <c r="X64" s="1">
        <f ca="1">IFERROR(__xludf.DUMMYFUNCTION("""COMPUTED_VALUE"""),541)</f>
        <v>541</v>
      </c>
      <c r="Y64" s="1">
        <f ca="1">IFERROR(__xludf.DUMMYFUNCTION("""COMPUTED_VALUE"""),0.691)</f>
        <v>0.69099999999999995</v>
      </c>
      <c r="Z64" s="1">
        <f ca="1">IFERROR(__xludf.DUMMYFUNCTION("""COMPUTED_VALUE"""),339)</f>
        <v>339</v>
      </c>
      <c r="AA64" s="1">
        <f ca="1">IFERROR(__xludf.DUMMYFUNCTION("""COMPUTED_VALUE"""),1024)</f>
        <v>1024</v>
      </c>
      <c r="AB64" s="1">
        <f ca="1">IFERROR(__xludf.DUMMYFUNCTION("""COMPUTED_VALUE"""),327)</f>
        <v>327</v>
      </c>
      <c r="AC64" s="1">
        <f ca="1">IFERROR(__xludf.DUMMYFUNCTION("""COMPUTED_VALUE"""),221)</f>
        <v>221</v>
      </c>
      <c r="AD64" s="1">
        <f ca="1">IFERROR(__xludf.DUMMYFUNCTION("""COMPUTED_VALUE"""),94)</f>
        <v>94</v>
      </c>
      <c r="AE64" s="1">
        <f ca="1">IFERROR(__xludf.DUMMYFUNCTION("""COMPUTED_VALUE"""),405)</f>
        <v>405</v>
      </c>
      <c r="AF64" s="1">
        <f ca="1">IFERROR(__xludf.DUMMYFUNCTION("""COMPUTED_VALUE"""),636)</f>
        <v>636</v>
      </c>
    </row>
    <row r="65" spans="1:32" ht="12.5" x14ac:dyDescent="0.25">
      <c r="A65" s="1" t="str">
        <f ca="1">IFERROR(__xludf.DUMMYFUNCTION("""COMPUTED_VALUE"""),"Coastal Carolina")</f>
        <v>Coastal Carolina</v>
      </c>
      <c r="B65" s="1">
        <f ca="1">IFERROR(__xludf.DUMMYFUNCTION("""COMPUTED_VALUE"""),39)</f>
        <v>39</v>
      </c>
      <c r="C65" s="1">
        <f ca="1">IFERROR(__xludf.DUMMYFUNCTION("""COMPUTED_VALUE"""),20)</f>
        <v>20</v>
      </c>
      <c r="D65" s="1">
        <f ca="1">IFERROR(__xludf.DUMMYFUNCTION("""COMPUTED_VALUE"""),19)</f>
        <v>19</v>
      </c>
      <c r="E65" s="1">
        <f ca="1">IFERROR(__xludf.DUMMYFUNCTION("""COMPUTED_VALUE"""),0.513)</f>
        <v>0.51300000000000001</v>
      </c>
      <c r="F65" s="1">
        <f ca="1">IFERROR(__xludf.DUMMYFUNCTION("""COMPUTED_VALUE"""),-3.94)</f>
        <v>-3.94</v>
      </c>
      <c r="G65" s="1">
        <f ca="1">IFERROR(__xludf.DUMMYFUNCTION("""COMPUTED_VALUE"""),-1.48)</f>
        <v>-1.48</v>
      </c>
      <c r="H65" s="1">
        <f ca="1">IFERROR(__xludf.DUMMYFUNCTION("""COMPUTED_VALUE"""),10)</f>
        <v>10</v>
      </c>
      <c r="I65" s="1">
        <f ca="1">IFERROR(__xludf.DUMMYFUNCTION("""COMPUTED_VALUE"""),8)</f>
        <v>8</v>
      </c>
      <c r="J65" s="1">
        <f ca="1">IFERROR(__xludf.DUMMYFUNCTION("""COMPUTED_VALUE"""),15)</f>
        <v>15</v>
      </c>
      <c r="K65" s="1">
        <f ca="1">IFERROR(__xludf.DUMMYFUNCTION("""COMPUTED_VALUE"""),6)</f>
        <v>6</v>
      </c>
      <c r="L65" s="1">
        <f ca="1">IFERROR(__xludf.DUMMYFUNCTION("""COMPUTED_VALUE"""),3)</f>
        <v>3</v>
      </c>
      <c r="M65" s="1">
        <f ca="1">IFERROR(__xludf.DUMMYFUNCTION("""COMPUTED_VALUE"""),12)</f>
        <v>12</v>
      </c>
      <c r="N65" s="1">
        <f ca="1">IFERROR(__xludf.DUMMYFUNCTION("""COMPUTED_VALUE"""),2833)</f>
        <v>2833</v>
      </c>
      <c r="O65" s="1">
        <f ca="1">IFERROR(__xludf.DUMMYFUNCTION("""COMPUTED_VALUE"""),2858)</f>
        <v>2858</v>
      </c>
      <c r="P65" s="1">
        <f ca="1">IFERROR(__xludf.DUMMYFUNCTION("""COMPUTED_VALUE"""),1570)</f>
        <v>1570</v>
      </c>
      <c r="Q65" s="1">
        <f ca="1">IFERROR(__xludf.DUMMYFUNCTION("""COMPUTED_VALUE"""),1021)</f>
        <v>1021</v>
      </c>
      <c r="R65" s="1">
        <f ca="1">IFERROR(__xludf.DUMMYFUNCTION("""COMPUTED_VALUE"""),2416)</f>
        <v>2416</v>
      </c>
      <c r="S65" s="1">
        <f ca="1">IFERROR(__xludf.DUMMYFUNCTION("""COMPUTED_VALUE"""),0.423)</f>
        <v>0.42299999999999999</v>
      </c>
      <c r="T65" s="1">
        <f ca="1">IFERROR(__xludf.DUMMYFUNCTION("""COMPUTED_VALUE"""),318)</f>
        <v>318</v>
      </c>
      <c r="U65" s="1">
        <f ca="1">IFERROR(__xludf.DUMMYFUNCTION("""COMPUTED_VALUE"""),963)</f>
        <v>963</v>
      </c>
      <c r="V65" s="1">
        <f ca="1">IFERROR(__xludf.DUMMYFUNCTION("""COMPUTED_VALUE"""),0.33)</f>
        <v>0.33</v>
      </c>
      <c r="W65" s="1">
        <f ca="1">IFERROR(__xludf.DUMMYFUNCTION("""COMPUTED_VALUE"""),473)</f>
        <v>473</v>
      </c>
      <c r="X65" s="1">
        <f ca="1">IFERROR(__xludf.DUMMYFUNCTION("""COMPUTED_VALUE"""),719)</f>
        <v>719</v>
      </c>
      <c r="Y65" s="1">
        <f ca="1">IFERROR(__xludf.DUMMYFUNCTION("""COMPUTED_VALUE"""),0.658)</f>
        <v>0.65800000000000003</v>
      </c>
      <c r="Z65" s="1">
        <f ca="1">IFERROR(__xludf.DUMMYFUNCTION("""COMPUTED_VALUE"""),479)</f>
        <v>479</v>
      </c>
      <c r="AA65" s="1">
        <f ca="1">IFERROR(__xludf.DUMMYFUNCTION("""COMPUTED_VALUE"""),1571)</f>
        <v>1571</v>
      </c>
      <c r="AB65" s="1">
        <f ca="1">IFERROR(__xludf.DUMMYFUNCTION("""COMPUTED_VALUE"""),467)</f>
        <v>467</v>
      </c>
      <c r="AC65" s="1">
        <f ca="1">IFERROR(__xludf.DUMMYFUNCTION("""COMPUTED_VALUE"""),237)</f>
        <v>237</v>
      </c>
      <c r="AD65" s="1">
        <f ca="1">IFERROR(__xludf.DUMMYFUNCTION("""COMPUTED_VALUE"""),109)</f>
        <v>109</v>
      </c>
      <c r="AE65" s="1">
        <f ca="1">IFERROR(__xludf.DUMMYFUNCTION("""COMPUTED_VALUE"""),508)</f>
        <v>508</v>
      </c>
      <c r="AF65" s="1">
        <f ca="1">IFERROR(__xludf.DUMMYFUNCTION("""COMPUTED_VALUE"""),709)</f>
        <v>709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IFERROR(__xludf.DUMMYFUNCTION("""COMPUTED_VALUE"""),"Colgate")</f>
        <v>Colgate</v>
      </c>
      <c r="B68" s="1">
        <f ca="1">IFERROR(__xludf.DUMMYFUNCTION("""COMPUTED_VALUE"""),32)</f>
        <v>32</v>
      </c>
      <c r="C68" s="1">
        <f ca="1">IFERROR(__xludf.DUMMYFUNCTION("""COMPUTED_VALUE"""),10)</f>
        <v>10</v>
      </c>
      <c r="D68" s="1">
        <f ca="1">IFERROR(__xludf.DUMMYFUNCTION("""COMPUTED_VALUE"""),22)</f>
        <v>22</v>
      </c>
      <c r="E68" s="1">
        <f ca="1">IFERROR(__xludf.DUMMYFUNCTION("""COMPUTED_VALUE"""),0.313)</f>
        <v>0.313</v>
      </c>
      <c r="F68" s="1">
        <f ca="1">IFERROR(__xludf.DUMMYFUNCTION("""COMPUTED_VALUE"""),-8.47)</f>
        <v>-8.4700000000000006</v>
      </c>
      <c r="G68" s="1">
        <f ca="1">IFERROR(__xludf.DUMMYFUNCTION("""COMPUTED_VALUE"""),-3.6)</f>
        <v>-3.6</v>
      </c>
      <c r="H68" s="1">
        <f ca="1">IFERROR(__xludf.DUMMYFUNCTION("""COMPUTED_VALUE"""),8)</f>
        <v>8</v>
      </c>
      <c r="I68" s="1">
        <f ca="1">IFERROR(__xludf.DUMMYFUNCTION("""COMPUTED_VALUE"""),10)</f>
        <v>10</v>
      </c>
      <c r="J68" s="1">
        <f ca="1">IFERROR(__xludf.DUMMYFUNCTION("""COMPUTED_VALUE"""),4)</f>
        <v>4</v>
      </c>
      <c r="K68" s="1">
        <f ca="1">IFERROR(__xludf.DUMMYFUNCTION("""COMPUTED_VALUE"""),8)</f>
        <v>8</v>
      </c>
      <c r="L68" s="1">
        <f ca="1">IFERROR(__xludf.DUMMYFUNCTION("""COMPUTED_VALUE"""),6)</f>
        <v>6</v>
      </c>
      <c r="M68" s="1">
        <f ca="1">IFERROR(__xludf.DUMMYFUNCTION("""COMPUTED_VALUE"""),12)</f>
        <v>12</v>
      </c>
      <c r="N68" s="1">
        <f ca="1">IFERROR(__xludf.DUMMYFUNCTION("""COMPUTED_VALUE"""),2145)</f>
        <v>2145</v>
      </c>
      <c r="O68" s="1">
        <f ca="1">IFERROR(__xludf.DUMMYFUNCTION("""COMPUTED_VALUE"""),2273)</f>
        <v>2273</v>
      </c>
      <c r="P68" s="1">
        <f ca="1">IFERROR(__xludf.DUMMYFUNCTION("""COMPUTED_VALUE"""),1305)</f>
        <v>1305</v>
      </c>
      <c r="Q68" s="1">
        <f ca="1">IFERROR(__xludf.DUMMYFUNCTION("""COMPUTED_VALUE"""),745)</f>
        <v>745</v>
      </c>
      <c r="R68" s="1">
        <f ca="1">IFERROR(__xludf.DUMMYFUNCTION("""COMPUTED_VALUE"""),1693)</f>
        <v>1693</v>
      </c>
      <c r="S68" s="1">
        <f ca="1">IFERROR(__xludf.DUMMYFUNCTION("""COMPUTED_VALUE"""),0.44)</f>
        <v>0.44</v>
      </c>
      <c r="T68" s="1">
        <f ca="1">IFERROR(__xludf.DUMMYFUNCTION("""COMPUTED_VALUE"""),271)</f>
        <v>271</v>
      </c>
      <c r="U68" s="1">
        <f ca="1">IFERROR(__xludf.DUMMYFUNCTION("""COMPUTED_VALUE"""),732)</f>
        <v>732</v>
      </c>
      <c r="V68" s="1">
        <f ca="1">IFERROR(__xludf.DUMMYFUNCTION("""COMPUTED_VALUE"""),0.37)</f>
        <v>0.37</v>
      </c>
      <c r="W68" s="1">
        <f ca="1">IFERROR(__xludf.DUMMYFUNCTION("""COMPUTED_VALUE"""),384)</f>
        <v>384</v>
      </c>
      <c r="X68" s="1">
        <f ca="1">IFERROR(__xludf.DUMMYFUNCTION("""COMPUTED_VALUE"""),567)</f>
        <v>567</v>
      </c>
      <c r="Y68" s="1">
        <f ca="1">IFERROR(__xludf.DUMMYFUNCTION("""COMPUTED_VALUE"""),0.677)</f>
        <v>0.67700000000000005</v>
      </c>
      <c r="Z68" s="1">
        <f ca="1">IFERROR(__xludf.DUMMYFUNCTION("""COMPUTED_VALUE"""),263)</f>
        <v>263</v>
      </c>
      <c r="AA68" s="1">
        <f ca="1">IFERROR(__xludf.DUMMYFUNCTION("""COMPUTED_VALUE"""),1037)</f>
        <v>1037</v>
      </c>
      <c r="AB68" s="1">
        <f ca="1">IFERROR(__xludf.DUMMYFUNCTION("""COMPUTED_VALUE"""),414)</f>
        <v>414</v>
      </c>
      <c r="AC68" s="1">
        <f ca="1">IFERROR(__xludf.DUMMYFUNCTION("""COMPUTED_VALUE"""),164)</f>
        <v>164</v>
      </c>
      <c r="AD68" s="1">
        <f ca="1">IFERROR(__xludf.DUMMYFUNCTION("""COMPUTED_VALUE"""),82)</f>
        <v>82</v>
      </c>
      <c r="AE68" s="1">
        <f ca="1">IFERROR(__xludf.DUMMYFUNCTION("""COMPUTED_VALUE"""),470)</f>
        <v>470</v>
      </c>
      <c r="AF68" s="1">
        <f ca="1">IFERROR(__xludf.DUMMYFUNCTION("""COMPUTED_VALUE"""),603)</f>
        <v>603</v>
      </c>
    </row>
    <row r="69" spans="1:32" ht="12.5" x14ac:dyDescent="0.25">
      <c r="A69" s="1" t="str">
        <f ca="1">IFERROR(__xludf.DUMMYFUNCTION("""COMPUTED_VALUE"""),"College of Charleston")</f>
        <v>College of Charleston</v>
      </c>
      <c r="B69" s="1">
        <f ca="1">IFERROR(__xludf.DUMMYFUNCTION("""COMPUTED_VALUE"""),35)</f>
        <v>35</v>
      </c>
      <c r="C69" s="1">
        <f ca="1">IFERROR(__xludf.DUMMYFUNCTION("""COMPUTED_VALUE"""),25)</f>
        <v>25</v>
      </c>
      <c r="D69" s="1">
        <f ca="1">IFERROR(__xludf.DUMMYFUNCTION("""COMPUTED_VALUE"""),10)</f>
        <v>10</v>
      </c>
      <c r="E69" s="1">
        <f ca="1">IFERROR(__xludf.DUMMYFUNCTION("""COMPUTED_VALUE"""),0.714)</f>
        <v>0.71399999999999997</v>
      </c>
      <c r="F69" s="1">
        <f ca="1">IFERROR(__xludf.DUMMYFUNCTION("""COMPUTED_VALUE"""),3.99)</f>
        <v>3.99</v>
      </c>
      <c r="G69" s="1">
        <f ca="1">IFERROR(__xludf.DUMMYFUNCTION("""COMPUTED_VALUE"""),-0.19)</f>
        <v>-0.19</v>
      </c>
      <c r="H69" s="1">
        <f ca="1">IFERROR(__xludf.DUMMYFUNCTION("""COMPUTED_VALUE"""),14)</f>
        <v>14</v>
      </c>
      <c r="I69" s="1">
        <f ca="1">IFERROR(__xludf.DUMMYFUNCTION("""COMPUTED_VALUE"""),4)</f>
        <v>4</v>
      </c>
      <c r="J69" s="1">
        <f ca="1">IFERROR(__xludf.DUMMYFUNCTION("""COMPUTED_VALUE"""),12)</f>
        <v>12</v>
      </c>
      <c r="K69" s="1">
        <f ca="1">IFERROR(__xludf.DUMMYFUNCTION("""COMPUTED_VALUE"""),2)</f>
        <v>2</v>
      </c>
      <c r="L69" s="1">
        <f ca="1">IFERROR(__xludf.DUMMYFUNCTION("""COMPUTED_VALUE"""),10)</f>
        <v>10</v>
      </c>
      <c r="M69" s="1">
        <f ca="1">IFERROR(__xludf.DUMMYFUNCTION("""COMPUTED_VALUE"""),5)</f>
        <v>5</v>
      </c>
      <c r="N69" s="1">
        <f ca="1">IFERROR(__xludf.DUMMYFUNCTION("""COMPUTED_VALUE"""),2416)</f>
        <v>2416</v>
      </c>
      <c r="O69" s="1">
        <f ca="1">IFERROR(__xludf.DUMMYFUNCTION("""COMPUTED_VALUE"""),2260)</f>
        <v>2260</v>
      </c>
      <c r="P69" s="1">
        <f ca="1">IFERROR(__xludf.DUMMYFUNCTION("""COMPUTED_VALUE"""),1405)</f>
        <v>1405</v>
      </c>
      <c r="Q69" s="1">
        <f ca="1">IFERROR(__xludf.DUMMYFUNCTION("""COMPUTED_VALUE"""),804)</f>
        <v>804</v>
      </c>
      <c r="R69" s="1">
        <f ca="1">IFERROR(__xludf.DUMMYFUNCTION("""COMPUTED_VALUE"""),1862)</f>
        <v>1862</v>
      </c>
      <c r="S69" s="1">
        <f ca="1">IFERROR(__xludf.DUMMYFUNCTION("""COMPUTED_VALUE"""),0.432)</f>
        <v>0.432</v>
      </c>
      <c r="T69" s="1">
        <f ca="1">IFERROR(__xludf.DUMMYFUNCTION("""COMPUTED_VALUE"""),220)</f>
        <v>220</v>
      </c>
      <c r="U69" s="1">
        <f ca="1">IFERROR(__xludf.DUMMYFUNCTION("""COMPUTED_VALUE"""),670)</f>
        <v>670</v>
      </c>
      <c r="V69" s="1">
        <f ca="1">IFERROR(__xludf.DUMMYFUNCTION("""COMPUTED_VALUE"""),0.328)</f>
        <v>0.32800000000000001</v>
      </c>
      <c r="W69" s="1">
        <f ca="1">IFERROR(__xludf.DUMMYFUNCTION("""COMPUTED_VALUE"""),588)</f>
        <v>588</v>
      </c>
      <c r="X69" s="1">
        <f ca="1">IFERROR(__xludf.DUMMYFUNCTION("""COMPUTED_VALUE"""),799)</f>
        <v>799</v>
      </c>
      <c r="Y69" s="1">
        <f ca="1">IFERROR(__xludf.DUMMYFUNCTION("""COMPUTED_VALUE"""),0.736)</f>
        <v>0.73599999999999999</v>
      </c>
      <c r="Z69" s="1">
        <f ca="1">IFERROR(__xludf.DUMMYFUNCTION("""COMPUTED_VALUE"""),302)</f>
        <v>302</v>
      </c>
      <c r="AA69" s="1">
        <f ca="1">IFERROR(__xludf.DUMMYFUNCTION("""COMPUTED_VALUE"""),1194)</f>
        <v>1194</v>
      </c>
      <c r="AB69" s="1">
        <f ca="1">IFERROR(__xludf.DUMMYFUNCTION("""COMPUTED_VALUE"""),355)</f>
        <v>355</v>
      </c>
      <c r="AC69" s="1">
        <f ca="1">IFERROR(__xludf.DUMMYFUNCTION("""COMPUTED_VALUE"""),194)</f>
        <v>194</v>
      </c>
      <c r="AD69" s="1">
        <f ca="1">IFERROR(__xludf.DUMMYFUNCTION("""COMPUTED_VALUE"""),117)</f>
        <v>117</v>
      </c>
      <c r="AE69" s="1">
        <f ca="1">IFERROR(__xludf.DUMMYFUNCTION("""COMPUTED_VALUE"""),364)</f>
        <v>364</v>
      </c>
      <c r="AF69" s="1">
        <f ca="1">IFERROR(__xludf.DUMMYFUNCTION("""COMPUTED_VALUE"""),604)</f>
        <v>604</v>
      </c>
    </row>
    <row r="70" spans="1:32" ht="12.5" x14ac:dyDescent="0.25">
      <c r="A70" s="1" t="str">
        <f ca="1">IFERROR(__xludf.DUMMYFUNCTION("""COMPUTED_VALUE"""),"Colorado State")</f>
        <v>Colorado State</v>
      </c>
      <c r="B70" s="1">
        <f ca="1">IFERROR(__xludf.DUMMYFUNCTION("""COMPUTED_VALUE"""),36)</f>
        <v>36</v>
      </c>
      <c r="C70" s="1">
        <f ca="1">IFERROR(__xludf.DUMMYFUNCTION("""COMPUTED_VALUE"""),24)</f>
        <v>24</v>
      </c>
      <c r="D70" s="1">
        <f ca="1">IFERROR(__xludf.DUMMYFUNCTION("""COMPUTED_VALUE"""),12)</f>
        <v>12</v>
      </c>
      <c r="E70" s="1">
        <f ca="1">IFERROR(__xludf.DUMMYFUNCTION("""COMPUTED_VALUE"""),0.667)</f>
        <v>0.66700000000000004</v>
      </c>
      <c r="F70" s="1">
        <f ca="1">IFERROR(__xludf.DUMMYFUNCTION("""COMPUTED_VALUE"""),6.03)</f>
        <v>6.03</v>
      </c>
      <c r="G70" s="1">
        <f ca="1">IFERROR(__xludf.DUMMYFUNCTION("""COMPUTED_VALUE"""),2.17)</f>
        <v>2.17</v>
      </c>
      <c r="H70" s="1">
        <f ca="1">IFERROR(__xludf.DUMMYFUNCTION("""COMPUTED_VALUE"""),13)</f>
        <v>13</v>
      </c>
      <c r="I70" s="1">
        <f ca="1">IFERROR(__xludf.DUMMYFUNCTION("""COMPUTED_VALUE"""),5)</f>
        <v>5</v>
      </c>
      <c r="J70" s="1">
        <f ca="1">IFERROR(__xludf.DUMMYFUNCTION("""COMPUTED_VALUE"""),15)</f>
        <v>15</v>
      </c>
      <c r="K70" s="1">
        <f ca="1">IFERROR(__xludf.DUMMYFUNCTION("""COMPUTED_VALUE"""),5)</f>
        <v>5</v>
      </c>
      <c r="L70" s="1">
        <f ca="1">IFERROR(__xludf.DUMMYFUNCTION("""COMPUTED_VALUE"""),7)</f>
        <v>7</v>
      </c>
      <c r="M70" s="1">
        <f ca="1">IFERROR(__xludf.DUMMYFUNCTION("""COMPUTED_VALUE"""),5)</f>
        <v>5</v>
      </c>
      <c r="N70" s="1">
        <f ca="1">IFERROR(__xludf.DUMMYFUNCTION("""COMPUTED_VALUE"""),2611)</f>
        <v>2611</v>
      </c>
      <c r="O70" s="1">
        <f ca="1">IFERROR(__xludf.DUMMYFUNCTION("""COMPUTED_VALUE"""),2447)</f>
        <v>2447</v>
      </c>
      <c r="P70" s="1">
        <f ca="1">IFERROR(__xludf.DUMMYFUNCTION("""COMPUTED_VALUE"""),1440)</f>
        <v>1440</v>
      </c>
      <c r="Q70" s="1">
        <f ca="1">IFERROR(__xludf.DUMMYFUNCTION("""COMPUTED_VALUE"""),879)</f>
        <v>879</v>
      </c>
      <c r="R70" s="1">
        <f ca="1">IFERROR(__xludf.DUMMYFUNCTION("""COMPUTED_VALUE"""),2070)</f>
        <v>2070</v>
      </c>
      <c r="S70" s="1">
        <f ca="1">IFERROR(__xludf.DUMMYFUNCTION("""COMPUTED_VALUE"""),0.425)</f>
        <v>0.42499999999999999</v>
      </c>
      <c r="T70" s="1">
        <f ca="1">IFERROR(__xludf.DUMMYFUNCTION("""COMPUTED_VALUE"""),257)</f>
        <v>257</v>
      </c>
      <c r="U70" s="1">
        <f ca="1">IFERROR(__xludf.DUMMYFUNCTION("""COMPUTED_VALUE"""),758)</f>
        <v>758</v>
      </c>
      <c r="V70" s="1">
        <f ca="1">IFERROR(__xludf.DUMMYFUNCTION("""COMPUTED_VALUE"""),0.339)</f>
        <v>0.33900000000000002</v>
      </c>
      <c r="W70" s="1">
        <f ca="1">IFERROR(__xludf.DUMMYFUNCTION("""COMPUTED_VALUE"""),596)</f>
        <v>596</v>
      </c>
      <c r="X70" s="1">
        <f ca="1">IFERROR(__xludf.DUMMYFUNCTION("""COMPUTED_VALUE"""),815)</f>
        <v>815</v>
      </c>
      <c r="Y70" s="1">
        <f ca="1">IFERROR(__xludf.DUMMYFUNCTION("""COMPUTED_VALUE"""),0.731)</f>
        <v>0.73099999999999998</v>
      </c>
      <c r="Z70" s="1">
        <f ca="1">IFERROR(__xludf.DUMMYFUNCTION("""COMPUTED_VALUE"""),410)</f>
        <v>410</v>
      </c>
      <c r="AA70" s="1">
        <f ca="1">IFERROR(__xludf.DUMMYFUNCTION("""COMPUTED_VALUE"""),1374)</f>
        <v>1374</v>
      </c>
      <c r="AB70" s="1">
        <f ca="1">IFERROR(__xludf.DUMMYFUNCTION("""COMPUTED_VALUE"""),397)</f>
        <v>397</v>
      </c>
      <c r="AC70" s="1">
        <f ca="1">IFERROR(__xludf.DUMMYFUNCTION("""COMPUTED_VALUE"""),218)</f>
        <v>218</v>
      </c>
      <c r="AD70" s="1">
        <f ca="1">IFERROR(__xludf.DUMMYFUNCTION("""COMPUTED_VALUE"""),123)</f>
        <v>123</v>
      </c>
      <c r="AE70" s="1">
        <f ca="1">IFERROR(__xludf.DUMMYFUNCTION("""COMPUTED_VALUE"""),392)</f>
        <v>392</v>
      </c>
      <c r="AF70" s="1">
        <f ca="1">IFERROR(__xludf.DUMMYFUNCTION("""COMPUTED_VALUE"""),618)</f>
        <v>618</v>
      </c>
    </row>
    <row r="71" spans="1:32" ht="12.5" x14ac:dyDescent="0.25">
      <c r="A71" s="1" t="str">
        <f ca="1">IFERROR(__xludf.DUMMYFUNCTION("""COMPUTED_VALUE"""),"Colorado")</f>
        <v>Colorado</v>
      </c>
      <c r="B71" s="1">
        <f ca="1">IFERROR(__xludf.DUMMYFUNCTION("""COMPUTED_VALUE"""),34)</f>
        <v>34</v>
      </c>
      <c r="C71" s="1">
        <f ca="1">IFERROR(__xludf.DUMMYFUNCTION("""COMPUTED_VALUE"""),19)</f>
        <v>19</v>
      </c>
      <c r="D71" s="1">
        <f ca="1">IFERROR(__xludf.DUMMYFUNCTION("""COMPUTED_VALUE"""),15)</f>
        <v>15</v>
      </c>
      <c r="E71" s="1">
        <f ca="1">IFERROR(__xludf.DUMMYFUNCTION("""COMPUTED_VALUE"""),0.559)</f>
        <v>0.55900000000000005</v>
      </c>
      <c r="F71" s="1">
        <f ca="1">IFERROR(__xludf.DUMMYFUNCTION("""COMPUTED_VALUE"""),9.12)</f>
        <v>9.1199999999999992</v>
      </c>
      <c r="G71" s="1">
        <f ca="1">IFERROR(__xludf.DUMMYFUNCTION("""COMPUTED_VALUE"""),6)</f>
        <v>6</v>
      </c>
      <c r="H71" s="1">
        <f ca="1">IFERROR(__xludf.DUMMYFUNCTION("""COMPUTED_VALUE"""),8)</f>
        <v>8</v>
      </c>
      <c r="I71" s="1">
        <f ca="1">IFERROR(__xludf.DUMMYFUNCTION("""COMPUTED_VALUE"""),10)</f>
        <v>10</v>
      </c>
      <c r="J71" s="1">
        <f ca="1">IFERROR(__xludf.DUMMYFUNCTION("""COMPUTED_VALUE"""),13)</f>
        <v>13</v>
      </c>
      <c r="K71" s="1">
        <f ca="1">IFERROR(__xludf.DUMMYFUNCTION("""COMPUTED_VALUE"""),4)</f>
        <v>4</v>
      </c>
      <c r="L71" s="1">
        <f ca="1">IFERROR(__xludf.DUMMYFUNCTION("""COMPUTED_VALUE"""),4)</f>
        <v>4</v>
      </c>
      <c r="M71" s="1">
        <f ca="1">IFERROR(__xludf.DUMMYFUNCTION("""COMPUTED_VALUE"""),9)</f>
        <v>9</v>
      </c>
      <c r="N71" s="1">
        <f ca="1">IFERROR(__xludf.DUMMYFUNCTION("""COMPUTED_VALUE"""),2568)</f>
        <v>2568</v>
      </c>
      <c r="O71" s="1">
        <f ca="1">IFERROR(__xludf.DUMMYFUNCTION("""COMPUTED_VALUE"""),2455)</f>
        <v>2455</v>
      </c>
      <c r="P71" s="1">
        <f ca="1">IFERROR(__xludf.DUMMYFUNCTION("""COMPUTED_VALUE"""),1370)</f>
        <v>1370</v>
      </c>
      <c r="Q71" s="1">
        <f ca="1">IFERROR(__xludf.DUMMYFUNCTION("""COMPUTED_VALUE"""),888)</f>
        <v>888</v>
      </c>
      <c r="R71" s="1">
        <f ca="1">IFERROR(__xludf.DUMMYFUNCTION("""COMPUTED_VALUE"""),1993)</f>
        <v>1993</v>
      </c>
      <c r="S71" s="1">
        <f ca="1">IFERROR(__xludf.DUMMYFUNCTION("""COMPUTED_VALUE"""),0.446)</f>
        <v>0.44600000000000001</v>
      </c>
      <c r="T71" s="1">
        <f ca="1">IFERROR(__xludf.DUMMYFUNCTION("""COMPUTED_VALUE"""),250)</f>
        <v>250</v>
      </c>
      <c r="U71" s="1">
        <f ca="1">IFERROR(__xludf.DUMMYFUNCTION("""COMPUTED_VALUE"""),718)</f>
        <v>718</v>
      </c>
      <c r="V71" s="1">
        <f ca="1">IFERROR(__xludf.DUMMYFUNCTION("""COMPUTED_VALUE"""),0.348)</f>
        <v>0.34799999999999998</v>
      </c>
      <c r="W71" s="1">
        <f ca="1">IFERROR(__xludf.DUMMYFUNCTION("""COMPUTED_VALUE"""),542)</f>
        <v>542</v>
      </c>
      <c r="X71" s="1">
        <f ca="1">IFERROR(__xludf.DUMMYFUNCTION("""COMPUTED_VALUE"""),770)</f>
        <v>770</v>
      </c>
      <c r="Y71" s="1">
        <f ca="1">IFERROR(__xludf.DUMMYFUNCTION("""COMPUTED_VALUE"""),0.704)</f>
        <v>0.70399999999999996</v>
      </c>
      <c r="Z71" s="1">
        <f ca="1">IFERROR(__xludf.DUMMYFUNCTION("""COMPUTED_VALUE"""),403)</f>
        <v>403</v>
      </c>
      <c r="AA71" s="1">
        <f ca="1">IFERROR(__xludf.DUMMYFUNCTION("""COMPUTED_VALUE"""),1276)</f>
        <v>1276</v>
      </c>
      <c r="AB71" s="1">
        <f ca="1">IFERROR(__xludf.DUMMYFUNCTION("""COMPUTED_VALUE"""),474)</f>
        <v>474</v>
      </c>
      <c r="AC71" s="1">
        <f ca="1">IFERROR(__xludf.DUMMYFUNCTION("""COMPUTED_VALUE"""),172)</f>
        <v>172</v>
      </c>
      <c r="AD71" s="1">
        <f ca="1">IFERROR(__xludf.DUMMYFUNCTION("""COMPUTED_VALUE"""),146)</f>
        <v>146</v>
      </c>
      <c r="AE71" s="1">
        <f ca="1">IFERROR(__xludf.DUMMYFUNCTION("""COMPUTED_VALUE"""),410)</f>
        <v>410</v>
      </c>
      <c r="AF71" s="1">
        <f ca="1">IFERROR(__xludf.DUMMYFUNCTION("""COMPUTED_VALUE"""),632)</f>
        <v>632</v>
      </c>
    </row>
    <row r="72" spans="1:32" ht="12.5" x14ac:dyDescent="0.25">
      <c r="A72" s="1" t="str">
        <f ca="1">IFERROR(__xludf.DUMMYFUNCTION("""COMPUTED_VALUE"""),"Columbia")</f>
        <v>Columbia</v>
      </c>
      <c r="B72" s="1">
        <f ca="1">IFERROR(__xludf.DUMMYFUNCTION("""COMPUTED_VALUE"""),27)</f>
        <v>27</v>
      </c>
      <c r="C72" s="1">
        <f ca="1">IFERROR(__xludf.DUMMYFUNCTION("""COMPUTED_VALUE"""),11)</f>
        <v>11</v>
      </c>
      <c r="D72" s="1">
        <f ca="1">IFERROR(__xludf.DUMMYFUNCTION("""COMPUTED_VALUE"""),16)</f>
        <v>16</v>
      </c>
      <c r="E72" s="1">
        <f ca="1">IFERROR(__xludf.DUMMYFUNCTION("""COMPUTED_VALUE"""),0.407)</f>
        <v>0.40699999999999997</v>
      </c>
      <c r="F72" s="1">
        <f ca="1">IFERROR(__xludf.DUMMYFUNCTION("""COMPUTED_VALUE"""),-5.67)</f>
        <v>-5.67</v>
      </c>
      <c r="G72" s="1">
        <f ca="1">IFERROR(__xludf.DUMMYFUNCTION("""COMPUTED_VALUE"""),-3.13)</f>
        <v>-3.13</v>
      </c>
      <c r="H72" s="1">
        <f ca="1">IFERROR(__xludf.DUMMYFUNCTION("""COMPUTED_VALUE"""),5)</f>
        <v>5</v>
      </c>
      <c r="I72" s="1">
        <f ca="1">IFERROR(__xludf.DUMMYFUNCTION("""COMPUTED_VALUE"""),9)</f>
        <v>9</v>
      </c>
      <c r="J72" s="1">
        <f ca="1">IFERROR(__xludf.DUMMYFUNCTION("""COMPUTED_VALUE"""),7)</f>
        <v>7</v>
      </c>
      <c r="K72" s="1">
        <f ca="1">IFERROR(__xludf.DUMMYFUNCTION("""COMPUTED_VALUE"""),6)</f>
        <v>6</v>
      </c>
      <c r="L72" s="1">
        <f ca="1">IFERROR(__xludf.DUMMYFUNCTION("""COMPUTED_VALUE"""),4)</f>
        <v>4</v>
      </c>
      <c r="M72" s="1">
        <f ca="1">IFERROR(__xludf.DUMMYFUNCTION("""COMPUTED_VALUE"""),10)</f>
        <v>10</v>
      </c>
      <c r="N72" s="1">
        <f ca="1">IFERROR(__xludf.DUMMYFUNCTION("""COMPUTED_VALUE"""),1940)</f>
        <v>1940</v>
      </c>
      <c r="O72" s="1">
        <f ca="1">IFERROR(__xludf.DUMMYFUNCTION("""COMPUTED_VALUE"""),1964)</f>
        <v>1964</v>
      </c>
      <c r="P72" s="1">
        <f ca="1">IFERROR(__xludf.DUMMYFUNCTION("""COMPUTED_VALUE"""),1090)</f>
        <v>1090</v>
      </c>
      <c r="Q72" s="1">
        <f ca="1">IFERROR(__xludf.DUMMYFUNCTION("""COMPUTED_VALUE"""),700)</f>
        <v>700</v>
      </c>
      <c r="R72" s="1">
        <f ca="1">IFERROR(__xludf.DUMMYFUNCTION("""COMPUTED_VALUE"""),1603)</f>
        <v>1603</v>
      </c>
      <c r="S72" s="1">
        <f ca="1">IFERROR(__xludf.DUMMYFUNCTION("""COMPUTED_VALUE"""),0.437)</f>
        <v>0.437</v>
      </c>
      <c r="T72" s="1">
        <f ca="1">IFERROR(__xludf.DUMMYFUNCTION("""COMPUTED_VALUE"""),211)</f>
        <v>211</v>
      </c>
      <c r="U72" s="1">
        <f ca="1">IFERROR(__xludf.DUMMYFUNCTION("""COMPUTED_VALUE"""),584)</f>
        <v>584</v>
      </c>
      <c r="V72" s="1">
        <f ca="1">IFERROR(__xludf.DUMMYFUNCTION("""COMPUTED_VALUE"""),0.361)</f>
        <v>0.36099999999999999</v>
      </c>
      <c r="W72" s="1">
        <f ca="1">IFERROR(__xludf.DUMMYFUNCTION("""COMPUTED_VALUE"""),329)</f>
        <v>329</v>
      </c>
      <c r="X72" s="1">
        <f ca="1">IFERROR(__xludf.DUMMYFUNCTION("""COMPUTED_VALUE"""),465)</f>
        <v>465</v>
      </c>
      <c r="Y72" s="1">
        <f ca="1">IFERROR(__xludf.DUMMYFUNCTION("""COMPUTED_VALUE"""),0.708)</f>
        <v>0.70799999999999996</v>
      </c>
      <c r="Z72" s="1">
        <f ca="1">IFERROR(__xludf.DUMMYFUNCTION("""COMPUTED_VALUE"""),273)</f>
        <v>273</v>
      </c>
      <c r="AA72" s="1">
        <f ca="1">IFERROR(__xludf.DUMMYFUNCTION("""COMPUTED_VALUE"""),941)</f>
        <v>941</v>
      </c>
      <c r="AB72" s="1">
        <f ca="1">IFERROR(__xludf.DUMMYFUNCTION("""COMPUTED_VALUE"""),418)</f>
        <v>418</v>
      </c>
      <c r="AC72" s="1">
        <f ca="1">IFERROR(__xludf.DUMMYFUNCTION("""COMPUTED_VALUE"""),190)</f>
        <v>190</v>
      </c>
      <c r="AD72" s="1">
        <f ca="1">IFERROR(__xludf.DUMMYFUNCTION("""COMPUTED_VALUE"""),79)</f>
        <v>79</v>
      </c>
      <c r="AE72" s="1">
        <f ca="1">IFERROR(__xludf.DUMMYFUNCTION("""COMPUTED_VALUE"""),347)</f>
        <v>347</v>
      </c>
      <c r="AF72" s="1">
        <f ca="1">IFERROR(__xludf.DUMMYFUNCTION("""COMPUTED_VALUE"""),506)</f>
        <v>506</v>
      </c>
    </row>
    <row r="73" spans="1:32" ht="12.5" x14ac:dyDescent="0.25">
      <c r="A73" s="1" t="str">
        <f ca="1">IFERROR(__xludf.DUMMYFUNCTION("""COMPUTED_VALUE"""),"Connecticut")</f>
        <v>Connecticut</v>
      </c>
      <c r="B73" s="1">
        <f ca="1">IFERROR(__xludf.DUMMYFUNCTION("""COMPUTED_VALUE"""),33)</f>
        <v>33</v>
      </c>
      <c r="C73" s="1">
        <f ca="1">IFERROR(__xludf.DUMMYFUNCTION("""COMPUTED_VALUE"""),16)</f>
        <v>16</v>
      </c>
      <c r="D73" s="1">
        <f ca="1">IFERROR(__xludf.DUMMYFUNCTION("""COMPUTED_VALUE"""),17)</f>
        <v>17</v>
      </c>
      <c r="E73" s="1">
        <f ca="1">IFERROR(__xludf.DUMMYFUNCTION("""COMPUTED_VALUE"""),0.485)</f>
        <v>0.48499999999999999</v>
      </c>
      <c r="F73" s="1">
        <f ca="1">IFERROR(__xludf.DUMMYFUNCTION("""COMPUTED_VALUE"""),7.23)</f>
        <v>7.23</v>
      </c>
      <c r="G73" s="1">
        <f ca="1">IFERROR(__xludf.DUMMYFUNCTION("""COMPUTED_VALUE"""),6.61)</f>
        <v>6.61</v>
      </c>
      <c r="H73" s="1">
        <f ca="1">IFERROR(__xludf.DUMMYFUNCTION("""COMPUTED_VALUE"""),9)</f>
        <v>9</v>
      </c>
      <c r="I73" s="1">
        <f ca="1">IFERROR(__xludf.DUMMYFUNCTION("""COMPUTED_VALUE"""),9)</f>
        <v>9</v>
      </c>
      <c r="J73" s="1">
        <f ca="1">IFERROR(__xludf.DUMMYFUNCTION("""COMPUTED_VALUE"""),8)</f>
        <v>8</v>
      </c>
      <c r="K73" s="1">
        <f ca="1">IFERROR(__xludf.DUMMYFUNCTION("""COMPUTED_VALUE"""),6)</f>
        <v>6</v>
      </c>
      <c r="L73" s="1">
        <f ca="1">IFERROR(__xludf.DUMMYFUNCTION("""COMPUTED_VALUE"""),4)</f>
        <v>4</v>
      </c>
      <c r="M73" s="1">
        <f ca="1">IFERROR(__xludf.DUMMYFUNCTION("""COMPUTED_VALUE"""),8)</f>
        <v>8</v>
      </c>
      <c r="N73" s="1">
        <f ca="1">IFERROR(__xludf.DUMMYFUNCTION("""COMPUTED_VALUE"""),2220)</f>
        <v>2220</v>
      </c>
      <c r="O73" s="1">
        <f ca="1">IFERROR(__xludf.DUMMYFUNCTION("""COMPUTED_VALUE"""),2189)</f>
        <v>2189</v>
      </c>
      <c r="P73" s="1">
        <f ca="1">IFERROR(__xludf.DUMMYFUNCTION("""COMPUTED_VALUE"""),1330)</f>
        <v>1330</v>
      </c>
      <c r="Q73" s="1">
        <f ca="1">IFERROR(__xludf.DUMMYFUNCTION("""COMPUTED_VALUE"""),778)</f>
        <v>778</v>
      </c>
      <c r="R73" s="1">
        <f ca="1">IFERROR(__xludf.DUMMYFUNCTION("""COMPUTED_VALUE"""),1809)</f>
        <v>1809</v>
      </c>
      <c r="S73" s="1">
        <f ca="1">IFERROR(__xludf.DUMMYFUNCTION("""COMPUTED_VALUE"""),0.43)</f>
        <v>0.43</v>
      </c>
      <c r="T73" s="1">
        <f ca="1">IFERROR(__xludf.DUMMYFUNCTION("""COMPUTED_VALUE"""),223)</f>
        <v>223</v>
      </c>
      <c r="U73" s="1">
        <f ca="1">IFERROR(__xludf.DUMMYFUNCTION("""COMPUTED_VALUE"""),628)</f>
        <v>628</v>
      </c>
      <c r="V73" s="1">
        <f ca="1">IFERROR(__xludf.DUMMYFUNCTION("""COMPUTED_VALUE"""),0.355)</f>
        <v>0.35499999999999998</v>
      </c>
      <c r="W73" s="1">
        <f ca="1">IFERROR(__xludf.DUMMYFUNCTION("""COMPUTED_VALUE"""),441)</f>
        <v>441</v>
      </c>
      <c r="X73" s="1">
        <f ca="1">IFERROR(__xludf.DUMMYFUNCTION("""COMPUTED_VALUE"""),619)</f>
        <v>619</v>
      </c>
      <c r="Y73" s="1">
        <f ca="1">IFERROR(__xludf.DUMMYFUNCTION("""COMPUTED_VALUE"""),0.712)</f>
        <v>0.71199999999999997</v>
      </c>
      <c r="Z73" s="1">
        <f ca="1">IFERROR(__xludf.DUMMYFUNCTION("""COMPUTED_VALUE"""),336)</f>
        <v>336</v>
      </c>
      <c r="AA73" s="1">
        <f ca="1">IFERROR(__xludf.DUMMYFUNCTION("""COMPUTED_VALUE"""),1209)</f>
        <v>1209</v>
      </c>
      <c r="AB73" s="1">
        <f ca="1">IFERROR(__xludf.DUMMYFUNCTION("""COMPUTED_VALUE"""),432)</f>
        <v>432</v>
      </c>
      <c r="AC73" s="1">
        <f ca="1">IFERROR(__xludf.DUMMYFUNCTION("""COMPUTED_VALUE"""),146)</f>
        <v>146</v>
      </c>
      <c r="AD73" s="1">
        <f ca="1">IFERROR(__xludf.DUMMYFUNCTION("""COMPUTED_VALUE"""),177)</f>
        <v>177</v>
      </c>
      <c r="AE73" s="1">
        <f ca="1">IFERROR(__xludf.DUMMYFUNCTION("""COMPUTED_VALUE"""),402)</f>
        <v>402</v>
      </c>
      <c r="AF73" s="1">
        <f ca="1">IFERROR(__xludf.DUMMYFUNCTION("""COMPUTED_VALUE"""),575)</f>
        <v>575</v>
      </c>
    </row>
    <row r="74" spans="1:32" ht="12.5" x14ac:dyDescent="0.25">
      <c r="A74" s="1" t="str">
        <f ca="1">IFERROR(__xludf.DUMMYFUNCTION("""COMPUTED_VALUE"""),"Coppin State")</f>
        <v>Coppin State</v>
      </c>
      <c r="B74" s="1">
        <f ca="1">IFERROR(__xludf.DUMMYFUNCTION("""COMPUTED_VALUE"""),32)</f>
        <v>32</v>
      </c>
      <c r="C74" s="1">
        <f ca="1">IFERROR(__xludf.DUMMYFUNCTION("""COMPUTED_VALUE"""),8)</f>
        <v>8</v>
      </c>
      <c r="D74" s="1">
        <f ca="1">IFERROR(__xludf.DUMMYFUNCTION("""COMPUTED_VALUE"""),24)</f>
        <v>24</v>
      </c>
      <c r="E74" s="1">
        <f ca="1">IFERROR(__xludf.DUMMYFUNCTION("""COMPUTED_VALUE"""),0.25)</f>
        <v>0.25</v>
      </c>
      <c r="F74" s="1">
        <f ca="1">IFERROR(__xludf.DUMMYFUNCTION("""COMPUTED_VALUE"""),-21.51)</f>
        <v>-21.51</v>
      </c>
      <c r="G74" s="1">
        <f ca="1">IFERROR(__xludf.DUMMYFUNCTION("""COMPUTED_VALUE"""),-8.01)</f>
        <v>-8.01</v>
      </c>
      <c r="H74" s="1">
        <f ca="1">IFERROR(__xludf.DUMMYFUNCTION("""COMPUTED_VALUE"""),7)</f>
        <v>7</v>
      </c>
      <c r="I74" s="1">
        <f ca="1">IFERROR(__xludf.DUMMYFUNCTION("""COMPUTED_VALUE"""),9)</f>
        <v>9</v>
      </c>
      <c r="J74" s="1">
        <f ca="1">IFERROR(__xludf.DUMMYFUNCTION("""COMPUTED_VALUE"""),5)</f>
        <v>5</v>
      </c>
      <c r="K74" s="1">
        <f ca="1">IFERROR(__xludf.DUMMYFUNCTION("""COMPUTED_VALUE"""),6)</f>
        <v>6</v>
      </c>
      <c r="L74" s="1">
        <f ca="1">IFERROR(__xludf.DUMMYFUNCTION("""COMPUTED_VALUE"""),3)</f>
        <v>3</v>
      </c>
      <c r="M74" s="1">
        <f ca="1">IFERROR(__xludf.DUMMYFUNCTION("""COMPUTED_VALUE"""),16)</f>
        <v>16</v>
      </c>
      <c r="N74" s="1">
        <f ca="1">IFERROR(__xludf.DUMMYFUNCTION("""COMPUTED_VALUE"""),2119)</f>
        <v>2119</v>
      </c>
      <c r="O74" s="1">
        <f ca="1">IFERROR(__xludf.DUMMYFUNCTION("""COMPUTED_VALUE"""),2521)</f>
        <v>2521</v>
      </c>
      <c r="P74" s="1">
        <f ca="1">IFERROR(__xludf.DUMMYFUNCTION("""COMPUTED_VALUE"""),1290)</f>
        <v>1290</v>
      </c>
      <c r="Q74" s="1">
        <f ca="1">IFERROR(__xludf.DUMMYFUNCTION("""COMPUTED_VALUE"""),705)</f>
        <v>705</v>
      </c>
      <c r="R74" s="1">
        <f ca="1">IFERROR(__xludf.DUMMYFUNCTION("""COMPUTED_VALUE"""),1846)</f>
        <v>1846</v>
      </c>
      <c r="S74" s="1">
        <f ca="1">IFERROR(__xludf.DUMMYFUNCTION("""COMPUTED_VALUE"""),0.382)</f>
        <v>0.38200000000000001</v>
      </c>
      <c r="T74" s="1">
        <f ca="1">IFERROR(__xludf.DUMMYFUNCTION("""COMPUTED_VALUE"""),225)</f>
        <v>225</v>
      </c>
      <c r="U74" s="1">
        <f ca="1">IFERROR(__xludf.DUMMYFUNCTION("""COMPUTED_VALUE"""),708)</f>
        <v>708</v>
      </c>
      <c r="V74" s="1">
        <f ca="1">IFERROR(__xludf.DUMMYFUNCTION("""COMPUTED_VALUE"""),0.318)</f>
        <v>0.318</v>
      </c>
      <c r="W74" s="1">
        <f ca="1">IFERROR(__xludf.DUMMYFUNCTION("""COMPUTED_VALUE"""),484)</f>
        <v>484</v>
      </c>
      <c r="X74" s="1">
        <f ca="1">IFERROR(__xludf.DUMMYFUNCTION("""COMPUTED_VALUE"""),745)</f>
        <v>745</v>
      </c>
      <c r="Y74" s="1">
        <f ca="1">IFERROR(__xludf.DUMMYFUNCTION("""COMPUTED_VALUE"""),0.65)</f>
        <v>0.65</v>
      </c>
      <c r="Z74" s="1">
        <f ca="1">IFERROR(__xludf.DUMMYFUNCTION("""COMPUTED_VALUE"""),367)</f>
        <v>367</v>
      </c>
      <c r="AA74" s="1">
        <f ca="1">IFERROR(__xludf.DUMMYFUNCTION("""COMPUTED_VALUE"""),1115)</f>
        <v>1115</v>
      </c>
      <c r="AB74" s="1">
        <f ca="1">IFERROR(__xludf.DUMMYFUNCTION("""COMPUTED_VALUE"""),335)</f>
        <v>335</v>
      </c>
      <c r="AC74" s="1">
        <f ca="1">IFERROR(__xludf.DUMMYFUNCTION("""COMPUTED_VALUE"""),182)</f>
        <v>182</v>
      </c>
      <c r="AD74" s="1">
        <f ca="1">IFERROR(__xludf.DUMMYFUNCTION("""COMPUTED_VALUE"""),72)</f>
        <v>72</v>
      </c>
      <c r="AE74" s="1">
        <f ca="1">IFERROR(__xludf.DUMMYFUNCTION("""COMPUTED_VALUE"""),440)</f>
        <v>440</v>
      </c>
      <c r="AF74" s="1">
        <f ca="1">IFERROR(__xludf.DUMMYFUNCTION("""COMPUTED_VALUE"""),664)</f>
        <v>664</v>
      </c>
    </row>
    <row r="75" spans="1:32" ht="12.5" x14ac:dyDescent="0.25">
      <c r="A75" s="1" t="str">
        <f ca="1">IFERROR(__xludf.DUMMYFUNCTION("""COMPUTED_VALUE"""),"Cornell")</f>
        <v>Cornell</v>
      </c>
      <c r="B75" s="1">
        <f ca="1">IFERROR(__xludf.DUMMYFUNCTION("""COMPUTED_VALUE"""),29)</f>
        <v>29</v>
      </c>
      <c r="C75" s="1">
        <f ca="1">IFERROR(__xludf.DUMMYFUNCTION("""COMPUTED_VALUE"""),8)</f>
        <v>8</v>
      </c>
      <c r="D75" s="1">
        <f ca="1">IFERROR(__xludf.DUMMYFUNCTION("""COMPUTED_VALUE"""),21)</f>
        <v>21</v>
      </c>
      <c r="E75" s="1">
        <f ca="1">IFERROR(__xludf.DUMMYFUNCTION("""COMPUTED_VALUE"""),0.276)</f>
        <v>0.27600000000000002</v>
      </c>
      <c r="F75" s="1">
        <f ca="1">IFERROR(__xludf.DUMMYFUNCTION("""COMPUTED_VALUE"""),-8.4)</f>
        <v>-8.4</v>
      </c>
      <c r="G75" s="1">
        <f ca="1">IFERROR(__xludf.DUMMYFUNCTION("""COMPUTED_VALUE"""),-1.55)</f>
        <v>-1.55</v>
      </c>
      <c r="H75" s="1">
        <f ca="1">IFERROR(__xludf.DUMMYFUNCTION("""COMPUTED_VALUE"""),4)</f>
        <v>4</v>
      </c>
      <c r="I75" s="1">
        <f ca="1">IFERROR(__xludf.DUMMYFUNCTION("""COMPUTED_VALUE"""),10)</f>
        <v>10</v>
      </c>
      <c r="J75" s="1">
        <f ca="1">IFERROR(__xludf.DUMMYFUNCTION("""COMPUTED_VALUE"""),3)</f>
        <v>3</v>
      </c>
      <c r="K75" s="1">
        <f ca="1">IFERROR(__xludf.DUMMYFUNCTION("""COMPUTED_VALUE"""),8)</f>
        <v>8</v>
      </c>
      <c r="L75" s="1">
        <f ca="1">IFERROR(__xludf.DUMMYFUNCTION("""COMPUTED_VALUE"""),4)</f>
        <v>4</v>
      </c>
      <c r="M75" s="1">
        <f ca="1">IFERROR(__xludf.DUMMYFUNCTION("""COMPUTED_VALUE"""),12)</f>
        <v>12</v>
      </c>
      <c r="N75" s="1">
        <f ca="1">IFERROR(__xludf.DUMMYFUNCTION("""COMPUTED_VALUE"""),2074)</f>
        <v>2074</v>
      </c>
      <c r="O75" s="1">
        <f ca="1">IFERROR(__xludf.DUMMYFUNCTION("""COMPUTED_VALUE"""),2238)</f>
        <v>2238</v>
      </c>
      <c r="P75" s="1">
        <f ca="1">IFERROR(__xludf.DUMMYFUNCTION("""COMPUTED_VALUE"""),1165)</f>
        <v>1165</v>
      </c>
      <c r="Q75" s="1">
        <f ca="1">IFERROR(__xludf.DUMMYFUNCTION("""COMPUTED_VALUE"""),746)</f>
        <v>746</v>
      </c>
      <c r="R75" s="1">
        <f ca="1">IFERROR(__xludf.DUMMYFUNCTION("""COMPUTED_VALUE"""),1646)</f>
        <v>1646</v>
      </c>
      <c r="S75" s="1">
        <f ca="1">IFERROR(__xludf.DUMMYFUNCTION("""COMPUTED_VALUE"""),0.453)</f>
        <v>0.45300000000000001</v>
      </c>
      <c r="T75" s="1">
        <f ca="1">IFERROR(__xludf.DUMMYFUNCTION("""COMPUTED_VALUE"""),244)</f>
        <v>244</v>
      </c>
      <c r="U75" s="1">
        <f ca="1">IFERROR(__xludf.DUMMYFUNCTION("""COMPUTED_VALUE"""),720)</f>
        <v>720</v>
      </c>
      <c r="V75" s="1">
        <f ca="1">IFERROR(__xludf.DUMMYFUNCTION("""COMPUTED_VALUE"""),0.339)</f>
        <v>0.33900000000000002</v>
      </c>
      <c r="W75" s="1">
        <f ca="1">IFERROR(__xludf.DUMMYFUNCTION("""COMPUTED_VALUE"""),338)</f>
        <v>338</v>
      </c>
      <c r="X75" s="1">
        <f ca="1">IFERROR(__xludf.DUMMYFUNCTION("""COMPUTED_VALUE"""),484)</f>
        <v>484</v>
      </c>
      <c r="Y75" s="1">
        <f ca="1">IFERROR(__xludf.DUMMYFUNCTION("""COMPUTED_VALUE"""),0.698)</f>
        <v>0.69799999999999995</v>
      </c>
      <c r="Z75" s="1">
        <f ca="1">IFERROR(__xludf.DUMMYFUNCTION("""COMPUTED_VALUE"""),219)</f>
        <v>219</v>
      </c>
      <c r="AA75" s="1">
        <f ca="1">IFERROR(__xludf.DUMMYFUNCTION("""COMPUTED_VALUE"""),976)</f>
        <v>976</v>
      </c>
      <c r="AB75" s="1">
        <f ca="1">IFERROR(__xludf.DUMMYFUNCTION("""COMPUTED_VALUE"""),417)</f>
        <v>417</v>
      </c>
      <c r="AC75" s="1">
        <f ca="1">IFERROR(__xludf.DUMMYFUNCTION("""COMPUTED_VALUE"""),150)</f>
        <v>150</v>
      </c>
      <c r="AD75" s="1">
        <f ca="1">IFERROR(__xludf.DUMMYFUNCTION("""COMPUTED_VALUE"""),78)</f>
        <v>78</v>
      </c>
      <c r="AE75" s="1">
        <f ca="1">IFERROR(__xludf.DUMMYFUNCTION("""COMPUTED_VALUE"""),419)</f>
        <v>419</v>
      </c>
      <c r="AF75" s="1">
        <f ca="1">IFERROR(__xludf.DUMMYFUNCTION("""COMPUTED_VALUE"""),529)</f>
        <v>529</v>
      </c>
    </row>
    <row r="76" spans="1:32" ht="12.5" x14ac:dyDescent="0.25">
      <c r="A76" s="1" t="str">
        <f ca="1">IFERROR(__xludf.DUMMYFUNCTION("""COMPUTED_VALUE"""),"CreightonNCAA")</f>
        <v>CreightonNCAA</v>
      </c>
      <c r="B76" s="1">
        <f ca="1">IFERROR(__xludf.DUMMYFUNCTION("""COMPUTED_VALUE"""),35)</f>
        <v>35</v>
      </c>
      <c r="C76" s="1">
        <f ca="1">IFERROR(__xludf.DUMMYFUNCTION("""COMPUTED_VALUE"""),25)</f>
        <v>25</v>
      </c>
      <c r="D76" s="1">
        <f ca="1">IFERROR(__xludf.DUMMYFUNCTION("""COMPUTED_VALUE"""),10)</f>
        <v>10</v>
      </c>
      <c r="E76" s="1">
        <f ca="1">IFERROR(__xludf.DUMMYFUNCTION("""COMPUTED_VALUE"""),0.714)</f>
        <v>0.71399999999999997</v>
      </c>
      <c r="F76" s="1">
        <f ca="1">IFERROR(__xludf.DUMMYFUNCTION("""COMPUTED_VALUE"""),17.27)</f>
        <v>17.27</v>
      </c>
      <c r="G76" s="1">
        <f ca="1">IFERROR(__xludf.DUMMYFUNCTION("""COMPUTED_VALUE"""),8.95)</f>
        <v>8.9499999999999993</v>
      </c>
      <c r="H76" s="1">
        <f ca="1">IFERROR(__xludf.DUMMYFUNCTION("""COMPUTED_VALUE"""),10)</f>
        <v>10</v>
      </c>
      <c r="I76" s="1">
        <f ca="1">IFERROR(__xludf.DUMMYFUNCTION("""COMPUTED_VALUE"""),8)</f>
        <v>8</v>
      </c>
      <c r="J76" s="1">
        <f ca="1">IFERROR(__xludf.DUMMYFUNCTION("""COMPUTED_VALUE"""),13)</f>
        <v>13</v>
      </c>
      <c r="K76" s="1">
        <f ca="1">IFERROR(__xludf.DUMMYFUNCTION("""COMPUTED_VALUE"""),4)</f>
        <v>4</v>
      </c>
      <c r="L76" s="1">
        <f ca="1">IFERROR(__xludf.DUMMYFUNCTION("""COMPUTED_VALUE"""),7)</f>
        <v>7</v>
      </c>
      <c r="M76" s="1">
        <f ca="1">IFERROR(__xludf.DUMMYFUNCTION("""COMPUTED_VALUE"""),4)</f>
        <v>4</v>
      </c>
      <c r="N76" s="1">
        <f ca="1">IFERROR(__xludf.DUMMYFUNCTION("""COMPUTED_VALUE"""),2864)</f>
        <v>2864</v>
      </c>
      <c r="O76" s="1">
        <f ca="1">IFERROR(__xludf.DUMMYFUNCTION("""COMPUTED_VALUE"""),2549)</f>
        <v>2549</v>
      </c>
      <c r="P76" s="1">
        <f ca="1">IFERROR(__xludf.DUMMYFUNCTION("""COMPUTED_VALUE"""),1400)</f>
        <v>1400</v>
      </c>
      <c r="Q76" s="1">
        <f ca="1">IFERROR(__xludf.DUMMYFUNCTION("""COMPUTED_VALUE"""),1078)</f>
        <v>1078</v>
      </c>
      <c r="R76" s="1">
        <f ca="1">IFERROR(__xludf.DUMMYFUNCTION("""COMPUTED_VALUE"""),2137)</f>
        <v>2137</v>
      </c>
      <c r="S76" s="1">
        <f ca="1">IFERROR(__xludf.DUMMYFUNCTION("""COMPUTED_VALUE"""),0.504)</f>
        <v>0.504</v>
      </c>
      <c r="T76" s="1">
        <f ca="1">IFERROR(__xludf.DUMMYFUNCTION("""COMPUTED_VALUE"""),304)</f>
        <v>304</v>
      </c>
      <c r="U76" s="1">
        <f ca="1">IFERROR(__xludf.DUMMYFUNCTION("""COMPUTED_VALUE"""),766)</f>
        <v>766</v>
      </c>
      <c r="V76" s="1">
        <f ca="1">IFERROR(__xludf.DUMMYFUNCTION("""COMPUTED_VALUE"""),0.397)</f>
        <v>0.39700000000000002</v>
      </c>
      <c r="W76" s="1">
        <f ca="1">IFERROR(__xludf.DUMMYFUNCTION("""COMPUTED_VALUE"""),404)</f>
        <v>404</v>
      </c>
      <c r="X76" s="1">
        <f ca="1">IFERROR(__xludf.DUMMYFUNCTION("""COMPUTED_VALUE"""),592)</f>
        <v>592</v>
      </c>
      <c r="Y76" s="1">
        <f ca="1">IFERROR(__xludf.DUMMYFUNCTION("""COMPUTED_VALUE"""),0.682)</f>
        <v>0.68200000000000005</v>
      </c>
      <c r="Z76" s="1">
        <f ca="1">IFERROR(__xludf.DUMMYFUNCTION("""COMPUTED_VALUE"""),289)</f>
        <v>289</v>
      </c>
      <c r="AA76" s="1">
        <f ca="1">IFERROR(__xludf.DUMMYFUNCTION("""COMPUTED_VALUE"""),1223)</f>
        <v>1223</v>
      </c>
      <c r="AB76" s="1">
        <f ca="1">IFERROR(__xludf.DUMMYFUNCTION("""COMPUTED_VALUE"""),598)</f>
        <v>598</v>
      </c>
      <c r="AC76" s="1">
        <f ca="1">IFERROR(__xludf.DUMMYFUNCTION("""COMPUTED_VALUE"""),213)</f>
        <v>213</v>
      </c>
      <c r="AD76" s="1">
        <f ca="1">IFERROR(__xludf.DUMMYFUNCTION("""COMPUTED_VALUE"""),102)</f>
        <v>102</v>
      </c>
      <c r="AE76" s="1">
        <f ca="1">IFERROR(__xludf.DUMMYFUNCTION("""COMPUTED_VALUE"""),435)</f>
        <v>435</v>
      </c>
      <c r="AF76" s="1">
        <f ca="1">IFERROR(__xludf.DUMMYFUNCTION("""COMPUTED_VALUE"""),582)</f>
        <v>582</v>
      </c>
    </row>
    <row r="77" spans="1:32" ht="12.5" x14ac:dyDescent="0.25">
      <c r="A77" s="1" t="str">
        <f ca="1">IFERROR(__xludf.DUMMYFUNCTION("""COMPUTED_VALUE"""),"Dartmouth")</f>
        <v>Dartmouth</v>
      </c>
      <c r="B77" s="1">
        <f ca="1">IFERROR(__xludf.DUMMYFUNCTION("""COMPUTED_VALUE"""),27)</f>
        <v>27</v>
      </c>
      <c r="C77" s="1">
        <f ca="1">IFERROR(__xludf.DUMMYFUNCTION("""COMPUTED_VALUE"""),7)</f>
        <v>7</v>
      </c>
      <c r="D77" s="1">
        <f ca="1">IFERROR(__xludf.DUMMYFUNCTION("""COMPUTED_VALUE"""),20)</f>
        <v>20</v>
      </c>
      <c r="E77" s="1">
        <f ca="1">IFERROR(__xludf.DUMMYFUNCTION("""COMPUTED_VALUE"""),0.259)</f>
        <v>0.25900000000000001</v>
      </c>
      <c r="F77" s="1">
        <f ca="1">IFERROR(__xludf.DUMMYFUNCTION("""COMPUTED_VALUE"""),-11.15)</f>
        <v>-11.15</v>
      </c>
      <c r="G77" s="1">
        <f ca="1">IFERROR(__xludf.DUMMYFUNCTION("""COMPUTED_VALUE"""),-3.45)</f>
        <v>-3.45</v>
      </c>
      <c r="H77" s="1">
        <f ca="1">IFERROR(__xludf.DUMMYFUNCTION("""COMPUTED_VALUE"""),4)</f>
        <v>4</v>
      </c>
      <c r="I77" s="1">
        <f ca="1">IFERROR(__xludf.DUMMYFUNCTION("""COMPUTED_VALUE"""),10)</f>
        <v>10</v>
      </c>
      <c r="J77" s="1">
        <f ca="1">IFERROR(__xludf.DUMMYFUNCTION("""COMPUTED_VALUE"""),3)</f>
        <v>3</v>
      </c>
      <c r="K77" s="1">
        <f ca="1">IFERROR(__xludf.DUMMYFUNCTION("""COMPUTED_VALUE"""),9)</f>
        <v>9</v>
      </c>
      <c r="L77" s="1">
        <f ca="1">IFERROR(__xludf.DUMMYFUNCTION("""COMPUTED_VALUE"""),4)</f>
        <v>4</v>
      </c>
      <c r="M77" s="1">
        <f ca="1">IFERROR(__xludf.DUMMYFUNCTION("""COMPUTED_VALUE"""),11)</f>
        <v>11</v>
      </c>
      <c r="N77" s="1">
        <f ca="1">IFERROR(__xludf.DUMMYFUNCTION("""COMPUTED_VALUE"""),1812)</f>
        <v>1812</v>
      </c>
      <c r="O77" s="1">
        <f ca="1">IFERROR(__xludf.DUMMYFUNCTION("""COMPUTED_VALUE"""),2020)</f>
        <v>2020</v>
      </c>
      <c r="P77" s="1">
        <f ca="1">IFERROR(__xludf.DUMMYFUNCTION("""COMPUTED_VALUE"""),1085)</f>
        <v>1085</v>
      </c>
      <c r="Q77" s="1">
        <f ca="1">IFERROR(__xludf.DUMMYFUNCTION("""COMPUTED_VALUE"""),631)</f>
        <v>631</v>
      </c>
      <c r="R77" s="1">
        <f ca="1">IFERROR(__xludf.DUMMYFUNCTION("""COMPUTED_VALUE"""),1463)</f>
        <v>1463</v>
      </c>
      <c r="S77" s="1">
        <f ca="1">IFERROR(__xludf.DUMMYFUNCTION("""COMPUTED_VALUE"""),0.431)</f>
        <v>0.43099999999999999</v>
      </c>
      <c r="T77" s="1">
        <f ca="1">IFERROR(__xludf.DUMMYFUNCTION("""COMPUTED_VALUE"""),199)</f>
        <v>199</v>
      </c>
      <c r="U77" s="1">
        <f ca="1">IFERROR(__xludf.DUMMYFUNCTION("""COMPUTED_VALUE"""),565)</f>
        <v>565</v>
      </c>
      <c r="V77" s="1">
        <f ca="1">IFERROR(__xludf.DUMMYFUNCTION("""COMPUTED_VALUE"""),0.352)</f>
        <v>0.35199999999999998</v>
      </c>
      <c r="W77" s="1">
        <f ca="1">IFERROR(__xludf.DUMMYFUNCTION("""COMPUTED_VALUE"""),351)</f>
        <v>351</v>
      </c>
      <c r="X77" s="1">
        <f ca="1">IFERROR(__xludf.DUMMYFUNCTION("""COMPUTED_VALUE"""),495)</f>
        <v>495</v>
      </c>
      <c r="Y77" s="1">
        <f ca="1">IFERROR(__xludf.DUMMYFUNCTION("""COMPUTED_VALUE"""),0.709)</f>
        <v>0.70899999999999996</v>
      </c>
      <c r="Z77" s="1">
        <f ca="1">IFERROR(__xludf.DUMMYFUNCTION("""COMPUTED_VALUE"""),249)</f>
        <v>249</v>
      </c>
      <c r="AA77" s="1">
        <f ca="1">IFERROR(__xludf.DUMMYFUNCTION("""COMPUTED_VALUE"""),917)</f>
        <v>917</v>
      </c>
      <c r="AB77" s="1">
        <f ca="1">IFERROR(__xludf.DUMMYFUNCTION("""COMPUTED_VALUE"""),301)</f>
        <v>301</v>
      </c>
      <c r="AC77" s="1">
        <f ca="1">IFERROR(__xludf.DUMMYFUNCTION("""COMPUTED_VALUE"""),124)</f>
        <v>124</v>
      </c>
      <c r="AD77" s="1">
        <f ca="1">IFERROR(__xludf.DUMMYFUNCTION("""COMPUTED_VALUE"""),48)</f>
        <v>48</v>
      </c>
      <c r="AE77" s="1">
        <f ca="1">IFERROR(__xludf.DUMMYFUNCTION("""COMPUTED_VALUE"""),401)</f>
        <v>401</v>
      </c>
      <c r="AF77" s="1">
        <f ca="1">IFERROR(__xludf.DUMMYFUNCTION("""COMPUTED_VALUE"""),493)</f>
        <v>493</v>
      </c>
    </row>
    <row r="78" spans="1:32" ht="12.5" x14ac:dyDescent="0.25">
      <c r="A78" s="1" t="str">
        <f ca="1">IFERROR(__xludf.DUMMYFUNCTION("""COMPUTED_VALUE"""),"Davidson")</f>
        <v>Davidson</v>
      </c>
      <c r="B78" s="1">
        <f ca="1">IFERROR(__xludf.DUMMYFUNCTION("""COMPUTED_VALUE"""),32)</f>
        <v>32</v>
      </c>
      <c r="C78" s="1">
        <f ca="1">IFERROR(__xludf.DUMMYFUNCTION("""COMPUTED_VALUE"""),17)</f>
        <v>17</v>
      </c>
      <c r="D78" s="1">
        <f ca="1">IFERROR(__xludf.DUMMYFUNCTION("""COMPUTED_VALUE"""),15)</f>
        <v>15</v>
      </c>
      <c r="E78" s="1">
        <f ca="1">IFERROR(__xludf.DUMMYFUNCTION("""COMPUTED_VALUE"""),0.531)</f>
        <v>0.53100000000000003</v>
      </c>
      <c r="F78" s="1">
        <f ca="1">IFERROR(__xludf.DUMMYFUNCTION("""COMPUTED_VALUE"""),6.45)</f>
        <v>6.45</v>
      </c>
      <c r="G78" s="1">
        <f ca="1">IFERROR(__xludf.DUMMYFUNCTION("""COMPUTED_VALUE"""),4.26)</f>
        <v>4.26</v>
      </c>
      <c r="H78" s="1">
        <f ca="1">IFERROR(__xludf.DUMMYFUNCTION("""COMPUTED_VALUE"""),8)</f>
        <v>8</v>
      </c>
      <c r="I78" s="1">
        <f ca="1">IFERROR(__xludf.DUMMYFUNCTION("""COMPUTED_VALUE"""),10)</f>
        <v>10</v>
      </c>
      <c r="J78" s="1">
        <f ca="1">IFERROR(__xludf.DUMMYFUNCTION("""COMPUTED_VALUE"""),8)</f>
        <v>8</v>
      </c>
      <c r="K78" s="1">
        <f ca="1">IFERROR(__xludf.DUMMYFUNCTION("""COMPUTED_VALUE"""),5)</f>
        <v>5</v>
      </c>
      <c r="L78" s="1">
        <f ca="1">IFERROR(__xludf.DUMMYFUNCTION("""COMPUTED_VALUE"""),5)</f>
        <v>5</v>
      </c>
      <c r="M78" s="1">
        <f ca="1">IFERROR(__xludf.DUMMYFUNCTION("""COMPUTED_VALUE"""),7)</f>
        <v>7</v>
      </c>
      <c r="N78" s="1">
        <f ca="1">IFERROR(__xludf.DUMMYFUNCTION("""COMPUTED_VALUE"""),2362)</f>
        <v>2362</v>
      </c>
      <c r="O78" s="1">
        <f ca="1">IFERROR(__xludf.DUMMYFUNCTION("""COMPUTED_VALUE"""),2292)</f>
        <v>2292</v>
      </c>
      <c r="P78" s="1">
        <f ca="1">IFERROR(__xludf.DUMMYFUNCTION("""COMPUTED_VALUE"""),1290)</f>
        <v>1290</v>
      </c>
      <c r="Q78" s="1">
        <f ca="1">IFERROR(__xludf.DUMMYFUNCTION("""COMPUTED_VALUE"""),814)</f>
        <v>814</v>
      </c>
      <c r="R78" s="1">
        <f ca="1">IFERROR(__xludf.DUMMYFUNCTION("""COMPUTED_VALUE"""),1861)</f>
        <v>1861</v>
      </c>
      <c r="S78" s="1">
        <f ca="1">IFERROR(__xludf.DUMMYFUNCTION("""COMPUTED_VALUE"""),0.437)</f>
        <v>0.437</v>
      </c>
      <c r="T78" s="1">
        <f ca="1">IFERROR(__xludf.DUMMYFUNCTION("""COMPUTED_VALUE"""),292)</f>
        <v>292</v>
      </c>
      <c r="U78" s="1">
        <f ca="1">IFERROR(__xludf.DUMMYFUNCTION("""COMPUTED_VALUE"""),856)</f>
        <v>856</v>
      </c>
      <c r="V78" s="1">
        <f ca="1">IFERROR(__xludf.DUMMYFUNCTION("""COMPUTED_VALUE"""),0.341)</f>
        <v>0.34100000000000003</v>
      </c>
      <c r="W78" s="1">
        <f ca="1">IFERROR(__xludf.DUMMYFUNCTION("""COMPUTED_VALUE"""),442)</f>
        <v>442</v>
      </c>
      <c r="X78" s="1">
        <f ca="1">IFERROR(__xludf.DUMMYFUNCTION("""COMPUTED_VALUE"""),587)</f>
        <v>587</v>
      </c>
      <c r="Y78" s="1">
        <f ca="1">IFERROR(__xludf.DUMMYFUNCTION("""COMPUTED_VALUE"""),0.753)</f>
        <v>0.753</v>
      </c>
      <c r="Z78" s="1">
        <f ca="1">IFERROR(__xludf.DUMMYFUNCTION("""COMPUTED_VALUE"""),285)</f>
        <v>285</v>
      </c>
      <c r="AA78" s="1">
        <f ca="1">IFERROR(__xludf.DUMMYFUNCTION("""COMPUTED_VALUE"""),1149)</f>
        <v>1149</v>
      </c>
      <c r="AB78" s="1">
        <f ca="1">IFERROR(__xludf.DUMMYFUNCTION("""COMPUTED_VALUE"""),499)</f>
        <v>499</v>
      </c>
      <c r="AC78" s="1">
        <f ca="1">IFERROR(__xludf.DUMMYFUNCTION("""COMPUTED_VALUE"""),163)</f>
        <v>163</v>
      </c>
      <c r="AD78" s="1">
        <f ca="1">IFERROR(__xludf.DUMMYFUNCTION("""COMPUTED_VALUE"""),106)</f>
        <v>106</v>
      </c>
      <c r="AE78" s="1">
        <f ca="1">IFERROR(__xludf.DUMMYFUNCTION("""COMPUTED_VALUE"""),390)</f>
        <v>390</v>
      </c>
      <c r="AF78" s="1">
        <f ca="1">IFERROR(__xludf.DUMMYFUNCTION("""COMPUTED_VALUE"""),583)</f>
        <v>583</v>
      </c>
    </row>
    <row r="79" spans="1:32" ht="12.5" x14ac:dyDescent="0.25">
      <c r="A79" s="1" t="str">
        <f ca="1">IFERROR(__xludf.DUMMYFUNCTION("""COMPUTED_VALUE"""),"DaytonNCAA")</f>
        <v>DaytonNCAA</v>
      </c>
      <c r="B79" s="1">
        <f ca="1">IFERROR(__xludf.DUMMYFUNCTION("""COMPUTED_VALUE"""),32)</f>
        <v>32</v>
      </c>
      <c r="C79" s="1">
        <f ca="1">IFERROR(__xludf.DUMMYFUNCTION("""COMPUTED_VALUE"""),24)</f>
        <v>24</v>
      </c>
      <c r="D79" s="1">
        <f ca="1">IFERROR(__xludf.DUMMYFUNCTION("""COMPUTED_VALUE"""),8)</f>
        <v>8</v>
      </c>
      <c r="E79" s="1">
        <f ca="1">IFERROR(__xludf.DUMMYFUNCTION("""COMPUTED_VALUE"""),0.75)</f>
        <v>0.75</v>
      </c>
      <c r="F79" s="1">
        <f ca="1">IFERROR(__xludf.DUMMYFUNCTION("""COMPUTED_VALUE"""),12.98)</f>
        <v>12.98</v>
      </c>
      <c r="G79" s="1">
        <f ca="1">IFERROR(__xludf.DUMMYFUNCTION("""COMPUTED_VALUE"""),4.27)</f>
        <v>4.2699999999999996</v>
      </c>
      <c r="H79" s="1">
        <f ca="1">IFERROR(__xludf.DUMMYFUNCTION("""COMPUTED_VALUE"""),15)</f>
        <v>15</v>
      </c>
      <c r="I79" s="1">
        <f ca="1">IFERROR(__xludf.DUMMYFUNCTION("""COMPUTED_VALUE"""),3)</f>
        <v>3</v>
      </c>
      <c r="J79" s="1">
        <f ca="1">IFERROR(__xludf.DUMMYFUNCTION("""COMPUTED_VALUE"""),15)</f>
        <v>15</v>
      </c>
      <c r="K79" s="1">
        <f ca="1">IFERROR(__xludf.DUMMYFUNCTION("""COMPUTED_VALUE"""),1)</f>
        <v>1</v>
      </c>
      <c r="L79" s="1">
        <f ca="1">IFERROR(__xludf.DUMMYFUNCTION("""COMPUTED_VALUE"""),7)</f>
        <v>7</v>
      </c>
      <c r="M79" s="1">
        <f ca="1">IFERROR(__xludf.DUMMYFUNCTION("""COMPUTED_VALUE"""),3)</f>
        <v>3</v>
      </c>
      <c r="N79" s="1">
        <f ca="1">IFERROR(__xludf.DUMMYFUNCTION("""COMPUTED_VALUE"""),2428)</f>
        <v>2428</v>
      </c>
      <c r="O79" s="1">
        <f ca="1">IFERROR(__xludf.DUMMYFUNCTION("""COMPUTED_VALUE"""),2126)</f>
        <v>2126</v>
      </c>
      <c r="P79" s="1">
        <f ca="1">IFERROR(__xludf.DUMMYFUNCTION("""COMPUTED_VALUE"""),1285)</f>
        <v>1285</v>
      </c>
      <c r="Q79" s="1">
        <f ca="1">IFERROR(__xludf.DUMMYFUNCTION("""COMPUTED_VALUE"""),820)</f>
        <v>820</v>
      </c>
      <c r="R79" s="1">
        <f ca="1">IFERROR(__xludf.DUMMYFUNCTION("""COMPUTED_VALUE"""),1763)</f>
        <v>1763</v>
      </c>
      <c r="S79" s="1">
        <f ca="1">IFERROR(__xludf.DUMMYFUNCTION("""COMPUTED_VALUE"""),0.465)</f>
        <v>0.46500000000000002</v>
      </c>
      <c r="T79" s="1">
        <f ca="1">IFERROR(__xludf.DUMMYFUNCTION("""COMPUTED_VALUE"""),258)</f>
        <v>258</v>
      </c>
      <c r="U79" s="1">
        <f ca="1">IFERROR(__xludf.DUMMYFUNCTION("""COMPUTED_VALUE"""),671)</f>
        <v>671</v>
      </c>
      <c r="V79" s="1">
        <f ca="1">IFERROR(__xludf.DUMMYFUNCTION("""COMPUTED_VALUE"""),0.385)</f>
        <v>0.38500000000000001</v>
      </c>
      <c r="W79" s="1">
        <f ca="1">IFERROR(__xludf.DUMMYFUNCTION("""COMPUTED_VALUE"""),530)</f>
        <v>530</v>
      </c>
      <c r="X79" s="1">
        <f ca="1">IFERROR(__xludf.DUMMYFUNCTION("""COMPUTED_VALUE"""),768)</f>
        <v>768</v>
      </c>
      <c r="Y79" s="1">
        <f ca="1">IFERROR(__xludf.DUMMYFUNCTION("""COMPUTED_VALUE"""),0.69)</f>
        <v>0.69</v>
      </c>
      <c r="Z79" s="1">
        <f ca="1">IFERROR(__xludf.DUMMYFUNCTION("""COMPUTED_VALUE"""),277)</f>
        <v>277</v>
      </c>
      <c r="AA79" s="1">
        <f ca="1">IFERROR(__xludf.DUMMYFUNCTION("""COMPUTED_VALUE"""),1097)</f>
        <v>1097</v>
      </c>
      <c r="AB79" s="1">
        <f ca="1">IFERROR(__xludf.DUMMYFUNCTION("""COMPUTED_VALUE"""),500)</f>
        <v>500</v>
      </c>
      <c r="AC79" s="1">
        <f ca="1">IFERROR(__xludf.DUMMYFUNCTION("""COMPUTED_VALUE"""),249)</f>
        <v>249</v>
      </c>
      <c r="AD79" s="1">
        <f ca="1">IFERROR(__xludf.DUMMYFUNCTION("""COMPUTED_VALUE"""),128)</f>
        <v>128</v>
      </c>
      <c r="AE79" s="1">
        <f ca="1">IFERROR(__xludf.DUMMYFUNCTION("""COMPUTED_VALUE"""),376)</f>
        <v>376</v>
      </c>
      <c r="AF79" s="1">
        <f ca="1">IFERROR(__xludf.DUMMYFUNCTION("""COMPUTED_VALUE"""),601)</f>
        <v>601</v>
      </c>
    </row>
    <row r="80" spans="1:32" ht="12.5" x14ac:dyDescent="0.25">
      <c r="A80" s="1" t="str">
        <f ca="1">IFERROR(__xludf.DUMMYFUNCTION("""COMPUTED_VALUE"""),"Delaware State")</f>
        <v>Delaware State</v>
      </c>
      <c r="B80" s="1">
        <f ca="1">IFERROR(__xludf.DUMMYFUNCTION("""COMPUTED_VALUE"""),32)</f>
        <v>32</v>
      </c>
      <c r="C80" s="1">
        <f ca="1">IFERROR(__xludf.DUMMYFUNCTION("""COMPUTED_VALUE"""),10)</f>
        <v>10</v>
      </c>
      <c r="D80" s="1">
        <f ca="1">IFERROR(__xludf.DUMMYFUNCTION("""COMPUTED_VALUE"""),22)</f>
        <v>22</v>
      </c>
      <c r="E80" s="1">
        <f ca="1">IFERROR(__xludf.DUMMYFUNCTION("""COMPUTED_VALUE"""),0.313)</f>
        <v>0.313</v>
      </c>
      <c r="F80" s="1">
        <f ca="1">IFERROR(__xludf.DUMMYFUNCTION("""COMPUTED_VALUE"""),-18.81)</f>
        <v>-18.809999999999999</v>
      </c>
      <c r="G80" s="1">
        <f ca="1">IFERROR(__xludf.DUMMYFUNCTION("""COMPUTED_VALUE"""),-9.37)</f>
        <v>-9.3699999999999992</v>
      </c>
      <c r="H80" s="1">
        <f ca="1">IFERROR(__xludf.DUMMYFUNCTION("""COMPUTED_VALUE"""),7)</f>
        <v>7</v>
      </c>
      <c r="I80" s="1">
        <f ca="1">IFERROR(__xludf.DUMMYFUNCTION("""COMPUTED_VALUE"""),9)</f>
        <v>9</v>
      </c>
      <c r="J80" s="1">
        <f ca="1">IFERROR(__xludf.DUMMYFUNCTION("""COMPUTED_VALUE"""),4)</f>
        <v>4</v>
      </c>
      <c r="K80" s="1">
        <f ca="1">IFERROR(__xludf.DUMMYFUNCTION("""COMPUTED_VALUE"""),7)</f>
        <v>7</v>
      </c>
      <c r="L80" s="1">
        <f ca="1">IFERROR(__xludf.DUMMYFUNCTION("""COMPUTED_VALUE"""),6)</f>
        <v>6</v>
      </c>
      <c r="M80" s="1">
        <f ca="1">IFERROR(__xludf.DUMMYFUNCTION("""COMPUTED_VALUE"""),14)</f>
        <v>14</v>
      </c>
      <c r="N80" s="1">
        <f ca="1">IFERROR(__xludf.DUMMYFUNCTION("""COMPUTED_VALUE"""),2186)</f>
        <v>2186</v>
      </c>
      <c r="O80" s="1">
        <f ca="1">IFERROR(__xludf.DUMMYFUNCTION("""COMPUTED_VALUE"""),2399)</f>
        <v>2399</v>
      </c>
      <c r="P80" s="1">
        <f ca="1">IFERROR(__xludf.DUMMYFUNCTION("""COMPUTED_VALUE"""),1295)</f>
        <v>1295</v>
      </c>
      <c r="Q80" s="1">
        <f ca="1">IFERROR(__xludf.DUMMYFUNCTION("""COMPUTED_VALUE"""),782)</f>
        <v>782</v>
      </c>
      <c r="R80" s="1">
        <f ca="1">IFERROR(__xludf.DUMMYFUNCTION("""COMPUTED_VALUE"""),1865)</f>
        <v>1865</v>
      </c>
      <c r="S80" s="1">
        <f ca="1">IFERROR(__xludf.DUMMYFUNCTION("""COMPUTED_VALUE"""),0.419)</f>
        <v>0.41899999999999998</v>
      </c>
      <c r="T80" s="1">
        <f ca="1">IFERROR(__xludf.DUMMYFUNCTION("""COMPUTED_VALUE"""),263)</f>
        <v>263</v>
      </c>
      <c r="U80" s="1">
        <f ca="1">IFERROR(__xludf.DUMMYFUNCTION("""COMPUTED_VALUE"""),727)</f>
        <v>727</v>
      </c>
      <c r="V80" s="1">
        <f ca="1">IFERROR(__xludf.DUMMYFUNCTION("""COMPUTED_VALUE"""),0.362)</f>
        <v>0.36199999999999999</v>
      </c>
      <c r="W80" s="1">
        <f ca="1">IFERROR(__xludf.DUMMYFUNCTION("""COMPUTED_VALUE"""),359)</f>
        <v>359</v>
      </c>
      <c r="X80" s="1">
        <f ca="1">IFERROR(__xludf.DUMMYFUNCTION("""COMPUTED_VALUE"""),545)</f>
        <v>545</v>
      </c>
      <c r="Y80" s="1">
        <f ca="1">IFERROR(__xludf.DUMMYFUNCTION("""COMPUTED_VALUE"""),0.659)</f>
        <v>0.65900000000000003</v>
      </c>
      <c r="Z80" s="1">
        <f ca="1">IFERROR(__xludf.DUMMYFUNCTION("""COMPUTED_VALUE"""),348)</f>
        <v>348</v>
      </c>
      <c r="AA80" s="1">
        <f ca="1">IFERROR(__xludf.DUMMYFUNCTION("""COMPUTED_VALUE"""),1057)</f>
        <v>1057</v>
      </c>
      <c r="AB80" s="1">
        <f ca="1">IFERROR(__xludf.DUMMYFUNCTION("""COMPUTED_VALUE"""),429)</f>
        <v>429</v>
      </c>
      <c r="AC80" s="1">
        <f ca="1">IFERROR(__xludf.DUMMYFUNCTION("""COMPUTED_VALUE"""),177)</f>
        <v>177</v>
      </c>
      <c r="AD80" s="1">
        <f ca="1">IFERROR(__xludf.DUMMYFUNCTION("""COMPUTED_VALUE"""),89)</f>
        <v>89</v>
      </c>
      <c r="AE80" s="1">
        <f ca="1">IFERROR(__xludf.DUMMYFUNCTION("""COMPUTED_VALUE"""),436)</f>
        <v>436</v>
      </c>
      <c r="AF80" s="1">
        <f ca="1">IFERROR(__xludf.DUMMYFUNCTION("""COMPUTED_VALUE"""),608)</f>
        <v>608</v>
      </c>
    </row>
    <row r="81" spans="1:32" ht="12.5" x14ac:dyDescent="0.25">
      <c r="A81" s="1" t="str">
        <f ca="1">IFERROR(__xludf.DUMMYFUNCTION("""COMPUTED_VALUE"""),"Delaware")</f>
        <v>Delaware</v>
      </c>
      <c r="B81" s="1">
        <f ca="1">IFERROR(__xludf.DUMMYFUNCTION("""COMPUTED_VALUE"""),33)</f>
        <v>33</v>
      </c>
      <c r="C81" s="1">
        <f ca="1">IFERROR(__xludf.DUMMYFUNCTION("""COMPUTED_VALUE"""),13)</f>
        <v>13</v>
      </c>
      <c r="D81" s="1">
        <f ca="1">IFERROR(__xludf.DUMMYFUNCTION("""COMPUTED_VALUE"""),20)</f>
        <v>20</v>
      </c>
      <c r="E81" s="1">
        <f ca="1">IFERROR(__xludf.DUMMYFUNCTION("""COMPUTED_VALUE"""),0.394)</f>
        <v>0.39400000000000002</v>
      </c>
      <c r="F81" s="1">
        <f ca="1">IFERROR(__xludf.DUMMYFUNCTION("""COMPUTED_VALUE"""),-9.97)</f>
        <v>-9.9700000000000006</v>
      </c>
      <c r="G81" s="1">
        <f ca="1">IFERROR(__xludf.DUMMYFUNCTION("""COMPUTED_VALUE"""),-1.42)</f>
        <v>-1.42</v>
      </c>
      <c r="H81" s="1">
        <f ca="1">IFERROR(__xludf.DUMMYFUNCTION("""COMPUTED_VALUE"""),5)</f>
        <v>5</v>
      </c>
      <c r="I81" s="1">
        <f ca="1">IFERROR(__xludf.DUMMYFUNCTION("""COMPUTED_VALUE"""),13)</f>
        <v>13</v>
      </c>
      <c r="J81" s="1">
        <f ca="1">IFERROR(__xludf.DUMMYFUNCTION("""COMPUTED_VALUE"""),9)</f>
        <v>9</v>
      </c>
      <c r="K81" s="1">
        <f ca="1">IFERROR(__xludf.DUMMYFUNCTION("""COMPUTED_VALUE"""),5)</f>
        <v>5</v>
      </c>
      <c r="L81" s="1">
        <f ca="1">IFERROR(__xludf.DUMMYFUNCTION("""COMPUTED_VALUE"""),3)</f>
        <v>3</v>
      </c>
      <c r="M81" s="1">
        <f ca="1">IFERROR(__xludf.DUMMYFUNCTION("""COMPUTED_VALUE"""),12)</f>
        <v>12</v>
      </c>
      <c r="N81" s="1">
        <f ca="1">IFERROR(__xludf.DUMMYFUNCTION("""COMPUTED_VALUE"""),2157)</f>
        <v>2157</v>
      </c>
      <c r="O81" s="1">
        <f ca="1">IFERROR(__xludf.DUMMYFUNCTION("""COMPUTED_VALUE"""),2381)</f>
        <v>2381</v>
      </c>
      <c r="P81" s="1">
        <f ca="1">IFERROR(__xludf.DUMMYFUNCTION("""COMPUTED_VALUE"""),1325)</f>
        <v>1325</v>
      </c>
      <c r="Q81" s="1">
        <f ca="1">IFERROR(__xludf.DUMMYFUNCTION("""COMPUTED_VALUE"""),775)</f>
        <v>775</v>
      </c>
      <c r="R81" s="1">
        <f ca="1">IFERROR(__xludf.DUMMYFUNCTION("""COMPUTED_VALUE"""),1838)</f>
        <v>1838</v>
      </c>
      <c r="S81" s="1">
        <f ca="1">IFERROR(__xludf.DUMMYFUNCTION("""COMPUTED_VALUE"""),0.422)</f>
        <v>0.42199999999999999</v>
      </c>
      <c r="T81" s="1">
        <f ca="1">IFERROR(__xludf.DUMMYFUNCTION("""COMPUTED_VALUE"""),196)</f>
        <v>196</v>
      </c>
      <c r="U81" s="1">
        <f ca="1">IFERROR(__xludf.DUMMYFUNCTION("""COMPUTED_VALUE"""),643)</f>
        <v>643</v>
      </c>
      <c r="V81" s="1">
        <f ca="1">IFERROR(__xludf.DUMMYFUNCTION("""COMPUTED_VALUE"""),0.305)</f>
        <v>0.30499999999999999</v>
      </c>
      <c r="W81" s="1">
        <f ca="1">IFERROR(__xludf.DUMMYFUNCTION("""COMPUTED_VALUE"""),411)</f>
        <v>411</v>
      </c>
      <c r="X81" s="1">
        <f ca="1">IFERROR(__xludf.DUMMYFUNCTION("""COMPUTED_VALUE"""),599)</f>
        <v>599</v>
      </c>
      <c r="Y81" s="1">
        <f ca="1">IFERROR(__xludf.DUMMYFUNCTION("""COMPUTED_VALUE"""),0.686)</f>
        <v>0.68600000000000005</v>
      </c>
      <c r="Z81" s="1">
        <f ca="1">IFERROR(__xludf.DUMMYFUNCTION("""COMPUTED_VALUE"""),322)</f>
        <v>322</v>
      </c>
      <c r="AA81" s="1">
        <f ca="1">IFERROR(__xludf.DUMMYFUNCTION("""COMPUTED_VALUE"""),1159)</f>
        <v>1159</v>
      </c>
      <c r="AB81" s="1">
        <f ca="1">IFERROR(__xludf.DUMMYFUNCTION("""COMPUTED_VALUE"""),385)</f>
        <v>385</v>
      </c>
      <c r="AC81" s="1">
        <f ca="1">IFERROR(__xludf.DUMMYFUNCTION("""COMPUTED_VALUE"""),176)</f>
        <v>176</v>
      </c>
      <c r="AD81" s="1">
        <f ca="1">IFERROR(__xludf.DUMMYFUNCTION("""COMPUTED_VALUE"""),102)</f>
        <v>102</v>
      </c>
      <c r="AE81" s="1">
        <f ca="1">IFERROR(__xludf.DUMMYFUNCTION("""COMPUTED_VALUE"""),396)</f>
        <v>396</v>
      </c>
      <c r="AF81" s="1">
        <f ca="1">IFERROR(__xludf.DUMMYFUNCTION("""COMPUTED_VALUE"""),625)</f>
        <v>625</v>
      </c>
    </row>
    <row r="82" spans="1:32" ht="12.5" x14ac:dyDescent="0.25">
      <c r="A82" s="1" t="str">
        <f ca="1">IFERROR(__xludf.DUMMYFUNCTION("""COMPUTED_VALUE"""),"Denver")</f>
        <v>Denver</v>
      </c>
      <c r="B82" s="1">
        <f ca="1">IFERROR(__xludf.DUMMYFUNCTION("""COMPUTED_VALUE"""),30)</f>
        <v>30</v>
      </c>
      <c r="C82" s="1">
        <f ca="1">IFERROR(__xludf.DUMMYFUNCTION("""COMPUTED_VALUE"""),16)</f>
        <v>16</v>
      </c>
      <c r="D82" s="1">
        <f ca="1">IFERROR(__xludf.DUMMYFUNCTION("""COMPUTED_VALUE"""),14)</f>
        <v>14</v>
      </c>
      <c r="E82" s="1">
        <f ca="1">IFERROR(__xludf.DUMMYFUNCTION("""COMPUTED_VALUE"""),0.533)</f>
        <v>0.53300000000000003</v>
      </c>
      <c r="F82" s="1">
        <f ca="1">IFERROR(__xludf.DUMMYFUNCTION("""COMPUTED_VALUE"""),-2.99)</f>
        <v>-2.99</v>
      </c>
      <c r="G82" s="1">
        <f ca="1">IFERROR(__xludf.DUMMYFUNCTION("""COMPUTED_VALUE"""),-4.19)</f>
        <v>-4.1900000000000004</v>
      </c>
      <c r="H82" s="1">
        <f ca="1">IFERROR(__xludf.DUMMYFUNCTION("""COMPUTED_VALUE"""),8)</f>
        <v>8</v>
      </c>
      <c r="I82" s="1">
        <f ca="1">IFERROR(__xludf.DUMMYFUNCTION("""COMPUTED_VALUE"""),8)</f>
        <v>8</v>
      </c>
      <c r="J82" s="1">
        <f ca="1">IFERROR(__xludf.DUMMYFUNCTION("""COMPUTED_VALUE"""),8)</f>
        <v>8</v>
      </c>
      <c r="K82" s="1">
        <f ca="1">IFERROR(__xludf.DUMMYFUNCTION("""COMPUTED_VALUE"""),5)</f>
        <v>5</v>
      </c>
      <c r="L82" s="1">
        <f ca="1">IFERROR(__xludf.DUMMYFUNCTION("""COMPUTED_VALUE"""),7)</f>
        <v>7</v>
      </c>
      <c r="M82" s="1">
        <f ca="1">IFERROR(__xludf.DUMMYFUNCTION("""COMPUTED_VALUE"""),8)</f>
        <v>8</v>
      </c>
      <c r="N82" s="1">
        <f ca="1">IFERROR(__xludf.DUMMYFUNCTION("""COMPUTED_VALUE"""),2275)</f>
        <v>2275</v>
      </c>
      <c r="O82" s="1">
        <f ca="1">IFERROR(__xludf.DUMMYFUNCTION("""COMPUTED_VALUE"""),2239)</f>
        <v>2239</v>
      </c>
      <c r="P82" s="1">
        <f ca="1">IFERROR(__xludf.DUMMYFUNCTION("""COMPUTED_VALUE"""),1210)</f>
        <v>1210</v>
      </c>
      <c r="Q82" s="1">
        <f ca="1">IFERROR(__xludf.DUMMYFUNCTION("""COMPUTED_VALUE"""),811)</f>
        <v>811</v>
      </c>
      <c r="R82" s="1">
        <f ca="1">IFERROR(__xludf.DUMMYFUNCTION("""COMPUTED_VALUE"""),1684)</f>
        <v>1684</v>
      </c>
      <c r="S82" s="1">
        <f ca="1">IFERROR(__xludf.DUMMYFUNCTION("""COMPUTED_VALUE"""),0.482)</f>
        <v>0.48199999999999998</v>
      </c>
      <c r="T82" s="1">
        <f ca="1">IFERROR(__xludf.DUMMYFUNCTION("""COMPUTED_VALUE"""),223)</f>
        <v>223</v>
      </c>
      <c r="U82" s="1">
        <f ca="1">IFERROR(__xludf.DUMMYFUNCTION("""COMPUTED_VALUE"""),555)</f>
        <v>555</v>
      </c>
      <c r="V82" s="1">
        <f ca="1">IFERROR(__xludf.DUMMYFUNCTION("""COMPUTED_VALUE"""),0.402)</f>
        <v>0.40200000000000002</v>
      </c>
      <c r="W82" s="1">
        <f ca="1">IFERROR(__xludf.DUMMYFUNCTION("""COMPUTED_VALUE"""),428)</f>
        <v>428</v>
      </c>
      <c r="X82" s="1">
        <f ca="1">IFERROR(__xludf.DUMMYFUNCTION("""COMPUTED_VALUE"""),583)</f>
        <v>583</v>
      </c>
      <c r="Y82" s="1">
        <f ca="1">IFERROR(__xludf.DUMMYFUNCTION("""COMPUTED_VALUE"""),0.734)</f>
        <v>0.73399999999999999</v>
      </c>
      <c r="Z82" s="1">
        <f ca="1">IFERROR(__xludf.DUMMYFUNCTION("""COMPUTED_VALUE"""),273)</f>
        <v>273</v>
      </c>
      <c r="AA82" s="1">
        <f ca="1">IFERROR(__xludf.DUMMYFUNCTION("""COMPUTED_VALUE"""),1058)</f>
        <v>1058</v>
      </c>
      <c r="AB82" s="1">
        <f ca="1">IFERROR(__xludf.DUMMYFUNCTION("""COMPUTED_VALUE"""),452)</f>
        <v>452</v>
      </c>
      <c r="AC82" s="1">
        <f ca="1">IFERROR(__xludf.DUMMYFUNCTION("""COMPUTED_VALUE"""),150)</f>
        <v>150</v>
      </c>
      <c r="AD82" s="1">
        <f ca="1">IFERROR(__xludf.DUMMYFUNCTION("""COMPUTED_VALUE"""),64)</f>
        <v>64</v>
      </c>
      <c r="AE82" s="1">
        <f ca="1">IFERROR(__xludf.DUMMYFUNCTION("""COMPUTED_VALUE"""),404)</f>
        <v>404</v>
      </c>
      <c r="AF82" s="1">
        <f ca="1">IFERROR(__xludf.DUMMYFUNCTION("""COMPUTED_VALUE"""),603)</f>
        <v>603</v>
      </c>
    </row>
    <row r="83" spans="1:32" ht="12.5" x14ac:dyDescent="0.25">
      <c r="A83" s="1" t="str">
        <f ca="1">IFERROR(__xludf.DUMMYFUNCTION("""COMPUTED_VALUE"""),"DePaul")</f>
        <v>DePaul</v>
      </c>
      <c r="B83" s="1">
        <f ca="1">IFERROR(__xludf.DUMMYFUNCTION("""COMPUTED_VALUE"""),32)</f>
        <v>32</v>
      </c>
      <c r="C83" s="1">
        <f ca="1">IFERROR(__xludf.DUMMYFUNCTION("""COMPUTED_VALUE"""),9)</f>
        <v>9</v>
      </c>
      <c r="D83" s="1">
        <f ca="1">IFERROR(__xludf.DUMMYFUNCTION("""COMPUTED_VALUE"""),23)</f>
        <v>23</v>
      </c>
      <c r="E83" s="1">
        <f ca="1">IFERROR(__xludf.DUMMYFUNCTION("""COMPUTED_VALUE"""),0.281)</f>
        <v>0.28100000000000003</v>
      </c>
      <c r="F83" s="1">
        <f ca="1">IFERROR(__xludf.DUMMYFUNCTION("""COMPUTED_VALUE"""),2.09)</f>
        <v>2.09</v>
      </c>
      <c r="G83" s="1">
        <f ca="1">IFERROR(__xludf.DUMMYFUNCTION("""COMPUTED_VALUE"""),7.78)</f>
        <v>7.78</v>
      </c>
      <c r="H83" s="1">
        <f ca="1">IFERROR(__xludf.DUMMYFUNCTION("""COMPUTED_VALUE"""),2)</f>
        <v>2</v>
      </c>
      <c r="I83" s="1">
        <f ca="1">IFERROR(__xludf.DUMMYFUNCTION("""COMPUTED_VALUE"""),16)</f>
        <v>16</v>
      </c>
      <c r="J83" s="1">
        <f ca="1">IFERROR(__xludf.DUMMYFUNCTION("""COMPUTED_VALUE"""),8)</f>
        <v>8</v>
      </c>
      <c r="K83" s="1">
        <f ca="1">IFERROR(__xludf.DUMMYFUNCTION("""COMPUTED_VALUE"""),10)</f>
        <v>10</v>
      </c>
      <c r="L83" s="1">
        <f ca="1">IFERROR(__xludf.DUMMYFUNCTION("""COMPUTED_VALUE"""),1)</f>
        <v>1</v>
      </c>
      <c r="M83" s="1">
        <f ca="1">IFERROR(__xludf.DUMMYFUNCTION("""COMPUTED_VALUE"""),9)</f>
        <v>9</v>
      </c>
      <c r="N83" s="1">
        <f ca="1">IFERROR(__xludf.DUMMYFUNCTION("""COMPUTED_VALUE"""),2206)</f>
        <v>2206</v>
      </c>
      <c r="O83" s="1">
        <f ca="1">IFERROR(__xludf.DUMMYFUNCTION("""COMPUTED_VALUE"""),2388)</f>
        <v>2388</v>
      </c>
      <c r="P83" s="1">
        <f ca="1">IFERROR(__xludf.DUMMYFUNCTION("""COMPUTED_VALUE"""),1285)</f>
        <v>1285</v>
      </c>
      <c r="Q83" s="1">
        <f ca="1">IFERROR(__xludf.DUMMYFUNCTION("""COMPUTED_VALUE"""),775)</f>
        <v>775</v>
      </c>
      <c r="R83" s="1">
        <f ca="1">IFERROR(__xludf.DUMMYFUNCTION("""COMPUTED_VALUE"""),1804)</f>
        <v>1804</v>
      </c>
      <c r="S83" s="1">
        <f ca="1">IFERROR(__xludf.DUMMYFUNCTION("""COMPUTED_VALUE"""),0.43)</f>
        <v>0.43</v>
      </c>
      <c r="T83" s="1">
        <f ca="1">IFERROR(__xludf.DUMMYFUNCTION("""COMPUTED_VALUE"""),184)</f>
        <v>184</v>
      </c>
      <c r="U83" s="1">
        <f ca="1">IFERROR(__xludf.DUMMYFUNCTION("""COMPUTED_VALUE"""),564)</f>
        <v>564</v>
      </c>
      <c r="V83" s="1">
        <f ca="1">IFERROR(__xludf.DUMMYFUNCTION("""COMPUTED_VALUE"""),0.326)</f>
        <v>0.32600000000000001</v>
      </c>
      <c r="W83" s="1">
        <f ca="1">IFERROR(__xludf.DUMMYFUNCTION("""COMPUTED_VALUE"""),472)</f>
        <v>472</v>
      </c>
      <c r="X83" s="1">
        <f ca="1">IFERROR(__xludf.DUMMYFUNCTION("""COMPUTED_VALUE"""),642)</f>
        <v>642</v>
      </c>
      <c r="Y83" s="1">
        <f ca="1">IFERROR(__xludf.DUMMYFUNCTION("""COMPUTED_VALUE"""),0.735)</f>
        <v>0.73499999999999999</v>
      </c>
      <c r="Z83" s="1">
        <f ca="1">IFERROR(__xludf.DUMMYFUNCTION("""COMPUTED_VALUE"""),339)</f>
        <v>339</v>
      </c>
      <c r="AA83" s="1">
        <f ca="1">IFERROR(__xludf.DUMMYFUNCTION("""COMPUTED_VALUE"""),1057)</f>
        <v>1057</v>
      </c>
      <c r="AB83" s="1">
        <f ca="1">IFERROR(__xludf.DUMMYFUNCTION("""COMPUTED_VALUE"""),366)</f>
        <v>366</v>
      </c>
      <c r="AC83" s="1">
        <f ca="1">IFERROR(__xludf.DUMMYFUNCTION("""COMPUTED_VALUE"""),213)</f>
        <v>213</v>
      </c>
      <c r="AD83" s="1">
        <f ca="1">IFERROR(__xludf.DUMMYFUNCTION("""COMPUTED_VALUE"""),92)</f>
        <v>92</v>
      </c>
      <c r="AE83" s="1">
        <f ca="1">IFERROR(__xludf.DUMMYFUNCTION("""COMPUTED_VALUE"""),451)</f>
        <v>451</v>
      </c>
      <c r="AF83" s="1">
        <f ca="1">IFERROR(__xludf.DUMMYFUNCTION("""COMPUTED_VALUE"""),635)</f>
        <v>635</v>
      </c>
    </row>
    <row r="84" spans="1:32" ht="12.5" x14ac:dyDescent="0.25">
      <c r="A84" s="1" t="str">
        <f ca="1">IFERROR(__xludf.DUMMYFUNCTION("""COMPUTED_VALUE"""),"Detroit Mercy")</f>
        <v>Detroit Mercy</v>
      </c>
      <c r="B84" s="1">
        <f ca="1">IFERROR(__xludf.DUMMYFUNCTION("""COMPUTED_VALUE"""),31)</f>
        <v>31</v>
      </c>
      <c r="C84" s="1">
        <f ca="1">IFERROR(__xludf.DUMMYFUNCTION("""COMPUTED_VALUE"""),8)</f>
        <v>8</v>
      </c>
      <c r="D84" s="1">
        <f ca="1">IFERROR(__xludf.DUMMYFUNCTION("""COMPUTED_VALUE"""),23)</f>
        <v>23</v>
      </c>
      <c r="E84" s="1">
        <f ca="1">IFERROR(__xludf.DUMMYFUNCTION("""COMPUTED_VALUE"""),0.258)</f>
        <v>0.25800000000000001</v>
      </c>
      <c r="F84" s="1">
        <f ca="1">IFERROR(__xludf.DUMMYFUNCTION("""COMPUTED_VALUE"""),-10.72)</f>
        <v>-10.72</v>
      </c>
      <c r="G84" s="1">
        <f ca="1">IFERROR(__xludf.DUMMYFUNCTION("""COMPUTED_VALUE"""),-1.62)</f>
        <v>-1.62</v>
      </c>
      <c r="H84" s="1">
        <f ca="1">IFERROR(__xludf.DUMMYFUNCTION("""COMPUTED_VALUE"""),6)</f>
        <v>6</v>
      </c>
      <c r="I84" s="1">
        <f ca="1">IFERROR(__xludf.DUMMYFUNCTION("""COMPUTED_VALUE"""),12)</f>
        <v>12</v>
      </c>
      <c r="J84" s="1">
        <f ca="1">IFERROR(__xludf.DUMMYFUNCTION("""COMPUTED_VALUE"""),5)</f>
        <v>5</v>
      </c>
      <c r="K84" s="1">
        <f ca="1">IFERROR(__xludf.DUMMYFUNCTION("""COMPUTED_VALUE"""),9)</f>
        <v>9</v>
      </c>
      <c r="L84" s="1">
        <f ca="1">IFERROR(__xludf.DUMMYFUNCTION("""COMPUTED_VALUE"""),3)</f>
        <v>3</v>
      </c>
      <c r="M84" s="1">
        <f ca="1">IFERROR(__xludf.DUMMYFUNCTION("""COMPUTED_VALUE"""),13)</f>
        <v>13</v>
      </c>
      <c r="N84" s="1">
        <f ca="1">IFERROR(__xludf.DUMMYFUNCTION("""COMPUTED_VALUE"""),2387)</f>
        <v>2387</v>
      </c>
      <c r="O84" s="1">
        <f ca="1">IFERROR(__xludf.DUMMYFUNCTION("""COMPUTED_VALUE"""),2630)</f>
        <v>2630</v>
      </c>
      <c r="P84" s="1">
        <f ca="1">IFERROR(__xludf.DUMMYFUNCTION("""COMPUTED_VALUE"""),1255)</f>
        <v>1255</v>
      </c>
      <c r="Q84" s="1">
        <f ca="1">IFERROR(__xludf.DUMMYFUNCTION("""COMPUTED_VALUE"""),830)</f>
        <v>830</v>
      </c>
      <c r="R84" s="1">
        <f ca="1">IFERROR(__xludf.DUMMYFUNCTION("""COMPUTED_VALUE"""),1867)</f>
        <v>1867</v>
      </c>
      <c r="S84" s="1">
        <f ca="1">IFERROR(__xludf.DUMMYFUNCTION("""COMPUTED_VALUE"""),0.445)</f>
        <v>0.44500000000000001</v>
      </c>
      <c r="T84" s="1">
        <f ca="1">IFERROR(__xludf.DUMMYFUNCTION("""COMPUTED_VALUE"""),251)</f>
        <v>251</v>
      </c>
      <c r="U84" s="1">
        <f ca="1">IFERROR(__xludf.DUMMYFUNCTION("""COMPUTED_VALUE"""),675)</f>
        <v>675</v>
      </c>
      <c r="V84" s="1">
        <f ca="1">IFERROR(__xludf.DUMMYFUNCTION("""COMPUTED_VALUE"""),0.372)</f>
        <v>0.372</v>
      </c>
      <c r="W84" s="1">
        <f ca="1">IFERROR(__xludf.DUMMYFUNCTION("""COMPUTED_VALUE"""),476)</f>
        <v>476</v>
      </c>
      <c r="X84" s="1">
        <f ca="1">IFERROR(__xludf.DUMMYFUNCTION("""COMPUTED_VALUE"""),717)</f>
        <v>717</v>
      </c>
      <c r="Y84" s="1">
        <f ca="1">IFERROR(__xludf.DUMMYFUNCTION("""COMPUTED_VALUE"""),0.664)</f>
        <v>0.66400000000000003</v>
      </c>
      <c r="Z84" s="1">
        <f ca="1">IFERROR(__xludf.DUMMYFUNCTION("""COMPUTED_VALUE"""),320)</f>
        <v>320</v>
      </c>
      <c r="AA84" s="1">
        <f ca="1">IFERROR(__xludf.DUMMYFUNCTION("""COMPUTED_VALUE"""),1036)</f>
        <v>1036</v>
      </c>
      <c r="AB84" s="1">
        <f ca="1">IFERROR(__xludf.DUMMYFUNCTION("""COMPUTED_VALUE"""),398)</f>
        <v>398</v>
      </c>
      <c r="AC84" s="1">
        <f ca="1">IFERROR(__xludf.DUMMYFUNCTION("""COMPUTED_VALUE"""),203)</f>
        <v>203</v>
      </c>
      <c r="AD84" s="1">
        <f ca="1">IFERROR(__xludf.DUMMYFUNCTION("""COMPUTED_VALUE"""),78)</f>
        <v>78</v>
      </c>
      <c r="AE84" s="1">
        <f ca="1">IFERROR(__xludf.DUMMYFUNCTION("""COMPUTED_VALUE"""),451)</f>
        <v>451</v>
      </c>
      <c r="AF84" s="1">
        <f ca="1">IFERROR(__xludf.DUMMYFUNCTION("""COMPUTED_VALUE"""),741)</f>
        <v>741</v>
      </c>
    </row>
    <row r="85" spans="1:32" ht="12.5" x14ac:dyDescent="0.25">
      <c r="A85" s="1" t="str">
        <f ca="1">IFERROR(__xludf.DUMMYFUNCTION("""COMPUTED_VALUE"""),"Drake")</f>
        <v>Drake</v>
      </c>
      <c r="B85" s="1">
        <f ca="1">IFERROR(__xludf.DUMMYFUNCTION("""COMPUTED_VALUE"""),31)</f>
        <v>31</v>
      </c>
      <c r="C85" s="1">
        <f ca="1">IFERROR(__xludf.DUMMYFUNCTION("""COMPUTED_VALUE"""),7)</f>
        <v>7</v>
      </c>
      <c r="D85" s="1">
        <f ca="1">IFERROR(__xludf.DUMMYFUNCTION("""COMPUTED_VALUE"""),24)</f>
        <v>24</v>
      </c>
      <c r="E85" s="1">
        <f ca="1">IFERROR(__xludf.DUMMYFUNCTION("""COMPUTED_VALUE"""),0.226)</f>
        <v>0.22600000000000001</v>
      </c>
      <c r="F85" s="1">
        <f ca="1">IFERROR(__xludf.DUMMYFUNCTION("""COMPUTED_VALUE"""),-4.71)</f>
        <v>-4.71</v>
      </c>
      <c r="G85" s="1">
        <f ca="1">IFERROR(__xludf.DUMMYFUNCTION("""COMPUTED_VALUE"""),1.91)</f>
        <v>1.91</v>
      </c>
      <c r="H85" s="1">
        <f ca="1">IFERROR(__xludf.DUMMYFUNCTION("""COMPUTED_VALUE"""),5)</f>
        <v>5</v>
      </c>
      <c r="I85" s="1">
        <f ca="1">IFERROR(__xludf.DUMMYFUNCTION("""COMPUTED_VALUE"""),13)</f>
        <v>13</v>
      </c>
      <c r="J85" s="1">
        <f ca="1">IFERROR(__xludf.DUMMYFUNCTION("""COMPUTED_VALUE"""),6)</f>
        <v>6</v>
      </c>
      <c r="K85" s="1">
        <f ca="1">IFERROR(__xludf.DUMMYFUNCTION("""COMPUTED_VALUE"""),9)</f>
        <v>9</v>
      </c>
      <c r="L85" s="1">
        <f ca="1">IFERROR(__xludf.DUMMYFUNCTION("""COMPUTED_VALUE"""),1)</f>
        <v>1</v>
      </c>
      <c r="M85" s="1">
        <f ca="1">IFERROR(__xludf.DUMMYFUNCTION("""COMPUTED_VALUE"""),11)</f>
        <v>11</v>
      </c>
      <c r="N85" s="1">
        <f ca="1">IFERROR(__xludf.DUMMYFUNCTION("""COMPUTED_VALUE"""),2208)</f>
        <v>2208</v>
      </c>
      <c r="O85" s="1">
        <f ca="1">IFERROR(__xludf.DUMMYFUNCTION("""COMPUTED_VALUE"""),2390)</f>
        <v>2390</v>
      </c>
      <c r="P85" s="1">
        <f ca="1">IFERROR(__xludf.DUMMYFUNCTION("""COMPUTED_VALUE"""),1255)</f>
        <v>1255</v>
      </c>
      <c r="Q85" s="1">
        <f ca="1">IFERROR(__xludf.DUMMYFUNCTION("""COMPUTED_VALUE"""),760)</f>
        <v>760</v>
      </c>
      <c r="R85" s="1">
        <f ca="1">IFERROR(__xludf.DUMMYFUNCTION("""COMPUTED_VALUE"""),1856)</f>
        <v>1856</v>
      </c>
      <c r="S85" s="1">
        <f ca="1">IFERROR(__xludf.DUMMYFUNCTION("""COMPUTED_VALUE"""),0.409)</f>
        <v>0.40899999999999997</v>
      </c>
      <c r="T85" s="1">
        <f ca="1">IFERROR(__xludf.DUMMYFUNCTION("""COMPUTED_VALUE"""),270)</f>
        <v>270</v>
      </c>
      <c r="U85" s="1">
        <f ca="1">IFERROR(__xludf.DUMMYFUNCTION("""COMPUTED_VALUE"""),782)</f>
        <v>782</v>
      </c>
      <c r="V85" s="1">
        <f ca="1">IFERROR(__xludf.DUMMYFUNCTION("""COMPUTED_VALUE"""),0.345)</f>
        <v>0.34499999999999997</v>
      </c>
      <c r="W85" s="1">
        <f ca="1">IFERROR(__xludf.DUMMYFUNCTION("""COMPUTED_VALUE"""),418)</f>
        <v>418</v>
      </c>
      <c r="X85" s="1">
        <f ca="1">IFERROR(__xludf.DUMMYFUNCTION("""COMPUTED_VALUE"""),553)</f>
        <v>553</v>
      </c>
      <c r="Y85" s="1">
        <f ca="1">IFERROR(__xludf.DUMMYFUNCTION("""COMPUTED_VALUE"""),0.756)</f>
        <v>0.75600000000000001</v>
      </c>
      <c r="Z85" s="1">
        <f ca="1">IFERROR(__xludf.DUMMYFUNCTION("""COMPUTED_VALUE"""),311)</f>
        <v>311</v>
      </c>
      <c r="AA85" s="1">
        <f ca="1">IFERROR(__xludf.DUMMYFUNCTION("""COMPUTED_VALUE"""),1070)</f>
        <v>1070</v>
      </c>
      <c r="AB85" s="1">
        <f ca="1">IFERROR(__xludf.DUMMYFUNCTION("""COMPUTED_VALUE"""),404)</f>
        <v>404</v>
      </c>
      <c r="AC85" s="1">
        <f ca="1">IFERROR(__xludf.DUMMYFUNCTION("""COMPUTED_VALUE"""),188)</f>
        <v>188</v>
      </c>
      <c r="AD85" s="1">
        <f ca="1">IFERROR(__xludf.DUMMYFUNCTION("""COMPUTED_VALUE"""),75)</f>
        <v>75</v>
      </c>
      <c r="AE85" s="1">
        <f ca="1">IFERROR(__xludf.DUMMYFUNCTION("""COMPUTED_VALUE"""),389)</f>
        <v>389</v>
      </c>
      <c r="AF85" s="1">
        <f ca="1">IFERROR(__xludf.DUMMYFUNCTION("""COMPUTED_VALUE"""),563)</f>
        <v>563</v>
      </c>
    </row>
    <row r="86" spans="1:32" ht="12.5" x14ac:dyDescent="0.25">
      <c r="A86" s="1" t="str">
        <f ca="1">IFERROR(__xludf.DUMMYFUNCTION("""COMPUTED_VALUE"""),"Drexel")</f>
        <v>Drexel</v>
      </c>
      <c r="B86" s="1">
        <f ca="1">IFERROR(__xludf.DUMMYFUNCTION("""COMPUTED_VALUE"""),32)</f>
        <v>32</v>
      </c>
      <c r="C86" s="1">
        <f ca="1">IFERROR(__xludf.DUMMYFUNCTION("""COMPUTED_VALUE"""),9)</f>
        <v>9</v>
      </c>
      <c r="D86" s="1">
        <f ca="1">IFERROR(__xludf.DUMMYFUNCTION("""COMPUTED_VALUE"""),23)</f>
        <v>23</v>
      </c>
      <c r="E86" s="1">
        <f ca="1">IFERROR(__xludf.DUMMYFUNCTION("""COMPUTED_VALUE"""),0.281)</f>
        <v>0.28100000000000003</v>
      </c>
      <c r="F86" s="1">
        <f ca="1">IFERROR(__xludf.DUMMYFUNCTION("""COMPUTED_VALUE"""),-7.43)</f>
        <v>-7.43</v>
      </c>
      <c r="G86" s="1">
        <f ca="1">IFERROR(__xludf.DUMMYFUNCTION("""COMPUTED_VALUE"""),-2.56)</f>
        <v>-2.56</v>
      </c>
      <c r="H86" s="1">
        <f ca="1">IFERROR(__xludf.DUMMYFUNCTION("""COMPUTED_VALUE"""),3)</f>
        <v>3</v>
      </c>
      <c r="I86" s="1">
        <f ca="1">IFERROR(__xludf.DUMMYFUNCTION("""COMPUTED_VALUE"""),15)</f>
        <v>15</v>
      </c>
      <c r="J86" s="1">
        <f ca="1">IFERROR(__xludf.DUMMYFUNCTION("""COMPUTED_VALUE"""),5)</f>
        <v>5</v>
      </c>
      <c r="K86" s="1">
        <f ca="1">IFERROR(__xludf.DUMMYFUNCTION("""COMPUTED_VALUE"""),8)</f>
        <v>8</v>
      </c>
      <c r="L86" s="1">
        <f ca="1">IFERROR(__xludf.DUMMYFUNCTION("""COMPUTED_VALUE"""),4)</f>
        <v>4</v>
      </c>
      <c r="M86" s="1">
        <f ca="1">IFERROR(__xludf.DUMMYFUNCTION("""COMPUTED_VALUE"""),14)</f>
        <v>14</v>
      </c>
      <c r="N86" s="1">
        <f ca="1">IFERROR(__xludf.DUMMYFUNCTION("""COMPUTED_VALUE"""),2397)</f>
        <v>2397</v>
      </c>
      <c r="O86" s="1">
        <f ca="1">IFERROR(__xludf.DUMMYFUNCTION("""COMPUTED_VALUE"""),2508)</f>
        <v>2508</v>
      </c>
      <c r="P86" s="1">
        <f ca="1">IFERROR(__xludf.DUMMYFUNCTION("""COMPUTED_VALUE"""),1300)</f>
        <v>1300</v>
      </c>
      <c r="Q86" s="1">
        <f ca="1">IFERROR(__xludf.DUMMYFUNCTION("""COMPUTED_VALUE"""),865)</f>
        <v>865</v>
      </c>
      <c r="R86" s="1">
        <f ca="1">IFERROR(__xludf.DUMMYFUNCTION("""COMPUTED_VALUE"""),1987)</f>
        <v>1987</v>
      </c>
      <c r="S86" s="1">
        <f ca="1">IFERROR(__xludf.DUMMYFUNCTION("""COMPUTED_VALUE"""),0.435)</f>
        <v>0.435</v>
      </c>
      <c r="T86" s="1">
        <f ca="1">IFERROR(__xludf.DUMMYFUNCTION("""COMPUTED_VALUE"""),256)</f>
        <v>256</v>
      </c>
      <c r="U86" s="1">
        <f ca="1">IFERROR(__xludf.DUMMYFUNCTION("""COMPUTED_VALUE"""),741)</f>
        <v>741</v>
      </c>
      <c r="V86" s="1">
        <f ca="1">IFERROR(__xludf.DUMMYFUNCTION("""COMPUTED_VALUE"""),0.345)</f>
        <v>0.34499999999999997</v>
      </c>
      <c r="W86" s="1">
        <f ca="1">IFERROR(__xludf.DUMMYFUNCTION("""COMPUTED_VALUE"""),411)</f>
        <v>411</v>
      </c>
      <c r="X86" s="1">
        <f ca="1">IFERROR(__xludf.DUMMYFUNCTION("""COMPUTED_VALUE"""),617)</f>
        <v>617</v>
      </c>
      <c r="Y86" s="1">
        <f ca="1">IFERROR(__xludf.DUMMYFUNCTION("""COMPUTED_VALUE"""),0.666)</f>
        <v>0.66600000000000004</v>
      </c>
      <c r="Z86" s="1">
        <f ca="1">IFERROR(__xludf.DUMMYFUNCTION("""COMPUTED_VALUE"""),380)</f>
        <v>380</v>
      </c>
      <c r="AA86" s="1">
        <f ca="1">IFERROR(__xludf.DUMMYFUNCTION("""COMPUTED_VALUE"""),1177)</f>
        <v>1177</v>
      </c>
      <c r="AB86" s="1">
        <f ca="1">IFERROR(__xludf.DUMMYFUNCTION("""COMPUTED_VALUE"""),470)</f>
        <v>470</v>
      </c>
      <c r="AC86" s="1">
        <f ca="1">IFERROR(__xludf.DUMMYFUNCTION("""COMPUTED_VALUE"""),187)</f>
        <v>187</v>
      </c>
      <c r="AD86" s="1">
        <f ca="1">IFERROR(__xludf.DUMMYFUNCTION("""COMPUTED_VALUE"""),98)</f>
        <v>98</v>
      </c>
      <c r="AE86" s="1">
        <f ca="1">IFERROR(__xludf.DUMMYFUNCTION("""COMPUTED_VALUE"""),425)</f>
        <v>425</v>
      </c>
      <c r="AF86" s="1">
        <f ca="1">IFERROR(__xludf.DUMMYFUNCTION("""COMPUTED_VALUE"""),644)</f>
        <v>644</v>
      </c>
    </row>
    <row r="87" spans="1:32" ht="12.5" x14ac:dyDescent="0.25">
      <c r="A87" s="1" t="str">
        <f ca="1">IFERROR(__xludf.DUMMYFUNCTION("""COMPUTED_VALUE"""),"DukeNCAA")</f>
        <v>DukeNCAA</v>
      </c>
      <c r="B87" s="1">
        <f ca="1">IFERROR(__xludf.DUMMYFUNCTION("""COMPUTED_VALUE"""),37)</f>
        <v>37</v>
      </c>
      <c r="C87" s="1">
        <f ca="1">IFERROR(__xludf.DUMMYFUNCTION("""COMPUTED_VALUE"""),28)</f>
        <v>28</v>
      </c>
      <c r="D87" s="1">
        <f ca="1">IFERROR(__xludf.DUMMYFUNCTION("""COMPUTED_VALUE"""),9)</f>
        <v>9</v>
      </c>
      <c r="E87" s="1">
        <f ca="1">IFERROR(__xludf.DUMMYFUNCTION("""COMPUTED_VALUE"""),0.757)</f>
        <v>0.75700000000000001</v>
      </c>
      <c r="F87" s="1">
        <f ca="1">IFERROR(__xludf.DUMMYFUNCTION("""COMPUTED_VALUE"""),21.56)</f>
        <v>21.56</v>
      </c>
      <c r="G87" s="1">
        <f ca="1">IFERROR(__xludf.DUMMYFUNCTION("""COMPUTED_VALUE"""),10.91)</f>
        <v>10.91</v>
      </c>
      <c r="H87" s="1">
        <f ca="1">IFERROR(__xludf.DUMMYFUNCTION("""COMPUTED_VALUE"""),11)</f>
        <v>11</v>
      </c>
      <c r="I87" s="1">
        <f ca="1">IFERROR(__xludf.DUMMYFUNCTION("""COMPUTED_VALUE"""),7)</f>
        <v>7</v>
      </c>
      <c r="J87" s="1">
        <f ca="1">IFERROR(__xludf.DUMMYFUNCTION("""COMPUTED_VALUE"""),15)</f>
        <v>15</v>
      </c>
      <c r="K87" s="1">
        <f ca="1">IFERROR(__xludf.DUMMYFUNCTION("""COMPUTED_VALUE"""),1)</f>
        <v>1</v>
      </c>
      <c r="L87" s="1">
        <f ca="1">IFERROR(__xludf.DUMMYFUNCTION("""COMPUTED_VALUE"""),4)</f>
        <v>4</v>
      </c>
      <c r="M87" s="1">
        <f ca="1">IFERROR(__xludf.DUMMYFUNCTION("""COMPUTED_VALUE"""),6)</f>
        <v>6</v>
      </c>
      <c r="N87" s="1">
        <f ca="1">IFERROR(__xludf.DUMMYFUNCTION("""COMPUTED_VALUE"""),2991)</f>
        <v>2991</v>
      </c>
      <c r="O87" s="1">
        <f ca="1">IFERROR(__xludf.DUMMYFUNCTION("""COMPUTED_VALUE"""),2597)</f>
        <v>2597</v>
      </c>
      <c r="P87" s="1">
        <f ca="1">IFERROR(__xludf.DUMMYFUNCTION("""COMPUTED_VALUE"""),1480)</f>
        <v>1480</v>
      </c>
      <c r="Q87" s="1">
        <f ca="1">IFERROR(__xludf.DUMMYFUNCTION("""COMPUTED_VALUE"""),1019)</f>
        <v>1019</v>
      </c>
      <c r="R87" s="1">
        <f ca="1">IFERROR(__xludf.DUMMYFUNCTION("""COMPUTED_VALUE"""),2144)</f>
        <v>2144</v>
      </c>
      <c r="S87" s="1">
        <f ca="1">IFERROR(__xludf.DUMMYFUNCTION("""COMPUTED_VALUE"""),0.475)</f>
        <v>0.47499999999999998</v>
      </c>
      <c r="T87" s="1">
        <f ca="1">IFERROR(__xludf.DUMMYFUNCTION("""COMPUTED_VALUE"""),311)</f>
        <v>311</v>
      </c>
      <c r="U87" s="1">
        <f ca="1">IFERROR(__xludf.DUMMYFUNCTION("""COMPUTED_VALUE"""),822)</f>
        <v>822</v>
      </c>
      <c r="V87" s="1">
        <f ca="1">IFERROR(__xludf.DUMMYFUNCTION("""COMPUTED_VALUE"""),0.378)</f>
        <v>0.378</v>
      </c>
      <c r="W87" s="1">
        <f ca="1">IFERROR(__xludf.DUMMYFUNCTION("""COMPUTED_VALUE"""),642)</f>
        <v>642</v>
      </c>
      <c r="X87" s="1">
        <f ca="1">IFERROR(__xludf.DUMMYFUNCTION("""COMPUTED_VALUE"""),842)</f>
        <v>842</v>
      </c>
      <c r="Y87" s="1">
        <f ca="1">IFERROR(__xludf.DUMMYFUNCTION("""COMPUTED_VALUE"""),0.762)</f>
        <v>0.76200000000000001</v>
      </c>
      <c r="Z87" s="1">
        <f ca="1">IFERROR(__xludf.DUMMYFUNCTION("""COMPUTED_VALUE"""),390)</f>
        <v>390</v>
      </c>
      <c r="AA87" s="1">
        <f ca="1">IFERROR(__xludf.DUMMYFUNCTION("""COMPUTED_VALUE"""),1341)</f>
        <v>1341</v>
      </c>
      <c r="AB87" s="1">
        <f ca="1">IFERROR(__xludf.DUMMYFUNCTION("""COMPUTED_VALUE"""),484)</f>
        <v>484</v>
      </c>
      <c r="AC87" s="1">
        <f ca="1">IFERROR(__xludf.DUMMYFUNCTION("""COMPUTED_VALUE"""),226)</f>
        <v>226</v>
      </c>
      <c r="AD87" s="1">
        <f ca="1">IFERROR(__xludf.DUMMYFUNCTION("""COMPUTED_VALUE"""),172)</f>
        <v>172</v>
      </c>
      <c r="AE87" s="1">
        <f ca="1">IFERROR(__xludf.DUMMYFUNCTION("""COMPUTED_VALUE"""),421)</f>
        <v>421</v>
      </c>
      <c r="AF87" s="1">
        <f ca="1">IFERROR(__xludf.DUMMYFUNCTION("""COMPUTED_VALUE"""),675)</f>
        <v>675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IFERROR(__xludf.DUMMYFUNCTION("""COMPUTED_VALUE"""),"Duquesne")</f>
        <v>Duquesne</v>
      </c>
      <c r="B90" s="1">
        <f ca="1">IFERROR(__xludf.DUMMYFUNCTION("""COMPUTED_VALUE"""),32)</f>
        <v>32</v>
      </c>
      <c r="C90" s="1">
        <f ca="1">IFERROR(__xludf.DUMMYFUNCTION("""COMPUTED_VALUE"""),10)</f>
        <v>10</v>
      </c>
      <c r="D90" s="1">
        <f ca="1">IFERROR(__xludf.DUMMYFUNCTION("""COMPUTED_VALUE"""),22)</f>
        <v>22</v>
      </c>
      <c r="E90" s="1">
        <f ca="1">IFERROR(__xludf.DUMMYFUNCTION("""COMPUTED_VALUE"""),0.313)</f>
        <v>0.313</v>
      </c>
      <c r="F90" s="1">
        <f ca="1">IFERROR(__xludf.DUMMYFUNCTION("""COMPUTED_VALUE"""),-3.06)</f>
        <v>-3.06</v>
      </c>
      <c r="G90" s="1">
        <f ca="1">IFERROR(__xludf.DUMMYFUNCTION("""COMPUTED_VALUE"""),0.69)</f>
        <v>0.69</v>
      </c>
      <c r="H90" s="1">
        <f ca="1">IFERROR(__xludf.DUMMYFUNCTION("""COMPUTED_VALUE"""),3)</f>
        <v>3</v>
      </c>
      <c r="I90" s="1">
        <f ca="1">IFERROR(__xludf.DUMMYFUNCTION("""COMPUTED_VALUE"""),15)</f>
        <v>15</v>
      </c>
      <c r="J90" s="1">
        <f ca="1">IFERROR(__xludf.DUMMYFUNCTION("""COMPUTED_VALUE"""),8)</f>
        <v>8</v>
      </c>
      <c r="K90" s="1">
        <f ca="1">IFERROR(__xludf.DUMMYFUNCTION("""COMPUTED_VALUE"""),10)</f>
        <v>10</v>
      </c>
      <c r="L90" s="1">
        <f ca="1">IFERROR(__xludf.DUMMYFUNCTION("""COMPUTED_VALUE"""),1)</f>
        <v>1</v>
      </c>
      <c r="M90" s="1">
        <f ca="1">IFERROR(__xludf.DUMMYFUNCTION("""COMPUTED_VALUE"""),10)</f>
        <v>10</v>
      </c>
      <c r="N90" s="1">
        <f ca="1">IFERROR(__xludf.DUMMYFUNCTION("""COMPUTED_VALUE"""),2256)</f>
        <v>2256</v>
      </c>
      <c r="O90" s="1">
        <f ca="1">IFERROR(__xludf.DUMMYFUNCTION("""COMPUTED_VALUE"""),2376)</f>
        <v>2376</v>
      </c>
      <c r="P90" s="1">
        <f ca="1">IFERROR(__xludf.DUMMYFUNCTION("""COMPUTED_VALUE"""),1280)</f>
        <v>1280</v>
      </c>
      <c r="Q90" s="1">
        <f ca="1">IFERROR(__xludf.DUMMYFUNCTION("""COMPUTED_VALUE"""),785)</f>
        <v>785</v>
      </c>
      <c r="R90" s="1">
        <f ca="1">IFERROR(__xludf.DUMMYFUNCTION("""COMPUTED_VALUE"""),1835)</f>
        <v>1835</v>
      </c>
      <c r="S90" s="1">
        <f ca="1">IFERROR(__xludf.DUMMYFUNCTION("""COMPUTED_VALUE"""),0.428)</f>
        <v>0.42799999999999999</v>
      </c>
      <c r="T90" s="1">
        <f ca="1">IFERROR(__xludf.DUMMYFUNCTION("""COMPUTED_VALUE"""),226)</f>
        <v>226</v>
      </c>
      <c r="U90" s="1">
        <f ca="1">IFERROR(__xludf.DUMMYFUNCTION("""COMPUTED_VALUE"""),677)</f>
        <v>677</v>
      </c>
      <c r="V90" s="1">
        <f ca="1">IFERROR(__xludf.DUMMYFUNCTION("""COMPUTED_VALUE"""),0.334)</f>
        <v>0.33400000000000002</v>
      </c>
      <c r="W90" s="1">
        <f ca="1">IFERROR(__xludf.DUMMYFUNCTION("""COMPUTED_VALUE"""),460)</f>
        <v>460</v>
      </c>
      <c r="X90" s="1">
        <f ca="1">IFERROR(__xludf.DUMMYFUNCTION("""COMPUTED_VALUE"""),680)</f>
        <v>680</v>
      </c>
      <c r="Y90" s="1">
        <f ca="1">IFERROR(__xludf.DUMMYFUNCTION("""COMPUTED_VALUE"""),0.676)</f>
        <v>0.67600000000000005</v>
      </c>
      <c r="Z90" s="1">
        <f ca="1">IFERROR(__xludf.DUMMYFUNCTION("""COMPUTED_VALUE"""),343)</f>
        <v>343</v>
      </c>
      <c r="AA90" s="1">
        <f ca="1">IFERROR(__xludf.DUMMYFUNCTION("""COMPUTED_VALUE"""),1167)</f>
        <v>1167</v>
      </c>
      <c r="AB90" s="1">
        <f ca="1">IFERROR(__xludf.DUMMYFUNCTION("""COMPUTED_VALUE"""),401)</f>
        <v>401</v>
      </c>
      <c r="AC90" s="1">
        <f ca="1">IFERROR(__xludf.DUMMYFUNCTION("""COMPUTED_VALUE"""),157)</f>
        <v>157</v>
      </c>
      <c r="AD90" s="1">
        <f ca="1">IFERROR(__xludf.DUMMYFUNCTION("""COMPUTED_VALUE"""),127)</f>
        <v>127</v>
      </c>
      <c r="AE90" s="1">
        <f ca="1">IFERROR(__xludf.DUMMYFUNCTION("""COMPUTED_VALUE"""),454)</f>
        <v>454</v>
      </c>
      <c r="AF90" s="1">
        <f ca="1">IFERROR(__xludf.DUMMYFUNCTION("""COMPUTED_VALUE"""),593)</f>
        <v>593</v>
      </c>
    </row>
    <row r="91" spans="1:32" ht="12.5" x14ac:dyDescent="0.25">
      <c r="A91" s="1" t="str">
        <f ca="1">IFERROR(__xludf.DUMMYFUNCTION("""COMPUTED_VALUE"""),"East Carolina")</f>
        <v>East Carolina</v>
      </c>
      <c r="B91" s="1">
        <f ca="1">IFERROR(__xludf.DUMMYFUNCTION("""COMPUTED_VALUE"""),33)</f>
        <v>33</v>
      </c>
      <c r="C91" s="1">
        <f ca="1">IFERROR(__xludf.DUMMYFUNCTION("""COMPUTED_VALUE"""),15)</f>
        <v>15</v>
      </c>
      <c r="D91" s="1">
        <f ca="1">IFERROR(__xludf.DUMMYFUNCTION("""COMPUTED_VALUE"""),18)</f>
        <v>18</v>
      </c>
      <c r="E91" s="1">
        <f ca="1">IFERROR(__xludf.DUMMYFUNCTION("""COMPUTED_VALUE"""),0.455)</f>
        <v>0.45500000000000002</v>
      </c>
      <c r="F91" s="1">
        <f ca="1">IFERROR(__xludf.DUMMYFUNCTION("""COMPUTED_VALUE"""),-0.49)</f>
        <v>-0.49</v>
      </c>
      <c r="G91" s="1">
        <f ca="1">IFERROR(__xludf.DUMMYFUNCTION("""COMPUTED_VALUE"""),1.33)</f>
        <v>1.33</v>
      </c>
      <c r="H91" s="1">
        <f ca="1">IFERROR(__xludf.DUMMYFUNCTION("""COMPUTED_VALUE"""),6)</f>
        <v>6</v>
      </c>
      <c r="I91" s="1">
        <f ca="1">IFERROR(__xludf.DUMMYFUNCTION("""COMPUTED_VALUE"""),12)</f>
        <v>12</v>
      </c>
      <c r="J91" s="1">
        <f ca="1">IFERROR(__xludf.DUMMYFUNCTION("""COMPUTED_VALUE"""),12)</f>
        <v>12</v>
      </c>
      <c r="K91" s="1">
        <f ca="1">IFERROR(__xludf.DUMMYFUNCTION("""COMPUTED_VALUE"""),5)</f>
        <v>5</v>
      </c>
      <c r="L91" s="1">
        <f ca="1">IFERROR(__xludf.DUMMYFUNCTION("""COMPUTED_VALUE"""),1)</f>
        <v>1</v>
      </c>
      <c r="M91" s="1">
        <f ca="1">IFERROR(__xludf.DUMMYFUNCTION("""COMPUTED_VALUE"""),11)</f>
        <v>11</v>
      </c>
      <c r="N91" s="1">
        <f ca="1">IFERROR(__xludf.DUMMYFUNCTION("""COMPUTED_VALUE"""),2088)</f>
        <v>2088</v>
      </c>
      <c r="O91" s="1">
        <f ca="1">IFERROR(__xludf.DUMMYFUNCTION("""COMPUTED_VALUE"""),2148)</f>
        <v>2148</v>
      </c>
      <c r="P91" s="1">
        <f ca="1">IFERROR(__xludf.DUMMYFUNCTION("""COMPUTED_VALUE"""),1320)</f>
        <v>1320</v>
      </c>
      <c r="Q91" s="1">
        <f ca="1">IFERROR(__xludf.DUMMYFUNCTION("""COMPUTED_VALUE"""),716)</f>
        <v>716</v>
      </c>
      <c r="R91" s="1">
        <f ca="1">IFERROR(__xludf.DUMMYFUNCTION("""COMPUTED_VALUE"""),1797)</f>
        <v>1797</v>
      </c>
      <c r="S91" s="1">
        <f ca="1">IFERROR(__xludf.DUMMYFUNCTION("""COMPUTED_VALUE"""),0.398)</f>
        <v>0.39800000000000002</v>
      </c>
      <c r="T91" s="1">
        <f ca="1">IFERROR(__xludf.DUMMYFUNCTION("""COMPUTED_VALUE"""),214)</f>
        <v>214</v>
      </c>
      <c r="U91" s="1">
        <f ca="1">IFERROR(__xludf.DUMMYFUNCTION("""COMPUTED_VALUE"""),668)</f>
        <v>668</v>
      </c>
      <c r="V91" s="1">
        <f ca="1">IFERROR(__xludf.DUMMYFUNCTION("""COMPUTED_VALUE"""),0.32)</f>
        <v>0.32</v>
      </c>
      <c r="W91" s="1">
        <f ca="1">IFERROR(__xludf.DUMMYFUNCTION("""COMPUTED_VALUE"""),442)</f>
        <v>442</v>
      </c>
      <c r="X91" s="1">
        <f ca="1">IFERROR(__xludf.DUMMYFUNCTION("""COMPUTED_VALUE"""),673)</f>
        <v>673</v>
      </c>
      <c r="Y91" s="1">
        <f ca="1">IFERROR(__xludf.DUMMYFUNCTION("""COMPUTED_VALUE"""),0.657)</f>
        <v>0.65700000000000003</v>
      </c>
      <c r="Z91" s="1">
        <f ca="1">IFERROR(__xludf.DUMMYFUNCTION("""COMPUTED_VALUE"""),370)</f>
        <v>370</v>
      </c>
      <c r="AA91" s="1">
        <f ca="1">IFERROR(__xludf.DUMMYFUNCTION("""COMPUTED_VALUE"""),1252)</f>
        <v>1252</v>
      </c>
      <c r="AB91" s="1">
        <f ca="1">IFERROR(__xludf.DUMMYFUNCTION("""COMPUTED_VALUE"""),394)</f>
        <v>394</v>
      </c>
      <c r="AC91" s="1">
        <f ca="1">IFERROR(__xludf.DUMMYFUNCTION("""COMPUTED_VALUE"""),168)</f>
        <v>168</v>
      </c>
      <c r="AD91" s="1">
        <f ca="1">IFERROR(__xludf.DUMMYFUNCTION("""COMPUTED_VALUE"""),171)</f>
        <v>171</v>
      </c>
      <c r="AE91" s="1">
        <f ca="1">IFERROR(__xludf.DUMMYFUNCTION("""COMPUTED_VALUE"""),459)</f>
        <v>459</v>
      </c>
      <c r="AF91" s="1">
        <f ca="1">IFERROR(__xludf.DUMMYFUNCTION("""COMPUTED_VALUE"""),550)</f>
        <v>550</v>
      </c>
    </row>
    <row r="92" spans="1:32" ht="12.5" x14ac:dyDescent="0.25">
      <c r="A92" s="1" t="str">
        <f ca="1">IFERROR(__xludf.DUMMYFUNCTION("""COMPUTED_VALUE"""),"East Tennessee StateNCAA")</f>
        <v>East Tennessee StateNCAA</v>
      </c>
      <c r="B92" s="1">
        <f ca="1">IFERROR(__xludf.DUMMYFUNCTION("""COMPUTED_VALUE"""),35)</f>
        <v>35</v>
      </c>
      <c r="C92" s="1">
        <f ca="1">IFERROR(__xludf.DUMMYFUNCTION("""COMPUTED_VALUE"""),27)</f>
        <v>27</v>
      </c>
      <c r="D92" s="1">
        <f ca="1">IFERROR(__xludf.DUMMYFUNCTION("""COMPUTED_VALUE"""),8)</f>
        <v>8</v>
      </c>
      <c r="E92" s="1">
        <f ca="1">IFERROR(__xludf.DUMMYFUNCTION("""COMPUTED_VALUE"""),0.771)</f>
        <v>0.77100000000000002</v>
      </c>
      <c r="F92" s="1">
        <f ca="1">IFERROR(__xludf.DUMMYFUNCTION("""COMPUTED_VALUE"""),7.31)</f>
        <v>7.31</v>
      </c>
      <c r="G92" s="1">
        <f ca="1">IFERROR(__xludf.DUMMYFUNCTION("""COMPUTED_VALUE"""),-2.11)</f>
        <v>-2.11</v>
      </c>
      <c r="H92" s="1">
        <f ca="1">IFERROR(__xludf.DUMMYFUNCTION("""COMPUTED_VALUE"""),14)</f>
        <v>14</v>
      </c>
      <c r="I92" s="1">
        <f ca="1">IFERROR(__xludf.DUMMYFUNCTION("""COMPUTED_VALUE"""),4)</f>
        <v>4</v>
      </c>
      <c r="J92" s="1">
        <f ca="1">IFERROR(__xludf.DUMMYFUNCTION("""COMPUTED_VALUE"""),13)</f>
        <v>13</v>
      </c>
      <c r="K92" s="1">
        <f ca="1">IFERROR(__xludf.DUMMYFUNCTION("""COMPUTED_VALUE"""),2)</f>
        <v>2</v>
      </c>
      <c r="L92" s="1">
        <f ca="1">IFERROR(__xludf.DUMMYFUNCTION("""COMPUTED_VALUE"""),8)</f>
        <v>8</v>
      </c>
      <c r="M92" s="1">
        <f ca="1">IFERROR(__xludf.DUMMYFUNCTION("""COMPUTED_VALUE"""),5)</f>
        <v>5</v>
      </c>
      <c r="N92" s="1">
        <f ca="1">IFERROR(__xludf.DUMMYFUNCTION("""COMPUTED_VALUE"""),2782)</f>
        <v>2782</v>
      </c>
      <c r="O92" s="1">
        <f ca="1">IFERROR(__xludf.DUMMYFUNCTION("""COMPUTED_VALUE"""),2438)</f>
        <v>2438</v>
      </c>
      <c r="P92" s="1">
        <f ca="1">IFERROR(__xludf.DUMMYFUNCTION("""COMPUTED_VALUE"""),1415)</f>
        <v>1415</v>
      </c>
      <c r="Q92" s="1">
        <f ca="1">IFERROR(__xludf.DUMMYFUNCTION("""COMPUTED_VALUE"""),960)</f>
        <v>960</v>
      </c>
      <c r="R92" s="1">
        <f ca="1">IFERROR(__xludf.DUMMYFUNCTION("""COMPUTED_VALUE"""),1967)</f>
        <v>1967</v>
      </c>
      <c r="S92" s="1">
        <f ca="1">IFERROR(__xludf.DUMMYFUNCTION("""COMPUTED_VALUE"""),0.488)</f>
        <v>0.48799999999999999</v>
      </c>
      <c r="T92" s="1">
        <f ca="1">IFERROR(__xludf.DUMMYFUNCTION("""COMPUTED_VALUE"""),265)</f>
        <v>265</v>
      </c>
      <c r="U92" s="1">
        <f ca="1">IFERROR(__xludf.DUMMYFUNCTION("""COMPUTED_VALUE"""),693)</f>
        <v>693</v>
      </c>
      <c r="V92" s="1">
        <f ca="1">IFERROR(__xludf.DUMMYFUNCTION("""COMPUTED_VALUE"""),0.382)</f>
        <v>0.38200000000000001</v>
      </c>
      <c r="W92" s="1">
        <f ca="1">IFERROR(__xludf.DUMMYFUNCTION("""COMPUTED_VALUE"""),597)</f>
        <v>597</v>
      </c>
      <c r="X92" s="1">
        <f ca="1">IFERROR(__xludf.DUMMYFUNCTION("""COMPUTED_VALUE"""),850)</f>
        <v>850</v>
      </c>
      <c r="Y92" s="1">
        <f ca="1">IFERROR(__xludf.DUMMYFUNCTION("""COMPUTED_VALUE"""),0.702)</f>
        <v>0.70199999999999996</v>
      </c>
      <c r="Z92" s="1">
        <f ca="1">IFERROR(__xludf.DUMMYFUNCTION("""COMPUTED_VALUE"""),357)</f>
        <v>357</v>
      </c>
      <c r="AA92" s="1">
        <f ca="1">IFERROR(__xludf.DUMMYFUNCTION("""COMPUTED_VALUE"""),1269)</f>
        <v>1269</v>
      </c>
      <c r="AB92" s="1">
        <f ca="1">IFERROR(__xludf.DUMMYFUNCTION("""COMPUTED_VALUE"""),516)</f>
        <v>516</v>
      </c>
      <c r="AC92" s="1">
        <f ca="1">IFERROR(__xludf.DUMMYFUNCTION("""COMPUTED_VALUE"""),293)</f>
        <v>293</v>
      </c>
      <c r="AD92" s="1">
        <f ca="1">IFERROR(__xludf.DUMMYFUNCTION("""COMPUTED_VALUE"""),162)</f>
        <v>162</v>
      </c>
      <c r="AE92" s="1">
        <f ca="1">IFERROR(__xludf.DUMMYFUNCTION("""COMPUTED_VALUE"""),519)</f>
        <v>519</v>
      </c>
      <c r="AF92" s="1">
        <f ca="1">IFERROR(__xludf.DUMMYFUNCTION("""COMPUTED_VALUE"""),698)</f>
        <v>698</v>
      </c>
    </row>
    <row r="93" spans="1:32" ht="12.5" x14ac:dyDescent="0.25">
      <c r="A93" s="1" t="str">
        <f ca="1">IFERROR(__xludf.DUMMYFUNCTION("""COMPUTED_VALUE"""),"Eastern Illinois")</f>
        <v>Eastern Illinois</v>
      </c>
      <c r="B93" s="1">
        <f ca="1">IFERROR(__xludf.DUMMYFUNCTION("""COMPUTED_VALUE"""),29)</f>
        <v>29</v>
      </c>
      <c r="C93" s="1">
        <f ca="1">IFERROR(__xludf.DUMMYFUNCTION("""COMPUTED_VALUE"""),14)</f>
        <v>14</v>
      </c>
      <c r="D93" s="1">
        <f ca="1">IFERROR(__xludf.DUMMYFUNCTION("""COMPUTED_VALUE"""),15)</f>
        <v>15</v>
      </c>
      <c r="E93" s="1">
        <f ca="1">IFERROR(__xludf.DUMMYFUNCTION("""COMPUTED_VALUE"""),0.483)</f>
        <v>0.48299999999999998</v>
      </c>
      <c r="F93" s="1">
        <f ca="1">IFERROR(__xludf.DUMMYFUNCTION("""COMPUTED_VALUE"""),-5.35)</f>
        <v>-5.35</v>
      </c>
      <c r="G93" s="1">
        <f ca="1">IFERROR(__xludf.DUMMYFUNCTION("""COMPUTED_VALUE"""),-5.05)</f>
        <v>-5.05</v>
      </c>
      <c r="H93" s="1">
        <f ca="1">IFERROR(__xludf.DUMMYFUNCTION("""COMPUTED_VALUE"""),6)</f>
        <v>6</v>
      </c>
      <c r="I93" s="1">
        <f ca="1">IFERROR(__xludf.DUMMYFUNCTION("""COMPUTED_VALUE"""),10)</f>
        <v>10</v>
      </c>
      <c r="J93" s="1">
        <f ca="1">IFERROR(__xludf.DUMMYFUNCTION("""COMPUTED_VALUE"""),8)</f>
        <v>8</v>
      </c>
      <c r="K93" s="1">
        <f ca="1">IFERROR(__xludf.DUMMYFUNCTION("""COMPUTED_VALUE"""),6)</f>
        <v>6</v>
      </c>
      <c r="L93" s="1">
        <f ca="1">IFERROR(__xludf.DUMMYFUNCTION("""COMPUTED_VALUE"""),6)</f>
        <v>6</v>
      </c>
      <c r="M93" s="1">
        <f ca="1">IFERROR(__xludf.DUMMYFUNCTION("""COMPUTED_VALUE"""),9)</f>
        <v>9</v>
      </c>
      <c r="N93" s="1">
        <f ca="1">IFERROR(__xludf.DUMMYFUNCTION("""COMPUTED_VALUE"""),2169)</f>
        <v>2169</v>
      </c>
      <c r="O93" s="1">
        <f ca="1">IFERROR(__xludf.DUMMYFUNCTION("""COMPUTED_VALUE"""),2083)</f>
        <v>2083</v>
      </c>
      <c r="P93" s="1">
        <f ca="1">IFERROR(__xludf.DUMMYFUNCTION("""COMPUTED_VALUE"""),1195)</f>
        <v>1195</v>
      </c>
      <c r="Q93" s="1">
        <f ca="1">IFERROR(__xludf.DUMMYFUNCTION("""COMPUTED_VALUE"""),772)</f>
        <v>772</v>
      </c>
      <c r="R93" s="1">
        <f ca="1">IFERROR(__xludf.DUMMYFUNCTION("""COMPUTED_VALUE"""),1852)</f>
        <v>1852</v>
      </c>
      <c r="S93" s="1">
        <f ca="1">IFERROR(__xludf.DUMMYFUNCTION("""COMPUTED_VALUE"""),0.417)</f>
        <v>0.41699999999999998</v>
      </c>
      <c r="T93" s="1">
        <f ca="1">IFERROR(__xludf.DUMMYFUNCTION("""COMPUTED_VALUE"""),259)</f>
        <v>259</v>
      </c>
      <c r="U93" s="1">
        <f ca="1">IFERROR(__xludf.DUMMYFUNCTION("""COMPUTED_VALUE"""),696)</f>
        <v>696</v>
      </c>
      <c r="V93" s="1">
        <f ca="1">IFERROR(__xludf.DUMMYFUNCTION("""COMPUTED_VALUE"""),0.372)</f>
        <v>0.372</v>
      </c>
      <c r="W93" s="1">
        <f ca="1">IFERROR(__xludf.DUMMYFUNCTION("""COMPUTED_VALUE"""),366)</f>
        <v>366</v>
      </c>
      <c r="X93" s="1">
        <f ca="1">IFERROR(__xludf.DUMMYFUNCTION("""COMPUTED_VALUE"""),501)</f>
        <v>501</v>
      </c>
      <c r="Y93" s="1">
        <f ca="1">IFERROR(__xludf.DUMMYFUNCTION("""COMPUTED_VALUE"""),0.731)</f>
        <v>0.73099999999999998</v>
      </c>
      <c r="Z93" s="1">
        <f ca="1">IFERROR(__xludf.DUMMYFUNCTION("""COMPUTED_VALUE"""),347)</f>
        <v>347</v>
      </c>
      <c r="AA93" s="1">
        <f ca="1">IFERROR(__xludf.DUMMYFUNCTION("""COMPUTED_VALUE"""),1081)</f>
        <v>1081</v>
      </c>
      <c r="AB93" s="1">
        <f ca="1">IFERROR(__xludf.DUMMYFUNCTION("""COMPUTED_VALUE"""),444)</f>
        <v>444</v>
      </c>
      <c r="AC93" s="1">
        <f ca="1">IFERROR(__xludf.DUMMYFUNCTION("""COMPUTED_VALUE"""),198)</f>
        <v>198</v>
      </c>
      <c r="AD93" s="1">
        <f ca="1">IFERROR(__xludf.DUMMYFUNCTION("""COMPUTED_VALUE"""),119)</f>
        <v>119</v>
      </c>
      <c r="AE93" s="1">
        <f ca="1">IFERROR(__xludf.DUMMYFUNCTION("""COMPUTED_VALUE"""),370)</f>
        <v>370</v>
      </c>
      <c r="AF93" s="1">
        <f ca="1">IFERROR(__xludf.DUMMYFUNCTION("""COMPUTED_VALUE"""),559)</f>
        <v>559</v>
      </c>
    </row>
    <row r="94" spans="1:32" ht="12.5" x14ac:dyDescent="0.25">
      <c r="A94" s="1" t="str">
        <f ca="1">IFERROR(__xludf.DUMMYFUNCTION("""COMPUTED_VALUE"""),"Eastern Kentucky")</f>
        <v>Eastern Kentucky</v>
      </c>
      <c r="B94" s="1">
        <f ca="1">IFERROR(__xludf.DUMMYFUNCTION("""COMPUTED_VALUE"""),31)</f>
        <v>31</v>
      </c>
      <c r="C94" s="1">
        <f ca="1">IFERROR(__xludf.DUMMYFUNCTION("""COMPUTED_VALUE"""),12)</f>
        <v>12</v>
      </c>
      <c r="D94" s="1">
        <f ca="1">IFERROR(__xludf.DUMMYFUNCTION("""COMPUTED_VALUE"""),19)</f>
        <v>19</v>
      </c>
      <c r="E94" s="1">
        <f ca="1">IFERROR(__xludf.DUMMYFUNCTION("""COMPUTED_VALUE"""),0.387)</f>
        <v>0.38700000000000001</v>
      </c>
      <c r="F94" s="1">
        <f ca="1">IFERROR(__xludf.DUMMYFUNCTION("""COMPUTED_VALUE"""),-8.65)</f>
        <v>-8.65</v>
      </c>
      <c r="G94" s="1">
        <f ca="1">IFERROR(__xludf.DUMMYFUNCTION("""COMPUTED_VALUE"""),-2.44)</f>
        <v>-2.44</v>
      </c>
      <c r="H94" s="1">
        <f ca="1">IFERROR(__xludf.DUMMYFUNCTION("""COMPUTED_VALUE"""),5)</f>
        <v>5</v>
      </c>
      <c r="I94" s="1">
        <f ca="1">IFERROR(__xludf.DUMMYFUNCTION("""COMPUTED_VALUE"""),11)</f>
        <v>11</v>
      </c>
      <c r="J94" s="1">
        <f ca="1">IFERROR(__xludf.DUMMYFUNCTION("""COMPUTED_VALUE"""),8)</f>
        <v>8</v>
      </c>
      <c r="K94" s="1">
        <f ca="1">IFERROR(__xludf.DUMMYFUNCTION("""COMPUTED_VALUE"""),6)</f>
        <v>6</v>
      </c>
      <c r="L94" s="1">
        <f ca="1">IFERROR(__xludf.DUMMYFUNCTION("""COMPUTED_VALUE"""),3)</f>
        <v>3</v>
      </c>
      <c r="M94" s="1">
        <f ca="1">IFERROR(__xludf.DUMMYFUNCTION("""COMPUTED_VALUE"""),12)</f>
        <v>12</v>
      </c>
      <c r="N94" s="1">
        <f ca="1">IFERROR(__xludf.DUMMYFUNCTION("""COMPUTED_VALUE"""),2197)</f>
        <v>2197</v>
      </c>
      <c r="O94" s="1">
        <f ca="1">IFERROR(__xludf.DUMMYFUNCTION("""COMPUTED_VALUE"""),2330)</f>
        <v>2330</v>
      </c>
      <c r="P94" s="1">
        <f ca="1">IFERROR(__xludf.DUMMYFUNCTION("""COMPUTED_VALUE"""),1265)</f>
        <v>1265</v>
      </c>
      <c r="Q94" s="1">
        <f ca="1">IFERROR(__xludf.DUMMYFUNCTION("""COMPUTED_VALUE"""),750)</f>
        <v>750</v>
      </c>
      <c r="R94" s="1">
        <f ca="1">IFERROR(__xludf.DUMMYFUNCTION("""COMPUTED_VALUE"""),1751)</f>
        <v>1751</v>
      </c>
      <c r="S94" s="1">
        <f ca="1">IFERROR(__xludf.DUMMYFUNCTION("""COMPUTED_VALUE"""),0.428)</f>
        <v>0.42799999999999999</v>
      </c>
      <c r="T94" s="1">
        <f ca="1">IFERROR(__xludf.DUMMYFUNCTION("""COMPUTED_VALUE"""),235)</f>
        <v>235</v>
      </c>
      <c r="U94" s="1">
        <f ca="1">IFERROR(__xludf.DUMMYFUNCTION("""COMPUTED_VALUE"""),733)</f>
        <v>733</v>
      </c>
      <c r="V94" s="1">
        <f ca="1">IFERROR(__xludf.DUMMYFUNCTION("""COMPUTED_VALUE"""),0.321)</f>
        <v>0.32100000000000001</v>
      </c>
      <c r="W94" s="1">
        <f ca="1">IFERROR(__xludf.DUMMYFUNCTION("""COMPUTED_VALUE"""),462)</f>
        <v>462</v>
      </c>
      <c r="X94" s="1">
        <f ca="1">IFERROR(__xludf.DUMMYFUNCTION("""COMPUTED_VALUE"""),655)</f>
        <v>655</v>
      </c>
      <c r="Y94" s="1">
        <f ca="1">IFERROR(__xludf.DUMMYFUNCTION("""COMPUTED_VALUE"""),0.705)</f>
        <v>0.70499999999999996</v>
      </c>
      <c r="Z94" s="1">
        <f ca="1">IFERROR(__xludf.DUMMYFUNCTION("""COMPUTED_VALUE"""),286)</f>
        <v>286</v>
      </c>
      <c r="AA94" s="1">
        <f ca="1">IFERROR(__xludf.DUMMYFUNCTION("""COMPUTED_VALUE"""),1018)</f>
        <v>1018</v>
      </c>
      <c r="AB94" s="1">
        <f ca="1">IFERROR(__xludf.DUMMYFUNCTION("""COMPUTED_VALUE"""),422)</f>
        <v>422</v>
      </c>
      <c r="AC94" s="1">
        <f ca="1">IFERROR(__xludf.DUMMYFUNCTION("""COMPUTED_VALUE"""),185)</f>
        <v>185</v>
      </c>
      <c r="AD94" s="1">
        <f ca="1">IFERROR(__xludf.DUMMYFUNCTION("""COMPUTED_VALUE"""),113)</f>
        <v>113</v>
      </c>
      <c r="AE94" s="1">
        <f ca="1">IFERROR(__xludf.DUMMYFUNCTION("""COMPUTED_VALUE"""),432)</f>
        <v>432</v>
      </c>
      <c r="AF94" s="1">
        <f ca="1">IFERROR(__xludf.DUMMYFUNCTION("""COMPUTED_VALUE"""),619)</f>
        <v>619</v>
      </c>
    </row>
    <row r="95" spans="1:32" ht="12.5" x14ac:dyDescent="0.25">
      <c r="A95" s="1" t="str">
        <f ca="1">IFERROR(__xludf.DUMMYFUNCTION("""COMPUTED_VALUE"""),"Eastern Michigan")</f>
        <v>Eastern Michigan</v>
      </c>
      <c r="B95" s="1">
        <f ca="1">IFERROR(__xludf.DUMMYFUNCTION("""COMPUTED_VALUE"""),33)</f>
        <v>33</v>
      </c>
      <c r="C95" s="1">
        <f ca="1">IFERROR(__xludf.DUMMYFUNCTION("""COMPUTED_VALUE"""),16)</f>
        <v>16</v>
      </c>
      <c r="D95" s="1">
        <f ca="1">IFERROR(__xludf.DUMMYFUNCTION("""COMPUTED_VALUE"""),17)</f>
        <v>17</v>
      </c>
      <c r="E95" s="1">
        <f ca="1">IFERROR(__xludf.DUMMYFUNCTION("""COMPUTED_VALUE"""),0.485)</f>
        <v>0.48499999999999999</v>
      </c>
      <c r="F95" s="1">
        <f ca="1">IFERROR(__xludf.DUMMYFUNCTION("""COMPUTED_VALUE"""),-0.18)</f>
        <v>-0.18</v>
      </c>
      <c r="G95" s="1">
        <f ca="1">IFERROR(__xludf.DUMMYFUNCTION("""COMPUTED_VALUE"""),0.16)</f>
        <v>0.16</v>
      </c>
      <c r="H95" s="1">
        <f ca="1">IFERROR(__xludf.DUMMYFUNCTION("""COMPUTED_VALUE"""),7)</f>
        <v>7</v>
      </c>
      <c r="I95" s="1">
        <f ca="1">IFERROR(__xludf.DUMMYFUNCTION("""COMPUTED_VALUE"""),11)</f>
        <v>11</v>
      </c>
      <c r="J95" s="1">
        <f ca="1">IFERROR(__xludf.DUMMYFUNCTION("""COMPUTED_VALUE"""),10)</f>
        <v>10</v>
      </c>
      <c r="K95" s="1">
        <f ca="1">IFERROR(__xludf.DUMMYFUNCTION("""COMPUTED_VALUE"""),6)</f>
        <v>6</v>
      </c>
      <c r="L95" s="1">
        <f ca="1">IFERROR(__xludf.DUMMYFUNCTION("""COMPUTED_VALUE"""),5)</f>
        <v>5</v>
      </c>
      <c r="M95" s="1">
        <f ca="1">IFERROR(__xludf.DUMMYFUNCTION("""COMPUTED_VALUE"""),10)</f>
        <v>10</v>
      </c>
      <c r="N95" s="1">
        <f ca="1">IFERROR(__xludf.DUMMYFUNCTION("""COMPUTED_VALUE"""),2566)</f>
        <v>2566</v>
      </c>
      <c r="O95" s="1">
        <f ca="1">IFERROR(__xludf.DUMMYFUNCTION("""COMPUTED_VALUE"""),2409)</f>
        <v>2409</v>
      </c>
      <c r="P95" s="1">
        <f ca="1">IFERROR(__xludf.DUMMYFUNCTION("""COMPUTED_VALUE"""),1330)</f>
        <v>1330</v>
      </c>
      <c r="Q95" s="1">
        <f ca="1">IFERROR(__xludf.DUMMYFUNCTION("""COMPUTED_VALUE"""),918)</f>
        <v>918</v>
      </c>
      <c r="R95" s="1">
        <f ca="1">IFERROR(__xludf.DUMMYFUNCTION("""COMPUTED_VALUE"""),2046)</f>
        <v>2046</v>
      </c>
      <c r="S95" s="1">
        <f ca="1">IFERROR(__xludf.DUMMYFUNCTION("""COMPUTED_VALUE"""),0.449)</f>
        <v>0.44900000000000001</v>
      </c>
      <c r="T95" s="1">
        <f ca="1">IFERROR(__xludf.DUMMYFUNCTION("""COMPUTED_VALUE"""),211)</f>
        <v>211</v>
      </c>
      <c r="U95" s="1">
        <f ca="1">IFERROR(__xludf.DUMMYFUNCTION("""COMPUTED_VALUE"""),616)</f>
        <v>616</v>
      </c>
      <c r="V95" s="1">
        <f ca="1">IFERROR(__xludf.DUMMYFUNCTION("""COMPUTED_VALUE"""),0.343)</f>
        <v>0.34300000000000003</v>
      </c>
      <c r="W95" s="1">
        <f ca="1">IFERROR(__xludf.DUMMYFUNCTION("""COMPUTED_VALUE"""),519)</f>
        <v>519</v>
      </c>
      <c r="X95" s="1">
        <f ca="1">IFERROR(__xludf.DUMMYFUNCTION("""COMPUTED_VALUE"""),716)</f>
        <v>716</v>
      </c>
      <c r="Y95" s="1">
        <f ca="1">IFERROR(__xludf.DUMMYFUNCTION("""COMPUTED_VALUE"""),0.725)</f>
        <v>0.72499999999999998</v>
      </c>
      <c r="Z95" s="1">
        <f ca="1">IFERROR(__xludf.DUMMYFUNCTION("""COMPUTED_VALUE"""),420)</f>
        <v>420</v>
      </c>
      <c r="AA95" s="1">
        <f ca="1">IFERROR(__xludf.DUMMYFUNCTION("""COMPUTED_VALUE"""),1201)</f>
        <v>1201</v>
      </c>
      <c r="AB95" s="1">
        <f ca="1">IFERROR(__xludf.DUMMYFUNCTION("""COMPUTED_VALUE"""),443)</f>
        <v>443</v>
      </c>
      <c r="AC95" s="1">
        <f ca="1">IFERROR(__xludf.DUMMYFUNCTION("""COMPUTED_VALUE"""),317)</f>
        <v>317</v>
      </c>
      <c r="AD95" s="1">
        <f ca="1">IFERROR(__xludf.DUMMYFUNCTION("""COMPUTED_VALUE"""),144)</f>
        <v>144</v>
      </c>
      <c r="AE95" s="1">
        <f ca="1">IFERROR(__xludf.DUMMYFUNCTION("""COMPUTED_VALUE"""),399)</f>
        <v>399</v>
      </c>
      <c r="AF95" s="1">
        <f ca="1">IFERROR(__xludf.DUMMYFUNCTION("""COMPUTED_VALUE"""),704)</f>
        <v>704</v>
      </c>
    </row>
    <row r="96" spans="1:32" ht="12.5" x14ac:dyDescent="0.25">
      <c r="A96" s="1" t="str">
        <f ca="1">IFERROR(__xludf.DUMMYFUNCTION("""COMPUTED_VALUE"""),"Eastern Washington")</f>
        <v>Eastern Washington</v>
      </c>
      <c r="B96" s="1">
        <f ca="1">IFERROR(__xludf.DUMMYFUNCTION("""COMPUTED_VALUE"""),34)</f>
        <v>34</v>
      </c>
      <c r="C96" s="1">
        <f ca="1">IFERROR(__xludf.DUMMYFUNCTION("""COMPUTED_VALUE"""),22)</f>
        <v>22</v>
      </c>
      <c r="D96" s="1">
        <f ca="1">IFERROR(__xludf.DUMMYFUNCTION("""COMPUTED_VALUE"""),12)</f>
        <v>12</v>
      </c>
      <c r="E96" s="1">
        <f ca="1">IFERROR(__xludf.DUMMYFUNCTION("""COMPUTED_VALUE"""),0.647)</f>
        <v>0.64700000000000002</v>
      </c>
      <c r="F96" s="1">
        <f ca="1">IFERROR(__xludf.DUMMYFUNCTION("""COMPUTED_VALUE"""),-2.77)</f>
        <v>-2.77</v>
      </c>
      <c r="G96" s="1">
        <f ca="1">IFERROR(__xludf.DUMMYFUNCTION("""COMPUTED_VALUE"""),-4.43)</f>
        <v>-4.43</v>
      </c>
      <c r="H96" s="1">
        <f ca="1">IFERROR(__xludf.DUMMYFUNCTION("""COMPUTED_VALUE"""),13)</f>
        <v>13</v>
      </c>
      <c r="I96" s="1">
        <f ca="1">IFERROR(__xludf.DUMMYFUNCTION("""COMPUTED_VALUE"""),5)</f>
        <v>5</v>
      </c>
      <c r="J96" s="1">
        <f ca="1">IFERROR(__xludf.DUMMYFUNCTION("""COMPUTED_VALUE"""),15)</f>
        <v>15</v>
      </c>
      <c r="K96" s="1">
        <f ca="1">IFERROR(__xludf.DUMMYFUNCTION("""COMPUTED_VALUE"""),1)</f>
        <v>1</v>
      </c>
      <c r="L96" s="1">
        <f ca="1">IFERROR(__xludf.DUMMYFUNCTION("""COMPUTED_VALUE"""),6)</f>
        <v>6</v>
      </c>
      <c r="M96" s="1">
        <f ca="1">IFERROR(__xludf.DUMMYFUNCTION("""COMPUTED_VALUE"""),10)</f>
        <v>10</v>
      </c>
      <c r="N96" s="1">
        <f ca="1">IFERROR(__xludf.DUMMYFUNCTION("""COMPUTED_VALUE"""),2695)</f>
        <v>2695</v>
      </c>
      <c r="O96" s="1">
        <f ca="1">IFERROR(__xludf.DUMMYFUNCTION("""COMPUTED_VALUE"""),2592)</f>
        <v>2592</v>
      </c>
      <c r="P96" s="1">
        <f ca="1">IFERROR(__xludf.DUMMYFUNCTION("""COMPUTED_VALUE"""),1410)</f>
        <v>1410</v>
      </c>
      <c r="Q96" s="1">
        <f ca="1">IFERROR(__xludf.DUMMYFUNCTION("""COMPUTED_VALUE"""),947)</f>
        <v>947</v>
      </c>
      <c r="R96" s="1">
        <f ca="1">IFERROR(__xludf.DUMMYFUNCTION("""COMPUTED_VALUE"""),1975)</f>
        <v>1975</v>
      </c>
      <c r="S96" s="1">
        <f ca="1">IFERROR(__xludf.DUMMYFUNCTION("""COMPUTED_VALUE"""),0.479)</f>
        <v>0.47899999999999998</v>
      </c>
      <c r="T96" s="1">
        <f ca="1">IFERROR(__xludf.DUMMYFUNCTION("""COMPUTED_VALUE"""),281)</f>
        <v>281</v>
      </c>
      <c r="U96" s="1">
        <f ca="1">IFERROR(__xludf.DUMMYFUNCTION("""COMPUTED_VALUE"""),741)</f>
        <v>741</v>
      </c>
      <c r="V96" s="1">
        <f ca="1">IFERROR(__xludf.DUMMYFUNCTION("""COMPUTED_VALUE"""),0.379)</f>
        <v>0.379</v>
      </c>
      <c r="W96" s="1">
        <f ca="1">IFERROR(__xludf.DUMMYFUNCTION("""COMPUTED_VALUE"""),520)</f>
        <v>520</v>
      </c>
      <c r="X96" s="1">
        <f ca="1">IFERROR(__xludf.DUMMYFUNCTION("""COMPUTED_VALUE"""),675)</f>
        <v>675</v>
      </c>
      <c r="Y96" s="1">
        <f ca="1">IFERROR(__xludf.DUMMYFUNCTION("""COMPUTED_VALUE"""),0.77)</f>
        <v>0.77</v>
      </c>
      <c r="Z96" s="1">
        <f ca="1">IFERROR(__xludf.DUMMYFUNCTION("""COMPUTED_VALUE"""),309)</f>
        <v>309</v>
      </c>
      <c r="AA96" s="1">
        <f ca="1">IFERROR(__xludf.DUMMYFUNCTION("""COMPUTED_VALUE"""),1196)</f>
        <v>1196</v>
      </c>
      <c r="AB96" s="1">
        <f ca="1">IFERROR(__xludf.DUMMYFUNCTION("""COMPUTED_VALUE"""),421)</f>
        <v>421</v>
      </c>
      <c r="AC96" s="1">
        <f ca="1">IFERROR(__xludf.DUMMYFUNCTION("""COMPUTED_VALUE"""),158)</f>
        <v>158</v>
      </c>
      <c r="AD96" s="1">
        <f ca="1">IFERROR(__xludf.DUMMYFUNCTION("""COMPUTED_VALUE"""),162)</f>
        <v>162</v>
      </c>
      <c r="AE96" s="1">
        <f ca="1">IFERROR(__xludf.DUMMYFUNCTION("""COMPUTED_VALUE"""),415)</f>
        <v>415</v>
      </c>
      <c r="AF96" s="1">
        <f ca="1">IFERROR(__xludf.DUMMYFUNCTION("""COMPUTED_VALUE"""),679)</f>
        <v>679</v>
      </c>
    </row>
    <row r="97" spans="1:32" ht="12.5" x14ac:dyDescent="0.25">
      <c r="A97" s="1" t="str">
        <f ca="1">IFERROR(__xludf.DUMMYFUNCTION("""COMPUTED_VALUE"""),"Elon")</f>
        <v>Elon</v>
      </c>
      <c r="B97" s="1">
        <f ca="1">IFERROR(__xludf.DUMMYFUNCTION("""COMPUTED_VALUE"""),32)</f>
        <v>32</v>
      </c>
      <c r="C97" s="1">
        <f ca="1">IFERROR(__xludf.DUMMYFUNCTION("""COMPUTED_VALUE"""),18)</f>
        <v>18</v>
      </c>
      <c r="D97" s="1">
        <f ca="1">IFERROR(__xludf.DUMMYFUNCTION("""COMPUTED_VALUE"""),14)</f>
        <v>14</v>
      </c>
      <c r="E97" s="1">
        <f ca="1">IFERROR(__xludf.DUMMYFUNCTION("""COMPUTED_VALUE"""),0.563)</f>
        <v>0.56299999999999994</v>
      </c>
      <c r="F97" s="1">
        <f ca="1">IFERROR(__xludf.DUMMYFUNCTION("""COMPUTED_VALUE"""),0.24)</f>
        <v>0.24</v>
      </c>
      <c r="G97" s="1">
        <f ca="1">IFERROR(__xludf.DUMMYFUNCTION("""COMPUTED_VALUE"""),-1.39)</f>
        <v>-1.39</v>
      </c>
      <c r="H97" s="1">
        <f ca="1">IFERROR(__xludf.DUMMYFUNCTION("""COMPUTED_VALUE"""),10)</f>
        <v>10</v>
      </c>
      <c r="I97" s="1">
        <f ca="1">IFERROR(__xludf.DUMMYFUNCTION("""COMPUTED_VALUE"""),8)</f>
        <v>8</v>
      </c>
      <c r="J97" s="1">
        <f ca="1">IFERROR(__xludf.DUMMYFUNCTION("""COMPUTED_VALUE"""),10)</f>
        <v>10</v>
      </c>
      <c r="K97" s="1">
        <f ca="1">IFERROR(__xludf.DUMMYFUNCTION("""COMPUTED_VALUE"""),4)</f>
        <v>4</v>
      </c>
      <c r="L97" s="1">
        <f ca="1">IFERROR(__xludf.DUMMYFUNCTION("""COMPUTED_VALUE"""),6)</f>
        <v>6</v>
      </c>
      <c r="M97" s="1">
        <f ca="1">IFERROR(__xludf.DUMMYFUNCTION("""COMPUTED_VALUE"""),8)</f>
        <v>8</v>
      </c>
      <c r="N97" s="1">
        <f ca="1">IFERROR(__xludf.DUMMYFUNCTION("""COMPUTED_VALUE"""),2403)</f>
        <v>2403</v>
      </c>
      <c r="O97" s="1">
        <f ca="1">IFERROR(__xludf.DUMMYFUNCTION("""COMPUTED_VALUE"""),2292)</f>
        <v>2292</v>
      </c>
      <c r="P97" s="1">
        <f ca="1">IFERROR(__xludf.DUMMYFUNCTION("""COMPUTED_VALUE"""),1310)</f>
        <v>1310</v>
      </c>
      <c r="Q97" s="1">
        <f ca="1">IFERROR(__xludf.DUMMYFUNCTION("""COMPUTED_VALUE"""),850)</f>
        <v>850</v>
      </c>
      <c r="R97" s="1">
        <f ca="1">IFERROR(__xludf.DUMMYFUNCTION("""COMPUTED_VALUE"""),1911)</f>
        <v>1911</v>
      </c>
      <c r="S97" s="1">
        <f ca="1">IFERROR(__xludf.DUMMYFUNCTION("""COMPUTED_VALUE"""),0.445)</f>
        <v>0.44500000000000001</v>
      </c>
      <c r="T97" s="1">
        <f ca="1">IFERROR(__xludf.DUMMYFUNCTION("""COMPUTED_VALUE"""),308)</f>
        <v>308</v>
      </c>
      <c r="U97" s="1">
        <f ca="1">IFERROR(__xludf.DUMMYFUNCTION("""COMPUTED_VALUE"""),868)</f>
        <v>868</v>
      </c>
      <c r="V97" s="1">
        <f ca="1">IFERROR(__xludf.DUMMYFUNCTION("""COMPUTED_VALUE"""),0.355)</f>
        <v>0.35499999999999998</v>
      </c>
      <c r="W97" s="1">
        <f ca="1">IFERROR(__xludf.DUMMYFUNCTION("""COMPUTED_VALUE"""),395)</f>
        <v>395</v>
      </c>
      <c r="X97" s="1">
        <f ca="1">IFERROR(__xludf.DUMMYFUNCTION("""COMPUTED_VALUE"""),577)</f>
        <v>577</v>
      </c>
      <c r="Y97" s="1">
        <f ca="1">IFERROR(__xludf.DUMMYFUNCTION("""COMPUTED_VALUE"""),0.685)</f>
        <v>0.68500000000000005</v>
      </c>
      <c r="Z97" s="1">
        <f ca="1">IFERROR(__xludf.DUMMYFUNCTION("""COMPUTED_VALUE"""),291)</f>
        <v>291</v>
      </c>
      <c r="AA97" s="1">
        <f ca="1">IFERROR(__xludf.DUMMYFUNCTION("""COMPUTED_VALUE"""),1209)</f>
        <v>1209</v>
      </c>
      <c r="AB97" s="1">
        <f ca="1">IFERROR(__xludf.DUMMYFUNCTION("""COMPUTED_VALUE"""),466)</f>
        <v>466</v>
      </c>
      <c r="AC97" s="1">
        <f ca="1">IFERROR(__xludf.DUMMYFUNCTION("""COMPUTED_VALUE"""),165)</f>
        <v>165</v>
      </c>
      <c r="AD97" s="1">
        <f ca="1">IFERROR(__xludf.DUMMYFUNCTION("""COMPUTED_VALUE"""),73)</f>
        <v>73</v>
      </c>
      <c r="AE97" s="1">
        <f ca="1">IFERROR(__xludf.DUMMYFUNCTION("""COMPUTED_VALUE"""),374)</f>
        <v>374</v>
      </c>
      <c r="AF97" s="1">
        <f ca="1">IFERROR(__xludf.DUMMYFUNCTION("""COMPUTED_VALUE"""),532)</f>
        <v>532</v>
      </c>
    </row>
    <row r="98" spans="1:32" ht="12.5" x14ac:dyDescent="0.25">
      <c r="A98" s="1" t="str">
        <f ca="1">IFERROR(__xludf.DUMMYFUNCTION("""COMPUTED_VALUE"""),"Evansville")</f>
        <v>Evansville</v>
      </c>
      <c r="B98" s="1">
        <f ca="1">IFERROR(__xludf.DUMMYFUNCTION("""COMPUTED_VALUE"""),33)</f>
        <v>33</v>
      </c>
      <c r="C98" s="1">
        <f ca="1">IFERROR(__xludf.DUMMYFUNCTION("""COMPUTED_VALUE"""),16)</f>
        <v>16</v>
      </c>
      <c r="D98" s="1">
        <f ca="1">IFERROR(__xludf.DUMMYFUNCTION("""COMPUTED_VALUE"""),17)</f>
        <v>17</v>
      </c>
      <c r="E98" s="1">
        <f ca="1">IFERROR(__xludf.DUMMYFUNCTION("""COMPUTED_VALUE"""),0.485)</f>
        <v>0.48499999999999999</v>
      </c>
      <c r="F98" s="1">
        <f ca="1">IFERROR(__xludf.DUMMYFUNCTION("""COMPUTED_VALUE"""),1.45)</f>
        <v>1.45</v>
      </c>
      <c r="G98" s="1">
        <f ca="1">IFERROR(__xludf.DUMMYFUNCTION("""COMPUTED_VALUE"""),2.42)</f>
        <v>2.42</v>
      </c>
      <c r="H98" s="1">
        <f ca="1">IFERROR(__xludf.DUMMYFUNCTION("""COMPUTED_VALUE"""),6)</f>
        <v>6</v>
      </c>
      <c r="I98" s="1">
        <f ca="1">IFERROR(__xludf.DUMMYFUNCTION("""COMPUTED_VALUE"""),12)</f>
        <v>12</v>
      </c>
      <c r="J98" s="1">
        <f ca="1">IFERROR(__xludf.DUMMYFUNCTION("""COMPUTED_VALUE"""),13)</f>
        <v>13</v>
      </c>
      <c r="K98" s="1">
        <f ca="1">IFERROR(__xludf.DUMMYFUNCTION("""COMPUTED_VALUE"""),4)</f>
        <v>4</v>
      </c>
      <c r="L98" s="1">
        <f ca="1">IFERROR(__xludf.DUMMYFUNCTION("""COMPUTED_VALUE"""),2)</f>
        <v>2</v>
      </c>
      <c r="M98" s="1">
        <f ca="1">IFERROR(__xludf.DUMMYFUNCTION("""COMPUTED_VALUE"""),9)</f>
        <v>9</v>
      </c>
      <c r="N98" s="1">
        <f ca="1">IFERROR(__xludf.DUMMYFUNCTION("""COMPUTED_VALUE"""),2288)</f>
        <v>2288</v>
      </c>
      <c r="O98" s="1">
        <f ca="1">IFERROR(__xludf.DUMMYFUNCTION("""COMPUTED_VALUE"""),2261)</f>
        <v>2261</v>
      </c>
      <c r="P98" s="1">
        <f ca="1">IFERROR(__xludf.DUMMYFUNCTION("""COMPUTED_VALUE"""),1335)</f>
        <v>1335</v>
      </c>
      <c r="Q98" s="1">
        <f ca="1">IFERROR(__xludf.DUMMYFUNCTION("""COMPUTED_VALUE"""),800)</f>
        <v>800</v>
      </c>
      <c r="R98" s="1">
        <f ca="1">IFERROR(__xludf.DUMMYFUNCTION("""COMPUTED_VALUE"""),1762)</f>
        <v>1762</v>
      </c>
      <c r="S98" s="1">
        <f ca="1">IFERROR(__xludf.DUMMYFUNCTION("""COMPUTED_VALUE"""),0.454)</f>
        <v>0.45400000000000001</v>
      </c>
      <c r="T98" s="1">
        <f ca="1">IFERROR(__xludf.DUMMYFUNCTION("""COMPUTED_VALUE"""),127)</f>
        <v>127</v>
      </c>
      <c r="U98" s="1">
        <f ca="1">IFERROR(__xludf.DUMMYFUNCTION("""COMPUTED_VALUE"""),347)</f>
        <v>347</v>
      </c>
      <c r="V98" s="1">
        <f ca="1">IFERROR(__xludf.DUMMYFUNCTION("""COMPUTED_VALUE"""),0.366)</f>
        <v>0.36599999999999999</v>
      </c>
      <c r="W98" s="1">
        <f ca="1">IFERROR(__xludf.DUMMYFUNCTION("""COMPUTED_VALUE"""),561)</f>
        <v>561</v>
      </c>
      <c r="X98" s="1">
        <f ca="1">IFERROR(__xludf.DUMMYFUNCTION("""COMPUTED_VALUE"""),787)</f>
        <v>787</v>
      </c>
      <c r="Y98" s="1">
        <f ca="1">IFERROR(__xludf.DUMMYFUNCTION("""COMPUTED_VALUE"""),0.713)</f>
        <v>0.71299999999999997</v>
      </c>
      <c r="Z98" s="1">
        <f ca="1">IFERROR(__xludf.DUMMYFUNCTION("""COMPUTED_VALUE"""),298)</f>
        <v>298</v>
      </c>
      <c r="AA98" s="1">
        <f ca="1">IFERROR(__xludf.DUMMYFUNCTION("""COMPUTED_VALUE"""),1136)</f>
        <v>1136</v>
      </c>
      <c r="AB98" s="1">
        <f ca="1">IFERROR(__xludf.DUMMYFUNCTION("""COMPUTED_VALUE"""),442)</f>
        <v>442</v>
      </c>
      <c r="AC98" s="1">
        <f ca="1">IFERROR(__xludf.DUMMYFUNCTION("""COMPUTED_VALUE"""),172)</f>
        <v>172</v>
      </c>
      <c r="AD98" s="1">
        <f ca="1">IFERROR(__xludf.DUMMYFUNCTION("""COMPUTED_VALUE"""),99)</f>
        <v>99</v>
      </c>
      <c r="AE98" s="1">
        <f ca="1">IFERROR(__xludf.DUMMYFUNCTION("""COMPUTED_VALUE"""),389)</f>
        <v>389</v>
      </c>
      <c r="AF98" s="1">
        <f ca="1">IFERROR(__xludf.DUMMYFUNCTION("""COMPUTED_VALUE"""),659)</f>
        <v>659</v>
      </c>
    </row>
    <row r="99" spans="1:32" ht="12.5" x14ac:dyDescent="0.25">
      <c r="A99" s="1" t="str">
        <f ca="1">IFERROR(__xludf.DUMMYFUNCTION("""COMPUTED_VALUE"""),"Fairfield")</f>
        <v>Fairfield</v>
      </c>
      <c r="B99" s="1">
        <f ca="1">IFERROR(__xludf.DUMMYFUNCTION("""COMPUTED_VALUE"""),31)</f>
        <v>31</v>
      </c>
      <c r="C99" s="1">
        <f ca="1">IFERROR(__xludf.DUMMYFUNCTION("""COMPUTED_VALUE"""),16)</f>
        <v>16</v>
      </c>
      <c r="D99" s="1">
        <f ca="1">IFERROR(__xludf.DUMMYFUNCTION("""COMPUTED_VALUE"""),15)</f>
        <v>15</v>
      </c>
      <c r="E99" s="1">
        <f ca="1">IFERROR(__xludf.DUMMYFUNCTION("""COMPUTED_VALUE"""),0.516)</f>
        <v>0.51600000000000001</v>
      </c>
      <c r="F99" s="1">
        <f ca="1">IFERROR(__xludf.DUMMYFUNCTION("""COMPUTED_VALUE"""),-4.75)</f>
        <v>-4.75</v>
      </c>
      <c r="G99" s="1">
        <f ca="1">IFERROR(__xludf.DUMMYFUNCTION("""COMPUTED_VALUE"""),-3.85)</f>
        <v>-3.85</v>
      </c>
      <c r="H99" s="1">
        <f ca="1">IFERROR(__xludf.DUMMYFUNCTION("""COMPUTED_VALUE"""),11)</f>
        <v>11</v>
      </c>
      <c r="I99" s="1">
        <f ca="1">IFERROR(__xludf.DUMMYFUNCTION("""COMPUTED_VALUE"""),9)</f>
        <v>9</v>
      </c>
      <c r="J99" s="1">
        <f ca="1">IFERROR(__xludf.DUMMYFUNCTION("""COMPUTED_VALUE"""),7)</f>
        <v>7</v>
      </c>
      <c r="K99" s="1">
        <f ca="1">IFERROR(__xludf.DUMMYFUNCTION("""COMPUTED_VALUE"""),6)</f>
        <v>6</v>
      </c>
      <c r="L99" s="1">
        <f ca="1">IFERROR(__xludf.DUMMYFUNCTION("""COMPUTED_VALUE"""),8)</f>
        <v>8</v>
      </c>
      <c r="M99" s="1">
        <f ca="1">IFERROR(__xludf.DUMMYFUNCTION("""COMPUTED_VALUE"""),8)</f>
        <v>8</v>
      </c>
      <c r="N99" s="1">
        <f ca="1">IFERROR(__xludf.DUMMYFUNCTION("""COMPUTED_VALUE"""),2251)</f>
        <v>2251</v>
      </c>
      <c r="O99" s="1">
        <f ca="1">IFERROR(__xludf.DUMMYFUNCTION("""COMPUTED_VALUE"""),2279)</f>
        <v>2279</v>
      </c>
      <c r="P99" s="1">
        <f ca="1">IFERROR(__xludf.DUMMYFUNCTION("""COMPUTED_VALUE"""),1250)</f>
        <v>1250</v>
      </c>
      <c r="Q99" s="1">
        <f ca="1">IFERROR(__xludf.DUMMYFUNCTION("""COMPUTED_VALUE"""),822)</f>
        <v>822</v>
      </c>
      <c r="R99" s="1">
        <f ca="1">IFERROR(__xludf.DUMMYFUNCTION("""COMPUTED_VALUE"""),1859)</f>
        <v>1859</v>
      </c>
      <c r="S99" s="1">
        <f ca="1">IFERROR(__xludf.DUMMYFUNCTION("""COMPUTED_VALUE"""),0.442)</f>
        <v>0.442</v>
      </c>
      <c r="T99" s="1">
        <f ca="1">IFERROR(__xludf.DUMMYFUNCTION("""COMPUTED_VALUE"""),262)</f>
        <v>262</v>
      </c>
      <c r="U99" s="1">
        <f ca="1">IFERROR(__xludf.DUMMYFUNCTION("""COMPUTED_VALUE"""),782)</f>
        <v>782</v>
      </c>
      <c r="V99" s="1">
        <f ca="1">IFERROR(__xludf.DUMMYFUNCTION("""COMPUTED_VALUE"""),0.335)</f>
        <v>0.33500000000000002</v>
      </c>
      <c r="W99" s="1">
        <f ca="1">IFERROR(__xludf.DUMMYFUNCTION("""COMPUTED_VALUE"""),345)</f>
        <v>345</v>
      </c>
      <c r="X99" s="1">
        <f ca="1">IFERROR(__xludf.DUMMYFUNCTION("""COMPUTED_VALUE"""),506)</f>
        <v>506</v>
      </c>
      <c r="Y99" s="1">
        <f ca="1">IFERROR(__xludf.DUMMYFUNCTION("""COMPUTED_VALUE"""),0.682)</f>
        <v>0.68200000000000005</v>
      </c>
      <c r="Z99" s="1">
        <f ca="1">IFERROR(__xludf.DUMMYFUNCTION("""COMPUTED_VALUE"""),275)</f>
        <v>275</v>
      </c>
      <c r="AA99" s="1">
        <f ca="1">IFERROR(__xludf.DUMMYFUNCTION("""COMPUTED_VALUE"""),1115)</f>
        <v>1115</v>
      </c>
      <c r="AB99" s="1">
        <f ca="1">IFERROR(__xludf.DUMMYFUNCTION("""COMPUTED_VALUE"""),464)</f>
        <v>464</v>
      </c>
      <c r="AC99" s="1">
        <f ca="1">IFERROR(__xludf.DUMMYFUNCTION("""COMPUTED_VALUE"""),166)</f>
        <v>166</v>
      </c>
      <c r="AD99" s="1">
        <f ca="1">IFERROR(__xludf.DUMMYFUNCTION("""COMPUTED_VALUE"""),92)</f>
        <v>92</v>
      </c>
      <c r="AE99" s="1">
        <f ca="1">IFERROR(__xludf.DUMMYFUNCTION("""COMPUTED_VALUE"""),416)</f>
        <v>416</v>
      </c>
      <c r="AF99" s="1">
        <f ca="1">IFERROR(__xludf.DUMMYFUNCTION("""COMPUTED_VALUE"""),567)</f>
        <v>567</v>
      </c>
    </row>
    <row r="100" spans="1:32" ht="12.5" x14ac:dyDescent="0.25">
      <c r="A100" s="1" t="str">
        <f ca="1">IFERROR(__xludf.DUMMYFUNCTION("""COMPUTED_VALUE"""),"Fairleigh Dickinson")</f>
        <v>Fairleigh Dickinson</v>
      </c>
      <c r="B100" s="1">
        <f ca="1">IFERROR(__xludf.DUMMYFUNCTION("""COMPUTED_VALUE"""),30)</f>
        <v>30</v>
      </c>
      <c r="C100" s="1">
        <f ca="1">IFERROR(__xludf.DUMMYFUNCTION("""COMPUTED_VALUE"""),11)</f>
        <v>11</v>
      </c>
      <c r="D100" s="1">
        <f ca="1">IFERROR(__xludf.DUMMYFUNCTION("""COMPUTED_VALUE"""),19)</f>
        <v>19</v>
      </c>
      <c r="E100" s="1">
        <f ca="1">IFERROR(__xludf.DUMMYFUNCTION("""COMPUTED_VALUE"""),0.367)</f>
        <v>0.36699999999999999</v>
      </c>
      <c r="F100" s="1">
        <f ca="1">IFERROR(__xludf.DUMMYFUNCTION("""COMPUTED_VALUE"""),-9.28)</f>
        <v>-9.2799999999999994</v>
      </c>
      <c r="G100" s="1">
        <f ca="1">IFERROR(__xludf.DUMMYFUNCTION("""COMPUTED_VALUE"""),-5.31)</f>
        <v>-5.31</v>
      </c>
      <c r="H100" s="1">
        <f ca="1">IFERROR(__xludf.DUMMYFUNCTION("""COMPUTED_VALUE"""),9)</f>
        <v>9</v>
      </c>
      <c r="I100" s="1">
        <f ca="1">IFERROR(__xludf.DUMMYFUNCTION("""COMPUTED_VALUE"""),9)</f>
        <v>9</v>
      </c>
      <c r="J100" s="1">
        <f ca="1">IFERROR(__xludf.DUMMYFUNCTION("""COMPUTED_VALUE"""),7)</f>
        <v>7</v>
      </c>
      <c r="K100" s="1">
        <f ca="1">IFERROR(__xludf.DUMMYFUNCTION("""COMPUTED_VALUE"""),4)</f>
        <v>4</v>
      </c>
      <c r="L100" s="1">
        <f ca="1">IFERROR(__xludf.DUMMYFUNCTION("""COMPUTED_VALUE"""),3)</f>
        <v>3</v>
      </c>
      <c r="M100" s="1">
        <f ca="1">IFERROR(__xludf.DUMMYFUNCTION("""COMPUTED_VALUE"""),14)</f>
        <v>14</v>
      </c>
      <c r="N100" s="1">
        <f ca="1">IFERROR(__xludf.DUMMYFUNCTION("""COMPUTED_VALUE"""),2183)</f>
        <v>2183</v>
      </c>
      <c r="O100" s="1">
        <f ca="1">IFERROR(__xludf.DUMMYFUNCTION("""COMPUTED_VALUE"""),2250)</f>
        <v>2250</v>
      </c>
      <c r="P100" s="1">
        <f ca="1">IFERROR(__xludf.DUMMYFUNCTION("""COMPUTED_VALUE"""),1205)</f>
        <v>1205</v>
      </c>
      <c r="Q100" s="1">
        <f ca="1">IFERROR(__xludf.DUMMYFUNCTION("""COMPUTED_VALUE"""),754)</f>
        <v>754</v>
      </c>
      <c r="R100" s="1">
        <f ca="1">IFERROR(__xludf.DUMMYFUNCTION("""COMPUTED_VALUE"""),1713)</f>
        <v>1713</v>
      </c>
      <c r="S100" s="1">
        <f ca="1">IFERROR(__xludf.DUMMYFUNCTION("""COMPUTED_VALUE"""),0.44)</f>
        <v>0.44</v>
      </c>
      <c r="T100" s="1">
        <f ca="1">IFERROR(__xludf.DUMMYFUNCTION("""COMPUTED_VALUE"""),201)</f>
        <v>201</v>
      </c>
      <c r="U100" s="1">
        <f ca="1">IFERROR(__xludf.DUMMYFUNCTION("""COMPUTED_VALUE"""),606)</f>
        <v>606</v>
      </c>
      <c r="V100" s="1">
        <f ca="1">IFERROR(__xludf.DUMMYFUNCTION("""COMPUTED_VALUE"""),0.332)</f>
        <v>0.33200000000000002</v>
      </c>
      <c r="W100" s="1">
        <f ca="1">IFERROR(__xludf.DUMMYFUNCTION("""COMPUTED_VALUE"""),474)</f>
        <v>474</v>
      </c>
      <c r="X100" s="1">
        <f ca="1">IFERROR(__xludf.DUMMYFUNCTION("""COMPUTED_VALUE"""),620)</f>
        <v>620</v>
      </c>
      <c r="Y100" s="1">
        <f ca="1">IFERROR(__xludf.DUMMYFUNCTION("""COMPUTED_VALUE"""),0.765)</f>
        <v>0.76500000000000001</v>
      </c>
      <c r="Z100" s="1">
        <f ca="1">IFERROR(__xludf.DUMMYFUNCTION("""COMPUTED_VALUE"""),291)</f>
        <v>291</v>
      </c>
      <c r="AA100" s="1">
        <f ca="1">IFERROR(__xludf.DUMMYFUNCTION("""COMPUTED_VALUE"""),993)</f>
        <v>993</v>
      </c>
      <c r="AB100" s="1">
        <f ca="1">IFERROR(__xludf.DUMMYFUNCTION("""COMPUTED_VALUE"""),366)</f>
        <v>366</v>
      </c>
      <c r="AC100" s="1">
        <f ca="1">IFERROR(__xludf.DUMMYFUNCTION("""COMPUTED_VALUE"""),189)</f>
        <v>189</v>
      </c>
      <c r="AD100" s="1">
        <f ca="1">IFERROR(__xludf.DUMMYFUNCTION("""COMPUTED_VALUE"""),78)</f>
        <v>78</v>
      </c>
      <c r="AE100" s="1">
        <f ca="1">IFERROR(__xludf.DUMMYFUNCTION("""COMPUTED_VALUE"""),398)</f>
        <v>398</v>
      </c>
      <c r="AF100" s="1">
        <f ca="1">IFERROR(__xludf.DUMMYFUNCTION("""COMPUTED_VALUE"""),637)</f>
        <v>637</v>
      </c>
    </row>
    <row r="101" spans="1:32" ht="12.5" x14ac:dyDescent="0.25">
      <c r="A101" s="1" t="str">
        <f ca="1">IFERROR(__xludf.DUMMYFUNCTION("""COMPUTED_VALUE"""),"Florida A&amp;M")</f>
        <v>Florida A&amp;M</v>
      </c>
      <c r="B101" s="1">
        <f ca="1">IFERROR(__xludf.DUMMYFUNCTION("""COMPUTED_VALUE"""),30)</f>
        <v>30</v>
      </c>
      <c r="C101" s="1">
        <f ca="1">IFERROR(__xludf.DUMMYFUNCTION("""COMPUTED_VALUE"""),7)</f>
        <v>7</v>
      </c>
      <c r="D101" s="1">
        <f ca="1">IFERROR(__xludf.DUMMYFUNCTION("""COMPUTED_VALUE"""),23)</f>
        <v>23</v>
      </c>
      <c r="E101" s="1">
        <f ca="1">IFERROR(__xludf.DUMMYFUNCTION("""COMPUTED_VALUE"""),0.233)</f>
        <v>0.23300000000000001</v>
      </c>
      <c r="F101" s="1">
        <f ca="1">IFERROR(__xludf.DUMMYFUNCTION("""COMPUTED_VALUE"""),-20.88)</f>
        <v>-20.88</v>
      </c>
      <c r="G101" s="1">
        <f ca="1">IFERROR(__xludf.DUMMYFUNCTION("""COMPUTED_VALUE"""),-11.85)</f>
        <v>-11.85</v>
      </c>
      <c r="H101" s="1">
        <f ca="1">IFERROR(__xludf.DUMMYFUNCTION("""COMPUTED_VALUE"""),5)</f>
        <v>5</v>
      </c>
      <c r="I101" s="1">
        <f ca="1">IFERROR(__xludf.DUMMYFUNCTION("""COMPUTED_VALUE"""),11)</f>
        <v>11</v>
      </c>
      <c r="J101" s="1">
        <f ca="1">IFERROR(__xludf.DUMMYFUNCTION("""COMPUTED_VALUE"""),4)</f>
        <v>4</v>
      </c>
      <c r="K101" s="1">
        <f ca="1">IFERROR(__xludf.DUMMYFUNCTION("""COMPUTED_VALUE"""),10)</f>
        <v>10</v>
      </c>
      <c r="L101" s="1">
        <f ca="1">IFERROR(__xludf.DUMMYFUNCTION("""COMPUTED_VALUE"""),3)</f>
        <v>3</v>
      </c>
      <c r="M101" s="1">
        <f ca="1">IFERROR(__xludf.DUMMYFUNCTION("""COMPUTED_VALUE"""),11)</f>
        <v>11</v>
      </c>
      <c r="N101" s="1">
        <f ca="1">IFERROR(__xludf.DUMMYFUNCTION("""COMPUTED_VALUE"""),2153)</f>
        <v>2153</v>
      </c>
      <c r="O101" s="1">
        <f ca="1">IFERROR(__xludf.DUMMYFUNCTION("""COMPUTED_VALUE"""),2365)</f>
        <v>2365</v>
      </c>
      <c r="P101" s="1">
        <f ca="1">IFERROR(__xludf.DUMMYFUNCTION("""COMPUTED_VALUE"""),1220)</f>
        <v>1220</v>
      </c>
      <c r="Q101" s="1">
        <f ca="1">IFERROR(__xludf.DUMMYFUNCTION("""COMPUTED_VALUE"""),762)</f>
        <v>762</v>
      </c>
      <c r="R101" s="1">
        <f ca="1">IFERROR(__xludf.DUMMYFUNCTION("""COMPUTED_VALUE"""),1800)</f>
        <v>1800</v>
      </c>
      <c r="S101" s="1">
        <f ca="1">IFERROR(__xludf.DUMMYFUNCTION("""COMPUTED_VALUE"""),0.423)</f>
        <v>0.42299999999999999</v>
      </c>
      <c r="T101" s="1">
        <f ca="1">IFERROR(__xludf.DUMMYFUNCTION("""COMPUTED_VALUE"""),187)</f>
        <v>187</v>
      </c>
      <c r="U101" s="1">
        <f ca="1">IFERROR(__xludf.DUMMYFUNCTION("""COMPUTED_VALUE"""),538)</f>
        <v>538</v>
      </c>
      <c r="V101" s="1">
        <f ca="1">IFERROR(__xludf.DUMMYFUNCTION("""COMPUTED_VALUE"""),0.348)</f>
        <v>0.34799999999999998</v>
      </c>
      <c r="W101" s="1">
        <f ca="1">IFERROR(__xludf.DUMMYFUNCTION("""COMPUTED_VALUE"""),442)</f>
        <v>442</v>
      </c>
      <c r="X101" s="1">
        <f ca="1">IFERROR(__xludf.DUMMYFUNCTION("""COMPUTED_VALUE"""),671)</f>
        <v>671</v>
      </c>
      <c r="Y101" s="1">
        <f ca="1">IFERROR(__xludf.DUMMYFUNCTION("""COMPUTED_VALUE"""),0.659)</f>
        <v>0.65900000000000003</v>
      </c>
      <c r="Z101" s="1">
        <f ca="1">IFERROR(__xludf.DUMMYFUNCTION("""COMPUTED_VALUE"""),305)</f>
        <v>305</v>
      </c>
      <c r="AA101" s="1">
        <f ca="1">IFERROR(__xludf.DUMMYFUNCTION("""COMPUTED_VALUE"""),1047)</f>
        <v>1047</v>
      </c>
      <c r="AB101" s="1">
        <f ca="1">IFERROR(__xludf.DUMMYFUNCTION("""COMPUTED_VALUE"""),379)</f>
        <v>379</v>
      </c>
      <c r="AC101" s="1">
        <f ca="1">IFERROR(__xludf.DUMMYFUNCTION("""COMPUTED_VALUE"""),197)</f>
        <v>197</v>
      </c>
      <c r="AD101" s="1">
        <f ca="1">IFERROR(__xludf.DUMMYFUNCTION("""COMPUTED_VALUE"""),99)</f>
        <v>99</v>
      </c>
      <c r="AE101" s="1">
        <f ca="1">IFERROR(__xludf.DUMMYFUNCTION("""COMPUTED_VALUE"""),407)</f>
        <v>407</v>
      </c>
      <c r="AF101" s="1">
        <f ca="1">IFERROR(__xludf.DUMMYFUNCTION("""COMPUTED_VALUE"""),568)</f>
        <v>568</v>
      </c>
    </row>
    <row r="102" spans="1:32" ht="12.5" x14ac:dyDescent="0.25">
      <c r="A102" s="1" t="str">
        <f ca="1">IFERROR(__xludf.DUMMYFUNCTION("""COMPUTED_VALUE"""),"Florida Atlantic")</f>
        <v>Florida Atlantic</v>
      </c>
      <c r="B102" s="1">
        <f ca="1">IFERROR(__xludf.DUMMYFUNCTION("""COMPUTED_VALUE"""),30)</f>
        <v>30</v>
      </c>
      <c r="C102" s="1">
        <f ca="1">IFERROR(__xludf.DUMMYFUNCTION("""COMPUTED_VALUE"""),10)</f>
        <v>10</v>
      </c>
      <c r="D102" s="1">
        <f ca="1">IFERROR(__xludf.DUMMYFUNCTION("""COMPUTED_VALUE"""),20)</f>
        <v>20</v>
      </c>
      <c r="E102" s="1">
        <f ca="1">IFERROR(__xludf.DUMMYFUNCTION("""COMPUTED_VALUE"""),0.333)</f>
        <v>0.33300000000000002</v>
      </c>
      <c r="F102" s="1">
        <f ca="1">IFERROR(__xludf.DUMMYFUNCTION("""COMPUTED_VALUE"""),-7.95)</f>
        <v>-7.95</v>
      </c>
      <c r="G102" s="1">
        <f ca="1">IFERROR(__xludf.DUMMYFUNCTION("""COMPUTED_VALUE"""),-1.98)</f>
        <v>-1.98</v>
      </c>
      <c r="H102" s="1">
        <f ca="1">IFERROR(__xludf.DUMMYFUNCTION("""COMPUTED_VALUE"""),6)</f>
        <v>6</v>
      </c>
      <c r="I102" s="1">
        <f ca="1">IFERROR(__xludf.DUMMYFUNCTION("""COMPUTED_VALUE"""),12)</f>
        <v>12</v>
      </c>
      <c r="J102" s="1">
        <f ca="1">IFERROR(__xludf.DUMMYFUNCTION("""COMPUTED_VALUE"""),5)</f>
        <v>5</v>
      </c>
      <c r="K102" s="1">
        <f ca="1">IFERROR(__xludf.DUMMYFUNCTION("""COMPUTED_VALUE"""),9)</f>
        <v>9</v>
      </c>
      <c r="L102" s="1">
        <f ca="1">IFERROR(__xludf.DUMMYFUNCTION("""COMPUTED_VALUE"""),5)</f>
        <v>5</v>
      </c>
      <c r="M102" s="1">
        <f ca="1">IFERROR(__xludf.DUMMYFUNCTION("""COMPUTED_VALUE"""),8)</f>
        <v>8</v>
      </c>
      <c r="N102" s="1">
        <f ca="1">IFERROR(__xludf.DUMMYFUNCTION("""COMPUTED_VALUE"""),2108)</f>
        <v>2108</v>
      </c>
      <c r="O102" s="1">
        <f ca="1">IFERROR(__xludf.DUMMYFUNCTION("""COMPUTED_VALUE"""),2221)</f>
        <v>2221</v>
      </c>
      <c r="P102" s="1">
        <f ca="1">IFERROR(__xludf.DUMMYFUNCTION("""COMPUTED_VALUE"""),1215)</f>
        <v>1215</v>
      </c>
      <c r="Q102" s="1">
        <f ca="1">IFERROR(__xludf.DUMMYFUNCTION("""COMPUTED_VALUE"""),756)</f>
        <v>756</v>
      </c>
      <c r="R102" s="1">
        <f ca="1">IFERROR(__xludf.DUMMYFUNCTION("""COMPUTED_VALUE"""),1838)</f>
        <v>1838</v>
      </c>
      <c r="S102" s="1">
        <f ca="1">IFERROR(__xludf.DUMMYFUNCTION("""COMPUTED_VALUE"""),0.411)</f>
        <v>0.41099999999999998</v>
      </c>
      <c r="T102" s="1">
        <f ca="1">IFERROR(__xludf.DUMMYFUNCTION("""COMPUTED_VALUE"""),204)</f>
        <v>204</v>
      </c>
      <c r="U102" s="1">
        <f ca="1">IFERROR(__xludf.DUMMYFUNCTION("""COMPUTED_VALUE"""),639)</f>
        <v>639</v>
      </c>
      <c r="V102" s="1">
        <f ca="1">IFERROR(__xludf.DUMMYFUNCTION("""COMPUTED_VALUE"""),0.319)</f>
        <v>0.31900000000000001</v>
      </c>
      <c r="W102" s="1">
        <f ca="1">IFERROR(__xludf.DUMMYFUNCTION("""COMPUTED_VALUE"""),392)</f>
        <v>392</v>
      </c>
      <c r="X102" s="1">
        <f ca="1">IFERROR(__xludf.DUMMYFUNCTION("""COMPUTED_VALUE"""),558)</f>
        <v>558</v>
      </c>
      <c r="Y102" s="1">
        <f ca="1">IFERROR(__xludf.DUMMYFUNCTION("""COMPUTED_VALUE"""),0.703)</f>
        <v>0.70299999999999996</v>
      </c>
      <c r="Z102" s="1">
        <f ca="1">IFERROR(__xludf.DUMMYFUNCTION("""COMPUTED_VALUE"""),316)</f>
        <v>316</v>
      </c>
      <c r="AA102" s="1">
        <f ca="1">IFERROR(__xludf.DUMMYFUNCTION("""COMPUTED_VALUE"""),1066)</f>
        <v>1066</v>
      </c>
      <c r="AB102" s="1">
        <f ca="1">IFERROR(__xludf.DUMMYFUNCTION("""COMPUTED_VALUE"""),369)</f>
        <v>369</v>
      </c>
      <c r="AC102" s="1">
        <f ca="1">IFERROR(__xludf.DUMMYFUNCTION("""COMPUTED_VALUE"""),171)</f>
        <v>171</v>
      </c>
      <c r="AD102" s="1">
        <f ca="1">IFERROR(__xludf.DUMMYFUNCTION("""COMPUTED_VALUE"""),93)</f>
        <v>93</v>
      </c>
      <c r="AE102" s="1">
        <f ca="1">IFERROR(__xludf.DUMMYFUNCTION("""COMPUTED_VALUE"""),348)</f>
        <v>348</v>
      </c>
      <c r="AF102" s="1">
        <f ca="1">IFERROR(__xludf.DUMMYFUNCTION("""COMPUTED_VALUE"""),570)</f>
        <v>570</v>
      </c>
    </row>
    <row r="103" spans="1:32" ht="12.5" x14ac:dyDescent="0.25">
      <c r="A103" s="1" t="str">
        <f ca="1">IFERROR(__xludf.DUMMYFUNCTION("""COMPUTED_VALUE"""),"Florida Gulf CoastNCAA")</f>
        <v>Florida Gulf CoastNCAA</v>
      </c>
      <c r="B103" s="1">
        <f ca="1">IFERROR(__xludf.DUMMYFUNCTION("""COMPUTED_VALUE"""),34)</f>
        <v>34</v>
      </c>
      <c r="C103" s="1">
        <f ca="1">IFERROR(__xludf.DUMMYFUNCTION("""COMPUTED_VALUE"""),26)</f>
        <v>26</v>
      </c>
      <c r="D103" s="1">
        <f ca="1">IFERROR(__xludf.DUMMYFUNCTION("""COMPUTED_VALUE"""),8)</f>
        <v>8</v>
      </c>
      <c r="E103" s="1">
        <f ca="1">IFERROR(__xludf.DUMMYFUNCTION("""COMPUTED_VALUE"""),0.765)</f>
        <v>0.76500000000000001</v>
      </c>
      <c r="F103" s="1">
        <f ca="1">IFERROR(__xludf.DUMMYFUNCTION("""COMPUTED_VALUE"""),2.26)</f>
        <v>2.2599999999999998</v>
      </c>
      <c r="G103" s="1">
        <f ca="1">IFERROR(__xludf.DUMMYFUNCTION("""COMPUTED_VALUE"""),-3.42)</f>
        <v>-3.42</v>
      </c>
      <c r="H103" s="1">
        <f ca="1">IFERROR(__xludf.DUMMYFUNCTION("""COMPUTED_VALUE"""),12)</f>
        <v>12</v>
      </c>
      <c r="I103" s="1">
        <f ca="1">IFERROR(__xludf.DUMMYFUNCTION("""COMPUTED_VALUE"""),2)</f>
        <v>2</v>
      </c>
      <c r="J103" s="1">
        <f ca="1">IFERROR(__xludf.DUMMYFUNCTION("""COMPUTED_VALUE"""),16)</f>
        <v>16</v>
      </c>
      <c r="K103" s="1">
        <f ca="1">IFERROR(__xludf.DUMMYFUNCTION("""COMPUTED_VALUE"""),3)</f>
        <v>3</v>
      </c>
      <c r="L103" s="1">
        <f ca="1">IFERROR(__xludf.DUMMYFUNCTION("""COMPUTED_VALUE"""),10)</f>
        <v>10</v>
      </c>
      <c r="M103" s="1">
        <f ca="1">IFERROR(__xludf.DUMMYFUNCTION("""COMPUTED_VALUE"""),3)</f>
        <v>3</v>
      </c>
      <c r="N103" s="1">
        <f ca="1">IFERROR(__xludf.DUMMYFUNCTION("""COMPUTED_VALUE"""),2701)</f>
        <v>2701</v>
      </c>
      <c r="O103" s="1">
        <f ca="1">IFERROR(__xludf.DUMMYFUNCTION("""COMPUTED_VALUE"""),2356)</f>
        <v>2356</v>
      </c>
      <c r="P103" s="1">
        <f ca="1">IFERROR(__xludf.DUMMYFUNCTION("""COMPUTED_VALUE"""),1370)</f>
        <v>1370</v>
      </c>
      <c r="Q103" s="1">
        <f ca="1">IFERROR(__xludf.DUMMYFUNCTION("""COMPUTED_VALUE"""),1007)</f>
        <v>1007</v>
      </c>
      <c r="R103" s="1">
        <f ca="1">IFERROR(__xludf.DUMMYFUNCTION("""COMPUTED_VALUE"""),2017)</f>
        <v>2017</v>
      </c>
      <c r="S103" s="1">
        <f ca="1">IFERROR(__xludf.DUMMYFUNCTION("""COMPUTED_VALUE"""),0.499)</f>
        <v>0.499</v>
      </c>
      <c r="T103" s="1">
        <f ca="1">IFERROR(__xludf.DUMMYFUNCTION("""COMPUTED_VALUE"""),221)</f>
        <v>221</v>
      </c>
      <c r="U103" s="1">
        <f ca="1">IFERROR(__xludf.DUMMYFUNCTION("""COMPUTED_VALUE"""),636)</f>
        <v>636</v>
      </c>
      <c r="V103" s="1">
        <f ca="1">IFERROR(__xludf.DUMMYFUNCTION("""COMPUTED_VALUE"""),0.347)</f>
        <v>0.34699999999999998</v>
      </c>
      <c r="W103" s="1">
        <f ca="1">IFERROR(__xludf.DUMMYFUNCTION("""COMPUTED_VALUE"""),466)</f>
        <v>466</v>
      </c>
      <c r="X103" s="1">
        <f ca="1">IFERROR(__xludf.DUMMYFUNCTION("""COMPUTED_VALUE"""),664)</f>
        <v>664</v>
      </c>
      <c r="Y103" s="1">
        <f ca="1">IFERROR(__xludf.DUMMYFUNCTION("""COMPUTED_VALUE"""),0.702)</f>
        <v>0.70199999999999996</v>
      </c>
      <c r="Z103" s="1">
        <f ca="1">IFERROR(__xludf.DUMMYFUNCTION("""COMPUTED_VALUE"""),379)</f>
        <v>379</v>
      </c>
      <c r="AA103" s="1">
        <f ca="1">IFERROR(__xludf.DUMMYFUNCTION("""COMPUTED_VALUE"""),1269)</f>
        <v>1269</v>
      </c>
      <c r="AB103" s="1">
        <f ca="1">IFERROR(__xludf.DUMMYFUNCTION("""COMPUTED_VALUE"""),527)</f>
        <v>527</v>
      </c>
      <c r="AC103" s="1">
        <f ca="1">IFERROR(__xludf.DUMMYFUNCTION("""COMPUTED_VALUE"""),207)</f>
        <v>207</v>
      </c>
      <c r="AD103" s="1">
        <f ca="1">IFERROR(__xludf.DUMMYFUNCTION("""COMPUTED_VALUE"""),116)</f>
        <v>116</v>
      </c>
      <c r="AE103" s="1">
        <f ca="1">IFERROR(__xludf.DUMMYFUNCTION("""COMPUTED_VALUE"""),421)</f>
        <v>421</v>
      </c>
      <c r="AF103" s="1">
        <f ca="1">IFERROR(__xludf.DUMMYFUNCTION("""COMPUTED_VALUE"""),635)</f>
        <v>635</v>
      </c>
    </row>
    <row r="104" spans="1:32" ht="12.5" x14ac:dyDescent="0.25">
      <c r="A104" s="1" t="str">
        <f ca="1">IFERROR(__xludf.DUMMYFUNCTION("""COMPUTED_VALUE"""),"Florida International")</f>
        <v>Florida International</v>
      </c>
      <c r="B104" s="1">
        <f ca="1">IFERROR(__xludf.DUMMYFUNCTION("""COMPUTED_VALUE"""),31)</f>
        <v>31</v>
      </c>
      <c r="C104" s="1">
        <f ca="1">IFERROR(__xludf.DUMMYFUNCTION("""COMPUTED_VALUE"""),7)</f>
        <v>7</v>
      </c>
      <c r="D104" s="1">
        <f ca="1">IFERROR(__xludf.DUMMYFUNCTION("""COMPUTED_VALUE"""),24)</f>
        <v>24</v>
      </c>
      <c r="E104" s="1">
        <f ca="1">IFERROR(__xludf.DUMMYFUNCTION("""COMPUTED_VALUE"""),0.226)</f>
        <v>0.22600000000000001</v>
      </c>
      <c r="F104" s="1">
        <f ca="1">IFERROR(__xludf.DUMMYFUNCTION("""COMPUTED_VALUE"""),-8.1)</f>
        <v>-8.1</v>
      </c>
      <c r="G104" s="1">
        <f ca="1">IFERROR(__xludf.DUMMYFUNCTION("""COMPUTED_VALUE"""),-3.27)</f>
        <v>-3.27</v>
      </c>
      <c r="H104" s="1">
        <f ca="1">IFERROR(__xludf.DUMMYFUNCTION("""COMPUTED_VALUE"""),3)</f>
        <v>3</v>
      </c>
      <c r="I104" s="1">
        <f ca="1">IFERROR(__xludf.DUMMYFUNCTION("""COMPUTED_VALUE"""),15)</f>
        <v>15</v>
      </c>
      <c r="J104" s="1">
        <f ca="1">IFERROR(__xludf.DUMMYFUNCTION("""COMPUTED_VALUE"""),6)</f>
        <v>6</v>
      </c>
      <c r="K104" s="1">
        <f ca="1">IFERROR(__xludf.DUMMYFUNCTION("""COMPUTED_VALUE"""),9)</f>
        <v>9</v>
      </c>
      <c r="L104" s="1">
        <f ca="1">IFERROR(__xludf.DUMMYFUNCTION("""COMPUTED_VALUE"""),1)</f>
        <v>1</v>
      </c>
      <c r="M104" s="1">
        <f ca="1">IFERROR(__xludf.DUMMYFUNCTION("""COMPUTED_VALUE"""),13)</f>
        <v>13</v>
      </c>
      <c r="N104" s="1">
        <f ca="1">IFERROR(__xludf.DUMMYFUNCTION("""COMPUTED_VALUE"""),2178)</f>
        <v>2178</v>
      </c>
      <c r="O104" s="1">
        <f ca="1">IFERROR(__xludf.DUMMYFUNCTION("""COMPUTED_VALUE"""),2282)</f>
        <v>2282</v>
      </c>
      <c r="P104" s="1">
        <f ca="1">IFERROR(__xludf.DUMMYFUNCTION("""COMPUTED_VALUE"""),1270)</f>
        <v>1270</v>
      </c>
      <c r="Q104" s="1">
        <f ca="1">IFERROR(__xludf.DUMMYFUNCTION("""COMPUTED_VALUE"""),805)</f>
        <v>805</v>
      </c>
      <c r="R104" s="1">
        <f ca="1">IFERROR(__xludf.DUMMYFUNCTION("""COMPUTED_VALUE"""),1773)</f>
        <v>1773</v>
      </c>
      <c r="S104" s="1">
        <f ca="1">IFERROR(__xludf.DUMMYFUNCTION("""COMPUTED_VALUE"""),0.454)</f>
        <v>0.45400000000000001</v>
      </c>
      <c r="T104" s="1">
        <f ca="1">IFERROR(__xludf.DUMMYFUNCTION("""COMPUTED_VALUE"""),181)</f>
        <v>181</v>
      </c>
      <c r="U104" s="1">
        <f ca="1">IFERROR(__xludf.DUMMYFUNCTION("""COMPUTED_VALUE"""),545)</f>
        <v>545</v>
      </c>
      <c r="V104" s="1">
        <f ca="1">IFERROR(__xludf.DUMMYFUNCTION("""COMPUTED_VALUE"""),0.332)</f>
        <v>0.33200000000000002</v>
      </c>
      <c r="W104" s="1">
        <f ca="1">IFERROR(__xludf.DUMMYFUNCTION("""COMPUTED_VALUE"""),387)</f>
        <v>387</v>
      </c>
      <c r="X104" s="1">
        <f ca="1">IFERROR(__xludf.DUMMYFUNCTION("""COMPUTED_VALUE"""),516)</f>
        <v>516</v>
      </c>
      <c r="Y104" s="1">
        <f ca="1">IFERROR(__xludf.DUMMYFUNCTION("""COMPUTED_VALUE"""),0.75)</f>
        <v>0.75</v>
      </c>
      <c r="Z104" s="1">
        <f ca="1">IFERROR(__xludf.DUMMYFUNCTION("""COMPUTED_VALUE"""),315)</f>
        <v>315</v>
      </c>
      <c r="AA104" s="1">
        <f ca="1">IFERROR(__xludf.DUMMYFUNCTION("""COMPUTED_VALUE"""),1051)</f>
        <v>1051</v>
      </c>
      <c r="AB104" s="1">
        <f ca="1">IFERROR(__xludf.DUMMYFUNCTION("""COMPUTED_VALUE"""),346)</f>
        <v>346</v>
      </c>
      <c r="AC104" s="1">
        <f ca="1">IFERROR(__xludf.DUMMYFUNCTION("""COMPUTED_VALUE"""),185)</f>
        <v>185</v>
      </c>
      <c r="AD104" s="1">
        <f ca="1">IFERROR(__xludf.DUMMYFUNCTION("""COMPUTED_VALUE"""),67)</f>
        <v>67</v>
      </c>
      <c r="AE104" s="1">
        <f ca="1">IFERROR(__xludf.DUMMYFUNCTION("""COMPUTED_VALUE"""),413)</f>
        <v>413</v>
      </c>
      <c r="AF104" s="1">
        <f ca="1">IFERROR(__xludf.DUMMYFUNCTION("""COMPUTED_VALUE"""),570)</f>
        <v>570</v>
      </c>
    </row>
    <row r="105" spans="1:32" ht="12.5" x14ac:dyDescent="0.25">
      <c r="A105" s="1" t="str">
        <f ca="1">IFERROR(__xludf.DUMMYFUNCTION("""COMPUTED_VALUE"""),"Florida StateNCAA")</f>
        <v>Florida StateNCAA</v>
      </c>
      <c r="B105" s="1">
        <f ca="1">IFERROR(__xludf.DUMMYFUNCTION("""COMPUTED_VALUE"""),35)</f>
        <v>35</v>
      </c>
      <c r="C105" s="1">
        <f ca="1">IFERROR(__xludf.DUMMYFUNCTION("""COMPUTED_VALUE"""),26)</f>
        <v>26</v>
      </c>
      <c r="D105" s="1">
        <f ca="1">IFERROR(__xludf.DUMMYFUNCTION("""COMPUTED_VALUE"""),9)</f>
        <v>9</v>
      </c>
      <c r="E105" s="1">
        <f ca="1">IFERROR(__xludf.DUMMYFUNCTION("""COMPUTED_VALUE"""),0.743)</f>
        <v>0.74299999999999999</v>
      </c>
      <c r="F105" s="1">
        <f ca="1">IFERROR(__xludf.DUMMYFUNCTION("""COMPUTED_VALUE"""),18.87)</f>
        <v>18.87</v>
      </c>
      <c r="G105" s="1">
        <f ca="1">IFERROR(__xludf.DUMMYFUNCTION("""COMPUTED_VALUE"""),8.87)</f>
        <v>8.8699999999999992</v>
      </c>
      <c r="H105" s="1">
        <f ca="1">IFERROR(__xludf.DUMMYFUNCTION("""COMPUTED_VALUE"""),12)</f>
        <v>12</v>
      </c>
      <c r="I105" s="1">
        <f ca="1">IFERROR(__xludf.DUMMYFUNCTION("""COMPUTED_VALUE"""),6)</f>
        <v>6</v>
      </c>
      <c r="J105" s="1">
        <f ca="1">IFERROR(__xludf.DUMMYFUNCTION("""COMPUTED_VALUE"""),18)</f>
        <v>18</v>
      </c>
      <c r="K105" s="1">
        <f ca="1">IFERROR(__xludf.DUMMYFUNCTION("""COMPUTED_VALUE"""),0)</f>
        <v>0</v>
      </c>
      <c r="L105" s="1">
        <f ca="1">IFERROR(__xludf.DUMMYFUNCTION("""COMPUTED_VALUE"""),3)</f>
        <v>3</v>
      </c>
      <c r="M105" s="1">
        <f ca="1">IFERROR(__xludf.DUMMYFUNCTION("""COMPUTED_VALUE"""),6)</f>
        <v>6</v>
      </c>
      <c r="N105" s="1">
        <f ca="1">IFERROR(__xludf.DUMMYFUNCTION("""COMPUTED_VALUE"""),2873)</f>
        <v>2873</v>
      </c>
      <c r="O105" s="1">
        <f ca="1">IFERROR(__xludf.DUMMYFUNCTION("""COMPUTED_VALUE"""),2523)</f>
        <v>2523</v>
      </c>
      <c r="P105" s="1">
        <f ca="1">IFERROR(__xludf.DUMMYFUNCTION("""COMPUTED_VALUE"""),1400)</f>
        <v>1400</v>
      </c>
      <c r="Q105" s="1">
        <f ca="1">IFERROR(__xludf.DUMMYFUNCTION("""COMPUTED_VALUE"""),1036)</f>
        <v>1036</v>
      </c>
      <c r="R105" s="1">
        <f ca="1">IFERROR(__xludf.DUMMYFUNCTION("""COMPUTED_VALUE"""),2146)</f>
        <v>2146</v>
      </c>
      <c r="S105" s="1">
        <f ca="1">IFERROR(__xludf.DUMMYFUNCTION("""COMPUTED_VALUE"""),0.483)</f>
        <v>0.48299999999999998</v>
      </c>
      <c r="T105" s="1">
        <f ca="1">IFERROR(__xludf.DUMMYFUNCTION("""COMPUTED_VALUE"""),233)</f>
        <v>233</v>
      </c>
      <c r="U105" s="1">
        <f ca="1">IFERROR(__xludf.DUMMYFUNCTION("""COMPUTED_VALUE"""),671)</f>
        <v>671</v>
      </c>
      <c r="V105" s="1">
        <f ca="1">IFERROR(__xludf.DUMMYFUNCTION("""COMPUTED_VALUE"""),0.347)</f>
        <v>0.34699999999999998</v>
      </c>
      <c r="W105" s="1">
        <f ca="1">IFERROR(__xludf.DUMMYFUNCTION("""COMPUTED_VALUE"""),568)</f>
        <v>568</v>
      </c>
      <c r="X105" s="1">
        <f ca="1">IFERROR(__xludf.DUMMYFUNCTION("""COMPUTED_VALUE"""),824)</f>
        <v>824</v>
      </c>
      <c r="Y105" s="1">
        <f ca="1">IFERROR(__xludf.DUMMYFUNCTION("""COMPUTED_VALUE"""),0.689)</f>
        <v>0.68899999999999995</v>
      </c>
      <c r="Z105" s="1">
        <f ca="1">IFERROR(__xludf.DUMMYFUNCTION("""COMPUTED_VALUE"""),409)</f>
        <v>409</v>
      </c>
      <c r="AA105" s="1">
        <f ca="1">IFERROR(__xludf.DUMMYFUNCTION("""COMPUTED_VALUE"""),1324)</f>
        <v>1324</v>
      </c>
      <c r="AB105" s="1">
        <f ca="1">IFERROR(__xludf.DUMMYFUNCTION("""COMPUTED_VALUE"""),511)</f>
        <v>511</v>
      </c>
      <c r="AC105" s="1">
        <f ca="1">IFERROR(__xludf.DUMMYFUNCTION("""COMPUTED_VALUE"""),259)</f>
        <v>259</v>
      </c>
      <c r="AD105" s="1">
        <f ca="1">IFERROR(__xludf.DUMMYFUNCTION("""COMPUTED_VALUE"""),180)</f>
        <v>180</v>
      </c>
      <c r="AE105" s="1">
        <f ca="1">IFERROR(__xludf.DUMMYFUNCTION("""COMPUTED_VALUE"""),415)</f>
        <v>415</v>
      </c>
      <c r="AF105" s="1">
        <f ca="1">IFERROR(__xludf.DUMMYFUNCTION("""COMPUTED_VALUE"""),684)</f>
        <v>684</v>
      </c>
    </row>
    <row r="106" spans="1:32" ht="12.5" x14ac:dyDescent="0.25">
      <c r="A106" s="1" t="str">
        <f ca="1">IFERROR(__xludf.DUMMYFUNCTION("""COMPUTED_VALUE"""),"FloridaNCAA")</f>
        <v>FloridaNCAA</v>
      </c>
      <c r="B106" s="1">
        <f ca="1">IFERROR(__xludf.DUMMYFUNCTION("""COMPUTED_VALUE"""),36)</f>
        <v>36</v>
      </c>
      <c r="C106" s="1">
        <f ca="1">IFERROR(__xludf.DUMMYFUNCTION("""COMPUTED_VALUE"""),27)</f>
        <v>27</v>
      </c>
      <c r="D106" s="1">
        <f ca="1">IFERROR(__xludf.DUMMYFUNCTION("""COMPUTED_VALUE"""),9)</f>
        <v>9</v>
      </c>
      <c r="E106" s="1">
        <f ca="1">IFERROR(__xludf.DUMMYFUNCTION("""COMPUTED_VALUE"""),0.75)</f>
        <v>0.75</v>
      </c>
      <c r="F106" s="1">
        <f ca="1">IFERROR(__xludf.DUMMYFUNCTION("""COMPUTED_VALUE"""),22.4)</f>
        <v>22.4</v>
      </c>
      <c r="G106" s="1">
        <f ca="1">IFERROR(__xludf.DUMMYFUNCTION("""COMPUTED_VALUE"""),11.01)</f>
        <v>11.01</v>
      </c>
      <c r="H106" s="1">
        <f ca="1">IFERROR(__xludf.DUMMYFUNCTION("""COMPUTED_VALUE"""),14)</f>
        <v>14</v>
      </c>
      <c r="I106" s="1">
        <f ca="1">IFERROR(__xludf.DUMMYFUNCTION("""COMPUTED_VALUE"""),4)</f>
        <v>4</v>
      </c>
      <c r="J106" s="1">
        <f ca="1">IFERROR(__xludf.DUMMYFUNCTION("""COMPUTED_VALUE"""),9)</f>
        <v>9</v>
      </c>
      <c r="K106" s="1">
        <f ca="1">IFERROR(__xludf.DUMMYFUNCTION("""COMPUTED_VALUE"""),1)</f>
        <v>1</v>
      </c>
      <c r="L106" s="1">
        <f ca="1">IFERROR(__xludf.DUMMYFUNCTION("""COMPUTED_VALUE"""),8)</f>
        <v>8</v>
      </c>
      <c r="M106" s="1">
        <f ca="1">IFERROR(__xludf.DUMMYFUNCTION("""COMPUTED_VALUE"""),4)</f>
        <v>4</v>
      </c>
      <c r="N106" s="1">
        <f ca="1">IFERROR(__xludf.DUMMYFUNCTION("""COMPUTED_VALUE"""),2804)</f>
        <v>2804</v>
      </c>
      <c r="O106" s="1">
        <f ca="1">IFERROR(__xludf.DUMMYFUNCTION("""COMPUTED_VALUE"""),2394)</f>
        <v>2394</v>
      </c>
      <c r="P106" s="1">
        <f ca="1">IFERROR(__xludf.DUMMYFUNCTION("""COMPUTED_VALUE"""),1455)</f>
        <v>1455</v>
      </c>
      <c r="Q106" s="1">
        <f ca="1">IFERROR(__xludf.DUMMYFUNCTION("""COMPUTED_VALUE"""),953)</f>
        <v>953</v>
      </c>
      <c r="R106" s="1">
        <f ca="1">IFERROR(__xludf.DUMMYFUNCTION("""COMPUTED_VALUE"""),2118)</f>
        <v>2118</v>
      </c>
      <c r="S106" s="1">
        <f ca="1">IFERROR(__xludf.DUMMYFUNCTION("""COMPUTED_VALUE"""),0.45)</f>
        <v>0.45</v>
      </c>
      <c r="T106" s="1">
        <f ca="1">IFERROR(__xludf.DUMMYFUNCTION("""COMPUTED_VALUE"""),278)</f>
        <v>278</v>
      </c>
      <c r="U106" s="1">
        <f ca="1">IFERROR(__xludf.DUMMYFUNCTION("""COMPUTED_VALUE"""),776)</f>
        <v>776</v>
      </c>
      <c r="V106" s="1">
        <f ca="1">IFERROR(__xludf.DUMMYFUNCTION("""COMPUTED_VALUE"""),0.358)</f>
        <v>0.35799999999999998</v>
      </c>
      <c r="W106" s="1">
        <f ca="1">IFERROR(__xludf.DUMMYFUNCTION("""COMPUTED_VALUE"""),620)</f>
        <v>620</v>
      </c>
      <c r="X106" s="1">
        <f ca="1">IFERROR(__xludf.DUMMYFUNCTION("""COMPUTED_VALUE"""),851)</f>
        <v>851</v>
      </c>
      <c r="Y106" s="1">
        <f ca="1">IFERROR(__xludf.DUMMYFUNCTION("""COMPUTED_VALUE"""),0.729)</f>
        <v>0.72899999999999998</v>
      </c>
      <c r="Z106" s="1">
        <f ca="1">IFERROR(__xludf.DUMMYFUNCTION("""COMPUTED_VALUE"""),416)</f>
        <v>416</v>
      </c>
      <c r="AA106" s="1">
        <f ca="1">IFERROR(__xludf.DUMMYFUNCTION("""COMPUTED_VALUE"""),1331)</f>
        <v>1331</v>
      </c>
      <c r="AB106" s="1">
        <f ca="1">IFERROR(__xludf.DUMMYFUNCTION("""COMPUTED_VALUE"""),450)</f>
        <v>450</v>
      </c>
      <c r="AC106" s="1">
        <f ca="1">IFERROR(__xludf.DUMMYFUNCTION("""COMPUTED_VALUE"""),272)</f>
        <v>272</v>
      </c>
      <c r="AD106" s="1">
        <f ca="1">IFERROR(__xludf.DUMMYFUNCTION("""COMPUTED_VALUE"""),167)</f>
        <v>167</v>
      </c>
      <c r="AE106" s="1">
        <f ca="1">IFERROR(__xludf.DUMMYFUNCTION("""COMPUTED_VALUE"""),431)</f>
        <v>431</v>
      </c>
      <c r="AF106" s="1">
        <f ca="1">IFERROR(__xludf.DUMMYFUNCTION("""COMPUTED_VALUE"""),661)</f>
        <v>661</v>
      </c>
    </row>
    <row r="107" spans="1:32" ht="12.5" x14ac:dyDescent="0.25">
      <c r="A107" s="1" t="str">
        <f ca="1">IFERROR(__xludf.DUMMYFUNCTION("""COMPUTED_VALUE"""),"Fordham")</f>
        <v>Fordham</v>
      </c>
      <c r="B107" s="1">
        <f ca="1">IFERROR(__xludf.DUMMYFUNCTION("""COMPUTED_VALUE"""),32)</f>
        <v>32</v>
      </c>
      <c r="C107" s="1">
        <f ca="1">IFERROR(__xludf.DUMMYFUNCTION("""COMPUTED_VALUE"""),13)</f>
        <v>13</v>
      </c>
      <c r="D107" s="1">
        <f ca="1">IFERROR(__xludf.DUMMYFUNCTION("""COMPUTED_VALUE"""),19)</f>
        <v>19</v>
      </c>
      <c r="E107" s="1">
        <f ca="1">IFERROR(__xludf.DUMMYFUNCTION("""COMPUTED_VALUE"""),0.406)</f>
        <v>0.40600000000000003</v>
      </c>
      <c r="F107" s="1">
        <f ca="1">IFERROR(__xludf.DUMMYFUNCTION("""COMPUTED_VALUE"""),-1.97)</f>
        <v>-1.97</v>
      </c>
      <c r="G107" s="1">
        <f ca="1">IFERROR(__xludf.DUMMYFUNCTION("""COMPUTED_VALUE"""),1.36)</f>
        <v>1.36</v>
      </c>
      <c r="H107" s="1">
        <f ca="1">IFERROR(__xludf.DUMMYFUNCTION("""COMPUTED_VALUE"""),7)</f>
        <v>7</v>
      </c>
      <c r="I107" s="1">
        <f ca="1">IFERROR(__xludf.DUMMYFUNCTION("""COMPUTED_VALUE"""),11)</f>
        <v>11</v>
      </c>
      <c r="J107" s="1">
        <f ca="1">IFERROR(__xludf.DUMMYFUNCTION("""COMPUTED_VALUE"""),8)</f>
        <v>8</v>
      </c>
      <c r="K107" s="1">
        <f ca="1">IFERROR(__xludf.DUMMYFUNCTION("""COMPUTED_VALUE"""),9)</f>
        <v>9</v>
      </c>
      <c r="L107" s="1">
        <f ca="1">IFERROR(__xludf.DUMMYFUNCTION("""COMPUTED_VALUE"""),5)</f>
        <v>5</v>
      </c>
      <c r="M107" s="1">
        <f ca="1">IFERROR(__xludf.DUMMYFUNCTION("""COMPUTED_VALUE"""),8)</f>
        <v>8</v>
      </c>
      <c r="N107" s="1">
        <f ca="1">IFERROR(__xludf.DUMMYFUNCTION("""COMPUTED_VALUE"""),2090)</f>
        <v>2090</v>
      </c>
      <c r="O107" s="1">
        <f ca="1">IFERROR(__xludf.DUMMYFUNCTION("""COMPUTED_VALUE"""),2167)</f>
        <v>2167</v>
      </c>
      <c r="P107" s="1">
        <f ca="1">IFERROR(__xludf.DUMMYFUNCTION("""COMPUTED_VALUE"""),1300)</f>
        <v>1300</v>
      </c>
      <c r="Q107" s="1">
        <f ca="1">IFERROR(__xludf.DUMMYFUNCTION("""COMPUTED_VALUE"""),741)</f>
        <v>741</v>
      </c>
      <c r="R107" s="1">
        <f ca="1">IFERROR(__xludf.DUMMYFUNCTION("""COMPUTED_VALUE"""),1783)</f>
        <v>1783</v>
      </c>
      <c r="S107" s="1">
        <f ca="1">IFERROR(__xludf.DUMMYFUNCTION("""COMPUTED_VALUE"""),0.416)</f>
        <v>0.41599999999999998</v>
      </c>
      <c r="T107" s="1">
        <f ca="1">IFERROR(__xludf.DUMMYFUNCTION("""COMPUTED_VALUE"""),264)</f>
        <v>264</v>
      </c>
      <c r="U107" s="1">
        <f ca="1">IFERROR(__xludf.DUMMYFUNCTION("""COMPUTED_VALUE"""),791)</f>
        <v>791</v>
      </c>
      <c r="V107" s="1">
        <f ca="1">IFERROR(__xludf.DUMMYFUNCTION("""COMPUTED_VALUE"""),0.334)</f>
        <v>0.33400000000000002</v>
      </c>
      <c r="W107" s="1">
        <f ca="1">IFERROR(__xludf.DUMMYFUNCTION("""COMPUTED_VALUE"""),344)</f>
        <v>344</v>
      </c>
      <c r="X107" s="1">
        <f ca="1">IFERROR(__xludf.DUMMYFUNCTION("""COMPUTED_VALUE"""),474)</f>
        <v>474</v>
      </c>
      <c r="Y107" s="1">
        <f ca="1">IFERROR(__xludf.DUMMYFUNCTION("""COMPUTED_VALUE"""),0.726)</f>
        <v>0.72599999999999998</v>
      </c>
      <c r="Z107" s="1">
        <f ca="1">IFERROR(__xludf.DUMMYFUNCTION("""COMPUTED_VALUE"""),261)</f>
        <v>261</v>
      </c>
      <c r="AA107" s="1">
        <f ca="1">IFERROR(__xludf.DUMMYFUNCTION("""COMPUTED_VALUE"""),913)</f>
        <v>913</v>
      </c>
      <c r="AB107" s="1">
        <f ca="1">IFERROR(__xludf.DUMMYFUNCTION("""COMPUTED_VALUE"""),429)</f>
        <v>429</v>
      </c>
      <c r="AC107" s="1">
        <f ca="1">IFERROR(__xludf.DUMMYFUNCTION("""COMPUTED_VALUE"""),314)</f>
        <v>314</v>
      </c>
      <c r="AD107" s="1">
        <f ca="1">IFERROR(__xludf.DUMMYFUNCTION("""COMPUTED_VALUE"""),91)</f>
        <v>91</v>
      </c>
      <c r="AE107" s="1">
        <f ca="1">IFERROR(__xludf.DUMMYFUNCTION("""COMPUTED_VALUE"""),418)</f>
        <v>418</v>
      </c>
      <c r="AF107" s="1">
        <f ca="1">IFERROR(__xludf.DUMMYFUNCTION("""COMPUTED_VALUE"""),611)</f>
        <v>611</v>
      </c>
    </row>
    <row r="108" spans="1:32" ht="12.5" x14ac:dyDescent="0.25">
      <c r="A108" s="1" t="str">
        <f ca="1">IFERROR(__xludf.DUMMYFUNCTION("""COMPUTED_VALUE"""),"Fresno State")</f>
        <v>Fresno State</v>
      </c>
      <c r="B108" s="1">
        <f ca="1">IFERROR(__xludf.DUMMYFUNCTION("""COMPUTED_VALUE"""),33)</f>
        <v>33</v>
      </c>
      <c r="C108" s="1">
        <f ca="1">IFERROR(__xludf.DUMMYFUNCTION("""COMPUTED_VALUE"""),20)</f>
        <v>20</v>
      </c>
      <c r="D108" s="1">
        <f ca="1">IFERROR(__xludf.DUMMYFUNCTION("""COMPUTED_VALUE"""),13)</f>
        <v>13</v>
      </c>
      <c r="E108" s="1">
        <f ca="1">IFERROR(__xludf.DUMMYFUNCTION("""COMPUTED_VALUE"""),0.606)</f>
        <v>0.60599999999999998</v>
      </c>
      <c r="F108" s="1">
        <f ca="1">IFERROR(__xludf.DUMMYFUNCTION("""COMPUTED_VALUE"""),4.37)</f>
        <v>4.37</v>
      </c>
      <c r="G108" s="1">
        <f ca="1">IFERROR(__xludf.DUMMYFUNCTION("""COMPUTED_VALUE"""),2.31)</f>
        <v>2.31</v>
      </c>
      <c r="H108" s="1">
        <f ca="1">IFERROR(__xludf.DUMMYFUNCTION("""COMPUTED_VALUE"""),11)</f>
        <v>11</v>
      </c>
      <c r="I108" s="1">
        <f ca="1">IFERROR(__xludf.DUMMYFUNCTION("""COMPUTED_VALUE"""),7)</f>
        <v>7</v>
      </c>
      <c r="J108" s="1">
        <f ca="1">IFERROR(__xludf.DUMMYFUNCTION("""COMPUTED_VALUE"""),13)</f>
        <v>13</v>
      </c>
      <c r="K108" s="1">
        <f ca="1">IFERROR(__xludf.DUMMYFUNCTION("""COMPUTED_VALUE"""),2)</f>
        <v>2</v>
      </c>
      <c r="L108" s="1">
        <f ca="1">IFERROR(__xludf.DUMMYFUNCTION("""COMPUTED_VALUE"""),6)</f>
        <v>6</v>
      </c>
      <c r="M108" s="1">
        <f ca="1">IFERROR(__xludf.DUMMYFUNCTION("""COMPUTED_VALUE"""),10)</f>
        <v>10</v>
      </c>
      <c r="N108" s="1">
        <f ca="1">IFERROR(__xludf.DUMMYFUNCTION("""COMPUTED_VALUE"""),2426)</f>
        <v>2426</v>
      </c>
      <c r="O108" s="1">
        <f ca="1">IFERROR(__xludf.DUMMYFUNCTION("""COMPUTED_VALUE"""),2315)</f>
        <v>2315</v>
      </c>
      <c r="P108" s="1">
        <f ca="1">IFERROR(__xludf.DUMMYFUNCTION("""COMPUTED_VALUE"""),1350)</f>
        <v>1350</v>
      </c>
      <c r="Q108" s="1">
        <f ca="1">IFERROR(__xludf.DUMMYFUNCTION("""COMPUTED_VALUE"""),852)</f>
        <v>852</v>
      </c>
      <c r="R108" s="1">
        <f ca="1">IFERROR(__xludf.DUMMYFUNCTION("""COMPUTED_VALUE"""),1872)</f>
        <v>1872</v>
      </c>
      <c r="S108" s="1">
        <f ca="1">IFERROR(__xludf.DUMMYFUNCTION("""COMPUTED_VALUE"""),0.455)</f>
        <v>0.45500000000000002</v>
      </c>
      <c r="T108" s="1">
        <f ca="1">IFERROR(__xludf.DUMMYFUNCTION("""COMPUTED_VALUE"""),209)</f>
        <v>209</v>
      </c>
      <c r="U108" s="1">
        <f ca="1">IFERROR(__xludf.DUMMYFUNCTION("""COMPUTED_VALUE"""),593)</f>
        <v>593</v>
      </c>
      <c r="V108" s="1">
        <f ca="1">IFERROR(__xludf.DUMMYFUNCTION("""COMPUTED_VALUE"""),0.352)</f>
        <v>0.35199999999999998</v>
      </c>
      <c r="W108" s="1">
        <f ca="1">IFERROR(__xludf.DUMMYFUNCTION("""COMPUTED_VALUE"""),513)</f>
        <v>513</v>
      </c>
      <c r="X108" s="1">
        <f ca="1">IFERROR(__xludf.DUMMYFUNCTION("""COMPUTED_VALUE"""),763)</f>
        <v>763</v>
      </c>
      <c r="Y108" s="1">
        <f ca="1">IFERROR(__xludf.DUMMYFUNCTION("""COMPUTED_VALUE"""),0.672)</f>
        <v>0.67200000000000004</v>
      </c>
      <c r="Z108" s="1">
        <f ca="1">IFERROR(__xludf.DUMMYFUNCTION("""COMPUTED_VALUE"""),314)</f>
        <v>314</v>
      </c>
      <c r="AA108" s="1">
        <f ca="1">IFERROR(__xludf.DUMMYFUNCTION("""COMPUTED_VALUE"""),1175)</f>
        <v>1175</v>
      </c>
      <c r="AB108" s="1">
        <f ca="1">IFERROR(__xludf.DUMMYFUNCTION("""COMPUTED_VALUE"""),414)</f>
        <v>414</v>
      </c>
      <c r="AC108" s="1">
        <f ca="1">IFERROR(__xludf.DUMMYFUNCTION("""COMPUTED_VALUE"""),277)</f>
        <v>277</v>
      </c>
      <c r="AD108" s="1">
        <f ca="1">IFERROR(__xludf.DUMMYFUNCTION("""COMPUTED_VALUE"""),127)</f>
        <v>127</v>
      </c>
      <c r="AE108" s="1">
        <f ca="1">IFERROR(__xludf.DUMMYFUNCTION("""COMPUTED_VALUE"""),444)</f>
        <v>444</v>
      </c>
      <c r="AF108" s="1">
        <f ca="1">IFERROR(__xludf.DUMMYFUNCTION("""COMPUTED_VALUE"""),718)</f>
        <v>718</v>
      </c>
    </row>
    <row r="109" spans="1:32" ht="12.5" x14ac:dyDescent="0.25">
      <c r="A109" s="1" t="str">
        <f ca="1">IFERROR(__xludf.DUMMYFUNCTION("""COMPUTED_VALUE"""),"Furman")</f>
        <v>Furman</v>
      </c>
      <c r="B109" s="1">
        <f ca="1">IFERROR(__xludf.DUMMYFUNCTION("""COMPUTED_VALUE"""),35)</f>
        <v>35</v>
      </c>
      <c r="C109" s="1">
        <f ca="1">IFERROR(__xludf.DUMMYFUNCTION("""COMPUTED_VALUE"""),23)</f>
        <v>23</v>
      </c>
      <c r="D109" s="1">
        <f ca="1">IFERROR(__xludf.DUMMYFUNCTION("""COMPUTED_VALUE"""),12)</f>
        <v>12</v>
      </c>
      <c r="E109" s="1">
        <f ca="1">IFERROR(__xludf.DUMMYFUNCTION("""COMPUTED_VALUE"""),0.657)</f>
        <v>0.65700000000000003</v>
      </c>
      <c r="F109" s="1">
        <f ca="1">IFERROR(__xludf.DUMMYFUNCTION("""COMPUTED_VALUE"""),1.46)</f>
        <v>1.46</v>
      </c>
      <c r="G109" s="1">
        <f ca="1">IFERROR(__xludf.DUMMYFUNCTION("""COMPUTED_VALUE"""),-3.75)</f>
        <v>-3.75</v>
      </c>
      <c r="H109" s="1">
        <f ca="1">IFERROR(__xludf.DUMMYFUNCTION("""COMPUTED_VALUE"""),14)</f>
        <v>14</v>
      </c>
      <c r="I109" s="1">
        <f ca="1">IFERROR(__xludf.DUMMYFUNCTION("""COMPUTED_VALUE"""),4)</f>
        <v>4</v>
      </c>
      <c r="J109" s="1">
        <f ca="1">IFERROR(__xludf.DUMMYFUNCTION("""COMPUTED_VALUE"""),11)</f>
        <v>11</v>
      </c>
      <c r="K109" s="1">
        <f ca="1">IFERROR(__xludf.DUMMYFUNCTION("""COMPUTED_VALUE"""),3)</f>
        <v>3</v>
      </c>
      <c r="L109" s="1">
        <f ca="1">IFERROR(__xludf.DUMMYFUNCTION("""COMPUTED_VALUE"""),12)</f>
        <v>12</v>
      </c>
      <c r="M109" s="1">
        <f ca="1">IFERROR(__xludf.DUMMYFUNCTION("""COMPUTED_VALUE"""),8)</f>
        <v>8</v>
      </c>
      <c r="N109" s="1">
        <f ca="1">IFERROR(__xludf.DUMMYFUNCTION("""COMPUTED_VALUE"""),2590)</f>
        <v>2590</v>
      </c>
      <c r="O109" s="1">
        <f ca="1">IFERROR(__xludf.DUMMYFUNCTION("""COMPUTED_VALUE"""),2319)</f>
        <v>2319</v>
      </c>
      <c r="P109" s="1">
        <f ca="1">IFERROR(__xludf.DUMMYFUNCTION("""COMPUTED_VALUE"""),1410)</f>
        <v>1410</v>
      </c>
      <c r="Q109" s="1">
        <f ca="1">IFERROR(__xludf.DUMMYFUNCTION("""COMPUTED_VALUE"""),918)</f>
        <v>918</v>
      </c>
      <c r="R109" s="1">
        <f ca="1">IFERROR(__xludf.DUMMYFUNCTION("""COMPUTED_VALUE"""),1941)</f>
        <v>1941</v>
      </c>
      <c r="S109" s="1">
        <f ca="1">IFERROR(__xludf.DUMMYFUNCTION("""COMPUTED_VALUE"""),0.473)</f>
        <v>0.47299999999999998</v>
      </c>
      <c r="T109" s="1">
        <f ca="1">IFERROR(__xludf.DUMMYFUNCTION("""COMPUTED_VALUE"""),319)</f>
        <v>319</v>
      </c>
      <c r="U109" s="1">
        <f ca="1">IFERROR(__xludf.DUMMYFUNCTION("""COMPUTED_VALUE"""),828)</f>
        <v>828</v>
      </c>
      <c r="V109" s="1">
        <f ca="1">IFERROR(__xludf.DUMMYFUNCTION("""COMPUTED_VALUE"""),0.385)</f>
        <v>0.38500000000000001</v>
      </c>
      <c r="W109" s="1">
        <f ca="1">IFERROR(__xludf.DUMMYFUNCTION("""COMPUTED_VALUE"""),435)</f>
        <v>435</v>
      </c>
      <c r="X109" s="1">
        <f ca="1">IFERROR(__xludf.DUMMYFUNCTION("""COMPUTED_VALUE"""),624)</f>
        <v>624</v>
      </c>
      <c r="Y109" s="1">
        <f ca="1">IFERROR(__xludf.DUMMYFUNCTION("""COMPUTED_VALUE"""),0.697)</f>
        <v>0.69699999999999995</v>
      </c>
      <c r="Z109" s="1">
        <f ca="1">IFERROR(__xludf.DUMMYFUNCTION("""COMPUTED_VALUE"""),317)</f>
        <v>317</v>
      </c>
      <c r="AA109" s="1">
        <f ca="1">IFERROR(__xludf.DUMMYFUNCTION("""COMPUTED_VALUE"""),1211)</f>
        <v>1211</v>
      </c>
      <c r="AB109" s="1">
        <f ca="1">IFERROR(__xludf.DUMMYFUNCTION("""COMPUTED_VALUE"""),524)</f>
        <v>524</v>
      </c>
      <c r="AC109" s="1">
        <f ca="1">IFERROR(__xludf.DUMMYFUNCTION("""COMPUTED_VALUE"""),245)</f>
        <v>245</v>
      </c>
      <c r="AD109" s="1">
        <f ca="1">IFERROR(__xludf.DUMMYFUNCTION("""COMPUTED_VALUE"""),82)</f>
        <v>82</v>
      </c>
      <c r="AE109" s="1">
        <f ca="1">IFERROR(__xludf.DUMMYFUNCTION("""COMPUTED_VALUE"""),451)</f>
        <v>451</v>
      </c>
      <c r="AF109" s="1">
        <f ca="1">IFERROR(__xludf.DUMMYFUNCTION("""COMPUTED_VALUE"""),613)</f>
        <v>613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IFERROR(__xludf.DUMMYFUNCTION("""COMPUTED_VALUE"""),"Gardner-Webb")</f>
        <v>Gardner-Webb</v>
      </c>
      <c r="B112" s="1">
        <f ca="1">IFERROR(__xludf.DUMMYFUNCTION("""COMPUTED_VALUE"""),33)</f>
        <v>33</v>
      </c>
      <c r="C112" s="1">
        <f ca="1">IFERROR(__xludf.DUMMYFUNCTION("""COMPUTED_VALUE"""),19)</f>
        <v>19</v>
      </c>
      <c r="D112" s="1">
        <f ca="1">IFERROR(__xludf.DUMMYFUNCTION("""COMPUTED_VALUE"""),14)</f>
        <v>14</v>
      </c>
      <c r="E112" s="1">
        <f ca="1">IFERROR(__xludf.DUMMYFUNCTION("""COMPUTED_VALUE"""),0.576)</f>
        <v>0.57599999999999996</v>
      </c>
      <c r="F112" s="1">
        <f ca="1">IFERROR(__xludf.DUMMYFUNCTION("""COMPUTED_VALUE"""),-3.08)</f>
        <v>-3.08</v>
      </c>
      <c r="G112" s="1">
        <f ca="1">IFERROR(__xludf.DUMMYFUNCTION("""COMPUTED_VALUE"""),-5.71)</f>
        <v>-5.71</v>
      </c>
      <c r="H112" s="1">
        <f ca="1">IFERROR(__xludf.DUMMYFUNCTION("""COMPUTED_VALUE"""),11)</f>
        <v>11</v>
      </c>
      <c r="I112" s="1">
        <f ca="1">IFERROR(__xludf.DUMMYFUNCTION("""COMPUTED_VALUE"""),7)</f>
        <v>7</v>
      </c>
      <c r="J112" s="1">
        <f ca="1">IFERROR(__xludf.DUMMYFUNCTION("""COMPUTED_VALUE"""),9)</f>
        <v>9</v>
      </c>
      <c r="K112" s="1">
        <f ca="1">IFERROR(__xludf.DUMMYFUNCTION("""COMPUTED_VALUE"""),5)</f>
        <v>5</v>
      </c>
      <c r="L112" s="1">
        <f ca="1">IFERROR(__xludf.DUMMYFUNCTION("""COMPUTED_VALUE"""),8)</f>
        <v>8</v>
      </c>
      <c r="M112" s="1">
        <f ca="1">IFERROR(__xludf.DUMMYFUNCTION("""COMPUTED_VALUE"""),8)</f>
        <v>8</v>
      </c>
      <c r="N112" s="1">
        <f ca="1">IFERROR(__xludf.DUMMYFUNCTION("""COMPUTED_VALUE"""),2546)</f>
        <v>2546</v>
      </c>
      <c r="O112" s="1">
        <f ca="1">IFERROR(__xludf.DUMMYFUNCTION("""COMPUTED_VALUE"""),2319)</f>
        <v>2319</v>
      </c>
      <c r="P112" s="1">
        <f ca="1">IFERROR(__xludf.DUMMYFUNCTION("""COMPUTED_VALUE"""),1345)</f>
        <v>1345</v>
      </c>
      <c r="Q112" s="1">
        <f ca="1">IFERROR(__xludf.DUMMYFUNCTION("""COMPUTED_VALUE"""),913)</f>
        <v>913</v>
      </c>
      <c r="R112" s="1">
        <f ca="1">IFERROR(__xludf.DUMMYFUNCTION("""COMPUTED_VALUE"""),1905)</f>
        <v>1905</v>
      </c>
      <c r="S112" s="1">
        <f ca="1">IFERROR(__xludf.DUMMYFUNCTION("""COMPUTED_VALUE"""),0.479)</f>
        <v>0.47899999999999998</v>
      </c>
      <c r="T112" s="1">
        <f ca="1">IFERROR(__xludf.DUMMYFUNCTION("""COMPUTED_VALUE"""),209)</f>
        <v>209</v>
      </c>
      <c r="U112" s="1">
        <f ca="1">IFERROR(__xludf.DUMMYFUNCTION("""COMPUTED_VALUE"""),552)</f>
        <v>552</v>
      </c>
      <c r="V112" s="1">
        <f ca="1">IFERROR(__xludf.DUMMYFUNCTION("""COMPUTED_VALUE"""),0.379)</f>
        <v>0.379</v>
      </c>
      <c r="W112" s="1">
        <f ca="1">IFERROR(__xludf.DUMMYFUNCTION("""COMPUTED_VALUE"""),511)</f>
        <v>511</v>
      </c>
      <c r="X112" s="1">
        <f ca="1">IFERROR(__xludf.DUMMYFUNCTION("""COMPUTED_VALUE"""),819)</f>
        <v>819</v>
      </c>
      <c r="Y112" s="1">
        <f ca="1">IFERROR(__xludf.DUMMYFUNCTION("""COMPUTED_VALUE"""),0.624)</f>
        <v>0.624</v>
      </c>
      <c r="Z112" s="1">
        <f ca="1">IFERROR(__xludf.DUMMYFUNCTION("""COMPUTED_VALUE"""),372)</f>
        <v>372</v>
      </c>
      <c r="AA112" s="1">
        <f ca="1">IFERROR(__xludf.DUMMYFUNCTION("""COMPUTED_VALUE"""),1259)</f>
        <v>1259</v>
      </c>
      <c r="AB112" s="1">
        <f ca="1">IFERROR(__xludf.DUMMYFUNCTION("""COMPUTED_VALUE"""),486)</f>
        <v>486</v>
      </c>
      <c r="AC112" s="1">
        <f ca="1">IFERROR(__xludf.DUMMYFUNCTION("""COMPUTED_VALUE"""),291)</f>
        <v>291</v>
      </c>
      <c r="AD112" s="1">
        <f ca="1">IFERROR(__xludf.DUMMYFUNCTION("""COMPUTED_VALUE"""),118)</f>
        <v>118</v>
      </c>
      <c r="AE112" s="1">
        <f ca="1">IFERROR(__xludf.DUMMYFUNCTION("""COMPUTED_VALUE"""),474)</f>
        <v>474</v>
      </c>
      <c r="AF112" s="1">
        <f ca="1">IFERROR(__xludf.DUMMYFUNCTION("""COMPUTED_VALUE"""),670)</f>
        <v>670</v>
      </c>
    </row>
    <row r="113" spans="1:32" ht="12.5" x14ac:dyDescent="0.25">
      <c r="A113" s="1" t="str">
        <f ca="1">IFERROR(__xludf.DUMMYFUNCTION("""COMPUTED_VALUE"""),"George Mason")</f>
        <v>George Mason</v>
      </c>
      <c r="B113" s="1">
        <f ca="1">IFERROR(__xludf.DUMMYFUNCTION("""COMPUTED_VALUE"""),34)</f>
        <v>34</v>
      </c>
      <c r="C113" s="1">
        <f ca="1">IFERROR(__xludf.DUMMYFUNCTION("""COMPUTED_VALUE"""),20)</f>
        <v>20</v>
      </c>
      <c r="D113" s="1">
        <f ca="1">IFERROR(__xludf.DUMMYFUNCTION("""COMPUTED_VALUE"""),14)</f>
        <v>14</v>
      </c>
      <c r="E113" s="1">
        <f ca="1">IFERROR(__xludf.DUMMYFUNCTION("""COMPUTED_VALUE"""),0.588)</f>
        <v>0.58799999999999997</v>
      </c>
      <c r="F113" s="1">
        <f ca="1">IFERROR(__xludf.DUMMYFUNCTION("""COMPUTED_VALUE"""),3.01)</f>
        <v>3.01</v>
      </c>
      <c r="G113" s="1">
        <f ca="1">IFERROR(__xludf.DUMMYFUNCTION("""COMPUTED_VALUE"""),1.28)</f>
        <v>1.28</v>
      </c>
      <c r="H113" s="1">
        <f ca="1">IFERROR(__xludf.DUMMYFUNCTION("""COMPUTED_VALUE"""),9)</f>
        <v>9</v>
      </c>
      <c r="I113" s="1">
        <f ca="1">IFERROR(__xludf.DUMMYFUNCTION("""COMPUTED_VALUE"""),9)</f>
        <v>9</v>
      </c>
      <c r="J113" s="1">
        <f ca="1">IFERROR(__xludf.DUMMYFUNCTION("""COMPUTED_VALUE"""),10)</f>
        <v>10</v>
      </c>
      <c r="K113" s="1">
        <f ca="1">IFERROR(__xludf.DUMMYFUNCTION("""COMPUTED_VALUE"""),7)</f>
        <v>7</v>
      </c>
      <c r="L113" s="1">
        <f ca="1">IFERROR(__xludf.DUMMYFUNCTION("""COMPUTED_VALUE"""),7)</f>
        <v>7</v>
      </c>
      <c r="M113" s="1">
        <f ca="1">IFERROR(__xludf.DUMMYFUNCTION("""COMPUTED_VALUE"""),5)</f>
        <v>5</v>
      </c>
      <c r="N113" s="1">
        <f ca="1">IFERROR(__xludf.DUMMYFUNCTION("""COMPUTED_VALUE"""),2519)</f>
        <v>2519</v>
      </c>
      <c r="O113" s="1">
        <f ca="1">IFERROR(__xludf.DUMMYFUNCTION("""COMPUTED_VALUE"""),2437)</f>
        <v>2437</v>
      </c>
      <c r="P113" s="1">
        <f ca="1">IFERROR(__xludf.DUMMYFUNCTION("""COMPUTED_VALUE"""),1385)</f>
        <v>1385</v>
      </c>
      <c r="Q113" s="1">
        <f ca="1">IFERROR(__xludf.DUMMYFUNCTION("""COMPUTED_VALUE"""),879)</f>
        <v>879</v>
      </c>
      <c r="R113" s="1">
        <f ca="1">IFERROR(__xludf.DUMMYFUNCTION("""COMPUTED_VALUE"""),1962)</f>
        <v>1962</v>
      </c>
      <c r="S113" s="1">
        <f ca="1">IFERROR(__xludf.DUMMYFUNCTION("""COMPUTED_VALUE"""),0.448)</f>
        <v>0.44800000000000001</v>
      </c>
      <c r="T113" s="1">
        <f ca="1">IFERROR(__xludf.DUMMYFUNCTION("""COMPUTED_VALUE"""),182)</f>
        <v>182</v>
      </c>
      <c r="U113" s="1">
        <f ca="1">IFERROR(__xludf.DUMMYFUNCTION("""COMPUTED_VALUE"""),542)</f>
        <v>542</v>
      </c>
      <c r="V113" s="1">
        <f ca="1">IFERROR(__xludf.DUMMYFUNCTION("""COMPUTED_VALUE"""),0.336)</f>
        <v>0.33600000000000002</v>
      </c>
      <c r="W113" s="1">
        <f ca="1">IFERROR(__xludf.DUMMYFUNCTION("""COMPUTED_VALUE"""),579)</f>
        <v>579</v>
      </c>
      <c r="X113" s="1">
        <f ca="1">IFERROR(__xludf.DUMMYFUNCTION("""COMPUTED_VALUE"""),775)</f>
        <v>775</v>
      </c>
      <c r="Y113" s="1">
        <f ca="1">IFERROR(__xludf.DUMMYFUNCTION("""COMPUTED_VALUE"""),0.747)</f>
        <v>0.747</v>
      </c>
      <c r="Z113" s="1">
        <f ca="1">IFERROR(__xludf.DUMMYFUNCTION("""COMPUTED_VALUE"""),381)</f>
        <v>381</v>
      </c>
      <c r="AA113" s="1">
        <f ca="1">IFERROR(__xludf.DUMMYFUNCTION("""COMPUTED_VALUE"""),1370)</f>
        <v>1370</v>
      </c>
      <c r="AB113" s="1">
        <f ca="1">IFERROR(__xludf.DUMMYFUNCTION("""COMPUTED_VALUE"""),398)</f>
        <v>398</v>
      </c>
      <c r="AC113" s="1">
        <f ca="1">IFERROR(__xludf.DUMMYFUNCTION("""COMPUTED_VALUE"""),169)</f>
        <v>169</v>
      </c>
      <c r="AD113" s="1">
        <f ca="1">IFERROR(__xludf.DUMMYFUNCTION("""COMPUTED_VALUE"""),96)</f>
        <v>96</v>
      </c>
      <c r="AE113" s="1">
        <f ca="1">IFERROR(__xludf.DUMMYFUNCTION("""COMPUTED_VALUE"""),440)</f>
        <v>440</v>
      </c>
      <c r="AF113" s="1">
        <f ca="1">IFERROR(__xludf.DUMMYFUNCTION("""COMPUTED_VALUE"""),570)</f>
        <v>570</v>
      </c>
    </row>
    <row r="114" spans="1:32" ht="12.5" x14ac:dyDescent="0.25">
      <c r="A114" s="1" t="str">
        <f ca="1">IFERROR(__xludf.DUMMYFUNCTION("""COMPUTED_VALUE"""),"George Washington")</f>
        <v>George Washington</v>
      </c>
      <c r="B114" s="1">
        <f ca="1">IFERROR(__xludf.DUMMYFUNCTION("""COMPUTED_VALUE"""),35)</f>
        <v>35</v>
      </c>
      <c r="C114" s="1">
        <f ca="1">IFERROR(__xludf.DUMMYFUNCTION("""COMPUTED_VALUE"""),20)</f>
        <v>20</v>
      </c>
      <c r="D114" s="1">
        <f ca="1">IFERROR(__xludf.DUMMYFUNCTION("""COMPUTED_VALUE"""),15)</f>
        <v>15</v>
      </c>
      <c r="E114" s="1">
        <f ca="1">IFERROR(__xludf.DUMMYFUNCTION("""COMPUTED_VALUE"""),0.571)</f>
        <v>0.57099999999999995</v>
      </c>
      <c r="F114" s="1">
        <f ca="1">IFERROR(__xludf.DUMMYFUNCTION("""COMPUTED_VALUE"""),2.37)</f>
        <v>2.37</v>
      </c>
      <c r="G114" s="1">
        <f ca="1">IFERROR(__xludf.DUMMYFUNCTION("""COMPUTED_VALUE"""),2.11)</f>
        <v>2.11</v>
      </c>
      <c r="H114" s="1">
        <f ca="1">IFERROR(__xludf.DUMMYFUNCTION("""COMPUTED_VALUE"""),10)</f>
        <v>10</v>
      </c>
      <c r="I114" s="1">
        <f ca="1">IFERROR(__xludf.DUMMYFUNCTION("""COMPUTED_VALUE"""),8)</f>
        <v>8</v>
      </c>
      <c r="J114" s="1">
        <f ca="1">IFERROR(__xludf.DUMMYFUNCTION("""COMPUTED_VALUE"""),14)</f>
        <v>14</v>
      </c>
      <c r="K114" s="1">
        <f ca="1">IFERROR(__xludf.DUMMYFUNCTION("""COMPUTED_VALUE"""),3)</f>
        <v>3</v>
      </c>
      <c r="L114" s="1">
        <f ca="1">IFERROR(__xludf.DUMMYFUNCTION("""COMPUTED_VALUE"""),5)</f>
        <v>5</v>
      </c>
      <c r="M114" s="1">
        <f ca="1">IFERROR(__xludf.DUMMYFUNCTION("""COMPUTED_VALUE"""),8)</f>
        <v>8</v>
      </c>
      <c r="N114" s="1">
        <f ca="1">IFERROR(__xludf.DUMMYFUNCTION("""COMPUTED_VALUE"""),2447)</f>
        <v>2447</v>
      </c>
      <c r="O114" s="1">
        <f ca="1">IFERROR(__xludf.DUMMYFUNCTION("""COMPUTED_VALUE"""),2438)</f>
        <v>2438</v>
      </c>
      <c r="P114" s="1">
        <f ca="1">IFERROR(__xludf.DUMMYFUNCTION("""COMPUTED_VALUE"""),1400)</f>
        <v>1400</v>
      </c>
      <c r="Q114" s="1">
        <f ca="1">IFERROR(__xludf.DUMMYFUNCTION("""COMPUTED_VALUE"""),821)</f>
        <v>821</v>
      </c>
      <c r="R114" s="1">
        <f ca="1">IFERROR(__xludf.DUMMYFUNCTION("""COMPUTED_VALUE"""),1938)</f>
        <v>1938</v>
      </c>
      <c r="S114" s="1">
        <f ca="1">IFERROR(__xludf.DUMMYFUNCTION("""COMPUTED_VALUE"""),0.424)</f>
        <v>0.42399999999999999</v>
      </c>
      <c r="T114" s="1">
        <f ca="1">IFERROR(__xludf.DUMMYFUNCTION("""COMPUTED_VALUE"""),276)</f>
        <v>276</v>
      </c>
      <c r="U114" s="1">
        <f ca="1">IFERROR(__xludf.DUMMYFUNCTION("""COMPUTED_VALUE"""),743)</f>
        <v>743</v>
      </c>
      <c r="V114" s="1">
        <f ca="1">IFERROR(__xludf.DUMMYFUNCTION("""COMPUTED_VALUE"""),0.371)</f>
        <v>0.371</v>
      </c>
      <c r="W114" s="1">
        <f ca="1">IFERROR(__xludf.DUMMYFUNCTION("""COMPUTED_VALUE"""),529)</f>
        <v>529</v>
      </c>
      <c r="X114" s="1">
        <f ca="1">IFERROR(__xludf.DUMMYFUNCTION("""COMPUTED_VALUE"""),710)</f>
        <v>710</v>
      </c>
      <c r="Y114" s="1">
        <f ca="1">IFERROR(__xludf.DUMMYFUNCTION("""COMPUTED_VALUE"""),0.745)</f>
        <v>0.745</v>
      </c>
      <c r="Z114" s="1">
        <f ca="1">IFERROR(__xludf.DUMMYFUNCTION("""COMPUTED_VALUE"""),394)</f>
        <v>394</v>
      </c>
      <c r="AA114" s="1">
        <f ca="1">IFERROR(__xludf.DUMMYFUNCTION("""COMPUTED_VALUE"""),1279)</f>
        <v>1279</v>
      </c>
      <c r="AB114" s="1">
        <f ca="1">IFERROR(__xludf.DUMMYFUNCTION("""COMPUTED_VALUE"""),466)</f>
        <v>466</v>
      </c>
      <c r="AC114" s="1">
        <f ca="1">IFERROR(__xludf.DUMMYFUNCTION("""COMPUTED_VALUE"""),192)</f>
        <v>192</v>
      </c>
      <c r="AD114" s="1">
        <f ca="1">IFERROR(__xludf.DUMMYFUNCTION("""COMPUTED_VALUE"""),136)</f>
        <v>136</v>
      </c>
      <c r="AE114" s="1">
        <f ca="1">IFERROR(__xludf.DUMMYFUNCTION("""COMPUTED_VALUE"""),453)</f>
        <v>453</v>
      </c>
      <c r="AF114" s="1">
        <f ca="1">IFERROR(__xludf.DUMMYFUNCTION("""COMPUTED_VALUE"""),541)</f>
        <v>541</v>
      </c>
    </row>
    <row r="115" spans="1:32" ht="12.5" x14ac:dyDescent="0.25">
      <c r="A115" s="1" t="str">
        <f ca="1">IFERROR(__xludf.DUMMYFUNCTION("""COMPUTED_VALUE"""),"Georgetown")</f>
        <v>Georgetown</v>
      </c>
      <c r="B115" s="1">
        <f ca="1">IFERROR(__xludf.DUMMYFUNCTION("""COMPUTED_VALUE"""),32)</f>
        <v>32</v>
      </c>
      <c r="C115" s="1">
        <f ca="1">IFERROR(__xludf.DUMMYFUNCTION("""COMPUTED_VALUE"""),14)</f>
        <v>14</v>
      </c>
      <c r="D115" s="1">
        <f ca="1">IFERROR(__xludf.DUMMYFUNCTION("""COMPUTED_VALUE"""),18)</f>
        <v>18</v>
      </c>
      <c r="E115" s="1">
        <f ca="1">IFERROR(__xludf.DUMMYFUNCTION("""COMPUTED_VALUE"""),0.438)</f>
        <v>0.438</v>
      </c>
      <c r="F115" s="1">
        <f ca="1">IFERROR(__xludf.DUMMYFUNCTION("""COMPUTED_VALUE"""),11.18)</f>
        <v>11.18</v>
      </c>
      <c r="G115" s="1">
        <f ca="1">IFERROR(__xludf.DUMMYFUNCTION("""COMPUTED_VALUE"""),9.31)</f>
        <v>9.31</v>
      </c>
      <c r="H115" s="1">
        <f ca="1">IFERROR(__xludf.DUMMYFUNCTION("""COMPUTED_VALUE"""),5)</f>
        <v>5</v>
      </c>
      <c r="I115" s="1">
        <f ca="1">IFERROR(__xludf.DUMMYFUNCTION("""COMPUTED_VALUE"""),13)</f>
        <v>13</v>
      </c>
      <c r="J115" s="1">
        <f ca="1">IFERROR(__xludf.DUMMYFUNCTION("""COMPUTED_VALUE"""),9)</f>
        <v>9</v>
      </c>
      <c r="K115" s="1">
        <f ca="1">IFERROR(__xludf.DUMMYFUNCTION("""COMPUTED_VALUE"""),8)</f>
        <v>8</v>
      </c>
      <c r="L115" s="1">
        <f ca="1">IFERROR(__xludf.DUMMYFUNCTION("""COMPUTED_VALUE"""),3)</f>
        <v>3</v>
      </c>
      <c r="M115" s="1">
        <f ca="1">IFERROR(__xludf.DUMMYFUNCTION("""COMPUTED_VALUE"""),7)</f>
        <v>7</v>
      </c>
      <c r="N115" s="1">
        <f ca="1">IFERROR(__xludf.DUMMYFUNCTION("""COMPUTED_VALUE"""),2369)</f>
        <v>2369</v>
      </c>
      <c r="O115" s="1">
        <f ca="1">IFERROR(__xludf.DUMMYFUNCTION("""COMPUTED_VALUE"""),2309)</f>
        <v>2309</v>
      </c>
      <c r="P115" s="1">
        <f ca="1">IFERROR(__xludf.DUMMYFUNCTION("""COMPUTED_VALUE"""),1290)</f>
        <v>1290</v>
      </c>
      <c r="Q115" s="1">
        <f ca="1">IFERROR(__xludf.DUMMYFUNCTION("""COMPUTED_VALUE"""),808)</f>
        <v>808</v>
      </c>
      <c r="R115" s="1">
        <f ca="1">IFERROR(__xludf.DUMMYFUNCTION("""COMPUTED_VALUE"""),1752)</f>
        <v>1752</v>
      </c>
      <c r="S115" s="1">
        <f ca="1">IFERROR(__xludf.DUMMYFUNCTION("""COMPUTED_VALUE"""),0.461)</f>
        <v>0.46100000000000002</v>
      </c>
      <c r="T115" s="1">
        <f ca="1">IFERROR(__xludf.DUMMYFUNCTION("""COMPUTED_VALUE"""),206)</f>
        <v>206</v>
      </c>
      <c r="U115" s="1">
        <f ca="1">IFERROR(__xludf.DUMMYFUNCTION("""COMPUTED_VALUE"""),590)</f>
        <v>590</v>
      </c>
      <c r="V115" s="1">
        <f ca="1">IFERROR(__xludf.DUMMYFUNCTION("""COMPUTED_VALUE"""),0.349)</f>
        <v>0.34899999999999998</v>
      </c>
      <c r="W115" s="1">
        <f ca="1">IFERROR(__xludf.DUMMYFUNCTION("""COMPUTED_VALUE"""),547)</f>
        <v>547</v>
      </c>
      <c r="X115" s="1">
        <f ca="1">IFERROR(__xludf.DUMMYFUNCTION("""COMPUTED_VALUE"""),746)</f>
        <v>746</v>
      </c>
      <c r="Y115" s="1">
        <f ca="1">IFERROR(__xludf.DUMMYFUNCTION("""COMPUTED_VALUE"""),0.733)</f>
        <v>0.73299999999999998</v>
      </c>
      <c r="Z115" s="1">
        <f ca="1">IFERROR(__xludf.DUMMYFUNCTION("""COMPUTED_VALUE"""),305)</f>
        <v>305</v>
      </c>
      <c r="AA115" s="1">
        <f ca="1">IFERROR(__xludf.DUMMYFUNCTION("""COMPUTED_VALUE"""),1142)</f>
        <v>1142</v>
      </c>
      <c r="AB115" s="1">
        <f ca="1">IFERROR(__xludf.DUMMYFUNCTION("""COMPUTED_VALUE"""),480)</f>
        <v>480</v>
      </c>
      <c r="AC115" s="1">
        <f ca="1">IFERROR(__xludf.DUMMYFUNCTION("""COMPUTED_VALUE"""),175)</f>
        <v>175</v>
      </c>
      <c r="AD115" s="1">
        <f ca="1">IFERROR(__xludf.DUMMYFUNCTION("""COMPUTED_VALUE"""),147)</f>
        <v>147</v>
      </c>
      <c r="AE115" s="1">
        <f ca="1">IFERROR(__xludf.DUMMYFUNCTION("""COMPUTED_VALUE"""),454)</f>
        <v>454</v>
      </c>
      <c r="AF115" s="1">
        <f ca="1">IFERROR(__xludf.DUMMYFUNCTION("""COMPUTED_VALUE"""),672)</f>
        <v>672</v>
      </c>
    </row>
    <row r="116" spans="1:32" ht="12.5" x14ac:dyDescent="0.25">
      <c r="A116" s="1" t="str">
        <f ca="1">IFERROR(__xludf.DUMMYFUNCTION("""COMPUTED_VALUE"""),"Georgia Southern")</f>
        <v>Georgia Southern</v>
      </c>
      <c r="B116" s="1">
        <f ca="1">IFERROR(__xludf.DUMMYFUNCTION("""COMPUTED_VALUE"""),33)</f>
        <v>33</v>
      </c>
      <c r="C116" s="1">
        <f ca="1">IFERROR(__xludf.DUMMYFUNCTION("""COMPUTED_VALUE"""),18)</f>
        <v>18</v>
      </c>
      <c r="D116" s="1">
        <f ca="1">IFERROR(__xludf.DUMMYFUNCTION("""COMPUTED_VALUE"""),15)</f>
        <v>15</v>
      </c>
      <c r="E116" s="1">
        <f ca="1">IFERROR(__xludf.DUMMYFUNCTION("""COMPUTED_VALUE"""),0.545)</f>
        <v>0.54500000000000004</v>
      </c>
      <c r="F116" s="1">
        <f ca="1">IFERROR(__xludf.DUMMYFUNCTION("""COMPUTED_VALUE"""),-3.63)</f>
        <v>-3.63</v>
      </c>
      <c r="G116" s="1">
        <f ca="1">IFERROR(__xludf.DUMMYFUNCTION("""COMPUTED_VALUE"""),-2.83)</f>
        <v>-2.83</v>
      </c>
      <c r="H116" s="1">
        <f ca="1">IFERROR(__xludf.DUMMYFUNCTION("""COMPUTED_VALUE"""),11)</f>
        <v>11</v>
      </c>
      <c r="I116" s="1">
        <f ca="1">IFERROR(__xludf.DUMMYFUNCTION("""COMPUTED_VALUE"""),7)</f>
        <v>7</v>
      </c>
      <c r="J116" s="1">
        <f ca="1">IFERROR(__xludf.DUMMYFUNCTION("""COMPUTED_VALUE"""),10)</f>
        <v>10</v>
      </c>
      <c r="K116" s="1">
        <f ca="1">IFERROR(__xludf.DUMMYFUNCTION("""COMPUTED_VALUE"""),4)</f>
        <v>4</v>
      </c>
      <c r="L116" s="1">
        <f ca="1">IFERROR(__xludf.DUMMYFUNCTION("""COMPUTED_VALUE"""),6)</f>
        <v>6</v>
      </c>
      <c r="M116" s="1">
        <f ca="1">IFERROR(__xludf.DUMMYFUNCTION("""COMPUTED_VALUE"""),11)</f>
        <v>11</v>
      </c>
      <c r="N116" s="1">
        <f ca="1">IFERROR(__xludf.DUMMYFUNCTION("""COMPUTED_VALUE"""),2492)</f>
        <v>2492</v>
      </c>
      <c r="O116" s="1">
        <f ca="1">IFERROR(__xludf.DUMMYFUNCTION("""COMPUTED_VALUE"""),2420)</f>
        <v>2420</v>
      </c>
      <c r="P116" s="1">
        <f ca="1">IFERROR(__xludf.DUMMYFUNCTION("""COMPUTED_VALUE"""),1325)</f>
        <v>1325</v>
      </c>
      <c r="Q116" s="1">
        <f ca="1">IFERROR(__xludf.DUMMYFUNCTION("""COMPUTED_VALUE"""),841)</f>
        <v>841</v>
      </c>
      <c r="R116" s="1">
        <f ca="1">IFERROR(__xludf.DUMMYFUNCTION("""COMPUTED_VALUE"""),1909)</f>
        <v>1909</v>
      </c>
      <c r="S116" s="1">
        <f ca="1">IFERROR(__xludf.DUMMYFUNCTION("""COMPUTED_VALUE"""),0.441)</f>
        <v>0.441</v>
      </c>
      <c r="T116" s="1">
        <f ca="1">IFERROR(__xludf.DUMMYFUNCTION("""COMPUTED_VALUE"""),303)</f>
        <v>303</v>
      </c>
      <c r="U116" s="1">
        <f ca="1">IFERROR(__xludf.DUMMYFUNCTION("""COMPUTED_VALUE"""),837)</f>
        <v>837</v>
      </c>
      <c r="V116" s="1">
        <f ca="1">IFERROR(__xludf.DUMMYFUNCTION("""COMPUTED_VALUE"""),0.362)</f>
        <v>0.36199999999999999</v>
      </c>
      <c r="W116" s="1">
        <f ca="1">IFERROR(__xludf.DUMMYFUNCTION("""COMPUTED_VALUE"""),507)</f>
        <v>507</v>
      </c>
      <c r="X116" s="1">
        <f ca="1">IFERROR(__xludf.DUMMYFUNCTION("""COMPUTED_VALUE"""),763)</f>
        <v>763</v>
      </c>
      <c r="Y116" s="1">
        <f ca="1">IFERROR(__xludf.DUMMYFUNCTION("""COMPUTED_VALUE"""),0.664)</f>
        <v>0.66400000000000003</v>
      </c>
      <c r="Z116" s="1">
        <f ca="1">IFERROR(__xludf.DUMMYFUNCTION("""COMPUTED_VALUE"""),320)</f>
        <v>320</v>
      </c>
      <c r="AA116" s="1">
        <f ca="1">IFERROR(__xludf.DUMMYFUNCTION("""COMPUTED_VALUE"""),1147)</f>
        <v>1147</v>
      </c>
      <c r="AB116" s="1">
        <f ca="1">IFERROR(__xludf.DUMMYFUNCTION("""COMPUTED_VALUE"""),342)</f>
        <v>342</v>
      </c>
      <c r="AC116" s="1">
        <f ca="1">IFERROR(__xludf.DUMMYFUNCTION("""COMPUTED_VALUE"""),224)</f>
        <v>224</v>
      </c>
      <c r="AD116" s="1">
        <f ca="1">IFERROR(__xludf.DUMMYFUNCTION("""COMPUTED_VALUE"""),102)</f>
        <v>102</v>
      </c>
      <c r="AE116" s="1">
        <f ca="1">IFERROR(__xludf.DUMMYFUNCTION("""COMPUTED_VALUE"""),388)</f>
        <v>388</v>
      </c>
      <c r="AF116" s="1">
        <f ca="1">IFERROR(__xludf.DUMMYFUNCTION("""COMPUTED_VALUE"""),641)</f>
        <v>641</v>
      </c>
    </row>
    <row r="117" spans="1:32" ht="12.5" x14ac:dyDescent="0.25">
      <c r="A117" s="1" t="str">
        <f ca="1">IFERROR(__xludf.DUMMYFUNCTION("""COMPUTED_VALUE"""),"Georgia State")</f>
        <v>Georgia State</v>
      </c>
      <c r="B117" s="1">
        <f ca="1">IFERROR(__xludf.DUMMYFUNCTION("""COMPUTED_VALUE"""),33)</f>
        <v>33</v>
      </c>
      <c r="C117" s="1">
        <f ca="1">IFERROR(__xludf.DUMMYFUNCTION("""COMPUTED_VALUE"""),20)</f>
        <v>20</v>
      </c>
      <c r="D117" s="1">
        <f ca="1">IFERROR(__xludf.DUMMYFUNCTION("""COMPUTED_VALUE"""),13)</f>
        <v>13</v>
      </c>
      <c r="E117" s="1">
        <f ca="1">IFERROR(__xludf.DUMMYFUNCTION("""COMPUTED_VALUE"""),0.606)</f>
        <v>0.60599999999999998</v>
      </c>
      <c r="F117" s="1">
        <f ca="1">IFERROR(__xludf.DUMMYFUNCTION("""COMPUTED_VALUE"""),-0.33)</f>
        <v>-0.33</v>
      </c>
      <c r="G117" s="1">
        <f ca="1">IFERROR(__xludf.DUMMYFUNCTION("""COMPUTED_VALUE"""),-2.17)</f>
        <v>-2.17</v>
      </c>
      <c r="H117" s="1">
        <f ca="1">IFERROR(__xludf.DUMMYFUNCTION("""COMPUTED_VALUE"""),12)</f>
        <v>12</v>
      </c>
      <c r="I117" s="1">
        <f ca="1">IFERROR(__xludf.DUMMYFUNCTION("""COMPUTED_VALUE"""),6)</f>
        <v>6</v>
      </c>
      <c r="J117" s="1">
        <f ca="1">IFERROR(__xludf.DUMMYFUNCTION("""COMPUTED_VALUE"""),11)</f>
        <v>11</v>
      </c>
      <c r="K117" s="1">
        <f ca="1">IFERROR(__xludf.DUMMYFUNCTION("""COMPUTED_VALUE"""),3)</f>
        <v>3</v>
      </c>
      <c r="L117" s="1">
        <f ca="1">IFERROR(__xludf.DUMMYFUNCTION("""COMPUTED_VALUE"""),6)</f>
        <v>6</v>
      </c>
      <c r="M117" s="1">
        <f ca="1">IFERROR(__xludf.DUMMYFUNCTION("""COMPUTED_VALUE"""),9)</f>
        <v>9</v>
      </c>
      <c r="N117" s="1">
        <f ca="1">IFERROR(__xludf.DUMMYFUNCTION("""COMPUTED_VALUE"""),2442)</f>
        <v>2442</v>
      </c>
      <c r="O117" s="1">
        <f ca="1">IFERROR(__xludf.DUMMYFUNCTION("""COMPUTED_VALUE"""),2312)</f>
        <v>2312</v>
      </c>
      <c r="P117" s="1">
        <f ca="1">IFERROR(__xludf.DUMMYFUNCTION("""COMPUTED_VALUE"""),1325)</f>
        <v>1325</v>
      </c>
      <c r="Q117" s="1">
        <f ca="1">IFERROR(__xludf.DUMMYFUNCTION("""COMPUTED_VALUE"""),885)</f>
        <v>885</v>
      </c>
      <c r="R117" s="1">
        <f ca="1">IFERROR(__xludf.DUMMYFUNCTION("""COMPUTED_VALUE"""),1888)</f>
        <v>1888</v>
      </c>
      <c r="S117" s="1">
        <f ca="1">IFERROR(__xludf.DUMMYFUNCTION("""COMPUTED_VALUE"""),0.469)</f>
        <v>0.46899999999999997</v>
      </c>
      <c r="T117" s="1">
        <f ca="1">IFERROR(__xludf.DUMMYFUNCTION("""COMPUTED_VALUE"""),246)</f>
        <v>246</v>
      </c>
      <c r="U117" s="1">
        <f ca="1">IFERROR(__xludf.DUMMYFUNCTION("""COMPUTED_VALUE"""),690)</f>
        <v>690</v>
      </c>
      <c r="V117" s="1">
        <f ca="1">IFERROR(__xludf.DUMMYFUNCTION("""COMPUTED_VALUE"""),0.357)</f>
        <v>0.35699999999999998</v>
      </c>
      <c r="W117" s="1">
        <f ca="1">IFERROR(__xludf.DUMMYFUNCTION("""COMPUTED_VALUE"""),426)</f>
        <v>426</v>
      </c>
      <c r="X117" s="1">
        <f ca="1">IFERROR(__xludf.DUMMYFUNCTION("""COMPUTED_VALUE"""),658)</f>
        <v>658</v>
      </c>
      <c r="Y117" s="1">
        <f ca="1">IFERROR(__xludf.DUMMYFUNCTION("""COMPUTED_VALUE"""),0.647)</f>
        <v>0.64700000000000002</v>
      </c>
      <c r="Z117" s="1">
        <f ca="1">IFERROR(__xludf.DUMMYFUNCTION("""COMPUTED_VALUE"""),334)</f>
        <v>334</v>
      </c>
      <c r="AA117" s="1">
        <f ca="1">IFERROR(__xludf.DUMMYFUNCTION("""COMPUTED_VALUE"""),1174)</f>
        <v>1174</v>
      </c>
      <c r="AB117" s="1">
        <f ca="1">IFERROR(__xludf.DUMMYFUNCTION("""COMPUTED_VALUE"""),399)</f>
        <v>399</v>
      </c>
      <c r="AC117" s="1">
        <f ca="1">IFERROR(__xludf.DUMMYFUNCTION("""COMPUTED_VALUE"""),236)</f>
        <v>236</v>
      </c>
      <c r="AD117" s="1">
        <f ca="1">IFERROR(__xludf.DUMMYFUNCTION("""COMPUTED_VALUE"""),140)</f>
        <v>140</v>
      </c>
      <c r="AE117" s="1">
        <f ca="1">IFERROR(__xludf.DUMMYFUNCTION("""COMPUTED_VALUE"""),463)</f>
        <v>463</v>
      </c>
      <c r="AF117" s="1">
        <f ca="1">IFERROR(__xludf.DUMMYFUNCTION("""COMPUTED_VALUE"""),673)</f>
        <v>673</v>
      </c>
    </row>
    <row r="118" spans="1:32" ht="12.5" x14ac:dyDescent="0.25">
      <c r="A118" s="1" t="str">
        <f ca="1">IFERROR(__xludf.DUMMYFUNCTION("""COMPUTED_VALUE"""),"Georgia Tech")</f>
        <v>Georgia Tech</v>
      </c>
      <c r="B118" s="1">
        <f ca="1">IFERROR(__xludf.DUMMYFUNCTION("""COMPUTED_VALUE"""),37)</f>
        <v>37</v>
      </c>
      <c r="C118" s="1">
        <f ca="1">IFERROR(__xludf.DUMMYFUNCTION("""COMPUTED_VALUE"""),21)</f>
        <v>21</v>
      </c>
      <c r="D118" s="1">
        <f ca="1">IFERROR(__xludf.DUMMYFUNCTION("""COMPUTED_VALUE"""),16)</f>
        <v>16</v>
      </c>
      <c r="E118" s="1">
        <f ca="1">IFERROR(__xludf.DUMMYFUNCTION("""COMPUTED_VALUE"""),0.568)</f>
        <v>0.56799999999999995</v>
      </c>
      <c r="F118" s="1">
        <f ca="1">IFERROR(__xludf.DUMMYFUNCTION("""COMPUTED_VALUE"""),7.82)</f>
        <v>7.82</v>
      </c>
      <c r="G118" s="1">
        <f ca="1">IFERROR(__xludf.DUMMYFUNCTION("""COMPUTED_VALUE"""),8.21)</f>
        <v>8.2100000000000009</v>
      </c>
      <c r="H118" s="1">
        <f ca="1">IFERROR(__xludf.DUMMYFUNCTION("""COMPUTED_VALUE"""),8)</f>
        <v>8</v>
      </c>
      <c r="I118" s="1">
        <f ca="1">IFERROR(__xludf.DUMMYFUNCTION("""COMPUTED_VALUE"""),10)</f>
        <v>10</v>
      </c>
      <c r="J118" s="1">
        <f ca="1">IFERROR(__xludf.DUMMYFUNCTION("""COMPUTED_VALUE"""),16)</f>
        <v>16</v>
      </c>
      <c r="K118" s="1">
        <f ca="1">IFERROR(__xludf.DUMMYFUNCTION("""COMPUTED_VALUE"""),4)</f>
        <v>4</v>
      </c>
      <c r="L118" s="1">
        <f ca="1">IFERROR(__xludf.DUMMYFUNCTION("""COMPUTED_VALUE"""),3)</f>
        <v>3</v>
      </c>
      <c r="M118" s="1">
        <f ca="1">IFERROR(__xludf.DUMMYFUNCTION("""COMPUTED_VALUE"""),10)</f>
        <v>10</v>
      </c>
      <c r="N118" s="1">
        <f ca="1">IFERROR(__xludf.DUMMYFUNCTION("""COMPUTED_VALUE"""),2496)</f>
        <v>2496</v>
      </c>
      <c r="O118" s="1">
        <f ca="1">IFERROR(__xludf.DUMMYFUNCTION("""COMPUTED_VALUE"""),2472)</f>
        <v>2472</v>
      </c>
      <c r="P118" s="1">
        <f ca="1">IFERROR(__xludf.DUMMYFUNCTION("""COMPUTED_VALUE"""),1485)</f>
        <v>1485</v>
      </c>
      <c r="Q118" s="1">
        <f ca="1">IFERROR(__xludf.DUMMYFUNCTION("""COMPUTED_VALUE"""),910)</f>
        <v>910</v>
      </c>
      <c r="R118" s="1">
        <f ca="1">IFERROR(__xludf.DUMMYFUNCTION("""COMPUTED_VALUE"""),2079)</f>
        <v>2079</v>
      </c>
      <c r="S118" s="1">
        <f ca="1">IFERROR(__xludf.DUMMYFUNCTION("""COMPUTED_VALUE"""),0.438)</f>
        <v>0.438</v>
      </c>
      <c r="T118" s="1">
        <f ca="1">IFERROR(__xludf.DUMMYFUNCTION("""COMPUTED_VALUE"""),171)</f>
        <v>171</v>
      </c>
      <c r="U118" s="1">
        <f ca="1">IFERROR(__xludf.DUMMYFUNCTION("""COMPUTED_VALUE"""),516)</f>
        <v>516</v>
      </c>
      <c r="V118" s="1">
        <f ca="1">IFERROR(__xludf.DUMMYFUNCTION("""COMPUTED_VALUE"""),0.331)</f>
        <v>0.33100000000000002</v>
      </c>
      <c r="W118" s="1">
        <f ca="1">IFERROR(__xludf.DUMMYFUNCTION("""COMPUTED_VALUE"""),505)</f>
        <v>505</v>
      </c>
      <c r="X118" s="1">
        <f ca="1">IFERROR(__xludf.DUMMYFUNCTION("""COMPUTED_VALUE"""),740)</f>
        <v>740</v>
      </c>
      <c r="Y118" s="1">
        <f ca="1">IFERROR(__xludf.DUMMYFUNCTION("""COMPUTED_VALUE"""),0.682)</f>
        <v>0.68200000000000005</v>
      </c>
      <c r="Z118" s="1">
        <f ca="1">IFERROR(__xludf.DUMMYFUNCTION("""COMPUTED_VALUE"""),356)</f>
        <v>356</v>
      </c>
      <c r="AA118" s="1">
        <f ca="1">IFERROR(__xludf.DUMMYFUNCTION("""COMPUTED_VALUE"""),1330)</f>
        <v>1330</v>
      </c>
      <c r="AB118" s="1">
        <f ca="1">IFERROR(__xludf.DUMMYFUNCTION("""COMPUTED_VALUE"""),570)</f>
        <v>570</v>
      </c>
      <c r="AC118" s="1">
        <f ca="1">IFERROR(__xludf.DUMMYFUNCTION("""COMPUTED_VALUE"""),245)</f>
        <v>245</v>
      </c>
      <c r="AD118" s="1">
        <f ca="1">IFERROR(__xludf.DUMMYFUNCTION("""COMPUTED_VALUE"""),221)</f>
        <v>221</v>
      </c>
      <c r="AE118" s="1">
        <f ca="1">IFERROR(__xludf.DUMMYFUNCTION("""COMPUTED_VALUE"""),494)</f>
        <v>494</v>
      </c>
      <c r="AF118" s="1">
        <f ca="1">IFERROR(__xludf.DUMMYFUNCTION("""COMPUTED_VALUE"""),592)</f>
        <v>592</v>
      </c>
    </row>
    <row r="119" spans="1:32" ht="12.5" x14ac:dyDescent="0.25">
      <c r="A119" s="1" t="str">
        <f ca="1">IFERROR(__xludf.DUMMYFUNCTION("""COMPUTED_VALUE"""),"Georgia")</f>
        <v>Georgia</v>
      </c>
      <c r="B119" s="1">
        <f ca="1">IFERROR(__xludf.DUMMYFUNCTION("""COMPUTED_VALUE"""),34)</f>
        <v>34</v>
      </c>
      <c r="C119" s="1">
        <f ca="1">IFERROR(__xludf.DUMMYFUNCTION("""COMPUTED_VALUE"""),19)</f>
        <v>19</v>
      </c>
      <c r="D119" s="1">
        <f ca="1">IFERROR(__xludf.DUMMYFUNCTION("""COMPUTED_VALUE"""),15)</f>
        <v>15</v>
      </c>
      <c r="E119" s="1">
        <f ca="1">IFERROR(__xludf.DUMMYFUNCTION("""COMPUTED_VALUE"""),0.559)</f>
        <v>0.55900000000000005</v>
      </c>
      <c r="F119" s="1">
        <f ca="1">IFERROR(__xludf.DUMMYFUNCTION("""COMPUTED_VALUE"""),11.13)</f>
        <v>11.13</v>
      </c>
      <c r="G119" s="1">
        <f ca="1">IFERROR(__xludf.DUMMYFUNCTION("""COMPUTED_VALUE"""),10.28)</f>
        <v>10.28</v>
      </c>
      <c r="H119" s="1">
        <f ca="1">IFERROR(__xludf.DUMMYFUNCTION("""COMPUTED_VALUE"""),9)</f>
        <v>9</v>
      </c>
      <c r="I119" s="1">
        <f ca="1">IFERROR(__xludf.DUMMYFUNCTION("""COMPUTED_VALUE"""),9)</f>
        <v>9</v>
      </c>
      <c r="J119" s="1">
        <f ca="1">IFERROR(__xludf.DUMMYFUNCTION("""COMPUTED_VALUE"""),12)</f>
        <v>12</v>
      </c>
      <c r="K119" s="1">
        <f ca="1">IFERROR(__xludf.DUMMYFUNCTION("""COMPUTED_VALUE"""),6)</f>
        <v>6</v>
      </c>
      <c r="L119" s="1">
        <f ca="1">IFERROR(__xludf.DUMMYFUNCTION("""COMPUTED_VALUE"""),5)</f>
        <v>5</v>
      </c>
      <c r="M119" s="1">
        <f ca="1">IFERROR(__xludf.DUMMYFUNCTION("""COMPUTED_VALUE"""),7)</f>
        <v>7</v>
      </c>
      <c r="N119" s="1">
        <f ca="1">IFERROR(__xludf.DUMMYFUNCTION("""COMPUTED_VALUE"""),2435)</f>
        <v>2435</v>
      </c>
      <c r="O119" s="1">
        <f ca="1">IFERROR(__xludf.DUMMYFUNCTION("""COMPUTED_VALUE"""),2393)</f>
        <v>2393</v>
      </c>
      <c r="P119" s="1">
        <f ca="1">IFERROR(__xludf.DUMMYFUNCTION("""COMPUTED_VALUE"""),1370)</f>
        <v>1370</v>
      </c>
      <c r="Q119" s="1">
        <f ca="1">IFERROR(__xludf.DUMMYFUNCTION("""COMPUTED_VALUE"""),836)</f>
        <v>836</v>
      </c>
      <c r="R119" s="1">
        <f ca="1">IFERROR(__xludf.DUMMYFUNCTION("""COMPUTED_VALUE"""),1903)</f>
        <v>1903</v>
      </c>
      <c r="S119" s="1">
        <f ca="1">IFERROR(__xludf.DUMMYFUNCTION("""COMPUTED_VALUE"""),0.439)</f>
        <v>0.439</v>
      </c>
      <c r="T119" s="1">
        <f ca="1">IFERROR(__xludf.DUMMYFUNCTION("""COMPUTED_VALUE"""),175)</f>
        <v>175</v>
      </c>
      <c r="U119" s="1">
        <f ca="1">IFERROR(__xludf.DUMMYFUNCTION("""COMPUTED_VALUE"""),538)</f>
        <v>538</v>
      </c>
      <c r="V119" s="1">
        <f ca="1">IFERROR(__xludf.DUMMYFUNCTION("""COMPUTED_VALUE"""),0.325)</f>
        <v>0.32500000000000001</v>
      </c>
      <c r="W119" s="1">
        <f ca="1">IFERROR(__xludf.DUMMYFUNCTION("""COMPUTED_VALUE"""),588)</f>
        <v>588</v>
      </c>
      <c r="X119" s="1">
        <f ca="1">IFERROR(__xludf.DUMMYFUNCTION("""COMPUTED_VALUE"""),777)</f>
        <v>777</v>
      </c>
      <c r="Y119" s="1">
        <f ca="1">IFERROR(__xludf.DUMMYFUNCTION("""COMPUTED_VALUE"""),0.757)</f>
        <v>0.75700000000000001</v>
      </c>
      <c r="Z119" s="1">
        <f ca="1">IFERROR(__xludf.DUMMYFUNCTION("""COMPUTED_VALUE"""),330)</f>
        <v>330</v>
      </c>
      <c r="AA119" s="1">
        <f ca="1">IFERROR(__xludf.DUMMYFUNCTION("""COMPUTED_VALUE"""),1259)</f>
        <v>1259</v>
      </c>
      <c r="AB119" s="1">
        <f ca="1">IFERROR(__xludf.DUMMYFUNCTION("""COMPUTED_VALUE"""),429)</f>
        <v>429</v>
      </c>
      <c r="AC119" s="1">
        <f ca="1">IFERROR(__xludf.DUMMYFUNCTION("""COMPUTED_VALUE"""),182)</f>
        <v>182</v>
      </c>
      <c r="AD119" s="1">
        <f ca="1">IFERROR(__xludf.DUMMYFUNCTION("""COMPUTED_VALUE"""),126)</f>
        <v>126</v>
      </c>
      <c r="AE119" s="1">
        <f ca="1">IFERROR(__xludf.DUMMYFUNCTION("""COMPUTED_VALUE"""),444)</f>
        <v>444</v>
      </c>
      <c r="AF119" s="1">
        <f ca="1">IFERROR(__xludf.DUMMYFUNCTION("""COMPUTED_VALUE"""),632)</f>
        <v>632</v>
      </c>
    </row>
    <row r="120" spans="1:32" ht="12.5" x14ac:dyDescent="0.25">
      <c r="A120" s="1" t="str">
        <f ca="1">IFERROR(__xludf.DUMMYFUNCTION("""COMPUTED_VALUE"""),"GonzagaNCAA")</f>
        <v>GonzagaNCAA</v>
      </c>
      <c r="B120" s="1">
        <f ca="1">IFERROR(__xludf.DUMMYFUNCTION("""COMPUTED_VALUE"""),39)</f>
        <v>39</v>
      </c>
      <c r="C120" s="1">
        <f ca="1">IFERROR(__xludf.DUMMYFUNCTION("""COMPUTED_VALUE"""),37)</f>
        <v>37</v>
      </c>
      <c r="D120" s="1">
        <f ca="1">IFERROR(__xludf.DUMMYFUNCTION("""COMPUTED_VALUE"""),2)</f>
        <v>2</v>
      </c>
      <c r="E120" s="1">
        <f ca="1">IFERROR(__xludf.DUMMYFUNCTION("""COMPUTED_VALUE"""),0.949)</f>
        <v>0.94899999999999995</v>
      </c>
      <c r="F120" s="1">
        <f ca="1">IFERROR(__xludf.DUMMYFUNCTION("""COMPUTED_VALUE"""),25.26)</f>
        <v>25.26</v>
      </c>
      <c r="G120" s="1">
        <f ca="1">IFERROR(__xludf.DUMMYFUNCTION("""COMPUTED_VALUE"""),4.13)</f>
        <v>4.13</v>
      </c>
      <c r="H120" s="1">
        <f ca="1">IFERROR(__xludf.DUMMYFUNCTION("""COMPUTED_VALUE"""),17)</f>
        <v>17</v>
      </c>
      <c r="I120" s="1">
        <f ca="1">IFERROR(__xludf.DUMMYFUNCTION("""COMPUTED_VALUE"""),1)</f>
        <v>1</v>
      </c>
      <c r="J120" s="1">
        <f ca="1">IFERROR(__xludf.DUMMYFUNCTION("""COMPUTED_VALUE"""),15)</f>
        <v>15</v>
      </c>
      <c r="K120" s="1">
        <f ca="1">IFERROR(__xludf.DUMMYFUNCTION("""COMPUTED_VALUE"""),1)</f>
        <v>1</v>
      </c>
      <c r="L120" s="1">
        <f ca="1">IFERROR(__xludf.DUMMYFUNCTION("""COMPUTED_VALUE"""),10)</f>
        <v>10</v>
      </c>
      <c r="M120" s="1">
        <f ca="1">IFERROR(__xludf.DUMMYFUNCTION("""COMPUTED_VALUE"""),0)</f>
        <v>0</v>
      </c>
      <c r="N120" s="1">
        <f ca="1">IFERROR(__xludf.DUMMYFUNCTION("""COMPUTED_VALUE"""),3222)</f>
        <v>3222</v>
      </c>
      <c r="O120" s="1">
        <f ca="1">IFERROR(__xludf.DUMMYFUNCTION("""COMPUTED_VALUE"""),2398)</f>
        <v>2398</v>
      </c>
      <c r="P120" s="1">
        <f ca="1">IFERROR(__xludf.DUMMYFUNCTION("""COMPUTED_VALUE"""),1560)</f>
        <v>1560</v>
      </c>
      <c r="Q120" s="1">
        <f ca="1">IFERROR(__xludf.DUMMYFUNCTION("""COMPUTED_VALUE"""),1149)</f>
        <v>1149</v>
      </c>
      <c r="R120" s="1">
        <f ca="1">IFERROR(__xludf.DUMMYFUNCTION("""COMPUTED_VALUE"""),2280)</f>
        <v>2280</v>
      </c>
      <c r="S120" s="1">
        <f ca="1">IFERROR(__xludf.DUMMYFUNCTION("""COMPUTED_VALUE"""),0.504)</f>
        <v>0.504</v>
      </c>
      <c r="T120" s="1">
        <f ca="1">IFERROR(__xludf.DUMMYFUNCTION("""COMPUTED_VALUE"""),286)</f>
        <v>286</v>
      </c>
      <c r="U120" s="1">
        <f ca="1">IFERROR(__xludf.DUMMYFUNCTION("""COMPUTED_VALUE"""),749)</f>
        <v>749</v>
      </c>
      <c r="V120" s="1">
        <f ca="1">IFERROR(__xludf.DUMMYFUNCTION("""COMPUTED_VALUE"""),0.382)</f>
        <v>0.38200000000000001</v>
      </c>
      <c r="W120" s="1">
        <f ca="1">IFERROR(__xludf.DUMMYFUNCTION("""COMPUTED_VALUE"""),638)</f>
        <v>638</v>
      </c>
      <c r="X120" s="1">
        <f ca="1">IFERROR(__xludf.DUMMYFUNCTION("""COMPUTED_VALUE"""),890)</f>
        <v>890</v>
      </c>
      <c r="Y120" s="1">
        <f ca="1">IFERROR(__xludf.DUMMYFUNCTION("""COMPUTED_VALUE"""),0.717)</f>
        <v>0.71699999999999997</v>
      </c>
      <c r="Z120" s="1">
        <f ca="1">IFERROR(__xludf.DUMMYFUNCTION("""COMPUTED_VALUE"""),378)</f>
        <v>378</v>
      </c>
      <c r="AA120" s="1">
        <f ca="1">IFERROR(__xludf.DUMMYFUNCTION("""COMPUTED_VALUE"""),1587)</f>
        <v>1587</v>
      </c>
      <c r="AB120" s="1">
        <f ca="1">IFERROR(__xludf.DUMMYFUNCTION("""COMPUTED_VALUE"""),595)</f>
        <v>595</v>
      </c>
      <c r="AC120" s="1">
        <f ca="1">IFERROR(__xludf.DUMMYFUNCTION("""COMPUTED_VALUE"""),265)</f>
        <v>265</v>
      </c>
      <c r="AD120" s="1">
        <f ca="1">IFERROR(__xludf.DUMMYFUNCTION("""COMPUTED_VALUE"""),183)</f>
        <v>183</v>
      </c>
      <c r="AE120" s="1">
        <f ca="1">IFERROR(__xludf.DUMMYFUNCTION("""COMPUTED_VALUE"""),448)</f>
        <v>448</v>
      </c>
      <c r="AF120" s="1">
        <f ca="1">IFERROR(__xludf.DUMMYFUNCTION("""COMPUTED_VALUE"""),660)</f>
        <v>660</v>
      </c>
    </row>
    <row r="121" spans="1:32" ht="12.5" x14ac:dyDescent="0.25">
      <c r="A121" s="1" t="str">
        <f ca="1">IFERROR(__xludf.DUMMYFUNCTION("""COMPUTED_VALUE"""),"Grambling")</f>
        <v>Grambling</v>
      </c>
      <c r="B121" s="1">
        <f ca="1">IFERROR(__xludf.DUMMYFUNCTION("""COMPUTED_VALUE"""),33)</f>
        <v>33</v>
      </c>
      <c r="C121" s="1">
        <f ca="1">IFERROR(__xludf.DUMMYFUNCTION("""COMPUTED_VALUE"""),16)</f>
        <v>16</v>
      </c>
      <c r="D121" s="1">
        <f ca="1">IFERROR(__xludf.DUMMYFUNCTION("""COMPUTED_VALUE"""),17)</f>
        <v>17</v>
      </c>
      <c r="E121" s="1">
        <f ca="1">IFERROR(__xludf.DUMMYFUNCTION("""COMPUTED_VALUE"""),0.485)</f>
        <v>0.48499999999999999</v>
      </c>
      <c r="F121" s="1">
        <f ca="1">IFERROR(__xludf.DUMMYFUNCTION("""COMPUTED_VALUE"""),-17.29)</f>
        <v>-17.29</v>
      </c>
      <c r="G121" s="1">
        <f ca="1">IFERROR(__xludf.DUMMYFUNCTION("""COMPUTED_VALUE"""),-11.89)</f>
        <v>-11.89</v>
      </c>
      <c r="H121" s="1">
        <f ca="1">IFERROR(__xludf.DUMMYFUNCTION("""COMPUTED_VALUE"""),10)</f>
        <v>10</v>
      </c>
      <c r="I121" s="1">
        <f ca="1">IFERROR(__xludf.DUMMYFUNCTION("""COMPUTED_VALUE"""),8)</f>
        <v>8</v>
      </c>
      <c r="J121" s="1">
        <f ca="1">IFERROR(__xludf.DUMMYFUNCTION("""COMPUTED_VALUE"""),11)</f>
        <v>11</v>
      </c>
      <c r="K121" s="1">
        <f ca="1">IFERROR(__xludf.DUMMYFUNCTION("""COMPUTED_VALUE"""),2)</f>
        <v>2</v>
      </c>
      <c r="L121" s="1">
        <f ca="1">IFERROR(__xludf.DUMMYFUNCTION("""COMPUTED_VALUE"""),4)</f>
        <v>4</v>
      </c>
      <c r="M121" s="1">
        <f ca="1">IFERROR(__xludf.DUMMYFUNCTION("""COMPUTED_VALUE"""),12)</f>
        <v>12</v>
      </c>
      <c r="N121" s="1">
        <f ca="1">IFERROR(__xludf.DUMMYFUNCTION("""COMPUTED_VALUE"""),2361)</f>
        <v>2361</v>
      </c>
      <c r="O121" s="1">
        <f ca="1">IFERROR(__xludf.DUMMYFUNCTION("""COMPUTED_VALUE"""),2412)</f>
        <v>2412</v>
      </c>
      <c r="P121" s="1">
        <f ca="1">IFERROR(__xludf.DUMMYFUNCTION("""COMPUTED_VALUE"""),1340)</f>
        <v>1340</v>
      </c>
      <c r="Q121" s="1">
        <f ca="1">IFERROR(__xludf.DUMMYFUNCTION("""COMPUTED_VALUE"""),841)</f>
        <v>841</v>
      </c>
      <c r="R121" s="1">
        <f ca="1">IFERROR(__xludf.DUMMYFUNCTION("""COMPUTED_VALUE"""),1943)</f>
        <v>1943</v>
      </c>
      <c r="S121" s="1">
        <f ca="1">IFERROR(__xludf.DUMMYFUNCTION("""COMPUTED_VALUE"""),0.433)</f>
        <v>0.433</v>
      </c>
      <c r="T121" s="1">
        <f ca="1">IFERROR(__xludf.DUMMYFUNCTION("""COMPUTED_VALUE"""),184)</f>
        <v>184</v>
      </c>
      <c r="U121" s="1">
        <f ca="1">IFERROR(__xludf.DUMMYFUNCTION("""COMPUTED_VALUE"""),581)</f>
        <v>581</v>
      </c>
      <c r="V121" s="1">
        <f ca="1">IFERROR(__xludf.DUMMYFUNCTION("""COMPUTED_VALUE"""),0.317)</f>
        <v>0.317</v>
      </c>
      <c r="W121" s="1">
        <f ca="1">IFERROR(__xludf.DUMMYFUNCTION("""COMPUTED_VALUE"""),495)</f>
        <v>495</v>
      </c>
      <c r="X121" s="1">
        <f ca="1">IFERROR(__xludf.DUMMYFUNCTION("""COMPUTED_VALUE"""),747)</f>
        <v>747</v>
      </c>
      <c r="Y121" s="1">
        <f ca="1">IFERROR(__xludf.DUMMYFUNCTION("""COMPUTED_VALUE"""),0.663)</f>
        <v>0.66300000000000003</v>
      </c>
      <c r="Z121" s="1">
        <f ca="1">IFERROR(__xludf.DUMMYFUNCTION("""COMPUTED_VALUE"""),398)</f>
        <v>398</v>
      </c>
      <c r="AA121" s="1">
        <f ca="1">IFERROR(__xludf.DUMMYFUNCTION("""COMPUTED_VALUE"""),1108)</f>
        <v>1108</v>
      </c>
      <c r="AB121" s="1">
        <f ca="1">IFERROR(__xludf.DUMMYFUNCTION("""COMPUTED_VALUE"""),368)</f>
        <v>368</v>
      </c>
      <c r="AC121" s="1">
        <f ca="1">IFERROR(__xludf.DUMMYFUNCTION("""COMPUTED_VALUE"""),292)</f>
        <v>292</v>
      </c>
      <c r="AD121" s="1">
        <f ca="1">IFERROR(__xludf.DUMMYFUNCTION("""COMPUTED_VALUE"""),76)</f>
        <v>76</v>
      </c>
      <c r="AE121" s="1">
        <f ca="1">IFERROR(__xludf.DUMMYFUNCTION("""COMPUTED_VALUE"""),450)</f>
        <v>450</v>
      </c>
      <c r="AF121" s="1">
        <f ca="1">IFERROR(__xludf.DUMMYFUNCTION("""COMPUTED_VALUE"""),658)</f>
        <v>658</v>
      </c>
    </row>
    <row r="122" spans="1:32" ht="12.5" x14ac:dyDescent="0.25">
      <c r="A122" s="1" t="str">
        <f ca="1">IFERROR(__xludf.DUMMYFUNCTION("""COMPUTED_VALUE"""),"Grand Canyon")</f>
        <v>Grand Canyon</v>
      </c>
      <c r="B122" s="1">
        <f ca="1">IFERROR(__xludf.DUMMYFUNCTION("""COMPUTED_VALUE"""),31)</f>
        <v>31</v>
      </c>
      <c r="C122" s="1">
        <f ca="1">IFERROR(__xludf.DUMMYFUNCTION("""COMPUTED_VALUE"""),22)</f>
        <v>22</v>
      </c>
      <c r="D122" s="1">
        <f ca="1">IFERROR(__xludf.DUMMYFUNCTION("""COMPUTED_VALUE"""),9)</f>
        <v>9</v>
      </c>
      <c r="E122" s="1">
        <f ca="1">IFERROR(__xludf.DUMMYFUNCTION("""COMPUTED_VALUE"""),0.71)</f>
        <v>0.71</v>
      </c>
      <c r="F122" s="1">
        <f ca="1">IFERROR(__xludf.DUMMYFUNCTION("""COMPUTED_VALUE"""),-0.16)</f>
        <v>-0.16</v>
      </c>
      <c r="G122" s="1">
        <f ca="1">IFERROR(__xludf.DUMMYFUNCTION("""COMPUTED_VALUE"""),-4.22)</f>
        <v>-4.22</v>
      </c>
      <c r="H122" s="1">
        <f ca="1">IFERROR(__xludf.DUMMYFUNCTION("""COMPUTED_VALUE"""),11)</f>
        <v>11</v>
      </c>
      <c r="I122" s="1">
        <f ca="1">IFERROR(__xludf.DUMMYFUNCTION("""COMPUTED_VALUE"""),3)</f>
        <v>3</v>
      </c>
      <c r="J122" s="1">
        <f ca="1">IFERROR(__xludf.DUMMYFUNCTION("""COMPUTED_VALUE"""),15)</f>
        <v>15</v>
      </c>
      <c r="K122" s="1">
        <f ca="1">IFERROR(__xludf.DUMMYFUNCTION("""COMPUTED_VALUE"""),3)</f>
        <v>3</v>
      </c>
      <c r="L122" s="1">
        <f ca="1">IFERROR(__xludf.DUMMYFUNCTION("""COMPUTED_VALUE"""),5)</f>
        <v>5</v>
      </c>
      <c r="M122" s="1">
        <f ca="1">IFERROR(__xludf.DUMMYFUNCTION("""COMPUTED_VALUE"""),6)</f>
        <v>6</v>
      </c>
      <c r="N122" s="1">
        <f ca="1">IFERROR(__xludf.DUMMYFUNCTION("""COMPUTED_VALUE"""),2282)</f>
        <v>2282</v>
      </c>
      <c r="O122" s="1">
        <f ca="1">IFERROR(__xludf.DUMMYFUNCTION("""COMPUTED_VALUE"""),2103)</f>
        <v>2103</v>
      </c>
      <c r="P122" s="1">
        <f ca="1">IFERROR(__xludf.DUMMYFUNCTION("""COMPUTED_VALUE"""),1250)</f>
        <v>1250</v>
      </c>
      <c r="Q122" s="1">
        <f ca="1">IFERROR(__xludf.DUMMYFUNCTION("""COMPUTED_VALUE"""),790)</f>
        <v>790</v>
      </c>
      <c r="R122" s="1">
        <f ca="1">IFERROR(__xludf.DUMMYFUNCTION("""COMPUTED_VALUE"""),1812)</f>
        <v>1812</v>
      </c>
      <c r="S122" s="1">
        <f ca="1">IFERROR(__xludf.DUMMYFUNCTION("""COMPUTED_VALUE"""),0.436)</f>
        <v>0.436</v>
      </c>
      <c r="T122" s="1">
        <f ca="1">IFERROR(__xludf.DUMMYFUNCTION("""COMPUTED_VALUE"""),205)</f>
        <v>205</v>
      </c>
      <c r="U122" s="1">
        <f ca="1">IFERROR(__xludf.DUMMYFUNCTION("""COMPUTED_VALUE"""),619)</f>
        <v>619</v>
      </c>
      <c r="V122" s="1">
        <f ca="1">IFERROR(__xludf.DUMMYFUNCTION("""COMPUTED_VALUE"""),0.331)</f>
        <v>0.33100000000000002</v>
      </c>
      <c r="W122" s="1">
        <f ca="1">IFERROR(__xludf.DUMMYFUNCTION("""COMPUTED_VALUE"""),497)</f>
        <v>497</v>
      </c>
      <c r="X122" s="1">
        <f ca="1">IFERROR(__xludf.DUMMYFUNCTION("""COMPUTED_VALUE"""),747)</f>
        <v>747</v>
      </c>
      <c r="Y122" s="1">
        <f ca="1">IFERROR(__xludf.DUMMYFUNCTION("""COMPUTED_VALUE"""),0.665)</f>
        <v>0.66500000000000004</v>
      </c>
      <c r="Z122" s="1">
        <f ca="1">IFERROR(__xludf.DUMMYFUNCTION("""COMPUTED_VALUE"""),335)</f>
        <v>335</v>
      </c>
      <c r="AA122" s="1">
        <f ca="1">IFERROR(__xludf.DUMMYFUNCTION("""COMPUTED_VALUE"""),1166)</f>
        <v>1166</v>
      </c>
      <c r="AB122" s="1">
        <f ca="1">IFERROR(__xludf.DUMMYFUNCTION("""COMPUTED_VALUE"""),423)</f>
        <v>423</v>
      </c>
      <c r="AC122" s="1">
        <f ca="1">IFERROR(__xludf.DUMMYFUNCTION("""COMPUTED_VALUE"""),233)</f>
        <v>233</v>
      </c>
      <c r="AD122" s="1">
        <f ca="1">IFERROR(__xludf.DUMMYFUNCTION("""COMPUTED_VALUE"""),79)</f>
        <v>79</v>
      </c>
      <c r="AE122" s="1">
        <f ca="1">IFERROR(__xludf.DUMMYFUNCTION("""COMPUTED_VALUE"""),397)</f>
        <v>397</v>
      </c>
      <c r="AF122" s="1">
        <f ca="1">IFERROR(__xludf.DUMMYFUNCTION("""COMPUTED_VALUE"""),539)</f>
        <v>539</v>
      </c>
    </row>
    <row r="123" spans="1:32" ht="12.5" x14ac:dyDescent="0.25">
      <c r="A123" s="1" t="str">
        <f ca="1">IFERROR(__xludf.DUMMYFUNCTION("""COMPUTED_VALUE"""),"Green Bay")</f>
        <v>Green Bay</v>
      </c>
      <c r="B123" s="1">
        <f ca="1">IFERROR(__xludf.DUMMYFUNCTION("""COMPUTED_VALUE"""),32)</f>
        <v>32</v>
      </c>
      <c r="C123" s="1">
        <f ca="1">IFERROR(__xludf.DUMMYFUNCTION("""COMPUTED_VALUE"""),18)</f>
        <v>18</v>
      </c>
      <c r="D123" s="1">
        <f ca="1">IFERROR(__xludf.DUMMYFUNCTION("""COMPUTED_VALUE"""),14)</f>
        <v>14</v>
      </c>
      <c r="E123" s="1">
        <f ca="1">IFERROR(__xludf.DUMMYFUNCTION("""COMPUTED_VALUE"""),0.563)</f>
        <v>0.56299999999999994</v>
      </c>
      <c r="F123" s="1">
        <f ca="1">IFERROR(__xludf.DUMMYFUNCTION("""COMPUTED_VALUE"""),-2.77)</f>
        <v>-2.77</v>
      </c>
      <c r="G123" s="1">
        <f ca="1">IFERROR(__xludf.DUMMYFUNCTION("""COMPUTED_VALUE"""),-2.83)</f>
        <v>-2.83</v>
      </c>
      <c r="H123" s="1">
        <f ca="1">IFERROR(__xludf.DUMMYFUNCTION("""COMPUTED_VALUE"""),12)</f>
        <v>12</v>
      </c>
      <c r="I123" s="1">
        <f ca="1">IFERROR(__xludf.DUMMYFUNCTION("""COMPUTED_VALUE"""),6)</f>
        <v>6</v>
      </c>
      <c r="J123" s="1">
        <f ca="1">IFERROR(__xludf.DUMMYFUNCTION("""COMPUTED_VALUE"""),10)</f>
        <v>10</v>
      </c>
      <c r="K123" s="1">
        <f ca="1">IFERROR(__xludf.DUMMYFUNCTION("""COMPUTED_VALUE"""),3)</f>
        <v>3</v>
      </c>
      <c r="L123" s="1">
        <f ca="1">IFERROR(__xludf.DUMMYFUNCTION("""COMPUTED_VALUE"""),7)</f>
        <v>7</v>
      </c>
      <c r="M123" s="1">
        <f ca="1">IFERROR(__xludf.DUMMYFUNCTION("""COMPUTED_VALUE"""),9)</f>
        <v>9</v>
      </c>
      <c r="N123" s="1">
        <f ca="1">IFERROR(__xludf.DUMMYFUNCTION("""COMPUTED_VALUE"""),2565)</f>
        <v>2565</v>
      </c>
      <c r="O123" s="1">
        <f ca="1">IFERROR(__xludf.DUMMYFUNCTION("""COMPUTED_VALUE"""),2479)</f>
        <v>2479</v>
      </c>
      <c r="P123" s="1">
        <f ca="1">IFERROR(__xludf.DUMMYFUNCTION("""COMPUTED_VALUE"""),1295)</f>
        <v>1295</v>
      </c>
      <c r="Q123" s="1">
        <f ca="1">IFERROR(__xludf.DUMMYFUNCTION("""COMPUTED_VALUE"""),913)</f>
        <v>913</v>
      </c>
      <c r="R123" s="1">
        <f ca="1">IFERROR(__xludf.DUMMYFUNCTION("""COMPUTED_VALUE"""),2061)</f>
        <v>2061</v>
      </c>
      <c r="S123" s="1">
        <f ca="1">IFERROR(__xludf.DUMMYFUNCTION("""COMPUTED_VALUE"""),0.443)</f>
        <v>0.443</v>
      </c>
      <c r="T123" s="1">
        <f ca="1">IFERROR(__xludf.DUMMYFUNCTION("""COMPUTED_VALUE"""),197)</f>
        <v>197</v>
      </c>
      <c r="U123" s="1">
        <f ca="1">IFERROR(__xludf.DUMMYFUNCTION("""COMPUTED_VALUE"""),612)</f>
        <v>612</v>
      </c>
      <c r="V123" s="1">
        <f ca="1">IFERROR(__xludf.DUMMYFUNCTION("""COMPUTED_VALUE"""),0.322)</f>
        <v>0.32200000000000001</v>
      </c>
      <c r="W123" s="1">
        <f ca="1">IFERROR(__xludf.DUMMYFUNCTION("""COMPUTED_VALUE"""),542)</f>
        <v>542</v>
      </c>
      <c r="X123" s="1">
        <f ca="1">IFERROR(__xludf.DUMMYFUNCTION("""COMPUTED_VALUE"""),787)</f>
        <v>787</v>
      </c>
      <c r="Y123" s="1">
        <f ca="1">IFERROR(__xludf.DUMMYFUNCTION("""COMPUTED_VALUE"""),0.689)</f>
        <v>0.68899999999999995</v>
      </c>
      <c r="Z123" s="1">
        <f ca="1">IFERROR(__xludf.DUMMYFUNCTION("""COMPUTED_VALUE"""),387)</f>
        <v>387</v>
      </c>
      <c r="AA123" s="1">
        <f ca="1">IFERROR(__xludf.DUMMYFUNCTION("""COMPUTED_VALUE"""),1312)</f>
        <v>1312</v>
      </c>
      <c r="AB123" s="1">
        <f ca="1">IFERROR(__xludf.DUMMYFUNCTION("""COMPUTED_VALUE"""),446)</f>
        <v>446</v>
      </c>
      <c r="AC123" s="1">
        <f ca="1">IFERROR(__xludf.DUMMYFUNCTION("""COMPUTED_VALUE"""),247)</f>
        <v>247</v>
      </c>
      <c r="AD123" s="1">
        <f ca="1">IFERROR(__xludf.DUMMYFUNCTION("""COMPUTED_VALUE"""),133)</f>
        <v>133</v>
      </c>
      <c r="AE123" s="1">
        <f ca="1">IFERROR(__xludf.DUMMYFUNCTION("""COMPUTED_VALUE"""),448)</f>
        <v>448</v>
      </c>
      <c r="AF123" s="1">
        <f ca="1">IFERROR(__xludf.DUMMYFUNCTION("""COMPUTED_VALUE"""),632)</f>
        <v>632</v>
      </c>
    </row>
    <row r="124" spans="1:32" ht="12.5" x14ac:dyDescent="0.25">
      <c r="A124" s="1" t="str">
        <f ca="1">IFERROR(__xludf.DUMMYFUNCTION("""COMPUTED_VALUE"""),"Hampton")</f>
        <v>Hampton</v>
      </c>
      <c r="B124" s="1">
        <f ca="1">IFERROR(__xludf.DUMMYFUNCTION("""COMPUTED_VALUE"""),31)</f>
        <v>31</v>
      </c>
      <c r="C124" s="1">
        <f ca="1">IFERROR(__xludf.DUMMYFUNCTION("""COMPUTED_VALUE"""),14)</f>
        <v>14</v>
      </c>
      <c r="D124" s="1">
        <f ca="1">IFERROR(__xludf.DUMMYFUNCTION("""COMPUTED_VALUE"""),17)</f>
        <v>17</v>
      </c>
      <c r="E124" s="1">
        <f ca="1">IFERROR(__xludf.DUMMYFUNCTION("""COMPUTED_VALUE"""),0.452)</f>
        <v>0.45200000000000001</v>
      </c>
      <c r="F124" s="1">
        <f ca="1">IFERROR(__xludf.DUMMYFUNCTION("""COMPUTED_VALUE"""),-13.23)</f>
        <v>-13.23</v>
      </c>
      <c r="G124" s="1">
        <f ca="1">IFERROR(__xludf.DUMMYFUNCTION("""COMPUTED_VALUE"""),-9.92)</f>
        <v>-9.92</v>
      </c>
      <c r="H124" s="1">
        <f ca="1">IFERROR(__xludf.DUMMYFUNCTION("""COMPUTED_VALUE"""),11)</f>
        <v>11</v>
      </c>
      <c r="I124" s="1">
        <f ca="1">IFERROR(__xludf.DUMMYFUNCTION("""COMPUTED_VALUE"""),5)</f>
        <v>5</v>
      </c>
      <c r="J124" s="1">
        <f ca="1">IFERROR(__xludf.DUMMYFUNCTION("""COMPUTED_VALUE"""),9)</f>
        <v>9</v>
      </c>
      <c r="K124" s="1">
        <f ca="1">IFERROR(__xludf.DUMMYFUNCTION("""COMPUTED_VALUE"""),4)</f>
        <v>4</v>
      </c>
      <c r="L124" s="1">
        <f ca="1">IFERROR(__xludf.DUMMYFUNCTION("""COMPUTED_VALUE"""),5)</f>
        <v>5</v>
      </c>
      <c r="M124" s="1">
        <f ca="1">IFERROR(__xludf.DUMMYFUNCTION("""COMPUTED_VALUE"""),11)</f>
        <v>11</v>
      </c>
      <c r="N124" s="1">
        <f ca="1">IFERROR(__xludf.DUMMYFUNCTION("""COMPUTED_VALUE"""),2149)</f>
        <v>2149</v>
      </c>
      <c r="O124" s="1">
        <f ca="1">IFERROR(__xludf.DUMMYFUNCTION("""COMPUTED_VALUE"""),2219)</f>
        <v>2219</v>
      </c>
      <c r="P124" s="1">
        <f ca="1">IFERROR(__xludf.DUMMYFUNCTION("""COMPUTED_VALUE"""),1250)</f>
        <v>1250</v>
      </c>
      <c r="Q124" s="1">
        <f ca="1">IFERROR(__xludf.DUMMYFUNCTION("""COMPUTED_VALUE"""),751)</f>
        <v>751</v>
      </c>
      <c r="R124" s="1">
        <f ca="1">IFERROR(__xludf.DUMMYFUNCTION("""COMPUTED_VALUE"""),1844)</f>
        <v>1844</v>
      </c>
      <c r="S124" s="1">
        <f ca="1">IFERROR(__xludf.DUMMYFUNCTION("""COMPUTED_VALUE"""),0.407)</f>
        <v>0.40699999999999997</v>
      </c>
      <c r="T124" s="1">
        <f ca="1">IFERROR(__xludf.DUMMYFUNCTION("""COMPUTED_VALUE"""),196)</f>
        <v>196</v>
      </c>
      <c r="U124" s="1">
        <f ca="1">IFERROR(__xludf.DUMMYFUNCTION("""COMPUTED_VALUE"""),620)</f>
        <v>620</v>
      </c>
      <c r="V124" s="1">
        <f ca="1">IFERROR(__xludf.DUMMYFUNCTION("""COMPUTED_VALUE"""),0.316)</f>
        <v>0.316</v>
      </c>
      <c r="W124" s="1">
        <f ca="1">IFERROR(__xludf.DUMMYFUNCTION("""COMPUTED_VALUE"""),451)</f>
        <v>451</v>
      </c>
      <c r="X124" s="1">
        <f ca="1">IFERROR(__xludf.DUMMYFUNCTION("""COMPUTED_VALUE"""),633)</f>
        <v>633</v>
      </c>
      <c r="Y124" s="1">
        <f ca="1">IFERROR(__xludf.DUMMYFUNCTION("""COMPUTED_VALUE"""),0.712)</f>
        <v>0.71199999999999997</v>
      </c>
      <c r="Z124" s="1">
        <f ca="1">IFERROR(__xludf.DUMMYFUNCTION("""COMPUTED_VALUE"""),371)</f>
        <v>371</v>
      </c>
      <c r="AA124" s="1">
        <f ca="1">IFERROR(__xludf.DUMMYFUNCTION("""COMPUTED_VALUE"""),1143)</f>
        <v>1143</v>
      </c>
      <c r="AB124" s="1">
        <f ca="1">IFERROR(__xludf.DUMMYFUNCTION("""COMPUTED_VALUE"""),364)</f>
        <v>364</v>
      </c>
      <c r="AC124" s="1">
        <f ca="1">IFERROR(__xludf.DUMMYFUNCTION("""COMPUTED_VALUE"""),152)</f>
        <v>152</v>
      </c>
      <c r="AD124" s="1">
        <f ca="1">IFERROR(__xludf.DUMMYFUNCTION("""COMPUTED_VALUE"""),113)</f>
        <v>113</v>
      </c>
      <c r="AE124" s="1">
        <f ca="1">IFERROR(__xludf.DUMMYFUNCTION("""COMPUTED_VALUE"""),435)</f>
        <v>435</v>
      </c>
      <c r="AF124" s="1">
        <f ca="1">IFERROR(__xludf.DUMMYFUNCTION("""COMPUTED_VALUE"""),633)</f>
        <v>633</v>
      </c>
    </row>
    <row r="125" spans="1:32" ht="12.5" x14ac:dyDescent="0.25">
      <c r="A125" s="1" t="str">
        <f ca="1">IFERROR(__xludf.DUMMYFUNCTION("""COMPUTED_VALUE"""),"Hartford")</f>
        <v>Hartford</v>
      </c>
      <c r="B125" s="1">
        <f ca="1">IFERROR(__xludf.DUMMYFUNCTION("""COMPUTED_VALUE"""),32)</f>
        <v>32</v>
      </c>
      <c r="C125" s="1">
        <f ca="1">IFERROR(__xludf.DUMMYFUNCTION("""COMPUTED_VALUE"""),9)</f>
        <v>9</v>
      </c>
      <c r="D125" s="1">
        <f ca="1">IFERROR(__xludf.DUMMYFUNCTION("""COMPUTED_VALUE"""),23)</f>
        <v>23</v>
      </c>
      <c r="E125" s="1">
        <f ca="1">IFERROR(__xludf.DUMMYFUNCTION("""COMPUTED_VALUE"""),0.281)</f>
        <v>0.28100000000000003</v>
      </c>
      <c r="F125" s="1">
        <f ca="1">IFERROR(__xludf.DUMMYFUNCTION("""COMPUTED_VALUE"""),-15.85)</f>
        <v>-15.85</v>
      </c>
      <c r="G125" s="1">
        <f ca="1">IFERROR(__xludf.DUMMYFUNCTION("""COMPUTED_VALUE"""),-5.56)</f>
        <v>-5.56</v>
      </c>
      <c r="H125" s="1">
        <f ca="1">IFERROR(__xludf.DUMMYFUNCTION("""COMPUTED_VALUE"""),4)</f>
        <v>4</v>
      </c>
      <c r="I125" s="1">
        <f ca="1">IFERROR(__xludf.DUMMYFUNCTION("""COMPUTED_VALUE"""),12)</f>
        <v>12</v>
      </c>
      <c r="J125" s="1">
        <f ca="1">IFERROR(__xludf.DUMMYFUNCTION("""COMPUTED_VALUE"""),6)</f>
        <v>6</v>
      </c>
      <c r="K125" s="1">
        <f ca="1">IFERROR(__xludf.DUMMYFUNCTION("""COMPUTED_VALUE"""),8)</f>
        <v>8</v>
      </c>
      <c r="L125" s="1">
        <f ca="1">IFERROR(__xludf.DUMMYFUNCTION("""COMPUTED_VALUE"""),3)</f>
        <v>3</v>
      </c>
      <c r="M125" s="1">
        <f ca="1">IFERROR(__xludf.DUMMYFUNCTION("""COMPUTED_VALUE"""),15)</f>
        <v>15</v>
      </c>
      <c r="N125" s="1">
        <f ca="1">IFERROR(__xludf.DUMMYFUNCTION("""COMPUTED_VALUE"""),2136)</f>
        <v>2136</v>
      </c>
      <c r="O125" s="1">
        <f ca="1">IFERROR(__xludf.DUMMYFUNCTION("""COMPUTED_VALUE"""),2465)</f>
        <v>2465</v>
      </c>
      <c r="P125" s="1">
        <f ca="1">IFERROR(__xludf.DUMMYFUNCTION("""COMPUTED_VALUE"""),1295)</f>
        <v>1295</v>
      </c>
      <c r="Q125" s="1">
        <f ca="1">IFERROR(__xludf.DUMMYFUNCTION("""COMPUTED_VALUE"""),730)</f>
        <v>730</v>
      </c>
      <c r="R125" s="1">
        <f ca="1">IFERROR(__xludf.DUMMYFUNCTION("""COMPUTED_VALUE"""),1814)</f>
        <v>1814</v>
      </c>
      <c r="S125" s="1">
        <f ca="1">IFERROR(__xludf.DUMMYFUNCTION("""COMPUTED_VALUE"""),0.402)</f>
        <v>0.40200000000000002</v>
      </c>
      <c r="T125" s="1">
        <f ca="1">IFERROR(__xludf.DUMMYFUNCTION("""COMPUTED_VALUE"""),263)</f>
        <v>263</v>
      </c>
      <c r="U125" s="1">
        <f ca="1">IFERROR(__xludf.DUMMYFUNCTION("""COMPUTED_VALUE"""),777)</f>
        <v>777</v>
      </c>
      <c r="V125" s="1">
        <f ca="1">IFERROR(__xludf.DUMMYFUNCTION("""COMPUTED_VALUE"""),0.338)</f>
        <v>0.33800000000000002</v>
      </c>
      <c r="W125" s="1">
        <f ca="1">IFERROR(__xludf.DUMMYFUNCTION("""COMPUTED_VALUE"""),413)</f>
        <v>413</v>
      </c>
      <c r="X125" s="1">
        <f ca="1">IFERROR(__xludf.DUMMYFUNCTION("""COMPUTED_VALUE"""),591)</f>
        <v>591</v>
      </c>
      <c r="Y125" s="1">
        <f ca="1">IFERROR(__xludf.DUMMYFUNCTION("""COMPUTED_VALUE"""),0.699)</f>
        <v>0.69899999999999995</v>
      </c>
      <c r="Z125" s="1">
        <f ca="1">IFERROR(__xludf.DUMMYFUNCTION("""COMPUTED_VALUE"""),292)</f>
        <v>292</v>
      </c>
      <c r="AA125" s="1">
        <f ca="1">IFERROR(__xludf.DUMMYFUNCTION("""COMPUTED_VALUE"""),1046)</f>
        <v>1046</v>
      </c>
      <c r="AB125" s="1">
        <f ca="1">IFERROR(__xludf.DUMMYFUNCTION("""COMPUTED_VALUE"""),367)</f>
        <v>367</v>
      </c>
      <c r="AC125" s="1">
        <f ca="1">IFERROR(__xludf.DUMMYFUNCTION("""COMPUTED_VALUE"""),228)</f>
        <v>228</v>
      </c>
      <c r="AD125" s="1">
        <f ca="1">IFERROR(__xludf.DUMMYFUNCTION("""COMPUTED_VALUE"""),118)</f>
        <v>118</v>
      </c>
      <c r="AE125" s="1">
        <f ca="1">IFERROR(__xludf.DUMMYFUNCTION("""COMPUTED_VALUE"""),462)</f>
        <v>462</v>
      </c>
      <c r="AF125" s="1">
        <f ca="1">IFERROR(__xludf.DUMMYFUNCTION("""COMPUTED_VALUE"""),603)</f>
        <v>603</v>
      </c>
    </row>
    <row r="126" spans="1:32" ht="12.5" x14ac:dyDescent="0.25">
      <c r="A126" s="1" t="str">
        <f ca="1">IFERROR(__xludf.DUMMYFUNCTION("""COMPUTED_VALUE"""),"Harvard")</f>
        <v>Harvard</v>
      </c>
      <c r="B126" s="1">
        <f ca="1">IFERROR(__xludf.DUMMYFUNCTION("""COMPUTED_VALUE"""),28)</f>
        <v>28</v>
      </c>
      <c r="C126" s="1">
        <f ca="1">IFERROR(__xludf.DUMMYFUNCTION("""COMPUTED_VALUE"""),18)</f>
        <v>18</v>
      </c>
      <c r="D126" s="1">
        <f ca="1">IFERROR(__xludf.DUMMYFUNCTION("""COMPUTED_VALUE"""),10)</f>
        <v>10</v>
      </c>
      <c r="E126" s="1">
        <f ca="1">IFERROR(__xludf.DUMMYFUNCTION("""COMPUTED_VALUE"""),0.643)</f>
        <v>0.64300000000000002</v>
      </c>
      <c r="F126" s="1">
        <f ca="1">IFERROR(__xludf.DUMMYFUNCTION("""COMPUTED_VALUE"""),2.3)</f>
        <v>2.2999999999999998</v>
      </c>
      <c r="G126" s="1">
        <f ca="1">IFERROR(__xludf.DUMMYFUNCTION("""COMPUTED_VALUE"""),-2.24)</f>
        <v>-2.2400000000000002</v>
      </c>
      <c r="H126" s="1">
        <f ca="1">IFERROR(__xludf.DUMMYFUNCTION("""COMPUTED_VALUE"""),10)</f>
        <v>10</v>
      </c>
      <c r="I126" s="1">
        <f ca="1">IFERROR(__xludf.DUMMYFUNCTION("""COMPUTED_VALUE"""),4)</f>
        <v>4</v>
      </c>
      <c r="J126" s="1">
        <f ca="1">IFERROR(__xludf.DUMMYFUNCTION("""COMPUTED_VALUE"""),11)</f>
        <v>11</v>
      </c>
      <c r="K126" s="1">
        <f ca="1">IFERROR(__xludf.DUMMYFUNCTION("""COMPUTED_VALUE"""),3)</f>
        <v>3</v>
      </c>
      <c r="L126" s="1">
        <f ca="1">IFERROR(__xludf.DUMMYFUNCTION("""COMPUTED_VALUE"""),7)</f>
        <v>7</v>
      </c>
      <c r="M126" s="1">
        <f ca="1">IFERROR(__xludf.DUMMYFUNCTION("""COMPUTED_VALUE"""),5)</f>
        <v>5</v>
      </c>
      <c r="N126" s="1">
        <f ca="1">IFERROR(__xludf.DUMMYFUNCTION("""COMPUTED_VALUE"""),2012)</f>
        <v>2012</v>
      </c>
      <c r="O126" s="1">
        <f ca="1">IFERROR(__xludf.DUMMYFUNCTION("""COMPUTED_VALUE"""),1842)</f>
        <v>1842</v>
      </c>
      <c r="P126" s="1">
        <f ca="1">IFERROR(__xludf.DUMMYFUNCTION("""COMPUTED_VALUE"""),1120)</f>
        <v>1120</v>
      </c>
      <c r="Q126" s="1">
        <f ca="1">IFERROR(__xludf.DUMMYFUNCTION("""COMPUTED_VALUE"""),699)</f>
        <v>699</v>
      </c>
      <c r="R126" s="1">
        <f ca="1">IFERROR(__xludf.DUMMYFUNCTION("""COMPUTED_VALUE"""),1564)</f>
        <v>1564</v>
      </c>
      <c r="S126" s="1">
        <f ca="1">IFERROR(__xludf.DUMMYFUNCTION("""COMPUTED_VALUE"""),0.447)</f>
        <v>0.44700000000000001</v>
      </c>
      <c r="T126" s="1">
        <f ca="1">IFERROR(__xludf.DUMMYFUNCTION("""COMPUTED_VALUE"""),229)</f>
        <v>229</v>
      </c>
      <c r="U126" s="1">
        <f ca="1">IFERROR(__xludf.DUMMYFUNCTION("""COMPUTED_VALUE"""),645)</f>
        <v>645</v>
      </c>
      <c r="V126" s="1">
        <f ca="1">IFERROR(__xludf.DUMMYFUNCTION("""COMPUTED_VALUE"""),0.355)</f>
        <v>0.35499999999999998</v>
      </c>
      <c r="W126" s="1">
        <f ca="1">IFERROR(__xludf.DUMMYFUNCTION("""COMPUTED_VALUE"""),385)</f>
        <v>385</v>
      </c>
      <c r="X126" s="1">
        <f ca="1">IFERROR(__xludf.DUMMYFUNCTION("""COMPUTED_VALUE"""),518)</f>
        <v>518</v>
      </c>
      <c r="Y126" s="1">
        <f ca="1">IFERROR(__xludf.DUMMYFUNCTION("""COMPUTED_VALUE"""),0.743)</f>
        <v>0.74299999999999999</v>
      </c>
      <c r="Z126" s="1">
        <f ca="1">IFERROR(__xludf.DUMMYFUNCTION("""COMPUTED_VALUE"""),284)</f>
        <v>284</v>
      </c>
      <c r="AA126" s="1">
        <f ca="1">IFERROR(__xludf.DUMMYFUNCTION("""COMPUTED_VALUE"""),1005)</f>
        <v>1005</v>
      </c>
      <c r="AB126" s="1">
        <f ca="1">IFERROR(__xludf.DUMMYFUNCTION("""COMPUTED_VALUE"""),403)</f>
        <v>403</v>
      </c>
      <c r="AC126" s="1">
        <f ca="1">IFERROR(__xludf.DUMMYFUNCTION("""COMPUTED_VALUE"""),176)</f>
        <v>176</v>
      </c>
      <c r="AD126" s="1">
        <f ca="1">IFERROR(__xludf.DUMMYFUNCTION("""COMPUTED_VALUE"""),133)</f>
        <v>133</v>
      </c>
      <c r="AE126" s="1">
        <f ca="1">IFERROR(__xludf.DUMMYFUNCTION("""COMPUTED_VALUE"""),359)</f>
        <v>359</v>
      </c>
      <c r="AF126" s="1">
        <f ca="1">IFERROR(__xludf.DUMMYFUNCTION("""COMPUTED_VALUE"""),531)</f>
        <v>531</v>
      </c>
    </row>
    <row r="127" spans="1:32" ht="12.5" x14ac:dyDescent="0.25">
      <c r="A127" s="1" t="str">
        <f ca="1">IFERROR(__xludf.DUMMYFUNCTION("""COMPUTED_VALUE"""),"Hawaii")</f>
        <v>Hawaii</v>
      </c>
      <c r="B127" s="1">
        <f ca="1">IFERROR(__xludf.DUMMYFUNCTION("""COMPUTED_VALUE"""),30)</f>
        <v>30</v>
      </c>
      <c r="C127" s="1">
        <f ca="1">IFERROR(__xludf.DUMMYFUNCTION("""COMPUTED_VALUE"""),14)</f>
        <v>14</v>
      </c>
      <c r="D127" s="1">
        <f ca="1">IFERROR(__xludf.DUMMYFUNCTION("""COMPUTED_VALUE"""),16)</f>
        <v>16</v>
      </c>
      <c r="E127" s="1">
        <f ca="1">IFERROR(__xludf.DUMMYFUNCTION("""COMPUTED_VALUE"""),0.467)</f>
        <v>0.46700000000000003</v>
      </c>
      <c r="F127" s="1">
        <f ca="1">IFERROR(__xludf.DUMMYFUNCTION("""COMPUTED_VALUE"""),-6.19)</f>
        <v>-6.19</v>
      </c>
      <c r="G127" s="1">
        <f ca="1">IFERROR(__xludf.DUMMYFUNCTION("""COMPUTED_VALUE"""),-4.92)</f>
        <v>-4.92</v>
      </c>
      <c r="H127" s="1">
        <f ca="1">IFERROR(__xludf.DUMMYFUNCTION("""COMPUTED_VALUE"""),8)</f>
        <v>8</v>
      </c>
      <c r="I127" s="1">
        <f ca="1">IFERROR(__xludf.DUMMYFUNCTION("""COMPUTED_VALUE"""),8)</f>
        <v>8</v>
      </c>
      <c r="J127" s="1">
        <f ca="1">IFERROR(__xludf.DUMMYFUNCTION("""COMPUTED_VALUE"""),11)</f>
        <v>11</v>
      </c>
      <c r="K127" s="1">
        <f ca="1">IFERROR(__xludf.DUMMYFUNCTION("""COMPUTED_VALUE"""),8)</f>
        <v>8</v>
      </c>
      <c r="L127" s="1">
        <f ca="1">IFERROR(__xludf.DUMMYFUNCTION("""COMPUTED_VALUE"""),3)</f>
        <v>3</v>
      </c>
      <c r="M127" s="1">
        <f ca="1">IFERROR(__xludf.DUMMYFUNCTION("""COMPUTED_VALUE"""),5)</f>
        <v>5</v>
      </c>
      <c r="N127" s="1">
        <f ca="1">IFERROR(__xludf.DUMMYFUNCTION("""COMPUTED_VALUE"""),2042)</f>
        <v>2042</v>
      </c>
      <c r="O127" s="1">
        <f ca="1">IFERROR(__xludf.DUMMYFUNCTION("""COMPUTED_VALUE"""),2048)</f>
        <v>2048</v>
      </c>
      <c r="P127" s="1">
        <f ca="1">IFERROR(__xludf.DUMMYFUNCTION("""COMPUTED_VALUE"""),1210)</f>
        <v>1210</v>
      </c>
      <c r="Q127" s="1">
        <f ca="1">IFERROR(__xludf.DUMMYFUNCTION("""COMPUTED_VALUE"""),698)</f>
        <v>698</v>
      </c>
      <c r="R127" s="1">
        <f ca="1">IFERROR(__xludf.DUMMYFUNCTION("""COMPUTED_VALUE"""),1650)</f>
        <v>1650</v>
      </c>
      <c r="S127" s="1">
        <f ca="1">IFERROR(__xludf.DUMMYFUNCTION("""COMPUTED_VALUE"""),0.423)</f>
        <v>0.42299999999999999</v>
      </c>
      <c r="T127" s="1">
        <f ca="1">IFERROR(__xludf.DUMMYFUNCTION("""COMPUTED_VALUE"""),214)</f>
        <v>214</v>
      </c>
      <c r="U127" s="1">
        <f ca="1">IFERROR(__xludf.DUMMYFUNCTION("""COMPUTED_VALUE"""),658)</f>
        <v>658</v>
      </c>
      <c r="V127" s="1">
        <f ca="1">IFERROR(__xludf.DUMMYFUNCTION("""COMPUTED_VALUE"""),0.325)</f>
        <v>0.32500000000000001</v>
      </c>
      <c r="W127" s="1">
        <f ca="1">IFERROR(__xludf.DUMMYFUNCTION("""COMPUTED_VALUE"""),432)</f>
        <v>432</v>
      </c>
      <c r="X127" s="1">
        <f ca="1">IFERROR(__xludf.DUMMYFUNCTION("""COMPUTED_VALUE"""),604)</f>
        <v>604</v>
      </c>
      <c r="Y127" s="1">
        <f ca="1">IFERROR(__xludf.DUMMYFUNCTION("""COMPUTED_VALUE"""),0.715)</f>
        <v>0.71499999999999997</v>
      </c>
      <c r="Z127" s="1">
        <f ca="1">IFERROR(__xludf.DUMMYFUNCTION("""COMPUTED_VALUE"""),287)</f>
        <v>287</v>
      </c>
      <c r="AA127" s="1">
        <f ca="1">IFERROR(__xludf.DUMMYFUNCTION("""COMPUTED_VALUE"""),966)</f>
        <v>966</v>
      </c>
      <c r="AB127" s="1">
        <f ca="1">IFERROR(__xludf.DUMMYFUNCTION("""COMPUTED_VALUE"""),418)</f>
        <v>418</v>
      </c>
      <c r="AC127" s="1">
        <f ca="1">IFERROR(__xludf.DUMMYFUNCTION("""COMPUTED_VALUE"""),150)</f>
        <v>150</v>
      </c>
      <c r="AD127" s="1">
        <f ca="1">IFERROR(__xludf.DUMMYFUNCTION("""COMPUTED_VALUE"""),57)</f>
        <v>57</v>
      </c>
      <c r="AE127" s="1">
        <f ca="1">IFERROR(__xludf.DUMMYFUNCTION("""COMPUTED_VALUE"""),414)</f>
        <v>414</v>
      </c>
      <c r="AF127" s="1">
        <f ca="1">IFERROR(__xludf.DUMMYFUNCTION("""COMPUTED_VALUE"""),570)</f>
        <v>570</v>
      </c>
    </row>
    <row r="128" spans="1:32" ht="12.5" x14ac:dyDescent="0.25">
      <c r="A128" s="1" t="str">
        <f ca="1">IFERROR(__xludf.DUMMYFUNCTION("""COMPUTED_VALUE"""),"High Point")</f>
        <v>High Point</v>
      </c>
      <c r="B128" s="1">
        <f ca="1">IFERROR(__xludf.DUMMYFUNCTION("""COMPUTED_VALUE"""),31)</f>
        <v>31</v>
      </c>
      <c r="C128" s="1">
        <f ca="1">IFERROR(__xludf.DUMMYFUNCTION("""COMPUTED_VALUE"""),15)</f>
        <v>15</v>
      </c>
      <c r="D128" s="1">
        <f ca="1">IFERROR(__xludf.DUMMYFUNCTION("""COMPUTED_VALUE"""),16)</f>
        <v>16</v>
      </c>
      <c r="E128" s="1">
        <f ca="1">IFERROR(__xludf.DUMMYFUNCTION("""COMPUTED_VALUE"""),0.484)</f>
        <v>0.48399999999999999</v>
      </c>
      <c r="F128" s="1">
        <f ca="1">IFERROR(__xludf.DUMMYFUNCTION("""COMPUTED_VALUE"""),-9.06)</f>
        <v>-9.06</v>
      </c>
      <c r="G128" s="1">
        <f ca="1">IFERROR(__xludf.DUMMYFUNCTION("""COMPUTED_VALUE"""),-6.28)</f>
        <v>-6.28</v>
      </c>
      <c r="H128" s="1">
        <f ca="1">IFERROR(__xludf.DUMMYFUNCTION("""COMPUTED_VALUE"""),9)</f>
        <v>9</v>
      </c>
      <c r="I128" s="1">
        <f ca="1">IFERROR(__xludf.DUMMYFUNCTION("""COMPUTED_VALUE"""),9)</f>
        <v>9</v>
      </c>
      <c r="J128" s="1">
        <f ca="1">IFERROR(__xludf.DUMMYFUNCTION("""COMPUTED_VALUE"""),8)</f>
        <v>8</v>
      </c>
      <c r="K128" s="1">
        <f ca="1">IFERROR(__xludf.DUMMYFUNCTION("""COMPUTED_VALUE"""),8)</f>
        <v>8</v>
      </c>
      <c r="L128" s="1">
        <f ca="1">IFERROR(__xludf.DUMMYFUNCTION("""COMPUTED_VALUE"""),7)</f>
        <v>7</v>
      </c>
      <c r="M128" s="1">
        <f ca="1">IFERROR(__xludf.DUMMYFUNCTION("""COMPUTED_VALUE"""),7)</f>
        <v>7</v>
      </c>
      <c r="N128" s="1">
        <f ca="1">IFERROR(__xludf.DUMMYFUNCTION("""COMPUTED_VALUE"""),2133)</f>
        <v>2133</v>
      </c>
      <c r="O128" s="1">
        <f ca="1">IFERROR(__xludf.DUMMYFUNCTION("""COMPUTED_VALUE"""),2136)</f>
        <v>2136</v>
      </c>
      <c r="P128" s="1">
        <f ca="1">IFERROR(__xludf.DUMMYFUNCTION("""COMPUTED_VALUE"""),1260)</f>
        <v>1260</v>
      </c>
      <c r="Q128" s="1">
        <f ca="1">IFERROR(__xludf.DUMMYFUNCTION("""COMPUTED_VALUE"""),732)</f>
        <v>732</v>
      </c>
      <c r="R128" s="1">
        <f ca="1">IFERROR(__xludf.DUMMYFUNCTION("""COMPUTED_VALUE"""),1693)</f>
        <v>1693</v>
      </c>
      <c r="S128" s="1">
        <f ca="1">IFERROR(__xludf.DUMMYFUNCTION("""COMPUTED_VALUE"""),0.432)</f>
        <v>0.432</v>
      </c>
      <c r="T128" s="1">
        <f ca="1">IFERROR(__xludf.DUMMYFUNCTION("""COMPUTED_VALUE"""),196)</f>
        <v>196</v>
      </c>
      <c r="U128" s="1">
        <f ca="1">IFERROR(__xludf.DUMMYFUNCTION("""COMPUTED_VALUE"""),520)</f>
        <v>520</v>
      </c>
      <c r="V128" s="1">
        <f ca="1">IFERROR(__xludf.DUMMYFUNCTION("""COMPUTED_VALUE"""),0.377)</f>
        <v>0.377</v>
      </c>
      <c r="W128" s="1">
        <f ca="1">IFERROR(__xludf.DUMMYFUNCTION("""COMPUTED_VALUE"""),473)</f>
        <v>473</v>
      </c>
      <c r="X128" s="1">
        <f ca="1">IFERROR(__xludf.DUMMYFUNCTION("""COMPUTED_VALUE"""),636)</f>
        <v>636</v>
      </c>
      <c r="Y128" s="1">
        <f ca="1">IFERROR(__xludf.DUMMYFUNCTION("""COMPUTED_VALUE"""),0.744)</f>
        <v>0.74399999999999999</v>
      </c>
      <c r="Z128" s="1">
        <f ca="1">IFERROR(__xludf.DUMMYFUNCTION("""COMPUTED_VALUE"""),307)</f>
        <v>307</v>
      </c>
      <c r="AA128" s="1">
        <f ca="1">IFERROR(__xludf.DUMMYFUNCTION("""COMPUTED_VALUE"""),1088)</f>
        <v>1088</v>
      </c>
      <c r="AB128" s="1">
        <f ca="1">IFERROR(__xludf.DUMMYFUNCTION("""COMPUTED_VALUE"""),389)</f>
        <v>389</v>
      </c>
      <c r="AC128" s="1">
        <f ca="1">IFERROR(__xludf.DUMMYFUNCTION("""COMPUTED_VALUE"""),184)</f>
        <v>184</v>
      </c>
      <c r="AD128" s="1">
        <f ca="1">IFERROR(__xludf.DUMMYFUNCTION("""COMPUTED_VALUE"""),96)</f>
        <v>96</v>
      </c>
      <c r="AE128" s="1">
        <f ca="1">IFERROR(__xludf.DUMMYFUNCTION("""COMPUTED_VALUE"""),407)</f>
        <v>407</v>
      </c>
      <c r="AF128" s="1">
        <f ca="1">IFERROR(__xludf.DUMMYFUNCTION("""COMPUTED_VALUE"""),539)</f>
        <v>539</v>
      </c>
    </row>
    <row r="129" spans="1:32" ht="12.5" x14ac:dyDescent="0.25">
      <c r="A129" s="1" t="str">
        <f ca="1">IFERROR(__xludf.DUMMYFUNCTION("""COMPUTED_VALUE"""),"Hofstra")</f>
        <v>Hofstra</v>
      </c>
      <c r="B129" s="1">
        <f ca="1">IFERROR(__xludf.DUMMYFUNCTION("""COMPUTED_VALUE"""),32)</f>
        <v>32</v>
      </c>
      <c r="C129" s="1">
        <f ca="1">IFERROR(__xludf.DUMMYFUNCTION("""COMPUTED_VALUE"""),15)</f>
        <v>15</v>
      </c>
      <c r="D129" s="1">
        <f ca="1">IFERROR(__xludf.DUMMYFUNCTION("""COMPUTED_VALUE"""),17)</f>
        <v>17</v>
      </c>
      <c r="E129" s="1">
        <f ca="1">IFERROR(__xludf.DUMMYFUNCTION("""COMPUTED_VALUE"""),0.469)</f>
        <v>0.46899999999999997</v>
      </c>
      <c r="F129" s="1">
        <f ca="1">IFERROR(__xludf.DUMMYFUNCTION("""COMPUTED_VALUE"""),-2.35)</f>
        <v>-2.35</v>
      </c>
      <c r="G129" s="1">
        <f ca="1">IFERROR(__xludf.DUMMYFUNCTION("""COMPUTED_VALUE"""),-1.9)</f>
        <v>-1.9</v>
      </c>
      <c r="H129" s="1">
        <f ca="1">IFERROR(__xludf.DUMMYFUNCTION("""COMPUTED_VALUE"""),7)</f>
        <v>7</v>
      </c>
      <c r="I129" s="1">
        <f ca="1">IFERROR(__xludf.DUMMYFUNCTION("""COMPUTED_VALUE"""),11)</f>
        <v>11</v>
      </c>
      <c r="J129" s="1">
        <f ca="1">IFERROR(__xludf.DUMMYFUNCTION("""COMPUTED_VALUE"""),7)</f>
        <v>7</v>
      </c>
      <c r="K129" s="1">
        <f ca="1">IFERROR(__xludf.DUMMYFUNCTION("""COMPUTED_VALUE"""),7)</f>
        <v>7</v>
      </c>
      <c r="L129" s="1">
        <f ca="1">IFERROR(__xludf.DUMMYFUNCTION("""COMPUTED_VALUE"""),6)</f>
        <v>6</v>
      </c>
      <c r="M129" s="1">
        <f ca="1">IFERROR(__xludf.DUMMYFUNCTION("""COMPUTED_VALUE"""),7)</f>
        <v>7</v>
      </c>
      <c r="N129" s="1">
        <f ca="1">IFERROR(__xludf.DUMMYFUNCTION("""COMPUTED_VALUE"""),2473)</f>
        <v>2473</v>
      </c>
      <c r="O129" s="1">
        <f ca="1">IFERROR(__xludf.DUMMYFUNCTION("""COMPUTED_VALUE"""),2454)</f>
        <v>2454</v>
      </c>
      <c r="P129" s="1">
        <f ca="1">IFERROR(__xludf.DUMMYFUNCTION("""COMPUTED_VALUE"""),1290)</f>
        <v>1290</v>
      </c>
      <c r="Q129" s="1">
        <f ca="1">IFERROR(__xludf.DUMMYFUNCTION("""COMPUTED_VALUE"""),846)</f>
        <v>846</v>
      </c>
      <c r="R129" s="1">
        <f ca="1">IFERROR(__xludf.DUMMYFUNCTION("""COMPUTED_VALUE"""),1908)</f>
        <v>1908</v>
      </c>
      <c r="S129" s="1">
        <f ca="1">IFERROR(__xludf.DUMMYFUNCTION("""COMPUTED_VALUE"""),0.443)</f>
        <v>0.443</v>
      </c>
      <c r="T129" s="1">
        <f ca="1">IFERROR(__xludf.DUMMYFUNCTION("""COMPUTED_VALUE"""),291)</f>
        <v>291</v>
      </c>
      <c r="U129" s="1">
        <f ca="1">IFERROR(__xludf.DUMMYFUNCTION("""COMPUTED_VALUE"""),792)</f>
        <v>792</v>
      </c>
      <c r="V129" s="1">
        <f ca="1">IFERROR(__xludf.DUMMYFUNCTION("""COMPUTED_VALUE"""),0.367)</f>
        <v>0.36699999999999999</v>
      </c>
      <c r="W129" s="1">
        <f ca="1">IFERROR(__xludf.DUMMYFUNCTION("""COMPUTED_VALUE"""),490)</f>
        <v>490</v>
      </c>
      <c r="X129" s="1">
        <f ca="1">IFERROR(__xludf.DUMMYFUNCTION("""COMPUTED_VALUE"""),716)</f>
        <v>716</v>
      </c>
      <c r="Y129" s="1">
        <f ca="1">IFERROR(__xludf.DUMMYFUNCTION("""COMPUTED_VALUE"""),0.684)</f>
        <v>0.68400000000000005</v>
      </c>
      <c r="Z129" s="1">
        <f ca="1">IFERROR(__xludf.DUMMYFUNCTION("""COMPUTED_VALUE"""),371)</f>
        <v>371</v>
      </c>
      <c r="AA129" s="1">
        <f ca="1">IFERROR(__xludf.DUMMYFUNCTION("""COMPUTED_VALUE"""),1164)</f>
        <v>1164</v>
      </c>
      <c r="AB129" s="1">
        <f ca="1">IFERROR(__xludf.DUMMYFUNCTION("""COMPUTED_VALUE"""),419)</f>
        <v>419</v>
      </c>
      <c r="AC129" s="1">
        <f ca="1">IFERROR(__xludf.DUMMYFUNCTION("""COMPUTED_VALUE"""),142)</f>
        <v>142</v>
      </c>
      <c r="AD129" s="1">
        <f ca="1">IFERROR(__xludf.DUMMYFUNCTION("""COMPUTED_VALUE"""),82)</f>
        <v>82</v>
      </c>
      <c r="AE129" s="1">
        <f ca="1">IFERROR(__xludf.DUMMYFUNCTION("""COMPUTED_VALUE"""),341)</f>
        <v>341</v>
      </c>
      <c r="AF129" s="1">
        <f ca="1">IFERROR(__xludf.DUMMYFUNCTION("""COMPUTED_VALUE"""),544)</f>
        <v>544</v>
      </c>
    </row>
    <row r="130" spans="1:32" ht="12.5" x14ac:dyDescent="0.25">
      <c r="A130" s="1" t="str">
        <f ca="1">IFERROR(__xludf.DUMMYFUNCTION("""COMPUTED_VALUE"""),"Holy Cross")</f>
        <v>Holy Cross</v>
      </c>
      <c r="B130" s="1">
        <f ca="1">IFERROR(__xludf.DUMMYFUNCTION("""COMPUTED_VALUE"""),32)</f>
        <v>32</v>
      </c>
      <c r="C130" s="1">
        <f ca="1">IFERROR(__xludf.DUMMYFUNCTION("""COMPUTED_VALUE"""),15)</f>
        <v>15</v>
      </c>
      <c r="D130" s="1">
        <f ca="1">IFERROR(__xludf.DUMMYFUNCTION("""COMPUTED_VALUE"""),17)</f>
        <v>17</v>
      </c>
      <c r="E130" s="1">
        <f ca="1">IFERROR(__xludf.DUMMYFUNCTION("""COMPUTED_VALUE"""),0.469)</f>
        <v>0.46899999999999997</v>
      </c>
      <c r="F130" s="1">
        <f ca="1">IFERROR(__xludf.DUMMYFUNCTION("""COMPUTED_VALUE"""),-5.26)</f>
        <v>-5.26</v>
      </c>
      <c r="G130" s="1">
        <f ca="1">IFERROR(__xludf.DUMMYFUNCTION("""COMPUTED_VALUE"""),-3.51)</f>
        <v>-3.51</v>
      </c>
      <c r="H130" s="1">
        <f ca="1">IFERROR(__xludf.DUMMYFUNCTION("""COMPUTED_VALUE"""),9)</f>
        <v>9</v>
      </c>
      <c r="I130" s="1">
        <f ca="1">IFERROR(__xludf.DUMMYFUNCTION("""COMPUTED_VALUE"""),9)</f>
        <v>9</v>
      </c>
      <c r="J130" s="1">
        <f ca="1">IFERROR(__xludf.DUMMYFUNCTION("""COMPUTED_VALUE"""),9)</f>
        <v>9</v>
      </c>
      <c r="K130" s="1">
        <f ca="1">IFERROR(__xludf.DUMMYFUNCTION("""COMPUTED_VALUE"""),5)</f>
        <v>5</v>
      </c>
      <c r="L130" s="1">
        <f ca="1">IFERROR(__xludf.DUMMYFUNCTION("""COMPUTED_VALUE"""),6)</f>
        <v>6</v>
      </c>
      <c r="M130" s="1">
        <f ca="1">IFERROR(__xludf.DUMMYFUNCTION("""COMPUTED_VALUE"""),12)</f>
        <v>12</v>
      </c>
      <c r="N130" s="1">
        <f ca="1">IFERROR(__xludf.DUMMYFUNCTION("""COMPUTED_VALUE"""),1932)</f>
        <v>1932</v>
      </c>
      <c r="O130" s="1">
        <f ca="1">IFERROR(__xludf.DUMMYFUNCTION("""COMPUTED_VALUE"""),1988)</f>
        <v>1988</v>
      </c>
      <c r="P130" s="1">
        <f ca="1">IFERROR(__xludf.DUMMYFUNCTION("""COMPUTED_VALUE"""),1285)</f>
        <v>1285</v>
      </c>
      <c r="Q130" s="1">
        <f ca="1">IFERROR(__xludf.DUMMYFUNCTION("""COMPUTED_VALUE"""),663)</f>
        <v>663</v>
      </c>
      <c r="R130" s="1">
        <f ca="1">IFERROR(__xludf.DUMMYFUNCTION("""COMPUTED_VALUE"""),1552)</f>
        <v>1552</v>
      </c>
      <c r="S130" s="1">
        <f ca="1">IFERROR(__xludf.DUMMYFUNCTION("""COMPUTED_VALUE"""),0.427)</f>
        <v>0.42699999999999999</v>
      </c>
      <c r="T130" s="1">
        <f ca="1">IFERROR(__xludf.DUMMYFUNCTION("""COMPUTED_VALUE"""),236)</f>
        <v>236</v>
      </c>
      <c r="U130" s="1">
        <f ca="1">IFERROR(__xludf.DUMMYFUNCTION("""COMPUTED_VALUE"""),685)</f>
        <v>685</v>
      </c>
      <c r="V130" s="1">
        <f ca="1">IFERROR(__xludf.DUMMYFUNCTION("""COMPUTED_VALUE"""),0.345)</f>
        <v>0.34499999999999997</v>
      </c>
      <c r="W130" s="1">
        <f ca="1">IFERROR(__xludf.DUMMYFUNCTION("""COMPUTED_VALUE"""),370)</f>
        <v>370</v>
      </c>
      <c r="X130" s="1">
        <f ca="1">IFERROR(__xludf.DUMMYFUNCTION("""COMPUTED_VALUE"""),534)</f>
        <v>534</v>
      </c>
      <c r="Y130" s="1">
        <f ca="1">IFERROR(__xludf.DUMMYFUNCTION("""COMPUTED_VALUE"""),0.693)</f>
        <v>0.69299999999999995</v>
      </c>
      <c r="Z130" s="1">
        <f ca="1">IFERROR(__xludf.DUMMYFUNCTION("""COMPUTED_VALUE"""),189)</f>
        <v>189</v>
      </c>
      <c r="AA130" s="1">
        <f ca="1">IFERROR(__xludf.DUMMYFUNCTION("""COMPUTED_VALUE"""),811)</f>
        <v>811</v>
      </c>
      <c r="AB130" s="1">
        <f ca="1">IFERROR(__xludf.DUMMYFUNCTION("""COMPUTED_VALUE"""),426)</f>
        <v>426</v>
      </c>
      <c r="AC130" s="1">
        <f ca="1">IFERROR(__xludf.DUMMYFUNCTION("""COMPUTED_VALUE"""),302)</f>
        <v>302</v>
      </c>
      <c r="AD130" s="1">
        <f ca="1">IFERROR(__xludf.DUMMYFUNCTION("""COMPUTED_VALUE"""),76)</f>
        <v>76</v>
      </c>
      <c r="AE130" s="1">
        <f ca="1">IFERROR(__xludf.DUMMYFUNCTION("""COMPUTED_VALUE"""),351)</f>
        <v>351</v>
      </c>
      <c r="AF130" s="1">
        <f ca="1">IFERROR(__xludf.DUMMYFUNCTION("""COMPUTED_VALUE"""),515)</f>
        <v>515</v>
      </c>
    </row>
    <row r="131" spans="1:32" ht="12.5" x14ac:dyDescent="0.25">
      <c r="A131" s="1" t="str">
        <f ca="1">IFERROR(__xludf.DUMMYFUNCTION("""COMPUTED_VALUE"""),"Houston Baptist")</f>
        <v>Houston Baptist</v>
      </c>
      <c r="B131" s="1">
        <f ca="1">IFERROR(__xludf.DUMMYFUNCTION("""COMPUTED_VALUE"""),31)</f>
        <v>31</v>
      </c>
      <c r="C131" s="1">
        <f ca="1">IFERROR(__xludf.DUMMYFUNCTION("""COMPUTED_VALUE"""),17)</f>
        <v>17</v>
      </c>
      <c r="D131" s="1">
        <f ca="1">IFERROR(__xludf.DUMMYFUNCTION("""COMPUTED_VALUE"""),14)</f>
        <v>14</v>
      </c>
      <c r="E131" s="1">
        <f ca="1">IFERROR(__xludf.DUMMYFUNCTION("""COMPUTED_VALUE"""),0.548)</f>
        <v>0.54800000000000004</v>
      </c>
      <c r="F131" s="1">
        <f ca="1">IFERROR(__xludf.DUMMYFUNCTION("""COMPUTED_VALUE"""),-7.3)</f>
        <v>-7.3</v>
      </c>
      <c r="G131" s="1">
        <f ca="1">IFERROR(__xludf.DUMMYFUNCTION("""COMPUTED_VALUE"""),-4.44)</f>
        <v>-4.4400000000000004</v>
      </c>
      <c r="H131" s="1">
        <f ca="1">IFERROR(__xludf.DUMMYFUNCTION("""COMPUTED_VALUE"""),12)</f>
        <v>12</v>
      </c>
      <c r="I131" s="1">
        <f ca="1">IFERROR(__xludf.DUMMYFUNCTION("""COMPUTED_VALUE"""),6)</f>
        <v>6</v>
      </c>
      <c r="J131" s="1">
        <f ca="1">IFERROR(__xludf.DUMMYFUNCTION("""COMPUTED_VALUE"""),13)</f>
        <v>13</v>
      </c>
      <c r="K131" s="1">
        <f ca="1">IFERROR(__xludf.DUMMYFUNCTION("""COMPUTED_VALUE"""),1)</f>
        <v>1</v>
      </c>
      <c r="L131" s="1">
        <f ca="1">IFERROR(__xludf.DUMMYFUNCTION("""COMPUTED_VALUE"""),4)</f>
        <v>4</v>
      </c>
      <c r="M131" s="1">
        <f ca="1">IFERROR(__xludf.DUMMYFUNCTION("""COMPUTED_VALUE"""),12)</f>
        <v>12</v>
      </c>
      <c r="N131" s="1">
        <f ca="1">IFERROR(__xludf.DUMMYFUNCTION("""COMPUTED_VALUE"""),2441)</f>
        <v>2441</v>
      </c>
      <c r="O131" s="1">
        <f ca="1">IFERROR(__xludf.DUMMYFUNCTION("""COMPUTED_VALUE"""),2398)</f>
        <v>2398</v>
      </c>
      <c r="P131" s="1">
        <f ca="1">IFERROR(__xludf.DUMMYFUNCTION("""COMPUTED_VALUE"""),1240)</f>
        <v>1240</v>
      </c>
      <c r="Q131" s="1">
        <f ca="1">IFERROR(__xludf.DUMMYFUNCTION("""COMPUTED_VALUE"""),871)</f>
        <v>871</v>
      </c>
      <c r="R131" s="1">
        <f ca="1">IFERROR(__xludf.DUMMYFUNCTION("""COMPUTED_VALUE"""),1924)</f>
        <v>1924</v>
      </c>
      <c r="S131" s="1">
        <f ca="1">IFERROR(__xludf.DUMMYFUNCTION("""COMPUTED_VALUE"""),0.453)</f>
        <v>0.45300000000000001</v>
      </c>
      <c r="T131" s="1">
        <f ca="1">IFERROR(__xludf.DUMMYFUNCTION("""COMPUTED_VALUE"""),195)</f>
        <v>195</v>
      </c>
      <c r="U131" s="1">
        <f ca="1">IFERROR(__xludf.DUMMYFUNCTION("""COMPUTED_VALUE"""),574)</f>
        <v>574</v>
      </c>
      <c r="V131" s="1">
        <f ca="1">IFERROR(__xludf.DUMMYFUNCTION("""COMPUTED_VALUE"""),0.34)</f>
        <v>0.34</v>
      </c>
      <c r="W131" s="1">
        <f ca="1">IFERROR(__xludf.DUMMYFUNCTION("""COMPUTED_VALUE"""),504)</f>
        <v>504</v>
      </c>
      <c r="X131" s="1">
        <f ca="1">IFERROR(__xludf.DUMMYFUNCTION("""COMPUTED_VALUE"""),721)</f>
        <v>721</v>
      </c>
      <c r="Y131" s="1">
        <f ca="1">IFERROR(__xludf.DUMMYFUNCTION("""COMPUTED_VALUE"""),0.699)</f>
        <v>0.69899999999999995</v>
      </c>
      <c r="Z131" s="1">
        <f ca="1">IFERROR(__xludf.DUMMYFUNCTION("""COMPUTED_VALUE"""),425)</f>
        <v>425</v>
      </c>
      <c r="AA131" s="1">
        <f ca="1">IFERROR(__xludf.DUMMYFUNCTION("""COMPUTED_VALUE"""),1199)</f>
        <v>1199</v>
      </c>
      <c r="AB131" s="1">
        <f ca="1">IFERROR(__xludf.DUMMYFUNCTION("""COMPUTED_VALUE"""),457)</f>
        <v>457</v>
      </c>
      <c r="AC131" s="1">
        <f ca="1">IFERROR(__xludf.DUMMYFUNCTION("""COMPUTED_VALUE"""),195)</f>
        <v>195</v>
      </c>
      <c r="AD131" s="1">
        <f ca="1">IFERROR(__xludf.DUMMYFUNCTION("""COMPUTED_VALUE"""),81)</f>
        <v>81</v>
      </c>
      <c r="AE131" s="1">
        <f ca="1">IFERROR(__xludf.DUMMYFUNCTION("""COMPUTED_VALUE"""),410)</f>
        <v>410</v>
      </c>
      <c r="AF131" s="1">
        <f ca="1">IFERROR(__xludf.DUMMYFUNCTION("""COMPUTED_VALUE"""),597)</f>
        <v>597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IFERROR(__xludf.DUMMYFUNCTION("""COMPUTED_VALUE"""),"Houston")</f>
        <v>Houston</v>
      </c>
      <c r="B134" s="1">
        <f ca="1">IFERROR(__xludf.DUMMYFUNCTION("""COMPUTED_VALUE"""),32)</f>
        <v>32</v>
      </c>
      <c r="C134" s="1">
        <f ca="1">IFERROR(__xludf.DUMMYFUNCTION("""COMPUTED_VALUE"""),21)</f>
        <v>21</v>
      </c>
      <c r="D134" s="1">
        <f ca="1">IFERROR(__xludf.DUMMYFUNCTION("""COMPUTED_VALUE"""),11)</f>
        <v>11</v>
      </c>
      <c r="E134" s="1">
        <f ca="1">IFERROR(__xludf.DUMMYFUNCTION("""COMPUTED_VALUE"""),0.656)</f>
        <v>0.65600000000000003</v>
      </c>
      <c r="F134" s="1">
        <f ca="1">IFERROR(__xludf.DUMMYFUNCTION("""COMPUTED_VALUE"""),12.2)</f>
        <v>12.2</v>
      </c>
      <c r="G134" s="1">
        <f ca="1">IFERROR(__xludf.DUMMYFUNCTION("""COMPUTED_VALUE"""),3.42)</f>
        <v>3.42</v>
      </c>
      <c r="H134" s="1">
        <f ca="1">IFERROR(__xludf.DUMMYFUNCTION("""COMPUTED_VALUE"""),12)</f>
        <v>12</v>
      </c>
      <c r="I134" s="1">
        <f ca="1">IFERROR(__xludf.DUMMYFUNCTION("""COMPUTED_VALUE"""),6)</f>
        <v>6</v>
      </c>
      <c r="J134" s="1">
        <f ca="1">IFERROR(__xludf.DUMMYFUNCTION("""COMPUTED_VALUE"""),12)</f>
        <v>12</v>
      </c>
      <c r="K134" s="1">
        <f ca="1">IFERROR(__xludf.DUMMYFUNCTION("""COMPUTED_VALUE"""),4)</f>
        <v>4</v>
      </c>
      <c r="L134" s="1">
        <f ca="1">IFERROR(__xludf.DUMMYFUNCTION("""COMPUTED_VALUE"""),6)</f>
        <v>6</v>
      </c>
      <c r="M134" s="1">
        <f ca="1">IFERROR(__xludf.DUMMYFUNCTION("""COMPUTED_VALUE"""),5)</f>
        <v>5</v>
      </c>
      <c r="N134" s="1">
        <f ca="1">IFERROR(__xludf.DUMMYFUNCTION("""COMPUTED_VALUE"""),2358)</f>
        <v>2358</v>
      </c>
      <c r="O134" s="1">
        <f ca="1">IFERROR(__xludf.DUMMYFUNCTION("""COMPUTED_VALUE"""),2077)</f>
        <v>2077</v>
      </c>
      <c r="P134" s="1">
        <f ca="1">IFERROR(__xludf.DUMMYFUNCTION("""COMPUTED_VALUE"""),1285)</f>
        <v>1285</v>
      </c>
      <c r="Q134" s="1">
        <f ca="1">IFERROR(__xludf.DUMMYFUNCTION("""COMPUTED_VALUE"""),850)</f>
        <v>850</v>
      </c>
      <c r="R134" s="1">
        <f ca="1">IFERROR(__xludf.DUMMYFUNCTION("""COMPUTED_VALUE"""),1902)</f>
        <v>1902</v>
      </c>
      <c r="S134" s="1">
        <f ca="1">IFERROR(__xludf.DUMMYFUNCTION("""COMPUTED_VALUE"""),0.447)</f>
        <v>0.44700000000000001</v>
      </c>
      <c r="T134" s="1">
        <f ca="1">IFERROR(__xludf.DUMMYFUNCTION("""COMPUTED_VALUE"""),268)</f>
        <v>268</v>
      </c>
      <c r="U134" s="1">
        <f ca="1">IFERROR(__xludf.DUMMYFUNCTION("""COMPUTED_VALUE"""),681)</f>
        <v>681</v>
      </c>
      <c r="V134" s="1">
        <f ca="1">IFERROR(__xludf.DUMMYFUNCTION("""COMPUTED_VALUE"""),0.394)</f>
        <v>0.39400000000000002</v>
      </c>
      <c r="W134" s="1">
        <f ca="1">IFERROR(__xludf.DUMMYFUNCTION("""COMPUTED_VALUE"""),390)</f>
        <v>390</v>
      </c>
      <c r="X134" s="1">
        <f ca="1">IFERROR(__xludf.DUMMYFUNCTION("""COMPUTED_VALUE"""),544)</f>
        <v>544</v>
      </c>
      <c r="Y134" s="1">
        <f ca="1">IFERROR(__xludf.DUMMYFUNCTION("""COMPUTED_VALUE"""),0.717)</f>
        <v>0.71699999999999997</v>
      </c>
      <c r="Z134" s="1">
        <f ca="1">IFERROR(__xludf.DUMMYFUNCTION("""COMPUTED_VALUE"""),362)</f>
        <v>362</v>
      </c>
      <c r="AA134" s="1">
        <f ca="1">IFERROR(__xludf.DUMMYFUNCTION("""COMPUTED_VALUE"""),1138)</f>
        <v>1138</v>
      </c>
      <c r="AB134" s="1">
        <f ca="1">IFERROR(__xludf.DUMMYFUNCTION("""COMPUTED_VALUE"""),406)</f>
        <v>406</v>
      </c>
      <c r="AC134" s="1">
        <f ca="1">IFERROR(__xludf.DUMMYFUNCTION("""COMPUTED_VALUE"""),170)</f>
        <v>170</v>
      </c>
      <c r="AD134" s="1">
        <f ca="1">IFERROR(__xludf.DUMMYFUNCTION("""COMPUTED_VALUE"""),113)</f>
        <v>113</v>
      </c>
      <c r="AE134" s="1">
        <f ca="1">IFERROR(__xludf.DUMMYFUNCTION("""COMPUTED_VALUE"""),315)</f>
        <v>315</v>
      </c>
      <c r="AF134" s="1">
        <f ca="1">IFERROR(__xludf.DUMMYFUNCTION("""COMPUTED_VALUE"""),601)</f>
        <v>601</v>
      </c>
    </row>
    <row r="135" spans="1:32" ht="12.5" x14ac:dyDescent="0.25">
      <c r="A135" s="1" t="str">
        <f ca="1">IFERROR(__xludf.DUMMYFUNCTION("""COMPUTED_VALUE"""),"Howard")</f>
        <v>Howard</v>
      </c>
      <c r="B135" s="1">
        <f ca="1">IFERROR(__xludf.DUMMYFUNCTION("""COMPUTED_VALUE"""),34)</f>
        <v>34</v>
      </c>
      <c r="C135" s="1">
        <f ca="1">IFERROR(__xludf.DUMMYFUNCTION("""COMPUTED_VALUE"""),10)</f>
        <v>10</v>
      </c>
      <c r="D135" s="1">
        <f ca="1">IFERROR(__xludf.DUMMYFUNCTION("""COMPUTED_VALUE"""),24)</f>
        <v>24</v>
      </c>
      <c r="E135" s="1">
        <f ca="1">IFERROR(__xludf.DUMMYFUNCTION("""COMPUTED_VALUE"""),0.294)</f>
        <v>0.29399999999999998</v>
      </c>
      <c r="F135" s="1">
        <f ca="1">IFERROR(__xludf.DUMMYFUNCTION("""COMPUTED_VALUE"""),-16.97)</f>
        <v>-16.97</v>
      </c>
      <c r="G135" s="1">
        <f ca="1">IFERROR(__xludf.DUMMYFUNCTION("""COMPUTED_VALUE"""),-7.97)</f>
        <v>-7.97</v>
      </c>
      <c r="H135" s="1">
        <f ca="1">IFERROR(__xludf.DUMMYFUNCTION("""COMPUTED_VALUE"""),5)</f>
        <v>5</v>
      </c>
      <c r="I135" s="1">
        <f ca="1">IFERROR(__xludf.DUMMYFUNCTION("""COMPUTED_VALUE"""),11)</f>
        <v>11</v>
      </c>
      <c r="J135" s="1">
        <f ca="1">IFERROR(__xludf.DUMMYFUNCTION("""COMPUTED_VALUE"""),6)</f>
        <v>6</v>
      </c>
      <c r="K135" s="1">
        <f ca="1">IFERROR(__xludf.DUMMYFUNCTION("""COMPUTED_VALUE"""),6)</f>
        <v>6</v>
      </c>
      <c r="L135" s="1">
        <f ca="1">IFERROR(__xludf.DUMMYFUNCTION("""COMPUTED_VALUE"""),2)</f>
        <v>2</v>
      </c>
      <c r="M135" s="1">
        <f ca="1">IFERROR(__xludf.DUMMYFUNCTION("""COMPUTED_VALUE"""),16)</f>
        <v>16</v>
      </c>
      <c r="N135" s="1">
        <f ca="1">IFERROR(__xludf.DUMMYFUNCTION("""COMPUTED_VALUE"""),2163)</f>
        <v>2163</v>
      </c>
      <c r="O135" s="1">
        <f ca="1">IFERROR(__xludf.DUMMYFUNCTION("""COMPUTED_VALUE"""),2433)</f>
        <v>2433</v>
      </c>
      <c r="P135" s="1">
        <f ca="1">IFERROR(__xludf.DUMMYFUNCTION("""COMPUTED_VALUE"""),1360)</f>
        <v>1360</v>
      </c>
      <c r="Q135" s="1">
        <f ca="1">IFERROR(__xludf.DUMMYFUNCTION("""COMPUTED_VALUE"""),723)</f>
        <v>723</v>
      </c>
      <c r="R135" s="1">
        <f ca="1">IFERROR(__xludf.DUMMYFUNCTION("""COMPUTED_VALUE"""),1856)</f>
        <v>1856</v>
      </c>
      <c r="S135" s="1">
        <f ca="1">IFERROR(__xludf.DUMMYFUNCTION("""COMPUTED_VALUE"""),0.39)</f>
        <v>0.39</v>
      </c>
      <c r="T135" s="1">
        <f ca="1">IFERROR(__xludf.DUMMYFUNCTION("""COMPUTED_VALUE"""),172)</f>
        <v>172</v>
      </c>
      <c r="U135" s="1">
        <f ca="1">IFERROR(__xludf.DUMMYFUNCTION("""COMPUTED_VALUE"""),591)</f>
        <v>591</v>
      </c>
      <c r="V135" s="1">
        <f ca="1">IFERROR(__xludf.DUMMYFUNCTION("""COMPUTED_VALUE"""),0.291)</f>
        <v>0.29099999999999998</v>
      </c>
      <c r="W135" s="1">
        <f ca="1">IFERROR(__xludf.DUMMYFUNCTION("""COMPUTED_VALUE"""),547)</f>
        <v>547</v>
      </c>
      <c r="X135" s="1">
        <f ca="1">IFERROR(__xludf.DUMMYFUNCTION("""COMPUTED_VALUE"""),833)</f>
        <v>833</v>
      </c>
      <c r="Y135" s="1">
        <f ca="1">IFERROR(__xludf.DUMMYFUNCTION("""COMPUTED_VALUE"""),0.657)</f>
        <v>0.65700000000000003</v>
      </c>
      <c r="Z135" s="1">
        <f ca="1">IFERROR(__xludf.DUMMYFUNCTION("""COMPUTED_VALUE"""),420)</f>
        <v>420</v>
      </c>
      <c r="AA135" s="1">
        <f ca="1">IFERROR(__xludf.DUMMYFUNCTION("""COMPUTED_VALUE"""),1257)</f>
        <v>1257</v>
      </c>
      <c r="AB135" s="1">
        <f ca="1">IFERROR(__xludf.DUMMYFUNCTION("""COMPUTED_VALUE"""),307)</f>
        <v>307</v>
      </c>
      <c r="AC135" s="1">
        <f ca="1">IFERROR(__xludf.DUMMYFUNCTION("""COMPUTED_VALUE"""),179)</f>
        <v>179</v>
      </c>
      <c r="AD135" s="1">
        <f ca="1">IFERROR(__xludf.DUMMYFUNCTION("""COMPUTED_VALUE"""),126)</f>
        <v>126</v>
      </c>
      <c r="AE135" s="1">
        <f ca="1">IFERROR(__xludf.DUMMYFUNCTION("""COMPUTED_VALUE"""),500)</f>
        <v>500</v>
      </c>
      <c r="AF135" s="1">
        <f ca="1">IFERROR(__xludf.DUMMYFUNCTION("""COMPUTED_VALUE"""),636)</f>
        <v>636</v>
      </c>
    </row>
    <row r="136" spans="1:32" ht="12.5" x14ac:dyDescent="0.25">
      <c r="A136" s="1" t="str">
        <f ca="1">IFERROR(__xludf.DUMMYFUNCTION("""COMPUTED_VALUE"""),"Idaho State")</f>
        <v>Idaho State</v>
      </c>
      <c r="B136" s="1">
        <f ca="1">IFERROR(__xludf.DUMMYFUNCTION("""COMPUTED_VALUE"""),31)</f>
        <v>31</v>
      </c>
      <c r="C136" s="1">
        <f ca="1">IFERROR(__xludf.DUMMYFUNCTION("""COMPUTED_VALUE"""),5)</f>
        <v>5</v>
      </c>
      <c r="D136" s="1">
        <f ca="1">IFERROR(__xludf.DUMMYFUNCTION("""COMPUTED_VALUE"""),26)</f>
        <v>26</v>
      </c>
      <c r="E136" s="1">
        <f ca="1">IFERROR(__xludf.DUMMYFUNCTION("""COMPUTED_VALUE"""),0.161)</f>
        <v>0.161</v>
      </c>
      <c r="F136" s="1">
        <f ca="1">IFERROR(__xludf.DUMMYFUNCTION("""COMPUTED_VALUE"""),-15.1)</f>
        <v>-15.1</v>
      </c>
      <c r="G136" s="1">
        <f ca="1">IFERROR(__xludf.DUMMYFUNCTION("""COMPUTED_VALUE"""),-3.37)</f>
        <v>-3.37</v>
      </c>
      <c r="H136" s="1">
        <f ca="1">IFERROR(__xludf.DUMMYFUNCTION("""COMPUTED_VALUE"""),3)</f>
        <v>3</v>
      </c>
      <c r="I136" s="1">
        <f ca="1">IFERROR(__xludf.DUMMYFUNCTION("""COMPUTED_VALUE"""),15)</f>
        <v>15</v>
      </c>
      <c r="J136" s="1">
        <f ca="1">IFERROR(__xludf.DUMMYFUNCTION("""COMPUTED_VALUE"""),4)</f>
        <v>4</v>
      </c>
      <c r="K136" s="1">
        <f ca="1">IFERROR(__xludf.DUMMYFUNCTION("""COMPUTED_VALUE"""),7)</f>
        <v>7</v>
      </c>
      <c r="L136" s="1">
        <f ca="1">IFERROR(__xludf.DUMMYFUNCTION("""COMPUTED_VALUE"""),1)</f>
        <v>1</v>
      </c>
      <c r="M136" s="1">
        <f ca="1">IFERROR(__xludf.DUMMYFUNCTION("""COMPUTED_VALUE"""),16)</f>
        <v>16</v>
      </c>
      <c r="N136" s="1">
        <f ca="1">IFERROR(__xludf.DUMMYFUNCTION("""COMPUTED_VALUE"""),2164)</f>
        <v>2164</v>
      </c>
      <c r="O136" s="1">
        <f ca="1">IFERROR(__xludf.DUMMYFUNCTION("""COMPUTED_VALUE"""),2486)</f>
        <v>2486</v>
      </c>
      <c r="P136" s="1">
        <f ca="1">IFERROR(__xludf.DUMMYFUNCTION("""COMPUTED_VALUE"""),1250)</f>
        <v>1250</v>
      </c>
      <c r="Q136" s="1">
        <f ca="1">IFERROR(__xludf.DUMMYFUNCTION("""COMPUTED_VALUE"""),742)</f>
        <v>742</v>
      </c>
      <c r="R136" s="1">
        <f ca="1">IFERROR(__xludf.DUMMYFUNCTION("""COMPUTED_VALUE"""),1708)</f>
        <v>1708</v>
      </c>
      <c r="S136" s="1">
        <f ca="1">IFERROR(__xludf.DUMMYFUNCTION("""COMPUTED_VALUE"""),0.434)</f>
        <v>0.434</v>
      </c>
      <c r="T136" s="1">
        <f ca="1">IFERROR(__xludf.DUMMYFUNCTION("""COMPUTED_VALUE"""),237)</f>
        <v>237</v>
      </c>
      <c r="U136" s="1">
        <f ca="1">IFERROR(__xludf.DUMMYFUNCTION("""COMPUTED_VALUE"""),660)</f>
        <v>660</v>
      </c>
      <c r="V136" s="1">
        <f ca="1">IFERROR(__xludf.DUMMYFUNCTION("""COMPUTED_VALUE"""),0.359)</f>
        <v>0.35899999999999999</v>
      </c>
      <c r="W136" s="1">
        <f ca="1">IFERROR(__xludf.DUMMYFUNCTION("""COMPUTED_VALUE"""),443)</f>
        <v>443</v>
      </c>
      <c r="X136" s="1">
        <f ca="1">IFERROR(__xludf.DUMMYFUNCTION("""COMPUTED_VALUE"""),648)</f>
        <v>648</v>
      </c>
      <c r="Y136" s="1">
        <f ca="1">IFERROR(__xludf.DUMMYFUNCTION("""COMPUTED_VALUE"""),0.684)</f>
        <v>0.68400000000000005</v>
      </c>
      <c r="Z136" s="1">
        <f ca="1">IFERROR(__xludf.DUMMYFUNCTION("""COMPUTED_VALUE"""),233)</f>
        <v>233</v>
      </c>
      <c r="AA136" s="1">
        <f ca="1">IFERROR(__xludf.DUMMYFUNCTION("""COMPUTED_VALUE"""),921)</f>
        <v>921</v>
      </c>
      <c r="AB136" s="1">
        <f ca="1">IFERROR(__xludf.DUMMYFUNCTION("""COMPUTED_VALUE"""),316)</f>
        <v>316</v>
      </c>
      <c r="AC136" s="1">
        <f ca="1">IFERROR(__xludf.DUMMYFUNCTION("""COMPUTED_VALUE"""),224)</f>
        <v>224</v>
      </c>
      <c r="AD136" s="1">
        <f ca="1">IFERROR(__xludf.DUMMYFUNCTION("""COMPUTED_VALUE"""),73)</f>
        <v>73</v>
      </c>
      <c r="AE136" s="1">
        <f ca="1">IFERROR(__xludf.DUMMYFUNCTION("""COMPUTED_VALUE"""),400)</f>
        <v>400</v>
      </c>
      <c r="AF136" s="1">
        <f ca="1">IFERROR(__xludf.DUMMYFUNCTION("""COMPUTED_VALUE"""),578)</f>
        <v>578</v>
      </c>
    </row>
    <row r="137" spans="1:32" ht="12.5" x14ac:dyDescent="0.25">
      <c r="A137" s="1" t="str">
        <f ca="1">IFERROR(__xludf.DUMMYFUNCTION("""COMPUTED_VALUE"""),"Idaho")</f>
        <v>Idaho</v>
      </c>
      <c r="B137" s="1">
        <f ca="1">IFERROR(__xludf.DUMMYFUNCTION("""COMPUTED_VALUE"""),33)</f>
        <v>33</v>
      </c>
      <c r="C137" s="1">
        <f ca="1">IFERROR(__xludf.DUMMYFUNCTION("""COMPUTED_VALUE"""),19)</f>
        <v>19</v>
      </c>
      <c r="D137" s="1">
        <f ca="1">IFERROR(__xludf.DUMMYFUNCTION("""COMPUTED_VALUE"""),14)</f>
        <v>14</v>
      </c>
      <c r="E137" s="1">
        <f ca="1">IFERROR(__xludf.DUMMYFUNCTION("""COMPUTED_VALUE"""),0.576)</f>
        <v>0.57599999999999996</v>
      </c>
      <c r="F137" s="1">
        <f ca="1">IFERROR(__xludf.DUMMYFUNCTION("""COMPUTED_VALUE"""),-5.34)</f>
        <v>-5.34</v>
      </c>
      <c r="G137" s="1">
        <f ca="1">IFERROR(__xludf.DUMMYFUNCTION("""COMPUTED_VALUE"""),-5.89)</f>
        <v>-5.89</v>
      </c>
      <c r="H137" s="1">
        <f ca="1">IFERROR(__xludf.DUMMYFUNCTION("""COMPUTED_VALUE"""),12)</f>
        <v>12</v>
      </c>
      <c r="I137" s="1">
        <f ca="1">IFERROR(__xludf.DUMMYFUNCTION("""COMPUTED_VALUE"""),6)</f>
        <v>6</v>
      </c>
      <c r="J137" s="1">
        <f ca="1">IFERROR(__xludf.DUMMYFUNCTION("""COMPUTED_VALUE"""),12)</f>
        <v>12</v>
      </c>
      <c r="K137" s="1">
        <f ca="1">IFERROR(__xludf.DUMMYFUNCTION("""COMPUTED_VALUE"""),3)</f>
        <v>3</v>
      </c>
      <c r="L137" s="1">
        <f ca="1">IFERROR(__xludf.DUMMYFUNCTION("""COMPUTED_VALUE"""),6)</f>
        <v>6</v>
      </c>
      <c r="M137" s="1">
        <f ca="1">IFERROR(__xludf.DUMMYFUNCTION("""COMPUTED_VALUE"""),10)</f>
        <v>10</v>
      </c>
      <c r="N137" s="1">
        <f ca="1">IFERROR(__xludf.DUMMYFUNCTION("""COMPUTED_VALUE"""),2412)</f>
        <v>2412</v>
      </c>
      <c r="O137" s="1">
        <f ca="1">IFERROR(__xludf.DUMMYFUNCTION("""COMPUTED_VALUE"""),2346)</f>
        <v>2346</v>
      </c>
      <c r="P137" s="1">
        <f ca="1">IFERROR(__xludf.DUMMYFUNCTION("""COMPUTED_VALUE"""),1350)</f>
        <v>1350</v>
      </c>
      <c r="Q137" s="1">
        <f ca="1">IFERROR(__xludf.DUMMYFUNCTION("""COMPUTED_VALUE"""),809)</f>
        <v>809</v>
      </c>
      <c r="R137" s="1">
        <f ca="1">IFERROR(__xludf.DUMMYFUNCTION("""COMPUTED_VALUE"""),1870)</f>
        <v>1870</v>
      </c>
      <c r="S137" s="1">
        <f ca="1">IFERROR(__xludf.DUMMYFUNCTION("""COMPUTED_VALUE"""),0.433)</f>
        <v>0.433</v>
      </c>
      <c r="T137" s="1">
        <f ca="1">IFERROR(__xludf.DUMMYFUNCTION("""COMPUTED_VALUE"""),255)</f>
        <v>255</v>
      </c>
      <c r="U137" s="1">
        <f ca="1">IFERROR(__xludf.DUMMYFUNCTION("""COMPUTED_VALUE"""),694)</f>
        <v>694</v>
      </c>
      <c r="V137" s="1">
        <f ca="1">IFERROR(__xludf.DUMMYFUNCTION("""COMPUTED_VALUE"""),0.367)</f>
        <v>0.36699999999999999</v>
      </c>
      <c r="W137" s="1">
        <f ca="1">IFERROR(__xludf.DUMMYFUNCTION("""COMPUTED_VALUE"""),539)</f>
        <v>539</v>
      </c>
      <c r="X137" s="1">
        <f ca="1">IFERROR(__xludf.DUMMYFUNCTION("""COMPUTED_VALUE"""),746)</f>
        <v>746</v>
      </c>
      <c r="Y137" s="1">
        <f ca="1">IFERROR(__xludf.DUMMYFUNCTION("""COMPUTED_VALUE"""),0.723)</f>
        <v>0.72299999999999998</v>
      </c>
      <c r="Z137" s="1">
        <f ca="1">IFERROR(__xludf.DUMMYFUNCTION("""COMPUTED_VALUE"""),362)</f>
        <v>362</v>
      </c>
      <c r="AA137" s="1">
        <f ca="1">IFERROR(__xludf.DUMMYFUNCTION("""COMPUTED_VALUE"""),1213)</f>
        <v>1213</v>
      </c>
      <c r="AB137" s="1">
        <f ca="1">IFERROR(__xludf.DUMMYFUNCTION("""COMPUTED_VALUE"""),422)</f>
        <v>422</v>
      </c>
      <c r="AC137" s="1">
        <f ca="1">IFERROR(__xludf.DUMMYFUNCTION("""COMPUTED_VALUE"""),164)</f>
        <v>164</v>
      </c>
      <c r="AD137" s="1">
        <f ca="1">IFERROR(__xludf.DUMMYFUNCTION("""COMPUTED_VALUE"""),81)</f>
        <v>81</v>
      </c>
      <c r="AE137" s="1">
        <f ca="1">IFERROR(__xludf.DUMMYFUNCTION("""COMPUTED_VALUE"""),421)</f>
        <v>421</v>
      </c>
      <c r="AF137" s="1">
        <f ca="1">IFERROR(__xludf.DUMMYFUNCTION("""COMPUTED_VALUE"""),697)</f>
        <v>697</v>
      </c>
    </row>
    <row r="138" spans="1:32" ht="12.5" x14ac:dyDescent="0.25">
      <c r="A138" s="1" t="str">
        <f ca="1">IFERROR(__xludf.DUMMYFUNCTION("""COMPUTED_VALUE"""),"Illinois-Chicago")</f>
        <v>Illinois-Chicago</v>
      </c>
      <c r="B138" s="1">
        <f ca="1">IFERROR(__xludf.DUMMYFUNCTION("""COMPUTED_VALUE"""),36)</f>
        <v>36</v>
      </c>
      <c r="C138" s="1">
        <f ca="1">IFERROR(__xludf.DUMMYFUNCTION("""COMPUTED_VALUE"""),17)</f>
        <v>17</v>
      </c>
      <c r="D138" s="1">
        <f ca="1">IFERROR(__xludf.DUMMYFUNCTION("""COMPUTED_VALUE"""),19)</f>
        <v>19</v>
      </c>
      <c r="E138" s="1">
        <f ca="1">IFERROR(__xludf.DUMMYFUNCTION("""COMPUTED_VALUE"""),0.472)</f>
        <v>0.47199999999999998</v>
      </c>
      <c r="F138" s="1">
        <f ca="1">IFERROR(__xludf.DUMMYFUNCTION("""COMPUTED_VALUE"""),-5.95)</f>
        <v>-5.95</v>
      </c>
      <c r="G138" s="1">
        <f ca="1">IFERROR(__xludf.DUMMYFUNCTION("""COMPUTED_VALUE"""),-3.63)</f>
        <v>-3.63</v>
      </c>
      <c r="H138" s="1">
        <f ca="1">IFERROR(__xludf.DUMMYFUNCTION("""COMPUTED_VALUE"""),7)</f>
        <v>7</v>
      </c>
      <c r="I138" s="1">
        <f ca="1">IFERROR(__xludf.DUMMYFUNCTION("""COMPUTED_VALUE"""),11)</f>
        <v>11</v>
      </c>
      <c r="J138" s="1">
        <f ca="1">IFERROR(__xludf.DUMMYFUNCTION("""COMPUTED_VALUE"""),10)</f>
        <v>10</v>
      </c>
      <c r="K138" s="1">
        <f ca="1">IFERROR(__xludf.DUMMYFUNCTION("""COMPUTED_VALUE"""),8)</f>
        <v>8</v>
      </c>
      <c r="L138" s="1">
        <f ca="1">IFERROR(__xludf.DUMMYFUNCTION("""COMPUTED_VALUE"""),5)</f>
        <v>5</v>
      </c>
      <c r="M138" s="1">
        <f ca="1">IFERROR(__xludf.DUMMYFUNCTION("""COMPUTED_VALUE"""),9)</f>
        <v>9</v>
      </c>
      <c r="N138" s="1">
        <f ca="1">IFERROR(__xludf.DUMMYFUNCTION("""COMPUTED_VALUE"""),2749)</f>
        <v>2749</v>
      </c>
      <c r="O138" s="1">
        <f ca="1">IFERROR(__xludf.DUMMYFUNCTION("""COMPUTED_VALUE"""),2754)</f>
        <v>2754</v>
      </c>
      <c r="P138" s="1">
        <f ca="1">IFERROR(__xludf.DUMMYFUNCTION("""COMPUTED_VALUE"""),1455)</f>
        <v>1455</v>
      </c>
      <c r="Q138" s="1">
        <f ca="1">IFERROR(__xludf.DUMMYFUNCTION("""COMPUTED_VALUE"""),939)</f>
        <v>939</v>
      </c>
      <c r="R138" s="1">
        <f ca="1">IFERROR(__xludf.DUMMYFUNCTION("""COMPUTED_VALUE"""),2113)</f>
        <v>2113</v>
      </c>
      <c r="S138" s="1">
        <f ca="1">IFERROR(__xludf.DUMMYFUNCTION("""COMPUTED_VALUE"""),0.444)</f>
        <v>0.44400000000000001</v>
      </c>
      <c r="T138" s="1">
        <f ca="1">IFERROR(__xludf.DUMMYFUNCTION("""COMPUTED_VALUE"""),272)</f>
        <v>272</v>
      </c>
      <c r="U138" s="1">
        <f ca="1">IFERROR(__xludf.DUMMYFUNCTION("""COMPUTED_VALUE"""),746)</f>
        <v>746</v>
      </c>
      <c r="V138" s="1">
        <f ca="1">IFERROR(__xludf.DUMMYFUNCTION("""COMPUTED_VALUE"""),0.365)</f>
        <v>0.36499999999999999</v>
      </c>
      <c r="W138" s="1">
        <f ca="1">IFERROR(__xludf.DUMMYFUNCTION("""COMPUTED_VALUE"""),599)</f>
        <v>599</v>
      </c>
      <c r="X138" s="1">
        <f ca="1">IFERROR(__xludf.DUMMYFUNCTION("""COMPUTED_VALUE"""),843)</f>
        <v>843</v>
      </c>
      <c r="Y138" s="1">
        <f ca="1">IFERROR(__xludf.DUMMYFUNCTION("""COMPUTED_VALUE"""),0.711)</f>
        <v>0.71099999999999997</v>
      </c>
      <c r="Z138" s="1">
        <f ca="1">IFERROR(__xludf.DUMMYFUNCTION("""COMPUTED_VALUE"""),422)</f>
        <v>422</v>
      </c>
      <c r="AA138" s="1">
        <f ca="1">IFERROR(__xludf.DUMMYFUNCTION("""COMPUTED_VALUE"""),1429)</f>
        <v>1429</v>
      </c>
      <c r="AB138" s="1">
        <f ca="1">IFERROR(__xludf.DUMMYFUNCTION("""COMPUTED_VALUE"""),524)</f>
        <v>524</v>
      </c>
      <c r="AC138" s="1">
        <f ca="1">IFERROR(__xludf.DUMMYFUNCTION("""COMPUTED_VALUE"""),197)</f>
        <v>197</v>
      </c>
      <c r="AD138" s="1">
        <f ca="1">IFERROR(__xludf.DUMMYFUNCTION("""COMPUTED_VALUE"""),183)</f>
        <v>183</v>
      </c>
      <c r="AE138" s="1">
        <f ca="1">IFERROR(__xludf.DUMMYFUNCTION("""COMPUTED_VALUE"""),589)</f>
        <v>589</v>
      </c>
      <c r="AF138" s="1">
        <f ca="1">IFERROR(__xludf.DUMMYFUNCTION("""COMPUTED_VALUE"""),678)</f>
        <v>678</v>
      </c>
    </row>
    <row r="139" spans="1:32" ht="12.5" x14ac:dyDescent="0.25">
      <c r="A139" s="1" t="str">
        <f ca="1">IFERROR(__xludf.DUMMYFUNCTION("""COMPUTED_VALUE"""),"Illinois State")</f>
        <v>Illinois State</v>
      </c>
      <c r="B139" s="1">
        <f ca="1">IFERROR(__xludf.DUMMYFUNCTION("""COMPUTED_VALUE"""),35)</f>
        <v>35</v>
      </c>
      <c r="C139" s="1">
        <f ca="1">IFERROR(__xludf.DUMMYFUNCTION("""COMPUTED_VALUE"""),28)</f>
        <v>28</v>
      </c>
      <c r="D139" s="1">
        <f ca="1">IFERROR(__xludf.DUMMYFUNCTION("""COMPUTED_VALUE"""),7)</f>
        <v>7</v>
      </c>
      <c r="E139" s="1">
        <f ca="1">IFERROR(__xludf.DUMMYFUNCTION("""COMPUTED_VALUE"""),0.8)</f>
        <v>0.8</v>
      </c>
      <c r="F139" s="1">
        <f ca="1">IFERROR(__xludf.DUMMYFUNCTION("""COMPUTED_VALUE"""),10.3)</f>
        <v>10.3</v>
      </c>
      <c r="G139" s="1">
        <f ca="1">IFERROR(__xludf.DUMMYFUNCTION("""COMPUTED_VALUE"""),2.71)</f>
        <v>2.71</v>
      </c>
      <c r="H139" s="1">
        <f ca="1">IFERROR(__xludf.DUMMYFUNCTION("""COMPUTED_VALUE"""),17)</f>
        <v>17</v>
      </c>
      <c r="I139" s="1">
        <f ca="1">IFERROR(__xludf.DUMMYFUNCTION("""COMPUTED_VALUE"""),1)</f>
        <v>1</v>
      </c>
      <c r="J139" s="1">
        <f ca="1">IFERROR(__xludf.DUMMYFUNCTION("""COMPUTED_VALUE"""),16)</f>
        <v>16</v>
      </c>
      <c r="K139" s="1">
        <f ca="1">IFERROR(__xludf.DUMMYFUNCTION("""COMPUTED_VALUE"""),1)</f>
        <v>1</v>
      </c>
      <c r="L139" s="1">
        <f ca="1">IFERROR(__xludf.DUMMYFUNCTION("""COMPUTED_VALUE"""),9)</f>
        <v>9</v>
      </c>
      <c r="M139" s="1">
        <f ca="1">IFERROR(__xludf.DUMMYFUNCTION("""COMPUTED_VALUE"""),4)</f>
        <v>4</v>
      </c>
      <c r="N139" s="1">
        <f ca="1">IFERROR(__xludf.DUMMYFUNCTION("""COMPUTED_VALUE"""),2418)</f>
        <v>2418</v>
      </c>
      <c r="O139" s="1">
        <f ca="1">IFERROR(__xludf.DUMMYFUNCTION("""COMPUTED_VALUE"""),2146)</f>
        <v>2146</v>
      </c>
      <c r="P139" s="1">
        <f ca="1">IFERROR(__xludf.DUMMYFUNCTION("""COMPUTED_VALUE"""),1405)</f>
        <v>1405</v>
      </c>
      <c r="Q139" s="1">
        <f ca="1">IFERROR(__xludf.DUMMYFUNCTION("""COMPUTED_VALUE"""),865)</f>
        <v>865</v>
      </c>
      <c r="R139" s="1">
        <f ca="1">IFERROR(__xludf.DUMMYFUNCTION("""COMPUTED_VALUE"""),1972)</f>
        <v>1972</v>
      </c>
      <c r="S139" s="1">
        <f ca="1">IFERROR(__xludf.DUMMYFUNCTION("""COMPUTED_VALUE"""),0.439)</f>
        <v>0.439</v>
      </c>
      <c r="T139" s="1">
        <f ca="1">IFERROR(__xludf.DUMMYFUNCTION("""COMPUTED_VALUE"""),294)</f>
        <v>294</v>
      </c>
      <c r="U139" s="1">
        <f ca="1">IFERROR(__xludf.DUMMYFUNCTION("""COMPUTED_VALUE"""),797)</f>
        <v>797</v>
      </c>
      <c r="V139" s="1">
        <f ca="1">IFERROR(__xludf.DUMMYFUNCTION("""COMPUTED_VALUE"""),0.369)</f>
        <v>0.36899999999999999</v>
      </c>
      <c r="W139" s="1">
        <f ca="1">IFERROR(__xludf.DUMMYFUNCTION("""COMPUTED_VALUE"""),394)</f>
        <v>394</v>
      </c>
      <c r="X139" s="1">
        <f ca="1">IFERROR(__xludf.DUMMYFUNCTION("""COMPUTED_VALUE"""),593)</f>
        <v>593</v>
      </c>
      <c r="Y139" s="1">
        <f ca="1">IFERROR(__xludf.DUMMYFUNCTION("""COMPUTED_VALUE"""),0.664)</f>
        <v>0.66400000000000003</v>
      </c>
      <c r="Z139" s="1">
        <f ca="1">IFERROR(__xludf.DUMMYFUNCTION("""COMPUTED_VALUE"""),369)</f>
        <v>369</v>
      </c>
      <c r="AA139" s="1">
        <f ca="1">IFERROR(__xludf.DUMMYFUNCTION("""COMPUTED_VALUE"""),1293)</f>
        <v>1293</v>
      </c>
      <c r="AB139" s="1">
        <f ca="1">IFERROR(__xludf.DUMMYFUNCTION("""COMPUTED_VALUE"""),483)</f>
        <v>483</v>
      </c>
      <c r="AC139" s="1">
        <f ca="1">IFERROR(__xludf.DUMMYFUNCTION("""COMPUTED_VALUE"""),250)</f>
        <v>250</v>
      </c>
      <c r="AD139" s="1">
        <f ca="1">IFERROR(__xludf.DUMMYFUNCTION("""COMPUTED_VALUE"""),170)</f>
        <v>170</v>
      </c>
      <c r="AE139" s="1">
        <f ca="1">IFERROR(__xludf.DUMMYFUNCTION("""COMPUTED_VALUE"""),427)</f>
        <v>427</v>
      </c>
      <c r="AF139" s="1">
        <f ca="1">IFERROR(__xludf.DUMMYFUNCTION("""COMPUTED_VALUE"""),620)</f>
        <v>620</v>
      </c>
    </row>
    <row r="140" spans="1:32" ht="12.5" x14ac:dyDescent="0.25">
      <c r="A140" s="1" t="str">
        <f ca="1">IFERROR(__xludf.DUMMYFUNCTION("""COMPUTED_VALUE"""),"Illinois")</f>
        <v>Illinois</v>
      </c>
      <c r="B140" s="1">
        <f ca="1">IFERROR(__xludf.DUMMYFUNCTION("""COMPUTED_VALUE"""),35)</f>
        <v>35</v>
      </c>
      <c r="C140" s="1">
        <f ca="1">IFERROR(__xludf.DUMMYFUNCTION("""COMPUTED_VALUE"""),20)</f>
        <v>20</v>
      </c>
      <c r="D140" s="1">
        <f ca="1">IFERROR(__xludf.DUMMYFUNCTION("""COMPUTED_VALUE"""),15)</f>
        <v>15</v>
      </c>
      <c r="E140" s="1">
        <f ca="1">IFERROR(__xludf.DUMMYFUNCTION("""COMPUTED_VALUE"""),0.571)</f>
        <v>0.57099999999999995</v>
      </c>
      <c r="F140" s="1">
        <f ca="1">IFERROR(__xludf.DUMMYFUNCTION("""COMPUTED_VALUE"""),10.54)</f>
        <v>10.54</v>
      </c>
      <c r="G140" s="1">
        <f ca="1">IFERROR(__xludf.DUMMYFUNCTION("""COMPUTED_VALUE"""),9.25)</f>
        <v>9.25</v>
      </c>
      <c r="H140" s="1">
        <f ca="1">IFERROR(__xludf.DUMMYFUNCTION("""COMPUTED_VALUE"""),8)</f>
        <v>8</v>
      </c>
      <c r="I140" s="1">
        <f ca="1">IFERROR(__xludf.DUMMYFUNCTION("""COMPUTED_VALUE"""),10)</f>
        <v>10</v>
      </c>
      <c r="J140" s="1">
        <f ca="1">IFERROR(__xludf.DUMMYFUNCTION("""COMPUTED_VALUE"""),14)</f>
        <v>14</v>
      </c>
      <c r="K140" s="1">
        <f ca="1">IFERROR(__xludf.DUMMYFUNCTION("""COMPUTED_VALUE"""),5)</f>
        <v>5</v>
      </c>
      <c r="L140" s="1">
        <f ca="1">IFERROR(__xludf.DUMMYFUNCTION("""COMPUTED_VALUE"""),3)</f>
        <v>3</v>
      </c>
      <c r="M140" s="1">
        <f ca="1">IFERROR(__xludf.DUMMYFUNCTION("""COMPUTED_VALUE"""),7)</f>
        <v>7</v>
      </c>
      <c r="N140" s="1">
        <f ca="1">IFERROR(__xludf.DUMMYFUNCTION("""COMPUTED_VALUE"""),2508)</f>
        <v>2508</v>
      </c>
      <c r="O140" s="1">
        <f ca="1">IFERROR(__xludf.DUMMYFUNCTION("""COMPUTED_VALUE"""),2417)</f>
        <v>2417</v>
      </c>
      <c r="P140" s="1">
        <f ca="1">IFERROR(__xludf.DUMMYFUNCTION("""COMPUTED_VALUE"""),1405)</f>
        <v>1405</v>
      </c>
      <c r="Q140" s="1">
        <f ca="1">IFERROR(__xludf.DUMMYFUNCTION("""COMPUTED_VALUE"""),898)</f>
        <v>898</v>
      </c>
      <c r="R140" s="1">
        <f ca="1">IFERROR(__xludf.DUMMYFUNCTION("""COMPUTED_VALUE"""),2019)</f>
        <v>2019</v>
      </c>
      <c r="S140" s="1">
        <f ca="1">IFERROR(__xludf.DUMMYFUNCTION("""COMPUTED_VALUE"""),0.445)</f>
        <v>0.44500000000000001</v>
      </c>
      <c r="T140" s="1">
        <f ca="1">IFERROR(__xludf.DUMMYFUNCTION("""COMPUTED_VALUE"""),270)</f>
        <v>270</v>
      </c>
      <c r="U140" s="1">
        <f ca="1">IFERROR(__xludf.DUMMYFUNCTION("""COMPUTED_VALUE"""),731)</f>
        <v>731</v>
      </c>
      <c r="V140" s="1">
        <f ca="1">IFERROR(__xludf.DUMMYFUNCTION("""COMPUTED_VALUE"""),0.369)</f>
        <v>0.36899999999999999</v>
      </c>
      <c r="W140" s="1">
        <f ca="1">IFERROR(__xludf.DUMMYFUNCTION("""COMPUTED_VALUE"""),442)</f>
        <v>442</v>
      </c>
      <c r="X140" s="1">
        <f ca="1">IFERROR(__xludf.DUMMYFUNCTION("""COMPUTED_VALUE"""),643)</f>
        <v>643</v>
      </c>
      <c r="Y140" s="1">
        <f ca="1">IFERROR(__xludf.DUMMYFUNCTION("""COMPUTED_VALUE"""),0.687)</f>
        <v>0.68700000000000006</v>
      </c>
      <c r="Z140" s="1">
        <f ca="1">IFERROR(__xludf.DUMMYFUNCTION("""COMPUTED_VALUE"""),342)</f>
        <v>342</v>
      </c>
      <c r="AA140" s="1">
        <f ca="1">IFERROR(__xludf.DUMMYFUNCTION("""COMPUTED_VALUE"""),1217)</f>
        <v>1217</v>
      </c>
      <c r="AB140" s="1">
        <f ca="1">IFERROR(__xludf.DUMMYFUNCTION("""COMPUTED_VALUE"""),472)</f>
        <v>472</v>
      </c>
      <c r="AC140" s="1">
        <f ca="1">IFERROR(__xludf.DUMMYFUNCTION("""COMPUTED_VALUE"""),197)</f>
        <v>197</v>
      </c>
      <c r="AD140" s="1">
        <f ca="1">IFERROR(__xludf.DUMMYFUNCTION("""COMPUTED_VALUE"""),83)</f>
        <v>83</v>
      </c>
      <c r="AE140" s="1">
        <f ca="1">IFERROR(__xludf.DUMMYFUNCTION("""COMPUTED_VALUE"""),433)</f>
        <v>433</v>
      </c>
      <c r="AF140" s="1">
        <f ca="1">IFERROR(__xludf.DUMMYFUNCTION("""COMPUTED_VALUE"""),641)</f>
        <v>641</v>
      </c>
    </row>
    <row r="141" spans="1:32" ht="12.5" x14ac:dyDescent="0.25">
      <c r="A141" s="1" t="str">
        <f ca="1">IFERROR(__xludf.DUMMYFUNCTION("""COMPUTED_VALUE"""),"Incarnate Word")</f>
        <v>Incarnate Word</v>
      </c>
      <c r="B141" s="1">
        <f ca="1">IFERROR(__xludf.DUMMYFUNCTION("""COMPUTED_VALUE"""),29)</f>
        <v>29</v>
      </c>
      <c r="C141" s="1">
        <f ca="1">IFERROR(__xludf.DUMMYFUNCTION("""COMPUTED_VALUE"""),12)</f>
        <v>12</v>
      </c>
      <c r="D141" s="1">
        <f ca="1">IFERROR(__xludf.DUMMYFUNCTION("""COMPUTED_VALUE"""),17)</f>
        <v>17</v>
      </c>
      <c r="E141" s="1">
        <f ca="1">IFERROR(__xludf.DUMMYFUNCTION("""COMPUTED_VALUE"""),0.414)</f>
        <v>0.41399999999999998</v>
      </c>
      <c r="F141" s="1">
        <f ca="1">IFERROR(__xludf.DUMMYFUNCTION("""COMPUTED_VALUE"""),-12.14)</f>
        <v>-12.14</v>
      </c>
      <c r="G141" s="1">
        <f ca="1">IFERROR(__xludf.DUMMYFUNCTION("""COMPUTED_VALUE"""),-5.62)</f>
        <v>-5.62</v>
      </c>
      <c r="H141" s="1">
        <f ca="1">IFERROR(__xludf.DUMMYFUNCTION("""COMPUTED_VALUE"""),7)</f>
        <v>7</v>
      </c>
      <c r="I141" s="1">
        <f ca="1">IFERROR(__xludf.DUMMYFUNCTION("""COMPUTED_VALUE"""),11)</f>
        <v>11</v>
      </c>
      <c r="J141" s="1">
        <f ca="1">IFERROR(__xludf.DUMMYFUNCTION("""COMPUTED_VALUE"""),10)</f>
        <v>10</v>
      </c>
      <c r="K141" s="1">
        <f ca="1">IFERROR(__xludf.DUMMYFUNCTION("""COMPUTED_VALUE"""),5)</f>
        <v>5</v>
      </c>
      <c r="L141" s="1">
        <f ca="1">IFERROR(__xludf.DUMMYFUNCTION("""COMPUTED_VALUE"""),2)</f>
        <v>2</v>
      </c>
      <c r="M141" s="1">
        <f ca="1">IFERROR(__xludf.DUMMYFUNCTION("""COMPUTED_VALUE"""),12)</f>
        <v>12</v>
      </c>
      <c r="N141" s="1">
        <f ca="1">IFERROR(__xludf.DUMMYFUNCTION("""COMPUTED_VALUE"""),2212)</f>
        <v>2212</v>
      </c>
      <c r="O141" s="1">
        <f ca="1">IFERROR(__xludf.DUMMYFUNCTION("""COMPUTED_VALUE"""),2320)</f>
        <v>2320</v>
      </c>
      <c r="P141" s="1">
        <f ca="1">IFERROR(__xludf.DUMMYFUNCTION("""COMPUTED_VALUE"""),1165)</f>
        <v>1165</v>
      </c>
      <c r="Q141" s="1">
        <f ca="1">IFERROR(__xludf.DUMMYFUNCTION("""COMPUTED_VALUE"""),736)</f>
        <v>736</v>
      </c>
      <c r="R141" s="1">
        <f ca="1">IFERROR(__xludf.DUMMYFUNCTION("""COMPUTED_VALUE"""),1617)</f>
        <v>1617</v>
      </c>
      <c r="S141" s="1">
        <f ca="1">IFERROR(__xludf.DUMMYFUNCTION("""COMPUTED_VALUE"""),0.455)</f>
        <v>0.45500000000000002</v>
      </c>
      <c r="T141" s="1">
        <f ca="1">IFERROR(__xludf.DUMMYFUNCTION("""COMPUTED_VALUE"""),233)</f>
        <v>233</v>
      </c>
      <c r="U141" s="1">
        <f ca="1">IFERROR(__xludf.DUMMYFUNCTION("""COMPUTED_VALUE"""),601)</f>
        <v>601</v>
      </c>
      <c r="V141" s="1">
        <f ca="1">IFERROR(__xludf.DUMMYFUNCTION("""COMPUTED_VALUE"""),0.388)</f>
        <v>0.38800000000000001</v>
      </c>
      <c r="W141" s="1">
        <f ca="1">IFERROR(__xludf.DUMMYFUNCTION("""COMPUTED_VALUE"""),507)</f>
        <v>507</v>
      </c>
      <c r="X141" s="1">
        <f ca="1">IFERROR(__xludf.DUMMYFUNCTION("""COMPUTED_VALUE"""),731)</f>
        <v>731</v>
      </c>
      <c r="Y141" s="1">
        <f ca="1">IFERROR(__xludf.DUMMYFUNCTION("""COMPUTED_VALUE"""),0.694)</f>
        <v>0.69399999999999995</v>
      </c>
      <c r="Z141" s="1">
        <f ca="1">IFERROR(__xludf.DUMMYFUNCTION("""COMPUTED_VALUE"""),229)</f>
        <v>229</v>
      </c>
      <c r="AA141" s="1">
        <f ca="1">IFERROR(__xludf.DUMMYFUNCTION("""COMPUTED_VALUE"""),950)</f>
        <v>950</v>
      </c>
      <c r="AB141" s="1">
        <f ca="1">IFERROR(__xludf.DUMMYFUNCTION("""COMPUTED_VALUE"""),362)</f>
        <v>362</v>
      </c>
      <c r="AC141" s="1">
        <f ca="1">IFERROR(__xludf.DUMMYFUNCTION("""COMPUTED_VALUE"""),168)</f>
        <v>168</v>
      </c>
      <c r="AD141" s="1">
        <f ca="1">IFERROR(__xludf.DUMMYFUNCTION("""COMPUTED_VALUE"""),136)</f>
        <v>136</v>
      </c>
      <c r="AE141" s="1">
        <f ca="1">IFERROR(__xludf.DUMMYFUNCTION("""COMPUTED_VALUE"""),391)</f>
        <v>391</v>
      </c>
      <c r="AF141" s="1">
        <f ca="1">IFERROR(__xludf.DUMMYFUNCTION("""COMPUTED_VALUE"""),583)</f>
        <v>583</v>
      </c>
    </row>
    <row r="142" spans="1:32" ht="12.5" x14ac:dyDescent="0.25">
      <c r="A142" s="1" t="str">
        <f ca="1">IFERROR(__xludf.DUMMYFUNCTION("""COMPUTED_VALUE"""),"Indiana State")</f>
        <v>Indiana State</v>
      </c>
      <c r="B142" s="1">
        <f ca="1">IFERROR(__xludf.DUMMYFUNCTION("""COMPUTED_VALUE"""),31)</f>
        <v>31</v>
      </c>
      <c r="C142" s="1">
        <f ca="1">IFERROR(__xludf.DUMMYFUNCTION("""COMPUTED_VALUE"""),11)</f>
        <v>11</v>
      </c>
      <c r="D142" s="1">
        <f ca="1">IFERROR(__xludf.DUMMYFUNCTION("""COMPUTED_VALUE"""),20)</f>
        <v>20</v>
      </c>
      <c r="E142" s="1">
        <f ca="1">IFERROR(__xludf.DUMMYFUNCTION("""COMPUTED_VALUE"""),0.355)</f>
        <v>0.35499999999999998</v>
      </c>
      <c r="F142" s="1">
        <f ca="1">IFERROR(__xludf.DUMMYFUNCTION("""COMPUTED_VALUE"""),-1.02)</f>
        <v>-1.02</v>
      </c>
      <c r="G142" s="1">
        <f ca="1">IFERROR(__xludf.DUMMYFUNCTION("""COMPUTED_VALUE"""),3.18)</f>
        <v>3.18</v>
      </c>
      <c r="H142" s="1">
        <f ca="1">IFERROR(__xludf.DUMMYFUNCTION("""COMPUTED_VALUE"""),5)</f>
        <v>5</v>
      </c>
      <c r="I142" s="1">
        <f ca="1">IFERROR(__xludf.DUMMYFUNCTION("""COMPUTED_VALUE"""),13)</f>
        <v>13</v>
      </c>
      <c r="J142" s="1">
        <f ca="1">IFERROR(__xludf.DUMMYFUNCTION("""COMPUTED_VALUE"""),8)</f>
        <v>8</v>
      </c>
      <c r="K142" s="1">
        <f ca="1">IFERROR(__xludf.DUMMYFUNCTION("""COMPUTED_VALUE"""),6)</f>
        <v>6</v>
      </c>
      <c r="L142" s="1">
        <f ca="1">IFERROR(__xludf.DUMMYFUNCTION("""COMPUTED_VALUE"""),3)</f>
        <v>3</v>
      </c>
      <c r="M142" s="1">
        <f ca="1">IFERROR(__xludf.DUMMYFUNCTION("""COMPUTED_VALUE"""),10)</f>
        <v>10</v>
      </c>
      <c r="N142" s="1">
        <f ca="1">IFERROR(__xludf.DUMMYFUNCTION("""COMPUTED_VALUE"""),2170)</f>
        <v>2170</v>
      </c>
      <c r="O142" s="1">
        <f ca="1">IFERROR(__xludf.DUMMYFUNCTION("""COMPUTED_VALUE"""),2255)</f>
        <v>2255</v>
      </c>
      <c r="P142" s="1">
        <f ca="1">IFERROR(__xludf.DUMMYFUNCTION("""COMPUTED_VALUE"""),1275)</f>
        <v>1275</v>
      </c>
      <c r="Q142" s="1">
        <f ca="1">IFERROR(__xludf.DUMMYFUNCTION("""COMPUTED_VALUE"""),762)</f>
        <v>762</v>
      </c>
      <c r="R142" s="1">
        <f ca="1">IFERROR(__xludf.DUMMYFUNCTION("""COMPUTED_VALUE"""),1832)</f>
        <v>1832</v>
      </c>
      <c r="S142" s="1">
        <f ca="1">IFERROR(__xludf.DUMMYFUNCTION("""COMPUTED_VALUE"""),0.416)</f>
        <v>0.41599999999999998</v>
      </c>
      <c r="T142" s="1">
        <f ca="1">IFERROR(__xludf.DUMMYFUNCTION("""COMPUTED_VALUE"""),254)</f>
        <v>254</v>
      </c>
      <c r="U142" s="1">
        <f ca="1">IFERROR(__xludf.DUMMYFUNCTION("""COMPUTED_VALUE"""),727)</f>
        <v>727</v>
      </c>
      <c r="V142" s="1">
        <f ca="1">IFERROR(__xludf.DUMMYFUNCTION("""COMPUTED_VALUE"""),0.349)</f>
        <v>0.34899999999999998</v>
      </c>
      <c r="W142" s="1">
        <f ca="1">IFERROR(__xludf.DUMMYFUNCTION("""COMPUTED_VALUE"""),392)</f>
        <v>392</v>
      </c>
      <c r="X142" s="1">
        <f ca="1">IFERROR(__xludf.DUMMYFUNCTION("""COMPUTED_VALUE"""),576)</f>
        <v>576</v>
      </c>
      <c r="Y142" s="1">
        <f ca="1">IFERROR(__xludf.DUMMYFUNCTION("""COMPUTED_VALUE"""),0.681)</f>
        <v>0.68100000000000005</v>
      </c>
      <c r="Z142" s="1">
        <f ca="1">IFERROR(__xludf.DUMMYFUNCTION("""COMPUTED_VALUE"""),263)</f>
        <v>263</v>
      </c>
      <c r="AA142" s="1">
        <f ca="1">IFERROR(__xludf.DUMMYFUNCTION("""COMPUTED_VALUE"""),1111)</f>
        <v>1111</v>
      </c>
      <c r="AB142" s="1">
        <f ca="1">IFERROR(__xludf.DUMMYFUNCTION("""COMPUTED_VALUE"""),417)</f>
        <v>417</v>
      </c>
      <c r="AC142" s="1">
        <f ca="1">IFERROR(__xludf.DUMMYFUNCTION("""COMPUTED_VALUE"""),204)</f>
        <v>204</v>
      </c>
      <c r="AD142" s="1">
        <f ca="1">IFERROR(__xludf.DUMMYFUNCTION("""COMPUTED_VALUE"""),126)</f>
        <v>126</v>
      </c>
      <c r="AE142" s="1">
        <f ca="1">IFERROR(__xludf.DUMMYFUNCTION("""COMPUTED_VALUE"""),396)</f>
        <v>396</v>
      </c>
      <c r="AF142" s="1">
        <f ca="1">IFERROR(__xludf.DUMMYFUNCTION("""COMPUTED_VALUE"""),660)</f>
        <v>660</v>
      </c>
    </row>
    <row r="143" spans="1:32" ht="12.5" x14ac:dyDescent="0.25">
      <c r="A143" s="1" t="str">
        <f ca="1">IFERROR(__xludf.DUMMYFUNCTION("""COMPUTED_VALUE"""),"Indiana")</f>
        <v>Indiana</v>
      </c>
      <c r="B143" s="1">
        <f ca="1">IFERROR(__xludf.DUMMYFUNCTION("""COMPUTED_VALUE"""),34)</f>
        <v>34</v>
      </c>
      <c r="C143" s="1">
        <f ca="1">IFERROR(__xludf.DUMMYFUNCTION("""COMPUTED_VALUE"""),18)</f>
        <v>18</v>
      </c>
      <c r="D143" s="1">
        <f ca="1">IFERROR(__xludf.DUMMYFUNCTION("""COMPUTED_VALUE"""),16)</f>
        <v>16</v>
      </c>
      <c r="E143" s="1">
        <f ca="1">IFERROR(__xludf.DUMMYFUNCTION("""COMPUTED_VALUE"""),0.529)</f>
        <v>0.52900000000000003</v>
      </c>
      <c r="F143" s="1">
        <f ca="1">IFERROR(__xludf.DUMMYFUNCTION("""COMPUTED_VALUE"""),14.63)</f>
        <v>14.63</v>
      </c>
      <c r="G143" s="1">
        <f ca="1">IFERROR(__xludf.DUMMYFUNCTION("""COMPUTED_VALUE"""),8.16)</f>
        <v>8.16</v>
      </c>
      <c r="H143" s="1">
        <f ca="1">IFERROR(__xludf.DUMMYFUNCTION("""COMPUTED_VALUE"""),7)</f>
        <v>7</v>
      </c>
      <c r="I143" s="1">
        <f ca="1">IFERROR(__xludf.DUMMYFUNCTION("""COMPUTED_VALUE"""),11)</f>
        <v>11</v>
      </c>
      <c r="J143" s="1">
        <f ca="1">IFERROR(__xludf.DUMMYFUNCTION("""COMPUTED_VALUE"""),14)</f>
        <v>14</v>
      </c>
      <c r="K143" s="1">
        <f ca="1">IFERROR(__xludf.DUMMYFUNCTION("""COMPUTED_VALUE"""),4)</f>
        <v>4</v>
      </c>
      <c r="L143" s="1">
        <f ca="1">IFERROR(__xludf.DUMMYFUNCTION("""COMPUTED_VALUE"""),2)</f>
        <v>2</v>
      </c>
      <c r="M143" s="1">
        <f ca="1">IFERROR(__xludf.DUMMYFUNCTION("""COMPUTED_VALUE"""),8)</f>
        <v>8</v>
      </c>
      <c r="N143" s="1">
        <f ca="1">IFERROR(__xludf.DUMMYFUNCTION("""COMPUTED_VALUE"""),2711)</f>
        <v>2711</v>
      </c>
      <c r="O143" s="1">
        <f ca="1">IFERROR(__xludf.DUMMYFUNCTION("""COMPUTED_VALUE"""),2491)</f>
        <v>2491</v>
      </c>
      <c r="P143" s="1">
        <f ca="1">IFERROR(__xludf.DUMMYFUNCTION("""COMPUTED_VALUE"""),1390)</f>
        <v>1390</v>
      </c>
      <c r="Q143" s="1">
        <f ca="1">IFERROR(__xludf.DUMMYFUNCTION("""COMPUTED_VALUE"""),959)</f>
        <v>959</v>
      </c>
      <c r="R143" s="1">
        <f ca="1">IFERROR(__xludf.DUMMYFUNCTION("""COMPUTED_VALUE"""),2004)</f>
        <v>2004</v>
      </c>
      <c r="S143" s="1">
        <f ca="1">IFERROR(__xludf.DUMMYFUNCTION("""COMPUTED_VALUE"""),0.479)</f>
        <v>0.47899999999999998</v>
      </c>
      <c r="T143" s="1">
        <f ca="1">IFERROR(__xludf.DUMMYFUNCTION("""COMPUTED_VALUE"""),295)</f>
        <v>295</v>
      </c>
      <c r="U143" s="1">
        <f ca="1">IFERROR(__xludf.DUMMYFUNCTION("""COMPUTED_VALUE"""),776)</f>
        <v>776</v>
      </c>
      <c r="V143" s="1">
        <f ca="1">IFERROR(__xludf.DUMMYFUNCTION("""COMPUTED_VALUE"""),0.38)</f>
        <v>0.38</v>
      </c>
      <c r="W143" s="1">
        <f ca="1">IFERROR(__xludf.DUMMYFUNCTION("""COMPUTED_VALUE"""),498)</f>
        <v>498</v>
      </c>
      <c r="X143" s="1">
        <f ca="1">IFERROR(__xludf.DUMMYFUNCTION("""COMPUTED_VALUE"""),683)</f>
        <v>683</v>
      </c>
      <c r="Y143" s="1">
        <f ca="1">IFERROR(__xludf.DUMMYFUNCTION("""COMPUTED_VALUE"""),0.729)</f>
        <v>0.72899999999999998</v>
      </c>
      <c r="Z143" s="1">
        <f ca="1">IFERROR(__xludf.DUMMYFUNCTION("""COMPUTED_VALUE"""),413)</f>
        <v>413</v>
      </c>
      <c r="AA143" s="1">
        <f ca="1">IFERROR(__xludf.DUMMYFUNCTION("""COMPUTED_VALUE"""),1328)</f>
        <v>1328</v>
      </c>
      <c r="AB143" s="1">
        <f ca="1">IFERROR(__xludf.DUMMYFUNCTION("""COMPUTED_VALUE"""),488)</f>
        <v>488</v>
      </c>
      <c r="AC143" s="1">
        <f ca="1">IFERROR(__xludf.DUMMYFUNCTION("""COMPUTED_VALUE"""),209)</f>
        <v>209</v>
      </c>
      <c r="AD143" s="1">
        <f ca="1">IFERROR(__xludf.DUMMYFUNCTION("""COMPUTED_VALUE"""),157)</f>
        <v>157</v>
      </c>
      <c r="AE143" s="1">
        <f ca="1">IFERROR(__xludf.DUMMYFUNCTION("""COMPUTED_VALUE"""),517)</f>
        <v>517</v>
      </c>
      <c r="AF143" s="1">
        <f ca="1">IFERROR(__xludf.DUMMYFUNCTION("""COMPUTED_VALUE"""),682)</f>
        <v>682</v>
      </c>
    </row>
    <row r="144" spans="1:32" ht="12.5" x14ac:dyDescent="0.25">
      <c r="A144" s="1" t="str">
        <f ca="1">IFERROR(__xludf.DUMMYFUNCTION("""COMPUTED_VALUE"""),"IonaNCAA")</f>
        <v>IonaNCAA</v>
      </c>
      <c r="B144" s="1">
        <f ca="1">IFERROR(__xludf.DUMMYFUNCTION("""COMPUTED_VALUE"""),35)</f>
        <v>35</v>
      </c>
      <c r="C144" s="1">
        <f ca="1">IFERROR(__xludf.DUMMYFUNCTION("""COMPUTED_VALUE"""),22)</f>
        <v>22</v>
      </c>
      <c r="D144" s="1">
        <f ca="1">IFERROR(__xludf.DUMMYFUNCTION("""COMPUTED_VALUE"""),13)</f>
        <v>13</v>
      </c>
      <c r="E144" s="1">
        <f ca="1">IFERROR(__xludf.DUMMYFUNCTION("""COMPUTED_VALUE"""),0.629)</f>
        <v>0.629</v>
      </c>
      <c r="F144" s="1">
        <f ca="1">IFERROR(__xludf.DUMMYFUNCTION("""COMPUTED_VALUE"""),1.08)</f>
        <v>1.08</v>
      </c>
      <c r="G144" s="1">
        <f ca="1">IFERROR(__xludf.DUMMYFUNCTION("""COMPUTED_VALUE"""),-2.47)</f>
        <v>-2.4700000000000002</v>
      </c>
      <c r="H144" s="1">
        <f ca="1">IFERROR(__xludf.DUMMYFUNCTION("""COMPUTED_VALUE"""),12)</f>
        <v>12</v>
      </c>
      <c r="I144" s="1">
        <f ca="1">IFERROR(__xludf.DUMMYFUNCTION("""COMPUTED_VALUE"""),8)</f>
        <v>8</v>
      </c>
      <c r="J144" s="1">
        <f ca="1">IFERROR(__xludf.DUMMYFUNCTION("""COMPUTED_VALUE"""),8)</f>
        <v>8</v>
      </c>
      <c r="K144" s="1">
        <f ca="1">IFERROR(__xludf.DUMMYFUNCTION("""COMPUTED_VALUE"""),4)</f>
        <v>4</v>
      </c>
      <c r="L144" s="1">
        <f ca="1">IFERROR(__xludf.DUMMYFUNCTION("""COMPUTED_VALUE"""),7)</f>
        <v>7</v>
      </c>
      <c r="M144" s="1">
        <f ca="1">IFERROR(__xludf.DUMMYFUNCTION("""COMPUTED_VALUE"""),7)</f>
        <v>7</v>
      </c>
      <c r="N144" s="1">
        <f ca="1">IFERROR(__xludf.DUMMYFUNCTION("""COMPUTED_VALUE"""),2813)</f>
        <v>2813</v>
      </c>
      <c r="O144" s="1">
        <f ca="1">IFERROR(__xludf.DUMMYFUNCTION("""COMPUTED_VALUE"""),2689)</f>
        <v>2689</v>
      </c>
      <c r="P144" s="1">
        <f ca="1">IFERROR(__xludf.DUMMYFUNCTION("""COMPUTED_VALUE"""),1415)</f>
        <v>1415</v>
      </c>
      <c r="Q144" s="1">
        <f ca="1">IFERROR(__xludf.DUMMYFUNCTION("""COMPUTED_VALUE"""),979)</f>
        <v>979</v>
      </c>
      <c r="R144" s="1">
        <f ca="1">IFERROR(__xludf.DUMMYFUNCTION("""COMPUTED_VALUE"""),2155)</f>
        <v>2155</v>
      </c>
      <c r="S144" s="1">
        <f ca="1">IFERROR(__xludf.DUMMYFUNCTION("""COMPUTED_VALUE"""),0.454)</f>
        <v>0.45400000000000001</v>
      </c>
      <c r="T144" s="1">
        <f ca="1">IFERROR(__xludf.DUMMYFUNCTION("""COMPUTED_VALUE"""),342)</f>
        <v>342</v>
      </c>
      <c r="U144" s="1">
        <f ca="1">IFERROR(__xludf.DUMMYFUNCTION("""COMPUTED_VALUE"""),862)</f>
        <v>862</v>
      </c>
      <c r="V144" s="1">
        <f ca="1">IFERROR(__xludf.DUMMYFUNCTION("""COMPUTED_VALUE"""),0.397)</f>
        <v>0.39700000000000002</v>
      </c>
      <c r="W144" s="1">
        <f ca="1">IFERROR(__xludf.DUMMYFUNCTION("""COMPUTED_VALUE"""),513)</f>
        <v>513</v>
      </c>
      <c r="X144" s="1">
        <f ca="1">IFERROR(__xludf.DUMMYFUNCTION("""COMPUTED_VALUE"""),668)</f>
        <v>668</v>
      </c>
      <c r="Y144" s="1">
        <f ca="1">IFERROR(__xludf.DUMMYFUNCTION("""COMPUTED_VALUE"""),0.768)</f>
        <v>0.76800000000000002</v>
      </c>
      <c r="Z144" s="1">
        <f ca="1">IFERROR(__xludf.DUMMYFUNCTION("""COMPUTED_VALUE"""),337)</f>
        <v>337</v>
      </c>
      <c r="AA144" s="1">
        <f ca="1">IFERROR(__xludf.DUMMYFUNCTION("""COMPUTED_VALUE"""),1250)</f>
        <v>1250</v>
      </c>
      <c r="AB144" s="1">
        <f ca="1">IFERROR(__xludf.DUMMYFUNCTION("""COMPUTED_VALUE"""),541)</f>
        <v>541</v>
      </c>
      <c r="AC144" s="1">
        <f ca="1">IFERROR(__xludf.DUMMYFUNCTION("""COMPUTED_VALUE"""),239)</f>
        <v>239</v>
      </c>
      <c r="AD144" s="1">
        <f ca="1">IFERROR(__xludf.DUMMYFUNCTION("""COMPUTED_VALUE"""),108)</f>
        <v>108</v>
      </c>
      <c r="AE144" s="1">
        <f ca="1">IFERROR(__xludf.DUMMYFUNCTION("""COMPUTED_VALUE"""),421)</f>
        <v>421</v>
      </c>
      <c r="AF144" s="1">
        <f ca="1">IFERROR(__xludf.DUMMYFUNCTION("""COMPUTED_VALUE"""),669)</f>
        <v>669</v>
      </c>
    </row>
    <row r="145" spans="1:32" ht="12.5" x14ac:dyDescent="0.25">
      <c r="A145" s="1" t="str">
        <f ca="1">IFERROR(__xludf.DUMMYFUNCTION("""COMPUTED_VALUE"""),"Iowa StateNCAA")</f>
        <v>Iowa StateNCAA</v>
      </c>
      <c r="B145" s="1">
        <f ca="1">IFERROR(__xludf.DUMMYFUNCTION("""COMPUTED_VALUE"""),35)</f>
        <v>35</v>
      </c>
      <c r="C145" s="1">
        <f ca="1">IFERROR(__xludf.DUMMYFUNCTION("""COMPUTED_VALUE"""),24)</f>
        <v>24</v>
      </c>
      <c r="D145" s="1">
        <f ca="1">IFERROR(__xludf.DUMMYFUNCTION("""COMPUTED_VALUE"""),11)</f>
        <v>11</v>
      </c>
      <c r="E145" s="1">
        <f ca="1">IFERROR(__xludf.DUMMYFUNCTION("""COMPUTED_VALUE"""),0.686)</f>
        <v>0.68600000000000005</v>
      </c>
      <c r="F145" s="1">
        <f ca="1">IFERROR(__xludf.DUMMYFUNCTION("""COMPUTED_VALUE"""),20.51)</f>
        <v>20.51</v>
      </c>
      <c r="G145" s="1">
        <f ca="1">IFERROR(__xludf.DUMMYFUNCTION("""COMPUTED_VALUE"""),11.94)</f>
        <v>11.94</v>
      </c>
      <c r="H145" s="1">
        <f ca="1">IFERROR(__xludf.DUMMYFUNCTION("""COMPUTED_VALUE"""),12)</f>
        <v>12</v>
      </c>
      <c r="I145" s="1">
        <f ca="1">IFERROR(__xludf.DUMMYFUNCTION("""COMPUTED_VALUE"""),6)</f>
        <v>6</v>
      </c>
      <c r="J145" s="1">
        <f ca="1">IFERROR(__xludf.DUMMYFUNCTION("""COMPUTED_VALUE"""),12)</f>
        <v>12</v>
      </c>
      <c r="K145" s="1">
        <f ca="1">IFERROR(__xludf.DUMMYFUNCTION("""COMPUTED_VALUE"""),3)</f>
        <v>3</v>
      </c>
      <c r="L145" s="1">
        <f ca="1">IFERROR(__xludf.DUMMYFUNCTION("""COMPUTED_VALUE"""),5)</f>
        <v>5</v>
      </c>
      <c r="M145" s="1">
        <f ca="1">IFERROR(__xludf.DUMMYFUNCTION("""COMPUTED_VALUE"""),6)</f>
        <v>6</v>
      </c>
      <c r="N145" s="1">
        <f ca="1">IFERROR(__xludf.DUMMYFUNCTION("""COMPUTED_VALUE"""),2829)</f>
        <v>2829</v>
      </c>
      <c r="O145" s="1">
        <f ca="1">IFERROR(__xludf.DUMMYFUNCTION("""COMPUTED_VALUE"""),2529)</f>
        <v>2529</v>
      </c>
      <c r="P145" s="1">
        <f ca="1">IFERROR(__xludf.DUMMYFUNCTION("""COMPUTED_VALUE"""),1425)</f>
        <v>1425</v>
      </c>
      <c r="Q145" s="1">
        <f ca="1">IFERROR(__xludf.DUMMYFUNCTION("""COMPUTED_VALUE"""),1031)</f>
        <v>1031</v>
      </c>
      <c r="R145" s="1">
        <f ca="1">IFERROR(__xludf.DUMMYFUNCTION("""COMPUTED_VALUE"""),2186)</f>
        <v>2186</v>
      </c>
      <c r="S145" s="1">
        <f ca="1">IFERROR(__xludf.DUMMYFUNCTION("""COMPUTED_VALUE"""),0.472)</f>
        <v>0.47199999999999998</v>
      </c>
      <c r="T145" s="1">
        <f ca="1">IFERROR(__xludf.DUMMYFUNCTION("""COMPUTED_VALUE"""),344)</f>
        <v>344</v>
      </c>
      <c r="U145" s="1">
        <f ca="1">IFERROR(__xludf.DUMMYFUNCTION("""COMPUTED_VALUE"""),860)</f>
        <v>860</v>
      </c>
      <c r="V145" s="1">
        <f ca="1">IFERROR(__xludf.DUMMYFUNCTION("""COMPUTED_VALUE"""),0.4)</f>
        <v>0.4</v>
      </c>
      <c r="W145" s="1">
        <f ca="1">IFERROR(__xludf.DUMMYFUNCTION("""COMPUTED_VALUE"""),423)</f>
        <v>423</v>
      </c>
      <c r="X145" s="1">
        <f ca="1">IFERROR(__xludf.DUMMYFUNCTION("""COMPUTED_VALUE"""),604)</f>
        <v>604</v>
      </c>
      <c r="Y145" s="1">
        <f ca="1">IFERROR(__xludf.DUMMYFUNCTION("""COMPUTED_VALUE"""),0.7)</f>
        <v>0.7</v>
      </c>
      <c r="Z145" s="1">
        <f ca="1">IFERROR(__xludf.DUMMYFUNCTION("""COMPUTED_VALUE"""),318)</f>
        <v>318</v>
      </c>
      <c r="AA145" s="1">
        <f ca="1">IFERROR(__xludf.DUMMYFUNCTION("""COMPUTED_VALUE"""),1219)</f>
        <v>1219</v>
      </c>
      <c r="AB145" s="1">
        <f ca="1">IFERROR(__xludf.DUMMYFUNCTION("""COMPUTED_VALUE"""),553)</f>
        <v>553</v>
      </c>
      <c r="AC145" s="1">
        <f ca="1">IFERROR(__xludf.DUMMYFUNCTION("""COMPUTED_VALUE"""),272)</f>
        <v>272</v>
      </c>
      <c r="AD145" s="1">
        <f ca="1">IFERROR(__xludf.DUMMYFUNCTION("""COMPUTED_VALUE"""),124)</f>
        <v>124</v>
      </c>
      <c r="AE145" s="1">
        <f ca="1">IFERROR(__xludf.DUMMYFUNCTION("""COMPUTED_VALUE"""),355)</f>
        <v>355</v>
      </c>
      <c r="AF145" s="1">
        <f ca="1">IFERROR(__xludf.DUMMYFUNCTION("""COMPUTED_VALUE"""),557)</f>
        <v>557</v>
      </c>
    </row>
    <row r="146" spans="1:32" ht="12.5" x14ac:dyDescent="0.25">
      <c r="A146" s="1" t="str">
        <f ca="1">IFERROR(__xludf.DUMMYFUNCTION("""COMPUTED_VALUE"""),"Iowa")</f>
        <v>Iowa</v>
      </c>
      <c r="B146" s="1">
        <f ca="1">IFERROR(__xludf.DUMMYFUNCTION("""COMPUTED_VALUE"""),34)</f>
        <v>34</v>
      </c>
      <c r="C146" s="1">
        <f ca="1">IFERROR(__xludf.DUMMYFUNCTION("""COMPUTED_VALUE"""),19)</f>
        <v>19</v>
      </c>
      <c r="D146" s="1">
        <f ca="1">IFERROR(__xludf.DUMMYFUNCTION("""COMPUTED_VALUE"""),15)</f>
        <v>15</v>
      </c>
      <c r="E146" s="1">
        <f ca="1">IFERROR(__xludf.DUMMYFUNCTION("""COMPUTED_VALUE"""),0.559)</f>
        <v>0.55900000000000005</v>
      </c>
      <c r="F146" s="1">
        <f ca="1">IFERROR(__xludf.DUMMYFUNCTION("""COMPUTED_VALUE"""),10.01)</f>
        <v>10.01</v>
      </c>
      <c r="G146" s="1">
        <f ca="1">IFERROR(__xludf.DUMMYFUNCTION("""COMPUTED_VALUE"""),7.54)</f>
        <v>7.54</v>
      </c>
      <c r="H146" s="1">
        <f ca="1">IFERROR(__xludf.DUMMYFUNCTION("""COMPUTED_VALUE"""),10)</f>
        <v>10</v>
      </c>
      <c r="I146" s="1">
        <f ca="1">IFERROR(__xludf.DUMMYFUNCTION("""COMPUTED_VALUE"""),8)</f>
        <v>8</v>
      </c>
      <c r="J146" s="1">
        <f ca="1">IFERROR(__xludf.DUMMYFUNCTION("""COMPUTED_VALUE"""),15)</f>
        <v>15</v>
      </c>
      <c r="K146" s="1">
        <f ca="1">IFERROR(__xludf.DUMMYFUNCTION("""COMPUTED_VALUE"""),5)</f>
        <v>5</v>
      </c>
      <c r="L146" s="1">
        <f ca="1">IFERROR(__xludf.DUMMYFUNCTION("""COMPUTED_VALUE"""),3)</f>
        <v>3</v>
      </c>
      <c r="M146" s="1">
        <f ca="1">IFERROR(__xludf.DUMMYFUNCTION("""COMPUTED_VALUE"""),7)</f>
        <v>7</v>
      </c>
      <c r="N146" s="1">
        <f ca="1">IFERROR(__xludf.DUMMYFUNCTION("""COMPUTED_VALUE"""),2738)</f>
        <v>2738</v>
      </c>
      <c r="O146" s="1">
        <f ca="1">IFERROR(__xludf.DUMMYFUNCTION("""COMPUTED_VALUE"""),2654)</f>
        <v>2654</v>
      </c>
      <c r="P146" s="1">
        <f ca="1">IFERROR(__xludf.DUMMYFUNCTION("""COMPUTED_VALUE"""),1395)</f>
        <v>1395</v>
      </c>
      <c r="Q146" s="1">
        <f ca="1">IFERROR(__xludf.DUMMYFUNCTION("""COMPUTED_VALUE"""),964)</f>
        <v>964</v>
      </c>
      <c r="R146" s="1">
        <f ca="1">IFERROR(__xludf.DUMMYFUNCTION("""COMPUTED_VALUE"""),2121)</f>
        <v>2121</v>
      </c>
      <c r="S146" s="1">
        <f ca="1">IFERROR(__xludf.DUMMYFUNCTION("""COMPUTED_VALUE"""),0.455)</f>
        <v>0.45500000000000002</v>
      </c>
      <c r="T146" s="1">
        <f ca="1">IFERROR(__xludf.DUMMYFUNCTION("""COMPUTED_VALUE"""),300)</f>
        <v>300</v>
      </c>
      <c r="U146" s="1">
        <f ca="1">IFERROR(__xludf.DUMMYFUNCTION("""COMPUTED_VALUE"""),791)</f>
        <v>791</v>
      </c>
      <c r="V146" s="1">
        <f ca="1">IFERROR(__xludf.DUMMYFUNCTION("""COMPUTED_VALUE"""),0.379)</f>
        <v>0.379</v>
      </c>
      <c r="W146" s="1">
        <f ca="1">IFERROR(__xludf.DUMMYFUNCTION("""COMPUTED_VALUE"""),510)</f>
        <v>510</v>
      </c>
      <c r="X146" s="1">
        <f ca="1">IFERROR(__xludf.DUMMYFUNCTION("""COMPUTED_VALUE"""),741)</f>
        <v>741</v>
      </c>
      <c r="Y146" s="1">
        <f ca="1">IFERROR(__xludf.DUMMYFUNCTION("""COMPUTED_VALUE"""),0.688)</f>
        <v>0.68799999999999994</v>
      </c>
      <c r="Z146" s="1">
        <f ca="1">IFERROR(__xludf.DUMMYFUNCTION("""COMPUTED_VALUE"""),408)</f>
        <v>408</v>
      </c>
      <c r="AA146" s="1">
        <f ca="1">IFERROR(__xludf.DUMMYFUNCTION("""COMPUTED_VALUE"""),1306)</f>
        <v>1306</v>
      </c>
      <c r="AB146" s="1">
        <f ca="1">IFERROR(__xludf.DUMMYFUNCTION("""COMPUTED_VALUE"""),602)</f>
        <v>602</v>
      </c>
      <c r="AC146" s="1">
        <f ca="1">IFERROR(__xludf.DUMMYFUNCTION("""COMPUTED_VALUE"""),252)</f>
        <v>252</v>
      </c>
      <c r="AD146" s="1">
        <f ca="1">IFERROR(__xludf.DUMMYFUNCTION("""COMPUTED_VALUE"""),130)</f>
        <v>130</v>
      </c>
      <c r="AE146" s="1">
        <f ca="1">IFERROR(__xludf.DUMMYFUNCTION("""COMPUTED_VALUE"""),472)</f>
        <v>472</v>
      </c>
      <c r="AF146" s="1">
        <f ca="1">IFERROR(__xludf.DUMMYFUNCTION("""COMPUTED_VALUE"""),608)</f>
        <v>608</v>
      </c>
    </row>
    <row r="147" spans="1:32" ht="12.5" x14ac:dyDescent="0.25">
      <c r="A147" s="1" t="str">
        <f ca="1">IFERROR(__xludf.DUMMYFUNCTION("""COMPUTED_VALUE"""),"Purdue-Fort Wayne")</f>
        <v>Purdue-Fort Wayne</v>
      </c>
      <c r="B147" s="1">
        <f ca="1">IFERROR(__xludf.DUMMYFUNCTION("""COMPUTED_VALUE"""),33)</f>
        <v>33</v>
      </c>
      <c r="C147" s="1">
        <f ca="1">IFERROR(__xludf.DUMMYFUNCTION("""COMPUTED_VALUE"""),20)</f>
        <v>20</v>
      </c>
      <c r="D147" s="1">
        <f ca="1">IFERROR(__xludf.DUMMYFUNCTION("""COMPUTED_VALUE"""),13)</f>
        <v>13</v>
      </c>
      <c r="E147" s="1">
        <f ca="1">IFERROR(__xludf.DUMMYFUNCTION("""COMPUTED_VALUE"""),0.606)</f>
        <v>0.60599999999999998</v>
      </c>
      <c r="F147" s="1">
        <f ca="1">IFERROR(__xludf.DUMMYFUNCTION("""COMPUTED_VALUE"""),0.38)</f>
        <v>0.38</v>
      </c>
      <c r="G147" s="1">
        <f ca="1">IFERROR(__xludf.DUMMYFUNCTION("""COMPUTED_VALUE"""),-3.19)</f>
        <v>-3.19</v>
      </c>
      <c r="H147" s="1">
        <f ca="1">IFERROR(__xludf.DUMMYFUNCTION("""COMPUTED_VALUE"""),8)</f>
        <v>8</v>
      </c>
      <c r="I147" s="1">
        <f ca="1">IFERROR(__xludf.DUMMYFUNCTION("""COMPUTED_VALUE"""),8)</f>
        <v>8</v>
      </c>
      <c r="J147" s="1">
        <f ca="1">IFERROR(__xludf.DUMMYFUNCTION("""COMPUTED_VALUE"""),14)</f>
        <v>14</v>
      </c>
      <c r="K147" s="1">
        <f ca="1">IFERROR(__xludf.DUMMYFUNCTION("""COMPUTED_VALUE"""),3)</f>
        <v>3</v>
      </c>
      <c r="L147" s="1">
        <f ca="1">IFERROR(__xludf.DUMMYFUNCTION("""COMPUTED_VALUE"""),6)</f>
        <v>6</v>
      </c>
      <c r="M147" s="1">
        <f ca="1">IFERROR(__xludf.DUMMYFUNCTION("""COMPUTED_VALUE"""),9)</f>
        <v>9</v>
      </c>
      <c r="N147" s="1">
        <f ca="1">IFERROR(__xludf.DUMMYFUNCTION("""COMPUTED_VALUE"""),2869)</f>
        <v>2869</v>
      </c>
      <c r="O147" s="1">
        <f ca="1">IFERROR(__xludf.DUMMYFUNCTION("""COMPUTED_VALUE"""),2602)</f>
        <v>2602</v>
      </c>
      <c r="P147" s="1">
        <f ca="1">IFERROR(__xludf.DUMMYFUNCTION("""COMPUTED_VALUE"""),1340)</f>
        <v>1340</v>
      </c>
      <c r="Q147" s="1">
        <f ca="1">IFERROR(__xludf.DUMMYFUNCTION("""COMPUTED_VALUE"""),1055)</f>
        <v>1055</v>
      </c>
      <c r="R147" s="1">
        <f ca="1">IFERROR(__xludf.DUMMYFUNCTION("""COMPUTED_VALUE"""),2127)</f>
        <v>2127</v>
      </c>
      <c r="S147" s="1">
        <f ca="1">IFERROR(__xludf.DUMMYFUNCTION("""COMPUTED_VALUE"""),0.496)</f>
        <v>0.496</v>
      </c>
      <c r="T147" s="1">
        <f ca="1">IFERROR(__xludf.DUMMYFUNCTION("""COMPUTED_VALUE"""),352)</f>
        <v>352</v>
      </c>
      <c r="U147" s="1">
        <f ca="1">IFERROR(__xludf.DUMMYFUNCTION("""COMPUTED_VALUE"""),876)</f>
        <v>876</v>
      </c>
      <c r="V147" s="1">
        <f ca="1">IFERROR(__xludf.DUMMYFUNCTION("""COMPUTED_VALUE"""),0.402)</f>
        <v>0.40200000000000002</v>
      </c>
      <c r="W147" s="1">
        <f ca="1">IFERROR(__xludf.DUMMYFUNCTION("""COMPUTED_VALUE"""),407)</f>
        <v>407</v>
      </c>
      <c r="X147" s="1">
        <f ca="1">IFERROR(__xludf.DUMMYFUNCTION("""COMPUTED_VALUE"""),561)</f>
        <v>561</v>
      </c>
      <c r="Y147" s="1">
        <f ca="1">IFERROR(__xludf.DUMMYFUNCTION("""COMPUTED_VALUE"""),0.725)</f>
        <v>0.72499999999999998</v>
      </c>
      <c r="Z147" s="1">
        <f ca="1">IFERROR(__xludf.DUMMYFUNCTION("""COMPUTED_VALUE"""),334)</f>
        <v>334</v>
      </c>
      <c r="AA147" s="1">
        <f ca="1">IFERROR(__xludf.DUMMYFUNCTION("""COMPUTED_VALUE"""),1245)</f>
        <v>1245</v>
      </c>
      <c r="AB147" s="1">
        <f ca="1">IFERROR(__xludf.DUMMYFUNCTION("""COMPUTED_VALUE"""),576)</f>
        <v>576</v>
      </c>
      <c r="AC147" s="1">
        <f ca="1">IFERROR(__xludf.DUMMYFUNCTION("""COMPUTED_VALUE"""),255)</f>
        <v>255</v>
      </c>
      <c r="AD147" s="1">
        <f ca="1">IFERROR(__xludf.DUMMYFUNCTION("""COMPUTED_VALUE"""),129)</f>
        <v>129</v>
      </c>
      <c r="AE147" s="1">
        <f ca="1">IFERROR(__xludf.DUMMYFUNCTION("""COMPUTED_VALUE"""),450)</f>
        <v>450</v>
      </c>
      <c r="AF147" s="1">
        <f ca="1">IFERROR(__xludf.DUMMYFUNCTION("""COMPUTED_VALUE"""),592)</f>
        <v>592</v>
      </c>
    </row>
    <row r="148" spans="1:32" ht="12.5" x14ac:dyDescent="0.25">
      <c r="A148" s="1" t="str">
        <f ca="1">IFERROR(__xludf.DUMMYFUNCTION("""COMPUTED_VALUE"""),"IUPUI")</f>
        <v>IUPUI</v>
      </c>
      <c r="B148" s="1">
        <f ca="1">IFERROR(__xludf.DUMMYFUNCTION("""COMPUTED_VALUE"""),32)</f>
        <v>32</v>
      </c>
      <c r="C148" s="1">
        <f ca="1">IFERROR(__xludf.DUMMYFUNCTION("""COMPUTED_VALUE"""),14)</f>
        <v>14</v>
      </c>
      <c r="D148" s="1">
        <f ca="1">IFERROR(__xludf.DUMMYFUNCTION("""COMPUTED_VALUE"""),18)</f>
        <v>18</v>
      </c>
      <c r="E148" s="1">
        <f ca="1">IFERROR(__xludf.DUMMYFUNCTION("""COMPUTED_VALUE"""),0.438)</f>
        <v>0.438</v>
      </c>
      <c r="F148" s="1">
        <f ca="1">IFERROR(__xludf.DUMMYFUNCTION("""COMPUTED_VALUE"""),-4.29)</f>
        <v>-4.29</v>
      </c>
      <c r="G148" s="1">
        <f ca="1">IFERROR(__xludf.DUMMYFUNCTION("""COMPUTED_VALUE"""),-1.62)</f>
        <v>-1.62</v>
      </c>
      <c r="H148" s="1">
        <f ca="1">IFERROR(__xludf.DUMMYFUNCTION("""COMPUTED_VALUE"""),7)</f>
        <v>7</v>
      </c>
      <c r="I148" s="1">
        <f ca="1">IFERROR(__xludf.DUMMYFUNCTION("""COMPUTED_VALUE"""),9)</f>
        <v>9</v>
      </c>
      <c r="J148" s="1">
        <f ca="1">IFERROR(__xludf.DUMMYFUNCTION("""COMPUTED_VALUE"""),8)</f>
        <v>8</v>
      </c>
      <c r="K148" s="1">
        <f ca="1">IFERROR(__xludf.DUMMYFUNCTION("""COMPUTED_VALUE"""),4)</f>
        <v>4</v>
      </c>
      <c r="L148" s="1">
        <f ca="1">IFERROR(__xludf.DUMMYFUNCTION("""COMPUTED_VALUE"""),5)</f>
        <v>5</v>
      </c>
      <c r="M148" s="1">
        <f ca="1">IFERROR(__xludf.DUMMYFUNCTION("""COMPUTED_VALUE"""),13)</f>
        <v>13</v>
      </c>
      <c r="N148" s="1">
        <f ca="1">IFERROR(__xludf.DUMMYFUNCTION("""COMPUTED_VALUE"""),2500)</f>
        <v>2500</v>
      </c>
      <c r="O148" s="1">
        <f ca="1">IFERROR(__xludf.DUMMYFUNCTION("""COMPUTED_VALUE"""),2517)</f>
        <v>2517</v>
      </c>
      <c r="P148" s="1">
        <f ca="1">IFERROR(__xludf.DUMMYFUNCTION("""COMPUTED_VALUE"""),1290)</f>
        <v>1290</v>
      </c>
      <c r="Q148" s="1">
        <f ca="1">IFERROR(__xludf.DUMMYFUNCTION("""COMPUTED_VALUE"""),883)</f>
        <v>883</v>
      </c>
      <c r="R148" s="1">
        <f ca="1">IFERROR(__xludf.DUMMYFUNCTION("""COMPUTED_VALUE"""),1957)</f>
        <v>1957</v>
      </c>
      <c r="S148" s="1">
        <f ca="1">IFERROR(__xludf.DUMMYFUNCTION("""COMPUTED_VALUE"""),0.451)</f>
        <v>0.45100000000000001</v>
      </c>
      <c r="T148" s="1">
        <f ca="1">IFERROR(__xludf.DUMMYFUNCTION("""COMPUTED_VALUE"""),288)</f>
        <v>288</v>
      </c>
      <c r="U148" s="1">
        <f ca="1">IFERROR(__xludf.DUMMYFUNCTION("""COMPUTED_VALUE"""),743)</f>
        <v>743</v>
      </c>
      <c r="V148" s="1">
        <f ca="1">IFERROR(__xludf.DUMMYFUNCTION("""COMPUTED_VALUE"""),0.388)</f>
        <v>0.38800000000000001</v>
      </c>
      <c r="W148" s="1">
        <f ca="1">IFERROR(__xludf.DUMMYFUNCTION("""COMPUTED_VALUE"""),446)</f>
        <v>446</v>
      </c>
      <c r="X148" s="1">
        <f ca="1">IFERROR(__xludf.DUMMYFUNCTION("""COMPUTED_VALUE"""),653)</f>
        <v>653</v>
      </c>
      <c r="Y148" s="1">
        <f ca="1">IFERROR(__xludf.DUMMYFUNCTION("""COMPUTED_VALUE"""),0.683)</f>
        <v>0.68300000000000005</v>
      </c>
      <c r="Z148" s="1">
        <f ca="1">IFERROR(__xludf.DUMMYFUNCTION("""COMPUTED_VALUE"""),348)</f>
        <v>348</v>
      </c>
      <c r="AA148" s="1">
        <f ca="1">IFERROR(__xludf.DUMMYFUNCTION("""COMPUTED_VALUE"""),1104)</f>
        <v>1104</v>
      </c>
      <c r="AB148" s="1">
        <f ca="1">IFERROR(__xludf.DUMMYFUNCTION("""COMPUTED_VALUE"""),455)</f>
        <v>455</v>
      </c>
      <c r="AC148" s="1">
        <f ca="1">IFERROR(__xludf.DUMMYFUNCTION("""COMPUTED_VALUE"""),217)</f>
        <v>217</v>
      </c>
      <c r="AD148" s="1">
        <f ca="1">IFERROR(__xludf.DUMMYFUNCTION("""COMPUTED_VALUE"""),87)</f>
        <v>87</v>
      </c>
      <c r="AE148" s="1">
        <f ca="1">IFERROR(__xludf.DUMMYFUNCTION("""COMPUTED_VALUE"""),401)</f>
        <v>401</v>
      </c>
      <c r="AF148" s="1">
        <f ca="1">IFERROR(__xludf.DUMMYFUNCTION("""COMPUTED_VALUE"""),655)</f>
        <v>655</v>
      </c>
    </row>
    <row r="149" spans="1:32" ht="12.5" x14ac:dyDescent="0.25">
      <c r="A149" s="1" t="str">
        <f ca="1">IFERROR(__xludf.DUMMYFUNCTION("""COMPUTED_VALUE"""),"Jackson State")</f>
        <v>Jackson State</v>
      </c>
      <c r="B149" s="1">
        <f ca="1">IFERROR(__xludf.DUMMYFUNCTION("""COMPUTED_VALUE"""),32)</f>
        <v>32</v>
      </c>
      <c r="C149" s="1">
        <f ca="1">IFERROR(__xludf.DUMMYFUNCTION("""COMPUTED_VALUE"""),14)</f>
        <v>14</v>
      </c>
      <c r="D149" s="1">
        <f ca="1">IFERROR(__xludf.DUMMYFUNCTION("""COMPUTED_VALUE"""),18)</f>
        <v>18</v>
      </c>
      <c r="E149" s="1">
        <f ca="1">IFERROR(__xludf.DUMMYFUNCTION("""COMPUTED_VALUE"""),0.438)</f>
        <v>0.438</v>
      </c>
      <c r="F149" s="1">
        <f ca="1">IFERROR(__xludf.DUMMYFUNCTION("""COMPUTED_VALUE"""),-15.42)</f>
        <v>-15.42</v>
      </c>
      <c r="G149" s="1">
        <f ca="1">IFERROR(__xludf.DUMMYFUNCTION("""COMPUTED_VALUE"""),-11.55)</f>
        <v>-11.55</v>
      </c>
      <c r="H149" s="1">
        <f ca="1">IFERROR(__xludf.DUMMYFUNCTION("""COMPUTED_VALUE"""),10)</f>
        <v>10</v>
      </c>
      <c r="I149" s="1">
        <f ca="1">IFERROR(__xludf.DUMMYFUNCTION("""COMPUTED_VALUE"""),8)</f>
        <v>8</v>
      </c>
      <c r="J149" s="1">
        <f ca="1">IFERROR(__xludf.DUMMYFUNCTION("""COMPUTED_VALUE"""),10)</f>
        <v>10</v>
      </c>
      <c r="K149" s="1">
        <f ca="1">IFERROR(__xludf.DUMMYFUNCTION("""COMPUTED_VALUE"""),4)</f>
        <v>4</v>
      </c>
      <c r="L149" s="1">
        <f ca="1">IFERROR(__xludf.DUMMYFUNCTION("""COMPUTED_VALUE"""),4)</f>
        <v>4</v>
      </c>
      <c r="M149" s="1">
        <f ca="1">IFERROR(__xludf.DUMMYFUNCTION("""COMPUTED_VALUE"""),13)</f>
        <v>13</v>
      </c>
      <c r="N149" s="1">
        <f ca="1">IFERROR(__xludf.DUMMYFUNCTION("""COMPUTED_VALUE"""),2066)</f>
        <v>2066</v>
      </c>
      <c r="O149" s="1">
        <f ca="1">IFERROR(__xludf.DUMMYFUNCTION("""COMPUTED_VALUE"""),2142)</f>
        <v>2142</v>
      </c>
      <c r="P149" s="1">
        <f ca="1">IFERROR(__xludf.DUMMYFUNCTION("""COMPUTED_VALUE"""),1290)</f>
        <v>1290</v>
      </c>
      <c r="Q149" s="1">
        <f ca="1">IFERROR(__xludf.DUMMYFUNCTION("""COMPUTED_VALUE"""),716)</f>
        <v>716</v>
      </c>
      <c r="R149" s="1">
        <f ca="1">IFERROR(__xludf.DUMMYFUNCTION("""COMPUTED_VALUE"""),1860)</f>
        <v>1860</v>
      </c>
      <c r="S149" s="1">
        <f ca="1">IFERROR(__xludf.DUMMYFUNCTION("""COMPUTED_VALUE"""),0.385)</f>
        <v>0.38500000000000001</v>
      </c>
      <c r="T149" s="1">
        <f ca="1">IFERROR(__xludf.DUMMYFUNCTION("""COMPUTED_VALUE"""),217)</f>
        <v>217</v>
      </c>
      <c r="U149" s="1">
        <f ca="1">IFERROR(__xludf.DUMMYFUNCTION("""COMPUTED_VALUE"""),730)</f>
        <v>730</v>
      </c>
      <c r="V149" s="1">
        <f ca="1">IFERROR(__xludf.DUMMYFUNCTION("""COMPUTED_VALUE"""),0.297)</f>
        <v>0.29699999999999999</v>
      </c>
      <c r="W149" s="1">
        <f ca="1">IFERROR(__xludf.DUMMYFUNCTION("""COMPUTED_VALUE"""),417)</f>
        <v>417</v>
      </c>
      <c r="X149" s="1">
        <f ca="1">IFERROR(__xludf.DUMMYFUNCTION("""COMPUTED_VALUE"""),619)</f>
        <v>619</v>
      </c>
      <c r="Y149" s="1">
        <f ca="1">IFERROR(__xludf.DUMMYFUNCTION("""COMPUTED_VALUE"""),0.674)</f>
        <v>0.67400000000000004</v>
      </c>
      <c r="Z149" s="1">
        <f ca="1">IFERROR(__xludf.DUMMYFUNCTION("""COMPUTED_VALUE"""),425)</f>
        <v>425</v>
      </c>
      <c r="AA149" s="1">
        <f ca="1">IFERROR(__xludf.DUMMYFUNCTION("""COMPUTED_VALUE"""),1162)</f>
        <v>1162</v>
      </c>
      <c r="AB149" s="1">
        <f ca="1">IFERROR(__xludf.DUMMYFUNCTION("""COMPUTED_VALUE"""),350)</f>
        <v>350</v>
      </c>
      <c r="AC149" s="1">
        <f ca="1">IFERROR(__xludf.DUMMYFUNCTION("""COMPUTED_VALUE"""),197)</f>
        <v>197</v>
      </c>
      <c r="AD149" s="1">
        <f ca="1">IFERROR(__xludf.DUMMYFUNCTION("""COMPUTED_VALUE"""),83)</f>
        <v>83</v>
      </c>
      <c r="AE149" s="1">
        <f ca="1">IFERROR(__xludf.DUMMYFUNCTION("""COMPUTED_VALUE"""),390)</f>
        <v>390</v>
      </c>
      <c r="AF149" s="1">
        <f ca="1">IFERROR(__xludf.DUMMYFUNCTION("""COMPUTED_VALUE"""),648)</f>
        <v>648</v>
      </c>
    </row>
    <row r="150" spans="1:32" ht="12.5" x14ac:dyDescent="0.25">
      <c r="A150" s="1" t="str">
        <f ca="1">IFERROR(__xludf.DUMMYFUNCTION("""COMPUTED_VALUE"""),"Jacksonville StateNCAA")</f>
        <v>Jacksonville StateNCAA</v>
      </c>
      <c r="B150" s="1">
        <f ca="1">IFERROR(__xludf.DUMMYFUNCTION("""COMPUTED_VALUE"""),35)</f>
        <v>35</v>
      </c>
      <c r="C150" s="1">
        <f ca="1">IFERROR(__xludf.DUMMYFUNCTION("""COMPUTED_VALUE"""),20)</f>
        <v>20</v>
      </c>
      <c r="D150" s="1">
        <f ca="1">IFERROR(__xludf.DUMMYFUNCTION("""COMPUTED_VALUE"""),15)</f>
        <v>15</v>
      </c>
      <c r="E150" s="1">
        <f ca="1">IFERROR(__xludf.DUMMYFUNCTION("""COMPUTED_VALUE"""),0.571)</f>
        <v>0.57099999999999995</v>
      </c>
      <c r="F150" s="1">
        <f ca="1">IFERROR(__xludf.DUMMYFUNCTION("""COMPUTED_VALUE"""),-2.85)</f>
        <v>-2.85</v>
      </c>
      <c r="G150" s="1">
        <f ca="1">IFERROR(__xludf.DUMMYFUNCTION("""COMPUTED_VALUE"""),-3.24)</f>
        <v>-3.24</v>
      </c>
      <c r="H150" s="1">
        <f ca="1">IFERROR(__xludf.DUMMYFUNCTION("""COMPUTED_VALUE"""),9)</f>
        <v>9</v>
      </c>
      <c r="I150" s="1">
        <f ca="1">IFERROR(__xludf.DUMMYFUNCTION("""COMPUTED_VALUE"""),7)</f>
        <v>7</v>
      </c>
      <c r="J150" s="1">
        <f ca="1">IFERROR(__xludf.DUMMYFUNCTION("""COMPUTED_VALUE"""),5)</f>
        <v>5</v>
      </c>
      <c r="K150" s="1">
        <f ca="1">IFERROR(__xludf.DUMMYFUNCTION("""COMPUTED_VALUE"""),5)</f>
        <v>5</v>
      </c>
      <c r="L150" s="1">
        <f ca="1">IFERROR(__xludf.DUMMYFUNCTION("""COMPUTED_VALUE"""),10)</f>
        <v>10</v>
      </c>
      <c r="M150" s="1">
        <f ca="1">IFERROR(__xludf.DUMMYFUNCTION("""COMPUTED_VALUE"""),9)</f>
        <v>9</v>
      </c>
      <c r="N150" s="1">
        <f ca="1">IFERROR(__xludf.DUMMYFUNCTION("""COMPUTED_VALUE"""),2434)</f>
        <v>2434</v>
      </c>
      <c r="O150" s="1">
        <f ca="1">IFERROR(__xludf.DUMMYFUNCTION("""COMPUTED_VALUE"""),2378)</f>
        <v>2378</v>
      </c>
      <c r="P150" s="1">
        <f ca="1">IFERROR(__xludf.DUMMYFUNCTION("""COMPUTED_VALUE"""),1410)</f>
        <v>1410</v>
      </c>
      <c r="Q150" s="1">
        <f ca="1">IFERROR(__xludf.DUMMYFUNCTION("""COMPUTED_VALUE"""),857)</f>
        <v>857</v>
      </c>
      <c r="R150" s="1">
        <f ca="1">IFERROR(__xludf.DUMMYFUNCTION("""COMPUTED_VALUE"""),1869)</f>
        <v>1869</v>
      </c>
      <c r="S150" s="1">
        <f ca="1">IFERROR(__xludf.DUMMYFUNCTION("""COMPUTED_VALUE"""),0.459)</f>
        <v>0.45900000000000002</v>
      </c>
      <c r="T150" s="1">
        <f ca="1">IFERROR(__xludf.DUMMYFUNCTION("""COMPUTED_VALUE"""),258)</f>
        <v>258</v>
      </c>
      <c r="U150" s="1">
        <f ca="1">IFERROR(__xludf.DUMMYFUNCTION("""COMPUTED_VALUE"""),685)</f>
        <v>685</v>
      </c>
      <c r="V150" s="1">
        <f ca="1">IFERROR(__xludf.DUMMYFUNCTION("""COMPUTED_VALUE"""),0.377)</f>
        <v>0.377</v>
      </c>
      <c r="W150" s="1">
        <f ca="1">IFERROR(__xludf.DUMMYFUNCTION("""COMPUTED_VALUE"""),462)</f>
        <v>462</v>
      </c>
      <c r="X150" s="1">
        <f ca="1">IFERROR(__xludf.DUMMYFUNCTION("""COMPUTED_VALUE"""),647)</f>
        <v>647</v>
      </c>
      <c r="Y150" s="1">
        <f ca="1">IFERROR(__xludf.DUMMYFUNCTION("""COMPUTED_VALUE"""),0.714)</f>
        <v>0.71399999999999997</v>
      </c>
      <c r="Z150" s="1">
        <f ca="1">IFERROR(__xludf.DUMMYFUNCTION("""COMPUTED_VALUE"""),355)</f>
        <v>355</v>
      </c>
      <c r="AA150" s="1">
        <f ca="1">IFERROR(__xludf.DUMMYFUNCTION("""COMPUTED_VALUE"""),1244)</f>
        <v>1244</v>
      </c>
      <c r="AB150" s="1">
        <f ca="1">IFERROR(__xludf.DUMMYFUNCTION("""COMPUTED_VALUE"""),493)</f>
        <v>493</v>
      </c>
      <c r="AC150" s="1">
        <f ca="1">IFERROR(__xludf.DUMMYFUNCTION("""COMPUTED_VALUE"""),157)</f>
        <v>157</v>
      </c>
      <c r="AD150" s="1">
        <f ca="1">IFERROR(__xludf.DUMMYFUNCTION("""COMPUTED_VALUE"""),134)</f>
        <v>134</v>
      </c>
      <c r="AE150" s="1">
        <f ca="1">IFERROR(__xludf.DUMMYFUNCTION("""COMPUTED_VALUE"""),477)</f>
        <v>477</v>
      </c>
      <c r="AF150" s="1">
        <f ca="1">IFERROR(__xludf.DUMMYFUNCTION("""COMPUTED_VALUE"""),628)</f>
        <v>628</v>
      </c>
    </row>
    <row r="151" spans="1:32" ht="12.5" x14ac:dyDescent="0.25">
      <c r="A151" s="1" t="str">
        <f ca="1">IFERROR(__xludf.DUMMYFUNCTION("""COMPUTED_VALUE"""),"Jacksonville")</f>
        <v>Jacksonville</v>
      </c>
      <c r="B151" s="1">
        <f ca="1">IFERROR(__xludf.DUMMYFUNCTION("""COMPUTED_VALUE"""),33)</f>
        <v>33</v>
      </c>
      <c r="C151" s="1">
        <f ca="1">IFERROR(__xludf.DUMMYFUNCTION("""COMPUTED_VALUE"""),17)</f>
        <v>17</v>
      </c>
      <c r="D151" s="1">
        <f ca="1">IFERROR(__xludf.DUMMYFUNCTION("""COMPUTED_VALUE"""),16)</f>
        <v>16</v>
      </c>
      <c r="E151" s="1">
        <f ca="1">IFERROR(__xludf.DUMMYFUNCTION("""COMPUTED_VALUE"""),0.515)</f>
        <v>0.51500000000000001</v>
      </c>
      <c r="F151" s="1">
        <f ca="1">IFERROR(__xludf.DUMMYFUNCTION("""COMPUTED_VALUE"""),-10.21)</f>
        <v>-10.210000000000001</v>
      </c>
      <c r="G151" s="1">
        <f ca="1">IFERROR(__xludf.DUMMYFUNCTION("""COMPUTED_VALUE"""),-8.45)</f>
        <v>-8.4499999999999993</v>
      </c>
      <c r="H151" s="1">
        <f ca="1">IFERROR(__xludf.DUMMYFUNCTION("""COMPUTED_VALUE"""),5)</f>
        <v>5</v>
      </c>
      <c r="I151" s="1">
        <f ca="1">IFERROR(__xludf.DUMMYFUNCTION("""COMPUTED_VALUE"""),9)</f>
        <v>9</v>
      </c>
      <c r="J151" s="1">
        <f ca="1">IFERROR(__xludf.DUMMYFUNCTION("""COMPUTED_VALUE"""),7)</f>
        <v>7</v>
      </c>
      <c r="K151" s="1">
        <f ca="1">IFERROR(__xludf.DUMMYFUNCTION("""COMPUTED_VALUE"""),7)</f>
        <v>7</v>
      </c>
      <c r="L151" s="1">
        <f ca="1">IFERROR(__xludf.DUMMYFUNCTION("""COMPUTED_VALUE"""),8)</f>
        <v>8</v>
      </c>
      <c r="M151" s="1">
        <f ca="1">IFERROR(__xludf.DUMMYFUNCTION("""COMPUTED_VALUE"""),9)</f>
        <v>9</v>
      </c>
      <c r="N151" s="1">
        <f ca="1">IFERROR(__xludf.DUMMYFUNCTION("""COMPUTED_VALUE"""),2557)</f>
        <v>2557</v>
      </c>
      <c r="O151" s="1">
        <f ca="1">IFERROR(__xludf.DUMMYFUNCTION("""COMPUTED_VALUE"""),2477)</f>
        <v>2477</v>
      </c>
      <c r="P151" s="1">
        <f ca="1">IFERROR(__xludf.DUMMYFUNCTION("""COMPUTED_VALUE"""),1325)</f>
        <v>1325</v>
      </c>
      <c r="Q151" s="1">
        <f ca="1">IFERROR(__xludf.DUMMYFUNCTION("""COMPUTED_VALUE"""),878)</f>
        <v>878</v>
      </c>
      <c r="R151" s="1">
        <f ca="1">IFERROR(__xludf.DUMMYFUNCTION("""COMPUTED_VALUE"""),1885)</f>
        <v>1885</v>
      </c>
      <c r="S151" s="1">
        <f ca="1">IFERROR(__xludf.DUMMYFUNCTION("""COMPUTED_VALUE"""),0.466)</f>
        <v>0.46600000000000003</v>
      </c>
      <c r="T151" s="1">
        <f ca="1">IFERROR(__xludf.DUMMYFUNCTION("""COMPUTED_VALUE"""),327)</f>
        <v>327</v>
      </c>
      <c r="U151" s="1">
        <f ca="1">IFERROR(__xludf.DUMMYFUNCTION("""COMPUTED_VALUE"""),812)</f>
        <v>812</v>
      </c>
      <c r="V151" s="1">
        <f ca="1">IFERROR(__xludf.DUMMYFUNCTION("""COMPUTED_VALUE"""),0.403)</f>
        <v>0.40300000000000002</v>
      </c>
      <c r="W151" s="1">
        <f ca="1">IFERROR(__xludf.DUMMYFUNCTION("""COMPUTED_VALUE"""),474)</f>
        <v>474</v>
      </c>
      <c r="X151" s="1">
        <f ca="1">IFERROR(__xludf.DUMMYFUNCTION("""COMPUTED_VALUE"""),644)</f>
        <v>644</v>
      </c>
      <c r="Y151" s="1">
        <f ca="1">IFERROR(__xludf.DUMMYFUNCTION("""COMPUTED_VALUE"""),0.736)</f>
        <v>0.73599999999999999</v>
      </c>
      <c r="Z151" s="1">
        <f ca="1">IFERROR(__xludf.DUMMYFUNCTION("""COMPUTED_VALUE"""),302)</f>
        <v>302</v>
      </c>
      <c r="AA151" s="1">
        <f ca="1">IFERROR(__xludf.DUMMYFUNCTION("""COMPUTED_VALUE"""),1081)</f>
        <v>1081</v>
      </c>
      <c r="AB151" s="1">
        <f ca="1">IFERROR(__xludf.DUMMYFUNCTION("""COMPUTED_VALUE"""),445)</f>
        <v>445</v>
      </c>
      <c r="AC151" s="1">
        <f ca="1">IFERROR(__xludf.DUMMYFUNCTION("""COMPUTED_VALUE"""),265)</f>
        <v>265</v>
      </c>
      <c r="AD151" s="1">
        <f ca="1">IFERROR(__xludf.DUMMYFUNCTION("""COMPUTED_VALUE"""),63)</f>
        <v>63</v>
      </c>
      <c r="AE151" s="1">
        <f ca="1">IFERROR(__xludf.DUMMYFUNCTION("""COMPUTED_VALUE"""),424)</f>
        <v>424</v>
      </c>
      <c r="AF151" s="1">
        <f ca="1">IFERROR(__xludf.DUMMYFUNCTION("""COMPUTED_VALUE"""),620)</f>
        <v>620</v>
      </c>
    </row>
    <row r="152" spans="1:32" ht="12.5" x14ac:dyDescent="0.25">
      <c r="A152" s="1" t="str">
        <f ca="1">IFERROR(__xludf.DUMMYFUNCTION("""COMPUTED_VALUE"""),"James Madison")</f>
        <v>James Madison</v>
      </c>
      <c r="B152" s="1">
        <f ca="1">IFERROR(__xludf.DUMMYFUNCTION("""COMPUTED_VALUE"""),33)</f>
        <v>33</v>
      </c>
      <c r="C152" s="1">
        <f ca="1">IFERROR(__xludf.DUMMYFUNCTION("""COMPUTED_VALUE"""),10)</f>
        <v>10</v>
      </c>
      <c r="D152" s="1">
        <f ca="1">IFERROR(__xludf.DUMMYFUNCTION("""COMPUTED_VALUE"""),23)</f>
        <v>23</v>
      </c>
      <c r="E152" s="1">
        <f ca="1">IFERROR(__xludf.DUMMYFUNCTION("""COMPUTED_VALUE"""),0.303)</f>
        <v>0.30299999999999999</v>
      </c>
      <c r="F152" s="1">
        <f ca="1">IFERROR(__xludf.DUMMYFUNCTION("""COMPUTED_VALUE"""),-5.64)</f>
        <v>-5.64</v>
      </c>
      <c r="G152" s="1">
        <f ca="1">IFERROR(__xludf.DUMMYFUNCTION("""COMPUTED_VALUE"""),-1.83)</f>
        <v>-1.83</v>
      </c>
      <c r="H152" s="1">
        <f ca="1">IFERROR(__xludf.DUMMYFUNCTION("""COMPUTED_VALUE"""),7)</f>
        <v>7</v>
      </c>
      <c r="I152" s="1">
        <f ca="1">IFERROR(__xludf.DUMMYFUNCTION("""COMPUTED_VALUE"""),11)</f>
        <v>11</v>
      </c>
      <c r="J152" s="1">
        <f ca="1">IFERROR(__xludf.DUMMYFUNCTION("""COMPUTED_VALUE"""),6)</f>
        <v>6</v>
      </c>
      <c r="K152" s="1">
        <f ca="1">IFERROR(__xludf.DUMMYFUNCTION("""COMPUTED_VALUE"""),9)</f>
        <v>9</v>
      </c>
      <c r="L152" s="1">
        <f ca="1">IFERROR(__xludf.DUMMYFUNCTION("""COMPUTED_VALUE"""),3)</f>
        <v>3</v>
      </c>
      <c r="M152" s="1">
        <f ca="1">IFERROR(__xludf.DUMMYFUNCTION("""COMPUTED_VALUE"""),13)</f>
        <v>13</v>
      </c>
      <c r="N152" s="1">
        <f ca="1">IFERROR(__xludf.DUMMYFUNCTION("""COMPUTED_VALUE"""),2194)</f>
        <v>2194</v>
      </c>
      <c r="O152" s="1">
        <f ca="1">IFERROR(__xludf.DUMMYFUNCTION("""COMPUTED_VALUE"""),2299)</f>
        <v>2299</v>
      </c>
      <c r="P152" s="1">
        <f ca="1">IFERROR(__xludf.DUMMYFUNCTION("""COMPUTED_VALUE"""),1335)</f>
        <v>1335</v>
      </c>
      <c r="Q152" s="1">
        <f ca="1">IFERROR(__xludf.DUMMYFUNCTION("""COMPUTED_VALUE"""),770)</f>
        <v>770</v>
      </c>
      <c r="R152" s="1">
        <f ca="1">IFERROR(__xludf.DUMMYFUNCTION("""COMPUTED_VALUE"""),1733)</f>
        <v>1733</v>
      </c>
      <c r="S152" s="1">
        <f ca="1">IFERROR(__xludf.DUMMYFUNCTION("""COMPUTED_VALUE"""),0.444)</f>
        <v>0.44400000000000001</v>
      </c>
      <c r="T152" s="1">
        <f ca="1">IFERROR(__xludf.DUMMYFUNCTION("""COMPUTED_VALUE"""),208)</f>
        <v>208</v>
      </c>
      <c r="U152" s="1">
        <f ca="1">IFERROR(__xludf.DUMMYFUNCTION("""COMPUTED_VALUE"""),629)</f>
        <v>629</v>
      </c>
      <c r="V152" s="1">
        <f ca="1">IFERROR(__xludf.DUMMYFUNCTION("""COMPUTED_VALUE"""),0.331)</f>
        <v>0.33100000000000002</v>
      </c>
      <c r="W152" s="1">
        <f ca="1">IFERROR(__xludf.DUMMYFUNCTION("""COMPUTED_VALUE"""),446)</f>
        <v>446</v>
      </c>
      <c r="X152" s="1">
        <f ca="1">IFERROR(__xludf.DUMMYFUNCTION("""COMPUTED_VALUE"""),622)</f>
        <v>622</v>
      </c>
      <c r="Y152" s="1">
        <f ca="1">IFERROR(__xludf.DUMMYFUNCTION("""COMPUTED_VALUE"""),0.717)</f>
        <v>0.71699999999999997</v>
      </c>
      <c r="Z152" s="1">
        <f ca="1">IFERROR(__xludf.DUMMYFUNCTION("""COMPUTED_VALUE"""),310)</f>
        <v>310</v>
      </c>
      <c r="AA152" s="1">
        <f ca="1">IFERROR(__xludf.DUMMYFUNCTION("""COMPUTED_VALUE"""),1133)</f>
        <v>1133</v>
      </c>
      <c r="AB152" s="1">
        <f ca="1">IFERROR(__xludf.DUMMYFUNCTION("""COMPUTED_VALUE"""),385)</f>
        <v>385</v>
      </c>
      <c r="AC152" s="1">
        <f ca="1">IFERROR(__xludf.DUMMYFUNCTION("""COMPUTED_VALUE"""),194)</f>
        <v>194</v>
      </c>
      <c r="AD152" s="1">
        <f ca="1">IFERROR(__xludf.DUMMYFUNCTION("""COMPUTED_VALUE"""),89)</f>
        <v>89</v>
      </c>
      <c r="AE152" s="1">
        <f ca="1">IFERROR(__xludf.DUMMYFUNCTION("""COMPUTED_VALUE"""),467)</f>
        <v>467</v>
      </c>
      <c r="AF152" s="1">
        <f ca="1">IFERROR(__xludf.DUMMYFUNCTION("""COMPUTED_VALUE"""),665)</f>
        <v>665</v>
      </c>
    </row>
    <row r="153" spans="1:32" ht="12.5" x14ac:dyDescent="0.25">
      <c r="A153" s="1" t="str">
        <f ca="1">IFERROR(__xludf.DUMMYFUNCTION("""COMPUTED_VALUE"""),"Kansas StateNCAA")</f>
        <v>Kansas StateNCAA</v>
      </c>
      <c r="B153" s="1">
        <f ca="1">IFERROR(__xludf.DUMMYFUNCTION("""COMPUTED_VALUE"""),35)</f>
        <v>35</v>
      </c>
      <c r="C153" s="1">
        <f ca="1">IFERROR(__xludf.DUMMYFUNCTION("""COMPUTED_VALUE"""),21)</f>
        <v>21</v>
      </c>
      <c r="D153" s="1">
        <f ca="1">IFERROR(__xludf.DUMMYFUNCTION("""COMPUTED_VALUE"""),14)</f>
        <v>14</v>
      </c>
      <c r="E153" s="1">
        <f ca="1">IFERROR(__xludf.DUMMYFUNCTION("""COMPUTED_VALUE"""),0.6)</f>
        <v>0.6</v>
      </c>
      <c r="F153" s="1">
        <f ca="1">IFERROR(__xludf.DUMMYFUNCTION("""COMPUTED_VALUE"""),14.8)</f>
        <v>14.8</v>
      </c>
      <c r="G153" s="1">
        <f ca="1">IFERROR(__xludf.DUMMYFUNCTION("""COMPUTED_VALUE"""),10.48)</f>
        <v>10.48</v>
      </c>
      <c r="H153" s="1">
        <f ca="1">IFERROR(__xludf.DUMMYFUNCTION("""COMPUTED_VALUE"""),8)</f>
        <v>8</v>
      </c>
      <c r="I153" s="1">
        <f ca="1">IFERROR(__xludf.DUMMYFUNCTION("""COMPUTED_VALUE"""),10)</f>
        <v>10</v>
      </c>
      <c r="J153" s="1">
        <f ca="1">IFERROR(__xludf.DUMMYFUNCTION("""COMPUTED_VALUE"""),11)</f>
        <v>11</v>
      </c>
      <c r="K153" s="1">
        <f ca="1">IFERROR(__xludf.DUMMYFUNCTION("""COMPUTED_VALUE"""),5)</f>
        <v>5</v>
      </c>
      <c r="L153" s="1">
        <f ca="1">IFERROR(__xludf.DUMMYFUNCTION("""COMPUTED_VALUE"""),5)</f>
        <v>5</v>
      </c>
      <c r="M153" s="1">
        <f ca="1">IFERROR(__xludf.DUMMYFUNCTION("""COMPUTED_VALUE"""),6)</f>
        <v>6</v>
      </c>
      <c r="N153" s="1">
        <f ca="1">IFERROR(__xludf.DUMMYFUNCTION("""COMPUTED_VALUE"""),2523)</f>
        <v>2523</v>
      </c>
      <c r="O153" s="1">
        <f ca="1">IFERROR(__xludf.DUMMYFUNCTION("""COMPUTED_VALUE"""),2372)</f>
        <v>2372</v>
      </c>
      <c r="P153" s="1">
        <f ca="1">IFERROR(__xludf.DUMMYFUNCTION("""COMPUTED_VALUE"""),1405)</f>
        <v>1405</v>
      </c>
      <c r="Q153" s="1">
        <f ca="1">IFERROR(__xludf.DUMMYFUNCTION("""COMPUTED_VALUE"""),869)</f>
        <v>869</v>
      </c>
      <c r="R153" s="1">
        <f ca="1">IFERROR(__xludf.DUMMYFUNCTION("""COMPUTED_VALUE"""),1883)</f>
        <v>1883</v>
      </c>
      <c r="S153" s="1">
        <f ca="1">IFERROR(__xludf.DUMMYFUNCTION("""COMPUTED_VALUE"""),0.461)</f>
        <v>0.46100000000000002</v>
      </c>
      <c r="T153" s="1">
        <f ca="1">IFERROR(__xludf.DUMMYFUNCTION("""COMPUTED_VALUE"""),247)</f>
        <v>247</v>
      </c>
      <c r="U153" s="1">
        <f ca="1">IFERROR(__xludf.DUMMYFUNCTION("""COMPUTED_VALUE"""),683)</f>
        <v>683</v>
      </c>
      <c r="V153" s="1">
        <f ca="1">IFERROR(__xludf.DUMMYFUNCTION("""COMPUTED_VALUE"""),0.362)</f>
        <v>0.36199999999999999</v>
      </c>
      <c r="W153" s="1">
        <f ca="1">IFERROR(__xludf.DUMMYFUNCTION("""COMPUTED_VALUE"""),538)</f>
        <v>538</v>
      </c>
      <c r="X153" s="1">
        <f ca="1">IFERROR(__xludf.DUMMYFUNCTION("""COMPUTED_VALUE"""),775)</f>
        <v>775</v>
      </c>
      <c r="Y153" s="1">
        <f ca="1">IFERROR(__xludf.DUMMYFUNCTION("""COMPUTED_VALUE"""),0.694)</f>
        <v>0.69399999999999995</v>
      </c>
      <c r="Z153" s="1">
        <f ca="1">IFERROR(__xludf.DUMMYFUNCTION("""COMPUTED_VALUE"""),330)</f>
        <v>330</v>
      </c>
      <c r="AA153" s="1">
        <f ca="1">IFERROR(__xludf.DUMMYFUNCTION("""COMPUTED_VALUE"""),1132)</f>
        <v>1132</v>
      </c>
      <c r="AB153" s="1">
        <f ca="1">IFERROR(__xludf.DUMMYFUNCTION("""COMPUTED_VALUE"""),521)</f>
        <v>521</v>
      </c>
      <c r="AC153" s="1">
        <f ca="1">IFERROR(__xludf.DUMMYFUNCTION("""COMPUTED_VALUE"""),271)</f>
        <v>271</v>
      </c>
      <c r="AD153" s="1">
        <f ca="1">IFERROR(__xludf.DUMMYFUNCTION("""COMPUTED_VALUE"""),130)</f>
        <v>130</v>
      </c>
      <c r="AE153" s="1">
        <f ca="1">IFERROR(__xludf.DUMMYFUNCTION("""COMPUTED_VALUE"""),453)</f>
        <v>453</v>
      </c>
      <c r="AF153" s="1">
        <f ca="1">IFERROR(__xludf.DUMMYFUNCTION("""COMPUTED_VALUE"""),630)</f>
        <v>630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IFERROR(__xludf.DUMMYFUNCTION("""COMPUTED_VALUE"""),"KansasNCAA")</f>
        <v>KansasNCAA</v>
      </c>
      <c r="B156" s="1">
        <f ca="1">IFERROR(__xludf.DUMMYFUNCTION("""COMPUTED_VALUE"""),36)</f>
        <v>36</v>
      </c>
      <c r="C156" s="1">
        <f ca="1">IFERROR(__xludf.DUMMYFUNCTION("""COMPUTED_VALUE"""),31)</f>
        <v>31</v>
      </c>
      <c r="D156" s="1">
        <f ca="1">IFERROR(__xludf.DUMMYFUNCTION("""COMPUTED_VALUE"""),5)</f>
        <v>5</v>
      </c>
      <c r="E156" s="1">
        <f ca="1">IFERROR(__xludf.DUMMYFUNCTION("""COMPUTED_VALUE"""),0.861)</f>
        <v>0.86099999999999999</v>
      </c>
      <c r="F156" s="1">
        <f ca="1">IFERROR(__xludf.DUMMYFUNCTION("""COMPUTED_VALUE"""),23.53)</f>
        <v>23.53</v>
      </c>
      <c r="G156" s="1">
        <f ca="1">IFERROR(__xludf.DUMMYFUNCTION("""COMPUTED_VALUE"""),12.23)</f>
        <v>12.23</v>
      </c>
      <c r="H156" s="1">
        <f ca="1">IFERROR(__xludf.DUMMYFUNCTION("""COMPUTED_VALUE"""),16)</f>
        <v>16</v>
      </c>
      <c r="I156" s="1">
        <f ca="1">IFERROR(__xludf.DUMMYFUNCTION("""COMPUTED_VALUE"""),2)</f>
        <v>2</v>
      </c>
      <c r="J156" s="1">
        <f ca="1">IFERROR(__xludf.DUMMYFUNCTION("""COMPUTED_VALUE"""),14)</f>
        <v>14</v>
      </c>
      <c r="K156" s="1">
        <f ca="1">IFERROR(__xludf.DUMMYFUNCTION("""COMPUTED_VALUE"""),1)</f>
        <v>1</v>
      </c>
      <c r="L156" s="1">
        <f ca="1">IFERROR(__xludf.DUMMYFUNCTION("""COMPUTED_VALUE"""),10)</f>
        <v>10</v>
      </c>
      <c r="M156" s="1">
        <f ca="1">IFERROR(__xludf.DUMMYFUNCTION("""COMPUTED_VALUE"""),1)</f>
        <v>1</v>
      </c>
      <c r="N156" s="1">
        <f ca="1">IFERROR(__xludf.DUMMYFUNCTION("""COMPUTED_VALUE"""),2995)</f>
        <v>2995</v>
      </c>
      <c r="O156" s="1">
        <f ca="1">IFERROR(__xludf.DUMMYFUNCTION("""COMPUTED_VALUE"""),2588)</f>
        <v>2588</v>
      </c>
      <c r="P156" s="1">
        <f ca="1">IFERROR(__xludf.DUMMYFUNCTION("""COMPUTED_VALUE"""),1455)</f>
        <v>1455</v>
      </c>
      <c r="Q156" s="1">
        <f ca="1">IFERROR(__xludf.DUMMYFUNCTION("""COMPUTED_VALUE"""),1071)</f>
        <v>1071</v>
      </c>
      <c r="R156" s="1">
        <f ca="1">IFERROR(__xludf.DUMMYFUNCTION("""COMPUTED_VALUE"""),2193)</f>
        <v>2193</v>
      </c>
      <c r="S156" s="1">
        <f ca="1">IFERROR(__xludf.DUMMYFUNCTION("""COMPUTED_VALUE"""),0.488)</f>
        <v>0.48799999999999999</v>
      </c>
      <c r="T156" s="1">
        <f ca="1">IFERROR(__xludf.DUMMYFUNCTION("""COMPUTED_VALUE"""),318)</f>
        <v>318</v>
      </c>
      <c r="U156" s="1">
        <f ca="1">IFERROR(__xludf.DUMMYFUNCTION("""COMPUTED_VALUE"""),787)</f>
        <v>787</v>
      </c>
      <c r="V156" s="1">
        <f ca="1">IFERROR(__xludf.DUMMYFUNCTION("""COMPUTED_VALUE"""),0.404)</f>
        <v>0.40400000000000003</v>
      </c>
      <c r="W156" s="1">
        <f ca="1">IFERROR(__xludf.DUMMYFUNCTION("""COMPUTED_VALUE"""),535)</f>
        <v>535</v>
      </c>
      <c r="X156" s="1">
        <f ca="1">IFERROR(__xludf.DUMMYFUNCTION("""COMPUTED_VALUE"""),789)</f>
        <v>789</v>
      </c>
      <c r="Y156" s="1">
        <f ca="1">IFERROR(__xludf.DUMMYFUNCTION("""COMPUTED_VALUE"""),0.678)</f>
        <v>0.67800000000000005</v>
      </c>
      <c r="Z156" s="1">
        <f ca="1">IFERROR(__xludf.DUMMYFUNCTION("""COMPUTED_VALUE"""),428)</f>
        <v>428</v>
      </c>
      <c r="AA156" s="1">
        <f ca="1">IFERROR(__xludf.DUMMYFUNCTION("""COMPUTED_VALUE"""),1393)</f>
        <v>1393</v>
      </c>
      <c r="AB156" s="1">
        <f ca="1">IFERROR(__xludf.DUMMYFUNCTION("""COMPUTED_VALUE"""),584)</f>
        <v>584</v>
      </c>
      <c r="AC156" s="1">
        <f ca="1">IFERROR(__xludf.DUMMYFUNCTION("""COMPUTED_VALUE"""),250)</f>
        <v>250</v>
      </c>
      <c r="AD156" s="1">
        <f ca="1">IFERROR(__xludf.DUMMYFUNCTION("""COMPUTED_VALUE"""),162)</f>
        <v>162</v>
      </c>
      <c r="AE156" s="1">
        <f ca="1">IFERROR(__xludf.DUMMYFUNCTION("""COMPUTED_VALUE"""),456)</f>
        <v>456</v>
      </c>
      <c r="AF156" s="1">
        <f ca="1">IFERROR(__xludf.DUMMYFUNCTION("""COMPUTED_VALUE"""),639)</f>
        <v>639</v>
      </c>
    </row>
    <row r="157" spans="1:32" ht="12.5" x14ac:dyDescent="0.25">
      <c r="A157" s="1" t="str">
        <f ca="1">IFERROR(__xludf.DUMMYFUNCTION("""COMPUTED_VALUE"""),"Kennesaw State")</f>
        <v>Kennesaw State</v>
      </c>
      <c r="B157" s="1">
        <f ca="1">IFERROR(__xludf.DUMMYFUNCTION("""COMPUTED_VALUE"""),32)</f>
        <v>32</v>
      </c>
      <c r="C157" s="1">
        <f ca="1">IFERROR(__xludf.DUMMYFUNCTION("""COMPUTED_VALUE"""),14)</f>
        <v>14</v>
      </c>
      <c r="D157" s="1">
        <f ca="1">IFERROR(__xludf.DUMMYFUNCTION("""COMPUTED_VALUE"""),18)</f>
        <v>18</v>
      </c>
      <c r="E157" s="1">
        <f ca="1">IFERROR(__xludf.DUMMYFUNCTION("""COMPUTED_VALUE"""),0.438)</f>
        <v>0.438</v>
      </c>
      <c r="F157" s="1">
        <f ca="1">IFERROR(__xludf.DUMMYFUNCTION("""COMPUTED_VALUE"""),-8.44)</f>
        <v>-8.44</v>
      </c>
      <c r="G157" s="1">
        <f ca="1">IFERROR(__xludf.DUMMYFUNCTION("""COMPUTED_VALUE"""),-5.97)</f>
        <v>-5.97</v>
      </c>
      <c r="H157" s="1">
        <f ca="1">IFERROR(__xludf.DUMMYFUNCTION("""COMPUTED_VALUE"""),7)</f>
        <v>7</v>
      </c>
      <c r="I157" s="1">
        <f ca="1">IFERROR(__xludf.DUMMYFUNCTION("""COMPUTED_VALUE"""),7)</f>
        <v>7</v>
      </c>
      <c r="J157" s="1">
        <f ca="1">IFERROR(__xludf.DUMMYFUNCTION("""COMPUTED_VALUE"""),8)</f>
        <v>8</v>
      </c>
      <c r="K157" s="1">
        <f ca="1">IFERROR(__xludf.DUMMYFUNCTION("""COMPUTED_VALUE"""),5)</f>
        <v>5</v>
      </c>
      <c r="L157" s="1">
        <f ca="1">IFERROR(__xludf.DUMMYFUNCTION("""COMPUTED_VALUE"""),6)</f>
        <v>6</v>
      </c>
      <c r="M157" s="1">
        <f ca="1">IFERROR(__xludf.DUMMYFUNCTION("""COMPUTED_VALUE"""),13)</f>
        <v>13</v>
      </c>
      <c r="N157" s="1">
        <f ca="1">IFERROR(__xludf.DUMMYFUNCTION("""COMPUTED_VALUE"""),2401)</f>
        <v>2401</v>
      </c>
      <c r="O157" s="1">
        <f ca="1">IFERROR(__xludf.DUMMYFUNCTION("""COMPUTED_VALUE"""),2456)</f>
        <v>2456</v>
      </c>
      <c r="P157" s="1">
        <f ca="1">IFERROR(__xludf.DUMMYFUNCTION("""COMPUTED_VALUE"""),1280)</f>
        <v>1280</v>
      </c>
      <c r="Q157" s="1">
        <f ca="1">IFERROR(__xludf.DUMMYFUNCTION("""COMPUTED_VALUE"""),892)</f>
        <v>892</v>
      </c>
      <c r="R157" s="1">
        <f ca="1">IFERROR(__xludf.DUMMYFUNCTION("""COMPUTED_VALUE"""),1932)</f>
        <v>1932</v>
      </c>
      <c r="S157" s="1">
        <f ca="1">IFERROR(__xludf.DUMMYFUNCTION("""COMPUTED_VALUE"""),0.462)</f>
        <v>0.46200000000000002</v>
      </c>
      <c r="T157" s="1">
        <f ca="1">IFERROR(__xludf.DUMMYFUNCTION("""COMPUTED_VALUE"""),206)</f>
        <v>206</v>
      </c>
      <c r="U157" s="1">
        <f ca="1">IFERROR(__xludf.DUMMYFUNCTION("""COMPUTED_VALUE"""),495)</f>
        <v>495</v>
      </c>
      <c r="V157" s="1">
        <f ca="1">IFERROR(__xludf.DUMMYFUNCTION("""COMPUTED_VALUE"""),0.416)</f>
        <v>0.41599999999999998</v>
      </c>
      <c r="W157" s="1">
        <f ca="1">IFERROR(__xludf.DUMMYFUNCTION("""COMPUTED_VALUE"""),411)</f>
        <v>411</v>
      </c>
      <c r="X157" s="1">
        <f ca="1">IFERROR(__xludf.DUMMYFUNCTION("""COMPUTED_VALUE"""),595)</f>
        <v>595</v>
      </c>
      <c r="Y157" s="1">
        <f ca="1">IFERROR(__xludf.DUMMYFUNCTION("""COMPUTED_VALUE"""),0.691)</f>
        <v>0.69099999999999995</v>
      </c>
      <c r="Z157" s="1">
        <f ca="1">IFERROR(__xludf.DUMMYFUNCTION("""COMPUTED_VALUE"""),358)</f>
        <v>358</v>
      </c>
      <c r="AA157" s="1">
        <f ca="1">IFERROR(__xludf.DUMMYFUNCTION("""COMPUTED_VALUE"""),1146)</f>
        <v>1146</v>
      </c>
      <c r="AB157" s="1">
        <f ca="1">IFERROR(__xludf.DUMMYFUNCTION("""COMPUTED_VALUE"""),507)</f>
        <v>507</v>
      </c>
      <c r="AC157" s="1">
        <f ca="1">IFERROR(__xludf.DUMMYFUNCTION("""COMPUTED_VALUE"""),163)</f>
        <v>163</v>
      </c>
      <c r="AD157" s="1">
        <f ca="1">IFERROR(__xludf.DUMMYFUNCTION("""COMPUTED_VALUE"""),95)</f>
        <v>95</v>
      </c>
      <c r="AE157" s="1">
        <f ca="1">IFERROR(__xludf.DUMMYFUNCTION("""COMPUTED_VALUE"""),431)</f>
        <v>431</v>
      </c>
      <c r="AF157" s="1">
        <f ca="1">IFERROR(__xludf.DUMMYFUNCTION("""COMPUTED_VALUE"""),613)</f>
        <v>613</v>
      </c>
    </row>
    <row r="158" spans="1:32" ht="12.5" x14ac:dyDescent="0.25">
      <c r="A158" s="1" t="str">
        <f ca="1">IFERROR(__xludf.DUMMYFUNCTION("""COMPUTED_VALUE"""),"Kent StateNCAA")</f>
        <v>Kent StateNCAA</v>
      </c>
      <c r="B158" s="1">
        <f ca="1">IFERROR(__xludf.DUMMYFUNCTION("""COMPUTED_VALUE"""),36)</f>
        <v>36</v>
      </c>
      <c r="C158" s="1">
        <f ca="1">IFERROR(__xludf.DUMMYFUNCTION("""COMPUTED_VALUE"""),22)</f>
        <v>22</v>
      </c>
      <c r="D158" s="1">
        <f ca="1">IFERROR(__xludf.DUMMYFUNCTION("""COMPUTED_VALUE"""),14)</f>
        <v>14</v>
      </c>
      <c r="E158" s="1">
        <f ca="1">IFERROR(__xludf.DUMMYFUNCTION("""COMPUTED_VALUE"""),0.611)</f>
        <v>0.61099999999999999</v>
      </c>
      <c r="F158" s="1">
        <f ca="1">IFERROR(__xludf.DUMMYFUNCTION("""COMPUTED_VALUE"""),0.88)</f>
        <v>0.88</v>
      </c>
      <c r="G158" s="1">
        <f ca="1">IFERROR(__xludf.DUMMYFUNCTION("""COMPUTED_VALUE"""),-1.63)</f>
        <v>-1.63</v>
      </c>
      <c r="H158" s="1">
        <f ca="1">IFERROR(__xludf.DUMMYFUNCTION("""COMPUTED_VALUE"""),10)</f>
        <v>10</v>
      </c>
      <c r="I158" s="1">
        <f ca="1">IFERROR(__xludf.DUMMYFUNCTION("""COMPUTED_VALUE"""),8)</f>
        <v>8</v>
      </c>
      <c r="J158" s="1">
        <f ca="1">IFERROR(__xludf.DUMMYFUNCTION("""COMPUTED_VALUE"""),10)</f>
        <v>10</v>
      </c>
      <c r="K158" s="1">
        <f ca="1">IFERROR(__xludf.DUMMYFUNCTION("""COMPUTED_VALUE"""),6)</f>
        <v>6</v>
      </c>
      <c r="L158" s="1">
        <f ca="1">IFERROR(__xludf.DUMMYFUNCTION("""COMPUTED_VALUE"""),7)</f>
        <v>7</v>
      </c>
      <c r="M158" s="1">
        <f ca="1">IFERROR(__xludf.DUMMYFUNCTION("""COMPUTED_VALUE"""),5)</f>
        <v>5</v>
      </c>
      <c r="N158" s="1">
        <f ca="1">IFERROR(__xludf.DUMMYFUNCTION("""COMPUTED_VALUE"""),2772)</f>
        <v>2772</v>
      </c>
      <c r="O158" s="1">
        <f ca="1">IFERROR(__xludf.DUMMYFUNCTION("""COMPUTED_VALUE"""),2628)</f>
        <v>2628</v>
      </c>
      <c r="P158" s="1">
        <f ca="1">IFERROR(__xludf.DUMMYFUNCTION("""COMPUTED_VALUE"""),1465)</f>
        <v>1465</v>
      </c>
      <c r="Q158" s="1">
        <f ca="1">IFERROR(__xludf.DUMMYFUNCTION("""COMPUTED_VALUE"""),986)</f>
        <v>986</v>
      </c>
      <c r="R158" s="1">
        <f ca="1">IFERROR(__xludf.DUMMYFUNCTION("""COMPUTED_VALUE"""),2302)</f>
        <v>2302</v>
      </c>
      <c r="S158" s="1">
        <f ca="1">IFERROR(__xludf.DUMMYFUNCTION("""COMPUTED_VALUE"""),0.428)</f>
        <v>0.42799999999999999</v>
      </c>
      <c r="T158" s="1">
        <f ca="1">IFERROR(__xludf.DUMMYFUNCTION("""COMPUTED_VALUE"""),257)</f>
        <v>257</v>
      </c>
      <c r="U158" s="1">
        <f ca="1">IFERROR(__xludf.DUMMYFUNCTION("""COMPUTED_VALUE"""),803)</f>
        <v>803</v>
      </c>
      <c r="V158" s="1">
        <f ca="1">IFERROR(__xludf.DUMMYFUNCTION("""COMPUTED_VALUE"""),0.32)</f>
        <v>0.32</v>
      </c>
      <c r="W158" s="1">
        <f ca="1">IFERROR(__xludf.DUMMYFUNCTION("""COMPUTED_VALUE"""),543)</f>
        <v>543</v>
      </c>
      <c r="X158" s="1">
        <f ca="1">IFERROR(__xludf.DUMMYFUNCTION("""COMPUTED_VALUE"""),755)</f>
        <v>755</v>
      </c>
      <c r="Y158" s="1">
        <f ca="1">IFERROR(__xludf.DUMMYFUNCTION("""COMPUTED_VALUE"""),0.719)</f>
        <v>0.71899999999999997</v>
      </c>
      <c r="Z158" s="1">
        <f ca="1">IFERROR(__xludf.DUMMYFUNCTION("""COMPUTED_VALUE"""),539)</f>
        <v>539</v>
      </c>
      <c r="AA158" s="1">
        <f ca="1">IFERROR(__xludf.DUMMYFUNCTION("""COMPUTED_VALUE"""),1454)</f>
        <v>1454</v>
      </c>
      <c r="AB158" s="1">
        <f ca="1">IFERROR(__xludf.DUMMYFUNCTION("""COMPUTED_VALUE"""),449)</f>
        <v>449</v>
      </c>
      <c r="AC158" s="1">
        <f ca="1">IFERROR(__xludf.DUMMYFUNCTION("""COMPUTED_VALUE"""),230)</f>
        <v>230</v>
      </c>
      <c r="AD158" s="1">
        <f ca="1">IFERROR(__xludf.DUMMYFUNCTION("""COMPUTED_VALUE"""),134)</f>
        <v>134</v>
      </c>
      <c r="AE158" s="1">
        <f ca="1">IFERROR(__xludf.DUMMYFUNCTION("""COMPUTED_VALUE"""),465)</f>
        <v>465</v>
      </c>
      <c r="AF158" s="1">
        <f ca="1">IFERROR(__xludf.DUMMYFUNCTION("""COMPUTED_VALUE"""),685)</f>
        <v>685</v>
      </c>
    </row>
    <row r="159" spans="1:32" ht="12.5" x14ac:dyDescent="0.25">
      <c r="A159" s="1" t="str">
        <f ca="1">IFERROR(__xludf.DUMMYFUNCTION("""COMPUTED_VALUE"""),"KentuckyNCAA")</f>
        <v>KentuckyNCAA</v>
      </c>
      <c r="B159" s="1">
        <f ca="1">IFERROR(__xludf.DUMMYFUNCTION("""COMPUTED_VALUE"""),38)</f>
        <v>38</v>
      </c>
      <c r="C159" s="1">
        <f ca="1">IFERROR(__xludf.DUMMYFUNCTION("""COMPUTED_VALUE"""),32)</f>
        <v>32</v>
      </c>
      <c r="D159" s="1">
        <f ca="1">IFERROR(__xludf.DUMMYFUNCTION("""COMPUTED_VALUE"""),6)</f>
        <v>6</v>
      </c>
      <c r="E159" s="1">
        <f ca="1">IFERROR(__xludf.DUMMYFUNCTION("""COMPUTED_VALUE"""),0.842)</f>
        <v>0.84199999999999997</v>
      </c>
      <c r="F159" s="1">
        <f ca="1">IFERROR(__xludf.DUMMYFUNCTION("""COMPUTED_VALUE"""),23.88)</f>
        <v>23.88</v>
      </c>
      <c r="G159" s="1">
        <f ca="1">IFERROR(__xludf.DUMMYFUNCTION("""COMPUTED_VALUE"""),10.49)</f>
        <v>10.49</v>
      </c>
      <c r="H159" s="1">
        <f ca="1">IFERROR(__xludf.DUMMYFUNCTION("""COMPUTED_VALUE"""),16)</f>
        <v>16</v>
      </c>
      <c r="I159" s="1">
        <f ca="1">IFERROR(__xludf.DUMMYFUNCTION("""COMPUTED_VALUE"""),2)</f>
        <v>2</v>
      </c>
      <c r="J159" s="1">
        <f ca="1">IFERROR(__xludf.DUMMYFUNCTION("""COMPUTED_VALUE"""),15)</f>
        <v>15</v>
      </c>
      <c r="K159" s="1">
        <f ca="1">IFERROR(__xludf.DUMMYFUNCTION("""COMPUTED_VALUE"""),2)</f>
        <v>2</v>
      </c>
      <c r="L159" s="1">
        <f ca="1">IFERROR(__xludf.DUMMYFUNCTION("""COMPUTED_VALUE"""),7)</f>
        <v>7</v>
      </c>
      <c r="M159" s="1">
        <f ca="1">IFERROR(__xludf.DUMMYFUNCTION("""COMPUTED_VALUE"""),3)</f>
        <v>3</v>
      </c>
      <c r="N159" s="1">
        <f ca="1">IFERROR(__xludf.DUMMYFUNCTION("""COMPUTED_VALUE"""),3225)</f>
        <v>3225</v>
      </c>
      <c r="O159" s="1">
        <f ca="1">IFERROR(__xludf.DUMMYFUNCTION("""COMPUTED_VALUE"""),2716)</f>
        <v>2716</v>
      </c>
      <c r="P159" s="1">
        <f ca="1">IFERROR(__xludf.DUMMYFUNCTION("""COMPUTED_VALUE"""),1525)</f>
        <v>1525</v>
      </c>
      <c r="Q159" s="1">
        <f ca="1">IFERROR(__xludf.DUMMYFUNCTION("""COMPUTED_VALUE"""),1134)</f>
        <v>1134</v>
      </c>
      <c r="R159" s="1">
        <f ca="1">IFERROR(__xludf.DUMMYFUNCTION("""COMPUTED_VALUE"""),2396)</f>
        <v>2396</v>
      </c>
      <c r="S159" s="1">
        <f ca="1">IFERROR(__xludf.DUMMYFUNCTION("""COMPUTED_VALUE"""),0.473)</f>
        <v>0.47299999999999998</v>
      </c>
      <c r="T159" s="1">
        <f ca="1">IFERROR(__xludf.DUMMYFUNCTION("""COMPUTED_VALUE"""),267)</f>
        <v>267</v>
      </c>
      <c r="U159" s="1">
        <f ca="1">IFERROR(__xludf.DUMMYFUNCTION("""COMPUTED_VALUE"""),757)</f>
        <v>757</v>
      </c>
      <c r="V159" s="1">
        <f ca="1">IFERROR(__xludf.DUMMYFUNCTION("""COMPUTED_VALUE"""),0.353)</f>
        <v>0.35299999999999998</v>
      </c>
      <c r="W159" s="1">
        <f ca="1">IFERROR(__xludf.DUMMYFUNCTION("""COMPUTED_VALUE"""),690)</f>
        <v>690</v>
      </c>
      <c r="X159" s="1">
        <f ca="1">IFERROR(__xludf.DUMMYFUNCTION("""COMPUTED_VALUE"""),980)</f>
        <v>980</v>
      </c>
      <c r="Y159" s="1">
        <f ca="1">IFERROR(__xludf.DUMMYFUNCTION("""COMPUTED_VALUE"""),0.704)</f>
        <v>0.70399999999999996</v>
      </c>
      <c r="Z159" s="1">
        <f ca="1">IFERROR(__xludf.DUMMYFUNCTION("""COMPUTED_VALUE"""),470)</f>
        <v>470</v>
      </c>
      <c r="AA159" s="1">
        <f ca="1">IFERROR(__xludf.DUMMYFUNCTION("""COMPUTED_VALUE"""),1512)</f>
        <v>1512</v>
      </c>
      <c r="AB159" s="1">
        <f ca="1">IFERROR(__xludf.DUMMYFUNCTION("""COMPUTED_VALUE"""),585)</f>
        <v>585</v>
      </c>
      <c r="AC159" s="1">
        <f ca="1">IFERROR(__xludf.DUMMYFUNCTION("""COMPUTED_VALUE"""),229)</f>
        <v>229</v>
      </c>
      <c r="AD159" s="1">
        <f ca="1">IFERROR(__xludf.DUMMYFUNCTION("""COMPUTED_VALUE"""),200)</f>
        <v>200</v>
      </c>
      <c r="AE159" s="1">
        <f ca="1">IFERROR(__xludf.DUMMYFUNCTION("""COMPUTED_VALUE"""),443)</f>
        <v>443</v>
      </c>
      <c r="AF159" s="1">
        <f ca="1">IFERROR(__xludf.DUMMYFUNCTION("""COMPUTED_VALUE"""),716)</f>
        <v>716</v>
      </c>
    </row>
    <row r="160" spans="1:32" ht="12.5" x14ac:dyDescent="0.25">
      <c r="A160" s="1" t="str">
        <f ca="1">IFERROR(__xludf.DUMMYFUNCTION("""COMPUTED_VALUE"""),"La Salle")</f>
        <v>La Salle</v>
      </c>
      <c r="B160" s="1">
        <f ca="1">IFERROR(__xludf.DUMMYFUNCTION("""COMPUTED_VALUE"""),30)</f>
        <v>30</v>
      </c>
      <c r="C160" s="1">
        <f ca="1">IFERROR(__xludf.DUMMYFUNCTION("""COMPUTED_VALUE"""),15)</f>
        <v>15</v>
      </c>
      <c r="D160" s="1">
        <f ca="1">IFERROR(__xludf.DUMMYFUNCTION("""COMPUTED_VALUE"""),15)</f>
        <v>15</v>
      </c>
      <c r="E160" s="1">
        <f ca="1">IFERROR(__xludf.DUMMYFUNCTION("""COMPUTED_VALUE"""),0.5)</f>
        <v>0.5</v>
      </c>
      <c r="F160" s="1">
        <f ca="1">IFERROR(__xludf.DUMMYFUNCTION("""COMPUTED_VALUE"""),1.91)</f>
        <v>1.91</v>
      </c>
      <c r="G160" s="1">
        <f ca="1">IFERROR(__xludf.DUMMYFUNCTION("""COMPUTED_VALUE"""),2.94)</f>
        <v>2.94</v>
      </c>
      <c r="H160" s="1">
        <f ca="1">IFERROR(__xludf.DUMMYFUNCTION("""COMPUTED_VALUE"""),9)</f>
        <v>9</v>
      </c>
      <c r="I160" s="1">
        <f ca="1">IFERROR(__xludf.DUMMYFUNCTION("""COMPUTED_VALUE"""),9)</f>
        <v>9</v>
      </c>
      <c r="J160" s="1">
        <f ca="1">IFERROR(__xludf.DUMMYFUNCTION("""COMPUTED_VALUE"""),11)</f>
        <v>11</v>
      </c>
      <c r="K160" s="1">
        <f ca="1">IFERROR(__xludf.DUMMYFUNCTION("""COMPUTED_VALUE"""),4)</f>
        <v>4</v>
      </c>
      <c r="L160" s="1">
        <f ca="1">IFERROR(__xludf.DUMMYFUNCTION("""COMPUTED_VALUE"""),4)</f>
        <v>4</v>
      </c>
      <c r="M160" s="1">
        <f ca="1">IFERROR(__xludf.DUMMYFUNCTION("""COMPUTED_VALUE"""),8)</f>
        <v>8</v>
      </c>
      <c r="N160" s="1">
        <f ca="1">IFERROR(__xludf.DUMMYFUNCTION("""COMPUTED_VALUE"""),2266)</f>
        <v>2266</v>
      </c>
      <c r="O160" s="1">
        <f ca="1">IFERROR(__xludf.DUMMYFUNCTION("""COMPUTED_VALUE"""),2297)</f>
        <v>2297</v>
      </c>
      <c r="P160" s="1">
        <f ca="1">IFERROR(__xludf.DUMMYFUNCTION("""COMPUTED_VALUE"""),1220)</f>
        <v>1220</v>
      </c>
      <c r="Q160" s="1">
        <f ca="1">IFERROR(__xludf.DUMMYFUNCTION("""COMPUTED_VALUE"""),761)</f>
        <v>761</v>
      </c>
      <c r="R160" s="1">
        <f ca="1">IFERROR(__xludf.DUMMYFUNCTION("""COMPUTED_VALUE"""),1666)</f>
        <v>1666</v>
      </c>
      <c r="S160" s="1">
        <f ca="1">IFERROR(__xludf.DUMMYFUNCTION("""COMPUTED_VALUE"""),0.457)</f>
        <v>0.45700000000000002</v>
      </c>
      <c r="T160" s="1">
        <f ca="1">IFERROR(__xludf.DUMMYFUNCTION("""COMPUTED_VALUE"""),255)</f>
        <v>255</v>
      </c>
      <c r="U160" s="1">
        <f ca="1">IFERROR(__xludf.DUMMYFUNCTION("""COMPUTED_VALUE"""),700)</f>
        <v>700</v>
      </c>
      <c r="V160" s="1">
        <f ca="1">IFERROR(__xludf.DUMMYFUNCTION("""COMPUTED_VALUE"""),0.364)</f>
        <v>0.36399999999999999</v>
      </c>
      <c r="W160" s="1">
        <f ca="1">IFERROR(__xludf.DUMMYFUNCTION("""COMPUTED_VALUE"""),489)</f>
        <v>489</v>
      </c>
      <c r="X160" s="1">
        <f ca="1">IFERROR(__xludf.DUMMYFUNCTION("""COMPUTED_VALUE"""),638)</f>
        <v>638</v>
      </c>
      <c r="Y160" s="1">
        <f ca="1">IFERROR(__xludf.DUMMYFUNCTION("""COMPUTED_VALUE"""),0.766)</f>
        <v>0.76600000000000001</v>
      </c>
      <c r="Z160" s="1">
        <f ca="1">IFERROR(__xludf.DUMMYFUNCTION("""COMPUTED_VALUE"""),249)</f>
        <v>249</v>
      </c>
      <c r="AA160" s="1">
        <f ca="1">IFERROR(__xludf.DUMMYFUNCTION("""COMPUTED_VALUE"""),973)</f>
        <v>973</v>
      </c>
      <c r="AB160" s="1">
        <f ca="1">IFERROR(__xludf.DUMMYFUNCTION("""COMPUTED_VALUE"""),425)</f>
        <v>425</v>
      </c>
      <c r="AC160" s="1">
        <f ca="1">IFERROR(__xludf.DUMMYFUNCTION("""COMPUTED_VALUE"""),191)</f>
        <v>191</v>
      </c>
      <c r="AD160" s="1">
        <f ca="1">IFERROR(__xludf.DUMMYFUNCTION("""COMPUTED_VALUE"""),64)</f>
        <v>64</v>
      </c>
      <c r="AE160" s="1">
        <f ca="1">IFERROR(__xludf.DUMMYFUNCTION("""COMPUTED_VALUE"""),393)</f>
        <v>393</v>
      </c>
      <c r="AF160" s="1">
        <f ca="1">IFERROR(__xludf.DUMMYFUNCTION("""COMPUTED_VALUE"""),559)</f>
        <v>559</v>
      </c>
    </row>
    <row r="161" spans="1:32" ht="12.5" x14ac:dyDescent="0.25">
      <c r="A161" s="1" t="str">
        <f ca="1">IFERROR(__xludf.DUMMYFUNCTION("""COMPUTED_VALUE"""),"Lafayette")</f>
        <v>Lafayette</v>
      </c>
      <c r="B161" s="1">
        <f ca="1">IFERROR(__xludf.DUMMYFUNCTION("""COMPUTED_VALUE"""),30)</f>
        <v>30</v>
      </c>
      <c r="C161" s="1">
        <f ca="1">IFERROR(__xludf.DUMMYFUNCTION("""COMPUTED_VALUE"""),9)</f>
        <v>9</v>
      </c>
      <c r="D161" s="1">
        <f ca="1">IFERROR(__xludf.DUMMYFUNCTION("""COMPUTED_VALUE"""),21)</f>
        <v>21</v>
      </c>
      <c r="E161" s="1">
        <f ca="1">IFERROR(__xludf.DUMMYFUNCTION("""COMPUTED_VALUE"""),0.3)</f>
        <v>0.3</v>
      </c>
      <c r="F161" s="1">
        <f ca="1">IFERROR(__xludf.DUMMYFUNCTION("""COMPUTED_VALUE"""),-14.68)</f>
        <v>-14.68</v>
      </c>
      <c r="G161" s="1">
        <f ca="1">IFERROR(__xludf.DUMMYFUNCTION("""COMPUTED_VALUE"""),-3.5)</f>
        <v>-3.5</v>
      </c>
      <c r="H161" s="1">
        <f ca="1">IFERROR(__xludf.DUMMYFUNCTION("""COMPUTED_VALUE"""),5)</f>
        <v>5</v>
      </c>
      <c r="I161" s="1">
        <f ca="1">IFERROR(__xludf.DUMMYFUNCTION("""COMPUTED_VALUE"""),13)</f>
        <v>13</v>
      </c>
      <c r="J161" s="1">
        <f ca="1">IFERROR(__xludf.DUMMYFUNCTION("""COMPUTED_VALUE"""),5)</f>
        <v>5</v>
      </c>
      <c r="K161" s="1">
        <f ca="1">IFERROR(__xludf.DUMMYFUNCTION("""COMPUTED_VALUE"""),10)</f>
        <v>10</v>
      </c>
      <c r="L161" s="1">
        <f ca="1">IFERROR(__xludf.DUMMYFUNCTION("""COMPUTED_VALUE"""),4)</f>
        <v>4</v>
      </c>
      <c r="M161" s="1">
        <f ca="1">IFERROR(__xludf.DUMMYFUNCTION("""COMPUTED_VALUE"""),11)</f>
        <v>11</v>
      </c>
      <c r="N161" s="1">
        <f ca="1">IFERROR(__xludf.DUMMYFUNCTION("""COMPUTED_VALUE"""),1995)</f>
        <v>1995</v>
      </c>
      <c r="O161" s="1">
        <f ca="1">IFERROR(__xludf.DUMMYFUNCTION("""COMPUTED_VALUE"""),2282)</f>
        <v>2282</v>
      </c>
      <c r="P161" s="1">
        <f ca="1">IFERROR(__xludf.DUMMYFUNCTION("""COMPUTED_VALUE"""),1205)</f>
        <v>1205</v>
      </c>
      <c r="Q161" s="1">
        <f ca="1">IFERROR(__xludf.DUMMYFUNCTION("""COMPUTED_VALUE"""),712)</f>
        <v>712</v>
      </c>
      <c r="R161" s="1">
        <f ca="1">IFERROR(__xludf.DUMMYFUNCTION("""COMPUTED_VALUE"""),1655)</f>
        <v>1655</v>
      </c>
      <c r="S161" s="1">
        <f ca="1">IFERROR(__xludf.DUMMYFUNCTION("""COMPUTED_VALUE"""),0.43)</f>
        <v>0.43</v>
      </c>
      <c r="T161" s="1">
        <f ca="1">IFERROR(__xludf.DUMMYFUNCTION("""COMPUTED_VALUE"""),221)</f>
        <v>221</v>
      </c>
      <c r="U161" s="1">
        <f ca="1">IFERROR(__xludf.DUMMYFUNCTION("""COMPUTED_VALUE"""),662)</f>
        <v>662</v>
      </c>
      <c r="V161" s="1">
        <f ca="1">IFERROR(__xludf.DUMMYFUNCTION("""COMPUTED_VALUE"""),0.334)</f>
        <v>0.33400000000000002</v>
      </c>
      <c r="W161" s="1">
        <f ca="1">IFERROR(__xludf.DUMMYFUNCTION("""COMPUTED_VALUE"""),350)</f>
        <v>350</v>
      </c>
      <c r="X161" s="1">
        <f ca="1">IFERROR(__xludf.DUMMYFUNCTION("""COMPUTED_VALUE"""),492)</f>
        <v>492</v>
      </c>
      <c r="Y161" s="1">
        <f ca="1">IFERROR(__xludf.DUMMYFUNCTION("""COMPUTED_VALUE"""),0.711)</f>
        <v>0.71099999999999997</v>
      </c>
      <c r="Z161" s="1">
        <f ca="1">IFERROR(__xludf.DUMMYFUNCTION("""COMPUTED_VALUE"""),205)</f>
        <v>205</v>
      </c>
      <c r="AA161" s="1">
        <f ca="1">IFERROR(__xludf.DUMMYFUNCTION("""COMPUTED_VALUE"""),956)</f>
        <v>956</v>
      </c>
      <c r="AB161" s="1">
        <f ca="1">IFERROR(__xludf.DUMMYFUNCTION("""COMPUTED_VALUE"""),378)</f>
        <v>378</v>
      </c>
      <c r="AC161" s="1">
        <f ca="1">IFERROR(__xludf.DUMMYFUNCTION("""COMPUTED_VALUE"""),148)</f>
        <v>148</v>
      </c>
      <c r="AD161" s="1">
        <f ca="1">IFERROR(__xludf.DUMMYFUNCTION("""COMPUTED_VALUE"""),85)</f>
        <v>85</v>
      </c>
      <c r="AE161" s="1">
        <f ca="1">IFERROR(__xludf.DUMMYFUNCTION("""COMPUTED_VALUE"""),436)</f>
        <v>436</v>
      </c>
      <c r="AF161" s="1">
        <f ca="1">IFERROR(__xludf.DUMMYFUNCTION("""COMPUTED_VALUE"""),514)</f>
        <v>514</v>
      </c>
    </row>
    <row r="162" spans="1:32" ht="12.5" x14ac:dyDescent="0.25">
      <c r="A162" s="1" t="str">
        <f ca="1">IFERROR(__xludf.DUMMYFUNCTION("""COMPUTED_VALUE"""),"Lamar")</f>
        <v>Lamar</v>
      </c>
      <c r="B162" s="1">
        <f ca="1">IFERROR(__xludf.DUMMYFUNCTION("""COMPUTED_VALUE"""),34)</f>
        <v>34</v>
      </c>
      <c r="C162" s="1">
        <f ca="1">IFERROR(__xludf.DUMMYFUNCTION("""COMPUTED_VALUE"""),19)</f>
        <v>19</v>
      </c>
      <c r="D162" s="1">
        <f ca="1">IFERROR(__xludf.DUMMYFUNCTION("""COMPUTED_VALUE"""),15)</f>
        <v>15</v>
      </c>
      <c r="E162" s="1">
        <f ca="1">IFERROR(__xludf.DUMMYFUNCTION("""COMPUTED_VALUE"""),0.559)</f>
        <v>0.55900000000000005</v>
      </c>
      <c r="F162" s="1">
        <f ca="1">IFERROR(__xludf.DUMMYFUNCTION("""COMPUTED_VALUE"""),-7.36)</f>
        <v>-7.36</v>
      </c>
      <c r="G162" s="1">
        <f ca="1">IFERROR(__xludf.DUMMYFUNCTION("""COMPUTED_VALUE"""),-7.93)</f>
        <v>-7.93</v>
      </c>
      <c r="H162" s="1">
        <f ca="1">IFERROR(__xludf.DUMMYFUNCTION("""COMPUTED_VALUE"""),10)</f>
        <v>10</v>
      </c>
      <c r="I162" s="1">
        <f ca="1">IFERROR(__xludf.DUMMYFUNCTION("""COMPUTED_VALUE"""),8)</f>
        <v>8</v>
      </c>
      <c r="J162" s="1">
        <f ca="1">IFERROR(__xludf.DUMMYFUNCTION("""COMPUTED_VALUE"""),12)</f>
        <v>12</v>
      </c>
      <c r="K162" s="1">
        <f ca="1">IFERROR(__xludf.DUMMYFUNCTION("""COMPUTED_VALUE"""),3)</f>
        <v>3</v>
      </c>
      <c r="L162" s="1">
        <f ca="1">IFERROR(__xludf.DUMMYFUNCTION("""COMPUTED_VALUE"""),6)</f>
        <v>6</v>
      </c>
      <c r="M162" s="1">
        <f ca="1">IFERROR(__xludf.DUMMYFUNCTION("""COMPUTED_VALUE"""),11)</f>
        <v>11</v>
      </c>
      <c r="N162" s="1">
        <f ca="1">IFERROR(__xludf.DUMMYFUNCTION("""COMPUTED_VALUE"""),2623)</f>
        <v>2623</v>
      </c>
      <c r="O162" s="1">
        <f ca="1">IFERROR(__xludf.DUMMYFUNCTION("""COMPUTED_VALUE"""),2434)</f>
        <v>2434</v>
      </c>
      <c r="P162" s="1">
        <f ca="1">IFERROR(__xludf.DUMMYFUNCTION("""COMPUTED_VALUE"""),1375)</f>
        <v>1375</v>
      </c>
      <c r="Q162" s="1">
        <f ca="1">IFERROR(__xludf.DUMMYFUNCTION("""COMPUTED_VALUE"""),907)</f>
        <v>907</v>
      </c>
      <c r="R162" s="1">
        <f ca="1">IFERROR(__xludf.DUMMYFUNCTION("""COMPUTED_VALUE"""),1977)</f>
        <v>1977</v>
      </c>
      <c r="S162" s="1">
        <f ca="1">IFERROR(__xludf.DUMMYFUNCTION("""COMPUTED_VALUE"""),0.459)</f>
        <v>0.45900000000000002</v>
      </c>
      <c r="T162" s="1">
        <f ca="1">IFERROR(__xludf.DUMMYFUNCTION("""COMPUTED_VALUE"""),265)</f>
        <v>265</v>
      </c>
      <c r="U162" s="1">
        <f ca="1">IFERROR(__xludf.DUMMYFUNCTION("""COMPUTED_VALUE"""),732)</f>
        <v>732</v>
      </c>
      <c r="V162" s="1">
        <f ca="1">IFERROR(__xludf.DUMMYFUNCTION("""COMPUTED_VALUE"""),0.362)</f>
        <v>0.36199999999999999</v>
      </c>
      <c r="W162" s="1">
        <f ca="1">IFERROR(__xludf.DUMMYFUNCTION("""COMPUTED_VALUE"""),544)</f>
        <v>544</v>
      </c>
      <c r="X162" s="1">
        <f ca="1">IFERROR(__xludf.DUMMYFUNCTION("""COMPUTED_VALUE"""),813)</f>
        <v>813</v>
      </c>
      <c r="Y162" s="1">
        <f ca="1">IFERROR(__xludf.DUMMYFUNCTION("""COMPUTED_VALUE"""),0.669)</f>
        <v>0.66900000000000004</v>
      </c>
      <c r="Z162" s="1">
        <f ca="1">IFERROR(__xludf.DUMMYFUNCTION("""COMPUTED_VALUE"""),389)</f>
        <v>389</v>
      </c>
      <c r="AA162" s="1">
        <f ca="1">IFERROR(__xludf.DUMMYFUNCTION("""COMPUTED_VALUE"""),1189)</f>
        <v>1189</v>
      </c>
      <c r="AB162" s="1">
        <f ca="1">IFERROR(__xludf.DUMMYFUNCTION("""COMPUTED_VALUE"""),481)</f>
        <v>481</v>
      </c>
      <c r="AC162" s="1">
        <f ca="1">IFERROR(__xludf.DUMMYFUNCTION("""COMPUTED_VALUE"""),271)</f>
        <v>271</v>
      </c>
      <c r="AD162" s="1">
        <f ca="1">IFERROR(__xludf.DUMMYFUNCTION("""COMPUTED_VALUE"""),95)</f>
        <v>95</v>
      </c>
      <c r="AE162" s="1">
        <f ca="1">IFERROR(__xludf.DUMMYFUNCTION("""COMPUTED_VALUE"""),455)</f>
        <v>455</v>
      </c>
      <c r="AF162" s="1">
        <f ca="1">IFERROR(__xludf.DUMMYFUNCTION("""COMPUTED_VALUE"""),733)</f>
        <v>733</v>
      </c>
    </row>
    <row r="163" spans="1:32" ht="12.5" x14ac:dyDescent="0.25">
      <c r="A163" s="1" t="str">
        <f ca="1">IFERROR(__xludf.DUMMYFUNCTION("""COMPUTED_VALUE"""),"Lehigh")</f>
        <v>Lehigh</v>
      </c>
      <c r="B163" s="1">
        <f ca="1">IFERROR(__xludf.DUMMYFUNCTION("""COMPUTED_VALUE"""),32)</f>
        <v>32</v>
      </c>
      <c r="C163" s="1">
        <f ca="1">IFERROR(__xludf.DUMMYFUNCTION("""COMPUTED_VALUE"""),20)</f>
        <v>20</v>
      </c>
      <c r="D163" s="1">
        <f ca="1">IFERROR(__xludf.DUMMYFUNCTION("""COMPUTED_VALUE"""),12)</f>
        <v>12</v>
      </c>
      <c r="E163" s="1">
        <f ca="1">IFERROR(__xludf.DUMMYFUNCTION("""COMPUTED_VALUE"""),0.625)</f>
        <v>0.625</v>
      </c>
      <c r="F163" s="1">
        <f ca="1">IFERROR(__xludf.DUMMYFUNCTION("""COMPUTED_VALUE"""),1.54)</f>
        <v>1.54</v>
      </c>
      <c r="G163" s="1">
        <f ca="1">IFERROR(__xludf.DUMMYFUNCTION("""COMPUTED_VALUE"""),-3.3)</f>
        <v>-3.3</v>
      </c>
      <c r="H163" s="1">
        <f ca="1">IFERROR(__xludf.DUMMYFUNCTION("""COMPUTED_VALUE"""),12)</f>
        <v>12</v>
      </c>
      <c r="I163" s="1">
        <f ca="1">IFERROR(__xludf.DUMMYFUNCTION("""COMPUTED_VALUE"""),6)</f>
        <v>6</v>
      </c>
      <c r="J163" s="1">
        <f ca="1">IFERROR(__xludf.DUMMYFUNCTION("""COMPUTED_VALUE"""),12)</f>
        <v>12</v>
      </c>
      <c r="K163" s="1">
        <f ca="1">IFERROR(__xludf.DUMMYFUNCTION("""COMPUTED_VALUE"""),2)</f>
        <v>2</v>
      </c>
      <c r="L163" s="1">
        <f ca="1">IFERROR(__xludf.DUMMYFUNCTION("""COMPUTED_VALUE"""),8)</f>
        <v>8</v>
      </c>
      <c r="M163" s="1">
        <f ca="1">IFERROR(__xludf.DUMMYFUNCTION("""COMPUTED_VALUE"""),10)</f>
        <v>10</v>
      </c>
      <c r="N163" s="1">
        <f ca="1">IFERROR(__xludf.DUMMYFUNCTION("""COMPUTED_VALUE"""),2432)</f>
        <v>2432</v>
      </c>
      <c r="O163" s="1">
        <f ca="1">IFERROR(__xludf.DUMMYFUNCTION("""COMPUTED_VALUE"""),2261)</f>
        <v>2261</v>
      </c>
      <c r="P163" s="1">
        <f ca="1">IFERROR(__xludf.DUMMYFUNCTION("""COMPUTED_VALUE"""),1295)</f>
        <v>1295</v>
      </c>
      <c r="Q163" s="1">
        <f ca="1">IFERROR(__xludf.DUMMYFUNCTION("""COMPUTED_VALUE"""),857)</f>
        <v>857</v>
      </c>
      <c r="R163" s="1">
        <f ca="1">IFERROR(__xludf.DUMMYFUNCTION("""COMPUTED_VALUE"""),1788)</f>
        <v>1788</v>
      </c>
      <c r="S163" s="1">
        <f ca="1">IFERROR(__xludf.DUMMYFUNCTION("""COMPUTED_VALUE"""),0.479)</f>
        <v>0.47899999999999998</v>
      </c>
      <c r="T163" s="1">
        <f ca="1">IFERROR(__xludf.DUMMYFUNCTION("""COMPUTED_VALUE"""),270)</f>
        <v>270</v>
      </c>
      <c r="U163" s="1">
        <f ca="1">IFERROR(__xludf.DUMMYFUNCTION("""COMPUTED_VALUE"""),689)</f>
        <v>689</v>
      </c>
      <c r="V163" s="1">
        <f ca="1">IFERROR(__xludf.DUMMYFUNCTION("""COMPUTED_VALUE"""),0.392)</f>
        <v>0.39200000000000002</v>
      </c>
      <c r="W163" s="1">
        <f ca="1">IFERROR(__xludf.DUMMYFUNCTION("""COMPUTED_VALUE"""),448)</f>
        <v>448</v>
      </c>
      <c r="X163" s="1">
        <f ca="1">IFERROR(__xludf.DUMMYFUNCTION("""COMPUTED_VALUE"""),580)</f>
        <v>580</v>
      </c>
      <c r="Y163" s="1">
        <f ca="1">IFERROR(__xludf.DUMMYFUNCTION("""COMPUTED_VALUE"""),0.772)</f>
        <v>0.77200000000000002</v>
      </c>
      <c r="Z163" s="1">
        <f ca="1">IFERROR(__xludf.DUMMYFUNCTION("""COMPUTED_VALUE"""),232)</f>
        <v>232</v>
      </c>
      <c r="AA163" s="1">
        <f ca="1">IFERROR(__xludf.DUMMYFUNCTION("""COMPUTED_VALUE"""),1100)</f>
        <v>1100</v>
      </c>
      <c r="AB163" s="1">
        <f ca="1">IFERROR(__xludf.DUMMYFUNCTION("""COMPUTED_VALUE"""),467)</f>
        <v>467</v>
      </c>
      <c r="AC163" s="1">
        <f ca="1">IFERROR(__xludf.DUMMYFUNCTION("""COMPUTED_VALUE"""),215)</f>
        <v>215</v>
      </c>
      <c r="AD163" s="1">
        <f ca="1">IFERROR(__xludf.DUMMYFUNCTION("""COMPUTED_VALUE"""),99)</f>
        <v>99</v>
      </c>
      <c r="AE163" s="1">
        <f ca="1">IFERROR(__xludf.DUMMYFUNCTION("""COMPUTED_VALUE"""),450)</f>
        <v>450</v>
      </c>
      <c r="AF163" s="1">
        <f ca="1">IFERROR(__xludf.DUMMYFUNCTION("""COMPUTED_VALUE"""),539)</f>
        <v>539</v>
      </c>
    </row>
    <row r="164" spans="1:32" ht="12.5" x14ac:dyDescent="0.25">
      <c r="A164" s="1" t="str">
        <f ca="1">IFERROR(__xludf.DUMMYFUNCTION("""COMPUTED_VALUE"""),"Liberty")</f>
        <v>Liberty</v>
      </c>
      <c r="B164" s="1">
        <f ca="1">IFERROR(__xludf.DUMMYFUNCTION("""COMPUTED_VALUE"""),35)</f>
        <v>35</v>
      </c>
      <c r="C164" s="1">
        <f ca="1">IFERROR(__xludf.DUMMYFUNCTION("""COMPUTED_VALUE"""),21)</f>
        <v>21</v>
      </c>
      <c r="D164" s="1">
        <f ca="1">IFERROR(__xludf.DUMMYFUNCTION("""COMPUTED_VALUE"""),14)</f>
        <v>14</v>
      </c>
      <c r="E164" s="1">
        <f ca="1">IFERROR(__xludf.DUMMYFUNCTION("""COMPUTED_VALUE"""),0.6)</f>
        <v>0.6</v>
      </c>
      <c r="F164" s="1">
        <f ca="1">IFERROR(__xludf.DUMMYFUNCTION("""COMPUTED_VALUE"""),-5.51)</f>
        <v>-5.51</v>
      </c>
      <c r="G164" s="1">
        <f ca="1">IFERROR(__xludf.DUMMYFUNCTION("""COMPUTED_VALUE"""),-6.16)</f>
        <v>-6.16</v>
      </c>
      <c r="H164" s="1">
        <f ca="1">IFERROR(__xludf.DUMMYFUNCTION("""COMPUTED_VALUE"""),14)</f>
        <v>14</v>
      </c>
      <c r="I164" s="1">
        <f ca="1">IFERROR(__xludf.DUMMYFUNCTION("""COMPUTED_VALUE"""),4)</f>
        <v>4</v>
      </c>
      <c r="J164" s="1">
        <f ca="1">IFERROR(__xludf.DUMMYFUNCTION("""COMPUTED_VALUE"""),14)</f>
        <v>14</v>
      </c>
      <c r="K164" s="1">
        <f ca="1">IFERROR(__xludf.DUMMYFUNCTION("""COMPUTED_VALUE"""),5)</f>
        <v>5</v>
      </c>
      <c r="L164" s="1">
        <f ca="1">IFERROR(__xludf.DUMMYFUNCTION("""COMPUTED_VALUE"""),7)</f>
        <v>7</v>
      </c>
      <c r="M164" s="1">
        <f ca="1">IFERROR(__xludf.DUMMYFUNCTION("""COMPUTED_VALUE"""),8)</f>
        <v>8</v>
      </c>
      <c r="N164" s="1">
        <f ca="1">IFERROR(__xludf.DUMMYFUNCTION("""COMPUTED_VALUE"""),2331)</f>
        <v>2331</v>
      </c>
      <c r="O164" s="1">
        <f ca="1">IFERROR(__xludf.DUMMYFUNCTION("""COMPUTED_VALUE"""),2220)</f>
        <v>2220</v>
      </c>
      <c r="P164" s="1">
        <f ca="1">IFERROR(__xludf.DUMMYFUNCTION("""COMPUTED_VALUE"""),1415)</f>
        <v>1415</v>
      </c>
      <c r="Q164" s="1">
        <f ca="1">IFERROR(__xludf.DUMMYFUNCTION("""COMPUTED_VALUE"""),779)</f>
        <v>779</v>
      </c>
      <c r="R164" s="1">
        <f ca="1">IFERROR(__xludf.DUMMYFUNCTION("""COMPUTED_VALUE"""),1787)</f>
        <v>1787</v>
      </c>
      <c r="S164" s="1">
        <f ca="1">IFERROR(__xludf.DUMMYFUNCTION("""COMPUTED_VALUE"""),0.436)</f>
        <v>0.436</v>
      </c>
      <c r="T164" s="1">
        <f ca="1">IFERROR(__xludf.DUMMYFUNCTION("""COMPUTED_VALUE"""),319)</f>
        <v>319</v>
      </c>
      <c r="U164" s="1">
        <f ca="1">IFERROR(__xludf.DUMMYFUNCTION("""COMPUTED_VALUE"""),888)</f>
        <v>888</v>
      </c>
      <c r="V164" s="1">
        <f ca="1">IFERROR(__xludf.DUMMYFUNCTION("""COMPUTED_VALUE"""),0.359)</f>
        <v>0.35899999999999999</v>
      </c>
      <c r="W164" s="1">
        <f ca="1">IFERROR(__xludf.DUMMYFUNCTION("""COMPUTED_VALUE"""),454)</f>
        <v>454</v>
      </c>
      <c r="X164" s="1">
        <f ca="1">IFERROR(__xludf.DUMMYFUNCTION("""COMPUTED_VALUE"""),612)</f>
        <v>612</v>
      </c>
      <c r="Y164" s="1">
        <f ca="1">IFERROR(__xludf.DUMMYFUNCTION("""COMPUTED_VALUE"""),0.742)</f>
        <v>0.74199999999999999</v>
      </c>
      <c r="Z164" s="1">
        <f ca="1">IFERROR(__xludf.DUMMYFUNCTION("""COMPUTED_VALUE"""),173)</f>
        <v>173</v>
      </c>
      <c r="AA164" s="1">
        <f ca="1">IFERROR(__xludf.DUMMYFUNCTION("""COMPUTED_VALUE"""),990)</f>
        <v>990</v>
      </c>
      <c r="AB164" s="1">
        <f ca="1">IFERROR(__xludf.DUMMYFUNCTION("""COMPUTED_VALUE"""),453)</f>
        <v>453</v>
      </c>
      <c r="AC164" s="1">
        <f ca="1">IFERROR(__xludf.DUMMYFUNCTION("""COMPUTED_VALUE"""),229)</f>
        <v>229</v>
      </c>
      <c r="AD164" s="1">
        <f ca="1">IFERROR(__xludf.DUMMYFUNCTION("""COMPUTED_VALUE"""),65)</f>
        <v>65</v>
      </c>
      <c r="AE164" s="1">
        <f ca="1">IFERROR(__xludf.DUMMYFUNCTION("""COMPUTED_VALUE"""),363)</f>
        <v>363</v>
      </c>
      <c r="AF164" s="1">
        <f ca="1">IFERROR(__xludf.DUMMYFUNCTION("""COMPUTED_VALUE"""),670)</f>
        <v>670</v>
      </c>
    </row>
    <row r="165" spans="1:32" ht="12.5" x14ac:dyDescent="0.25">
      <c r="A165" s="1" t="str">
        <f ca="1">IFERROR(__xludf.DUMMYFUNCTION("""COMPUTED_VALUE"""),"Lipscomb")</f>
        <v>Lipscomb</v>
      </c>
      <c r="B165" s="1">
        <f ca="1">IFERROR(__xludf.DUMMYFUNCTION("""COMPUTED_VALUE"""),33)</f>
        <v>33</v>
      </c>
      <c r="C165" s="1">
        <f ca="1">IFERROR(__xludf.DUMMYFUNCTION("""COMPUTED_VALUE"""),20)</f>
        <v>20</v>
      </c>
      <c r="D165" s="1">
        <f ca="1">IFERROR(__xludf.DUMMYFUNCTION("""COMPUTED_VALUE"""),13)</f>
        <v>13</v>
      </c>
      <c r="E165" s="1">
        <f ca="1">IFERROR(__xludf.DUMMYFUNCTION("""COMPUTED_VALUE"""),0.606)</f>
        <v>0.60599999999999998</v>
      </c>
      <c r="F165" s="1">
        <f ca="1">IFERROR(__xludf.DUMMYFUNCTION("""COMPUTED_VALUE"""),-1.55)</f>
        <v>-1.55</v>
      </c>
      <c r="G165" s="1">
        <f ca="1">IFERROR(__xludf.DUMMYFUNCTION("""COMPUTED_VALUE"""),-4.45)</f>
        <v>-4.45</v>
      </c>
      <c r="H165" s="1">
        <f ca="1">IFERROR(__xludf.DUMMYFUNCTION("""COMPUTED_VALUE"""),11)</f>
        <v>11</v>
      </c>
      <c r="I165" s="1">
        <f ca="1">IFERROR(__xludf.DUMMYFUNCTION("""COMPUTED_VALUE"""),3)</f>
        <v>3</v>
      </c>
      <c r="J165" s="1">
        <f ca="1">IFERROR(__xludf.DUMMYFUNCTION("""COMPUTED_VALUE"""),11)</f>
        <v>11</v>
      </c>
      <c r="K165" s="1">
        <f ca="1">IFERROR(__xludf.DUMMYFUNCTION("""COMPUTED_VALUE"""),5)</f>
        <v>5</v>
      </c>
      <c r="L165" s="1">
        <f ca="1">IFERROR(__xludf.DUMMYFUNCTION("""COMPUTED_VALUE"""),9)</f>
        <v>9</v>
      </c>
      <c r="M165" s="1">
        <f ca="1">IFERROR(__xludf.DUMMYFUNCTION("""COMPUTED_VALUE"""),6)</f>
        <v>6</v>
      </c>
      <c r="N165" s="1">
        <f ca="1">IFERROR(__xludf.DUMMYFUNCTION("""COMPUTED_VALUE"""),2804)</f>
        <v>2804</v>
      </c>
      <c r="O165" s="1">
        <f ca="1">IFERROR(__xludf.DUMMYFUNCTION("""COMPUTED_VALUE"""),2562)</f>
        <v>2562</v>
      </c>
      <c r="P165" s="1">
        <f ca="1">IFERROR(__xludf.DUMMYFUNCTION("""COMPUTED_VALUE"""),1325)</f>
        <v>1325</v>
      </c>
      <c r="Q165" s="1">
        <f ca="1">IFERROR(__xludf.DUMMYFUNCTION("""COMPUTED_VALUE"""),939)</f>
        <v>939</v>
      </c>
      <c r="R165" s="1">
        <f ca="1">IFERROR(__xludf.DUMMYFUNCTION("""COMPUTED_VALUE"""),1978)</f>
        <v>1978</v>
      </c>
      <c r="S165" s="1">
        <f ca="1">IFERROR(__xludf.DUMMYFUNCTION("""COMPUTED_VALUE"""),0.475)</f>
        <v>0.47499999999999998</v>
      </c>
      <c r="T165" s="1">
        <f ca="1">IFERROR(__xludf.DUMMYFUNCTION("""COMPUTED_VALUE"""),340)</f>
        <v>340</v>
      </c>
      <c r="U165" s="1">
        <f ca="1">IFERROR(__xludf.DUMMYFUNCTION("""COMPUTED_VALUE"""),928)</f>
        <v>928</v>
      </c>
      <c r="V165" s="1">
        <f ca="1">IFERROR(__xludf.DUMMYFUNCTION("""COMPUTED_VALUE"""),0.366)</f>
        <v>0.36599999999999999</v>
      </c>
      <c r="W165" s="1">
        <f ca="1">IFERROR(__xludf.DUMMYFUNCTION("""COMPUTED_VALUE"""),586)</f>
        <v>586</v>
      </c>
      <c r="X165" s="1">
        <f ca="1">IFERROR(__xludf.DUMMYFUNCTION("""COMPUTED_VALUE"""),811)</f>
        <v>811</v>
      </c>
      <c r="Y165" s="1">
        <f ca="1">IFERROR(__xludf.DUMMYFUNCTION("""COMPUTED_VALUE"""),0.723)</f>
        <v>0.72299999999999998</v>
      </c>
      <c r="Z165" s="1">
        <f ca="1">IFERROR(__xludf.DUMMYFUNCTION("""COMPUTED_VALUE"""),340)</f>
        <v>340</v>
      </c>
      <c r="AA165" s="1">
        <f ca="1">IFERROR(__xludf.DUMMYFUNCTION("""COMPUTED_VALUE"""),1213)</f>
        <v>1213</v>
      </c>
      <c r="AB165" s="1">
        <f ca="1">IFERROR(__xludf.DUMMYFUNCTION("""COMPUTED_VALUE"""),599)</f>
        <v>599</v>
      </c>
      <c r="AC165" s="1">
        <f ca="1">IFERROR(__xludf.DUMMYFUNCTION("""COMPUTED_VALUE"""),218)</f>
        <v>218</v>
      </c>
      <c r="AD165" s="1">
        <f ca="1">IFERROR(__xludf.DUMMYFUNCTION("""COMPUTED_VALUE"""),104)</f>
        <v>104</v>
      </c>
      <c r="AE165" s="1">
        <f ca="1">IFERROR(__xludf.DUMMYFUNCTION("""COMPUTED_VALUE"""),500)</f>
        <v>500</v>
      </c>
      <c r="AF165" s="1">
        <f ca="1">IFERROR(__xludf.DUMMYFUNCTION("""COMPUTED_VALUE"""),702)</f>
        <v>702</v>
      </c>
    </row>
    <row r="166" spans="1:32" ht="12.5" x14ac:dyDescent="0.25">
      <c r="A166" s="1" t="str">
        <f ca="1">IFERROR(__xludf.DUMMYFUNCTION("""COMPUTED_VALUE"""),"Cal State Long Beach")</f>
        <v>Cal State Long Beach</v>
      </c>
      <c r="B166" s="1">
        <f ca="1">IFERROR(__xludf.DUMMYFUNCTION("""COMPUTED_VALUE"""),34)</f>
        <v>34</v>
      </c>
      <c r="C166" s="1">
        <f ca="1">IFERROR(__xludf.DUMMYFUNCTION("""COMPUTED_VALUE"""),15)</f>
        <v>15</v>
      </c>
      <c r="D166" s="1">
        <f ca="1">IFERROR(__xludf.DUMMYFUNCTION("""COMPUTED_VALUE"""),19)</f>
        <v>19</v>
      </c>
      <c r="E166" s="1">
        <f ca="1">IFERROR(__xludf.DUMMYFUNCTION("""COMPUTED_VALUE"""),0.441)</f>
        <v>0.441</v>
      </c>
      <c r="F166" s="1">
        <f ca="1">IFERROR(__xludf.DUMMYFUNCTION("""COMPUTED_VALUE"""),-5.98)</f>
        <v>-5.98</v>
      </c>
      <c r="G166" s="1">
        <f ca="1">IFERROR(__xludf.DUMMYFUNCTION("""COMPUTED_VALUE"""),-0.6)</f>
        <v>-0.6</v>
      </c>
      <c r="H166" s="1">
        <f ca="1">IFERROR(__xludf.DUMMYFUNCTION("""COMPUTED_VALUE"""),9)</f>
        <v>9</v>
      </c>
      <c r="I166" s="1">
        <f ca="1">IFERROR(__xludf.DUMMYFUNCTION("""COMPUTED_VALUE"""),7)</f>
        <v>7</v>
      </c>
      <c r="J166" s="1">
        <f ca="1">IFERROR(__xludf.DUMMYFUNCTION("""COMPUTED_VALUE"""),10)</f>
        <v>10</v>
      </c>
      <c r="K166" s="1">
        <f ca="1">IFERROR(__xludf.DUMMYFUNCTION("""COMPUTED_VALUE"""),2)</f>
        <v>2</v>
      </c>
      <c r="L166" s="1">
        <f ca="1">IFERROR(__xludf.DUMMYFUNCTION("""COMPUTED_VALUE"""),3)</f>
        <v>3</v>
      </c>
      <c r="M166" s="1">
        <f ca="1">IFERROR(__xludf.DUMMYFUNCTION("""COMPUTED_VALUE"""),15)</f>
        <v>15</v>
      </c>
      <c r="N166" s="1">
        <f ca="1">IFERROR(__xludf.DUMMYFUNCTION("""COMPUTED_VALUE"""),2549)</f>
        <v>2549</v>
      </c>
      <c r="O166" s="1">
        <f ca="1">IFERROR(__xludf.DUMMYFUNCTION("""COMPUTED_VALUE"""),2666)</f>
        <v>2666</v>
      </c>
      <c r="P166" s="1">
        <f ca="1">IFERROR(__xludf.DUMMYFUNCTION("""COMPUTED_VALUE"""),1385)</f>
        <v>1385</v>
      </c>
      <c r="Q166" s="1">
        <f ca="1">IFERROR(__xludf.DUMMYFUNCTION("""COMPUTED_VALUE"""),895)</f>
        <v>895</v>
      </c>
      <c r="R166" s="1">
        <f ca="1">IFERROR(__xludf.DUMMYFUNCTION("""COMPUTED_VALUE"""),2035)</f>
        <v>2035</v>
      </c>
      <c r="S166" s="1">
        <f ca="1">IFERROR(__xludf.DUMMYFUNCTION("""COMPUTED_VALUE"""),0.44)</f>
        <v>0.44</v>
      </c>
      <c r="T166" s="1">
        <f ca="1">IFERROR(__xludf.DUMMYFUNCTION("""COMPUTED_VALUE"""),216)</f>
        <v>216</v>
      </c>
      <c r="U166" s="1">
        <f ca="1">IFERROR(__xludf.DUMMYFUNCTION("""COMPUTED_VALUE"""),616)</f>
        <v>616</v>
      </c>
      <c r="V166" s="1">
        <f ca="1">IFERROR(__xludf.DUMMYFUNCTION("""COMPUTED_VALUE"""),0.351)</f>
        <v>0.35099999999999998</v>
      </c>
      <c r="W166" s="1">
        <f ca="1">IFERROR(__xludf.DUMMYFUNCTION("""COMPUTED_VALUE"""),543)</f>
        <v>543</v>
      </c>
      <c r="X166" s="1">
        <f ca="1">IFERROR(__xludf.DUMMYFUNCTION("""COMPUTED_VALUE"""),750)</f>
        <v>750</v>
      </c>
      <c r="Y166" s="1">
        <f ca="1">IFERROR(__xludf.DUMMYFUNCTION("""COMPUTED_VALUE"""),0.724)</f>
        <v>0.72399999999999998</v>
      </c>
      <c r="Z166" s="1">
        <f ca="1">IFERROR(__xludf.DUMMYFUNCTION("""COMPUTED_VALUE"""),396)</f>
        <v>396</v>
      </c>
      <c r="AA166" s="1">
        <f ca="1">IFERROR(__xludf.DUMMYFUNCTION("""COMPUTED_VALUE"""),1212)</f>
        <v>1212</v>
      </c>
      <c r="AB166" s="1">
        <f ca="1">IFERROR(__xludf.DUMMYFUNCTION("""COMPUTED_VALUE"""),447)</f>
        <v>447</v>
      </c>
      <c r="AC166" s="1">
        <f ca="1">IFERROR(__xludf.DUMMYFUNCTION("""COMPUTED_VALUE"""),199)</f>
        <v>199</v>
      </c>
      <c r="AD166" s="1">
        <f ca="1">IFERROR(__xludf.DUMMYFUNCTION("""COMPUTED_VALUE"""),92)</f>
        <v>92</v>
      </c>
      <c r="AE166" s="1">
        <f ca="1">IFERROR(__xludf.DUMMYFUNCTION("""COMPUTED_VALUE"""),488)</f>
        <v>488</v>
      </c>
      <c r="AF166" s="1">
        <f ca="1">IFERROR(__xludf.DUMMYFUNCTION("""COMPUTED_VALUE"""),682)</f>
        <v>682</v>
      </c>
    </row>
    <row r="167" spans="1:32" ht="12.5" x14ac:dyDescent="0.25">
      <c r="A167" s="1" t="str">
        <f ca="1">IFERROR(__xludf.DUMMYFUNCTION("""COMPUTED_VALUE"""),"Long Island University")</f>
        <v>Long Island University</v>
      </c>
      <c r="B167" s="1">
        <f ca="1">IFERROR(__xludf.DUMMYFUNCTION("""COMPUTED_VALUE"""),32)</f>
        <v>32</v>
      </c>
      <c r="C167" s="1">
        <f ca="1">IFERROR(__xludf.DUMMYFUNCTION("""COMPUTED_VALUE"""),20)</f>
        <v>20</v>
      </c>
      <c r="D167" s="1">
        <f ca="1">IFERROR(__xludf.DUMMYFUNCTION("""COMPUTED_VALUE"""),12)</f>
        <v>12</v>
      </c>
      <c r="E167" s="1">
        <f ca="1">IFERROR(__xludf.DUMMYFUNCTION("""COMPUTED_VALUE"""),0.625)</f>
        <v>0.625</v>
      </c>
      <c r="F167" s="1">
        <f ca="1">IFERROR(__xludf.DUMMYFUNCTION("""COMPUTED_VALUE"""),-7.8)</f>
        <v>-7.8</v>
      </c>
      <c r="G167" s="1">
        <f ca="1">IFERROR(__xludf.DUMMYFUNCTION("""COMPUTED_VALUE"""),-8.51)</f>
        <v>-8.51</v>
      </c>
      <c r="H167" s="1">
        <f ca="1">IFERROR(__xludf.DUMMYFUNCTION("""COMPUTED_VALUE"""),13)</f>
        <v>13</v>
      </c>
      <c r="I167" s="1">
        <f ca="1">IFERROR(__xludf.DUMMYFUNCTION("""COMPUTED_VALUE"""),5)</f>
        <v>5</v>
      </c>
      <c r="J167" s="1">
        <f ca="1">IFERROR(__xludf.DUMMYFUNCTION("""COMPUTED_VALUE"""),8)</f>
        <v>8</v>
      </c>
      <c r="K167" s="1">
        <f ca="1">IFERROR(__xludf.DUMMYFUNCTION("""COMPUTED_VALUE"""),5)</f>
        <v>5</v>
      </c>
      <c r="L167" s="1">
        <f ca="1">IFERROR(__xludf.DUMMYFUNCTION("""COMPUTED_VALUE"""),9)</f>
        <v>9</v>
      </c>
      <c r="M167" s="1">
        <f ca="1">IFERROR(__xludf.DUMMYFUNCTION("""COMPUTED_VALUE"""),6)</f>
        <v>6</v>
      </c>
      <c r="N167" s="1">
        <f ca="1">IFERROR(__xludf.DUMMYFUNCTION("""COMPUTED_VALUE"""),2278)</f>
        <v>2278</v>
      </c>
      <c r="O167" s="1">
        <f ca="1">IFERROR(__xludf.DUMMYFUNCTION("""COMPUTED_VALUE"""),2218)</f>
        <v>2218</v>
      </c>
      <c r="P167" s="1">
        <f ca="1">IFERROR(__xludf.DUMMYFUNCTION("""COMPUTED_VALUE"""),1295)</f>
        <v>1295</v>
      </c>
      <c r="Q167" s="1">
        <f ca="1">IFERROR(__xludf.DUMMYFUNCTION("""COMPUTED_VALUE"""),803)</f>
        <v>803</v>
      </c>
      <c r="R167" s="1">
        <f ca="1">IFERROR(__xludf.DUMMYFUNCTION("""COMPUTED_VALUE"""),1846)</f>
        <v>1846</v>
      </c>
      <c r="S167" s="1">
        <f ca="1">IFERROR(__xludf.DUMMYFUNCTION("""COMPUTED_VALUE"""),0.435)</f>
        <v>0.435</v>
      </c>
      <c r="T167" s="1">
        <f ca="1">IFERROR(__xludf.DUMMYFUNCTION("""COMPUTED_VALUE"""),184)</f>
        <v>184</v>
      </c>
      <c r="U167" s="1">
        <f ca="1">IFERROR(__xludf.DUMMYFUNCTION("""COMPUTED_VALUE"""),534)</f>
        <v>534</v>
      </c>
      <c r="V167" s="1">
        <f ca="1">IFERROR(__xludf.DUMMYFUNCTION("""COMPUTED_VALUE"""),0.345)</f>
        <v>0.34499999999999997</v>
      </c>
      <c r="W167" s="1">
        <f ca="1">IFERROR(__xludf.DUMMYFUNCTION("""COMPUTED_VALUE"""),488)</f>
        <v>488</v>
      </c>
      <c r="X167" s="1">
        <f ca="1">IFERROR(__xludf.DUMMYFUNCTION("""COMPUTED_VALUE"""),710)</f>
        <v>710</v>
      </c>
      <c r="Y167" s="1">
        <f ca="1">IFERROR(__xludf.DUMMYFUNCTION("""COMPUTED_VALUE"""),0.687)</f>
        <v>0.68700000000000006</v>
      </c>
      <c r="Z167" s="1">
        <f ca="1">IFERROR(__xludf.DUMMYFUNCTION("""COMPUTED_VALUE"""),423)</f>
        <v>423</v>
      </c>
      <c r="AA167" s="1">
        <f ca="1">IFERROR(__xludf.DUMMYFUNCTION("""COMPUTED_VALUE"""),1242)</f>
        <v>1242</v>
      </c>
      <c r="AB167" s="1">
        <f ca="1">IFERROR(__xludf.DUMMYFUNCTION("""COMPUTED_VALUE"""),350)</f>
        <v>350</v>
      </c>
      <c r="AC167" s="1">
        <f ca="1">IFERROR(__xludf.DUMMYFUNCTION("""COMPUTED_VALUE"""),186)</f>
        <v>186</v>
      </c>
      <c r="AD167" s="1">
        <f ca="1">IFERROR(__xludf.DUMMYFUNCTION("""COMPUTED_VALUE"""),107)</f>
        <v>107</v>
      </c>
      <c r="AE167" s="1">
        <f ca="1">IFERROR(__xludf.DUMMYFUNCTION("""COMPUTED_VALUE"""),460)</f>
        <v>460</v>
      </c>
      <c r="AF167" s="1">
        <f ca="1">IFERROR(__xludf.DUMMYFUNCTION("""COMPUTED_VALUE"""),641)</f>
        <v>641</v>
      </c>
    </row>
    <row r="168" spans="1:32" ht="12.5" x14ac:dyDescent="0.25">
      <c r="A168" s="1" t="str">
        <f ca="1">IFERROR(__xludf.DUMMYFUNCTION("""COMPUTED_VALUE"""),"Longwood")</f>
        <v>Longwood</v>
      </c>
      <c r="B168" s="1">
        <f ca="1">IFERROR(__xludf.DUMMYFUNCTION("""COMPUTED_VALUE"""),30)</f>
        <v>30</v>
      </c>
      <c r="C168" s="1">
        <f ca="1">IFERROR(__xludf.DUMMYFUNCTION("""COMPUTED_VALUE"""),6)</f>
        <v>6</v>
      </c>
      <c r="D168" s="1">
        <f ca="1">IFERROR(__xludf.DUMMYFUNCTION("""COMPUTED_VALUE"""),24)</f>
        <v>24</v>
      </c>
      <c r="E168" s="1">
        <f ca="1">IFERROR(__xludf.DUMMYFUNCTION("""COMPUTED_VALUE"""),0.2)</f>
        <v>0.2</v>
      </c>
      <c r="F168" s="1">
        <f ca="1">IFERROR(__xludf.DUMMYFUNCTION("""COMPUTED_VALUE"""),-21.23)</f>
        <v>-21.23</v>
      </c>
      <c r="G168" s="1">
        <f ca="1">IFERROR(__xludf.DUMMYFUNCTION("""COMPUTED_VALUE"""),-6.16)</f>
        <v>-6.16</v>
      </c>
      <c r="H168" s="1">
        <f ca="1">IFERROR(__xludf.DUMMYFUNCTION("""COMPUTED_VALUE"""),3)</f>
        <v>3</v>
      </c>
      <c r="I168" s="1">
        <f ca="1">IFERROR(__xludf.DUMMYFUNCTION("""COMPUTED_VALUE"""),15)</f>
        <v>15</v>
      </c>
      <c r="J168" s="1">
        <f ca="1">IFERROR(__xludf.DUMMYFUNCTION("""COMPUTED_VALUE"""),5)</f>
        <v>5</v>
      </c>
      <c r="K168" s="1">
        <f ca="1">IFERROR(__xludf.DUMMYFUNCTION("""COMPUTED_VALUE"""),9)</f>
        <v>9</v>
      </c>
      <c r="L168" s="1">
        <f ca="1">IFERROR(__xludf.DUMMYFUNCTION("""COMPUTED_VALUE"""),1)</f>
        <v>1</v>
      </c>
      <c r="M168" s="1">
        <f ca="1">IFERROR(__xludf.DUMMYFUNCTION("""COMPUTED_VALUE"""),15)</f>
        <v>15</v>
      </c>
      <c r="N168" s="1">
        <f ca="1">IFERROR(__xludf.DUMMYFUNCTION("""COMPUTED_VALUE"""),2018)</f>
        <v>2018</v>
      </c>
      <c r="O168" s="1">
        <f ca="1">IFERROR(__xludf.DUMMYFUNCTION("""COMPUTED_VALUE"""),2408)</f>
        <v>2408</v>
      </c>
      <c r="P168" s="1">
        <f ca="1">IFERROR(__xludf.DUMMYFUNCTION("""COMPUTED_VALUE"""),1200)</f>
        <v>1200</v>
      </c>
      <c r="Q168" s="1">
        <f ca="1">IFERROR(__xludf.DUMMYFUNCTION("""COMPUTED_VALUE"""),738)</f>
        <v>738</v>
      </c>
      <c r="R168" s="1">
        <f ca="1">IFERROR(__xludf.DUMMYFUNCTION("""COMPUTED_VALUE"""),1660)</f>
        <v>1660</v>
      </c>
      <c r="S168" s="1">
        <f ca="1">IFERROR(__xludf.DUMMYFUNCTION("""COMPUTED_VALUE"""),0.445)</f>
        <v>0.44500000000000001</v>
      </c>
      <c r="T168" s="1">
        <f ca="1">IFERROR(__xludf.DUMMYFUNCTION("""COMPUTED_VALUE"""),186)</f>
        <v>186</v>
      </c>
      <c r="U168" s="1">
        <f ca="1">IFERROR(__xludf.DUMMYFUNCTION("""COMPUTED_VALUE"""),568)</f>
        <v>568</v>
      </c>
      <c r="V168" s="1">
        <f ca="1">IFERROR(__xludf.DUMMYFUNCTION("""COMPUTED_VALUE"""),0.327)</f>
        <v>0.32700000000000001</v>
      </c>
      <c r="W168" s="1">
        <f ca="1">IFERROR(__xludf.DUMMYFUNCTION("""COMPUTED_VALUE"""),356)</f>
        <v>356</v>
      </c>
      <c r="X168" s="1">
        <f ca="1">IFERROR(__xludf.DUMMYFUNCTION("""COMPUTED_VALUE"""),487)</f>
        <v>487</v>
      </c>
      <c r="Y168" s="1">
        <f ca="1">IFERROR(__xludf.DUMMYFUNCTION("""COMPUTED_VALUE"""),0.731)</f>
        <v>0.73099999999999998</v>
      </c>
      <c r="Z168" s="1">
        <f ca="1">IFERROR(__xludf.DUMMYFUNCTION("""COMPUTED_VALUE"""),218)</f>
        <v>218</v>
      </c>
      <c r="AA168" s="1">
        <f ca="1">IFERROR(__xludf.DUMMYFUNCTION("""COMPUTED_VALUE"""),922)</f>
        <v>922</v>
      </c>
      <c r="AB168" s="1">
        <f ca="1">IFERROR(__xludf.DUMMYFUNCTION("""COMPUTED_VALUE"""),324)</f>
        <v>324</v>
      </c>
      <c r="AC168" s="1">
        <f ca="1">IFERROR(__xludf.DUMMYFUNCTION("""COMPUTED_VALUE"""),175)</f>
        <v>175</v>
      </c>
      <c r="AD168" s="1">
        <f ca="1">IFERROR(__xludf.DUMMYFUNCTION("""COMPUTED_VALUE"""),124)</f>
        <v>124</v>
      </c>
      <c r="AE168" s="1">
        <f ca="1">IFERROR(__xludf.DUMMYFUNCTION("""COMPUTED_VALUE"""),456)</f>
        <v>456</v>
      </c>
      <c r="AF168" s="1">
        <f ca="1">IFERROR(__xludf.DUMMYFUNCTION("""COMPUTED_VALUE"""),539)</f>
        <v>539</v>
      </c>
    </row>
    <row r="169" spans="1:32" ht="12.5" x14ac:dyDescent="0.25">
      <c r="A169" s="1" t="str">
        <f ca="1">IFERROR(__xludf.DUMMYFUNCTION("""COMPUTED_VALUE"""),"Louisiana")</f>
        <v>Louisiana</v>
      </c>
      <c r="B169" s="1">
        <f ca="1">IFERROR(__xludf.DUMMYFUNCTION("""COMPUTED_VALUE"""),33)</f>
        <v>33</v>
      </c>
      <c r="C169" s="1">
        <f ca="1">IFERROR(__xludf.DUMMYFUNCTION("""COMPUTED_VALUE"""),21)</f>
        <v>21</v>
      </c>
      <c r="D169" s="1">
        <f ca="1">IFERROR(__xludf.DUMMYFUNCTION("""COMPUTED_VALUE"""),12)</f>
        <v>12</v>
      </c>
      <c r="E169" s="1">
        <f ca="1">IFERROR(__xludf.DUMMYFUNCTION("""COMPUTED_VALUE"""),0.636)</f>
        <v>0.63600000000000001</v>
      </c>
      <c r="F169" s="1">
        <f ca="1">IFERROR(__xludf.DUMMYFUNCTION("""COMPUTED_VALUE"""),-0.64)</f>
        <v>-0.64</v>
      </c>
      <c r="G169" s="1">
        <f ca="1">IFERROR(__xludf.DUMMYFUNCTION("""COMPUTED_VALUE"""),-3.28)</f>
        <v>-3.28</v>
      </c>
      <c r="H169" s="1">
        <f ca="1">IFERROR(__xludf.DUMMYFUNCTION("""COMPUTED_VALUE"""),10)</f>
        <v>10</v>
      </c>
      <c r="I169" s="1">
        <f ca="1">IFERROR(__xludf.DUMMYFUNCTION("""COMPUTED_VALUE"""),8)</f>
        <v>8</v>
      </c>
      <c r="J169" s="1">
        <f ca="1">IFERROR(__xludf.DUMMYFUNCTION("""COMPUTED_VALUE"""),12)</f>
        <v>12</v>
      </c>
      <c r="K169" s="1">
        <f ca="1">IFERROR(__xludf.DUMMYFUNCTION("""COMPUTED_VALUE"""),4)</f>
        <v>4</v>
      </c>
      <c r="L169" s="1">
        <f ca="1">IFERROR(__xludf.DUMMYFUNCTION("""COMPUTED_VALUE"""),8)</f>
        <v>8</v>
      </c>
      <c r="M169" s="1">
        <f ca="1">IFERROR(__xludf.DUMMYFUNCTION("""COMPUTED_VALUE"""),7)</f>
        <v>7</v>
      </c>
      <c r="N169" s="1">
        <f ca="1">IFERROR(__xludf.DUMMYFUNCTION("""COMPUTED_VALUE"""),2704)</f>
        <v>2704</v>
      </c>
      <c r="O169" s="1">
        <f ca="1">IFERROR(__xludf.DUMMYFUNCTION("""COMPUTED_VALUE"""),2518)</f>
        <v>2518</v>
      </c>
      <c r="P169" s="1">
        <f ca="1">IFERROR(__xludf.DUMMYFUNCTION("""COMPUTED_VALUE"""),1325)</f>
        <v>1325</v>
      </c>
      <c r="Q169" s="1">
        <f ca="1">IFERROR(__xludf.DUMMYFUNCTION("""COMPUTED_VALUE"""),945)</f>
        <v>945</v>
      </c>
      <c r="R169" s="1">
        <f ca="1">IFERROR(__xludf.DUMMYFUNCTION("""COMPUTED_VALUE"""),2022)</f>
        <v>2022</v>
      </c>
      <c r="S169" s="1">
        <f ca="1">IFERROR(__xludf.DUMMYFUNCTION("""COMPUTED_VALUE"""),0.467)</f>
        <v>0.46700000000000003</v>
      </c>
      <c r="T169" s="1">
        <f ca="1">IFERROR(__xludf.DUMMYFUNCTION("""COMPUTED_VALUE"""),231)</f>
        <v>231</v>
      </c>
      <c r="U169" s="1">
        <f ca="1">IFERROR(__xludf.DUMMYFUNCTION("""COMPUTED_VALUE"""),673)</f>
        <v>673</v>
      </c>
      <c r="V169" s="1">
        <f ca="1">IFERROR(__xludf.DUMMYFUNCTION("""COMPUTED_VALUE"""),0.343)</f>
        <v>0.34300000000000003</v>
      </c>
      <c r="W169" s="1">
        <f ca="1">IFERROR(__xludf.DUMMYFUNCTION("""COMPUTED_VALUE"""),583)</f>
        <v>583</v>
      </c>
      <c r="X169" s="1">
        <f ca="1">IFERROR(__xludf.DUMMYFUNCTION("""COMPUTED_VALUE"""),839)</f>
        <v>839</v>
      </c>
      <c r="Y169" s="1">
        <f ca="1">IFERROR(__xludf.DUMMYFUNCTION("""COMPUTED_VALUE"""),0.695)</f>
        <v>0.69499999999999995</v>
      </c>
      <c r="Z169" s="1">
        <f ca="1">IFERROR(__xludf.DUMMYFUNCTION("""COMPUTED_VALUE"""),442)</f>
        <v>442</v>
      </c>
      <c r="AA169" s="1">
        <f ca="1">IFERROR(__xludf.DUMMYFUNCTION("""COMPUTED_VALUE"""),1252)</f>
        <v>1252</v>
      </c>
      <c r="AB169" s="1">
        <f ca="1">IFERROR(__xludf.DUMMYFUNCTION("""COMPUTED_VALUE"""),475)</f>
        <v>475</v>
      </c>
      <c r="AC169" s="1">
        <f ca="1">IFERROR(__xludf.DUMMYFUNCTION("""COMPUTED_VALUE"""),233)</f>
        <v>233</v>
      </c>
      <c r="AD169" s="1">
        <f ca="1">IFERROR(__xludf.DUMMYFUNCTION("""COMPUTED_VALUE"""),91)</f>
        <v>91</v>
      </c>
      <c r="AE169" s="1">
        <f ca="1">IFERROR(__xludf.DUMMYFUNCTION("""COMPUTED_VALUE"""),440)</f>
        <v>440</v>
      </c>
      <c r="AF169" s="1">
        <f ca="1">IFERROR(__xludf.DUMMYFUNCTION("""COMPUTED_VALUE"""),621)</f>
        <v>621</v>
      </c>
    </row>
    <row r="170" spans="1:32" ht="12.5" x14ac:dyDescent="0.25">
      <c r="A170" s="1" t="str">
        <f ca="1">IFERROR(__xludf.DUMMYFUNCTION("""COMPUTED_VALUE"""),"Louisiana-Monroe")</f>
        <v>Louisiana-Monroe</v>
      </c>
      <c r="B170" s="1">
        <f ca="1">IFERROR(__xludf.DUMMYFUNCTION("""COMPUTED_VALUE"""),33)</f>
        <v>33</v>
      </c>
      <c r="C170" s="1">
        <f ca="1">IFERROR(__xludf.DUMMYFUNCTION("""COMPUTED_VALUE"""),9)</f>
        <v>9</v>
      </c>
      <c r="D170" s="1">
        <f ca="1">IFERROR(__xludf.DUMMYFUNCTION("""COMPUTED_VALUE"""),24)</f>
        <v>24</v>
      </c>
      <c r="E170" s="1">
        <f ca="1">IFERROR(__xludf.DUMMYFUNCTION("""COMPUTED_VALUE"""),0.273)</f>
        <v>0.27300000000000002</v>
      </c>
      <c r="F170" s="1">
        <f ca="1">IFERROR(__xludf.DUMMYFUNCTION("""COMPUTED_VALUE"""),-7.88)</f>
        <v>-7.88</v>
      </c>
      <c r="G170" s="1">
        <f ca="1">IFERROR(__xludf.DUMMYFUNCTION("""COMPUTED_VALUE"""),-2.56)</f>
        <v>-2.56</v>
      </c>
      <c r="H170" s="1">
        <f ca="1">IFERROR(__xludf.DUMMYFUNCTION("""COMPUTED_VALUE"""),2)</f>
        <v>2</v>
      </c>
      <c r="I170" s="1">
        <f ca="1">IFERROR(__xludf.DUMMYFUNCTION("""COMPUTED_VALUE"""),16)</f>
        <v>16</v>
      </c>
      <c r="J170" s="1">
        <f ca="1">IFERROR(__xludf.DUMMYFUNCTION("""COMPUTED_VALUE"""),6)</f>
        <v>6</v>
      </c>
      <c r="K170" s="1">
        <f ca="1">IFERROR(__xludf.DUMMYFUNCTION("""COMPUTED_VALUE"""),8)</f>
        <v>8</v>
      </c>
      <c r="L170" s="1">
        <f ca="1">IFERROR(__xludf.DUMMYFUNCTION("""COMPUTED_VALUE"""),2)</f>
        <v>2</v>
      </c>
      <c r="M170" s="1">
        <f ca="1">IFERROR(__xludf.DUMMYFUNCTION("""COMPUTED_VALUE"""),12)</f>
        <v>12</v>
      </c>
      <c r="N170" s="1">
        <f ca="1">IFERROR(__xludf.DUMMYFUNCTION("""COMPUTED_VALUE"""),2198)</f>
        <v>2198</v>
      </c>
      <c r="O170" s="1">
        <f ca="1">IFERROR(__xludf.DUMMYFUNCTION("""COMPUTED_VALUE"""),2299)</f>
        <v>2299</v>
      </c>
      <c r="P170" s="1">
        <f ca="1">IFERROR(__xludf.DUMMYFUNCTION("""COMPUTED_VALUE"""),1350)</f>
        <v>1350</v>
      </c>
      <c r="Q170" s="1">
        <f ca="1">IFERROR(__xludf.DUMMYFUNCTION("""COMPUTED_VALUE"""),814)</f>
        <v>814</v>
      </c>
      <c r="R170" s="1">
        <f ca="1">IFERROR(__xludf.DUMMYFUNCTION("""COMPUTED_VALUE"""),1916)</f>
        <v>1916</v>
      </c>
      <c r="S170" s="1">
        <f ca="1">IFERROR(__xludf.DUMMYFUNCTION("""COMPUTED_VALUE"""),0.425)</f>
        <v>0.42499999999999999</v>
      </c>
      <c r="T170" s="1">
        <f ca="1">IFERROR(__xludf.DUMMYFUNCTION("""COMPUTED_VALUE"""),237)</f>
        <v>237</v>
      </c>
      <c r="U170" s="1">
        <f ca="1">IFERROR(__xludf.DUMMYFUNCTION("""COMPUTED_VALUE"""),713)</f>
        <v>713</v>
      </c>
      <c r="V170" s="1">
        <f ca="1">IFERROR(__xludf.DUMMYFUNCTION("""COMPUTED_VALUE"""),0.332)</f>
        <v>0.33200000000000002</v>
      </c>
      <c r="W170" s="1">
        <f ca="1">IFERROR(__xludf.DUMMYFUNCTION("""COMPUTED_VALUE"""),333)</f>
        <v>333</v>
      </c>
      <c r="X170" s="1">
        <f ca="1">IFERROR(__xludf.DUMMYFUNCTION("""COMPUTED_VALUE"""),498)</f>
        <v>498</v>
      </c>
      <c r="Y170" s="1">
        <f ca="1">IFERROR(__xludf.DUMMYFUNCTION("""COMPUTED_VALUE"""),0.669)</f>
        <v>0.66900000000000004</v>
      </c>
      <c r="Z170" s="1">
        <f ca="1">IFERROR(__xludf.DUMMYFUNCTION("""COMPUTED_VALUE"""),349)</f>
        <v>349</v>
      </c>
      <c r="AA170" s="1">
        <f ca="1">IFERROR(__xludf.DUMMYFUNCTION("""COMPUTED_VALUE"""),1174)</f>
        <v>1174</v>
      </c>
      <c r="AB170" s="1">
        <f ca="1">IFERROR(__xludf.DUMMYFUNCTION("""COMPUTED_VALUE"""),443)</f>
        <v>443</v>
      </c>
      <c r="AC170" s="1">
        <f ca="1">IFERROR(__xludf.DUMMYFUNCTION("""COMPUTED_VALUE"""),154)</f>
        <v>154</v>
      </c>
      <c r="AD170" s="1">
        <f ca="1">IFERROR(__xludf.DUMMYFUNCTION("""COMPUTED_VALUE"""),73)</f>
        <v>73</v>
      </c>
      <c r="AE170" s="1">
        <f ca="1">IFERROR(__xludf.DUMMYFUNCTION("""COMPUTED_VALUE"""),433)</f>
        <v>433</v>
      </c>
      <c r="AF170" s="1">
        <f ca="1">IFERROR(__xludf.DUMMYFUNCTION("""COMPUTED_VALUE"""),576)</f>
        <v>576</v>
      </c>
    </row>
    <row r="171" spans="1:32" ht="12.5" x14ac:dyDescent="0.25">
      <c r="A171" s="1" t="str">
        <f ca="1">IFERROR(__xludf.DUMMYFUNCTION("""COMPUTED_VALUE"""),"Louisiana State")</f>
        <v>Louisiana State</v>
      </c>
      <c r="B171" s="1">
        <f ca="1">IFERROR(__xludf.DUMMYFUNCTION("""COMPUTED_VALUE"""),31)</f>
        <v>31</v>
      </c>
      <c r="C171" s="1">
        <f ca="1">IFERROR(__xludf.DUMMYFUNCTION("""COMPUTED_VALUE"""),10)</f>
        <v>10</v>
      </c>
      <c r="D171" s="1">
        <f ca="1">IFERROR(__xludf.DUMMYFUNCTION("""COMPUTED_VALUE"""),21)</f>
        <v>21</v>
      </c>
      <c r="E171" s="1">
        <f ca="1">IFERROR(__xludf.DUMMYFUNCTION("""COMPUTED_VALUE"""),0.323)</f>
        <v>0.32300000000000001</v>
      </c>
      <c r="F171" s="1">
        <f ca="1">IFERROR(__xludf.DUMMYFUNCTION("""COMPUTED_VALUE"""),0.53)</f>
        <v>0.53</v>
      </c>
      <c r="G171" s="1">
        <f ca="1">IFERROR(__xludf.DUMMYFUNCTION("""COMPUTED_VALUE"""),8.69)</f>
        <v>8.69</v>
      </c>
      <c r="H171" s="1">
        <f ca="1">IFERROR(__xludf.DUMMYFUNCTION("""COMPUTED_VALUE"""),2)</f>
        <v>2</v>
      </c>
      <c r="I171" s="1">
        <f ca="1">IFERROR(__xludf.DUMMYFUNCTION("""COMPUTED_VALUE"""),16)</f>
        <v>16</v>
      </c>
      <c r="J171" s="1">
        <f ca="1">IFERROR(__xludf.DUMMYFUNCTION("""COMPUTED_VALUE"""),8)</f>
        <v>8</v>
      </c>
      <c r="K171" s="1">
        <f ca="1">IFERROR(__xludf.DUMMYFUNCTION("""COMPUTED_VALUE"""),8)</f>
        <v>8</v>
      </c>
      <c r="L171" s="1">
        <f ca="1">IFERROR(__xludf.DUMMYFUNCTION("""COMPUTED_VALUE"""),1)</f>
        <v>1</v>
      </c>
      <c r="M171" s="1">
        <f ca="1">IFERROR(__xludf.DUMMYFUNCTION("""COMPUTED_VALUE"""),10)</f>
        <v>10</v>
      </c>
      <c r="N171" s="1">
        <f ca="1">IFERROR(__xludf.DUMMYFUNCTION("""COMPUTED_VALUE"""),2319)</f>
        <v>2319</v>
      </c>
      <c r="O171" s="1">
        <f ca="1">IFERROR(__xludf.DUMMYFUNCTION("""COMPUTED_VALUE"""),2572)</f>
        <v>2572</v>
      </c>
      <c r="P171" s="1">
        <f ca="1">IFERROR(__xludf.DUMMYFUNCTION("""COMPUTED_VALUE"""),1240)</f>
        <v>1240</v>
      </c>
      <c r="Q171" s="1">
        <f ca="1">IFERROR(__xludf.DUMMYFUNCTION("""COMPUTED_VALUE"""),853)</f>
        <v>853</v>
      </c>
      <c r="R171" s="1">
        <f ca="1">IFERROR(__xludf.DUMMYFUNCTION("""COMPUTED_VALUE"""),1893)</f>
        <v>1893</v>
      </c>
      <c r="S171" s="1">
        <f ca="1">IFERROR(__xludf.DUMMYFUNCTION("""COMPUTED_VALUE"""),0.451)</f>
        <v>0.45100000000000001</v>
      </c>
      <c r="T171" s="1">
        <f ca="1">IFERROR(__xludf.DUMMYFUNCTION("""COMPUTED_VALUE"""),196)</f>
        <v>196</v>
      </c>
      <c r="U171" s="1">
        <f ca="1">IFERROR(__xludf.DUMMYFUNCTION("""COMPUTED_VALUE"""),584)</f>
        <v>584</v>
      </c>
      <c r="V171" s="1">
        <f ca="1">IFERROR(__xludf.DUMMYFUNCTION("""COMPUTED_VALUE"""),0.336)</f>
        <v>0.33600000000000002</v>
      </c>
      <c r="W171" s="1">
        <f ca="1">IFERROR(__xludf.DUMMYFUNCTION("""COMPUTED_VALUE"""),417)</f>
        <v>417</v>
      </c>
      <c r="X171" s="1">
        <f ca="1">IFERROR(__xludf.DUMMYFUNCTION("""COMPUTED_VALUE"""),599)</f>
        <v>599</v>
      </c>
      <c r="Y171" s="1">
        <f ca="1">IFERROR(__xludf.DUMMYFUNCTION("""COMPUTED_VALUE"""),0.696)</f>
        <v>0.69599999999999995</v>
      </c>
      <c r="Z171" s="1">
        <f ca="1">IFERROR(__xludf.DUMMYFUNCTION("""COMPUTED_VALUE"""),355)</f>
        <v>355</v>
      </c>
      <c r="AA171" s="1">
        <f ca="1">IFERROR(__xludf.DUMMYFUNCTION("""COMPUTED_VALUE"""),1115)</f>
        <v>1115</v>
      </c>
      <c r="AB171" s="1">
        <f ca="1">IFERROR(__xludf.DUMMYFUNCTION("""COMPUTED_VALUE"""),397)</f>
        <v>397</v>
      </c>
      <c r="AC171" s="1">
        <f ca="1">IFERROR(__xludf.DUMMYFUNCTION("""COMPUTED_VALUE"""),186)</f>
        <v>186</v>
      </c>
      <c r="AD171" s="1">
        <f ca="1">IFERROR(__xludf.DUMMYFUNCTION("""COMPUTED_VALUE"""),110)</f>
        <v>110</v>
      </c>
      <c r="AE171" s="1">
        <f ca="1">IFERROR(__xludf.DUMMYFUNCTION("""COMPUTED_VALUE"""),451)</f>
        <v>451</v>
      </c>
      <c r="AF171" s="1">
        <f ca="1">IFERROR(__xludf.DUMMYFUNCTION("""COMPUTED_VALUE"""),593)</f>
        <v>593</v>
      </c>
    </row>
    <row r="172" spans="1:32" ht="12.5" x14ac:dyDescent="0.25">
      <c r="A172" s="1" t="str">
        <f ca="1">IFERROR(__xludf.DUMMYFUNCTION("""COMPUTED_VALUE"""),"Louisiana Tech")</f>
        <v>Louisiana Tech</v>
      </c>
      <c r="B172" s="1">
        <f ca="1">IFERROR(__xludf.DUMMYFUNCTION("""COMPUTED_VALUE"""),33)</f>
        <v>33</v>
      </c>
      <c r="C172" s="1">
        <f ca="1">IFERROR(__xludf.DUMMYFUNCTION("""COMPUTED_VALUE"""),23)</f>
        <v>23</v>
      </c>
      <c r="D172" s="1">
        <f ca="1">IFERROR(__xludf.DUMMYFUNCTION("""COMPUTED_VALUE"""),10)</f>
        <v>10</v>
      </c>
      <c r="E172" s="1">
        <f ca="1">IFERROR(__xludf.DUMMYFUNCTION("""COMPUTED_VALUE"""),0.697)</f>
        <v>0.69699999999999995</v>
      </c>
      <c r="F172" s="1">
        <f ca="1">IFERROR(__xludf.DUMMYFUNCTION("""COMPUTED_VALUE"""),5.2)</f>
        <v>5.2</v>
      </c>
      <c r="G172" s="1">
        <f ca="1">IFERROR(__xludf.DUMMYFUNCTION("""COMPUTED_VALUE"""),-4.35)</f>
        <v>-4.3499999999999996</v>
      </c>
      <c r="H172" s="1">
        <f ca="1">IFERROR(__xludf.DUMMYFUNCTION("""COMPUTED_VALUE"""),14)</f>
        <v>14</v>
      </c>
      <c r="I172" s="1">
        <f ca="1">IFERROR(__xludf.DUMMYFUNCTION("""COMPUTED_VALUE"""),4)</f>
        <v>4</v>
      </c>
      <c r="J172" s="1">
        <f ca="1">IFERROR(__xludf.DUMMYFUNCTION("""COMPUTED_VALUE"""),15)</f>
        <v>15</v>
      </c>
      <c r="K172" s="1">
        <f ca="1">IFERROR(__xludf.DUMMYFUNCTION("""COMPUTED_VALUE"""),2)</f>
        <v>2</v>
      </c>
      <c r="L172" s="1">
        <f ca="1">IFERROR(__xludf.DUMMYFUNCTION("""COMPUTED_VALUE"""),6)</f>
        <v>6</v>
      </c>
      <c r="M172" s="1">
        <f ca="1">IFERROR(__xludf.DUMMYFUNCTION("""COMPUTED_VALUE"""),7)</f>
        <v>7</v>
      </c>
      <c r="N172" s="1">
        <f ca="1">IFERROR(__xludf.DUMMYFUNCTION("""COMPUTED_VALUE"""),2557)</f>
        <v>2557</v>
      </c>
      <c r="O172" s="1">
        <f ca="1">IFERROR(__xludf.DUMMYFUNCTION("""COMPUTED_VALUE"""),2203)</f>
        <v>2203</v>
      </c>
      <c r="P172" s="1">
        <f ca="1">IFERROR(__xludf.DUMMYFUNCTION("""COMPUTED_VALUE"""),1325)</f>
        <v>1325</v>
      </c>
      <c r="Q172" s="1">
        <f ca="1">IFERROR(__xludf.DUMMYFUNCTION("""COMPUTED_VALUE"""),911)</f>
        <v>911</v>
      </c>
      <c r="R172" s="1">
        <f ca="1">IFERROR(__xludf.DUMMYFUNCTION("""COMPUTED_VALUE"""),1952)</f>
        <v>1952</v>
      </c>
      <c r="S172" s="1">
        <f ca="1">IFERROR(__xludf.DUMMYFUNCTION("""COMPUTED_VALUE"""),0.467)</f>
        <v>0.46700000000000003</v>
      </c>
      <c r="T172" s="1">
        <f ca="1">IFERROR(__xludf.DUMMYFUNCTION("""COMPUTED_VALUE"""),257)</f>
        <v>257</v>
      </c>
      <c r="U172" s="1">
        <f ca="1">IFERROR(__xludf.DUMMYFUNCTION("""COMPUTED_VALUE"""),711)</f>
        <v>711</v>
      </c>
      <c r="V172" s="1">
        <f ca="1">IFERROR(__xludf.DUMMYFUNCTION("""COMPUTED_VALUE"""),0.361)</f>
        <v>0.36099999999999999</v>
      </c>
      <c r="W172" s="1">
        <f ca="1">IFERROR(__xludf.DUMMYFUNCTION("""COMPUTED_VALUE"""),478)</f>
        <v>478</v>
      </c>
      <c r="X172" s="1">
        <f ca="1">IFERROR(__xludf.DUMMYFUNCTION("""COMPUTED_VALUE"""),674)</f>
        <v>674</v>
      </c>
      <c r="Y172" s="1">
        <f ca="1">IFERROR(__xludf.DUMMYFUNCTION("""COMPUTED_VALUE"""),0.709)</f>
        <v>0.70899999999999996</v>
      </c>
      <c r="Z172" s="1">
        <f ca="1">IFERROR(__xludf.DUMMYFUNCTION("""COMPUTED_VALUE"""),335)</f>
        <v>335</v>
      </c>
      <c r="AA172" s="1">
        <f ca="1">IFERROR(__xludf.DUMMYFUNCTION("""COMPUTED_VALUE"""),1244)</f>
        <v>1244</v>
      </c>
      <c r="AB172" s="1">
        <f ca="1">IFERROR(__xludf.DUMMYFUNCTION("""COMPUTED_VALUE"""),543)</f>
        <v>543</v>
      </c>
      <c r="AC172" s="1">
        <f ca="1">IFERROR(__xludf.DUMMYFUNCTION("""COMPUTED_VALUE"""),223)</f>
        <v>223</v>
      </c>
      <c r="AD172" s="1">
        <f ca="1">IFERROR(__xludf.DUMMYFUNCTION("""COMPUTED_VALUE"""),176)</f>
        <v>176</v>
      </c>
      <c r="AE172" s="1">
        <f ca="1">IFERROR(__xludf.DUMMYFUNCTION("""COMPUTED_VALUE"""),407)</f>
        <v>407</v>
      </c>
      <c r="AF172" s="1">
        <f ca="1">IFERROR(__xludf.DUMMYFUNCTION("""COMPUTED_VALUE"""),519)</f>
        <v>519</v>
      </c>
    </row>
    <row r="173" spans="1:32" ht="12.5" x14ac:dyDescent="0.25">
      <c r="A173" s="1" t="str">
        <f ca="1">IFERROR(__xludf.DUMMYFUNCTION("""COMPUTED_VALUE"""),"LouisvilleNCAA")</f>
        <v>LouisvilleNCAA</v>
      </c>
      <c r="B173" s="1">
        <f ca="1">IFERROR(__xludf.DUMMYFUNCTION("""COMPUTED_VALUE"""),34)</f>
        <v>34</v>
      </c>
      <c r="C173" s="1">
        <f ca="1">IFERROR(__xludf.DUMMYFUNCTION("""COMPUTED_VALUE"""),25)</f>
        <v>25</v>
      </c>
      <c r="D173" s="1">
        <f ca="1">IFERROR(__xludf.DUMMYFUNCTION("""COMPUTED_VALUE"""),9)</f>
        <v>9</v>
      </c>
      <c r="E173" s="1">
        <f ca="1">IFERROR(__xludf.DUMMYFUNCTION("""COMPUTED_VALUE"""),0.735)</f>
        <v>0.73499999999999999</v>
      </c>
      <c r="F173" s="1">
        <f ca="1">IFERROR(__xludf.DUMMYFUNCTION("""COMPUTED_VALUE"""),22.47)</f>
        <v>22.47</v>
      </c>
      <c r="G173" s="1">
        <f ca="1">IFERROR(__xludf.DUMMYFUNCTION("""COMPUTED_VALUE"""),11.15)</f>
        <v>11.15</v>
      </c>
      <c r="H173" s="1">
        <f ca="1">IFERROR(__xludf.DUMMYFUNCTION("""COMPUTED_VALUE"""),12)</f>
        <v>12</v>
      </c>
      <c r="I173" s="1">
        <f ca="1">IFERROR(__xludf.DUMMYFUNCTION("""COMPUTED_VALUE"""),6)</f>
        <v>6</v>
      </c>
      <c r="J173" s="1">
        <f ca="1">IFERROR(__xludf.DUMMYFUNCTION("""COMPUTED_VALUE"""),16)</f>
        <v>16</v>
      </c>
      <c r="K173" s="1">
        <f ca="1">IFERROR(__xludf.DUMMYFUNCTION("""COMPUTED_VALUE"""),1)</f>
        <v>1</v>
      </c>
      <c r="L173" s="1">
        <f ca="1">IFERROR(__xludf.DUMMYFUNCTION("""COMPUTED_VALUE"""),5)</f>
        <v>5</v>
      </c>
      <c r="M173" s="1">
        <f ca="1">IFERROR(__xludf.DUMMYFUNCTION("""COMPUTED_VALUE"""),5)</f>
        <v>5</v>
      </c>
      <c r="N173" s="1">
        <f ca="1">IFERROR(__xludf.DUMMYFUNCTION("""COMPUTED_VALUE"""),2628)</f>
        <v>2628</v>
      </c>
      <c r="O173" s="1">
        <f ca="1">IFERROR(__xludf.DUMMYFUNCTION("""COMPUTED_VALUE"""),2243)</f>
        <v>2243</v>
      </c>
      <c r="P173" s="1">
        <f ca="1">IFERROR(__xludf.DUMMYFUNCTION("""COMPUTED_VALUE"""),1370)</f>
        <v>1370</v>
      </c>
      <c r="Q173" s="1">
        <f ca="1">IFERROR(__xludf.DUMMYFUNCTION("""COMPUTED_VALUE"""),952)</f>
        <v>952</v>
      </c>
      <c r="R173" s="1">
        <f ca="1">IFERROR(__xludf.DUMMYFUNCTION("""COMPUTED_VALUE"""),2085)</f>
        <v>2085</v>
      </c>
      <c r="S173" s="1">
        <f ca="1">IFERROR(__xludf.DUMMYFUNCTION("""COMPUTED_VALUE"""),0.457)</f>
        <v>0.45700000000000002</v>
      </c>
      <c r="T173" s="1">
        <f ca="1">IFERROR(__xludf.DUMMYFUNCTION("""COMPUTED_VALUE"""),238)</f>
        <v>238</v>
      </c>
      <c r="U173" s="1">
        <f ca="1">IFERROR(__xludf.DUMMYFUNCTION("""COMPUTED_VALUE"""),670)</f>
        <v>670</v>
      </c>
      <c r="V173" s="1">
        <f ca="1">IFERROR(__xludf.DUMMYFUNCTION("""COMPUTED_VALUE"""),0.355)</f>
        <v>0.35499999999999998</v>
      </c>
      <c r="W173" s="1">
        <f ca="1">IFERROR(__xludf.DUMMYFUNCTION("""COMPUTED_VALUE"""),486)</f>
        <v>486</v>
      </c>
      <c r="X173" s="1">
        <f ca="1">IFERROR(__xludf.DUMMYFUNCTION("""COMPUTED_VALUE"""),708)</f>
        <v>708</v>
      </c>
      <c r="Y173" s="1">
        <f ca="1">IFERROR(__xludf.DUMMYFUNCTION("""COMPUTED_VALUE"""),0.686)</f>
        <v>0.68600000000000005</v>
      </c>
      <c r="Z173" s="1">
        <f ca="1">IFERROR(__xludf.DUMMYFUNCTION("""COMPUTED_VALUE"""),457)</f>
        <v>457</v>
      </c>
      <c r="AA173" s="1">
        <f ca="1">IFERROR(__xludf.DUMMYFUNCTION("""COMPUTED_VALUE"""),1343)</f>
        <v>1343</v>
      </c>
      <c r="AB173" s="1">
        <f ca="1">IFERROR(__xludf.DUMMYFUNCTION("""COMPUTED_VALUE"""),461)</f>
        <v>461</v>
      </c>
      <c r="AC173" s="1">
        <f ca="1">IFERROR(__xludf.DUMMYFUNCTION("""COMPUTED_VALUE"""),227)</f>
        <v>227</v>
      </c>
      <c r="AD173" s="1">
        <f ca="1">IFERROR(__xludf.DUMMYFUNCTION("""COMPUTED_VALUE"""),186)</f>
        <v>186</v>
      </c>
      <c r="AE173" s="1">
        <f ca="1">IFERROR(__xludf.DUMMYFUNCTION("""COMPUTED_VALUE"""),374)</f>
        <v>374</v>
      </c>
      <c r="AF173" s="1">
        <f ca="1">IFERROR(__xludf.DUMMYFUNCTION("""COMPUTED_VALUE"""),652)</f>
        <v>652</v>
      </c>
    </row>
    <row r="174" spans="1:32" ht="12.5" x14ac:dyDescent="0.25">
      <c r="A174" s="1" t="str">
        <f ca="1">IFERROR(__xludf.DUMMYFUNCTION("""COMPUTED_VALUE"""),"Loyola (IL)")</f>
        <v>Loyola (IL)</v>
      </c>
      <c r="B174" s="1">
        <f ca="1">IFERROR(__xludf.DUMMYFUNCTION("""COMPUTED_VALUE"""),32)</f>
        <v>32</v>
      </c>
      <c r="C174" s="1">
        <f ca="1">IFERROR(__xludf.DUMMYFUNCTION("""COMPUTED_VALUE"""),18)</f>
        <v>18</v>
      </c>
      <c r="D174" s="1">
        <f ca="1">IFERROR(__xludf.DUMMYFUNCTION("""COMPUTED_VALUE"""),14)</f>
        <v>14</v>
      </c>
      <c r="E174" s="1">
        <f ca="1">IFERROR(__xludf.DUMMYFUNCTION("""COMPUTED_VALUE"""),0.563)</f>
        <v>0.56299999999999994</v>
      </c>
      <c r="F174" s="1">
        <f ca="1">IFERROR(__xludf.DUMMYFUNCTION("""COMPUTED_VALUE"""),5.15)</f>
        <v>5.15</v>
      </c>
      <c r="G174" s="1">
        <f ca="1">IFERROR(__xludf.DUMMYFUNCTION("""COMPUTED_VALUE"""),1.02)</f>
        <v>1.02</v>
      </c>
      <c r="H174" s="1">
        <f ca="1">IFERROR(__xludf.DUMMYFUNCTION("""COMPUTED_VALUE"""),8)</f>
        <v>8</v>
      </c>
      <c r="I174" s="1">
        <f ca="1">IFERROR(__xludf.DUMMYFUNCTION("""COMPUTED_VALUE"""),10)</f>
        <v>10</v>
      </c>
      <c r="J174" s="1">
        <f ca="1">IFERROR(__xludf.DUMMYFUNCTION("""COMPUTED_VALUE"""),13)</f>
        <v>13</v>
      </c>
      <c r="K174" s="1">
        <f ca="1">IFERROR(__xludf.DUMMYFUNCTION("""COMPUTED_VALUE"""),3)</f>
        <v>3</v>
      </c>
      <c r="L174" s="1">
        <f ca="1">IFERROR(__xludf.DUMMYFUNCTION("""COMPUTED_VALUE"""),3)</f>
        <v>3</v>
      </c>
      <c r="M174" s="1">
        <f ca="1">IFERROR(__xludf.DUMMYFUNCTION("""COMPUTED_VALUE"""),9)</f>
        <v>9</v>
      </c>
      <c r="N174" s="1">
        <f ca="1">IFERROR(__xludf.DUMMYFUNCTION("""COMPUTED_VALUE"""),2348)</f>
        <v>2348</v>
      </c>
      <c r="O174" s="1">
        <f ca="1">IFERROR(__xludf.DUMMYFUNCTION("""COMPUTED_VALUE"""),2137)</f>
        <v>2137</v>
      </c>
      <c r="P174" s="1">
        <f ca="1">IFERROR(__xludf.DUMMYFUNCTION("""COMPUTED_VALUE"""),1300)</f>
        <v>1300</v>
      </c>
      <c r="Q174" s="1">
        <f ca="1">IFERROR(__xludf.DUMMYFUNCTION("""COMPUTED_VALUE"""),852)</f>
        <v>852</v>
      </c>
      <c r="R174" s="1">
        <f ca="1">IFERROR(__xludf.DUMMYFUNCTION("""COMPUTED_VALUE"""),1754)</f>
        <v>1754</v>
      </c>
      <c r="S174" s="1">
        <f ca="1">IFERROR(__xludf.DUMMYFUNCTION("""COMPUTED_VALUE"""),0.486)</f>
        <v>0.48599999999999999</v>
      </c>
      <c r="T174" s="1">
        <f ca="1">IFERROR(__xludf.DUMMYFUNCTION("""COMPUTED_VALUE"""),259)</f>
        <v>259</v>
      </c>
      <c r="U174" s="1">
        <f ca="1">IFERROR(__xludf.DUMMYFUNCTION("""COMPUTED_VALUE"""),665)</f>
        <v>665</v>
      </c>
      <c r="V174" s="1">
        <f ca="1">IFERROR(__xludf.DUMMYFUNCTION("""COMPUTED_VALUE"""),0.389)</f>
        <v>0.38900000000000001</v>
      </c>
      <c r="W174" s="1">
        <f ca="1">IFERROR(__xludf.DUMMYFUNCTION("""COMPUTED_VALUE"""),385)</f>
        <v>385</v>
      </c>
      <c r="X174" s="1">
        <f ca="1">IFERROR(__xludf.DUMMYFUNCTION("""COMPUTED_VALUE"""),543)</f>
        <v>543</v>
      </c>
      <c r="Y174" s="1">
        <f ca="1">IFERROR(__xludf.DUMMYFUNCTION("""COMPUTED_VALUE"""),0.709)</f>
        <v>0.70899999999999996</v>
      </c>
      <c r="Z174" s="1">
        <f ca="1">IFERROR(__xludf.DUMMYFUNCTION("""COMPUTED_VALUE"""),218)</f>
        <v>218</v>
      </c>
      <c r="AA174" s="1">
        <f ca="1">IFERROR(__xludf.DUMMYFUNCTION("""COMPUTED_VALUE"""),1000)</f>
        <v>1000</v>
      </c>
      <c r="AB174" s="1">
        <f ca="1">IFERROR(__xludf.DUMMYFUNCTION("""COMPUTED_VALUE"""),474)</f>
        <v>474</v>
      </c>
      <c r="AC174" s="1">
        <f ca="1">IFERROR(__xludf.DUMMYFUNCTION("""COMPUTED_VALUE"""),218)</f>
        <v>218</v>
      </c>
      <c r="AD174" s="1">
        <f ca="1">IFERROR(__xludf.DUMMYFUNCTION("""COMPUTED_VALUE"""),76)</f>
        <v>76</v>
      </c>
      <c r="AE174" s="1">
        <f ca="1">IFERROR(__xludf.DUMMYFUNCTION("""COMPUTED_VALUE"""),377)</f>
        <v>377</v>
      </c>
      <c r="AF174" s="1">
        <f ca="1">IFERROR(__xludf.DUMMYFUNCTION("""COMPUTED_VALUE"""),545)</f>
        <v>545</v>
      </c>
    </row>
    <row r="175" spans="1:32" ht="12.5" x14ac:dyDescent="0.25">
      <c r="A175" s="1" t="str">
        <f ca="1">IFERROR(__xludf.DUMMYFUNCTION("""COMPUTED_VALUE"""),"Loyola Marymount")</f>
        <v>Loyola Marymount</v>
      </c>
      <c r="B175" s="1">
        <f ca="1">IFERROR(__xludf.DUMMYFUNCTION("""COMPUTED_VALUE"""),30)</f>
        <v>30</v>
      </c>
      <c r="C175" s="1">
        <f ca="1">IFERROR(__xludf.DUMMYFUNCTION("""COMPUTED_VALUE"""),15)</f>
        <v>15</v>
      </c>
      <c r="D175" s="1">
        <f ca="1">IFERROR(__xludf.DUMMYFUNCTION("""COMPUTED_VALUE"""),15)</f>
        <v>15</v>
      </c>
      <c r="E175" s="1">
        <f ca="1">IFERROR(__xludf.DUMMYFUNCTION("""COMPUTED_VALUE"""),0.5)</f>
        <v>0.5</v>
      </c>
      <c r="F175" s="1">
        <f ca="1">IFERROR(__xludf.DUMMYFUNCTION("""COMPUTED_VALUE"""),-0.47)</f>
        <v>-0.47</v>
      </c>
      <c r="G175" s="1">
        <f ca="1">IFERROR(__xludf.DUMMYFUNCTION("""COMPUTED_VALUE"""),1.6)</f>
        <v>1.6</v>
      </c>
      <c r="H175" s="1">
        <f ca="1">IFERROR(__xludf.DUMMYFUNCTION("""COMPUTED_VALUE"""),8)</f>
        <v>8</v>
      </c>
      <c r="I175" s="1">
        <f ca="1">IFERROR(__xludf.DUMMYFUNCTION("""COMPUTED_VALUE"""),10)</f>
        <v>10</v>
      </c>
      <c r="J175" s="1">
        <f ca="1">IFERROR(__xludf.DUMMYFUNCTION("""COMPUTED_VALUE"""),10)</f>
        <v>10</v>
      </c>
      <c r="K175" s="1">
        <f ca="1">IFERROR(__xludf.DUMMYFUNCTION("""COMPUTED_VALUE"""),7)</f>
        <v>7</v>
      </c>
      <c r="L175" s="1">
        <f ca="1">IFERROR(__xludf.DUMMYFUNCTION("""COMPUTED_VALUE"""),5)</f>
        <v>5</v>
      </c>
      <c r="M175" s="1">
        <f ca="1">IFERROR(__xludf.DUMMYFUNCTION("""COMPUTED_VALUE"""),7)</f>
        <v>7</v>
      </c>
      <c r="N175" s="1">
        <f ca="1">IFERROR(__xludf.DUMMYFUNCTION("""COMPUTED_VALUE"""),2113)</f>
        <v>2113</v>
      </c>
      <c r="O175" s="1">
        <f ca="1">IFERROR(__xludf.DUMMYFUNCTION("""COMPUTED_VALUE"""),2125)</f>
        <v>2125</v>
      </c>
      <c r="P175" s="1">
        <f ca="1">IFERROR(__xludf.DUMMYFUNCTION("""COMPUTED_VALUE"""),1205)</f>
        <v>1205</v>
      </c>
      <c r="Q175" s="1">
        <f ca="1">IFERROR(__xludf.DUMMYFUNCTION("""COMPUTED_VALUE"""),779)</f>
        <v>779</v>
      </c>
      <c r="R175" s="1">
        <f ca="1">IFERROR(__xludf.DUMMYFUNCTION("""COMPUTED_VALUE"""),1755)</f>
        <v>1755</v>
      </c>
      <c r="S175" s="1">
        <f ca="1">IFERROR(__xludf.DUMMYFUNCTION("""COMPUTED_VALUE"""),0.444)</f>
        <v>0.44400000000000001</v>
      </c>
      <c r="T175" s="1">
        <f ca="1">IFERROR(__xludf.DUMMYFUNCTION("""COMPUTED_VALUE"""),217)</f>
        <v>217</v>
      </c>
      <c r="U175" s="1">
        <f ca="1">IFERROR(__xludf.DUMMYFUNCTION("""COMPUTED_VALUE"""),614)</f>
        <v>614</v>
      </c>
      <c r="V175" s="1">
        <f ca="1">IFERROR(__xludf.DUMMYFUNCTION("""COMPUTED_VALUE"""),0.353)</f>
        <v>0.35299999999999998</v>
      </c>
      <c r="W175" s="1">
        <f ca="1">IFERROR(__xludf.DUMMYFUNCTION("""COMPUTED_VALUE"""),338)</f>
        <v>338</v>
      </c>
      <c r="X175" s="1">
        <f ca="1">IFERROR(__xludf.DUMMYFUNCTION("""COMPUTED_VALUE"""),545)</f>
        <v>545</v>
      </c>
      <c r="Y175" s="1">
        <f ca="1">IFERROR(__xludf.DUMMYFUNCTION("""COMPUTED_VALUE"""),0.62)</f>
        <v>0.62</v>
      </c>
      <c r="Z175" s="1">
        <f ca="1">IFERROR(__xludf.DUMMYFUNCTION("""COMPUTED_VALUE"""),332)</f>
        <v>332</v>
      </c>
      <c r="AA175" s="1">
        <f ca="1">IFERROR(__xludf.DUMMYFUNCTION("""COMPUTED_VALUE"""),1022)</f>
        <v>1022</v>
      </c>
      <c r="AB175" s="1">
        <f ca="1">IFERROR(__xludf.DUMMYFUNCTION("""COMPUTED_VALUE"""),444)</f>
        <v>444</v>
      </c>
      <c r="AC175" s="1">
        <f ca="1">IFERROR(__xludf.DUMMYFUNCTION("""COMPUTED_VALUE"""),228)</f>
        <v>228</v>
      </c>
      <c r="AD175" s="1">
        <f ca="1">IFERROR(__xludf.DUMMYFUNCTION("""COMPUTED_VALUE"""),120)</f>
        <v>120</v>
      </c>
      <c r="AE175" s="1">
        <f ca="1">IFERROR(__xludf.DUMMYFUNCTION("""COMPUTED_VALUE"""),395)</f>
        <v>395</v>
      </c>
      <c r="AF175" s="1">
        <f ca="1">IFERROR(__xludf.DUMMYFUNCTION("""COMPUTED_VALUE"""),610)</f>
        <v>610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IFERROR(__xludf.DUMMYFUNCTION("""COMPUTED_VALUE"""),"Loyola (MD)")</f>
        <v>Loyola (MD)</v>
      </c>
      <c r="B178" s="1">
        <f ca="1">IFERROR(__xludf.DUMMYFUNCTION("""COMPUTED_VALUE"""),33)</f>
        <v>33</v>
      </c>
      <c r="C178" s="1">
        <f ca="1">IFERROR(__xludf.DUMMYFUNCTION("""COMPUTED_VALUE"""),16)</f>
        <v>16</v>
      </c>
      <c r="D178" s="1">
        <f ca="1">IFERROR(__xludf.DUMMYFUNCTION("""COMPUTED_VALUE"""),17)</f>
        <v>17</v>
      </c>
      <c r="E178" s="1">
        <f ca="1">IFERROR(__xludf.DUMMYFUNCTION("""COMPUTED_VALUE"""),0.485)</f>
        <v>0.48499999999999999</v>
      </c>
      <c r="F178" s="1">
        <f ca="1">IFERROR(__xludf.DUMMYFUNCTION("""COMPUTED_VALUE"""),-6.32)</f>
        <v>-6.32</v>
      </c>
      <c r="G178" s="1">
        <f ca="1">IFERROR(__xludf.DUMMYFUNCTION("""COMPUTED_VALUE"""),-3.6)</f>
        <v>-3.6</v>
      </c>
      <c r="H178" s="1">
        <f ca="1">IFERROR(__xludf.DUMMYFUNCTION("""COMPUTED_VALUE"""),8)</f>
        <v>8</v>
      </c>
      <c r="I178" s="1">
        <f ca="1">IFERROR(__xludf.DUMMYFUNCTION("""COMPUTED_VALUE"""),10)</f>
        <v>10</v>
      </c>
      <c r="J178" s="1">
        <f ca="1">IFERROR(__xludf.DUMMYFUNCTION("""COMPUTED_VALUE"""),10)</f>
        <v>10</v>
      </c>
      <c r="K178" s="1">
        <f ca="1">IFERROR(__xludf.DUMMYFUNCTION("""COMPUTED_VALUE"""),4)</f>
        <v>4</v>
      </c>
      <c r="L178" s="1">
        <f ca="1">IFERROR(__xludf.DUMMYFUNCTION("""COMPUTED_VALUE"""),6)</f>
        <v>6</v>
      </c>
      <c r="M178" s="1">
        <f ca="1">IFERROR(__xludf.DUMMYFUNCTION("""COMPUTED_VALUE"""),11)</f>
        <v>11</v>
      </c>
      <c r="N178" s="1">
        <f ca="1">IFERROR(__xludf.DUMMYFUNCTION("""COMPUTED_VALUE"""),2175)</f>
        <v>2175</v>
      </c>
      <c r="O178" s="1">
        <f ca="1">IFERROR(__xludf.DUMMYFUNCTION("""COMPUTED_VALUE"""),2249)</f>
        <v>2249</v>
      </c>
      <c r="P178" s="1">
        <f ca="1">IFERROR(__xludf.DUMMYFUNCTION("""COMPUTED_VALUE"""),1330)</f>
        <v>1330</v>
      </c>
      <c r="Q178" s="1">
        <f ca="1">IFERROR(__xludf.DUMMYFUNCTION("""COMPUTED_VALUE"""),753)</f>
        <v>753</v>
      </c>
      <c r="R178" s="1">
        <f ca="1">IFERROR(__xludf.DUMMYFUNCTION("""COMPUTED_VALUE"""),1791)</f>
        <v>1791</v>
      </c>
      <c r="S178" s="1">
        <f ca="1">IFERROR(__xludf.DUMMYFUNCTION("""COMPUTED_VALUE"""),0.42)</f>
        <v>0.42</v>
      </c>
      <c r="T178" s="1">
        <f ca="1">IFERROR(__xludf.DUMMYFUNCTION("""COMPUTED_VALUE"""),177)</f>
        <v>177</v>
      </c>
      <c r="U178" s="1">
        <f ca="1">IFERROR(__xludf.DUMMYFUNCTION("""COMPUTED_VALUE"""),538)</f>
        <v>538</v>
      </c>
      <c r="V178" s="1">
        <f ca="1">IFERROR(__xludf.DUMMYFUNCTION("""COMPUTED_VALUE"""),0.329)</f>
        <v>0.32900000000000001</v>
      </c>
      <c r="W178" s="1">
        <f ca="1">IFERROR(__xludf.DUMMYFUNCTION("""COMPUTED_VALUE"""),492)</f>
        <v>492</v>
      </c>
      <c r="X178" s="1">
        <f ca="1">IFERROR(__xludf.DUMMYFUNCTION("""COMPUTED_VALUE"""),711)</f>
        <v>711</v>
      </c>
      <c r="Y178" s="1">
        <f ca="1">IFERROR(__xludf.DUMMYFUNCTION("""COMPUTED_VALUE"""),0.692)</f>
        <v>0.69199999999999995</v>
      </c>
      <c r="Z178" s="1">
        <f ca="1">IFERROR(__xludf.DUMMYFUNCTION("""COMPUTED_VALUE"""),382)</f>
        <v>382</v>
      </c>
      <c r="AA178" s="1">
        <f ca="1">IFERROR(__xludf.DUMMYFUNCTION("""COMPUTED_VALUE"""),1113)</f>
        <v>1113</v>
      </c>
      <c r="AB178" s="1">
        <f ca="1">IFERROR(__xludf.DUMMYFUNCTION("""COMPUTED_VALUE"""),385)</f>
        <v>385</v>
      </c>
      <c r="AC178" s="1">
        <f ca="1">IFERROR(__xludf.DUMMYFUNCTION("""COMPUTED_VALUE"""),240)</f>
        <v>240</v>
      </c>
      <c r="AD178" s="1">
        <f ca="1">IFERROR(__xludf.DUMMYFUNCTION("""COMPUTED_VALUE"""),113)</f>
        <v>113</v>
      </c>
      <c r="AE178" s="1">
        <f ca="1">IFERROR(__xludf.DUMMYFUNCTION("""COMPUTED_VALUE"""),496)</f>
        <v>496</v>
      </c>
      <c r="AF178" s="1">
        <f ca="1">IFERROR(__xludf.DUMMYFUNCTION("""COMPUTED_VALUE"""),636)</f>
        <v>636</v>
      </c>
    </row>
    <row r="179" spans="1:32" ht="12.5" x14ac:dyDescent="0.25">
      <c r="A179" s="1" t="str">
        <f ca="1">IFERROR(__xludf.DUMMYFUNCTION("""COMPUTED_VALUE"""),"Maine")</f>
        <v>Maine</v>
      </c>
      <c r="B179" s="1">
        <f ca="1">IFERROR(__xludf.DUMMYFUNCTION("""COMPUTED_VALUE"""),32)</f>
        <v>32</v>
      </c>
      <c r="C179" s="1">
        <f ca="1">IFERROR(__xludf.DUMMYFUNCTION("""COMPUTED_VALUE"""),7)</f>
        <v>7</v>
      </c>
      <c r="D179" s="1">
        <f ca="1">IFERROR(__xludf.DUMMYFUNCTION("""COMPUTED_VALUE"""),25)</f>
        <v>25</v>
      </c>
      <c r="E179" s="1">
        <f ca="1">IFERROR(__xludf.DUMMYFUNCTION("""COMPUTED_VALUE"""),0.219)</f>
        <v>0.219</v>
      </c>
      <c r="F179" s="1">
        <f ca="1">IFERROR(__xludf.DUMMYFUNCTION("""COMPUTED_VALUE"""),-16.33)</f>
        <v>-16.329999999999998</v>
      </c>
      <c r="G179" s="1">
        <f ca="1">IFERROR(__xludf.DUMMYFUNCTION("""COMPUTED_VALUE"""),-4.01)</f>
        <v>-4.01</v>
      </c>
      <c r="H179" s="1">
        <f ca="1">IFERROR(__xludf.DUMMYFUNCTION("""COMPUTED_VALUE"""),3)</f>
        <v>3</v>
      </c>
      <c r="I179" s="1">
        <f ca="1">IFERROR(__xludf.DUMMYFUNCTION("""COMPUTED_VALUE"""),13)</f>
        <v>13</v>
      </c>
      <c r="J179" s="1">
        <f ca="1">IFERROR(__xludf.DUMMYFUNCTION("""COMPUTED_VALUE"""),4)</f>
        <v>4</v>
      </c>
      <c r="K179" s="1">
        <f ca="1">IFERROR(__xludf.DUMMYFUNCTION("""COMPUTED_VALUE"""),9)</f>
        <v>9</v>
      </c>
      <c r="L179" s="1">
        <f ca="1">IFERROR(__xludf.DUMMYFUNCTION("""COMPUTED_VALUE"""),3)</f>
        <v>3</v>
      </c>
      <c r="M179" s="1">
        <f ca="1">IFERROR(__xludf.DUMMYFUNCTION("""COMPUTED_VALUE"""),14)</f>
        <v>14</v>
      </c>
      <c r="N179" s="1">
        <f ca="1">IFERROR(__xludf.DUMMYFUNCTION("""COMPUTED_VALUE"""),2069)</f>
        <v>2069</v>
      </c>
      <c r="O179" s="1">
        <f ca="1">IFERROR(__xludf.DUMMYFUNCTION("""COMPUTED_VALUE"""),2400)</f>
        <v>2400</v>
      </c>
      <c r="P179" s="1">
        <f ca="1">IFERROR(__xludf.DUMMYFUNCTION("""COMPUTED_VALUE"""),1280)</f>
        <v>1280</v>
      </c>
      <c r="Q179" s="1">
        <f ca="1">IFERROR(__xludf.DUMMYFUNCTION("""COMPUTED_VALUE"""),746)</f>
        <v>746</v>
      </c>
      <c r="R179" s="1">
        <f ca="1">IFERROR(__xludf.DUMMYFUNCTION("""COMPUTED_VALUE"""),1852)</f>
        <v>1852</v>
      </c>
      <c r="S179" s="1">
        <f ca="1">IFERROR(__xludf.DUMMYFUNCTION("""COMPUTED_VALUE"""),0.403)</f>
        <v>0.40300000000000002</v>
      </c>
      <c r="T179" s="1">
        <f ca="1">IFERROR(__xludf.DUMMYFUNCTION("""COMPUTED_VALUE"""),212)</f>
        <v>212</v>
      </c>
      <c r="U179" s="1">
        <f ca="1">IFERROR(__xludf.DUMMYFUNCTION("""COMPUTED_VALUE"""),665)</f>
        <v>665</v>
      </c>
      <c r="V179" s="1">
        <f ca="1">IFERROR(__xludf.DUMMYFUNCTION("""COMPUTED_VALUE"""),0.319)</f>
        <v>0.31900000000000001</v>
      </c>
      <c r="W179" s="1">
        <f ca="1">IFERROR(__xludf.DUMMYFUNCTION("""COMPUTED_VALUE"""),365)</f>
        <v>365</v>
      </c>
      <c r="X179" s="1">
        <f ca="1">IFERROR(__xludf.DUMMYFUNCTION("""COMPUTED_VALUE"""),558)</f>
        <v>558</v>
      </c>
      <c r="Y179" s="1">
        <f ca="1">IFERROR(__xludf.DUMMYFUNCTION("""COMPUTED_VALUE"""),0.654)</f>
        <v>0.65400000000000003</v>
      </c>
      <c r="Z179" s="1">
        <f ca="1">IFERROR(__xludf.DUMMYFUNCTION("""COMPUTED_VALUE"""),325)</f>
        <v>325</v>
      </c>
      <c r="AA179" s="1">
        <f ca="1">IFERROR(__xludf.DUMMYFUNCTION("""COMPUTED_VALUE"""),1122)</f>
        <v>1122</v>
      </c>
      <c r="AB179" s="1">
        <f ca="1">IFERROR(__xludf.DUMMYFUNCTION("""COMPUTED_VALUE"""),377)</f>
        <v>377</v>
      </c>
      <c r="AC179" s="1">
        <f ca="1">IFERROR(__xludf.DUMMYFUNCTION("""COMPUTED_VALUE"""),165)</f>
        <v>165</v>
      </c>
      <c r="AD179" s="1">
        <f ca="1">IFERROR(__xludf.DUMMYFUNCTION("""COMPUTED_VALUE"""),63)</f>
        <v>63</v>
      </c>
      <c r="AE179" s="1">
        <f ca="1">IFERROR(__xludf.DUMMYFUNCTION("""COMPUTED_VALUE"""),419)</f>
        <v>419</v>
      </c>
      <c r="AF179" s="1">
        <f ca="1">IFERROR(__xludf.DUMMYFUNCTION("""COMPUTED_VALUE"""),562)</f>
        <v>562</v>
      </c>
    </row>
    <row r="180" spans="1:32" ht="12.5" x14ac:dyDescent="0.25">
      <c r="A180" s="1" t="str">
        <f ca="1">IFERROR(__xludf.DUMMYFUNCTION("""COMPUTED_VALUE"""),"Manhattan")</f>
        <v>Manhattan</v>
      </c>
      <c r="B180" s="1">
        <f ca="1">IFERROR(__xludf.DUMMYFUNCTION("""COMPUTED_VALUE"""),32)</f>
        <v>32</v>
      </c>
      <c r="C180" s="1">
        <f ca="1">IFERROR(__xludf.DUMMYFUNCTION("""COMPUTED_VALUE"""),10)</f>
        <v>10</v>
      </c>
      <c r="D180" s="1">
        <f ca="1">IFERROR(__xludf.DUMMYFUNCTION("""COMPUTED_VALUE"""),22)</f>
        <v>22</v>
      </c>
      <c r="E180" s="1">
        <f ca="1">IFERROR(__xludf.DUMMYFUNCTION("""COMPUTED_VALUE"""),0.313)</f>
        <v>0.313</v>
      </c>
      <c r="F180" s="1">
        <f ca="1">IFERROR(__xludf.DUMMYFUNCTION("""COMPUTED_VALUE"""),-9.67)</f>
        <v>-9.67</v>
      </c>
      <c r="G180" s="1">
        <f ca="1">IFERROR(__xludf.DUMMYFUNCTION("""COMPUTED_VALUE"""),-2.61)</f>
        <v>-2.61</v>
      </c>
      <c r="H180" s="1">
        <f ca="1">IFERROR(__xludf.DUMMYFUNCTION("""COMPUTED_VALUE"""),5)</f>
        <v>5</v>
      </c>
      <c r="I180" s="1">
        <f ca="1">IFERROR(__xludf.DUMMYFUNCTION("""COMPUTED_VALUE"""),15)</f>
        <v>15</v>
      </c>
      <c r="J180" s="1">
        <f ca="1">IFERROR(__xludf.DUMMYFUNCTION("""COMPUTED_VALUE"""),7)</f>
        <v>7</v>
      </c>
      <c r="K180" s="1">
        <f ca="1">IFERROR(__xludf.DUMMYFUNCTION("""COMPUTED_VALUE"""),7)</f>
        <v>7</v>
      </c>
      <c r="L180" s="1">
        <f ca="1">IFERROR(__xludf.DUMMYFUNCTION("""COMPUTED_VALUE"""),3)</f>
        <v>3</v>
      </c>
      <c r="M180" s="1">
        <f ca="1">IFERROR(__xludf.DUMMYFUNCTION("""COMPUTED_VALUE"""),13)</f>
        <v>13</v>
      </c>
      <c r="N180" s="1">
        <f ca="1">IFERROR(__xludf.DUMMYFUNCTION("""COMPUTED_VALUE"""),2259)</f>
        <v>2259</v>
      </c>
      <c r="O180" s="1">
        <f ca="1">IFERROR(__xludf.DUMMYFUNCTION("""COMPUTED_VALUE"""),2485)</f>
        <v>2485</v>
      </c>
      <c r="P180" s="1">
        <f ca="1">IFERROR(__xludf.DUMMYFUNCTION("""COMPUTED_VALUE"""),1305)</f>
        <v>1305</v>
      </c>
      <c r="Q180" s="1">
        <f ca="1">IFERROR(__xludf.DUMMYFUNCTION("""COMPUTED_VALUE"""),754)</f>
        <v>754</v>
      </c>
      <c r="R180" s="1">
        <f ca="1">IFERROR(__xludf.DUMMYFUNCTION("""COMPUTED_VALUE"""),1813)</f>
        <v>1813</v>
      </c>
      <c r="S180" s="1">
        <f ca="1">IFERROR(__xludf.DUMMYFUNCTION("""COMPUTED_VALUE"""),0.416)</f>
        <v>0.41599999999999998</v>
      </c>
      <c r="T180" s="1">
        <f ca="1">IFERROR(__xludf.DUMMYFUNCTION("""COMPUTED_VALUE"""),209)</f>
        <v>209</v>
      </c>
      <c r="U180" s="1">
        <f ca="1">IFERROR(__xludf.DUMMYFUNCTION("""COMPUTED_VALUE"""),636)</f>
        <v>636</v>
      </c>
      <c r="V180" s="1">
        <f ca="1">IFERROR(__xludf.DUMMYFUNCTION("""COMPUTED_VALUE"""),0.329)</f>
        <v>0.32900000000000001</v>
      </c>
      <c r="W180" s="1">
        <f ca="1">IFERROR(__xludf.DUMMYFUNCTION("""COMPUTED_VALUE"""),542)</f>
        <v>542</v>
      </c>
      <c r="X180" s="1">
        <f ca="1">IFERROR(__xludf.DUMMYFUNCTION("""COMPUTED_VALUE"""),743)</f>
        <v>743</v>
      </c>
      <c r="Y180" s="1">
        <f ca="1">IFERROR(__xludf.DUMMYFUNCTION("""COMPUTED_VALUE"""),0.729)</f>
        <v>0.72899999999999998</v>
      </c>
      <c r="Z180" s="1">
        <f ca="1">IFERROR(__xludf.DUMMYFUNCTION("""COMPUTED_VALUE"""),355)</f>
        <v>355</v>
      </c>
      <c r="AA180" s="1">
        <f ca="1">IFERROR(__xludf.DUMMYFUNCTION("""COMPUTED_VALUE"""),1118)</f>
        <v>1118</v>
      </c>
      <c r="AB180" s="1">
        <f ca="1">IFERROR(__xludf.DUMMYFUNCTION("""COMPUTED_VALUE"""),350)</f>
        <v>350</v>
      </c>
      <c r="AC180" s="1">
        <f ca="1">IFERROR(__xludf.DUMMYFUNCTION("""COMPUTED_VALUE"""),224)</f>
        <v>224</v>
      </c>
      <c r="AD180" s="1">
        <f ca="1">IFERROR(__xludf.DUMMYFUNCTION("""COMPUTED_VALUE"""),103)</f>
        <v>103</v>
      </c>
      <c r="AE180" s="1">
        <f ca="1">IFERROR(__xludf.DUMMYFUNCTION("""COMPUTED_VALUE"""),530)</f>
        <v>530</v>
      </c>
      <c r="AF180" s="1">
        <f ca="1">IFERROR(__xludf.DUMMYFUNCTION("""COMPUTED_VALUE"""),790)</f>
        <v>790</v>
      </c>
    </row>
    <row r="181" spans="1:32" ht="12.5" x14ac:dyDescent="0.25">
      <c r="A181" s="1" t="str">
        <f ca="1">IFERROR(__xludf.DUMMYFUNCTION("""COMPUTED_VALUE"""),"Marist")</f>
        <v>Marist</v>
      </c>
      <c r="B181" s="1">
        <f ca="1">IFERROR(__xludf.DUMMYFUNCTION("""COMPUTED_VALUE"""),32)</f>
        <v>32</v>
      </c>
      <c r="C181" s="1">
        <f ca="1">IFERROR(__xludf.DUMMYFUNCTION("""COMPUTED_VALUE"""),8)</f>
        <v>8</v>
      </c>
      <c r="D181" s="1">
        <f ca="1">IFERROR(__xludf.DUMMYFUNCTION("""COMPUTED_VALUE"""),24)</f>
        <v>24</v>
      </c>
      <c r="E181" s="1">
        <f ca="1">IFERROR(__xludf.DUMMYFUNCTION("""COMPUTED_VALUE"""),0.25)</f>
        <v>0.25</v>
      </c>
      <c r="F181" s="1">
        <f ca="1">IFERROR(__xludf.DUMMYFUNCTION("""COMPUTED_VALUE"""),-12.33)</f>
        <v>-12.33</v>
      </c>
      <c r="G181" s="1">
        <f ca="1">IFERROR(__xludf.DUMMYFUNCTION("""COMPUTED_VALUE"""),-2.74)</f>
        <v>-2.74</v>
      </c>
      <c r="H181" s="1">
        <f ca="1">IFERROR(__xludf.DUMMYFUNCTION("""COMPUTED_VALUE"""),5)</f>
        <v>5</v>
      </c>
      <c r="I181" s="1">
        <f ca="1">IFERROR(__xludf.DUMMYFUNCTION("""COMPUTED_VALUE"""),15)</f>
        <v>15</v>
      </c>
      <c r="J181" s="1">
        <f ca="1">IFERROR(__xludf.DUMMYFUNCTION("""COMPUTED_VALUE"""),5)</f>
        <v>5</v>
      </c>
      <c r="K181" s="1">
        <f ca="1">IFERROR(__xludf.DUMMYFUNCTION("""COMPUTED_VALUE"""),8)</f>
        <v>8</v>
      </c>
      <c r="L181" s="1">
        <f ca="1">IFERROR(__xludf.DUMMYFUNCTION("""COMPUTED_VALUE"""),2)</f>
        <v>2</v>
      </c>
      <c r="M181" s="1">
        <f ca="1">IFERROR(__xludf.DUMMYFUNCTION("""COMPUTED_VALUE"""),14)</f>
        <v>14</v>
      </c>
      <c r="N181" s="1">
        <f ca="1">IFERROR(__xludf.DUMMYFUNCTION("""COMPUTED_VALUE"""),2223)</f>
        <v>2223</v>
      </c>
      <c r="O181" s="1">
        <f ca="1">IFERROR(__xludf.DUMMYFUNCTION("""COMPUTED_VALUE"""),2530)</f>
        <v>2530</v>
      </c>
      <c r="P181" s="1">
        <f ca="1">IFERROR(__xludf.DUMMYFUNCTION("""COMPUTED_VALUE"""),1290)</f>
        <v>1290</v>
      </c>
      <c r="Q181" s="1">
        <f ca="1">IFERROR(__xludf.DUMMYFUNCTION("""COMPUTED_VALUE"""),749)</f>
        <v>749</v>
      </c>
      <c r="R181" s="1">
        <f ca="1">IFERROR(__xludf.DUMMYFUNCTION("""COMPUTED_VALUE"""),1747)</f>
        <v>1747</v>
      </c>
      <c r="S181" s="1">
        <f ca="1">IFERROR(__xludf.DUMMYFUNCTION("""COMPUTED_VALUE"""),0.429)</f>
        <v>0.42899999999999999</v>
      </c>
      <c r="T181" s="1">
        <f ca="1">IFERROR(__xludf.DUMMYFUNCTION("""COMPUTED_VALUE"""),245)</f>
        <v>245</v>
      </c>
      <c r="U181" s="1">
        <f ca="1">IFERROR(__xludf.DUMMYFUNCTION("""COMPUTED_VALUE"""),736)</f>
        <v>736</v>
      </c>
      <c r="V181" s="1">
        <f ca="1">IFERROR(__xludf.DUMMYFUNCTION("""COMPUTED_VALUE"""),0.333)</f>
        <v>0.33300000000000002</v>
      </c>
      <c r="W181" s="1">
        <f ca="1">IFERROR(__xludf.DUMMYFUNCTION("""COMPUTED_VALUE"""),480)</f>
        <v>480</v>
      </c>
      <c r="X181" s="1">
        <f ca="1">IFERROR(__xludf.DUMMYFUNCTION("""COMPUTED_VALUE"""),662)</f>
        <v>662</v>
      </c>
      <c r="Y181" s="1">
        <f ca="1">IFERROR(__xludf.DUMMYFUNCTION("""COMPUTED_VALUE"""),0.725)</f>
        <v>0.72499999999999998</v>
      </c>
      <c r="Z181" s="1">
        <f ca="1">IFERROR(__xludf.DUMMYFUNCTION("""COMPUTED_VALUE"""),235)</f>
        <v>235</v>
      </c>
      <c r="AA181" s="1">
        <f ca="1">IFERROR(__xludf.DUMMYFUNCTION("""COMPUTED_VALUE"""),998)</f>
        <v>998</v>
      </c>
      <c r="AB181" s="1">
        <f ca="1">IFERROR(__xludf.DUMMYFUNCTION("""COMPUTED_VALUE"""),352)</f>
        <v>352</v>
      </c>
      <c r="AC181" s="1">
        <f ca="1">IFERROR(__xludf.DUMMYFUNCTION("""COMPUTED_VALUE"""),146)</f>
        <v>146</v>
      </c>
      <c r="AD181" s="1">
        <f ca="1">IFERROR(__xludf.DUMMYFUNCTION("""COMPUTED_VALUE"""),83)</f>
        <v>83</v>
      </c>
      <c r="AE181" s="1">
        <f ca="1">IFERROR(__xludf.DUMMYFUNCTION("""COMPUTED_VALUE"""),409)</f>
        <v>409</v>
      </c>
      <c r="AF181" s="1">
        <f ca="1">IFERROR(__xludf.DUMMYFUNCTION("""COMPUTED_VALUE"""),628)</f>
        <v>628</v>
      </c>
    </row>
    <row r="182" spans="1:32" ht="12.5" x14ac:dyDescent="0.25">
      <c r="A182" s="1" t="str">
        <f ca="1">IFERROR(__xludf.DUMMYFUNCTION("""COMPUTED_VALUE"""),"MarquetteNCAA")</f>
        <v>MarquetteNCAA</v>
      </c>
      <c r="B182" s="1">
        <f ca="1">IFERROR(__xludf.DUMMYFUNCTION("""COMPUTED_VALUE"""),32)</f>
        <v>32</v>
      </c>
      <c r="C182" s="1">
        <f ca="1">IFERROR(__xludf.DUMMYFUNCTION("""COMPUTED_VALUE"""),19)</f>
        <v>19</v>
      </c>
      <c r="D182" s="1">
        <f ca="1">IFERROR(__xludf.DUMMYFUNCTION("""COMPUTED_VALUE"""),13)</f>
        <v>13</v>
      </c>
      <c r="E182" s="1">
        <f ca="1">IFERROR(__xludf.DUMMYFUNCTION("""COMPUTED_VALUE"""),0.594)</f>
        <v>0.59399999999999997</v>
      </c>
      <c r="F182" s="1">
        <f ca="1">IFERROR(__xludf.DUMMYFUNCTION("""COMPUTED_VALUE"""),15.26)</f>
        <v>15.26</v>
      </c>
      <c r="G182" s="1">
        <f ca="1">IFERROR(__xludf.DUMMYFUNCTION("""COMPUTED_VALUE"""),8.6)</f>
        <v>8.6</v>
      </c>
      <c r="H182" s="1">
        <f ca="1">IFERROR(__xludf.DUMMYFUNCTION("""COMPUTED_VALUE"""),10)</f>
        <v>10</v>
      </c>
      <c r="I182" s="1">
        <f ca="1">IFERROR(__xludf.DUMMYFUNCTION("""COMPUTED_VALUE"""),8)</f>
        <v>8</v>
      </c>
      <c r="J182" s="1">
        <f ca="1">IFERROR(__xludf.DUMMYFUNCTION("""COMPUTED_VALUE"""),14)</f>
        <v>14</v>
      </c>
      <c r="K182" s="1">
        <f ca="1">IFERROR(__xludf.DUMMYFUNCTION("""COMPUTED_VALUE"""),3)</f>
        <v>3</v>
      </c>
      <c r="L182" s="1">
        <f ca="1">IFERROR(__xludf.DUMMYFUNCTION("""COMPUTED_VALUE"""),4)</f>
        <v>4</v>
      </c>
      <c r="M182" s="1">
        <f ca="1">IFERROR(__xludf.DUMMYFUNCTION("""COMPUTED_VALUE"""),6)</f>
        <v>6</v>
      </c>
      <c r="N182" s="1">
        <f ca="1">IFERROR(__xludf.DUMMYFUNCTION("""COMPUTED_VALUE"""),2631)</f>
        <v>2631</v>
      </c>
      <c r="O182" s="1">
        <f ca="1">IFERROR(__xludf.DUMMYFUNCTION("""COMPUTED_VALUE"""),2418)</f>
        <v>2418</v>
      </c>
      <c r="P182" s="1">
        <f ca="1">IFERROR(__xludf.DUMMYFUNCTION("""COMPUTED_VALUE"""),1285)</f>
        <v>1285</v>
      </c>
      <c r="Q182" s="1">
        <f ca="1">IFERROR(__xludf.DUMMYFUNCTION("""COMPUTED_VALUE"""),919)</f>
        <v>919</v>
      </c>
      <c r="R182" s="1">
        <f ca="1">IFERROR(__xludf.DUMMYFUNCTION("""COMPUTED_VALUE"""),1888)</f>
        <v>1888</v>
      </c>
      <c r="S182" s="1">
        <f ca="1">IFERROR(__xludf.DUMMYFUNCTION("""COMPUTED_VALUE"""),0.487)</f>
        <v>0.48699999999999999</v>
      </c>
      <c r="T182" s="1">
        <f ca="1">IFERROR(__xludf.DUMMYFUNCTION("""COMPUTED_VALUE"""),336)</f>
        <v>336</v>
      </c>
      <c r="U182" s="1">
        <f ca="1">IFERROR(__xludf.DUMMYFUNCTION("""COMPUTED_VALUE"""),783)</f>
        <v>783</v>
      </c>
      <c r="V182" s="1">
        <f ca="1">IFERROR(__xludf.DUMMYFUNCTION("""COMPUTED_VALUE"""),0.429)</f>
        <v>0.42899999999999999</v>
      </c>
      <c r="W182" s="1">
        <f ca="1">IFERROR(__xludf.DUMMYFUNCTION("""COMPUTED_VALUE"""),457)</f>
        <v>457</v>
      </c>
      <c r="X182" s="1">
        <f ca="1">IFERROR(__xludf.DUMMYFUNCTION("""COMPUTED_VALUE"""),585)</f>
        <v>585</v>
      </c>
      <c r="Y182" s="1">
        <f ca="1">IFERROR(__xludf.DUMMYFUNCTION("""COMPUTED_VALUE"""),0.781)</f>
        <v>0.78100000000000003</v>
      </c>
      <c r="Z182" s="1">
        <f ca="1">IFERROR(__xludf.DUMMYFUNCTION("""COMPUTED_VALUE"""),280)</f>
        <v>280</v>
      </c>
      <c r="AA182" s="1">
        <f ca="1">IFERROR(__xludf.DUMMYFUNCTION("""COMPUTED_VALUE"""),1058)</f>
        <v>1058</v>
      </c>
      <c r="AB182" s="1">
        <f ca="1">IFERROR(__xludf.DUMMYFUNCTION("""COMPUTED_VALUE"""),525)</f>
        <v>525</v>
      </c>
      <c r="AC182" s="1">
        <f ca="1">IFERROR(__xludf.DUMMYFUNCTION("""COMPUTED_VALUE"""),231)</f>
        <v>231</v>
      </c>
      <c r="AD182" s="1">
        <f ca="1">IFERROR(__xludf.DUMMYFUNCTION("""COMPUTED_VALUE"""),115)</f>
        <v>115</v>
      </c>
      <c r="AE182" s="1">
        <f ca="1">IFERROR(__xludf.DUMMYFUNCTION("""COMPUTED_VALUE"""),396)</f>
        <v>396</v>
      </c>
      <c r="AF182" s="1">
        <f ca="1">IFERROR(__xludf.DUMMYFUNCTION("""COMPUTED_VALUE"""),620)</f>
        <v>620</v>
      </c>
    </row>
    <row r="183" spans="1:32" ht="12.5" x14ac:dyDescent="0.25">
      <c r="A183" s="1" t="str">
        <f ca="1">IFERROR(__xludf.DUMMYFUNCTION("""COMPUTED_VALUE"""),"Marshall")</f>
        <v>Marshall</v>
      </c>
      <c r="B183" s="1">
        <f ca="1">IFERROR(__xludf.DUMMYFUNCTION("""COMPUTED_VALUE"""),35)</f>
        <v>35</v>
      </c>
      <c r="C183" s="1">
        <f ca="1">IFERROR(__xludf.DUMMYFUNCTION("""COMPUTED_VALUE"""),20)</f>
        <v>20</v>
      </c>
      <c r="D183" s="1">
        <f ca="1">IFERROR(__xludf.DUMMYFUNCTION("""COMPUTED_VALUE"""),15)</f>
        <v>15</v>
      </c>
      <c r="E183" s="1">
        <f ca="1">IFERROR(__xludf.DUMMYFUNCTION("""COMPUTED_VALUE"""),0.571)</f>
        <v>0.57099999999999995</v>
      </c>
      <c r="F183" s="1">
        <f ca="1">IFERROR(__xludf.DUMMYFUNCTION("""COMPUTED_VALUE"""),0.18)</f>
        <v>0.18</v>
      </c>
      <c r="G183" s="1">
        <f ca="1">IFERROR(__xludf.DUMMYFUNCTION("""COMPUTED_VALUE"""),-1.05)</f>
        <v>-1.05</v>
      </c>
      <c r="H183" s="1">
        <f ca="1">IFERROR(__xludf.DUMMYFUNCTION("""COMPUTED_VALUE"""),10)</f>
        <v>10</v>
      </c>
      <c r="I183" s="1">
        <f ca="1">IFERROR(__xludf.DUMMYFUNCTION("""COMPUTED_VALUE"""),8)</f>
        <v>8</v>
      </c>
      <c r="J183" s="1">
        <f ca="1">IFERROR(__xludf.DUMMYFUNCTION("""COMPUTED_VALUE"""),13)</f>
        <v>13</v>
      </c>
      <c r="K183" s="1">
        <f ca="1">IFERROR(__xludf.DUMMYFUNCTION("""COMPUTED_VALUE"""),3)</f>
        <v>3</v>
      </c>
      <c r="L183" s="1">
        <f ca="1">IFERROR(__xludf.DUMMYFUNCTION("""COMPUTED_VALUE"""),4)</f>
        <v>4</v>
      </c>
      <c r="M183" s="1">
        <f ca="1">IFERROR(__xludf.DUMMYFUNCTION("""COMPUTED_VALUE"""),11)</f>
        <v>11</v>
      </c>
      <c r="N183" s="1">
        <f ca="1">IFERROR(__xludf.DUMMYFUNCTION("""COMPUTED_VALUE"""),2997)</f>
        <v>2997</v>
      </c>
      <c r="O183" s="1">
        <f ca="1">IFERROR(__xludf.DUMMYFUNCTION("""COMPUTED_VALUE"""),2939)</f>
        <v>2939</v>
      </c>
      <c r="P183" s="1">
        <f ca="1">IFERROR(__xludf.DUMMYFUNCTION("""COMPUTED_VALUE"""),1415)</f>
        <v>1415</v>
      </c>
      <c r="Q183" s="1">
        <f ca="1">IFERROR(__xludf.DUMMYFUNCTION("""COMPUTED_VALUE"""),1021)</f>
        <v>1021</v>
      </c>
      <c r="R183" s="1">
        <f ca="1">IFERROR(__xludf.DUMMYFUNCTION("""COMPUTED_VALUE"""),2237)</f>
        <v>2237</v>
      </c>
      <c r="S183" s="1">
        <f ca="1">IFERROR(__xludf.DUMMYFUNCTION("""COMPUTED_VALUE"""),0.456)</f>
        <v>0.45600000000000002</v>
      </c>
      <c r="T183" s="1">
        <f ca="1">IFERROR(__xludf.DUMMYFUNCTION("""COMPUTED_VALUE"""),356)</f>
        <v>356</v>
      </c>
      <c r="U183" s="1">
        <f ca="1">IFERROR(__xludf.DUMMYFUNCTION("""COMPUTED_VALUE"""),962)</f>
        <v>962</v>
      </c>
      <c r="V183" s="1">
        <f ca="1">IFERROR(__xludf.DUMMYFUNCTION("""COMPUTED_VALUE"""),0.37)</f>
        <v>0.37</v>
      </c>
      <c r="W183" s="1">
        <f ca="1">IFERROR(__xludf.DUMMYFUNCTION("""COMPUTED_VALUE"""),599)</f>
        <v>599</v>
      </c>
      <c r="X183" s="1">
        <f ca="1">IFERROR(__xludf.DUMMYFUNCTION("""COMPUTED_VALUE"""),816)</f>
        <v>816</v>
      </c>
      <c r="Y183" s="1">
        <f ca="1">IFERROR(__xludf.DUMMYFUNCTION("""COMPUTED_VALUE"""),0.734)</f>
        <v>0.73399999999999999</v>
      </c>
      <c r="Z183" s="1">
        <f ca="1">IFERROR(__xludf.DUMMYFUNCTION("""COMPUTED_VALUE"""),325)</f>
        <v>325</v>
      </c>
      <c r="AA183" s="1">
        <f ca="1">IFERROR(__xludf.DUMMYFUNCTION("""COMPUTED_VALUE"""),1291)</f>
        <v>1291</v>
      </c>
      <c r="AB183" s="1">
        <f ca="1">IFERROR(__xludf.DUMMYFUNCTION("""COMPUTED_VALUE"""),576)</f>
        <v>576</v>
      </c>
      <c r="AC183" s="1">
        <f ca="1">IFERROR(__xludf.DUMMYFUNCTION("""COMPUTED_VALUE"""),211)</f>
        <v>211</v>
      </c>
      <c r="AD183" s="1">
        <f ca="1">IFERROR(__xludf.DUMMYFUNCTION("""COMPUTED_VALUE"""),140)</f>
        <v>140</v>
      </c>
      <c r="AE183" s="1">
        <f ca="1">IFERROR(__xludf.DUMMYFUNCTION("""COMPUTED_VALUE"""),433)</f>
        <v>433</v>
      </c>
      <c r="AF183" s="1">
        <f ca="1">IFERROR(__xludf.DUMMYFUNCTION("""COMPUTED_VALUE"""),643)</f>
        <v>643</v>
      </c>
    </row>
    <row r="184" spans="1:32" ht="12.5" x14ac:dyDescent="0.25">
      <c r="A184" s="1" t="str">
        <f ca="1">IFERROR(__xludf.DUMMYFUNCTION("""COMPUTED_VALUE"""),"Maryland-Baltimore County")</f>
        <v>Maryland-Baltimore County</v>
      </c>
      <c r="B184" s="1">
        <f ca="1">IFERROR(__xludf.DUMMYFUNCTION("""COMPUTED_VALUE"""),34)</f>
        <v>34</v>
      </c>
      <c r="C184" s="1">
        <f ca="1">IFERROR(__xludf.DUMMYFUNCTION("""COMPUTED_VALUE"""),21)</f>
        <v>21</v>
      </c>
      <c r="D184" s="1">
        <f ca="1">IFERROR(__xludf.DUMMYFUNCTION("""COMPUTED_VALUE"""),13)</f>
        <v>13</v>
      </c>
      <c r="E184" s="1">
        <f ca="1">IFERROR(__xludf.DUMMYFUNCTION("""COMPUTED_VALUE"""),0.618)</f>
        <v>0.61799999999999999</v>
      </c>
      <c r="F184" s="1">
        <f ca="1">IFERROR(__xludf.DUMMYFUNCTION("""COMPUTED_VALUE"""),-3.84)</f>
        <v>-3.84</v>
      </c>
      <c r="G184" s="1">
        <f ca="1">IFERROR(__xludf.DUMMYFUNCTION("""COMPUTED_VALUE"""),-5.87)</f>
        <v>-5.87</v>
      </c>
      <c r="H184" s="1">
        <f ca="1">IFERROR(__xludf.DUMMYFUNCTION("""COMPUTED_VALUE"""),9)</f>
        <v>9</v>
      </c>
      <c r="I184" s="1">
        <f ca="1">IFERROR(__xludf.DUMMYFUNCTION("""COMPUTED_VALUE"""),7)</f>
        <v>7</v>
      </c>
      <c r="J184" s="1">
        <f ca="1">IFERROR(__xludf.DUMMYFUNCTION("""COMPUTED_VALUE"""),13)</f>
        <v>13</v>
      </c>
      <c r="K184" s="1">
        <f ca="1">IFERROR(__xludf.DUMMYFUNCTION("""COMPUTED_VALUE"""),5)</f>
        <v>5</v>
      </c>
      <c r="L184" s="1">
        <f ca="1">IFERROR(__xludf.DUMMYFUNCTION("""COMPUTED_VALUE"""),8)</f>
        <v>8</v>
      </c>
      <c r="M184" s="1">
        <f ca="1">IFERROR(__xludf.DUMMYFUNCTION("""COMPUTED_VALUE"""),8)</f>
        <v>8</v>
      </c>
      <c r="N184" s="1">
        <f ca="1">IFERROR(__xludf.DUMMYFUNCTION("""COMPUTED_VALUE"""),2759)</f>
        <v>2759</v>
      </c>
      <c r="O184" s="1">
        <f ca="1">IFERROR(__xludf.DUMMYFUNCTION("""COMPUTED_VALUE"""),2624)</f>
        <v>2624</v>
      </c>
      <c r="P184" s="1">
        <f ca="1">IFERROR(__xludf.DUMMYFUNCTION("""COMPUTED_VALUE"""),1390)</f>
        <v>1390</v>
      </c>
      <c r="Q184" s="1">
        <f ca="1">IFERROR(__xludf.DUMMYFUNCTION("""COMPUTED_VALUE"""),957)</f>
        <v>957</v>
      </c>
      <c r="R184" s="1">
        <f ca="1">IFERROR(__xludf.DUMMYFUNCTION("""COMPUTED_VALUE"""),2041)</f>
        <v>2041</v>
      </c>
      <c r="S184" s="1">
        <f ca="1">IFERROR(__xludf.DUMMYFUNCTION("""COMPUTED_VALUE"""),0.469)</f>
        <v>0.46899999999999997</v>
      </c>
      <c r="T184" s="1">
        <f ca="1">IFERROR(__xludf.DUMMYFUNCTION("""COMPUTED_VALUE"""),330)</f>
        <v>330</v>
      </c>
      <c r="U184" s="1">
        <f ca="1">IFERROR(__xludf.DUMMYFUNCTION("""COMPUTED_VALUE"""),840)</f>
        <v>840</v>
      </c>
      <c r="V184" s="1">
        <f ca="1">IFERROR(__xludf.DUMMYFUNCTION("""COMPUTED_VALUE"""),0.393)</f>
        <v>0.39300000000000002</v>
      </c>
      <c r="W184" s="1">
        <f ca="1">IFERROR(__xludf.DUMMYFUNCTION("""COMPUTED_VALUE"""),515)</f>
        <v>515</v>
      </c>
      <c r="X184" s="1">
        <f ca="1">IFERROR(__xludf.DUMMYFUNCTION("""COMPUTED_VALUE"""),691)</f>
        <v>691</v>
      </c>
      <c r="Y184" s="1">
        <f ca="1">IFERROR(__xludf.DUMMYFUNCTION("""COMPUTED_VALUE"""),0.745)</f>
        <v>0.745</v>
      </c>
      <c r="Z184" s="1">
        <f ca="1">IFERROR(__xludf.DUMMYFUNCTION("""COMPUTED_VALUE"""),307)</f>
        <v>307</v>
      </c>
      <c r="AA184" s="1">
        <f ca="1">IFERROR(__xludf.DUMMYFUNCTION("""COMPUTED_VALUE"""),1199)</f>
        <v>1199</v>
      </c>
      <c r="AB184" s="1">
        <f ca="1">IFERROR(__xludf.DUMMYFUNCTION("""COMPUTED_VALUE"""),507)</f>
        <v>507</v>
      </c>
      <c r="AC184" s="1">
        <f ca="1">IFERROR(__xludf.DUMMYFUNCTION("""COMPUTED_VALUE"""),224)</f>
        <v>224</v>
      </c>
      <c r="AD184" s="1">
        <f ca="1">IFERROR(__xludf.DUMMYFUNCTION("""COMPUTED_VALUE"""),80)</f>
        <v>80</v>
      </c>
      <c r="AE184" s="1">
        <f ca="1">IFERROR(__xludf.DUMMYFUNCTION("""COMPUTED_VALUE"""),411)</f>
        <v>411</v>
      </c>
      <c r="AF184" s="1">
        <f ca="1">IFERROR(__xludf.DUMMYFUNCTION("""COMPUTED_VALUE"""),625)</f>
        <v>625</v>
      </c>
    </row>
    <row r="185" spans="1:32" ht="12.5" x14ac:dyDescent="0.25">
      <c r="A185" s="1" t="str">
        <f ca="1">IFERROR(__xludf.DUMMYFUNCTION("""COMPUTED_VALUE"""),"Maryland-Eastern Shore")</f>
        <v>Maryland-Eastern Shore</v>
      </c>
      <c r="B185" s="1">
        <f ca="1">IFERROR(__xludf.DUMMYFUNCTION("""COMPUTED_VALUE"""),34)</f>
        <v>34</v>
      </c>
      <c r="C185" s="1">
        <f ca="1">IFERROR(__xludf.DUMMYFUNCTION("""COMPUTED_VALUE"""),14)</f>
        <v>14</v>
      </c>
      <c r="D185" s="1">
        <f ca="1">IFERROR(__xludf.DUMMYFUNCTION("""COMPUTED_VALUE"""),20)</f>
        <v>20</v>
      </c>
      <c r="E185" s="1">
        <f ca="1">IFERROR(__xludf.DUMMYFUNCTION("""COMPUTED_VALUE"""),0.412)</f>
        <v>0.41199999999999998</v>
      </c>
      <c r="F185" s="1">
        <f ca="1">IFERROR(__xludf.DUMMYFUNCTION("""COMPUTED_VALUE"""),-13.77)</f>
        <v>-13.77</v>
      </c>
      <c r="G185" s="1">
        <f ca="1">IFERROR(__xludf.DUMMYFUNCTION("""COMPUTED_VALUE"""),-7.61)</f>
        <v>-7.61</v>
      </c>
      <c r="H185" s="1">
        <f ca="1">IFERROR(__xludf.DUMMYFUNCTION("""COMPUTED_VALUE"""),9)</f>
        <v>9</v>
      </c>
      <c r="I185" s="1">
        <f ca="1">IFERROR(__xludf.DUMMYFUNCTION("""COMPUTED_VALUE"""),7)</f>
        <v>7</v>
      </c>
      <c r="J185" s="1">
        <f ca="1">IFERROR(__xludf.DUMMYFUNCTION("""COMPUTED_VALUE"""),7)</f>
        <v>7</v>
      </c>
      <c r="K185" s="1">
        <f ca="1">IFERROR(__xludf.DUMMYFUNCTION("""COMPUTED_VALUE"""),4)</f>
        <v>4</v>
      </c>
      <c r="L185" s="1">
        <f ca="1">IFERROR(__xludf.DUMMYFUNCTION("""COMPUTED_VALUE"""),5)</f>
        <v>5</v>
      </c>
      <c r="M185" s="1">
        <f ca="1">IFERROR(__xludf.DUMMYFUNCTION("""COMPUTED_VALUE"""),14)</f>
        <v>14</v>
      </c>
      <c r="N185" s="1">
        <f ca="1">IFERROR(__xludf.DUMMYFUNCTION("""COMPUTED_VALUE"""),2424)</f>
        <v>2424</v>
      </c>
      <c r="O185" s="1">
        <f ca="1">IFERROR(__xludf.DUMMYFUNCTION("""COMPUTED_VALUE"""),2583)</f>
        <v>2583</v>
      </c>
      <c r="P185" s="1">
        <f ca="1">IFERROR(__xludf.DUMMYFUNCTION("""COMPUTED_VALUE"""),1380)</f>
        <v>1380</v>
      </c>
      <c r="Q185" s="1">
        <f ca="1">IFERROR(__xludf.DUMMYFUNCTION("""COMPUTED_VALUE"""),854)</f>
        <v>854</v>
      </c>
      <c r="R185" s="1">
        <f ca="1">IFERROR(__xludf.DUMMYFUNCTION("""COMPUTED_VALUE"""),2013)</f>
        <v>2013</v>
      </c>
      <c r="S185" s="1">
        <f ca="1">IFERROR(__xludf.DUMMYFUNCTION("""COMPUTED_VALUE"""),0.424)</f>
        <v>0.42399999999999999</v>
      </c>
      <c r="T185" s="1">
        <f ca="1">IFERROR(__xludf.DUMMYFUNCTION("""COMPUTED_VALUE"""),262)</f>
        <v>262</v>
      </c>
      <c r="U185" s="1">
        <f ca="1">IFERROR(__xludf.DUMMYFUNCTION("""COMPUTED_VALUE"""),765)</f>
        <v>765</v>
      </c>
      <c r="V185" s="1">
        <f ca="1">IFERROR(__xludf.DUMMYFUNCTION("""COMPUTED_VALUE"""),0.342)</f>
        <v>0.34200000000000003</v>
      </c>
      <c r="W185" s="1">
        <f ca="1">IFERROR(__xludf.DUMMYFUNCTION("""COMPUTED_VALUE"""),456)</f>
        <v>456</v>
      </c>
      <c r="X185" s="1">
        <f ca="1">IFERROR(__xludf.DUMMYFUNCTION("""COMPUTED_VALUE"""),668)</f>
        <v>668</v>
      </c>
      <c r="Y185" s="1">
        <f ca="1">IFERROR(__xludf.DUMMYFUNCTION("""COMPUTED_VALUE"""),0.683)</f>
        <v>0.68300000000000005</v>
      </c>
      <c r="Z185" s="1">
        <f ca="1">IFERROR(__xludf.DUMMYFUNCTION("""COMPUTED_VALUE"""),350)</f>
        <v>350</v>
      </c>
      <c r="AA185" s="1">
        <f ca="1">IFERROR(__xludf.DUMMYFUNCTION("""COMPUTED_VALUE"""),1142)</f>
        <v>1142</v>
      </c>
      <c r="AB185" s="1">
        <f ca="1">IFERROR(__xludf.DUMMYFUNCTION("""COMPUTED_VALUE"""),449)</f>
        <v>449</v>
      </c>
      <c r="AC185" s="1">
        <f ca="1">IFERROR(__xludf.DUMMYFUNCTION("""COMPUTED_VALUE"""),193)</f>
        <v>193</v>
      </c>
      <c r="AD185" s="1">
        <f ca="1">IFERROR(__xludf.DUMMYFUNCTION("""COMPUTED_VALUE"""),89)</f>
        <v>89</v>
      </c>
      <c r="AE185" s="1">
        <f ca="1">IFERROR(__xludf.DUMMYFUNCTION("""COMPUTED_VALUE"""),425)</f>
        <v>425</v>
      </c>
      <c r="AF185" s="1">
        <f ca="1">IFERROR(__xludf.DUMMYFUNCTION("""COMPUTED_VALUE"""),665)</f>
        <v>665</v>
      </c>
    </row>
    <row r="186" spans="1:32" ht="12.5" x14ac:dyDescent="0.25">
      <c r="A186" s="1" t="str">
        <f ca="1">IFERROR(__xludf.DUMMYFUNCTION("""COMPUTED_VALUE"""),"MarylandNCAA")</f>
        <v>MarylandNCAA</v>
      </c>
      <c r="B186" s="1">
        <f ca="1">IFERROR(__xludf.DUMMYFUNCTION("""COMPUTED_VALUE"""),33)</f>
        <v>33</v>
      </c>
      <c r="C186" s="1">
        <f ca="1">IFERROR(__xludf.DUMMYFUNCTION("""COMPUTED_VALUE"""),24)</f>
        <v>24</v>
      </c>
      <c r="D186" s="1">
        <f ca="1">IFERROR(__xludf.DUMMYFUNCTION("""COMPUTED_VALUE"""),9)</f>
        <v>9</v>
      </c>
      <c r="E186" s="1">
        <f ca="1">IFERROR(__xludf.DUMMYFUNCTION("""COMPUTED_VALUE"""),0.727)</f>
        <v>0.72699999999999998</v>
      </c>
      <c r="F186" s="1">
        <f ca="1">IFERROR(__xludf.DUMMYFUNCTION("""COMPUTED_VALUE"""),12.79)</f>
        <v>12.79</v>
      </c>
      <c r="G186" s="1">
        <f ca="1">IFERROR(__xludf.DUMMYFUNCTION("""COMPUTED_VALUE"""),8.29)</f>
        <v>8.2899999999999991</v>
      </c>
      <c r="H186" s="1">
        <f ca="1">IFERROR(__xludf.DUMMYFUNCTION("""COMPUTED_VALUE"""),12)</f>
        <v>12</v>
      </c>
      <c r="I186" s="1">
        <f ca="1">IFERROR(__xludf.DUMMYFUNCTION("""COMPUTED_VALUE"""),6)</f>
        <v>6</v>
      </c>
      <c r="J186" s="1">
        <f ca="1">IFERROR(__xludf.DUMMYFUNCTION("""COMPUTED_VALUE"""),13)</f>
        <v>13</v>
      </c>
      <c r="K186" s="1">
        <f ca="1">IFERROR(__xludf.DUMMYFUNCTION("""COMPUTED_VALUE"""),5)</f>
        <v>5</v>
      </c>
      <c r="L186" s="1">
        <f ca="1">IFERROR(__xludf.DUMMYFUNCTION("""COMPUTED_VALUE"""),8)</f>
        <v>8</v>
      </c>
      <c r="M186" s="1">
        <f ca="1">IFERROR(__xludf.DUMMYFUNCTION("""COMPUTED_VALUE"""),2)</f>
        <v>2</v>
      </c>
      <c r="N186" s="1">
        <f ca="1">IFERROR(__xludf.DUMMYFUNCTION("""COMPUTED_VALUE"""),2438)</f>
        <v>2438</v>
      </c>
      <c r="O186" s="1">
        <f ca="1">IFERROR(__xludf.DUMMYFUNCTION("""COMPUTED_VALUE"""),2246)</f>
        <v>2246</v>
      </c>
      <c r="P186" s="1">
        <f ca="1">IFERROR(__xludf.DUMMYFUNCTION("""COMPUTED_VALUE"""),1325)</f>
        <v>1325</v>
      </c>
      <c r="Q186" s="1">
        <f ca="1">IFERROR(__xludf.DUMMYFUNCTION("""COMPUTED_VALUE"""),827)</f>
        <v>827</v>
      </c>
      <c r="R186" s="1">
        <f ca="1">IFERROR(__xludf.DUMMYFUNCTION("""COMPUTED_VALUE"""),1840)</f>
        <v>1840</v>
      </c>
      <c r="S186" s="1">
        <f ca="1">IFERROR(__xludf.DUMMYFUNCTION("""COMPUTED_VALUE"""),0.449)</f>
        <v>0.44900000000000001</v>
      </c>
      <c r="T186" s="1">
        <f ca="1">IFERROR(__xludf.DUMMYFUNCTION("""COMPUTED_VALUE"""),272)</f>
        <v>272</v>
      </c>
      <c r="U186" s="1">
        <f ca="1">IFERROR(__xludf.DUMMYFUNCTION("""COMPUTED_VALUE"""),757)</f>
        <v>757</v>
      </c>
      <c r="V186" s="1">
        <f ca="1">IFERROR(__xludf.DUMMYFUNCTION("""COMPUTED_VALUE"""),0.359)</f>
        <v>0.35899999999999999</v>
      </c>
      <c r="W186" s="1">
        <f ca="1">IFERROR(__xludf.DUMMYFUNCTION("""COMPUTED_VALUE"""),512)</f>
        <v>512</v>
      </c>
      <c r="X186" s="1">
        <f ca="1">IFERROR(__xludf.DUMMYFUNCTION("""COMPUTED_VALUE"""),732)</f>
        <v>732</v>
      </c>
      <c r="Y186" s="1">
        <f ca="1">IFERROR(__xludf.DUMMYFUNCTION("""COMPUTED_VALUE"""),0.699)</f>
        <v>0.69899999999999995</v>
      </c>
      <c r="Z186" s="1">
        <f ca="1">IFERROR(__xludf.DUMMYFUNCTION("""COMPUTED_VALUE"""),351)</f>
        <v>351</v>
      </c>
      <c r="AA186" s="1">
        <f ca="1">IFERROR(__xludf.DUMMYFUNCTION("""COMPUTED_VALUE"""),1173)</f>
        <v>1173</v>
      </c>
      <c r="AB186" s="1">
        <f ca="1">IFERROR(__xludf.DUMMYFUNCTION("""COMPUTED_VALUE"""),472)</f>
        <v>472</v>
      </c>
      <c r="AC186" s="1">
        <f ca="1">IFERROR(__xludf.DUMMYFUNCTION("""COMPUTED_VALUE"""),180)</f>
        <v>180</v>
      </c>
      <c r="AD186" s="1">
        <f ca="1">IFERROR(__xludf.DUMMYFUNCTION("""COMPUTED_VALUE"""),154)</f>
        <v>154</v>
      </c>
      <c r="AE186" s="1">
        <f ca="1">IFERROR(__xludf.DUMMYFUNCTION("""COMPUTED_VALUE"""),426)</f>
        <v>426</v>
      </c>
      <c r="AF186" s="1">
        <f ca="1">IFERROR(__xludf.DUMMYFUNCTION("""COMPUTED_VALUE"""),613)</f>
        <v>613</v>
      </c>
    </row>
    <row r="187" spans="1:32" ht="12.5" x14ac:dyDescent="0.25">
      <c r="A187" s="1" t="str">
        <f ca="1">IFERROR(__xludf.DUMMYFUNCTION("""COMPUTED_VALUE"""),"Massachusetts-Lowell")</f>
        <v>Massachusetts-Lowell</v>
      </c>
      <c r="B187" s="1">
        <f ca="1">IFERROR(__xludf.DUMMYFUNCTION("""COMPUTED_VALUE"""),31)</f>
        <v>31</v>
      </c>
      <c r="C187" s="1">
        <f ca="1">IFERROR(__xludf.DUMMYFUNCTION("""COMPUTED_VALUE"""),11)</f>
        <v>11</v>
      </c>
      <c r="D187" s="1">
        <f ca="1">IFERROR(__xludf.DUMMYFUNCTION("""COMPUTED_VALUE"""),20)</f>
        <v>20</v>
      </c>
      <c r="E187" s="1">
        <f ca="1">IFERROR(__xludf.DUMMYFUNCTION("""COMPUTED_VALUE"""),0.355)</f>
        <v>0.35499999999999998</v>
      </c>
      <c r="F187" s="1">
        <f ca="1">IFERROR(__xludf.DUMMYFUNCTION("""COMPUTED_VALUE"""),-10.13)</f>
        <v>-10.130000000000001</v>
      </c>
      <c r="G187" s="1">
        <f ca="1">IFERROR(__xludf.DUMMYFUNCTION("""COMPUTED_VALUE"""),-6.4)</f>
        <v>-6.4</v>
      </c>
      <c r="H187" s="1">
        <f ca="1">IFERROR(__xludf.DUMMYFUNCTION("""COMPUTED_VALUE"""),5)</f>
        <v>5</v>
      </c>
      <c r="I187" s="1">
        <f ca="1">IFERROR(__xludf.DUMMYFUNCTION("""COMPUTED_VALUE"""),11)</f>
        <v>11</v>
      </c>
      <c r="J187" s="1">
        <f ca="1">IFERROR(__xludf.DUMMYFUNCTION("""COMPUTED_VALUE"""),8)</f>
        <v>8</v>
      </c>
      <c r="K187" s="1">
        <f ca="1">IFERROR(__xludf.DUMMYFUNCTION("""COMPUTED_VALUE"""),6)</f>
        <v>6</v>
      </c>
      <c r="L187" s="1">
        <f ca="1">IFERROR(__xludf.DUMMYFUNCTION("""COMPUTED_VALUE"""),2)</f>
        <v>2</v>
      </c>
      <c r="M187" s="1">
        <f ca="1">IFERROR(__xludf.DUMMYFUNCTION("""COMPUTED_VALUE"""),14)</f>
        <v>14</v>
      </c>
      <c r="N187" s="1">
        <f ca="1">IFERROR(__xludf.DUMMYFUNCTION("""COMPUTED_VALUE"""),2429)</f>
        <v>2429</v>
      </c>
      <c r="O187" s="1">
        <f ca="1">IFERROR(__xludf.DUMMYFUNCTION("""COMPUTED_VALUE"""),2517)</f>
        <v>2517</v>
      </c>
      <c r="P187" s="1">
        <f ca="1">IFERROR(__xludf.DUMMYFUNCTION("""COMPUTED_VALUE"""),1255)</f>
        <v>1255</v>
      </c>
      <c r="Q187" s="1">
        <f ca="1">IFERROR(__xludf.DUMMYFUNCTION("""COMPUTED_VALUE"""),877)</f>
        <v>877</v>
      </c>
      <c r="R187" s="1">
        <f ca="1">IFERROR(__xludf.DUMMYFUNCTION("""COMPUTED_VALUE"""),1825)</f>
        <v>1825</v>
      </c>
      <c r="S187" s="1">
        <f ca="1">IFERROR(__xludf.DUMMYFUNCTION("""COMPUTED_VALUE"""),0.481)</f>
        <v>0.48099999999999998</v>
      </c>
      <c r="T187" s="1">
        <f ca="1">IFERROR(__xludf.DUMMYFUNCTION("""COMPUTED_VALUE"""),258)</f>
        <v>258</v>
      </c>
      <c r="U187" s="1">
        <f ca="1">IFERROR(__xludf.DUMMYFUNCTION("""COMPUTED_VALUE"""),662)</f>
        <v>662</v>
      </c>
      <c r="V187" s="1">
        <f ca="1">IFERROR(__xludf.DUMMYFUNCTION("""COMPUTED_VALUE"""),0.39)</f>
        <v>0.39</v>
      </c>
      <c r="W187" s="1">
        <f ca="1">IFERROR(__xludf.DUMMYFUNCTION("""COMPUTED_VALUE"""),417)</f>
        <v>417</v>
      </c>
      <c r="X187" s="1">
        <f ca="1">IFERROR(__xludf.DUMMYFUNCTION("""COMPUTED_VALUE"""),567)</f>
        <v>567</v>
      </c>
      <c r="Y187" s="1">
        <f ca="1">IFERROR(__xludf.DUMMYFUNCTION("""COMPUTED_VALUE"""),0.735)</f>
        <v>0.73499999999999999</v>
      </c>
      <c r="Z187" s="1">
        <f ca="1">IFERROR(__xludf.DUMMYFUNCTION("""COMPUTED_VALUE"""),280)</f>
        <v>280</v>
      </c>
      <c r="AA187" s="1">
        <f ca="1">IFERROR(__xludf.DUMMYFUNCTION("""COMPUTED_VALUE"""),1038)</f>
        <v>1038</v>
      </c>
      <c r="AB187" s="1">
        <f ca="1">IFERROR(__xludf.DUMMYFUNCTION("""COMPUTED_VALUE"""),495)</f>
        <v>495</v>
      </c>
      <c r="AC187" s="1">
        <f ca="1">IFERROR(__xludf.DUMMYFUNCTION("""COMPUTED_VALUE"""),171)</f>
        <v>171</v>
      </c>
      <c r="AD187" s="1">
        <f ca="1">IFERROR(__xludf.DUMMYFUNCTION("""COMPUTED_VALUE"""),64)</f>
        <v>64</v>
      </c>
      <c r="AE187" s="1">
        <f ca="1">IFERROR(__xludf.DUMMYFUNCTION("""COMPUTED_VALUE"""),474)</f>
        <v>474</v>
      </c>
      <c r="AF187" s="1">
        <f ca="1">IFERROR(__xludf.DUMMYFUNCTION("""COMPUTED_VALUE"""),622)</f>
        <v>622</v>
      </c>
    </row>
    <row r="188" spans="1:32" ht="12.5" x14ac:dyDescent="0.25">
      <c r="A188" s="1" t="str">
        <f ca="1">IFERROR(__xludf.DUMMYFUNCTION("""COMPUTED_VALUE"""),"Massachusetts")</f>
        <v>Massachusetts</v>
      </c>
      <c r="B188" s="1">
        <f ca="1">IFERROR(__xludf.DUMMYFUNCTION("""COMPUTED_VALUE"""),33)</f>
        <v>33</v>
      </c>
      <c r="C188" s="1">
        <f ca="1">IFERROR(__xludf.DUMMYFUNCTION("""COMPUTED_VALUE"""),15)</f>
        <v>15</v>
      </c>
      <c r="D188" s="1">
        <f ca="1">IFERROR(__xludf.DUMMYFUNCTION("""COMPUTED_VALUE"""),18)</f>
        <v>18</v>
      </c>
      <c r="E188" s="1">
        <f ca="1">IFERROR(__xludf.DUMMYFUNCTION("""COMPUTED_VALUE"""),0.455)</f>
        <v>0.45500000000000002</v>
      </c>
      <c r="F188" s="1">
        <f ca="1">IFERROR(__xludf.DUMMYFUNCTION("""COMPUTED_VALUE"""),1.63)</f>
        <v>1.63</v>
      </c>
      <c r="G188" s="1">
        <f ca="1">IFERROR(__xludf.DUMMYFUNCTION("""COMPUTED_VALUE"""),1.66)</f>
        <v>1.66</v>
      </c>
      <c r="H188" s="1">
        <f ca="1">IFERROR(__xludf.DUMMYFUNCTION("""COMPUTED_VALUE"""),4)</f>
        <v>4</v>
      </c>
      <c r="I188" s="1">
        <f ca="1">IFERROR(__xludf.DUMMYFUNCTION("""COMPUTED_VALUE"""),14)</f>
        <v>14</v>
      </c>
      <c r="J188" s="1">
        <f ca="1">IFERROR(__xludf.DUMMYFUNCTION("""COMPUTED_VALUE"""),11)</f>
        <v>11</v>
      </c>
      <c r="K188" s="1">
        <f ca="1">IFERROR(__xludf.DUMMYFUNCTION("""COMPUTED_VALUE"""),7)</f>
        <v>7</v>
      </c>
      <c r="L188" s="1">
        <f ca="1">IFERROR(__xludf.DUMMYFUNCTION("""COMPUTED_VALUE"""),3)</f>
        <v>3</v>
      </c>
      <c r="M188" s="1">
        <f ca="1">IFERROR(__xludf.DUMMYFUNCTION("""COMPUTED_VALUE"""),10)</f>
        <v>10</v>
      </c>
      <c r="N188" s="1">
        <f ca="1">IFERROR(__xludf.DUMMYFUNCTION("""COMPUTED_VALUE"""),2371)</f>
        <v>2371</v>
      </c>
      <c r="O188" s="1">
        <f ca="1">IFERROR(__xludf.DUMMYFUNCTION("""COMPUTED_VALUE"""),2372)</f>
        <v>2372</v>
      </c>
      <c r="P188" s="1">
        <f ca="1">IFERROR(__xludf.DUMMYFUNCTION("""COMPUTED_VALUE"""),1320)</f>
        <v>1320</v>
      </c>
      <c r="Q188" s="1">
        <f ca="1">IFERROR(__xludf.DUMMYFUNCTION("""COMPUTED_VALUE"""),847)</f>
        <v>847</v>
      </c>
      <c r="R188" s="1">
        <f ca="1">IFERROR(__xludf.DUMMYFUNCTION("""COMPUTED_VALUE"""),1939)</f>
        <v>1939</v>
      </c>
      <c r="S188" s="1">
        <f ca="1">IFERROR(__xludf.DUMMYFUNCTION("""COMPUTED_VALUE"""),0.437)</f>
        <v>0.437</v>
      </c>
      <c r="T188" s="1">
        <f ca="1">IFERROR(__xludf.DUMMYFUNCTION("""COMPUTED_VALUE"""),234)</f>
        <v>234</v>
      </c>
      <c r="U188" s="1">
        <f ca="1">IFERROR(__xludf.DUMMYFUNCTION("""COMPUTED_VALUE"""),789)</f>
        <v>789</v>
      </c>
      <c r="V188" s="1">
        <f ca="1">IFERROR(__xludf.DUMMYFUNCTION("""COMPUTED_VALUE"""),0.297)</f>
        <v>0.29699999999999999</v>
      </c>
      <c r="W188" s="1">
        <f ca="1">IFERROR(__xludf.DUMMYFUNCTION("""COMPUTED_VALUE"""),443)</f>
        <v>443</v>
      </c>
      <c r="X188" s="1">
        <f ca="1">IFERROR(__xludf.DUMMYFUNCTION("""COMPUTED_VALUE"""),671)</f>
        <v>671</v>
      </c>
      <c r="Y188" s="1">
        <f ca="1">IFERROR(__xludf.DUMMYFUNCTION("""COMPUTED_VALUE"""),0.66)</f>
        <v>0.66</v>
      </c>
      <c r="Z188" s="1">
        <f ca="1">IFERROR(__xludf.DUMMYFUNCTION("""COMPUTED_VALUE"""),333)</f>
        <v>333</v>
      </c>
      <c r="AA188" s="1">
        <f ca="1">IFERROR(__xludf.DUMMYFUNCTION("""COMPUTED_VALUE"""),1185)</f>
        <v>1185</v>
      </c>
      <c r="AB188" s="1">
        <f ca="1">IFERROR(__xludf.DUMMYFUNCTION("""COMPUTED_VALUE"""),529)</f>
        <v>529</v>
      </c>
      <c r="AC188" s="1">
        <f ca="1">IFERROR(__xludf.DUMMYFUNCTION("""COMPUTED_VALUE"""),250)</f>
        <v>250</v>
      </c>
      <c r="AD188" s="1">
        <f ca="1">IFERROR(__xludf.DUMMYFUNCTION("""COMPUTED_VALUE"""),169)</f>
        <v>169</v>
      </c>
      <c r="AE188" s="1">
        <f ca="1">IFERROR(__xludf.DUMMYFUNCTION("""COMPUTED_VALUE"""),489)</f>
        <v>489</v>
      </c>
      <c r="AF188" s="1">
        <f ca="1">IFERROR(__xludf.DUMMYFUNCTION("""COMPUTED_VALUE"""),722)</f>
        <v>722</v>
      </c>
    </row>
    <row r="189" spans="1:32" ht="12.5" x14ac:dyDescent="0.25">
      <c r="A189" s="1" t="str">
        <f ca="1">IFERROR(__xludf.DUMMYFUNCTION("""COMPUTED_VALUE"""),"McNeese State")</f>
        <v>McNeese State</v>
      </c>
      <c r="B189" s="1">
        <f ca="1">IFERROR(__xludf.DUMMYFUNCTION("""COMPUTED_VALUE"""),29)</f>
        <v>29</v>
      </c>
      <c r="C189" s="1">
        <f ca="1">IFERROR(__xludf.DUMMYFUNCTION("""COMPUTED_VALUE"""),7)</f>
        <v>7</v>
      </c>
      <c r="D189" s="1">
        <f ca="1">IFERROR(__xludf.DUMMYFUNCTION("""COMPUTED_VALUE"""),22)</f>
        <v>22</v>
      </c>
      <c r="E189" s="1">
        <f ca="1">IFERROR(__xludf.DUMMYFUNCTION("""COMPUTED_VALUE"""),0.241)</f>
        <v>0.24099999999999999</v>
      </c>
      <c r="F189" s="1">
        <f ca="1">IFERROR(__xludf.DUMMYFUNCTION("""COMPUTED_VALUE"""),-14.28)</f>
        <v>-14.28</v>
      </c>
      <c r="G189" s="1">
        <f ca="1">IFERROR(__xludf.DUMMYFUNCTION("""COMPUTED_VALUE"""),-4.12)</f>
        <v>-4.12</v>
      </c>
      <c r="H189" s="1">
        <f ca="1">IFERROR(__xludf.DUMMYFUNCTION("""COMPUTED_VALUE"""),4)</f>
        <v>4</v>
      </c>
      <c r="I189" s="1">
        <f ca="1">IFERROR(__xludf.DUMMYFUNCTION("""COMPUTED_VALUE"""),14)</f>
        <v>14</v>
      </c>
      <c r="J189" s="1">
        <f ca="1">IFERROR(__xludf.DUMMYFUNCTION("""COMPUTED_VALUE"""),4)</f>
        <v>4</v>
      </c>
      <c r="K189" s="1">
        <f ca="1">IFERROR(__xludf.DUMMYFUNCTION("""COMPUTED_VALUE"""),10)</f>
        <v>10</v>
      </c>
      <c r="L189" s="1">
        <f ca="1">IFERROR(__xludf.DUMMYFUNCTION("""COMPUTED_VALUE"""),3)</f>
        <v>3</v>
      </c>
      <c r="M189" s="1">
        <f ca="1">IFERROR(__xludf.DUMMYFUNCTION("""COMPUTED_VALUE"""),12)</f>
        <v>12</v>
      </c>
      <c r="N189" s="1">
        <f ca="1">IFERROR(__xludf.DUMMYFUNCTION("""COMPUTED_VALUE"""),2043)</f>
        <v>2043</v>
      </c>
      <c r="O189" s="1">
        <f ca="1">IFERROR(__xludf.DUMMYFUNCTION("""COMPUTED_VALUE"""),2292)</f>
        <v>2292</v>
      </c>
      <c r="P189" s="1">
        <f ca="1">IFERROR(__xludf.DUMMYFUNCTION("""COMPUTED_VALUE"""),1165)</f>
        <v>1165</v>
      </c>
      <c r="Q189" s="1">
        <f ca="1">IFERROR(__xludf.DUMMYFUNCTION("""COMPUTED_VALUE"""),715)</f>
        <v>715</v>
      </c>
      <c r="R189" s="1">
        <f ca="1">IFERROR(__xludf.DUMMYFUNCTION("""COMPUTED_VALUE"""),1697)</f>
        <v>1697</v>
      </c>
      <c r="S189" s="1">
        <f ca="1">IFERROR(__xludf.DUMMYFUNCTION("""COMPUTED_VALUE"""),0.421)</f>
        <v>0.42099999999999999</v>
      </c>
      <c r="T189" s="1">
        <f ca="1">IFERROR(__xludf.DUMMYFUNCTION("""COMPUTED_VALUE"""),195)</f>
        <v>195</v>
      </c>
      <c r="U189" s="1">
        <f ca="1">IFERROR(__xludf.DUMMYFUNCTION("""COMPUTED_VALUE"""),587)</f>
        <v>587</v>
      </c>
      <c r="V189" s="1">
        <f ca="1">IFERROR(__xludf.DUMMYFUNCTION("""COMPUTED_VALUE"""),0.332)</f>
        <v>0.33200000000000002</v>
      </c>
      <c r="W189" s="1">
        <f ca="1">IFERROR(__xludf.DUMMYFUNCTION("""COMPUTED_VALUE"""),418)</f>
        <v>418</v>
      </c>
      <c r="X189" s="1">
        <f ca="1">IFERROR(__xludf.DUMMYFUNCTION("""COMPUTED_VALUE"""),610)</f>
        <v>610</v>
      </c>
      <c r="Y189" s="1">
        <f ca="1">IFERROR(__xludf.DUMMYFUNCTION("""COMPUTED_VALUE"""),0.685)</f>
        <v>0.68500000000000005</v>
      </c>
      <c r="Z189" s="1">
        <f ca="1">IFERROR(__xludf.DUMMYFUNCTION("""COMPUTED_VALUE"""),285)</f>
        <v>285</v>
      </c>
      <c r="AA189" s="1">
        <f ca="1">IFERROR(__xludf.DUMMYFUNCTION("""COMPUTED_VALUE"""),977)</f>
        <v>977</v>
      </c>
      <c r="AB189" s="1">
        <f ca="1">IFERROR(__xludf.DUMMYFUNCTION("""COMPUTED_VALUE"""),302)</f>
        <v>302</v>
      </c>
      <c r="AC189" s="1">
        <f ca="1">IFERROR(__xludf.DUMMYFUNCTION("""COMPUTED_VALUE"""),159)</f>
        <v>159</v>
      </c>
      <c r="AD189" s="1">
        <f ca="1">IFERROR(__xludf.DUMMYFUNCTION("""COMPUTED_VALUE"""),91)</f>
        <v>91</v>
      </c>
      <c r="AE189" s="1">
        <f ca="1">IFERROR(__xludf.DUMMYFUNCTION("""COMPUTED_VALUE"""),403)</f>
        <v>403</v>
      </c>
      <c r="AF189" s="1">
        <f ca="1">IFERROR(__xludf.DUMMYFUNCTION("""COMPUTED_VALUE"""),573)</f>
        <v>573</v>
      </c>
    </row>
    <row r="190" spans="1:32" ht="12.5" x14ac:dyDescent="0.25">
      <c r="A190" s="1" t="str">
        <f ca="1">IFERROR(__xludf.DUMMYFUNCTION("""COMPUTED_VALUE"""),"Memphis")</f>
        <v>Memphis</v>
      </c>
      <c r="B190" s="1">
        <f ca="1">IFERROR(__xludf.DUMMYFUNCTION("""COMPUTED_VALUE"""),32)</f>
        <v>32</v>
      </c>
      <c r="C190" s="1">
        <f ca="1">IFERROR(__xludf.DUMMYFUNCTION("""COMPUTED_VALUE"""),19)</f>
        <v>19</v>
      </c>
      <c r="D190" s="1">
        <f ca="1">IFERROR(__xludf.DUMMYFUNCTION("""COMPUTED_VALUE"""),13)</f>
        <v>13</v>
      </c>
      <c r="E190" s="1">
        <f ca="1">IFERROR(__xludf.DUMMYFUNCTION("""COMPUTED_VALUE"""),0.594)</f>
        <v>0.59399999999999997</v>
      </c>
      <c r="F190" s="1">
        <f ca="1">IFERROR(__xludf.DUMMYFUNCTION("""COMPUTED_VALUE"""),6.47)</f>
        <v>6.47</v>
      </c>
      <c r="G190" s="1">
        <f ca="1">IFERROR(__xludf.DUMMYFUNCTION("""COMPUTED_VALUE"""),3.19)</f>
        <v>3.19</v>
      </c>
      <c r="H190" s="1">
        <f ca="1">IFERROR(__xludf.DUMMYFUNCTION("""COMPUTED_VALUE"""),9)</f>
        <v>9</v>
      </c>
      <c r="I190" s="1">
        <f ca="1">IFERROR(__xludf.DUMMYFUNCTION("""COMPUTED_VALUE"""),9)</f>
        <v>9</v>
      </c>
      <c r="J190" s="1">
        <f ca="1">IFERROR(__xludf.DUMMYFUNCTION("""COMPUTED_VALUE"""),14)</f>
        <v>14</v>
      </c>
      <c r="K190" s="1">
        <f ca="1">IFERROR(__xludf.DUMMYFUNCTION("""COMPUTED_VALUE"""),4)</f>
        <v>4</v>
      </c>
      <c r="L190" s="1">
        <f ca="1">IFERROR(__xludf.DUMMYFUNCTION("""COMPUTED_VALUE"""),4)</f>
        <v>4</v>
      </c>
      <c r="M190" s="1">
        <f ca="1">IFERROR(__xludf.DUMMYFUNCTION("""COMPUTED_VALUE"""),7)</f>
        <v>7</v>
      </c>
      <c r="N190" s="1">
        <f ca="1">IFERROR(__xludf.DUMMYFUNCTION("""COMPUTED_VALUE"""),2367)</f>
        <v>2367</v>
      </c>
      <c r="O190" s="1">
        <f ca="1">IFERROR(__xludf.DUMMYFUNCTION("""COMPUTED_VALUE"""),2262)</f>
        <v>2262</v>
      </c>
      <c r="P190" s="1">
        <f ca="1">IFERROR(__xludf.DUMMYFUNCTION("""COMPUTED_VALUE"""),1290)</f>
        <v>1290</v>
      </c>
      <c r="Q190" s="1">
        <f ca="1">IFERROR(__xludf.DUMMYFUNCTION("""COMPUTED_VALUE"""),852)</f>
        <v>852</v>
      </c>
      <c r="R190" s="1">
        <f ca="1">IFERROR(__xludf.DUMMYFUNCTION("""COMPUTED_VALUE"""),1926)</f>
        <v>1926</v>
      </c>
      <c r="S190" s="1">
        <f ca="1">IFERROR(__xludf.DUMMYFUNCTION("""COMPUTED_VALUE"""),0.442)</f>
        <v>0.442</v>
      </c>
      <c r="T190" s="1">
        <f ca="1">IFERROR(__xludf.DUMMYFUNCTION("""COMPUTED_VALUE"""),181)</f>
        <v>181</v>
      </c>
      <c r="U190" s="1">
        <f ca="1">IFERROR(__xludf.DUMMYFUNCTION("""COMPUTED_VALUE"""),613)</f>
        <v>613</v>
      </c>
      <c r="V190" s="1">
        <f ca="1">IFERROR(__xludf.DUMMYFUNCTION("""COMPUTED_VALUE"""),0.295)</f>
        <v>0.29499999999999998</v>
      </c>
      <c r="W190" s="1">
        <f ca="1">IFERROR(__xludf.DUMMYFUNCTION("""COMPUTED_VALUE"""),482)</f>
        <v>482</v>
      </c>
      <c r="X190" s="1">
        <f ca="1">IFERROR(__xludf.DUMMYFUNCTION("""COMPUTED_VALUE"""),706)</f>
        <v>706</v>
      </c>
      <c r="Y190" s="1">
        <f ca="1">IFERROR(__xludf.DUMMYFUNCTION("""COMPUTED_VALUE"""),0.683)</f>
        <v>0.68300000000000005</v>
      </c>
      <c r="Z190" s="1">
        <f ca="1">IFERROR(__xludf.DUMMYFUNCTION("""COMPUTED_VALUE"""),373)</f>
        <v>373</v>
      </c>
      <c r="AA190" s="1">
        <f ca="1">IFERROR(__xludf.DUMMYFUNCTION("""COMPUTED_VALUE"""),1172)</f>
        <v>1172</v>
      </c>
      <c r="AB190" s="1">
        <f ca="1">IFERROR(__xludf.DUMMYFUNCTION("""COMPUTED_VALUE"""),508)</f>
        <v>508</v>
      </c>
      <c r="AC190" s="1">
        <f ca="1">IFERROR(__xludf.DUMMYFUNCTION("""COMPUTED_VALUE"""),221)</f>
        <v>221</v>
      </c>
      <c r="AD190" s="1">
        <f ca="1">IFERROR(__xludf.DUMMYFUNCTION("""COMPUTED_VALUE"""),150)</f>
        <v>150</v>
      </c>
      <c r="AE190" s="1">
        <f ca="1">IFERROR(__xludf.DUMMYFUNCTION("""COMPUTED_VALUE"""),368)</f>
        <v>368</v>
      </c>
      <c r="AF190" s="1">
        <f ca="1">IFERROR(__xludf.DUMMYFUNCTION("""COMPUTED_VALUE"""),534)</f>
        <v>534</v>
      </c>
    </row>
    <row r="191" spans="1:32" ht="12.5" x14ac:dyDescent="0.25">
      <c r="A191" s="1" t="str">
        <f ca="1">IFERROR(__xludf.DUMMYFUNCTION("""COMPUTED_VALUE"""),"Mercer")</f>
        <v>Mercer</v>
      </c>
      <c r="B191" s="1">
        <f ca="1">IFERROR(__xludf.DUMMYFUNCTION("""COMPUTED_VALUE"""),32)</f>
        <v>32</v>
      </c>
      <c r="C191" s="1">
        <f ca="1">IFERROR(__xludf.DUMMYFUNCTION("""COMPUTED_VALUE"""),15)</f>
        <v>15</v>
      </c>
      <c r="D191" s="1">
        <f ca="1">IFERROR(__xludf.DUMMYFUNCTION("""COMPUTED_VALUE"""),17)</f>
        <v>17</v>
      </c>
      <c r="E191" s="1">
        <f ca="1">IFERROR(__xludf.DUMMYFUNCTION("""COMPUTED_VALUE"""),0.469)</f>
        <v>0.46899999999999997</v>
      </c>
      <c r="F191" s="1">
        <f ca="1">IFERROR(__xludf.DUMMYFUNCTION("""COMPUTED_VALUE"""),-1.12)</f>
        <v>-1.1200000000000001</v>
      </c>
      <c r="G191" s="1">
        <f ca="1">IFERROR(__xludf.DUMMYFUNCTION("""COMPUTED_VALUE"""),-0.92)</f>
        <v>-0.92</v>
      </c>
      <c r="H191" s="1">
        <f ca="1">IFERROR(__xludf.DUMMYFUNCTION("""COMPUTED_VALUE"""),9)</f>
        <v>9</v>
      </c>
      <c r="I191" s="1">
        <f ca="1">IFERROR(__xludf.DUMMYFUNCTION("""COMPUTED_VALUE"""),9)</f>
        <v>9</v>
      </c>
      <c r="J191" s="1">
        <f ca="1">IFERROR(__xludf.DUMMYFUNCTION("""COMPUTED_VALUE"""),8)</f>
        <v>8</v>
      </c>
      <c r="K191" s="1">
        <f ca="1">IFERROR(__xludf.DUMMYFUNCTION("""COMPUTED_VALUE"""),7)</f>
        <v>7</v>
      </c>
      <c r="L191" s="1">
        <f ca="1">IFERROR(__xludf.DUMMYFUNCTION("""COMPUTED_VALUE"""),6)</f>
        <v>6</v>
      </c>
      <c r="M191" s="1">
        <f ca="1">IFERROR(__xludf.DUMMYFUNCTION("""COMPUTED_VALUE"""),7)</f>
        <v>7</v>
      </c>
      <c r="N191" s="1">
        <f ca="1">IFERROR(__xludf.DUMMYFUNCTION("""COMPUTED_VALUE"""),2269)</f>
        <v>2269</v>
      </c>
      <c r="O191" s="1">
        <f ca="1">IFERROR(__xludf.DUMMYFUNCTION("""COMPUTED_VALUE"""),2184)</f>
        <v>2184</v>
      </c>
      <c r="P191" s="1">
        <f ca="1">IFERROR(__xludf.DUMMYFUNCTION("""COMPUTED_VALUE"""),1295)</f>
        <v>1295</v>
      </c>
      <c r="Q191" s="1">
        <f ca="1">IFERROR(__xludf.DUMMYFUNCTION("""COMPUTED_VALUE"""),787)</f>
        <v>787</v>
      </c>
      <c r="R191" s="1">
        <f ca="1">IFERROR(__xludf.DUMMYFUNCTION("""COMPUTED_VALUE"""),1774)</f>
        <v>1774</v>
      </c>
      <c r="S191" s="1">
        <f ca="1">IFERROR(__xludf.DUMMYFUNCTION("""COMPUTED_VALUE"""),0.444)</f>
        <v>0.44400000000000001</v>
      </c>
      <c r="T191" s="1">
        <f ca="1">IFERROR(__xludf.DUMMYFUNCTION("""COMPUTED_VALUE"""),244)</f>
        <v>244</v>
      </c>
      <c r="U191" s="1">
        <f ca="1">IFERROR(__xludf.DUMMYFUNCTION("""COMPUTED_VALUE"""),698)</f>
        <v>698</v>
      </c>
      <c r="V191" s="1">
        <f ca="1">IFERROR(__xludf.DUMMYFUNCTION("""COMPUTED_VALUE"""),0.35)</f>
        <v>0.35</v>
      </c>
      <c r="W191" s="1">
        <f ca="1">IFERROR(__xludf.DUMMYFUNCTION("""COMPUTED_VALUE"""),449)</f>
        <v>449</v>
      </c>
      <c r="X191" s="1">
        <f ca="1">IFERROR(__xludf.DUMMYFUNCTION("""COMPUTED_VALUE"""),574)</f>
        <v>574</v>
      </c>
      <c r="Y191" s="1">
        <f ca="1">IFERROR(__xludf.DUMMYFUNCTION("""COMPUTED_VALUE"""),0.782)</f>
        <v>0.78200000000000003</v>
      </c>
      <c r="Z191" s="1">
        <f ca="1">IFERROR(__xludf.DUMMYFUNCTION("""COMPUTED_VALUE"""),367)</f>
        <v>367</v>
      </c>
      <c r="AA191" s="1">
        <f ca="1">IFERROR(__xludf.DUMMYFUNCTION("""COMPUTED_VALUE"""),1174)</f>
        <v>1174</v>
      </c>
      <c r="AB191" s="1">
        <f ca="1">IFERROR(__xludf.DUMMYFUNCTION("""COMPUTED_VALUE"""),433)</f>
        <v>433</v>
      </c>
      <c r="AC191" s="1">
        <f ca="1">IFERROR(__xludf.DUMMYFUNCTION("""COMPUTED_VALUE"""),134)</f>
        <v>134</v>
      </c>
      <c r="AD191" s="1">
        <f ca="1">IFERROR(__xludf.DUMMYFUNCTION("""COMPUTED_VALUE"""),74)</f>
        <v>74</v>
      </c>
      <c r="AE191" s="1">
        <f ca="1">IFERROR(__xludf.DUMMYFUNCTION("""COMPUTED_VALUE"""),367)</f>
        <v>367</v>
      </c>
      <c r="AF191" s="1">
        <f ca="1">IFERROR(__xludf.DUMMYFUNCTION("""COMPUTED_VALUE"""),546)</f>
        <v>546</v>
      </c>
    </row>
    <row r="192" spans="1:32" ht="12.5" x14ac:dyDescent="0.25">
      <c r="A192" s="1" t="str">
        <f ca="1">IFERROR(__xludf.DUMMYFUNCTION("""COMPUTED_VALUE"""),"Miami (FL)NCAA")</f>
        <v>Miami (FL)NCAA</v>
      </c>
      <c r="B192" s="1">
        <f ca="1">IFERROR(__xludf.DUMMYFUNCTION("""COMPUTED_VALUE"""),33)</f>
        <v>33</v>
      </c>
      <c r="C192" s="1">
        <f ca="1">IFERROR(__xludf.DUMMYFUNCTION("""COMPUTED_VALUE"""),21)</f>
        <v>21</v>
      </c>
      <c r="D192" s="1">
        <f ca="1">IFERROR(__xludf.DUMMYFUNCTION("""COMPUTED_VALUE"""),12)</f>
        <v>12</v>
      </c>
      <c r="E192" s="1">
        <f ca="1">IFERROR(__xludf.DUMMYFUNCTION("""COMPUTED_VALUE"""),0.636)</f>
        <v>0.63600000000000001</v>
      </c>
      <c r="F192" s="1">
        <f ca="1">IFERROR(__xludf.DUMMYFUNCTION("""COMPUTED_VALUE"""),14.48)</f>
        <v>14.48</v>
      </c>
      <c r="G192" s="1">
        <f ca="1">IFERROR(__xludf.DUMMYFUNCTION("""COMPUTED_VALUE"""),9.57)</f>
        <v>9.57</v>
      </c>
      <c r="H192" s="1">
        <f ca="1">IFERROR(__xludf.DUMMYFUNCTION("""COMPUTED_VALUE"""),10)</f>
        <v>10</v>
      </c>
      <c r="I192" s="1">
        <f ca="1">IFERROR(__xludf.DUMMYFUNCTION("""COMPUTED_VALUE"""),8)</f>
        <v>8</v>
      </c>
      <c r="J192" s="1">
        <f ca="1">IFERROR(__xludf.DUMMYFUNCTION("""COMPUTED_VALUE"""),14)</f>
        <v>14</v>
      </c>
      <c r="K192" s="1">
        <f ca="1">IFERROR(__xludf.DUMMYFUNCTION("""COMPUTED_VALUE"""),2)</f>
        <v>2</v>
      </c>
      <c r="L192" s="1">
        <f ca="1">IFERROR(__xludf.DUMMYFUNCTION("""COMPUTED_VALUE"""),4)</f>
        <v>4</v>
      </c>
      <c r="M192" s="1">
        <f ca="1">IFERROR(__xludf.DUMMYFUNCTION("""COMPUTED_VALUE"""),6)</f>
        <v>6</v>
      </c>
      <c r="N192" s="1">
        <f ca="1">IFERROR(__xludf.DUMMYFUNCTION("""COMPUTED_VALUE"""),2278)</f>
        <v>2278</v>
      </c>
      <c r="O192" s="1">
        <f ca="1">IFERROR(__xludf.DUMMYFUNCTION("""COMPUTED_VALUE"""),2116)</f>
        <v>2116</v>
      </c>
      <c r="P192" s="1">
        <f ca="1">IFERROR(__xludf.DUMMYFUNCTION("""COMPUTED_VALUE"""),1325)</f>
        <v>1325</v>
      </c>
      <c r="Q192" s="1">
        <f ca="1">IFERROR(__xludf.DUMMYFUNCTION("""COMPUTED_VALUE"""),813)</f>
        <v>813</v>
      </c>
      <c r="R192" s="1">
        <f ca="1">IFERROR(__xludf.DUMMYFUNCTION("""COMPUTED_VALUE"""),1800)</f>
        <v>1800</v>
      </c>
      <c r="S192" s="1">
        <f ca="1">IFERROR(__xludf.DUMMYFUNCTION("""COMPUTED_VALUE"""),0.452)</f>
        <v>0.45200000000000001</v>
      </c>
      <c r="T192" s="1">
        <f ca="1">IFERROR(__xludf.DUMMYFUNCTION("""COMPUTED_VALUE"""),209)</f>
        <v>209</v>
      </c>
      <c r="U192" s="1">
        <f ca="1">IFERROR(__xludf.DUMMYFUNCTION("""COMPUTED_VALUE"""),587)</f>
        <v>587</v>
      </c>
      <c r="V192" s="1">
        <f ca="1">IFERROR(__xludf.DUMMYFUNCTION("""COMPUTED_VALUE"""),0.356)</f>
        <v>0.35599999999999998</v>
      </c>
      <c r="W192" s="1">
        <f ca="1">IFERROR(__xludf.DUMMYFUNCTION("""COMPUTED_VALUE"""),443)</f>
        <v>443</v>
      </c>
      <c r="X192" s="1">
        <f ca="1">IFERROR(__xludf.DUMMYFUNCTION("""COMPUTED_VALUE"""),617)</f>
        <v>617</v>
      </c>
      <c r="Y192" s="1">
        <f ca="1">IFERROR(__xludf.DUMMYFUNCTION("""COMPUTED_VALUE"""),0.718)</f>
        <v>0.71799999999999997</v>
      </c>
      <c r="Z192" s="1">
        <f ca="1">IFERROR(__xludf.DUMMYFUNCTION("""COMPUTED_VALUE"""),363)</f>
        <v>363</v>
      </c>
      <c r="AA192" s="1">
        <f ca="1">IFERROR(__xludf.DUMMYFUNCTION("""COMPUTED_VALUE"""),1176)</f>
        <v>1176</v>
      </c>
      <c r="AB192" s="1">
        <f ca="1">IFERROR(__xludf.DUMMYFUNCTION("""COMPUTED_VALUE"""),389)</f>
        <v>389</v>
      </c>
      <c r="AC192" s="1">
        <f ca="1">IFERROR(__xludf.DUMMYFUNCTION("""COMPUTED_VALUE"""),213)</f>
        <v>213</v>
      </c>
      <c r="AD192" s="1">
        <f ca="1">IFERROR(__xludf.DUMMYFUNCTION("""COMPUTED_VALUE"""),125)</f>
        <v>125</v>
      </c>
      <c r="AE192" s="1">
        <f ca="1">IFERROR(__xludf.DUMMYFUNCTION("""COMPUTED_VALUE"""),417)</f>
        <v>417</v>
      </c>
      <c r="AF192" s="1">
        <f ca="1">IFERROR(__xludf.DUMMYFUNCTION("""COMPUTED_VALUE"""),513)</f>
        <v>513</v>
      </c>
    </row>
    <row r="193" spans="1:32" ht="12.5" x14ac:dyDescent="0.25">
      <c r="A193" s="1" t="str">
        <f ca="1">IFERROR(__xludf.DUMMYFUNCTION("""COMPUTED_VALUE"""),"Miami (OH)")</f>
        <v>Miami (OH)</v>
      </c>
      <c r="B193" s="1">
        <f ca="1">IFERROR(__xludf.DUMMYFUNCTION("""COMPUTED_VALUE"""),32)</f>
        <v>32</v>
      </c>
      <c r="C193" s="1">
        <f ca="1">IFERROR(__xludf.DUMMYFUNCTION("""COMPUTED_VALUE"""),11)</f>
        <v>11</v>
      </c>
      <c r="D193" s="1">
        <f ca="1">IFERROR(__xludf.DUMMYFUNCTION("""COMPUTED_VALUE"""),21)</f>
        <v>21</v>
      </c>
      <c r="E193" s="1">
        <f ca="1">IFERROR(__xludf.DUMMYFUNCTION("""COMPUTED_VALUE"""),0.344)</f>
        <v>0.34399999999999997</v>
      </c>
      <c r="F193" s="1">
        <f ca="1">IFERROR(__xludf.DUMMYFUNCTION("""COMPUTED_VALUE"""),-8.16)</f>
        <v>-8.16</v>
      </c>
      <c r="G193" s="1">
        <f ca="1">IFERROR(__xludf.DUMMYFUNCTION("""COMPUTED_VALUE"""),-2.1)</f>
        <v>-2.1</v>
      </c>
      <c r="H193" s="1">
        <f ca="1">IFERROR(__xludf.DUMMYFUNCTION("""COMPUTED_VALUE"""),4)</f>
        <v>4</v>
      </c>
      <c r="I193" s="1">
        <f ca="1">IFERROR(__xludf.DUMMYFUNCTION("""COMPUTED_VALUE"""),14)</f>
        <v>14</v>
      </c>
      <c r="J193" s="1">
        <f ca="1">IFERROR(__xludf.DUMMYFUNCTION("""COMPUTED_VALUE"""),10)</f>
        <v>10</v>
      </c>
      <c r="K193" s="1">
        <f ca="1">IFERROR(__xludf.DUMMYFUNCTION("""COMPUTED_VALUE"""),8)</f>
        <v>8</v>
      </c>
      <c r="L193" s="1">
        <f ca="1">IFERROR(__xludf.DUMMYFUNCTION("""COMPUTED_VALUE"""),1)</f>
        <v>1</v>
      </c>
      <c r="M193" s="1">
        <f ca="1">IFERROR(__xludf.DUMMYFUNCTION("""COMPUTED_VALUE"""),13)</f>
        <v>13</v>
      </c>
      <c r="N193" s="1">
        <f ca="1">IFERROR(__xludf.DUMMYFUNCTION("""COMPUTED_VALUE"""),2249)</f>
        <v>2249</v>
      </c>
      <c r="O193" s="1">
        <f ca="1">IFERROR(__xludf.DUMMYFUNCTION("""COMPUTED_VALUE"""),2384)</f>
        <v>2384</v>
      </c>
      <c r="P193" s="1">
        <f ca="1">IFERROR(__xludf.DUMMYFUNCTION("""COMPUTED_VALUE"""),1290)</f>
        <v>1290</v>
      </c>
      <c r="Q193" s="1">
        <f ca="1">IFERROR(__xludf.DUMMYFUNCTION("""COMPUTED_VALUE"""),787)</f>
        <v>787</v>
      </c>
      <c r="R193" s="1">
        <f ca="1">IFERROR(__xludf.DUMMYFUNCTION("""COMPUTED_VALUE"""),1815)</f>
        <v>1815</v>
      </c>
      <c r="S193" s="1">
        <f ca="1">IFERROR(__xludf.DUMMYFUNCTION("""COMPUTED_VALUE"""),0.434)</f>
        <v>0.434</v>
      </c>
      <c r="T193" s="1">
        <f ca="1">IFERROR(__xludf.DUMMYFUNCTION("""COMPUTED_VALUE"""),199)</f>
        <v>199</v>
      </c>
      <c r="U193" s="1">
        <f ca="1">IFERROR(__xludf.DUMMYFUNCTION("""COMPUTED_VALUE"""),647)</f>
        <v>647</v>
      </c>
      <c r="V193" s="1">
        <f ca="1">IFERROR(__xludf.DUMMYFUNCTION("""COMPUTED_VALUE"""),0.308)</f>
        <v>0.308</v>
      </c>
      <c r="W193" s="1">
        <f ca="1">IFERROR(__xludf.DUMMYFUNCTION("""COMPUTED_VALUE"""),476)</f>
        <v>476</v>
      </c>
      <c r="X193" s="1">
        <f ca="1">IFERROR(__xludf.DUMMYFUNCTION("""COMPUTED_VALUE"""),689)</f>
        <v>689</v>
      </c>
      <c r="Y193" s="1">
        <f ca="1">IFERROR(__xludf.DUMMYFUNCTION("""COMPUTED_VALUE"""),0.691)</f>
        <v>0.69099999999999995</v>
      </c>
      <c r="Z193" s="1">
        <f ca="1">IFERROR(__xludf.DUMMYFUNCTION("""COMPUTED_VALUE"""),298)</f>
        <v>298</v>
      </c>
      <c r="AA193" s="1">
        <f ca="1">IFERROR(__xludf.DUMMYFUNCTION("""COMPUTED_VALUE"""),1091)</f>
        <v>1091</v>
      </c>
      <c r="AB193" s="1">
        <f ca="1">IFERROR(__xludf.DUMMYFUNCTION("""COMPUTED_VALUE"""),364)</f>
        <v>364</v>
      </c>
      <c r="AC193" s="1">
        <f ca="1">IFERROR(__xludf.DUMMYFUNCTION("""COMPUTED_VALUE"""),238)</f>
        <v>238</v>
      </c>
      <c r="AD193" s="1">
        <f ca="1">IFERROR(__xludf.DUMMYFUNCTION("""COMPUTED_VALUE"""),125)</f>
        <v>125</v>
      </c>
      <c r="AE193" s="1">
        <f ca="1">IFERROR(__xludf.DUMMYFUNCTION("""COMPUTED_VALUE"""),467)</f>
        <v>467</v>
      </c>
      <c r="AF193" s="1">
        <f ca="1">IFERROR(__xludf.DUMMYFUNCTION("""COMPUTED_VALUE"""),642)</f>
        <v>642</v>
      </c>
    </row>
    <row r="194" spans="1:32" ht="12.5" x14ac:dyDescent="0.25">
      <c r="A194" s="1" t="str">
        <f ca="1">IFERROR(__xludf.DUMMYFUNCTION("""COMPUTED_VALUE"""),"Michigan StateNCAA")</f>
        <v>Michigan StateNCAA</v>
      </c>
      <c r="B194" s="1">
        <f ca="1">IFERROR(__xludf.DUMMYFUNCTION("""COMPUTED_VALUE"""),35)</f>
        <v>35</v>
      </c>
      <c r="C194" s="1">
        <f ca="1">IFERROR(__xludf.DUMMYFUNCTION("""COMPUTED_VALUE"""),20)</f>
        <v>20</v>
      </c>
      <c r="D194" s="1">
        <f ca="1">IFERROR(__xludf.DUMMYFUNCTION("""COMPUTED_VALUE"""),15)</f>
        <v>15</v>
      </c>
      <c r="E194" s="1">
        <f ca="1">IFERROR(__xludf.DUMMYFUNCTION("""COMPUTED_VALUE"""),0.571)</f>
        <v>0.57099999999999995</v>
      </c>
      <c r="F194" s="1">
        <f ca="1">IFERROR(__xludf.DUMMYFUNCTION("""COMPUTED_VALUE"""),13.67)</f>
        <v>13.67</v>
      </c>
      <c r="G194" s="1">
        <f ca="1">IFERROR(__xludf.DUMMYFUNCTION("""COMPUTED_VALUE"""),10.5)</f>
        <v>10.5</v>
      </c>
      <c r="H194" s="1">
        <f ca="1">IFERROR(__xludf.DUMMYFUNCTION("""COMPUTED_VALUE"""),10)</f>
        <v>10</v>
      </c>
      <c r="I194" s="1">
        <f ca="1">IFERROR(__xludf.DUMMYFUNCTION("""COMPUTED_VALUE"""),8)</f>
        <v>8</v>
      </c>
      <c r="J194" s="1">
        <f ca="1">IFERROR(__xludf.DUMMYFUNCTION("""COMPUTED_VALUE"""),14)</f>
        <v>14</v>
      </c>
      <c r="K194" s="1">
        <f ca="1">IFERROR(__xludf.DUMMYFUNCTION("""COMPUTED_VALUE"""),2)</f>
        <v>2</v>
      </c>
      <c r="L194" s="1">
        <f ca="1">IFERROR(__xludf.DUMMYFUNCTION("""COMPUTED_VALUE"""),2)</f>
        <v>2</v>
      </c>
      <c r="M194" s="1">
        <f ca="1">IFERROR(__xludf.DUMMYFUNCTION("""COMPUTED_VALUE"""),7)</f>
        <v>7</v>
      </c>
      <c r="N194" s="1">
        <f ca="1">IFERROR(__xludf.DUMMYFUNCTION("""COMPUTED_VALUE"""),2515)</f>
        <v>2515</v>
      </c>
      <c r="O194" s="1">
        <f ca="1">IFERROR(__xludf.DUMMYFUNCTION("""COMPUTED_VALUE"""),2404)</f>
        <v>2404</v>
      </c>
      <c r="P194" s="1">
        <f ca="1">IFERROR(__xludf.DUMMYFUNCTION("""COMPUTED_VALUE"""),1405)</f>
        <v>1405</v>
      </c>
      <c r="Q194" s="1">
        <f ca="1">IFERROR(__xludf.DUMMYFUNCTION("""COMPUTED_VALUE"""),905)</f>
        <v>905</v>
      </c>
      <c r="R194" s="1">
        <f ca="1">IFERROR(__xludf.DUMMYFUNCTION("""COMPUTED_VALUE"""),1927)</f>
        <v>1927</v>
      </c>
      <c r="S194" s="1">
        <f ca="1">IFERROR(__xludf.DUMMYFUNCTION("""COMPUTED_VALUE"""),0.47)</f>
        <v>0.47</v>
      </c>
      <c r="T194" s="1">
        <f ca="1">IFERROR(__xludf.DUMMYFUNCTION("""COMPUTED_VALUE"""),273)</f>
        <v>273</v>
      </c>
      <c r="U194" s="1">
        <f ca="1">IFERROR(__xludf.DUMMYFUNCTION("""COMPUTED_VALUE"""),732)</f>
        <v>732</v>
      </c>
      <c r="V194" s="1">
        <f ca="1">IFERROR(__xludf.DUMMYFUNCTION("""COMPUTED_VALUE"""),0.373)</f>
        <v>0.373</v>
      </c>
      <c r="W194" s="1">
        <f ca="1">IFERROR(__xludf.DUMMYFUNCTION("""COMPUTED_VALUE"""),432)</f>
        <v>432</v>
      </c>
      <c r="X194" s="1">
        <f ca="1">IFERROR(__xludf.DUMMYFUNCTION("""COMPUTED_VALUE"""),646)</f>
        <v>646</v>
      </c>
      <c r="Y194" s="1">
        <f ca="1">IFERROR(__xludf.DUMMYFUNCTION("""COMPUTED_VALUE"""),0.669)</f>
        <v>0.66900000000000004</v>
      </c>
      <c r="Z194" s="1">
        <f ca="1">IFERROR(__xludf.DUMMYFUNCTION("""COMPUTED_VALUE"""),328)</f>
        <v>328</v>
      </c>
      <c r="AA194" s="1">
        <f ca="1">IFERROR(__xludf.DUMMYFUNCTION("""COMPUTED_VALUE"""),1275)</f>
        <v>1275</v>
      </c>
      <c r="AB194" s="1">
        <f ca="1">IFERROR(__xludf.DUMMYFUNCTION("""COMPUTED_VALUE"""),591)</f>
        <v>591</v>
      </c>
      <c r="AC194" s="1">
        <f ca="1">IFERROR(__xludf.DUMMYFUNCTION("""COMPUTED_VALUE"""),151)</f>
        <v>151</v>
      </c>
      <c r="AD194" s="1">
        <f ca="1">IFERROR(__xludf.DUMMYFUNCTION("""COMPUTED_VALUE"""),162)</f>
        <v>162</v>
      </c>
      <c r="AE194" s="1">
        <f ca="1">IFERROR(__xludf.DUMMYFUNCTION("""COMPUTED_VALUE"""),490)</f>
        <v>490</v>
      </c>
      <c r="AF194" s="1">
        <f ca="1">IFERROR(__xludf.DUMMYFUNCTION("""COMPUTED_VALUE"""),699)</f>
        <v>699</v>
      </c>
    </row>
    <row r="195" spans="1:32" ht="12.5" x14ac:dyDescent="0.25">
      <c r="A195" s="1" t="str">
        <f ca="1">IFERROR(__xludf.DUMMYFUNCTION("""COMPUTED_VALUE"""),"MichiganNCAA")</f>
        <v>MichiganNCAA</v>
      </c>
      <c r="B195" s="1">
        <f ca="1">IFERROR(__xludf.DUMMYFUNCTION("""COMPUTED_VALUE"""),38)</f>
        <v>38</v>
      </c>
      <c r="C195" s="1">
        <f ca="1">IFERROR(__xludf.DUMMYFUNCTION("""COMPUTED_VALUE"""),26)</f>
        <v>26</v>
      </c>
      <c r="D195" s="1">
        <f ca="1">IFERROR(__xludf.DUMMYFUNCTION("""COMPUTED_VALUE"""),12)</f>
        <v>12</v>
      </c>
      <c r="E195" s="1">
        <f ca="1">IFERROR(__xludf.DUMMYFUNCTION("""COMPUTED_VALUE"""),0.684)</f>
        <v>0.68400000000000005</v>
      </c>
      <c r="F195" s="1">
        <f ca="1">IFERROR(__xludf.DUMMYFUNCTION("""COMPUTED_VALUE"""),18.8)</f>
        <v>18.8</v>
      </c>
      <c r="G195" s="1">
        <f ca="1">IFERROR(__xludf.DUMMYFUNCTION("""COMPUTED_VALUE"""),10.17)</f>
        <v>10.17</v>
      </c>
      <c r="H195" s="1">
        <f ca="1">IFERROR(__xludf.DUMMYFUNCTION("""COMPUTED_VALUE"""),10)</f>
        <v>10</v>
      </c>
      <c r="I195" s="1">
        <f ca="1">IFERROR(__xludf.DUMMYFUNCTION("""COMPUTED_VALUE"""),8)</f>
        <v>8</v>
      </c>
      <c r="J195" s="1">
        <f ca="1">IFERROR(__xludf.DUMMYFUNCTION("""COMPUTED_VALUE"""),15)</f>
        <v>15</v>
      </c>
      <c r="K195" s="1">
        <f ca="1">IFERROR(__xludf.DUMMYFUNCTION("""COMPUTED_VALUE"""),3)</f>
        <v>3</v>
      </c>
      <c r="L195" s="1">
        <f ca="1">IFERROR(__xludf.DUMMYFUNCTION("""COMPUTED_VALUE"""),3)</f>
        <v>3</v>
      </c>
      <c r="M195" s="1">
        <f ca="1">IFERROR(__xludf.DUMMYFUNCTION("""COMPUTED_VALUE"""),8)</f>
        <v>8</v>
      </c>
      <c r="N195" s="1">
        <f ca="1">IFERROR(__xludf.DUMMYFUNCTION("""COMPUTED_VALUE"""),2851)</f>
        <v>2851</v>
      </c>
      <c r="O195" s="1">
        <f ca="1">IFERROR(__xludf.DUMMYFUNCTION("""COMPUTED_VALUE"""),2523)</f>
        <v>2523</v>
      </c>
      <c r="P195" s="1">
        <f ca="1">IFERROR(__xludf.DUMMYFUNCTION("""COMPUTED_VALUE"""),1535)</f>
        <v>1535</v>
      </c>
      <c r="Q195" s="1">
        <f ca="1">IFERROR(__xludf.DUMMYFUNCTION("""COMPUTED_VALUE"""),1002)</f>
        <v>1002</v>
      </c>
      <c r="R195" s="1">
        <f ca="1">IFERROR(__xludf.DUMMYFUNCTION("""COMPUTED_VALUE"""),2076)</f>
        <v>2076</v>
      </c>
      <c r="S195" s="1">
        <f ca="1">IFERROR(__xludf.DUMMYFUNCTION("""COMPUTED_VALUE"""),0.483)</f>
        <v>0.48299999999999998</v>
      </c>
      <c r="T195" s="1">
        <f ca="1">IFERROR(__xludf.DUMMYFUNCTION("""COMPUTED_VALUE"""),361)</f>
        <v>361</v>
      </c>
      <c r="U195" s="1">
        <f ca="1">IFERROR(__xludf.DUMMYFUNCTION("""COMPUTED_VALUE"""),937)</f>
        <v>937</v>
      </c>
      <c r="V195" s="1">
        <f ca="1">IFERROR(__xludf.DUMMYFUNCTION("""COMPUTED_VALUE"""),0.385)</f>
        <v>0.38500000000000001</v>
      </c>
      <c r="W195" s="1">
        <f ca="1">IFERROR(__xludf.DUMMYFUNCTION("""COMPUTED_VALUE"""),486)</f>
        <v>486</v>
      </c>
      <c r="X195" s="1">
        <f ca="1">IFERROR(__xludf.DUMMYFUNCTION("""COMPUTED_VALUE"""),624)</f>
        <v>624</v>
      </c>
      <c r="Y195" s="1">
        <f ca="1">IFERROR(__xludf.DUMMYFUNCTION("""COMPUTED_VALUE"""),0.779)</f>
        <v>0.77900000000000003</v>
      </c>
      <c r="Z195" s="1">
        <f ca="1">IFERROR(__xludf.DUMMYFUNCTION("""COMPUTED_VALUE"""),280)</f>
        <v>280</v>
      </c>
      <c r="AA195" s="1">
        <f ca="1">IFERROR(__xludf.DUMMYFUNCTION("""COMPUTED_VALUE"""),1111)</f>
        <v>1111</v>
      </c>
      <c r="AB195" s="1">
        <f ca="1">IFERROR(__xludf.DUMMYFUNCTION("""COMPUTED_VALUE"""),527)</f>
        <v>527</v>
      </c>
      <c r="AC195" s="1">
        <f ca="1">IFERROR(__xludf.DUMMYFUNCTION("""COMPUTED_VALUE"""),220)</f>
        <v>220</v>
      </c>
      <c r="AD195" s="1">
        <f ca="1">IFERROR(__xludf.DUMMYFUNCTION("""COMPUTED_VALUE"""),108)</f>
        <v>108</v>
      </c>
      <c r="AE195" s="1">
        <f ca="1">IFERROR(__xludf.DUMMYFUNCTION("""COMPUTED_VALUE"""),348)</f>
        <v>348</v>
      </c>
      <c r="AF195" s="1">
        <f ca="1">IFERROR(__xludf.DUMMYFUNCTION("""COMPUTED_VALUE"""),571)</f>
        <v>571</v>
      </c>
    </row>
    <row r="196" spans="1:32" ht="12.5" x14ac:dyDescent="0.25">
      <c r="A196" s="1" t="str">
        <f ca="1">IFERROR(__xludf.DUMMYFUNCTION("""COMPUTED_VALUE"""),"Middle TennesseeNCAA")</f>
        <v>Middle TennesseeNCAA</v>
      </c>
      <c r="B196" s="1">
        <f ca="1">IFERROR(__xludf.DUMMYFUNCTION("""COMPUTED_VALUE"""),36)</f>
        <v>36</v>
      </c>
      <c r="C196" s="1">
        <f ca="1">IFERROR(__xludf.DUMMYFUNCTION("""COMPUTED_VALUE"""),31)</f>
        <v>31</v>
      </c>
      <c r="D196" s="1">
        <f ca="1">IFERROR(__xludf.DUMMYFUNCTION("""COMPUTED_VALUE"""),5)</f>
        <v>5</v>
      </c>
      <c r="E196" s="1">
        <f ca="1">IFERROR(__xludf.DUMMYFUNCTION("""COMPUTED_VALUE"""),0.861)</f>
        <v>0.86099999999999999</v>
      </c>
      <c r="F196" s="1">
        <f ca="1">IFERROR(__xludf.DUMMYFUNCTION("""COMPUTED_VALUE"""),9.8)</f>
        <v>9.8000000000000007</v>
      </c>
      <c r="G196" s="1">
        <f ca="1">IFERROR(__xludf.DUMMYFUNCTION("""COMPUTED_VALUE"""),-0.48)</f>
        <v>-0.48</v>
      </c>
      <c r="H196" s="1">
        <f ca="1">IFERROR(__xludf.DUMMYFUNCTION("""COMPUTED_VALUE"""),17)</f>
        <v>17</v>
      </c>
      <c r="I196" s="1">
        <f ca="1">IFERROR(__xludf.DUMMYFUNCTION("""COMPUTED_VALUE"""),1)</f>
        <v>1</v>
      </c>
      <c r="J196" s="1">
        <f ca="1">IFERROR(__xludf.DUMMYFUNCTION("""COMPUTED_VALUE"""),13)</f>
        <v>13</v>
      </c>
      <c r="K196" s="1">
        <f ca="1">IFERROR(__xludf.DUMMYFUNCTION("""COMPUTED_VALUE"""),2)</f>
        <v>2</v>
      </c>
      <c r="L196" s="1">
        <f ca="1">IFERROR(__xludf.DUMMYFUNCTION("""COMPUTED_VALUE"""),11)</f>
        <v>11</v>
      </c>
      <c r="M196" s="1">
        <f ca="1">IFERROR(__xludf.DUMMYFUNCTION("""COMPUTED_VALUE"""),2)</f>
        <v>2</v>
      </c>
      <c r="N196" s="1">
        <f ca="1">IFERROR(__xludf.DUMMYFUNCTION("""COMPUTED_VALUE"""),2697)</f>
        <v>2697</v>
      </c>
      <c r="O196" s="1">
        <f ca="1">IFERROR(__xludf.DUMMYFUNCTION("""COMPUTED_VALUE"""),2299)</f>
        <v>2299</v>
      </c>
      <c r="P196" s="1">
        <f ca="1">IFERROR(__xludf.DUMMYFUNCTION("""COMPUTED_VALUE"""),1445)</f>
        <v>1445</v>
      </c>
      <c r="Q196" s="1">
        <f ca="1">IFERROR(__xludf.DUMMYFUNCTION("""COMPUTED_VALUE"""),1014)</f>
        <v>1014</v>
      </c>
      <c r="R196" s="1">
        <f ca="1">IFERROR(__xludf.DUMMYFUNCTION("""COMPUTED_VALUE"""),2077)</f>
        <v>2077</v>
      </c>
      <c r="S196" s="1">
        <f ca="1">IFERROR(__xludf.DUMMYFUNCTION("""COMPUTED_VALUE"""),0.488)</f>
        <v>0.48799999999999999</v>
      </c>
      <c r="T196" s="1">
        <f ca="1">IFERROR(__xludf.DUMMYFUNCTION("""COMPUTED_VALUE"""),228)</f>
        <v>228</v>
      </c>
      <c r="U196" s="1">
        <f ca="1">IFERROR(__xludf.DUMMYFUNCTION("""COMPUTED_VALUE"""),622)</f>
        <v>622</v>
      </c>
      <c r="V196" s="1">
        <f ca="1">IFERROR(__xludf.DUMMYFUNCTION("""COMPUTED_VALUE"""),0.367)</f>
        <v>0.36699999999999999</v>
      </c>
      <c r="W196" s="1">
        <f ca="1">IFERROR(__xludf.DUMMYFUNCTION("""COMPUTED_VALUE"""),441)</f>
        <v>441</v>
      </c>
      <c r="X196" s="1">
        <f ca="1">IFERROR(__xludf.DUMMYFUNCTION("""COMPUTED_VALUE"""),631)</f>
        <v>631</v>
      </c>
      <c r="Y196" s="1">
        <f ca="1">IFERROR(__xludf.DUMMYFUNCTION("""COMPUTED_VALUE"""),0.699)</f>
        <v>0.69899999999999995</v>
      </c>
      <c r="Z196" s="1">
        <f ca="1">IFERROR(__xludf.DUMMYFUNCTION("""COMPUTED_VALUE"""),355)</f>
        <v>355</v>
      </c>
      <c r="AA196" s="1">
        <f ca="1">IFERROR(__xludf.DUMMYFUNCTION("""COMPUTED_VALUE"""),1273)</f>
        <v>1273</v>
      </c>
      <c r="AB196" s="1">
        <f ca="1">IFERROR(__xludf.DUMMYFUNCTION("""COMPUTED_VALUE"""),552)</f>
        <v>552</v>
      </c>
      <c r="AC196" s="1">
        <f ca="1">IFERROR(__xludf.DUMMYFUNCTION("""COMPUTED_VALUE"""),242)</f>
        <v>242</v>
      </c>
      <c r="AD196" s="1">
        <f ca="1">IFERROR(__xludf.DUMMYFUNCTION("""COMPUTED_VALUE"""),100)</f>
        <v>100</v>
      </c>
      <c r="AE196" s="1">
        <f ca="1">IFERROR(__xludf.DUMMYFUNCTION("""COMPUTED_VALUE"""),374)</f>
        <v>374</v>
      </c>
      <c r="AF196" s="1">
        <f ca="1">IFERROR(__xludf.DUMMYFUNCTION("""COMPUTED_VALUE"""),655)</f>
        <v>655</v>
      </c>
    </row>
    <row r="197" spans="1:32" ht="12.5" x14ac:dyDescent="0.25">
      <c r="A197" s="1" t="str">
        <f ca="1">IFERROR(__xludf.DUMMYFUNCTION("""COMPUTED_VALUE"""),"Milwaukee")</f>
        <v>Milwaukee</v>
      </c>
      <c r="B197" s="1">
        <f ca="1">IFERROR(__xludf.DUMMYFUNCTION("""COMPUTED_VALUE"""),35)</f>
        <v>35</v>
      </c>
      <c r="C197" s="1">
        <f ca="1">IFERROR(__xludf.DUMMYFUNCTION("""COMPUTED_VALUE"""),11)</f>
        <v>11</v>
      </c>
      <c r="D197" s="1">
        <f ca="1">IFERROR(__xludf.DUMMYFUNCTION("""COMPUTED_VALUE"""),24)</f>
        <v>24</v>
      </c>
      <c r="E197" s="1">
        <f ca="1">IFERROR(__xludf.DUMMYFUNCTION("""COMPUTED_VALUE"""),0.314)</f>
        <v>0.314</v>
      </c>
      <c r="F197" s="1">
        <f ca="1">IFERROR(__xludf.DUMMYFUNCTION("""COMPUTED_VALUE"""),-7.37)</f>
        <v>-7.37</v>
      </c>
      <c r="G197" s="1">
        <f ca="1">IFERROR(__xludf.DUMMYFUNCTION("""COMPUTED_VALUE"""),-2.17)</f>
        <v>-2.17</v>
      </c>
      <c r="H197" s="1">
        <f ca="1">IFERROR(__xludf.DUMMYFUNCTION("""COMPUTED_VALUE"""),4)</f>
        <v>4</v>
      </c>
      <c r="I197" s="1">
        <f ca="1">IFERROR(__xludf.DUMMYFUNCTION("""COMPUTED_VALUE"""),14)</f>
        <v>14</v>
      </c>
      <c r="J197" s="1">
        <f ca="1">IFERROR(__xludf.DUMMYFUNCTION("""COMPUTED_VALUE"""),5)</f>
        <v>5</v>
      </c>
      <c r="K197" s="1">
        <f ca="1">IFERROR(__xludf.DUMMYFUNCTION("""COMPUTED_VALUE"""),8)</f>
        <v>8</v>
      </c>
      <c r="L197" s="1">
        <f ca="1">IFERROR(__xludf.DUMMYFUNCTION("""COMPUTED_VALUE"""),2)</f>
        <v>2</v>
      </c>
      <c r="M197" s="1">
        <f ca="1">IFERROR(__xludf.DUMMYFUNCTION("""COMPUTED_VALUE"""),13)</f>
        <v>13</v>
      </c>
      <c r="N197" s="1">
        <f ca="1">IFERROR(__xludf.DUMMYFUNCTION("""COMPUTED_VALUE"""),2347)</f>
        <v>2347</v>
      </c>
      <c r="O197" s="1">
        <f ca="1">IFERROR(__xludf.DUMMYFUNCTION("""COMPUTED_VALUE"""),2494)</f>
        <v>2494</v>
      </c>
      <c r="P197" s="1">
        <f ca="1">IFERROR(__xludf.DUMMYFUNCTION("""COMPUTED_VALUE"""),1430)</f>
        <v>1430</v>
      </c>
      <c r="Q197" s="1">
        <f ca="1">IFERROR(__xludf.DUMMYFUNCTION("""COMPUTED_VALUE"""),860)</f>
        <v>860</v>
      </c>
      <c r="R197" s="1">
        <f ca="1">IFERROR(__xludf.DUMMYFUNCTION("""COMPUTED_VALUE"""),1949)</f>
        <v>1949</v>
      </c>
      <c r="S197" s="1">
        <f ca="1">IFERROR(__xludf.DUMMYFUNCTION("""COMPUTED_VALUE"""),0.441)</f>
        <v>0.441</v>
      </c>
      <c r="T197" s="1">
        <f ca="1">IFERROR(__xludf.DUMMYFUNCTION("""COMPUTED_VALUE"""),272)</f>
        <v>272</v>
      </c>
      <c r="U197" s="1">
        <f ca="1">IFERROR(__xludf.DUMMYFUNCTION("""COMPUTED_VALUE"""),782)</f>
        <v>782</v>
      </c>
      <c r="V197" s="1">
        <f ca="1">IFERROR(__xludf.DUMMYFUNCTION("""COMPUTED_VALUE"""),0.348)</f>
        <v>0.34799999999999998</v>
      </c>
      <c r="W197" s="1">
        <f ca="1">IFERROR(__xludf.DUMMYFUNCTION("""COMPUTED_VALUE"""),355)</f>
        <v>355</v>
      </c>
      <c r="X197" s="1">
        <f ca="1">IFERROR(__xludf.DUMMYFUNCTION("""COMPUTED_VALUE"""),538)</f>
        <v>538</v>
      </c>
      <c r="Y197" s="1">
        <f ca="1">IFERROR(__xludf.DUMMYFUNCTION("""COMPUTED_VALUE"""),0.66)</f>
        <v>0.66</v>
      </c>
      <c r="Z197" s="1">
        <f ca="1">IFERROR(__xludf.DUMMYFUNCTION("""COMPUTED_VALUE"""),293)</f>
        <v>293</v>
      </c>
      <c r="AA197" s="1">
        <f ca="1">IFERROR(__xludf.DUMMYFUNCTION("""COMPUTED_VALUE"""),1107)</f>
        <v>1107</v>
      </c>
      <c r="AB197" s="1">
        <f ca="1">IFERROR(__xludf.DUMMYFUNCTION("""COMPUTED_VALUE"""),467)</f>
        <v>467</v>
      </c>
      <c r="AC197" s="1">
        <f ca="1">IFERROR(__xludf.DUMMYFUNCTION("""COMPUTED_VALUE"""),164)</f>
        <v>164</v>
      </c>
      <c r="AD197" s="1">
        <f ca="1">IFERROR(__xludf.DUMMYFUNCTION("""COMPUTED_VALUE"""),53)</f>
        <v>53</v>
      </c>
      <c r="AE197" s="1">
        <f ca="1">IFERROR(__xludf.DUMMYFUNCTION("""COMPUTED_VALUE"""),409)</f>
        <v>409</v>
      </c>
      <c r="AF197" s="1">
        <f ca="1">IFERROR(__xludf.DUMMYFUNCTION("""COMPUTED_VALUE"""),641)</f>
        <v>641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IFERROR(__xludf.DUMMYFUNCTION("""COMPUTED_VALUE"""),"MinnesotaNCAA")</f>
        <v>MinnesotaNCAA</v>
      </c>
      <c r="B200" s="1">
        <f ca="1">IFERROR(__xludf.DUMMYFUNCTION("""COMPUTED_VALUE"""),34)</f>
        <v>34</v>
      </c>
      <c r="C200" s="1">
        <f ca="1">IFERROR(__xludf.DUMMYFUNCTION("""COMPUTED_VALUE"""),24)</f>
        <v>24</v>
      </c>
      <c r="D200" s="1">
        <f ca="1">IFERROR(__xludf.DUMMYFUNCTION("""COMPUTED_VALUE"""),10)</f>
        <v>10</v>
      </c>
      <c r="E200" s="1">
        <f ca="1">IFERROR(__xludf.DUMMYFUNCTION("""COMPUTED_VALUE"""),0.706)</f>
        <v>0.70599999999999996</v>
      </c>
      <c r="F200" s="1">
        <f ca="1">IFERROR(__xludf.DUMMYFUNCTION("""COMPUTED_VALUE"""),14.56)</f>
        <v>14.56</v>
      </c>
      <c r="G200" s="1">
        <f ca="1">IFERROR(__xludf.DUMMYFUNCTION("""COMPUTED_VALUE"""),8.82)</f>
        <v>8.82</v>
      </c>
      <c r="H200" s="1">
        <f ca="1">IFERROR(__xludf.DUMMYFUNCTION("""COMPUTED_VALUE"""),11)</f>
        <v>11</v>
      </c>
      <c r="I200" s="1">
        <f ca="1">IFERROR(__xludf.DUMMYFUNCTION("""COMPUTED_VALUE"""),7)</f>
        <v>7</v>
      </c>
      <c r="J200" s="1">
        <f ca="1">IFERROR(__xludf.DUMMYFUNCTION("""COMPUTED_VALUE"""),17)</f>
        <v>17</v>
      </c>
      <c r="K200" s="1">
        <f ca="1">IFERROR(__xludf.DUMMYFUNCTION("""COMPUTED_VALUE"""),3)</f>
        <v>3</v>
      </c>
      <c r="L200" s="1">
        <f ca="1">IFERROR(__xludf.DUMMYFUNCTION("""COMPUTED_VALUE"""),5)</f>
        <v>5</v>
      </c>
      <c r="M200" s="1">
        <f ca="1">IFERROR(__xludf.DUMMYFUNCTION("""COMPUTED_VALUE"""),5)</f>
        <v>5</v>
      </c>
      <c r="N200" s="1">
        <f ca="1">IFERROR(__xludf.DUMMYFUNCTION("""COMPUTED_VALUE"""),2556)</f>
        <v>2556</v>
      </c>
      <c r="O200" s="1">
        <f ca="1">IFERROR(__xludf.DUMMYFUNCTION("""COMPUTED_VALUE"""),2361)</f>
        <v>2361</v>
      </c>
      <c r="P200" s="1">
        <f ca="1">IFERROR(__xludf.DUMMYFUNCTION("""COMPUTED_VALUE"""),1390)</f>
        <v>1390</v>
      </c>
      <c r="Q200" s="1">
        <f ca="1">IFERROR(__xludf.DUMMYFUNCTION("""COMPUTED_VALUE"""),887)</f>
        <v>887</v>
      </c>
      <c r="R200" s="1">
        <f ca="1">IFERROR(__xludf.DUMMYFUNCTION("""COMPUTED_VALUE"""),2037)</f>
        <v>2037</v>
      </c>
      <c r="S200" s="1">
        <f ca="1">IFERROR(__xludf.DUMMYFUNCTION("""COMPUTED_VALUE"""),0.435)</f>
        <v>0.435</v>
      </c>
      <c r="T200" s="1">
        <f ca="1">IFERROR(__xludf.DUMMYFUNCTION("""COMPUTED_VALUE"""),209)</f>
        <v>209</v>
      </c>
      <c r="U200" s="1">
        <f ca="1">IFERROR(__xludf.DUMMYFUNCTION("""COMPUTED_VALUE"""),610)</f>
        <v>610</v>
      </c>
      <c r="V200" s="1">
        <f ca="1">IFERROR(__xludf.DUMMYFUNCTION("""COMPUTED_VALUE"""),0.343)</f>
        <v>0.34300000000000003</v>
      </c>
      <c r="W200" s="1">
        <f ca="1">IFERROR(__xludf.DUMMYFUNCTION("""COMPUTED_VALUE"""),573)</f>
        <v>573</v>
      </c>
      <c r="X200" s="1">
        <f ca="1">IFERROR(__xludf.DUMMYFUNCTION("""COMPUTED_VALUE"""),806)</f>
        <v>806</v>
      </c>
      <c r="Y200" s="1">
        <f ca="1">IFERROR(__xludf.DUMMYFUNCTION("""COMPUTED_VALUE"""),0.711)</f>
        <v>0.71099999999999997</v>
      </c>
      <c r="Z200" s="1">
        <f ca="1">IFERROR(__xludf.DUMMYFUNCTION("""COMPUTED_VALUE"""),378)</f>
        <v>378</v>
      </c>
      <c r="AA200" s="1">
        <f ca="1">IFERROR(__xludf.DUMMYFUNCTION("""COMPUTED_VALUE"""),1341)</f>
        <v>1341</v>
      </c>
      <c r="AB200" s="1">
        <f ca="1">IFERROR(__xludf.DUMMYFUNCTION("""COMPUTED_VALUE"""),507)</f>
        <v>507</v>
      </c>
      <c r="AC200" s="1">
        <f ca="1">IFERROR(__xludf.DUMMYFUNCTION("""COMPUTED_VALUE"""),194)</f>
        <v>194</v>
      </c>
      <c r="AD200" s="1">
        <f ca="1">IFERROR(__xludf.DUMMYFUNCTION("""COMPUTED_VALUE"""),227)</f>
        <v>227</v>
      </c>
      <c r="AE200" s="1">
        <f ca="1">IFERROR(__xludf.DUMMYFUNCTION("""COMPUTED_VALUE"""),393)</f>
        <v>393</v>
      </c>
      <c r="AF200" s="1">
        <f ca="1">IFERROR(__xludf.DUMMYFUNCTION("""COMPUTED_VALUE"""),577)</f>
        <v>577</v>
      </c>
    </row>
    <row r="201" spans="1:32" ht="12.5" x14ac:dyDescent="0.25">
      <c r="A201" s="1" t="str">
        <f ca="1">IFERROR(__xludf.DUMMYFUNCTION("""COMPUTED_VALUE"""),"Mississippi State")</f>
        <v>Mississippi State</v>
      </c>
      <c r="B201" s="1">
        <f ca="1">IFERROR(__xludf.DUMMYFUNCTION("""COMPUTED_VALUE"""),32)</f>
        <v>32</v>
      </c>
      <c r="C201" s="1">
        <f ca="1">IFERROR(__xludf.DUMMYFUNCTION("""COMPUTED_VALUE"""),16)</f>
        <v>16</v>
      </c>
      <c r="D201" s="1">
        <f ca="1">IFERROR(__xludf.DUMMYFUNCTION("""COMPUTED_VALUE"""),16)</f>
        <v>16</v>
      </c>
      <c r="E201" s="1">
        <f ca="1">IFERROR(__xludf.DUMMYFUNCTION("""COMPUTED_VALUE"""),0.5)</f>
        <v>0.5</v>
      </c>
      <c r="F201" s="1">
        <f ca="1">IFERROR(__xludf.DUMMYFUNCTION("""COMPUTED_VALUE"""),7.12)</f>
        <v>7.12</v>
      </c>
      <c r="G201" s="1">
        <f ca="1">IFERROR(__xludf.DUMMYFUNCTION("""COMPUTED_VALUE"""),5.9)</f>
        <v>5.9</v>
      </c>
      <c r="H201" s="1">
        <f ca="1">IFERROR(__xludf.DUMMYFUNCTION("""COMPUTED_VALUE"""),6)</f>
        <v>6</v>
      </c>
      <c r="I201" s="1">
        <f ca="1">IFERROR(__xludf.DUMMYFUNCTION("""COMPUTED_VALUE"""),12)</f>
        <v>12</v>
      </c>
      <c r="J201" s="1">
        <f ca="1">IFERROR(__xludf.DUMMYFUNCTION("""COMPUTED_VALUE"""),10)</f>
        <v>10</v>
      </c>
      <c r="K201" s="1">
        <f ca="1">IFERROR(__xludf.DUMMYFUNCTION("""COMPUTED_VALUE"""),7)</f>
        <v>7</v>
      </c>
      <c r="L201" s="1">
        <f ca="1">IFERROR(__xludf.DUMMYFUNCTION("""COMPUTED_VALUE"""),2)</f>
        <v>2</v>
      </c>
      <c r="M201" s="1">
        <f ca="1">IFERROR(__xludf.DUMMYFUNCTION("""COMPUTED_VALUE"""),8)</f>
        <v>8</v>
      </c>
      <c r="N201" s="1">
        <f ca="1">IFERROR(__xludf.DUMMYFUNCTION("""COMPUTED_VALUE"""),2320)</f>
        <v>2320</v>
      </c>
      <c r="O201" s="1">
        <f ca="1">IFERROR(__xludf.DUMMYFUNCTION("""COMPUTED_VALUE"""),2281)</f>
        <v>2281</v>
      </c>
      <c r="P201" s="1">
        <f ca="1">IFERROR(__xludf.DUMMYFUNCTION("""COMPUTED_VALUE"""),1285)</f>
        <v>1285</v>
      </c>
      <c r="Q201" s="1">
        <f ca="1">IFERROR(__xludf.DUMMYFUNCTION("""COMPUTED_VALUE"""),821)</f>
        <v>821</v>
      </c>
      <c r="R201" s="1">
        <f ca="1">IFERROR(__xludf.DUMMYFUNCTION("""COMPUTED_VALUE"""),1849)</f>
        <v>1849</v>
      </c>
      <c r="S201" s="1">
        <f ca="1">IFERROR(__xludf.DUMMYFUNCTION("""COMPUTED_VALUE"""),0.444)</f>
        <v>0.44400000000000001</v>
      </c>
      <c r="T201" s="1">
        <f ca="1">IFERROR(__xludf.DUMMYFUNCTION("""COMPUTED_VALUE"""),247)</f>
        <v>247</v>
      </c>
      <c r="U201" s="1">
        <f ca="1">IFERROR(__xludf.DUMMYFUNCTION("""COMPUTED_VALUE"""),711)</f>
        <v>711</v>
      </c>
      <c r="V201" s="1">
        <f ca="1">IFERROR(__xludf.DUMMYFUNCTION("""COMPUTED_VALUE"""),0.347)</f>
        <v>0.34699999999999998</v>
      </c>
      <c r="W201" s="1">
        <f ca="1">IFERROR(__xludf.DUMMYFUNCTION("""COMPUTED_VALUE"""),431)</f>
        <v>431</v>
      </c>
      <c r="X201" s="1">
        <f ca="1">IFERROR(__xludf.DUMMYFUNCTION("""COMPUTED_VALUE"""),627)</f>
        <v>627</v>
      </c>
      <c r="Y201" s="1">
        <f ca="1">IFERROR(__xludf.DUMMYFUNCTION("""COMPUTED_VALUE"""),0.687)</f>
        <v>0.68700000000000006</v>
      </c>
      <c r="Z201" s="1">
        <f ca="1">IFERROR(__xludf.DUMMYFUNCTION("""COMPUTED_VALUE"""),310)</f>
        <v>310</v>
      </c>
      <c r="AA201" s="1">
        <f ca="1">IFERROR(__xludf.DUMMYFUNCTION("""COMPUTED_VALUE"""),1130)</f>
        <v>1130</v>
      </c>
      <c r="AB201" s="1">
        <f ca="1">IFERROR(__xludf.DUMMYFUNCTION("""COMPUTED_VALUE"""),386)</f>
        <v>386</v>
      </c>
      <c r="AC201" s="1">
        <f ca="1">IFERROR(__xludf.DUMMYFUNCTION("""COMPUTED_VALUE"""),239)</f>
        <v>239</v>
      </c>
      <c r="AD201" s="1">
        <f ca="1">IFERROR(__xludf.DUMMYFUNCTION("""COMPUTED_VALUE"""),131)</f>
        <v>131</v>
      </c>
      <c r="AE201" s="1">
        <f ca="1">IFERROR(__xludf.DUMMYFUNCTION("""COMPUTED_VALUE"""),433)</f>
        <v>433</v>
      </c>
      <c r="AF201" s="1">
        <f ca="1">IFERROR(__xludf.DUMMYFUNCTION("""COMPUTED_VALUE"""),638)</f>
        <v>638</v>
      </c>
    </row>
    <row r="202" spans="1:32" ht="12.5" x14ac:dyDescent="0.25">
      <c r="A202" s="1" t="str">
        <f ca="1">IFERROR(__xludf.DUMMYFUNCTION("""COMPUTED_VALUE"""),"Mississippi Valley State")</f>
        <v>Mississippi Valley State</v>
      </c>
      <c r="B202" s="1">
        <f ca="1">IFERROR(__xludf.DUMMYFUNCTION("""COMPUTED_VALUE"""),32)</f>
        <v>32</v>
      </c>
      <c r="C202" s="1">
        <f ca="1">IFERROR(__xludf.DUMMYFUNCTION("""COMPUTED_VALUE"""),7)</f>
        <v>7</v>
      </c>
      <c r="D202" s="1">
        <f ca="1">IFERROR(__xludf.DUMMYFUNCTION("""COMPUTED_VALUE"""),25)</f>
        <v>25</v>
      </c>
      <c r="E202" s="1">
        <f ca="1">IFERROR(__xludf.DUMMYFUNCTION("""COMPUTED_VALUE"""),0.219)</f>
        <v>0.219</v>
      </c>
      <c r="F202" s="1">
        <f ca="1">IFERROR(__xludf.DUMMYFUNCTION("""COMPUTED_VALUE"""),-20.54)</f>
        <v>-20.54</v>
      </c>
      <c r="G202" s="1">
        <f ca="1">IFERROR(__xludf.DUMMYFUNCTION("""COMPUTED_VALUE"""),-7.11)</f>
        <v>-7.11</v>
      </c>
      <c r="H202" s="1">
        <f ca="1">IFERROR(__xludf.DUMMYFUNCTION("""COMPUTED_VALUE"""),7)</f>
        <v>7</v>
      </c>
      <c r="I202" s="1">
        <f ca="1">IFERROR(__xludf.DUMMYFUNCTION("""COMPUTED_VALUE"""),11)</f>
        <v>11</v>
      </c>
      <c r="J202" s="1">
        <f ca="1">IFERROR(__xludf.DUMMYFUNCTION("""COMPUTED_VALUE"""),5)</f>
        <v>5</v>
      </c>
      <c r="K202" s="1">
        <f ca="1">IFERROR(__xludf.DUMMYFUNCTION("""COMPUTED_VALUE"""),4)</f>
        <v>4</v>
      </c>
      <c r="L202" s="1">
        <f ca="1">IFERROR(__xludf.DUMMYFUNCTION("""COMPUTED_VALUE"""),2)</f>
        <v>2</v>
      </c>
      <c r="M202" s="1">
        <f ca="1">IFERROR(__xludf.DUMMYFUNCTION("""COMPUTED_VALUE"""),20)</f>
        <v>20</v>
      </c>
      <c r="N202" s="1">
        <f ca="1">IFERROR(__xludf.DUMMYFUNCTION("""COMPUTED_VALUE"""),2235)</f>
        <v>2235</v>
      </c>
      <c r="O202" s="1">
        <f ca="1">IFERROR(__xludf.DUMMYFUNCTION("""COMPUTED_VALUE"""),2665)</f>
        <v>2665</v>
      </c>
      <c r="P202" s="1">
        <f ca="1">IFERROR(__xludf.DUMMYFUNCTION("""COMPUTED_VALUE"""),1295)</f>
        <v>1295</v>
      </c>
      <c r="Q202" s="1">
        <f ca="1">IFERROR(__xludf.DUMMYFUNCTION("""COMPUTED_VALUE"""),818)</f>
        <v>818</v>
      </c>
      <c r="R202" s="1">
        <f ca="1">IFERROR(__xludf.DUMMYFUNCTION("""COMPUTED_VALUE"""),1942)</f>
        <v>1942</v>
      </c>
      <c r="S202" s="1">
        <f ca="1">IFERROR(__xludf.DUMMYFUNCTION("""COMPUTED_VALUE"""),0.421)</f>
        <v>0.42099999999999999</v>
      </c>
      <c r="T202" s="1">
        <f ca="1">IFERROR(__xludf.DUMMYFUNCTION("""COMPUTED_VALUE"""),174)</f>
        <v>174</v>
      </c>
      <c r="U202" s="1">
        <f ca="1">IFERROR(__xludf.DUMMYFUNCTION("""COMPUTED_VALUE"""),508)</f>
        <v>508</v>
      </c>
      <c r="V202" s="1">
        <f ca="1">IFERROR(__xludf.DUMMYFUNCTION("""COMPUTED_VALUE"""),0.343)</f>
        <v>0.34300000000000003</v>
      </c>
      <c r="W202" s="1">
        <f ca="1">IFERROR(__xludf.DUMMYFUNCTION("""COMPUTED_VALUE"""),423)</f>
        <v>423</v>
      </c>
      <c r="X202" s="1">
        <f ca="1">IFERROR(__xludf.DUMMYFUNCTION("""COMPUTED_VALUE"""),651)</f>
        <v>651</v>
      </c>
      <c r="Y202" s="1">
        <f ca="1">IFERROR(__xludf.DUMMYFUNCTION("""COMPUTED_VALUE"""),0.65)</f>
        <v>0.65</v>
      </c>
      <c r="Z202" s="1">
        <f ca="1">IFERROR(__xludf.DUMMYFUNCTION("""COMPUTED_VALUE"""),385)</f>
        <v>385</v>
      </c>
      <c r="AA202" s="1">
        <f ca="1">IFERROR(__xludf.DUMMYFUNCTION("""COMPUTED_VALUE"""),1108)</f>
        <v>1108</v>
      </c>
      <c r="AB202" s="1">
        <f ca="1">IFERROR(__xludf.DUMMYFUNCTION("""COMPUTED_VALUE"""),374)</f>
        <v>374</v>
      </c>
      <c r="AC202" s="1">
        <f ca="1">IFERROR(__xludf.DUMMYFUNCTION("""COMPUTED_VALUE"""),218)</f>
        <v>218</v>
      </c>
      <c r="AD202" s="1">
        <f ca="1">IFERROR(__xludf.DUMMYFUNCTION("""COMPUTED_VALUE"""),60)</f>
        <v>60</v>
      </c>
      <c r="AE202" s="1">
        <f ca="1">IFERROR(__xludf.DUMMYFUNCTION("""COMPUTED_VALUE"""),460)</f>
        <v>460</v>
      </c>
      <c r="AF202" s="1">
        <f ca="1">IFERROR(__xludf.DUMMYFUNCTION("""COMPUTED_VALUE"""),624)</f>
        <v>624</v>
      </c>
    </row>
    <row r="203" spans="1:32" ht="12.5" x14ac:dyDescent="0.25">
      <c r="A203" s="1" t="str">
        <f ca="1">IFERROR(__xludf.DUMMYFUNCTION("""COMPUTED_VALUE"""),"Mississippi")</f>
        <v>Mississippi</v>
      </c>
      <c r="B203" s="1">
        <f ca="1">IFERROR(__xludf.DUMMYFUNCTION("""COMPUTED_VALUE"""),36)</f>
        <v>36</v>
      </c>
      <c r="C203" s="1">
        <f ca="1">IFERROR(__xludf.DUMMYFUNCTION("""COMPUTED_VALUE"""),22)</f>
        <v>22</v>
      </c>
      <c r="D203" s="1">
        <f ca="1">IFERROR(__xludf.DUMMYFUNCTION("""COMPUTED_VALUE"""),14)</f>
        <v>14</v>
      </c>
      <c r="E203" s="1">
        <f ca="1">IFERROR(__xludf.DUMMYFUNCTION("""COMPUTED_VALUE"""),0.611)</f>
        <v>0.61099999999999999</v>
      </c>
      <c r="F203" s="1">
        <f ca="1">IFERROR(__xludf.DUMMYFUNCTION("""COMPUTED_VALUE"""),9.65)</f>
        <v>9.65</v>
      </c>
      <c r="G203" s="1">
        <f ca="1">IFERROR(__xludf.DUMMYFUNCTION("""COMPUTED_VALUE"""),7.99)</f>
        <v>7.99</v>
      </c>
      <c r="H203" s="1">
        <f ca="1">IFERROR(__xludf.DUMMYFUNCTION("""COMPUTED_VALUE"""),10)</f>
        <v>10</v>
      </c>
      <c r="I203" s="1">
        <f ca="1">IFERROR(__xludf.DUMMYFUNCTION("""COMPUTED_VALUE"""),8)</f>
        <v>8</v>
      </c>
      <c r="J203" s="1">
        <f ca="1">IFERROR(__xludf.DUMMYFUNCTION("""COMPUTED_VALUE"""),13)</f>
        <v>13</v>
      </c>
      <c r="K203" s="1">
        <f ca="1">IFERROR(__xludf.DUMMYFUNCTION("""COMPUTED_VALUE"""),6)</f>
        <v>6</v>
      </c>
      <c r="L203" s="1">
        <f ca="1">IFERROR(__xludf.DUMMYFUNCTION("""COMPUTED_VALUE"""),6)</f>
        <v>6</v>
      </c>
      <c r="M203" s="1">
        <f ca="1">IFERROR(__xludf.DUMMYFUNCTION("""COMPUTED_VALUE"""),6)</f>
        <v>6</v>
      </c>
      <c r="N203" s="1">
        <f ca="1">IFERROR(__xludf.DUMMYFUNCTION("""COMPUTED_VALUE"""),2807)</f>
        <v>2807</v>
      </c>
      <c r="O203" s="1">
        <f ca="1">IFERROR(__xludf.DUMMYFUNCTION("""COMPUTED_VALUE"""),2747)</f>
        <v>2747</v>
      </c>
      <c r="P203" s="1">
        <f ca="1">IFERROR(__xludf.DUMMYFUNCTION("""COMPUTED_VALUE"""),1450)</f>
        <v>1450</v>
      </c>
      <c r="Q203" s="1">
        <f ca="1">IFERROR(__xludf.DUMMYFUNCTION("""COMPUTED_VALUE"""),914)</f>
        <v>914</v>
      </c>
      <c r="R203" s="1">
        <f ca="1">IFERROR(__xludf.DUMMYFUNCTION("""COMPUTED_VALUE"""),2162)</f>
        <v>2162</v>
      </c>
      <c r="S203" s="1">
        <f ca="1">IFERROR(__xludf.DUMMYFUNCTION("""COMPUTED_VALUE"""),0.423)</f>
        <v>0.42299999999999999</v>
      </c>
      <c r="T203" s="1">
        <f ca="1">IFERROR(__xludf.DUMMYFUNCTION("""COMPUTED_VALUE"""),283)</f>
        <v>283</v>
      </c>
      <c r="U203" s="1">
        <f ca="1">IFERROR(__xludf.DUMMYFUNCTION("""COMPUTED_VALUE"""),815)</f>
        <v>815</v>
      </c>
      <c r="V203" s="1">
        <f ca="1">IFERROR(__xludf.DUMMYFUNCTION("""COMPUTED_VALUE"""),0.347)</f>
        <v>0.34699999999999998</v>
      </c>
      <c r="W203" s="1">
        <f ca="1">IFERROR(__xludf.DUMMYFUNCTION("""COMPUTED_VALUE"""),696)</f>
        <v>696</v>
      </c>
      <c r="X203" s="1">
        <f ca="1">IFERROR(__xludf.DUMMYFUNCTION("""COMPUTED_VALUE"""),926)</f>
        <v>926</v>
      </c>
      <c r="Y203" s="1">
        <f ca="1">IFERROR(__xludf.DUMMYFUNCTION("""COMPUTED_VALUE"""),0.752)</f>
        <v>0.752</v>
      </c>
      <c r="Z203" s="1">
        <f ca="1">IFERROR(__xludf.DUMMYFUNCTION("""COMPUTED_VALUE"""),458)</f>
        <v>458</v>
      </c>
      <c r="AA203" s="1">
        <f ca="1">IFERROR(__xludf.DUMMYFUNCTION("""COMPUTED_VALUE"""),1422)</f>
        <v>1422</v>
      </c>
      <c r="AB203" s="1">
        <f ca="1">IFERROR(__xludf.DUMMYFUNCTION("""COMPUTED_VALUE"""),465)</f>
        <v>465</v>
      </c>
      <c r="AC203" s="1">
        <f ca="1">IFERROR(__xludf.DUMMYFUNCTION("""COMPUTED_VALUE"""),243)</f>
        <v>243</v>
      </c>
      <c r="AD203" s="1">
        <f ca="1">IFERROR(__xludf.DUMMYFUNCTION("""COMPUTED_VALUE"""),149)</f>
        <v>149</v>
      </c>
      <c r="AE203" s="1">
        <f ca="1">IFERROR(__xludf.DUMMYFUNCTION("""COMPUTED_VALUE"""),516)</f>
        <v>516</v>
      </c>
      <c r="AF203" s="1">
        <f ca="1">IFERROR(__xludf.DUMMYFUNCTION("""COMPUTED_VALUE"""),702)</f>
        <v>702</v>
      </c>
    </row>
    <row r="204" spans="1:32" ht="12.5" x14ac:dyDescent="0.25">
      <c r="A204" s="1" t="str">
        <f ca="1">IFERROR(__xludf.DUMMYFUNCTION("""COMPUTED_VALUE"""),"Missouri-Kansas City")</f>
        <v>Missouri-Kansas City</v>
      </c>
      <c r="B204" s="1">
        <f ca="1">IFERROR(__xludf.DUMMYFUNCTION("""COMPUTED_VALUE"""),35)</f>
        <v>35</v>
      </c>
      <c r="C204" s="1">
        <f ca="1">IFERROR(__xludf.DUMMYFUNCTION("""COMPUTED_VALUE"""),18)</f>
        <v>18</v>
      </c>
      <c r="D204" s="1">
        <f ca="1">IFERROR(__xludf.DUMMYFUNCTION("""COMPUTED_VALUE"""),17)</f>
        <v>17</v>
      </c>
      <c r="E204" s="1">
        <f ca="1">IFERROR(__xludf.DUMMYFUNCTION("""COMPUTED_VALUE"""),0.514)</f>
        <v>0.51400000000000001</v>
      </c>
      <c r="F204" s="1">
        <f ca="1">IFERROR(__xludf.DUMMYFUNCTION("""COMPUTED_VALUE"""),-4.97)</f>
        <v>-4.97</v>
      </c>
      <c r="G204" s="1">
        <f ca="1">IFERROR(__xludf.DUMMYFUNCTION("""COMPUTED_VALUE"""),-1.06)</f>
        <v>-1.06</v>
      </c>
      <c r="H204" s="1">
        <f ca="1">IFERROR(__xludf.DUMMYFUNCTION("""COMPUTED_VALUE"""),8)</f>
        <v>8</v>
      </c>
      <c r="I204" s="1">
        <f ca="1">IFERROR(__xludf.DUMMYFUNCTION("""COMPUTED_VALUE"""),6)</f>
        <v>6</v>
      </c>
      <c r="J204" s="1">
        <f ca="1">IFERROR(__xludf.DUMMYFUNCTION("""COMPUTED_VALUE"""),12)</f>
        <v>12</v>
      </c>
      <c r="K204" s="1">
        <f ca="1">IFERROR(__xludf.DUMMYFUNCTION("""COMPUTED_VALUE"""),5)</f>
        <v>5</v>
      </c>
      <c r="L204" s="1">
        <f ca="1">IFERROR(__xludf.DUMMYFUNCTION("""COMPUTED_VALUE"""),4)</f>
        <v>4</v>
      </c>
      <c r="M204" s="1">
        <f ca="1">IFERROR(__xludf.DUMMYFUNCTION("""COMPUTED_VALUE"""),10)</f>
        <v>10</v>
      </c>
      <c r="N204" s="1">
        <f ca="1">IFERROR(__xludf.DUMMYFUNCTION("""COMPUTED_VALUE"""),2691)</f>
        <v>2691</v>
      </c>
      <c r="O204" s="1">
        <f ca="1">IFERROR(__xludf.DUMMYFUNCTION("""COMPUTED_VALUE"""),2753)</f>
        <v>2753</v>
      </c>
      <c r="P204" s="1">
        <f ca="1">IFERROR(__xludf.DUMMYFUNCTION("""COMPUTED_VALUE"""),1405)</f>
        <v>1405</v>
      </c>
      <c r="Q204" s="1">
        <f ca="1">IFERROR(__xludf.DUMMYFUNCTION("""COMPUTED_VALUE"""),911)</f>
        <v>911</v>
      </c>
      <c r="R204" s="1">
        <f ca="1">IFERROR(__xludf.DUMMYFUNCTION("""COMPUTED_VALUE"""),2076)</f>
        <v>2076</v>
      </c>
      <c r="S204" s="1">
        <f ca="1">IFERROR(__xludf.DUMMYFUNCTION("""COMPUTED_VALUE"""),0.439)</f>
        <v>0.439</v>
      </c>
      <c r="T204" s="1">
        <f ca="1">IFERROR(__xludf.DUMMYFUNCTION("""COMPUTED_VALUE"""),315)</f>
        <v>315</v>
      </c>
      <c r="U204" s="1">
        <f ca="1">IFERROR(__xludf.DUMMYFUNCTION("""COMPUTED_VALUE"""),848)</f>
        <v>848</v>
      </c>
      <c r="V204" s="1">
        <f ca="1">IFERROR(__xludf.DUMMYFUNCTION("""COMPUTED_VALUE"""),0.371)</f>
        <v>0.371</v>
      </c>
      <c r="W204" s="1">
        <f ca="1">IFERROR(__xludf.DUMMYFUNCTION("""COMPUTED_VALUE"""),554)</f>
        <v>554</v>
      </c>
      <c r="X204" s="1">
        <f ca="1">IFERROR(__xludf.DUMMYFUNCTION("""COMPUTED_VALUE"""),777)</f>
        <v>777</v>
      </c>
      <c r="Y204" s="1">
        <f ca="1">IFERROR(__xludf.DUMMYFUNCTION("""COMPUTED_VALUE"""),0.713)</f>
        <v>0.71299999999999997</v>
      </c>
      <c r="Z204" s="1">
        <f ca="1">IFERROR(__xludf.DUMMYFUNCTION("""COMPUTED_VALUE"""),352)</f>
        <v>352</v>
      </c>
      <c r="AA204" s="1">
        <f ca="1">IFERROR(__xludf.DUMMYFUNCTION("""COMPUTED_VALUE"""),1213)</f>
        <v>1213</v>
      </c>
      <c r="AB204" s="1">
        <f ca="1">IFERROR(__xludf.DUMMYFUNCTION("""COMPUTED_VALUE"""),451)</f>
        <v>451</v>
      </c>
      <c r="AC204" s="1">
        <f ca="1">IFERROR(__xludf.DUMMYFUNCTION("""COMPUTED_VALUE"""),236)</f>
        <v>236</v>
      </c>
      <c r="AD204" s="1">
        <f ca="1">IFERROR(__xludf.DUMMYFUNCTION("""COMPUTED_VALUE"""),92)</f>
        <v>92</v>
      </c>
      <c r="AE204" s="1">
        <f ca="1">IFERROR(__xludf.DUMMYFUNCTION("""COMPUTED_VALUE"""),510)</f>
        <v>510</v>
      </c>
      <c r="AF204" s="1">
        <f ca="1">IFERROR(__xludf.DUMMYFUNCTION("""COMPUTED_VALUE"""),772)</f>
        <v>772</v>
      </c>
    </row>
    <row r="205" spans="1:32" ht="12.5" x14ac:dyDescent="0.25">
      <c r="A205" s="1" t="str">
        <f ca="1">IFERROR(__xludf.DUMMYFUNCTION("""COMPUTED_VALUE"""),"Missouri State")</f>
        <v>Missouri State</v>
      </c>
      <c r="B205" s="1">
        <f ca="1">IFERROR(__xludf.DUMMYFUNCTION("""COMPUTED_VALUE"""),33)</f>
        <v>33</v>
      </c>
      <c r="C205" s="1">
        <f ca="1">IFERROR(__xludf.DUMMYFUNCTION("""COMPUTED_VALUE"""),17)</f>
        <v>17</v>
      </c>
      <c r="D205" s="1">
        <f ca="1">IFERROR(__xludf.DUMMYFUNCTION("""COMPUTED_VALUE"""),16)</f>
        <v>16</v>
      </c>
      <c r="E205" s="1">
        <f ca="1">IFERROR(__xludf.DUMMYFUNCTION("""COMPUTED_VALUE"""),0.515)</f>
        <v>0.51500000000000001</v>
      </c>
      <c r="F205" s="1">
        <f ca="1">IFERROR(__xludf.DUMMYFUNCTION("""COMPUTED_VALUE"""),2.84)</f>
        <v>2.84</v>
      </c>
      <c r="G205" s="1">
        <f ca="1">IFERROR(__xludf.DUMMYFUNCTION("""COMPUTED_VALUE"""),1.18)</f>
        <v>1.18</v>
      </c>
      <c r="H205" s="1">
        <f ca="1">IFERROR(__xludf.DUMMYFUNCTION("""COMPUTED_VALUE"""),7)</f>
        <v>7</v>
      </c>
      <c r="I205" s="1">
        <f ca="1">IFERROR(__xludf.DUMMYFUNCTION("""COMPUTED_VALUE"""),11)</f>
        <v>11</v>
      </c>
      <c r="J205" s="1">
        <f ca="1">IFERROR(__xludf.DUMMYFUNCTION("""COMPUTED_VALUE"""),11)</f>
        <v>11</v>
      </c>
      <c r="K205" s="1">
        <f ca="1">IFERROR(__xludf.DUMMYFUNCTION("""COMPUTED_VALUE"""),6)</f>
        <v>6</v>
      </c>
      <c r="L205" s="1">
        <f ca="1">IFERROR(__xludf.DUMMYFUNCTION("""COMPUTED_VALUE"""),4)</f>
        <v>4</v>
      </c>
      <c r="M205" s="1">
        <f ca="1">IFERROR(__xludf.DUMMYFUNCTION("""COMPUTED_VALUE"""),8)</f>
        <v>8</v>
      </c>
      <c r="N205" s="1">
        <f ca="1">IFERROR(__xludf.DUMMYFUNCTION("""COMPUTED_VALUE"""),2403)</f>
        <v>2403</v>
      </c>
      <c r="O205" s="1">
        <f ca="1">IFERROR(__xludf.DUMMYFUNCTION("""COMPUTED_VALUE"""),2277)</f>
        <v>2277</v>
      </c>
      <c r="P205" s="1">
        <f ca="1">IFERROR(__xludf.DUMMYFUNCTION("""COMPUTED_VALUE"""),1345)</f>
        <v>1345</v>
      </c>
      <c r="Q205" s="1">
        <f ca="1">IFERROR(__xludf.DUMMYFUNCTION("""COMPUTED_VALUE"""),838)</f>
        <v>838</v>
      </c>
      <c r="R205" s="1">
        <f ca="1">IFERROR(__xludf.DUMMYFUNCTION("""COMPUTED_VALUE"""),1895)</f>
        <v>1895</v>
      </c>
      <c r="S205" s="1">
        <f ca="1">IFERROR(__xludf.DUMMYFUNCTION("""COMPUTED_VALUE"""),0.442)</f>
        <v>0.442</v>
      </c>
      <c r="T205" s="1">
        <f ca="1">IFERROR(__xludf.DUMMYFUNCTION("""COMPUTED_VALUE"""),270)</f>
        <v>270</v>
      </c>
      <c r="U205" s="1">
        <f ca="1">IFERROR(__xludf.DUMMYFUNCTION("""COMPUTED_VALUE"""),744)</f>
        <v>744</v>
      </c>
      <c r="V205" s="1">
        <f ca="1">IFERROR(__xludf.DUMMYFUNCTION("""COMPUTED_VALUE"""),0.363)</f>
        <v>0.36299999999999999</v>
      </c>
      <c r="W205" s="1">
        <f ca="1">IFERROR(__xludf.DUMMYFUNCTION("""COMPUTED_VALUE"""),457)</f>
        <v>457</v>
      </c>
      <c r="X205" s="1">
        <f ca="1">IFERROR(__xludf.DUMMYFUNCTION("""COMPUTED_VALUE"""),652)</f>
        <v>652</v>
      </c>
      <c r="Y205" s="1">
        <f ca="1">IFERROR(__xludf.DUMMYFUNCTION("""COMPUTED_VALUE"""),0.701)</f>
        <v>0.70099999999999996</v>
      </c>
      <c r="Z205" s="1">
        <f ca="1">IFERROR(__xludf.DUMMYFUNCTION("""COMPUTED_VALUE"""),377)</f>
        <v>377</v>
      </c>
      <c r="AA205" s="1">
        <f ca="1">IFERROR(__xludf.DUMMYFUNCTION("""COMPUTED_VALUE"""),1212)</f>
        <v>1212</v>
      </c>
      <c r="AB205" s="1">
        <f ca="1">IFERROR(__xludf.DUMMYFUNCTION("""COMPUTED_VALUE"""),403)</f>
        <v>403</v>
      </c>
      <c r="AC205" s="1">
        <f ca="1">IFERROR(__xludf.DUMMYFUNCTION("""COMPUTED_VALUE"""),176)</f>
        <v>176</v>
      </c>
      <c r="AD205" s="1">
        <f ca="1">IFERROR(__xludf.DUMMYFUNCTION("""COMPUTED_VALUE"""),127)</f>
        <v>127</v>
      </c>
      <c r="AE205" s="1">
        <f ca="1">IFERROR(__xludf.DUMMYFUNCTION("""COMPUTED_VALUE"""),406)</f>
        <v>406</v>
      </c>
      <c r="AF205" s="1">
        <f ca="1">IFERROR(__xludf.DUMMYFUNCTION("""COMPUTED_VALUE"""),585)</f>
        <v>585</v>
      </c>
    </row>
    <row r="206" spans="1:32" ht="12.5" x14ac:dyDescent="0.25">
      <c r="A206" s="1" t="str">
        <f ca="1">IFERROR(__xludf.DUMMYFUNCTION("""COMPUTED_VALUE"""),"Missouri")</f>
        <v>Missouri</v>
      </c>
      <c r="B206" s="1">
        <f ca="1">IFERROR(__xludf.DUMMYFUNCTION("""COMPUTED_VALUE"""),32)</f>
        <v>32</v>
      </c>
      <c r="C206" s="1">
        <f ca="1">IFERROR(__xludf.DUMMYFUNCTION("""COMPUTED_VALUE"""),8)</f>
        <v>8</v>
      </c>
      <c r="D206" s="1">
        <f ca="1">IFERROR(__xludf.DUMMYFUNCTION("""COMPUTED_VALUE"""),24)</f>
        <v>24</v>
      </c>
      <c r="E206" s="1">
        <f ca="1">IFERROR(__xludf.DUMMYFUNCTION("""COMPUTED_VALUE"""),0.25)</f>
        <v>0.25</v>
      </c>
      <c r="F206" s="1">
        <f ca="1">IFERROR(__xludf.DUMMYFUNCTION("""COMPUTED_VALUE"""),2.98)</f>
        <v>2.98</v>
      </c>
      <c r="G206" s="1">
        <f ca="1">IFERROR(__xludf.DUMMYFUNCTION("""COMPUTED_VALUE"""),6.73)</f>
        <v>6.73</v>
      </c>
      <c r="H206" s="1">
        <f ca="1">IFERROR(__xludf.DUMMYFUNCTION("""COMPUTED_VALUE"""),2)</f>
        <v>2</v>
      </c>
      <c r="I206" s="1">
        <f ca="1">IFERROR(__xludf.DUMMYFUNCTION("""COMPUTED_VALUE"""),16)</f>
        <v>16</v>
      </c>
      <c r="J206" s="1">
        <f ca="1">IFERROR(__xludf.DUMMYFUNCTION("""COMPUTED_VALUE"""),6)</f>
        <v>6</v>
      </c>
      <c r="K206" s="1">
        <f ca="1">IFERROR(__xludf.DUMMYFUNCTION("""COMPUTED_VALUE"""),11)</f>
        <v>11</v>
      </c>
      <c r="L206" s="1">
        <f ca="1">IFERROR(__xludf.DUMMYFUNCTION("""COMPUTED_VALUE"""),0)</f>
        <v>0</v>
      </c>
      <c r="M206" s="1">
        <f ca="1">IFERROR(__xludf.DUMMYFUNCTION("""COMPUTED_VALUE"""),9)</f>
        <v>9</v>
      </c>
      <c r="N206" s="1">
        <f ca="1">IFERROR(__xludf.DUMMYFUNCTION("""COMPUTED_VALUE"""),2213)</f>
        <v>2213</v>
      </c>
      <c r="O206" s="1">
        <f ca="1">IFERROR(__xludf.DUMMYFUNCTION("""COMPUTED_VALUE"""),2333)</f>
        <v>2333</v>
      </c>
      <c r="P206" s="1">
        <f ca="1">IFERROR(__xludf.DUMMYFUNCTION("""COMPUTED_VALUE"""),1290)</f>
        <v>1290</v>
      </c>
      <c r="Q206" s="1">
        <f ca="1">IFERROR(__xludf.DUMMYFUNCTION("""COMPUTED_VALUE"""),744)</f>
        <v>744</v>
      </c>
      <c r="R206" s="1">
        <f ca="1">IFERROR(__xludf.DUMMYFUNCTION("""COMPUTED_VALUE"""),1893)</f>
        <v>1893</v>
      </c>
      <c r="S206" s="1">
        <f ca="1">IFERROR(__xludf.DUMMYFUNCTION("""COMPUTED_VALUE"""),0.393)</f>
        <v>0.39300000000000002</v>
      </c>
      <c r="T206" s="1">
        <f ca="1">IFERROR(__xludf.DUMMYFUNCTION("""COMPUTED_VALUE"""),225)</f>
        <v>225</v>
      </c>
      <c r="U206" s="1">
        <f ca="1">IFERROR(__xludf.DUMMYFUNCTION("""COMPUTED_VALUE"""),739)</f>
        <v>739</v>
      </c>
      <c r="V206" s="1">
        <f ca="1">IFERROR(__xludf.DUMMYFUNCTION("""COMPUTED_VALUE"""),0.304)</f>
        <v>0.30399999999999999</v>
      </c>
      <c r="W206" s="1">
        <f ca="1">IFERROR(__xludf.DUMMYFUNCTION("""COMPUTED_VALUE"""),500)</f>
        <v>500</v>
      </c>
      <c r="X206" s="1">
        <f ca="1">IFERROR(__xludf.DUMMYFUNCTION("""COMPUTED_VALUE"""),732)</f>
        <v>732</v>
      </c>
      <c r="Y206" s="1">
        <f ca="1">IFERROR(__xludf.DUMMYFUNCTION("""COMPUTED_VALUE"""),0.683)</f>
        <v>0.68300000000000005</v>
      </c>
      <c r="Z206" s="1">
        <f ca="1">IFERROR(__xludf.DUMMYFUNCTION("""COMPUTED_VALUE"""),357)</f>
        <v>357</v>
      </c>
      <c r="AA206" s="1">
        <f ca="1">IFERROR(__xludf.DUMMYFUNCTION("""COMPUTED_VALUE"""),1168)</f>
        <v>1168</v>
      </c>
      <c r="AB206" s="1">
        <f ca="1">IFERROR(__xludf.DUMMYFUNCTION("""COMPUTED_VALUE"""),386)</f>
        <v>386</v>
      </c>
      <c r="AC206" s="1">
        <f ca="1">IFERROR(__xludf.DUMMYFUNCTION("""COMPUTED_VALUE"""),200)</f>
        <v>200</v>
      </c>
      <c r="AD206" s="1">
        <f ca="1">IFERROR(__xludf.DUMMYFUNCTION("""COMPUTED_VALUE"""),68)</f>
        <v>68</v>
      </c>
      <c r="AE206" s="1">
        <f ca="1">IFERROR(__xludf.DUMMYFUNCTION("""COMPUTED_VALUE"""),384)</f>
        <v>384</v>
      </c>
      <c r="AF206" s="1">
        <f ca="1">IFERROR(__xludf.DUMMYFUNCTION("""COMPUTED_VALUE"""),647)</f>
        <v>647</v>
      </c>
    </row>
    <row r="207" spans="1:32" ht="12.5" x14ac:dyDescent="0.25">
      <c r="A207" s="1" t="str">
        <f ca="1">IFERROR(__xludf.DUMMYFUNCTION("""COMPUTED_VALUE"""),"Monmouth")</f>
        <v>Monmouth</v>
      </c>
      <c r="B207" s="1">
        <f ca="1">IFERROR(__xludf.DUMMYFUNCTION("""COMPUTED_VALUE"""),34)</f>
        <v>34</v>
      </c>
      <c r="C207" s="1">
        <f ca="1">IFERROR(__xludf.DUMMYFUNCTION("""COMPUTED_VALUE"""),27)</f>
        <v>27</v>
      </c>
      <c r="D207" s="1">
        <f ca="1">IFERROR(__xludf.DUMMYFUNCTION("""COMPUTED_VALUE"""),7)</f>
        <v>7</v>
      </c>
      <c r="E207" s="1">
        <f ca="1">IFERROR(__xludf.DUMMYFUNCTION("""COMPUTED_VALUE"""),0.794)</f>
        <v>0.79400000000000004</v>
      </c>
      <c r="F207" s="1">
        <f ca="1">IFERROR(__xludf.DUMMYFUNCTION("""COMPUTED_VALUE"""),4.94)</f>
        <v>4.9400000000000004</v>
      </c>
      <c r="G207" s="1">
        <f ca="1">IFERROR(__xludf.DUMMYFUNCTION("""COMPUTED_VALUE"""),-2.62)</f>
        <v>-2.62</v>
      </c>
      <c r="H207" s="1">
        <f ca="1">IFERROR(__xludf.DUMMYFUNCTION("""COMPUTED_VALUE"""),18)</f>
        <v>18</v>
      </c>
      <c r="I207" s="1">
        <f ca="1">IFERROR(__xludf.DUMMYFUNCTION("""COMPUTED_VALUE"""),2)</f>
        <v>2</v>
      </c>
      <c r="J207" s="1">
        <f ca="1">IFERROR(__xludf.DUMMYFUNCTION("""COMPUTED_VALUE"""),13)</f>
        <v>13</v>
      </c>
      <c r="K207" s="1">
        <f ca="1">IFERROR(__xludf.DUMMYFUNCTION("""COMPUTED_VALUE"""),2)</f>
        <v>2</v>
      </c>
      <c r="L207" s="1">
        <f ca="1">IFERROR(__xludf.DUMMYFUNCTION("""COMPUTED_VALUE"""),12)</f>
        <v>12</v>
      </c>
      <c r="M207" s="1">
        <f ca="1">IFERROR(__xludf.DUMMYFUNCTION("""COMPUTED_VALUE"""),4)</f>
        <v>4</v>
      </c>
      <c r="N207" s="1">
        <f ca="1">IFERROR(__xludf.DUMMYFUNCTION("""COMPUTED_VALUE"""),2761)</f>
        <v>2761</v>
      </c>
      <c r="O207" s="1">
        <f ca="1">IFERROR(__xludf.DUMMYFUNCTION("""COMPUTED_VALUE"""),2504)</f>
        <v>2504</v>
      </c>
      <c r="P207" s="1">
        <f ca="1">IFERROR(__xludf.DUMMYFUNCTION("""COMPUTED_VALUE"""),1375)</f>
        <v>1375</v>
      </c>
      <c r="Q207" s="1">
        <f ca="1">IFERROR(__xludf.DUMMYFUNCTION("""COMPUTED_VALUE"""),929)</f>
        <v>929</v>
      </c>
      <c r="R207" s="1">
        <f ca="1">IFERROR(__xludf.DUMMYFUNCTION("""COMPUTED_VALUE"""),2127)</f>
        <v>2127</v>
      </c>
      <c r="S207" s="1">
        <f ca="1">IFERROR(__xludf.DUMMYFUNCTION("""COMPUTED_VALUE"""),0.437)</f>
        <v>0.437</v>
      </c>
      <c r="T207" s="1">
        <f ca="1">IFERROR(__xludf.DUMMYFUNCTION("""COMPUTED_VALUE"""),303)</f>
        <v>303</v>
      </c>
      <c r="U207" s="1">
        <f ca="1">IFERROR(__xludf.DUMMYFUNCTION("""COMPUTED_VALUE"""),813)</f>
        <v>813</v>
      </c>
      <c r="V207" s="1">
        <f ca="1">IFERROR(__xludf.DUMMYFUNCTION("""COMPUTED_VALUE"""),0.373)</f>
        <v>0.373</v>
      </c>
      <c r="W207" s="1">
        <f ca="1">IFERROR(__xludf.DUMMYFUNCTION("""COMPUTED_VALUE"""),600)</f>
        <v>600</v>
      </c>
      <c r="X207" s="1">
        <f ca="1">IFERROR(__xludf.DUMMYFUNCTION("""COMPUTED_VALUE"""),793)</f>
        <v>793</v>
      </c>
      <c r="Y207" s="1">
        <f ca="1">IFERROR(__xludf.DUMMYFUNCTION("""COMPUTED_VALUE"""),0.757)</f>
        <v>0.75700000000000001</v>
      </c>
      <c r="Z207" s="1">
        <f ca="1">IFERROR(__xludf.DUMMYFUNCTION("""COMPUTED_VALUE"""),380)</f>
        <v>380</v>
      </c>
      <c r="AA207" s="1">
        <f ca="1">IFERROR(__xludf.DUMMYFUNCTION("""COMPUTED_VALUE"""),1310)</f>
        <v>1310</v>
      </c>
      <c r="AB207" s="1">
        <f ca="1">IFERROR(__xludf.DUMMYFUNCTION("""COMPUTED_VALUE"""),431)</f>
        <v>431</v>
      </c>
      <c r="AC207" s="1">
        <f ca="1">IFERROR(__xludf.DUMMYFUNCTION("""COMPUTED_VALUE"""),235)</f>
        <v>235</v>
      </c>
      <c r="AD207" s="1">
        <f ca="1">IFERROR(__xludf.DUMMYFUNCTION("""COMPUTED_VALUE"""),155)</f>
        <v>155</v>
      </c>
      <c r="AE207" s="1">
        <f ca="1">IFERROR(__xludf.DUMMYFUNCTION("""COMPUTED_VALUE"""),425)</f>
        <v>425</v>
      </c>
      <c r="AF207" s="1">
        <f ca="1">IFERROR(__xludf.DUMMYFUNCTION("""COMPUTED_VALUE"""),697)</f>
        <v>697</v>
      </c>
    </row>
    <row r="208" spans="1:32" ht="12.5" x14ac:dyDescent="0.25">
      <c r="A208" s="1" t="str">
        <f ca="1">IFERROR(__xludf.DUMMYFUNCTION("""COMPUTED_VALUE"""),"Montana State")</f>
        <v>Montana State</v>
      </c>
      <c r="B208" s="1">
        <f ca="1">IFERROR(__xludf.DUMMYFUNCTION("""COMPUTED_VALUE"""),32)</f>
        <v>32</v>
      </c>
      <c r="C208" s="1">
        <f ca="1">IFERROR(__xludf.DUMMYFUNCTION("""COMPUTED_VALUE"""),16)</f>
        <v>16</v>
      </c>
      <c r="D208" s="1">
        <f ca="1">IFERROR(__xludf.DUMMYFUNCTION("""COMPUTED_VALUE"""),16)</f>
        <v>16</v>
      </c>
      <c r="E208" s="1">
        <f ca="1">IFERROR(__xludf.DUMMYFUNCTION("""COMPUTED_VALUE"""),0.5)</f>
        <v>0.5</v>
      </c>
      <c r="F208" s="1">
        <f ca="1">IFERROR(__xludf.DUMMYFUNCTION("""COMPUTED_VALUE"""),-6.14)</f>
        <v>-6.14</v>
      </c>
      <c r="G208" s="1">
        <f ca="1">IFERROR(__xludf.DUMMYFUNCTION("""COMPUTED_VALUE"""),-5.88)</f>
        <v>-5.88</v>
      </c>
      <c r="H208" s="1">
        <f ca="1">IFERROR(__xludf.DUMMYFUNCTION("""COMPUTED_VALUE"""),11)</f>
        <v>11</v>
      </c>
      <c r="I208" s="1">
        <f ca="1">IFERROR(__xludf.DUMMYFUNCTION("""COMPUTED_VALUE"""),7)</f>
        <v>7</v>
      </c>
      <c r="J208" s="1">
        <f ca="1">IFERROR(__xludf.DUMMYFUNCTION("""COMPUTED_VALUE"""),12)</f>
        <v>12</v>
      </c>
      <c r="K208" s="1">
        <f ca="1">IFERROR(__xludf.DUMMYFUNCTION("""COMPUTED_VALUE"""),5)</f>
        <v>5</v>
      </c>
      <c r="L208" s="1">
        <f ca="1">IFERROR(__xludf.DUMMYFUNCTION("""COMPUTED_VALUE"""),4)</f>
        <v>4</v>
      </c>
      <c r="M208" s="1">
        <f ca="1">IFERROR(__xludf.DUMMYFUNCTION("""COMPUTED_VALUE"""),10)</f>
        <v>10</v>
      </c>
      <c r="N208" s="1">
        <f ca="1">IFERROR(__xludf.DUMMYFUNCTION("""COMPUTED_VALUE"""),2561)</f>
        <v>2561</v>
      </c>
      <c r="O208" s="1">
        <f ca="1">IFERROR(__xludf.DUMMYFUNCTION("""COMPUTED_VALUE"""),2532)</f>
        <v>2532</v>
      </c>
      <c r="P208" s="1">
        <f ca="1">IFERROR(__xludf.DUMMYFUNCTION("""COMPUTED_VALUE"""),1320)</f>
        <v>1320</v>
      </c>
      <c r="Q208" s="1">
        <f ca="1">IFERROR(__xludf.DUMMYFUNCTION("""COMPUTED_VALUE"""),857)</f>
        <v>857</v>
      </c>
      <c r="R208" s="1">
        <f ca="1">IFERROR(__xludf.DUMMYFUNCTION("""COMPUTED_VALUE"""),1968)</f>
        <v>1968</v>
      </c>
      <c r="S208" s="1">
        <f ca="1">IFERROR(__xludf.DUMMYFUNCTION("""COMPUTED_VALUE"""),0.435)</f>
        <v>0.435</v>
      </c>
      <c r="T208" s="1">
        <f ca="1">IFERROR(__xludf.DUMMYFUNCTION("""COMPUTED_VALUE"""),320)</f>
        <v>320</v>
      </c>
      <c r="U208" s="1">
        <f ca="1">IFERROR(__xludf.DUMMYFUNCTION("""COMPUTED_VALUE"""),853)</f>
        <v>853</v>
      </c>
      <c r="V208" s="1">
        <f ca="1">IFERROR(__xludf.DUMMYFUNCTION("""COMPUTED_VALUE"""),0.375)</f>
        <v>0.375</v>
      </c>
      <c r="W208" s="1">
        <f ca="1">IFERROR(__xludf.DUMMYFUNCTION("""COMPUTED_VALUE"""),527)</f>
        <v>527</v>
      </c>
      <c r="X208" s="1">
        <f ca="1">IFERROR(__xludf.DUMMYFUNCTION("""COMPUTED_VALUE"""),722)</f>
        <v>722</v>
      </c>
      <c r="Y208" s="1">
        <f ca="1">IFERROR(__xludf.DUMMYFUNCTION("""COMPUTED_VALUE"""),0.73)</f>
        <v>0.73</v>
      </c>
      <c r="Z208" s="1">
        <f ca="1">IFERROR(__xludf.DUMMYFUNCTION("""COMPUTED_VALUE"""),336)</f>
        <v>336</v>
      </c>
      <c r="AA208" s="1">
        <f ca="1">IFERROR(__xludf.DUMMYFUNCTION("""COMPUTED_VALUE"""),1167)</f>
        <v>1167</v>
      </c>
      <c r="AB208" s="1">
        <f ca="1">IFERROR(__xludf.DUMMYFUNCTION("""COMPUTED_VALUE"""),423)</f>
        <v>423</v>
      </c>
      <c r="AC208" s="1">
        <f ca="1">IFERROR(__xludf.DUMMYFUNCTION("""COMPUTED_VALUE"""),181)</f>
        <v>181</v>
      </c>
      <c r="AD208" s="1">
        <f ca="1">IFERROR(__xludf.DUMMYFUNCTION("""COMPUTED_VALUE"""),74)</f>
        <v>74</v>
      </c>
      <c r="AE208" s="1">
        <f ca="1">IFERROR(__xludf.DUMMYFUNCTION("""COMPUTED_VALUE"""),393)</f>
        <v>393</v>
      </c>
      <c r="AF208" s="1">
        <f ca="1">IFERROR(__xludf.DUMMYFUNCTION("""COMPUTED_VALUE"""),732)</f>
        <v>732</v>
      </c>
    </row>
    <row r="209" spans="1:32" ht="12.5" x14ac:dyDescent="0.25">
      <c r="A209" s="1" t="str">
        <f ca="1">IFERROR(__xludf.DUMMYFUNCTION("""COMPUTED_VALUE"""),"Montana")</f>
        <v>Montana</v>
      </c>
      <c r="B209" s="1">
        <f ca="1">IFERROR(__xludf.DUMMYFUNCTION("""COMPUTED_VALUE"""),32)</f>
        <v>32</v>
      </c>
      <c r="C209" s="1">
        <f ca="1">IFERROR(__xludf.DUMMYFUNCTION("""COMPUTED_VALUE"""),16)</f>
        <v>16</v>
      </c>
      <c r="D209" s="1">
        <f ca="1">IFERROR(__xludf.DUMMYFUNCTION("""COMPUTED_VALUE"""),16)</f>
        <v>16</v>
      </c>
      <c r="E209" s="1">
        <f ca="1">IFERROR(__xludf.DUMMYFUNCTION("""COMPUTED_VALUE"""),0.5)</f>
        <v>0.5</v>
      </c>
      <c r="F209" s="1">
        <f ca="1">IFERROR(__xludf.DUMMYFUNCTION("""COMPUTED_VALUE"""),-2.67)</f>
        <v>-2.67</v>
      </c>
      <c r="G209" s="1">
        <f ca="1">IFERROR(__xludf.DUMMYFUNCTION("""COMPUTED_VALUE"""),-4.02)</f>
        <v>-4.0199999999999996</v>
      </c>
      <c r="H209" s="1">
        <f ca="1">IFERROR(__xludf.DUMMYFUNCTION("""COMPUTED_VALUE"""),11)</f>
        <v>11</v>
      </c>
      <c r="I209" s="1">
        <f ca="1">IFERROR(__xludf.DUMMYFUNCTION("""COMPUTED_VALUE"""),7)</f>
        <v>7</v>
      </c>
      <c r="J209" s="1">
        <f ca="1">IFERROR(__xludf.DUMMYFUNCTION("""COMPUTED_VALUE"""),8)</f>
        <v>8</v>
      </c>
      <c r="K209" s="1">
        <f ca="1">IFERROR(__xludf.DUMMYFUNCTION("""COMPUTED_VALUE"""),5)</f>
        <v>5</v>
      </c>
      <c r="L209" s="1">
        <f ca="1">IFERROR(__xludf.DUMMYFUNCTION("""COMPUTED_VALUE"""),7)</f>
        <v>7</v>
      </c>
      <c r="M209" s="1">
        <f ca="1">IFERROR(__xludf.DUMMYFUNCTION("""COMPUTED_VALUE"""),8)</f>
        <v>8</v>
      </c>
      <c r="N209" s="1">
        <f ca="1">IFERROR(__xludf.DUMMYFUNCTION("""COMPUTED_VALUE"""),2391)</f>
        <v>2391</v>
      </c>
      <c r="O209" s="1">
        <f ca="1">IFERROR(__xludf.DUMMYFUNCTION("""COMPUTED_VALUE"""),2348)</f>
        <v>2348</v>
      </c>
      <c r="P209" s="1">
        <f ca="1">IFERROR(__xludf.DUMMYFUNCTION("""COMPUTED_VALUE"""),1290)</f>
        <v>1290</v>
      </c>
      <c r="Q209" s="1">
        <f ca="1">IFERROR(__xludf.DUMMYFUNCTION("""COMPUTED_VALUE"""),843)</f>
        <v>843</v>
      </c>
      <c r="R209" s="1">
        <f ca="1">IFERROR(__xludf.DUMMYFUNCTION("""COMPUTED_VALUE"""),1879)</f>
        <v>1879</v>
      </c>
      <c r="S209" s="1">
        <f ca="1">IFERROR(__xludf.DUMMYFUNCTION("""COMPUTED_VALUE"""),0.449)</f>
        <v>0.44900000000000001</v>
      </c>
      <c r="T209" s="1">
        <f ca="1">IFERROR(__xludf.DUMMYFUNCTION("""COMPUTED_VALUE"""),238)</f>
        <v>238</v>
      </c>
      <c r="U209" s="1">
        <f ca="1">IFERROR(__xludf.DUMMYFUNCTION("""COMPUTED_VALUE"""),667)</f>
        <v>667</v>
      </c>
      <c r="V209" s="1">
        <f ca="1">IFERROR(__xludf.DUMMYFUNCTION("""COMPUTED_VALUE"""),0.357)</f>
        <v>0.35699999999999998</v>
      </c>
      <c r="W209" s="1">
        <f ca="1">IFERROR(__xludf.DUMMYFUNCTION("""COMPUTED_VALUE"""),467)</f>
        <v>467</v>
      </c>
      <c r="X209" s="1">
        <f ca="1">IFERROR(__xludf.DUMMYFUNCTION("""COMPUTED_VALUE"""),621)</f>
        <v>621</v>
      </c>
      <c r="Y209" s="1">
        <f ca="1">IFERROR(__xludf.DUMMYFUNCTION("""COMPUTED_VALUE"""),0.752)</f>
        <v>0.752</v>
      </c>
      <c r="Z209" s="1">
        <f ca="1">IFERROR(__xludf.DUMMYFUNCTION("""COMPUTED_VALUE"""),310)</f>
        <v>310</v>
      </c>
      <c r="AA209" s="1">
        <f ca="1">IFERROR(__xludf.DUMMYFUNCTION("""COMPUTED_VALUE"""),1084)</f>
        <v>1084</v>
      </c>
      <c r="AB209" s="1">
        <f ca="1">IFERROR(__xludf.DUMMYFUNCTION("""COMPUTED_VALUE"""),416)</f>
        <v>416</v>
      </c>
      <c r="AC209" s="1">
        <f ca="1">IFERROR(__xludf.DUMMYFUNCTION("""COMPUTED_VALUE"""),181)</f>
        <v>181</v>
      </c>
      <c r="AD209" s="1">
        <f ca="1">IFERROR(__xludf.DUMMYFUNCTION("""COMPUTED_VALUE"""),91)</f>
        <v>91</v>
      </c>
      <c r="AE209" s="1">
        <f ca="1">IFERROR(__xludf.DUMMYFUNCTION("""COMPUTED_VALUE"""),345)</f>
        <v>345</v>
      </c>
      <c r="AF209" s="1">
        <f ca="1">IFERROR(__xludf.DUMMYFUNCTION("""COMPUTED_VALUE"""),699)</f>
        <v>699</v>
      </c>
    </row>
    <row r="210" spans="1:32" ht="12.5" x14ac:dyDescent="0.25">
      <c r="A210" s="1" t="str">
        <f ca="1">IFERROR(__xludf.DUMMYFUNCTION("""COMPUTED_VALUE"""),"Morehead State")</f>
        <v>Morehead State</v>
      </c>
      <c r="B210" s="1">
        <f ca="1">IFERROR(__xludf.DUMMYFUNCTION("""COMPUTED_VALUE"""),30)</f>
        <v>30</v>
      </c>
      <c r="C210" s="1">
        <f ca="1">IFERROR(__xludf.DUMMYFUNCTION("""COMPUTED_VALUE"""),14)</f>
        <v>14</v>
      </c>
      <c r="D210" s="1">
        <f ca="1">IFERROR(__xludf.DUMMYFUNCTION("""COMPUTED_VALUE"""),16)</f>
        <v>16</v>
      </c>
      <c r="E210" s="1">
        <f ca="1">IFERROR(__xludf.DUMMYFUNCTION("""COMPUTED_VALUE"""),0.467)</f>
        <v>0.46700000000000003</v>
      </c>
      <c r="F210" s="1">
        <f ca="1">IFERROR(__xludf.DUMMYFUNCTION("""COMPUTED_VALUE"""),-3.6)</f>
        <v>-3.6</v>
      </c>
      <c r="G210" s="1">
        <f ca="1">IFERROR(__xludf.DUMMYFUNCTION("""COMPUTED_VALUE"""),-1.85)</f>
        <v>-1.85</v>
      </c>
      <c r="H210" s="1">
        <f ca="1">IFERROR(__xludf.DUMMYFUNCTION("""COMPUTED_VALUE"""),10)</f>
        <v>10</v>
      </c>
      <c r="I210" s="1">
        <f ca="1">IFERROR(__xludf.DUMMYFUNCTION("""COMPUTED_VALUE"""),6)</f>
        <v>6</v>
      </c>
      <c r="J210" s="1">
        <f ca="1">IFERROR(__xludf.DUMMYFUNCTION("""COMPUTED_VALUE"""),10)</f>
        <v>10</v>
      </c>
      <c r="K210" s="1">
        <f ca="1">IFERROR(__xludf.DUMMYFUNCTION("""COMPUTED_VALUE"""),4)</f>
        <v>4</v>
      </c>
      <c r="L210" s="1">
        <f ca="1">IFERROR(__xludf.DUMMYFUNCTION("""COMPUTED_VALUE"""),4)</f>
        <v>4</v>
      </c>
      <c r="M210" s="1">
        <f ca="1">IFERROR(__xludf.DUMMYFUNCTION("""COMPUTED_VALUE"""),11)</f>
        <v>11</v>
      </c>
      <c r="N210" s="1">
        <f ca="1">IFERROR(__xludf.DUMMYFUNCTION("""COMPUTED_VALUE"""),2370)</f>
        <v>2370</v>
      </c>
      <c r="O210" s="1">
        <f ca="1">IFERROR(__xludf.DUMMYFUNCTION("""COMPUTED_VALUE"""),2311)</f>
        <v>2311</v>
      </c>
      <c r="P210" s="1">
        <f ca="1">IFERROR(__xludf.DUMMYFUNCTION("""COMPUTED_VALUE"""),1215)</f>
        <v>1215</v>
      </c>
      <c r="Q210" s="1">
        <f ca="1">IFERROR(__xludf.DUMMYFUNCTION("""COMPUTED_VALUE"""),878)</f>
        <v>878</v>
      </c>
      <c r="R210" s="1">
        <f ca="1">IFERROR(__xludf.DUMMYFUNCTION("""COMPUTED_VALUE"""),1906)</f>
        <v>1906</v>
      </c>
      <c r="S210" s="1">
        <f ca="1">IFERROR(__xludf.DUMMYFUNCTION("""COMPUTED_VALUE"""),0.461)</f>
        <v>0.46100000000000002</v>
      </c>
      <c r="T210" s="1">
        <f ca="1">IFERROR(__xludf.DUMMYFUNCTION("""COMPUTED_VALUE"""),219)</f>
        <v>219</v>
      </c>
      <c r="U210" s="1">
        <f ca="1">IFERROR(__xludf.DUMMYFUNCTION("""COMPUTED_VALUE"""),568)</f>
        <v>568</v>
      </c>
      <c r="V210" s="1">
        <f ca="1">IFERROR(__xludf.DUMMYFUNCTION("""COMPUTED_VALUE"""),0.386)</f>
        <v>0.38600000000000001</v>
      </c>
      <c r="W210" s="1">
        <f ca="1">IFERROR(__xludf.DUMMYFUNCTION("""COMPUTED_VALUE"""),395)</f>
        <v>395</v>
      </c>
      <c r="X210" s="1">
        <f ca="1">IFERROR(__xludf.DUMMYFUNCTION("""COMPUTED_VALUE"""),544)</f>
        <v>544</v>
      </c>
      <c r="Y210" s="1">
        <f ca="1">IFERROR(__xludf.DUMMYFUNCTION("""COMPUTED_VALUE"""),0.726)</f>
        <v>0.72599999999999998</v>
      </c>
      <c r="Z210" s="1">
        <f ca="1">IFERROR(__xludf.DUMMYFUNCTION("""COMPUTED_VALUE"""),396)</f>
        <v>396</v>
      </c>
      <c r="AA210" s="1">
        <f ca="1">IFERROR(__xludf.DUMMYFUNCTION("""COMPUTED_VALUE"""),1129)</f>
        <v>1129</v>
      </c>
      <c r="AB210" s="1">
        <f ca="1">IFERROR(__xludf.DUMMYFUNCTION("""COMPUTED_VALUE"""),482)</f>
        <v>482</v>
      </c>
      <c r="AC210" s="1">
        <f ca="1">IFERROR(__xludf.DUMMYFUNCTION("""COMPUTED_VALUE"""),202)</f>
        <v>202</v>
      </c>
      <c r="AD210" s="1">
        <f ca="1">IFERROR(__xludf.DUMMYFUNCTION("""COMPUTED_VALUE"""),95)</f>
        <v>95</v>
      </c>
      <c r="AE210" s="1">
        <f ca="1">IFERROR(__xludf.DUMMYFUNCTION("""COMPUTED_VALUE"""),404)</f>
        <v>404</v>
      </c>
      <c r="AF210" s="1">
        <f ca="1">IFERROR(__xludf.DUMMYFUNCTION("""COMPUTED_VALUE"""),633)</f>
        <v>633</v>
      </c>
    </row>
    <row r="211" spans="1:32" ht="12.5" x14ac:dyDescent="0.25">
      <c r="A211" s="1" t="str">
        <f ca="1">IFERROR(__xludf.DUMMYFUNCTION("""COMPUTED_VALUE"""),"Morgan State")</f>
        <v>Morgan State</v>
      </c>
      <c r="B211" s="1">
        <f ca="1">IFERROR(__xludf.DUMMYFUNCTION("""COMPUTED_VALUE"""),30)</f>
        <v>30</v>
      </c>
      <c r="C211" s="1">
        <f ca="1">IFERROR(__xludf.DUMMYFUNCTION("""COMPUTED_VALUE"""),14)</f>
        <v>14</v>
      </c>
      <c r="D211" s="1">
        <f ca="1">IFERROR(__xludf.DUMMYFUNCTION("""COMPUTED_VALUE"""),16)</f>
        <v>16</v>
      </c>
      <c r="E211" s="1">
        <f ca="1">IFERROR(__xludf.DUMMYFUNCTION("""COMPUTED_VALUE"""),0.467)</f>
        <v>0.46700000000000003</v>
      </c>
      <c r="F211" s="1">
        <f ca="1">IFERROR(__xludf.DUMMYFUNCTION("""COMPUTED_VALUE"""),-15.03)</f>
        <v>-15.03</v>
      </c>
      <c r="G211" s="1">
        <f ca="1">IFERROR(__xludf.DUMMYFUNCTION("""COMPUTED_VALUE"""),-11.2)</f>
        <v>-11.2</v>
      </c>
      <c r="H211" s="1">
        <f ca="1">IFERROR(__xludf.DUMMYFUNCTION("""COMPUTED_VALUE"""),11)</f>
        <v>11</v>
      </c>
      <c r="I211" s="1">
        <f ca="1">IFERROR(__xludf.DUMMYFUNCTION("""COMPUTED_VALUE"""),5)</f>
        <v>5</v>
      </c>
      <c r="J211" s="1">
        <f ca="1">IFERROR(__xludf.DUMMYFUNCTION("""COMPUTED_VALUE"""),9)</f>
        <v>9</v>
      </c>
      <c r="K211" s="1">
        <f ca="1">IFERROR(__xludf.DUMMYFUNCTION("""COMPUTED_VALUE"""),5)</f>
        <v>5</v>
      </c>
      <c r="L211" s="1">
        <f ca="1">IFERROR(__xludf.DUMMYFUNCTION("""COMPUTED_VALUE"""),5)</f>
        <v>5</v>
      </c>
      <c r="M211" s="1">
        <f ca="1">IFERROR(__xludf.DUMMYFUNCTION("""COMPUTED_VALUE"""),10)</f>
        <v>10</v>
      </c>
      <c r="N211" s="1">
        <f ca="1">IFERROR(__xludf.DUMMYFUNCTION("""COMPUTED_VALUE"""),2025)</f>
        <v>2025</v>
      </c>
      <c r="O211" s="1">
        <f ca="1">IFERROR(__xludf.DUMMYFUNCTION("""COMPUTED_VALUE"""),2121)</f>
        <v>2121</v>
      </c>
      <c r="P211" s="1">
        <f ca="1">IFERROR(__xludf.DUMMYFUNCTION("""COMPUTED_VALUE"""),1210)</f>
        <v>1210</v>
      </c>
      <c r="Q211" s="1">
        <f ca="1">IFERROR(__xludf.DUMMYFUNCTION("""COMPUTED_VALUE"""),691)</f>
        <v>691</v>
      </c>
      <c r="R211" s="1">
        <f ca="1">IFERROR(__xludf.DUMMYFUNCTION("""COMPUTED_VALUE"""),1793)</f>
        <v>1793</v>
      </c>
      <c r="S211" s="1">
        <f ca="1">IFERROR(__xludf.DUMMYFUNCTION("""COMPUTED_VALUE"""),0.385)</f>
        <v>0.38500000000000001</v>
      </c>
      <c r="T211" s="1">
        <f ca="1">IFERROR(__xludf.DUMMYFUNCTION("""COMPUTED_VALUE"""),159)</f>
        <v>159</v>
      </c>
      <c r="U211" s="1">
        <f ca="1">IFERROR(__xludf.DUMMYFUNCTION("""COMPUTED_VALUE"""),541)</f>
        <v>541</v>
      </c>
      <c r="V211" s="1">
        <f ca="1">IFERROR(__xludf.DUMMYFUNCTION("""COMPUTED_VALUE"""),0.294)</f>
        <v>0.29399999999999998</v>
      </c>
      <c r="W211" s="1">
        <f ca="1">IFERROR(__xludf.DUMMYFUNCTION("""COMPUTED_VALUE"""),484)</f>
        <v>484</v>
      </c>
      <c r="X211" s="1">
        <f ca="1">IFERROR(__xludf.DUMMYFUNCTION("""COMPUTED_VALUE"""),681)</f>
        <v>681</v>
      </c>
      <c r="Y211" s="1">
        <f ca="1">IFERROR(__xludf.DUMMYFUNCTION("""COMPUTED_VALUE"""),0.711)</f>
        <v>0.71099999999999997</v>
      </c>
      <c r="Z211" s="1">
        <f ca="1">IFERROR(__xludf.DUMMYFUNCTION("""COMPUTED_VALUE"""),424)</f>
        <v>424</v>
      </c>
      <c r="AA211" s="1">
        <f ca="1">IFERROR(__xludf.DUMMYFUNCTION("""COMPUTED_VALUE"""),1168)</f>
        <v>1168</v>
      </c>
      <c r="AB211" s="1">
        <f ca="1">IFERROR(__xludf.DUMMYFUNCTION("""COMPUTED_VALUE"""),322)</f>
        <v>322</v>
      </c>
      <c r="AC211" s="1">
        <f ca="1">IFERROR(__xludf.DUMMYFUNCTION("""COMPUTED_VALUE"""),170)</f>
        <v>170</v>
      </c>
      <c r="AD211" s="1">
        <f ca="1">IFERROR(__xludf.DUMMYFUNCTION("""COMPUTED_VALUE"""),101)</f>
        <v>101</v>
      </c>
      <c r="AE211" s="1">
        <f ca="1">IFERROR(__xludf.DUMMYFUNCTION("""COMPUTED_VALUE"""),420)</f>
        <v>420</v>
      </c>
      <c r="AF211" s="1">
        <f ca="1">IFERROR(__xludf.DUMMYFUNCTION("""COMPUTED_VALUE"""),602)</f>
        <v>602</v>
      </c>
    </row>
    <row r="212" spans="1:32" ht="12.5" x14ac:dyDescent="0.25">
      <c r="A212" s="1" t="str">
        <f ca="1">IFERROR(__xludf.DUMMYFUNCTION("""COMPUTED_VALUE"""),"Mount St. Mary'sNCAA")</f>
        <v>Mount St. Mary'sNCAA</v>
      </c>
      <c r="B212" s="1">
        <f ca="1">IFERROR(__xludf.DUMMYFUNCTION("""COMPUTED_VALUE"""),36)</f>
        <v>36</v>
      </c>
      <c r="C212" s="1">
        <f ca="1">IFERROR(__xludf.DUMMYFUNCTION("""COMPUTED_VALUE"""),20)</f>
        <v>20</v>
      </c>
      <c r="D212" s="1">
        <f ca="1">IFERROR(__xludf.DUMMYFUNCTION("""COMPUTED_VALUE"""),16)</f>
        <v>16</v>
      </c>
      <c r="E212" s="1">
        <f ca="1">IFERROR(__xludf.DUMMYFUNCTION("""COMPUTED_VALUE"""),0.556)</f>
        <v>0.55600000000000005</v>
      </c>
      <c r="F212" s="1">
        <f ca="1">IFERROR(__xludf.DUMMYFUNCTION("""COMPUTED_VALUE"""),-4.29)</f>
        <v>-4.29</v>
      </c>
      <c r="G212" s="1">
        <f ca="1">IFERROR(__xludf.DUMMYFUNCTION("""COMPUTED_VALUE"""),-3.51)</f>
        <v>-3.51</v>
      </c>
      <c r="H212" s="1">
        <f ca="1">IFERROR(__xludf.DUMMYFUNCTION("""COMPUTED_VALUE"""),14)</f>
        <v>14</v>
      </c>
      <c r="I212" s="1">
        <f ca="1">IFERROR(__xludf.DUMMYFUNCTION("""COMPUTED_VALUE"""),4)</f>
        <v>4</v>
      </c>
      <c r="J212" s="1">
        <f ca="1">IFERROR(__xludf.DUMMYFUNCTION("""COMPUTED_VALUE"""),11)</f>
        <v>11</v>
      </c>
      <c r="K212" s="1">
        <f ca="1">IFERROR(__xludf.DUMMYFUNCTION("""COMPUTED_VALUE"""),4)</f>
        <v>4</v>
      </c>
      <c r="L212" s="1">
        <f ca="1">IFERROR(__xludf.DUMMYFUNCTION("""COMPUTED_VALUE"""),8)</f>
        <v>8</v>
      </c>
      <c r="M212" s="1">
        <f ca="1">IFERROR(__xludf.DUMMYFUNCTION("""COMPUTED_VALUE"""),11)</f>
        <v>11</v>
      </c>
      <c r="N212" s="1">
        <f ca="1">IFERROR(__xludf.DUMMYFUNCTION("""COMPUTED_VALUE"""),2446)</f>
        <v>2446</v>
      </c>
      <c r="O212" s="1">
        <f ca="1">IFERROR(__xludf.DUMMYFUNCTION("""COMPUTED_VALUE"""),2474)</f>
        <v>2474</v>
      </c>
      <c r="P212" s="1">
        <f ca="1">IFERROR(__xludf.DUMMYFUNCTION("""COMPUTED_VALUE"""),1445)</f>
        <v>1445</v>
      </c>
      <c r="Q212" s="1">
        <f ca="1">IFERROR(__xludf.DUMMYFUNCTION("""COMPUTED_VALUE"""),877)</f>
        <v>877</v>
      </c>
      <c r="R212" s="1">
        <f ca="1">IFERROR(__xludf.DUMMYFUNCTION("""COMPUTED_VALUE"""),1977)</f>
        <v>1977</v>
      </c>
      <c r="S212" s="1">
        <f ca="1">IFERROR(__xludf.DUMMYFUNCTION("""COMPUTED_VALUE"""),0.444)</f>
        <v>0.44400000000000001</v>
      </c>
      <c r="T212" s="1">
        <f ca="1">IFERROR(__xludf.DUMMYFUNCTION("""COMPUTED_VALUE"""),261)</f>
        <v>261</v>
      </c>
      <c r="U212" s="1">
        <f ca="1">IFERROR(__xludf.DUMMYFUNCTION("""COMPUTED_VALUE"""),730)</f>
        <v>730</v>
      </c>
      <c r="V212" s="1">
        <f ca="1">IFERROR(__xludf.DUMMYFUNCTION("""COMPUTED_VALUE"""),0.358)</f>
        <v>0.35799999999999998</v>
      </c>
      <c r="W212" s="1">
        <f ca="1">IFERROR(__xludf.DUMMYFUNCTION("""COMPUTED_VALUE"""),431)</f>
        <v>431</v>
      </c>
      <c r="X212" s="1">
        <f ca="1">IFERROR(__xludf.DUMMYFUNCTION("""COMPUTED_VALUE"""),640)</f>
        <v>640</v>
      </c>
      <c r="Y212" s="1">
        <f ca="1">IFERROR(__xludf.DUMMYFUNCTION("""COMPUTED_VALUE"""),0.673)</f>
        <v>0.67300000000000004</v>
      </c>
      <c r="Z212" s="1">
        <f ca="1">IFERROR(__xludf.DUMMYFUNCTION("""COMPUTED_VALUE"""),276)</f>
        <v>276</v>
      </c>
      <c r="AA212" s="1">
        <f ca="1">IFERROR(__xludf.DUMMYFUNCTION("""COMPUTED_VALUE"""),1082)</f>
        <v>1082</v>
      </c>
      <c r="AB212" s="1">
        <f ca="1">IFERROR(__xludf.DUMMYFUNCTION("""COMPUTED_VALUE"""),403)</f>
        <v>403</v>
      </c>
      <c r="AC212" s="1">
        <f ca="1">IFERROR(__xludf.DUMMYFUNCTION("""COMPUTED_VALUE"""),222)</f>
        <v>222</v>
      </c>
      <c r="AD212" s="1">
        <f ca="1">IFERROR(__xludf.DUMMYFUNCTION("""COMPUTED_VALUE"""),142)</f>
        <v>142</v>
      </c>
      <c r="AE212" s="1">
        <f ca="1">IFERROR(__xludf.DUMMYFUNCTION("""COMPUTED_VALUE"""),472)</f>
        <v>472</v>
      </c>
      <c r="AF212" s="1">
        <f ca="1">IFERROR(__xludf.DUMMYFUNCTION("""COMPUTED_VALUE"""),640)</f>
        <v>640</v>
      </c>
    </row>
    <row r="213" spans="1:32" ht="12.5" x14ac:dyDescent="0.25">
      <c r="A213" s="1" t="str">
        <f ca="1">IFERROR(__xludf.DUMMYFUNCTION("""COMPUTED_VALUE"""),"Murray State")</f>
        <v>Murray State</v>
      </c>
      <c r="B213" s="1">
        <f ca="1">IFERROR(__xludf.DUMMYFUNCTION("""COMPUTED_VALUE"""),33)</f>
        <v>33</v>
      </c>
      <c r="C213" s="1">
        <f ca="1">IFERROR(__xludf.DUMMYFUNCTION("""COMPUTED_VALUE"""),16)</f>
        <v>16</v>
      </c>
      <c r="D213" s="1">
        <f ca="1">IFERROR(__xludf.DUMMYFUNCTION("""COMPUTED_VALUE"""),17)</f>
        <v>17</v>
      </c>
      <c r="E213" s="1">
        <f ca="1">IFERROR(__xludf.DUMMYFUNCTION("""COMPUTED_VALUE"""),0.485)</f>
        <v>0.48499999999999999</v>
      </c>
      <c r="F213" s="1">
        <f ca="1">IFERROR(__xludf.DUMMYFUNCTION("""COMPUTED_VALUE"""),-3.06)</f>
        <v>-3.06</v>
      </c>
      <c r="G213" s="1">
        <f ca="1">IFERROR(__xludf.DUMMYFUNCTION("""COMPUTED_VALUE"""),-4.41)</f>
        <v>-4.41</v>
      </c>
      <c r="H213" s="1">
        <f ca="1">IFERROR(__xludf.DUMMYFUNCTION("""COMPUTED_VALUE"""),8)</f>
        <v>8</v>
      </c>
      <c r="I213" s="1">
        <f ca="1">IFERROR(__xludf.DUMMYFUNCTION("""COMPUTED_VALUE"""),8)</f>
        <v>8</v>
      </c>
      <c r="J213" s="1">
        <f ca="1">IFERROR(__xludf.DUMMYFUNCTION("""COMPUTED_VALUE"""),10)</f>
        <v>10</v>
      </c>
      <c r="K213" s="1">
        <f ca="1">IFERROR(__xludf.DUMMYFUNCTION("""COMPUTED_VALUE"""),4)</f>
        <v>4</v>
      </c>
      <c r="L213" s="1">
        <f ca="1">IFERROR(__xludf.DUMMYFUNCTION("""COMPUTED_VALUE"""),3)</f>
        <v>3</v>
      </c>
      <c r="M213" s="1">
        <f ca="1">IFERROR(__xludf.DUMMYFUNCTION("""COMPUTED_VALUE"""),11)</f>
        <v>11</v>
      </c>
      <c r="N213" s="1">
        <f ca="1">IFERROR(__xludf.DUMMYFUNCTION("""COMPUTED_VALUE"""),2639)</f>
        <v>2639</v>
      </c>
      <c r="O213" s="1">
        <f ca="1">IFERROR(__xludf.DUMMYFUNCTION("""COMPUTED_VALUE"""),2543)</f>
        <v>2543</v>
      </c>
      <c r="P213" s="1">
        <f ca="1">IFERROR(__xludf.DUMMYFUNCTION("""COMPUTED_VALUE"""),1350)</f>
        <v>1350</v>
      </c>
      <c r="Q213" s="1">
        <f ca="1">IFERROR(__xludf.DUMMYFUNCTION("""COMPUTED_VALUE"""),899)</f>
        <v>899</v>
      </c>
      <c r="R213" s="1">
        <f ca="1">IFERROR(__xludf.DUMMYFUNCTION("""COMPUTED_VALUE"""),2040)</f>
        <v>2040</v>
      </c>
      <c r="S213" s="1">
        <f ca="1">IFERROR(__xludf.DUMMYFUNCTION("""COMPUTED_VALUE"""),0.441)</f>
        <v>0.441</v>
      </c>
      <c r="T213" s="1">
        <f ca="1">IFERROR(__xludf.DUMMYFUNCTION("""COMPUTED_VALUE"""),289)</f>
        <v>289</v>
      </c>
      <c r="U213" s="1">
        <f ca="1">IFERROR(__xludf.DUMMYFUNCTION("""COMPUTED_VALUE"""),803)</f>
        <v>803</v>
      </c>
      <c r="V213" s="1">
        <f ca="1">IFERROR(__xludf.DUMMYFUNCTION("""COMPUTED_VALUE"""),0.36)</f>
        <v>0.36</v>
      </c>
      <c r="W213" s="1">
        <f ca="1">IFERROR(__xludf.DUMMYFUNCTION("""COMPUTED_VALUE"""),552)</f>
        <v>552</v>
      </c>
      <c r="X213" s="1">
        <f ca="1">IFERROR(__xludf.DUMMYFUNCTION("""COMPUTED_VALUE"""),751)</f>
        <v>751</v>
      </c>
      <c r="Y213" s="1">
        <f ca="1">IFERROR(__xludf.DUMMYFUNCTION("""COMPUTED_VALUE"""),0.735)</f>
        <v>0.73499999999999999</v>
      </c>
      <c r="Z213" s="1">
        <f ca="1">IFERROR(__xludf.DUMMYFUNCTION("""COMPUTED_VALUE"""),399)</f>
        <v>399</v>
      </c>
      <c r="AA213" s="1">
        <f ca="1">IFERROR(__xludf.DUMMYFUNCTION("""COMPUTED_VALUE"""),1243)</f>
        <v>1243</v>
      </c>
      <c r="AB213" s="1">
        <f ca="1">IFERROR(__xludf.DUMMYFUNCTION("""COMPUTED_VALUE"""),458)</f>
        <v>458</v>
      </c>
      <c r="AC213" s="1">
        <f ca="1">IFERROR(__xludf.DUMMYFUNCTION("""COMPUTED_VALUE"""),198)</f>
        <v>198</v>
      </c>
      <c r="AD213" s="1">
        <f ca="1">IFERROR(__xludf.DUMMYFUNCTION("""COMPUTED_VALUE"""),75)</f>
        <v>75</v>
      </c>
      <c r="AE213" s="1">
        <f ca="1">IFERROR(__xludf.DUMMYFUNCTION("""COMPUTED_VALUE"""),403)</f>
        <v>403</v>
      </c>
      <c r="AF213" s="1">
        <f ca="1">IFERROR(__xludf.DUMMYFUNCTION("""COMPUTED_VALUE"""),659)</f>
        <v>659</v>
      </c>
    </row>
    <row r="214" spans="1:32" ht="12.5" x14ac:dyDescent="0.25">
      <c r="A214" s="1" t="str">
        <f ca="1">IFERROR(__xludf.DUMMYFUNCTION("""COMPUTED_VALUE"""),"Navy")</f>
        <v>Navy</v>
      </c>
      <c r="B214" s="1">
        <f ca="1">IFERROR(__xludf.DUMMYFUNCTION("""COMPUTED_VALUE"""),32)</f>
        <v>32</v>
      </c>
      <c r="C214" s="1">
        <f ca="1">IFERROR(__xludf.DUMMYFUNCTION("""COMPUTED_VALUE"""),16)</f>
        <v>16</v>
      </c>
      <c r="D214" s="1">
        <f ca="1">IFERROR(__xludf.DUMMYFUNCTION("""COMPUTED_VALUE"""),16)</f>
        <v>16</v>
      </c>
      <c r="E214" s="1">
        <f ca="1">IFERROR(__xludf.DUMMYFUNCTION("""COMPUTED_VALUE"""),0.5)</f>
        <v>0.5</v>
      </c>
      <c r="F214" s="1">
        <f ca="1">IFERROR(__xludf.DUMMYFUNCTION("""COMPUTED_VALUE"""),-4.11)</f>
        <v>-4.1100000000000003</v>
      </c>
      <c r="G214" s="1">
        <f ca="1">IFERROR(__xludf.DUMMYFUNCTION("""COMPUTED_VALUE"""),-3.92)</f>
        <v>-3.92</v>
      </c>
      <c r="H214" s="1">
        <f ca="1">IFERROR(__xludf.DUMMYFUNCTION("""COMPUTED_VALUE"""),10)</f>
        <v>10</v>
      </c>
      <c r="I214" s="1">
        <f ca="1">IFERROR(__xludf.DUMMYFUNCTION("""COMPUTED_VALUE"""),8)</f>
        <v>8</v>
      </c>
      <c r="J214" s="1">
        <f ca="1">IFERROR(__xludf.DUMMYFUNCTION("""COMPUTED_VALUE"""),11)</f>
        <v>11</v>
      </c>
      <c r="K214" s="1">
        <f ca="1">IFERROR(__xludf.DUMMYFUNCTION("""COMPUTED_VALUE"""),5)</f>
        <v>5</v>
      </c>
      <c r="L214" s="1">
        <f ca="1">IFERROR(__xludf.DUMMYFUNCTION("""COMPUTED_VALUE"""),5)</f>
        <v>5</v>
      </c>
      <c r="M214" s="1">
        <f ca="1">IFERROR(__xludf.DUMMYFUNCTION("""COMPUTED_VALUE"""),9)</f>
        <v>9</v>
      </c>
      <c r="N214" s="1">
        <f ca="1">IFERROR(__xludf.DUMMYFUNCTION("""COMPUTED_VALUE"""),2076)</f>
        <v>2076</v>
      </c>
      <c r="O214" s="1">
        <f ca="1">IFERROR(__xludf.DUMMYFUNCTION("""COMPUTED_VALUE"""),2055)</f>
        <v>2055</v>
      </c>
      <c r="P214" s="1">
        <f ca="1">IFERROR(__xludf.DUMMYFUNCTION("""COMPUTED_VALUE"""),1285)</f>
        <v>1285</v>
      </c>
      <c r="Q214" s="1">
        <f ca="1">IFERROR(__xludf.DUMMYFUNCTION("""COMPUTED_VALUE"""),735)</f>
        <v>735</v>
      </c>
      <c r="R214" s="1">
        <f ca="1">IFERROR(__xludf.DUMMYFUNCTION("""COMPUTED_VALUE"""),1740)</f>
        <v>1740</v>
      </c>
      <c r="S214" s="1">
        <f ca="1">IFERROR(__xludf.DUMMYFUNCTION("""COMPUTED_VALUE"""),0.422)</f>
        <v>0.42199999999999999</v>
      </c>
      <c r="T214" s="1">
        <f ca="1">IFERROR(__xludf.DUMMYFUNCTION("""COMPUTED_VALUE"""),206)</f>
        <v>206</v>
      </c>
      <c r="U214" s="1">
        <f ca="1">IFERROR(__xludf.DUMMYFUNCTION("""COMPUTED_VALUE"""),670)</f>
        <v>670</v>
      </c>
      <c r="V214" s="1">
        <f ca="1">IFERROR(__xludf.DUMMYFUNCTION("""COMPUTED_VALUE"""),0.307)</f>
        <v>0.307</v>
      </c>
      <c r="W214" s="1">
        <f ca="1">IFERROR(__xludf.DUMMYFUNCTION("""COMPUTED_VALUE"""),400)</f>
        <v>400</v>
      </c>
      <c r="X214" s="1">
        <f ca="1">IFERROR(__xludf.DUMMYFUNCTION("""COMPUTED_VALUE"""),624)</f>
        <v>624</v>
      </c>
      <c r="Y214" s="1">
        <f ca="1">IFERROR(__xludf.DUMMYFUNCTION("""COMPUTED_VALUE"""),0.641)</f>
        <v>0.64100000000000001</v>
      </c>
      <c r="Z214" s="1">
        <f ca="1">IFERROR(__xludf.DUMMYFUNCTION("""COMPUTED_VALUE"""),424)</f>
        <v>424</v>
      </c>
      <c r="AA214" s="1">
        <f ca="1">IFERROR(__xludf.DUMMYFUNCTION("""COMPUTED_VALUE"""),1134)</f>
        <v>1134</v>
      </c>
      <c r="AB214" s="1">
        <f ca="1">IFERROR(__xludf.DUMMYFUNCTION("""COMPUTED_VALUE"""),433)</f>
        <v>433</v>
      </c>
      <c r="AC214" s="1">
        <f ca="1">IFERROR(__xludf.DUMMYFUNCTION("""COMPUTED_VALUE"""),227)</f>
        <v>227</v>
      </c>
      <c r="AD214" s="1">
        <f ca="1">IFERROR(__xludf.DUMMYFUNCTION("""COMPUTED_VALUE"""),66)</f>
        <v>66</v>
      </c>
      <c r="AE214" s="1">
        <f ca="1">IFERROR(__xludf.DUMMYFUNCTION("""COMPUTED_VALUE"""),464)</f>
        <v>464</v>
      </c>
      <c r="AF214" s="1">
        <f ca="1">IFERROR(__xludf.DUMMYFUNCTION("""COMPUTED_VALUE"""),594)</f>
        <v>594</v>
      </c>
    </row>
    <row r="215" spans="1:32" ht="12.5" x14ac:dyDescent="0.25">
      <c r="A215" s="1" t="str">
        <f ca="1">IFERROR(__xludf.DUMMYFUNCTION("""COMPUTED_VALUE"""),"Omaha")</f>
        <v>Omaha</v>
      </c>
      <c r="B215" s="1">
        <f ca="1">IFERROR(__xludf.DUMMYFUNCTION("""COMPUTED_VALUE"""),32)</f>
        <v>32</v>
      </c>
      <c r="C215" s="1">
        <f ca="1">IFERROR(__xludf.DUMMYFUNCTION("""COMPUTED_VALUE"""),18)</f>
        <v>18</v>
      </c>
      <c r="D215" s="1">
        <f ca="1">IFERROR(__xludf.DUMMYFUNCTION("""COMPUTED_VALUE"""),14)</f>
        <v>14</v>
      </c>
      <c r="E215" s="1">
        <f ca="1">IFERROR(__xludf.DUMMYFUNCTION("""COMPUTED_VALUE"""),0.563)</f>
        <v>0.56299999999999994</v>
      </c>
      <c r="F215" s="1">
        <f ca="1">IFERROR(__xludf.DUMMYFUNCTION("""COMPUTED_VALUE"""),-2.24)</f>
        <v>-2.2400000000000002</v>
      </c>
      <c r="G215" s="1">
        <f ca="1">IFERROR(__xludf.DUMMYFUNCTION("""COMPUTED_VALUE"""),-1.11)</f>
        <v>-1.1100000000000001</v>
      </c>
      <c r="H215" s="1">
        <f ca="1">IFERROR(__xludf.DUMMYFUNCTION("""COMPUTED_VALUE"""),9)</f>
        <v>9</v>
      </c>
      <c r="I215" s="1">
        <f ca="1">IFERROR(__xludf.DUMMYFUNCTION("""COMPUTED_VALUE"""),7)</f>
        <v>7</v>
      </c>
      <c r="J215" s="1">
        <f ca="1">IFERROR(__xludf.DUMMYFUNCTION("""COMPUTED_VALUE"""),8)</f>
        <v>8</v>
      </c>
      <c r="K215" s="1">
        <f ca="1">IFERROR(__xludf.DUMMYFUNCTION("""COMPUTED_VALUE"""),4)</f>
        <v>4</v>
      </c>
      <c r="L215" s="1">
        <f ca="1">IFERROR(__xludf.DUMMYFUNCTION("""COMPUTED_VALUE"""),8)</f>
        <v>8</v>
      </c>
      <c r="M215" s="1">
        <f ca="1">IFERROR(__xludf.DUMMYFUNCTION("""COMPUTED_VALUE"""),9)</f>
        <v>9</v>
      </c>
      <c r="N215" s="1">
        <f ca="1">IFERROR(__xludf.DUMMYFUNCTION("""COMPUTED_VALUE"""),2685)</f>
        <v>2685</v>
      </c>
      <c r="O215" s="1">
        <f ca="1">IFERROR(__xludf.DUMMYFUNCTION("""COMPUTED_VALUE"""),2673)</f>
        <v>2673</v>
      </c>
      <c r="P215" s="1">
        <f ca="1">IFERROR(__xludf.DUMMYFUNCTION("""COMPUTED_VALUE"""),1295)</f>
        <v>1295</v>
      </c>
      <c r="Q215" s="1">
        <f ca="1">IFERROR(__xludf.DUMMYFUNCTION("""COMPUTED_VALUE"""),895)</f>
        <v>895</v>
      </c>
      <c r="R215" s="1">
        <f ca="1">IFERROR(__xludf.DUMMYFUNCTION("""COMPUTED_VALUE"""),1972)</f>
        <v>1972</v>
      </c>
      <c r="S215" s="1">
        <f ca="1">IFERROR(__xludf.DUMMYFUNCTION("""COMPUTED_VALUE"""),0.454)</f>
        <v>0.45400000000000001</v>
      </c>
      <c r="T215" s="1">
        <f ca="1">IFERROR(__xludf.DUMMYFUNCTION("""COMPUTED_VALUE"""),297)</f>
        <v>297</v>
      </c>
      <c r="U215" s="1">
        <f ca="1">IFERROR(__xludf.DUMMYFUNCTION("""COMPUTED_VALUE"""),765)</f>
        <v>765</v>
      </c>
      <c r="V215" s="1">
        <f ca="1">IFERROR(__xludf.DUMMYFUNCTION("""COMPUTED_VALUE"""),0.388)</f>
        <v>0.38800000000000001</v>
      </c>
      <c r="W215" s="1">
        <f ca="1">IFERROR(__xludf.DUMMYFUNCTION("""COMPUTED_VALUE"""),598)</f>
        <v>598</v>
      </c>
      <c r="X215" s="1">
        <f ca="1">IFERROR(__xludf.DUMMYFUNCTION("""COMPUTED_VALUE"""),799)</f>
        <v>799</v>
      </c>
      <c r="Y215" s="1">
        <f ca="1">IFERROR(__xludf.DUMMYFUNCTION("""COMPUTED_VALUE"""),0.748)</f>
        <v>0.748</v>
      </c>
      <c r="Z215" s="1">
        <f ca="1">IFERROR(__xludf.DUMMYFUNCTION("""COMPUTED_VALUE"""),338)</f>
        <v>338</v>
      </c>
      <c r="AA215" s="1">
        <f ca="1">IFERROR(__xludf.DUMMYFUNCTION("""COMPUTED_VALUE"""),1149)</f>
        <v>1149</v>
      </c>
      <c r="AB215" s="1">
        <f ca="1">IFERROR(__xludf.DUMMYFUNCTION("""COMPUTED_VALUE"""),442)</f>
        <v>442</v>
      </c>
      <c r="AC215" s="1">
        <f ca="1">IFERROR(__xludf.DUMMYFUNCTION("""COMPUTED_VALUE"""),262)</f>
        <v>262</v>
      </c>
      <c r="AD215" s="1">
        <f ca="1">IFERROR(__xludf.DUMMYFUNCTION("""COMPUTED_VALUE"""),107)</f>
        <v>107</v>
      </c>
      <c r="AE215" s="1">
        <f ca="1">IFERROR(__xludf.DUMMYFUNCTION("""COMPUTED_VALUE"""),444)</f>
        <v>444</v>
      </c>
      <c r="AF215" s="1">
        <f ca="1">IFERROR(__xludf.DUMMYFUNCTION("""COMPUTED_VALUE"""),616)</f>
        <v>616</v>
      </c>
    </row>
    <row r="216" spans="1:32" ht="12.5" x14ac:dyDescent="0.25">
      <c r="A216" s="1" t="str">
        <f ca="1">IFERROR(__xludf.DUMMYFUNCTION("""COMPUTED_VALUE"""),"Nebraska")</f>
        <v>Nebraska</v>
      </c>
      <c r="B216" s="1">
        <f ca="1">IFERROR(__xludf.DUMMYFUNCTION("""COMPUTED_VALUE"""),31)</f>
        <v>31</v>
      </c>
      <c r="C216" s="1">
        <f ca="1">IFERROR(__xludf.DUMMYFUNCTION("""COMPUTED_VALUE"""),12)</f>
        <v>12</v>
      </c>
      <c r="D216" s="1">
        <f ca="1">IFERROR(__xludf.DUMMYFUNCTION("""COMPUTED_VALUE"""),19)</f>
        <v>19</v>
      </c>
      <c r="E216" s="1">
        <f ca="1">IFERROR(__xludf.DUMMYFUNCTION("""COMPUTED_VALUE"""),0.387)</f>
        <v>0.38700000000000001</v>
      </c>
      <c r="F216" s="1">
        <f ca="1">IFERROR(__xludf.DUMMYFUNCTION("""COMPUTED_VALUE"""),6.47)</f>
        <v>6.47</v>
      </c>
      <c r="G216" s="1">
        <f ca="1">IFERROR(__xludf.DUMMYFUNCTION("""COMPUTED_VALUE"""),10.74)</f>
        <v>10.74</v>
      </c>
      <c r="H216" s="1">
        <f ca="1">IFERROR(__xludf.DUMMYFUNCTION("""COMPUTED_VALUE"""),6)</f>
        <v>6</v>
      </c>
      <c r="I216" s="1">
        <f ca="1">IFERROR(__xludf.DUMMYFUNCTION("""COMPUTED_VALUE"""),12)</f>
        <v>12</v>
      </c>
      <c r="J216" s="1">
        <f ca="1">IFERROR(__xludf.DUMMYFUNCTION("""COMPUTED_VALUE"""),8)</f>
        <v>8</v>
      </c>
      <c r="K216" s="1">
        <f ca="1">IFERROR(__xludf.DUMMYFUNCTION("""COMPUTED_VALUE"""),8)</f>
        <v>8</v>
      </c>
      <c r="L216" s="1">
        <f ca="1">IFERROR(__xludf.DUMMYFUNCTION("""COMPUTED_VALUE"""),3)</f>
        <v>3</v>
      </c>
      <c r="M216" s="1">
        <f ca="1">IFERROR(__xludf.DUMMYFUNCTION("""COMPUTED_VALUE"""),8)</f>
        <v>8</v>
      </c>
      <c r="N216" s="1">
        <f ca="1">IFERROR(__xludf.DUMMYFUNCTION("""COMPUTED_VALUE"""),2168)</f>
        <v>2168</v>
      </c>
      <c r="O216" s="1">
        <f ca="1">IFERROR(__xludf.DUMMYFUNCTION("""COMPUTED_VALUE"""),2264)</f>
        <v>2264</v>
      </c>
      <c r="P216" s="1">
        <f ca="1">IFERROR(__xludf.DUMMYFUNCTION("""COMPUTED_VALUE"""),1260)</f>
        <v>1260</v>
      </c>
      <c r="Q216" s="1">
        <f ca="1">IFERROR(__xludf.DUMMYFUNCTION("""COMPUTED_VALUE"""),793)</f>
        <v>793</v>
      </c>
      <c r="R216" s="1">
        <f ca="1">IFERROR(__xludf.DUMMYFUNCTION("""COMPUTED_VALUE"""),1906)</f>
        <v>1906</v>
      </c>
      <c r="S216" s="1">
        <f ca="1">IFERROR(__xludf.DUMMYFUNCTION("""COMPUTED_VALUE"""),0.416)</f>
        <v>0.41599999999999998</v>
      </c>
      <c r="T216" s="1">
        <f ca="1">IFERROR(__xludf.DUMMYFUNCTION("""COMPUTED_VALUE"""),179)</f>
        <v>179</v>
      </c>
      <c r="U216" s="1">
        <f ca="1">IFERROR(__xludf.DUMMYFUNCTION("""COMPUTED_VALUE"""),560)</f>
        <v>560</v>
      </c>
      <c r="V216" s="1">
        <f ca="1">IFERROR(__xludf.DUMMYFUNCTION("""COMPUTED_VALUE"""),0.32)</f>
        <v>0.32</v>
      </c>
      <c r="W216" s="1">
        <f ca="1">IFERROR(__xludf.DUMMYFUNCTION("""COMPUTED_VALUE"""),403)</f>
        <v>403</v>
      </c>
      <c r="X216" s="1">
        <f ca="1">IFERROR(__xludf.DUMMYFUNCTION("""COMPUTED_VALUE"""),568)</f>
        <v>568</v>
      </c>
      <c r="Y216" s="1">
        <f ca="1">IFERROR(__xludf.DUMMYFUNCTION("""COMPUTED_VALUE"""),0.71)</f>
        <v>0.71</v>
      </c>
      <c r="Z216" s="1">
        <f ca="1">IFERROR(__xludf.DUMMYFUNCTION("""COMPUTED_VALUE"""),411)</f>
        <v>411</v>
      </c>
      <c r="AA216" s="1">
        <f ca="1">IFERROR(__xludf.DUMMYFUNCTION("""COMPUTED_VALUE"""),1187)</f>
        <v>1187</v>
      </c>
      <c r="AB216" s="1">
        <f ca="1">IFERROR(__xludf.DUMMYFUNCTION("""COMPUTED_VALUE"""),354)</f>
        <v>354</v>
      </c>
      <c r="AC216" s="1">
        <f ca="1">IFERROR(__xludf.DUMMYFUNCTION("""COMPUTED_VALUE"""),211)</f>
        <v>211</v>
      </c>
      <c r="AD216" s="1">
        <f ca="1">IFERROR(__xludf.DUMMYFUNCTION("""COMPUTED_VALUE"""),116)</f>
        <v>116</v>
      </c>
      <c r="AE216" s="1">
        <f ca="1">IFERROR(__xludf.DUMMYFUNCTION("""COMPUTED_VALUE"""),411)</f>
        <v>411</v>
      </c>
      <c r="AF216" s="1">
        <f ca="1">IFERROR(__xludf.DUMMYFUNCTION("""COMPUTED_VALUE"""),577)</f>
        <v>577</v>
      </c>
    </row>
    <row r="217" spans="1:32" ht="12.5" x14ac:dyDescent="0.25">
      <c r="A217" s="1" t="str">
        <f ca="1">IFERROR(__xludf.DUMMYFUNCTION("""COMPUTED_VALUE"""),"Nevada-Las Vegas")</f>
        <v>Nevada-Las Vegas</v>
      </c>
      <c r="B217" s="1">
        <f ca="1">IFERROR(__xludf.DUMMYFUNCTION("""COMPUTED_VALUE"""),32)</f>
        <v>32</v>
      </c>
      <c r="C217" s="1">
        <f ca="1">IFERROR(__xludf.DUMMYFUNCTION("""COMPUTED_VALUE"""),11)</f>
        <v>11</v>
      </c>
      <c r="D217" s="1">
        <f ca="1">IFERROR(__xludf.DUMMYFUNCTION("""COMPUTED_VALUE"""),21)</f>
        <v>21</v>
      </c>
      <c r="E217" s="1">
        <f ca="1">IFERROR(__xludf.DUMMYFUNCTION("""COMPUTED_VALUE"""),0.344)</f>
        <v>0.34399999999999997</v>
      </c>
      <c r="F217" s="1">
        <f ca="1">IFERROR(__xludf.DUMMYFUNCTION("""COMPUTED_VALUE"""),-3.75)</f>
        <v>-3.75</v>
      </c>
      <c r="G217" s="1">
        <f ca="1">IFERROR(__xludf.DUMMYFUNCTION("""COMPUTED_VALUE"""),2.59)</f>
        <v>2.59</v>
      </c>
      <c r="H217" s="1">
        <f ca="1">IFERROR(__xludf.DUMMYFUNCTION("""COMPUTED_VALUE"""),4)</f>
        <v>4</v>
      </c>
      <c r="I217" s="1">
        <f ca="1">IFERROR(__xludf.DUMMYFUNCTION("""COMPUTED_VALUE"""),14)</f>
        <v>14</v>
      </c>
      <c r="J217" s="1">
        <f ca="1">IFERROR(__xludf.DUMMYFUNCTION("""COMPUTED_VALUE"""),9)</f>
        <v>9</v>
      </c>
      <c r="K217" s="1">
        <f ca="1">IFERROR(__xludf.DUMMYFUNCTION("""COMPUTED_VALUE"""),10)</f>
        <v>10</v>
      </c>
      <c r="L217" s="1">
        <f ca="1">IFERROR(__xludf.DUMMYFUNCTION("""COMPUTED_VALUE"""),2)</f>
        <v>2</v>
      </c>
      <c r="M217" s="1">
        <f ca="1">IFERROR(__xludf.DUMMYFUNCTION("""COMPUTED_VALUE"""),9)</f>
        <v>9</v>
      </c>
      <c r="N217" s="1">
        <f ca="1">IFERROR(__xludf.DUMMYFUNCTION("""COMPUTED_VALUE"""),2202)</f>
        <v>2202</v>
      </c>
      <c r="O217" s="1">
        <f ca="1">IFERROR(__xludf.DUMMYFUNCTION("""COMPUTED_VALUE"""),2405)</f>
        <v>2405</v>
      </c>
      <c r="P217" s="1">
        <f ca="1">IFERROR(__xludf.DUMMYFUNCTION("""COMPUTED_VALUE"""),1295)</f>
        <v>1295</v>
      </c>
      <c r="Q217" s="1">
        <f ca="1">IFERROR(__xludf.DUMMYFUNCTION("""COMPUTED_VALUE"""),747)</f>
        <v>747</v>
      </c>
      <c r="R217" s="1">
        <f ca="1">IFERROR(__xludf.DUMMYFUNCTION("""COMPUTED_VALUE"""),1893)</f>
        <v>1893</v>
      </c>
      <c r="S217" s="1">
        <f ca="1">IFERROR(__xludf.DUMMYFUNCTION("""COMPUTED_VALUE"""),0.395)</f>
        <v>0.39500000000000002</v>
      </c>
      <c r="T217" s="1">
        <f ca="1">IFERROR(__xludf.DUMMYFUNCTION("""COMPUTED_VALUE"""),213)</f>
        <v>213</v>
      </c>
      <c r="U217" s="1">
        <f ca="1">IFERROR(__xludf.DUMMYFUNCTION("""COMPUTED_VALUE"""),666)</f>
        <v>666</v>
      </c>
      <c r="V217" s="1">
        <f ca="1">IFERROR(__xludf.DUMMYFUNCTION("""COMPUTED_VALUE"""),0.32)</f>
        <v>0.32</v>
      </c>
      <c r="W217" s="1">
        <f ca="1">IFERROR(__xludf.DUMMYFUNCTION("""COMPUTED_VALUE"""),495)</f>
        <v>495</v>
      </c>
      <c r="X217" s="1">
        <f ca="1">IFERROR(__xludf.DUMMYFUNCTION("""COMPUTED_VALUE"""),711)</f>
        <v>711</v>
      </c>
      <c r="Y217" s="1">
        <f ca="1">IFERROR(__xludf.DUMMYFUNCTION("""COMPUTED_VALUE"""),0.696)</f>
        <v>0.69599999999999995</v>
      </c>
      <c r="Z217" s="1">
        <f ca="1">IFERROR(__xludf.DUMMYFUNCTION("""COMPUTED_VALUE"""),365)</f>
        <v>365</v>
      </c>
      <c r="AA217" s="1">
        <f ca="1">IFERROR(__xludf.DUMMYFUNCTION("""COMPUTED_VALUE"""),1210)</f>
        <v>1210</v>
      </c>
      <c r="AB217" s="1">
        <f ca="1">IFERROR(__xludf.DUMMYFUNCTION("""COMPUTED_VALUE"""),412)</f>
        <v>412</v>
      </c>
      <c r="AC217" s="1">
        <f ca="1">IFERROR(__xludf.DUMMYFUNCTION("""COMPUTED_VALUE"""),189)</f>
        <v>189</v>
      </c>
      <c r="AD217" s="1">
        <f ca="1">IFERROR(__xludf.DUMMYFUNCTION("""COMPUTED_VALUE"""),85)</f>
        <v>85</v>
      </c>
      <c r="AE217" s="1">
        <f ca="1">IFERROR(__xludf.DUMMYFUNCTION("""COMPUTED_VALUE"""),410)</f>
        <v>410</v>
      </c>
      <c r="AF217" s="1">
        <f ca="1">IFERROR(__xludf.DUMMYFUNCTION("""COMPUTED_VALUE"""),539)</f>
        <v>539</v>
      </c>
    </row>
    <row r="218" spans="1:32" ht="12.5" x14ac:dyDescent="0.25">
      <c r="A218" s="1" t="str">
        <f ca="1">IFERROR(__xludf.DUMMYFUNCTION("""COMPUTED_VALUE"""),"NevadaNCAA")</f>
        <v>NevadaNCAA</v>
      </c>
      <c r="B218" s="1">
        <f ca="1">IFERROR(__xludf.DUMMYFUNCTION("""COMPUTED_VALUE"""),35)</f>
        <v>35</v>
      </c>
      <c r="C218" s="1">
        <f ca="1">IFERROR(__xludf.DUMMYFUNCTION("""COMPUTED_VALUE"""),28)</f>
        <v>28</v>
      </c>
      <c r="D218" s="1">
        <f ca="1">IFERROR(__xludf.DUMMYFUNCTION("""COMPUTED_VALUE"""),7)</f>
        <v>7</v>
      </c>
      <c r="E218" s="1">
        <f ca="1">IFERROR(__xludf.DUMMYFUNCTION("""COMPUTED_VALUE"""),0.8)</f>
        <v>0.8</v>
      </c>
      <c r="F218" s="1">
        <f ca="1">IFERROR(__xludf.DUMMYFUNCTION("""COMPUTED_VALUE"""),10.49)</f>
        <v>10.49</v>
      </c>
      <c r="G218" s="1">
        <f ca="1">IFERROR(__xludf.DUMMYFUNCTION("""COMPUTED_VALUE"""),2.03)</f>
        <v>2.0299999999999998</v>
      </c>
      <c r="H218" s="1">
        <f ca="1">IFERROR(__xludf.DUMMYFUNCTION("""COMPUTED_VALUE"""),14)</f>
        <v>14</v>
      </c>
      <c r="I218" s="1">
        <f ca="1">IFERROR(__xludf.DUMMYFUNCTION("""COMPUTED_VALUE"""),4)</f>
        <v>4</v>
      </c>
      <c r="J218" s="1">
        <f ca="1">IFERROR(__xludf.DUMMYFUNCTION("""COMPUTED_VALUE"""),13)</f>
        <v>13</v>
      </c>
      <c r="K218" s="1">
        <f ca="1">IFERROR(__xludf.DUMMYFUNCTION("""COMPUTED_VALUE"""),1)</f>
        <v>1</v>
      </c>
      <c r="L218" s="1">
        <f ca="1">IFERROR(__xludf.DUMMYFUNCTION("""COMPUTED_VALUE"""),8)</f>
        <v>8</v>
      </c>
      <c r="M218" s="1">
        <f ca="1">IFERROR(__xludf.DUMMYFUNCTION("""COMPUTED_VALUE"""),4)</f>
        <v>4</v>
      </c>
      <c r="N218" s="1">
        <f ca="1">IFERROR(__xludf.DUMMYFUNCTION("""COMPUTED_VALUE"""),2792)</f>
        <v>2792</v>
      </c>
      <c r="O218" s="1">
        <f ca="1">IFERROR(__xludf.DUMMYFUNCTION("""COMPUTED_VALUE"""),2496)</f>
        <v>2496</v>
      </c>
      <c r="P218" s="1">
        <f ca="1">IFERROR(__xludf.DUMMYFUNCTION("""COMPUTED_VALUE"""),1405)</f>
        <v>1405</v>
      </c>
      <c r="Q218" s="1">
        <f ca="1">IFERROR(__xludf.DUMMYFUNCTION("""COMPUTED_VALUE"""),933)</f>
        <v>933</v>
      </c>
      <c r="R218" s="1">
        <f ca="1">IFERROR(__xludf.DUMMYFUNCTION("""COMPUTED_VALUE"""),2082)</f>
        <v>2082</v>
      </c>
      <c r="S218" s="1">
        <f ca="1">IFERROR(__xludf.DUMMYFUNCTION("""COMPUTED_VALUE"""),0.448)</f>
        <v>0.44800000000000001</v>
      </c>
      <c r="T218" s="1">
        <f ca="1">IFERROR(__xludf.DUMMYFUNCTION("""COMPUTED_VALUE"""),320)</f>
        <v>320</v>
      </c>
      <c r="U218" s="1">
        <f ca="1">IFERROR(__xludf.DUMMYFUNCTION("""COMPUTED_VALUE"""),837)</f>
        <v>837</v>
      </c>
      <c r="V218" s="1">
        <f ca="1">IFERROR(__xludf.DUMMYFUNCTION("""COMPUTED_VALUE"""),0.382)</f>
        <v>0.38200000000000001</v>
      </c>
      <c r="W218" s="1">
        <f ca="1">IFERROR(__xludf.DUMMYFUNCTION("""COMPUTED_VALUE"""),606)</f>
        <v>606</v>
      </c>
      <c r="X218" s="1">
        <f ca="1">IFERROR(__xludf.DUMMYFUNCTION("""COMPUTED_VALUE"""),859)</f>
        <v>859</v>
      </c>
      <c r="Y218" s="1">
        <f ca="1">IFERROR(__xludf.DUMMYFUNCTION("""COMPUTED_VALUE"""),0.705)</f>
        <v>0.70499999999999996</v>
      </c>
      <c r="Z218" s="1">
        <f ca="1">IFERROR(__xludf.DUMMYFUNCTION("""COMPUTED_VALUE"""),386)</f>
        <v>386</v>
      </c>
      <c r="AA218" s="1">
        <f ca="1">IFERROR(__xludf.DUMMYFUNCTION("""COMPUTED_VALUE"""),1351)</f>
        <v>1351</v>
      </c>
      <c r="AB218" s="1">
        <f ca="1">IFERROR(__xludf.DUMMYFUNCTION("""COMPUTED_VALUE"""),559)</f>
        <v>559</v>
      </c>
      <c r="AC218" s="1">
        <f ca="1">IFERROR(__xludf.DUMMYFUNCTION("""COMPUTED_VALUE"""),189)</f>
        <v>189</v>
      </c>
      <c r="AD218" s="1">
        <f ca="1">IFERROR(__xludf.DUMMYFUNCTION("""COMPUTED_VALUE"""),152)</f>
        <v>152</v>
      </c>
      <c r="AE218" s="1">
        <f ca="1">IFERROR(__xludf.DUMMYFUNCTION("""COMPUTED_VALUE"""),386)</f>
        <v>386</v>
      </c>
      <c r="AF218" s="1">
        <f ca="1">IFERROR(__xludf.DUMMYFUNCTION("""COMPUTED_VALUE"""),581)</f>
        <v>581</v>
      </c>
    </row>
    <row r="219" spans="1:32" ht="12.5" x14ac:dyDescent="0.25">
      <c r="A219" s="1" t="str">
        <f ca="1">IFERROR(__xludf.DUMMYFUNCTION("""COMPUTED_VALUE"""),"New Hampshire")</f>
        <v>New Hampshire</v>
      </c>
      <c r="B219" s="1">
        <f ca="1">IFERROR(__xludf.DUMMYFUNCTION("""COMPUTED_VALUE"""),32)</f>
        <v>32</v>
      </c>
      <c r="C219" s="1">
        <f ca="1">IFERROR(__xludf.DUMMYFUNCTION("""COMPUTED_VALUE"""),20)</f>
        <v>20</v>
      </c>
      <c r="D219" s="1">
        <f ca="1">IFERROR(__xludf.DUMMYFUNCTION("""COMPUTED_VALUE"""),12)</f>
        <v>12</v>
      </c>
      <c r="E219" s="1">
        <f ca="1">IFERROR(__xludf.DUMMYFUNCTION("""COMPUTED_VALUE"""),0.625)</f>
        <v>0.625</v>
      </c>
      <c r="F219" s="1">
        <f ca="1">IFERROR(__xludf.DUMMYFUNCTION("""COMPUTED_VALUE"""),-3.57)</f>
        <v>-3.57</v>
      </c>
      <c r="G219" s="1">
        <f ca="1">IFERROR(__xludf.DUMMYFUNCTION("""COMPUTED_VALUE"""),-4.46)</f>
        <v>-4.46</v>
      </c>
      <c r="H219" s="1">
        <f ca="1">IFERROR(__xludf.DUMMYFUNCTION("""COMPUTED_VALUE"""),10)</f>
        <v>10</v>
      </c>
      <c r="I219" s="1">
        <f ca="1">IFERROR(__xludf.DUMMYFUNCTION("""COMPUTED_VALUE"""),6)</f>
        <v>6</v>
      </c>
      <c r="J219" s="1">
        <f ca="1">IFERROR(__xludf.DUMMYFUNCTION("""COMPUTED_VALUE"""),11)</f>
        <v>11</v>
      </c>
      <c r="K219" s="1">
        <f ca="1">IFERROR(__xludf.DUMMYFUNCTION("""COMPUTED_VALUE"""),4)</f>
        <v>4</v>
      </c>
      <c r="L219" s="1">
        <f ca="1">IFERROR(__xludf.DUMMYFUNCTION("""COMPUTED_VALUE"""),9)</f>
        <v>9</v>
      </c>
      <c r="M219" s="1">
        <f ca="1">IFERROR(__xludf.DUMMYFUNCTION("""COMPUTED_VALUE"""),8)</f>
        <v>8</v>
      </c>
      <c r="N219" s="1">
        <f ca="1">IFERROR(__xludf.DUMMYFUNCTION("""COMPUTED_VALUE"""),2277)</f>
        <v>2277</v>
      </c>
      <c r="O219" s="1">
        <f ca="1">IFERROR(__xludf.DUMMYFUNCTION("""COMPUTED_VALUE"""),2118)</f>
        <v>2118</v>
      </c>
      <c r="P219" s="1">
        <f ca="1">IFERROR(__xludf.DUMMYFUNCTION("""COMPUTED_VALUE"""),1300)</f>
        <v>1300</v>
      </c>
      <c r="Q219" s="1">
        <f ca="1">IFERROR(__xludf.DUMMYFUNCTION("""COMPUTED_VALUE"""),783)</f>
        <v>783</v>
      </c>
      <c r="R219" s="1">
        <f ca="1">IFERROR(__xludf.DUMMYFUNCTION("""COMPUTED_VALUE"""),1787)</f>
        <v>1787</v>
      </c>
      <c r="S219" s="1">
        <f ca="1">IFERROR(__xludf.DUMMYFUNCTION("""COMPUTED_VALUE"""),0.438)</f>
        <v>0.438</v>
      </c>
      <c r="T219" s="1">
        <f ca="1">IFERROR(__xludf.DUMMYFUNCTION("""COMPUTED_VALUE"""),256)</f>
        <v>256</v>
      </c>
      <c r="U219" s="1">
        <f ca="1">IFERROR(__xludf.DUMMYFUNCTION("""COMPUTED_VALUE"""),727)</f>
        <v>727</v>
      </c>
      <c r="V219" s="1">
        <f ca="1">IFERROR(__xludf.DUMMYFUNCTION("""COMPUTED_VALUE"""),0.352)</f>
        <v>0.35199999999999998</v>
      </c>
      <c r="W219" s="1">
        <f ca="1">IFERROR(__xludf.DUMMYFUNCTION("""COMPUTED_VALUE"""),455)</f>
        <v>455</v>
      </c>
      <c r="X219" s="1">
        <f ca="1">IFERROR(__xludf.DUMMYFUNCTION("""COMPUTED_VALUE"""),628)</f>
        <v>628</v>
      </c>
      <c r="Y219" s="1">
        <f ca="1">IFERROR(__xludf.DUMMYFUNCTION("""COMPUTED_VALUE"""),0.725)</f>
        <v>0.72499999999999998</v>
      </c>
      <c r="Z219" s="1">
        <f ca="1">IFERROR(__xludf.DUMMYFUNCTION("""COMPUTED_VALUE"""),324)</f>
        <v>324</v>
      </c>
      <c r="AA219" s="1">
        <f ca="1">IFERROR(__xludf.DUMMYFUNCTION("""COMPUTED_VALUE"""),1227)</f>
        <v>1227</v>
      </c>
      <c r="AB219" s="1">
        <f ca="1">IFERROR(__xludf.DUMMYFUNCTION("""COMPUTED_VALUE"""),398)</f>
        <v>398</v>
      </c>
      <c r="AC219" s="1">
        <f ca="1">IFERROR(__xludf.DUMMYFUNCTION("""COMPUTED_VALUE"""),129)</f>
        <v>129</v>
      </c>
      <c r="AD219" s="1">
        <f ca="1">IFERROR(__xludf.DUMMYFUNCTION("""COMPUTED_VALUE"""),59)</f>
        <v>59</v>
      </c>
      <c r="AE219" s="1">
        <f ca="1">IFERROR(__xludf.DUMMYFUNCTION("""COMPUTED_VALUE"""),401)</f>
        <v>401</v>
      </c>
      <c r="AF219" s="1">
        <f ca="1">IFERROR(__xludf.DUMMYFUNCTION("""COMPUTED_VALUE"""),505)</f>
        <v>505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IFERROR(__xludf.DUMMYFUNCTION("""COMPUTED_VALUE"""),"New Mexico StateNCAA")</f>
        <v>New Mexico StateNCAA</v>
      </c>
      <c r="B222" s="1">
        <f ca="1">IFERROR(__xludf.DUMMYFUNCTION("""COMPUTED_VALUE"""),34)</f>
        <v>34</v>
      </c>
      <c r="C222" s="1">
        <f ca="1">IFERROR(__xludf.DUMMYFUNCTION("""COMPUTED_VALUE"""),28)</f>
        <v>28</v>
      </c>
      <c r="D222" s="1">
        <f ca="1">IFERROR(__xludf.DUMMYFUNCTION("""COMPUTED_VALUE"""),6)</f>
        <v>6</v>
      </c>
      <c r="E222" s="1">
        <f ca="1">IFERROR(__xludf.DUMMYFUNCTION("""COMPUTED_VALUE"""),0.824)</f>
        <v>0.82399999999999995</v>
      </c>
      <c r="F222" s="1">
        <f ca="1">IFERROR(__xludf.DUMMYFUNCTION("""COMPUTED_VALUE"""),4.66)</f>
        <v>4.66</v>
      </c>
      <c r="G222" s="1">
        <f ca="1">IFERROR(__xludf.DUMMYFUNCTION("""COMPUTED_VALUE"""),-3.82)</f>
        <v>-3.82</v>
      </c>
      <c r="H222" s="1">
        <f ca="1">IFERROR(__xludf.DUMMYFUNCTION("""COMPUTED_VALUE"""),11)</f>
        <v>11</v>
      </c>
      <c r="I222" s="1">
        <f ca="1">IFERROR(__xludf.DUMMYFUNCTION("""COMPUTED_VALUE"""),3)</f>
        <v>3</v>
      </c>
      <c r="J222" s="1">
        <f ca="1">IFERROR(__xludf.DUMMYFUNCTION("""COMPUTED_VALUE"""),17)</f>
        <v>17</v>
      </c>
      <c r="K222" s="1">
        <f ca="1">IFERROR(__xludf.DUMMYFUNCTION("""COMPUTED_VALUE"""),1)</f>
        <v>1</v>
      </c>
      <c r="L222" s="1">
        <f ca="1">IFERROR(__xludf.DUMMYFUNCTION("""COMPUTED_VALUE"""),8)</f>
        <v>8</v>
      </c>
      <c r="M222" s="1">
        <f ca="1">IFERROR(__xludf.DUMMYFUNCTION("""COMPUTED_VALUE"""),4)</f>
        <v>4</v>
      </c>
      <c r="N222" s="1">
        <f ca="1">IFERROR(__xludf.DUMMYFUNCTION("""COMPUTED_VALUE"""),2678)</f>
        <v>2678</v>
      </c>
      <c r="O222" s="1">
        <f ca="1">IFERROR(__xludf.DUMMYFUNCTION("""COMPUTED_VALUE"""),2310)</f>
        <v>2310</v>
      </c>
      <c r="P222" s="1">
        <f ca="1">IFERROR(__xludf.DUMMYFUNCTION("""COMPUTED_VALUE"""),1365)</f>
        <v>1365</v>
      </c>
      <c r="Q222" s="1">
        <f ca="1">IFERROR(__xludf.DUMMYFUNCTION("""COMPUTED_VALUE"""),913)</f>
        <v>913</v>
      </c>
      <c r="R222" s="1">
        <f ca="1">IFERROR(__xludf.DUMMYFUNCTION("""COMPUTED_VALUE"""),1957)</f>
        <v>1957</v>
      </c>
      <c r="S222" s="1">
        <f ca="1">IFERROR(__xludf.DUMMYFUNCTION("""COMPUTED_VALUE"""),0.467)</f>
        <v>0.46700000000000003</v>
      </c>
      <c r="T222" s="1">
        <f ca="1">IFERROR(__xludf.DUMMYFUNCTION("""COMPUTED_VALUE"""),252)</f>
        <v>252</v>
      </c>
      <c r="U222" s="1">
        <f ca="1">IFERROR(__xludf.DUMMYFUNCTION("""COMPUTED_VALUE"""),747)</f>
        <v>747</v>
      </c>
      <c r="V222" s="1">
        <f ca="1">IFERROR(__xludf.DUMMYFUNCTION("""COMPUTED_VALUE"""),0.337)</f>
        <v>0.33700000000000002</v>
      </c>
      <c r="W222" s="1">
        <f ca="1">IFERROR(__xludf.DUMMYFUNCTION("""COMPUTED_VALUE"""),600)</f>
        <v>600</v>
      </c>
      <c r="X222" s="1">
        <f ca="1">IFERROR(__xludf.DUMMYFUNCTION("""COMPUTED_VALUE"""),843)</f>
        <v>843</v>
      </c>
      <c r="Y222" s="1">
        <f ca="1">IFERROR(__xludf.DUMMYFUNCTION("""COMPUTED_VALUE"""),0.712)</f>
        <v>0.71199999999999997</v>
      </c>
      <c r="Z222" s="1">
        <f ca="1">IFERROR(__xludf.DUMMYFUNCTION("""COMPUTED_VALUE"""),436)</f>
        <v>436</v>
      </c>
      <c r="AA222" s="1">
        <f ca="1">IFERROR(__xludf.DUMMYFUNCTION("""COMPUTED_VALUE"""),1339)</f>
        <v>1339</v>
      </c>
      <c r="AB222" s="1">
        <f ca="1">IFERROR(__xludf.DUMMYFUNCTION("""COMPUTED_VALUE"""),505)</f>
        <v>505</v>
      </c>
      <c r="AC222" s="1">
        <f ca="1">IFERROR(__xludf.DUMMYFUNCTION("""COMPUTED_VALUE"""),166)</f>
        <v>166</v>
      </c>
      <c r="AD222" s="1">
        <f ca="1">IFERROR(__xludf.DUMMYFUNCTION("""COMPUTED_VALUE"""),128)</f>
        <v>128</v>
      </c>
      <c r="AE222" s="1">
        <f ca="1">IFERROR(__xludf.DUMMYFUNCTION("""COMPUTED_VALUE"""),465)</f>
        <v>465</v>
      </c>
      <c r="AF222" s="1">
        <f ca="1">IFERROR(__xludf.DUMMYFUNCTION("""COMPUTED_VALUE"""),627)</f>
        <v>627</v>
      </c>
    </row>
    <row r="223" spans="1:32" ht="12.5" x14ac:dyDescent="0.25">
      <c r="A223" s="1" t="str">
        <f ca="1">IFERROR(__xludf.DUMMYFUNCTION("""COMPUTED_VALUE"""),"New Mexico")</f>
        <v>New Mexico</v>
      </c>
      <c r="B223" s="1">
        <f ca="1">IFERROR(__xludf.DUMMYFUNCTION("""COMPUTED_VALUE"""),31)</f>
        <v>31</v>
      </c>
      <c r="C223" s="1">
        <f ca="1">IFERROR(__xludf.DUMMYFUNCTION("""COMPUTED_VALUE"""),17)</f>
        <v>17</v>
      </c>
      <c r="D223" s="1">
        <f ca="1">IFERROR(__xludf.DUMMYFUNCTION("""COMPUTED_VALUE"""),14)</f>
        <v>14</v>
      </c>
      <c r="E223" s="1">
        <f ca="1">IFERROR(__xludf.DUMMYFUNCTION("""COMPUTED_VALUE"""),0.548)</f>
        <v>0.54800000000000004</v>
      </c>
      <c r="F223" s="1">
        <f ca="1">IFERROR(__xludf.DUMMYFUNCTION("""COMPUTED_VALUE"""),3.04)</f>
        <v>3.04</v>
      </c>
      <c r="G223" s="1">
        <f ca="1">IFERROR(__xludf.DUMMYFUNCTION("""COMPUTED_VALUE"""),2.07)</f>
        <v>2.0699999999999998</v>
      </c>
      <c r="H223" s="1">
        <f ca="1">IFERROR(__xludf.DUMMYFUNCTION("""COMPUTED_VALUE"""),10)</f>
        <v>10</v>
      </c>
      <c r="I223" s="1">
        <f ca="1">IFERROR(__xludf.DUMMYFUNCTION("""COMPUTED_VALUE"""),8)</f>
        <v>8</v>
      </c>
      <c r="J223" s="1">
        <f ca="1">IFERROR(__xludf.DUMMYFUNCTION("""COMPUTED_VALUE"""),11)</f>
        <v>11</v>
      </c>
      <c r="K223" s="1">
        <f ca="1">IFERROR(__xludf.DUMMYFUNCTION("""COMPUTED_VALUE"""),4)</f>
        <v>4</v>
      </c>
      <c r="L223" s="1">
        <f ca="1">IFERROR(__xludf.DUMMYFUNCTION("""COMPUTED_VALUE"""),5)</f>
        <v>5</v>
      </c>
      <c r="M223" s="1">
        <f ca="1">IFERROR(__xludf.DUMMYFUNCTION("""COMPUTED_VALUE"""),7)</f>
        <v>7</v>
      </c>
      <c r="N223" s="1">
        <f ca="1">IFERROR(__xludf.DUMMYFUNCTION("""COMPUTED_VALUE"""),2283)</f>
        <v>2283</v>
      </c>
      <c r="O223" s="1">
        <f ca="1">IFERROR(__xludf.DUMMYFUNCTION("""COMPUTED_VALUE"""),2253)</f>
        <v>2253</v>
      </c>
      <c r="P223" s="1">
        <f ca="1">IFERROR(__xludf.DUMMYFUNCTION("""COMPUTED_VALUE"""),1245)</f>
        <v>1245</v>
      </c>
      <c r="Q223" s="1">
        <f ca="1">IFERROR(__xludf.DUMMYFUNCTION("""COMPUTED_VALUE"""),778)</f>
        <v>778</v>
      </c>
      <c r="R223" s="1">
        <f ca="1">IFERROR(__xludf.DUMMYFUNCTION("""COMPUTED_VALUE"""),1693)</f>
        <v>1693</v>
      </c>
      <c r="S223" s="1">
        <f ca="1">IFERROR(__xludf.DUMMYFUNCTION("""COMPUTED_VALUE"""),0.46)</f>
        <v>0.46</v>
      </c>
      <c r="T223" s="1">
        <f ca="1">IFERROR(__xludf.DUMMYFUNCTION("""COMPUTED_VALUE"""),145)</f>
        <v>145</v>
      </c>
      <c r="U223" s="1">
        <f ca="1">IFERROR(__xludf.DUMMYFUNCTION("""COMPUTED_VALUE"""),444)</f>
        <v>444</v>
      </c>
      <c r="V223" s="1">
        <f ca="1">IFERROR(__xludf.DUMMYFUNCTION("""COMPUTED_VALUE"""),0.327)</f>
        <v>0.32700000000000001</v>
      </c>
      <c r="W223" s="1">
        <f ca="1">IFERROR(__xludf.DUMMYFUNCTION("""COMPUTED_VALUE"""),582)</f>
        <v>582</v>
      </c>
      <c r="X223" s="1">
        <f ca="1">IFERROR(__xludf.DUMMYFUNCTION("""COMPUTED_VALUE"""),780)</f>
        <v>780</v>
      </c>
      <c r="Y223" s="1">
        <f ca="1">IFERROR(__xludf.DUMMYFUNCTION("""COMPUTED_VALUE"""),0.746)</f>
        <v>0.746</v>
      </c>
      <c r="Z223" s="1">
        <f ca="1">IFERROR(__xludf.DUMMYFUNCTION("""COMPUTED_VALUE"""),274)</f>
        <v>274</v>
      </c>
      <c r="AA223" s="1">
        <f ca="1">IFERROR(__xludf.DUMMYFUNCTION("""COMPUTED_VALUE"""),1071)</f>
        <v>1071</v>
      </c>
      <c r="AB223" s="1">
        <f ca="1">IFERROR(__xludf.DUMMYFUNCTION("""COMPUTED_VALUE"""),419)</f>
        <v>419</v>
      </c>
      <c r="AC223" s="1">
        <f ca="1">IFERROR(__xludf.DUMMYFUNCTION("""COMPUTED_VALUE"""),189)</f>
        <v>189</v>
      </c>
      <c r="AD223" s="1">
        <f ca="1">IFERROR(__xludf.DUMMYFUNCTION("""COMPUTED_VALUE"""),109)</f>
        <v>109</v>
      </c>
      <c r="AE223" s="1">
        <f ca="1">IFERROR(__xludf.DUMMYFUNCTION("""COMPUTED_VALUE"""),403)</f>
        <v>403</v>
      </c>
      <c r="AF223" s="1">
        <f ca="1">IFERROR(__xludf.DUMMYFUNCTION("""COMPUTED_VALUE"""),611)</f>
        <v>611</v>
      </c>
    </row>
    <row r="224" spans="1:32" ht="12.5" x14ac:dyDescent="0.25">
      <c r="A224" s="1" t="str">
        <f ca="1">IFERROR(__xludf.DUMMYFUNCTION("""COMPUTED_VALUE"""),"New OrleansNCAA")</f>
        <v>New OrleansNCAA</v>
      </c>
      <c r="B224" s="1">
        <f ca="1">IFERROR(__xludf.DUMMYFUNCTION("""COMPUTED_VALUE"""),32)</f>
        <v>32</v>
      </c>
      <c r="C224" s="1">
        <f ca="1">IFERROR(__xludf.DUMMYFUNCTION("""COMPUTED_VALUE"""),20)</f>
        <v>20</v>
      </c>
      <c r="D224" s="1">
        <f ca="1">IFERROR(__xludf.DUMMYFUNCTION("""COMPUTED_VALUE"""),12)</f>
        <v>12</v>
      </c>
      <c r="E224" s="1">
        <f ca="1">IFERROR(__xludf.DUMMYFUNCTION("""COMPUTED_VALUE"""),0.625)</f>
        <v>0.625</v>
      </c>
      <c r="F224" s="1">
        <f ca="1">IFERROR(__xludf.DUMMYFUNCTION("""COMPUTED_VALUE"""),-4.1)</f>
        <v>-4.0999999999999996</v>
      </c>
      <c r="G224" s="1">
        <f ca="1">IFERROR(__xludf.DUMMYFUNCTION("""COMPUTED_VALUE"""),-5.34)</f>
        <v>-5.34</v>
      </c>
      <c r="H224" s="1">
        <f ca="1">IFERROR(__xludf.DUMMYFUNCTION("""COMPUTED_VALUE"""),13)</f>
        <v>13</v>
      </c>
      <c r="I224" s="1">
        <f ca="1">IFERROR(__xludf.DUMMYFUNCTION("""COMPUTED_VALUE"""),5)</f>
        <v>5</v>
      </c>
      <c r="J224" s="1">
        <f ca="1">IFERROR(__xludf.DUMMYFUNCTION("""COMPUTED_VALUE"""),11)</f>
        <v>11</v>
      </c>
      <c r="K224" s="1">
        <f ca="1">IFERROR(__xludf.DUMMYFUNCTION("""COMPUTED_VALUE"""),3)</f>
        <v>3</v>
      </c>
      <c r="L224" s="1">
        <f ca="1">IFERROR(__xludf.DUMMYFUNCTION("""COMPUTED_VALUE"""),7)</f>
        <v>7</v>
      </c>
      <c r="M224" s="1">
        <f ca="1">IFERROR(__xludf.DUMMYFUNCTION("""COMPUTED_VALUE"""),8)</f>
        <v>8</v>
      </c>
      <c r="N224" s="1">
        <f ca="1">IFERROR(__xludf.DUMMYFUNCTION("""COMPUTED_VALUE"""),2331)</f>
        <v>2331</v>
      </c>
      <c r="O224" s="1">
        <f ca="1">IFERROR(__xludf.DUMMYFUNCTION("""COMPUTED_VALUE"""),2215)</f>
        <v>2215</v>
      </c>
      <c r="P224" s="1">
        <f ca="1">IFERROR(__xludf.DUMMYFUNCTION("""COMPUTED_VALUE"""),1300)</f>
        <v>1300</v>
      </c>
      <c r="Q224" s="1">
        <f ca="1">IFERROR(__xludf.DUMMYFUNCTION("""COMPUTED_VALUE"""),830)</f>
        <v>830</v>
      </c>
      <c r="R224" s="1">
        <f ca="1">IFERROR(__xludf.DUMMYFUNCTION("""COMPUTED_VALUE"""),1755)</f>
        <v>1755</v>
      </c>
      <c r="S224" s="1">
        <f ca="1">IFERROR(__xludf.DUMMYFUNCTION("""COMPUTED_VALUE"""),0.473)</f>
        <v>0.47299999999999998</v>
      </c>
      <c r="T224" s="1">
        <f ca="1">IFERROR(__xludf.DUMMYFUNCTION("""COMPUTED_VALUE"""),139)</f>
        <v>139</v>
      </c>
      <c r="U224" s="1">
        <f ca="1">IFERROR(__xludf.DUMMYFUNCTION("""COMPUTED_VALUE"""),438)</f>
        <v>438</v>
      </c>
      <c r="V224" s="1">
        <f ca="1">IFERROR(__xludf.DUMMYFUNCTION("""COMPUTED_VALUE"""),0.317)</f>
        <v>0.317</v>
      </c>
      <c r="W224" s="1">
        <f ca="1">IFERROR(__xludf.DUMMYFUNCTION("""COMPUTED_VALUE"""),532)</f>
        <v>532</v>
      </c>
      <c r="X224" s="1">
        <f ca="1">IFERROR(__xludf.DUMMYFUNCTION("""COMPUTED_VALUE"""),749)</f>
        <v>749</v>
      </c>
      <c r="Y224" s="1">
        <f ca="1">IFERROR(__xludf.DUMMYFUNCTION("""COMPUTED_VALUE"""),0.71)</f>
        <v>0.71</v>
      </c>
      <c r="Z224" s="1">
        <f ca="1">IFERROR(__xludf.DUMMYFUNCTION("""COMPUTED_VALUE"""),386)</f>
        <v>386</v>
      </c>
      <c r="AA224" s="1">
        <f ca="1">IFERROR(__xludf.DUMMYFUNCTION("""COMPUTED_VALUE"""),1140)</f>
        <v>1140</v>
      </c>
      <c r="AB224" s="1">
        <f ca="1">IFERROR(__xludf.DUMMYFUNCTION("""COMPUTED_VALUE"""),500)</f>
        <v>500</v>
      </c>
      <c r="AC224" s="1">
        <f ca="1">IFERROR(__xludf.DUMMYFUNCTION("""COMPUTED_VALUE"""),252)</f>
        <v>252</v>
      </c>
      <c r="AD224" s="1">
        <f ca="1">IFERROR(__xludf.DUMMYFUNCTION("""COMPUTED_VALUE"""),97)</f>
        <v>97</v>
      </c>
      <c r="AE224" s="1">
        <f ca="1">IFERROR(__xludf.DUMMYFUNCTION("""COMPUTED_VALUE"""),534)</f>
        <v>534</v>
      </c>
      <c r="AF224" s="1">
        <f ca="1">IFERROR(__xludf.DUMMYFUNCTION("""COMPUTED_VALUE"""),562)</f>
        <v>562</v>
      </c>
    </row>
    <row r="225" spans="1:32" ht="12.5" x14ac:dyDescent="0.25">
      <c r="A225" s="1" t="str">
        <f ca="1">IFERROR(__xludf.DUMMYFUNCTION("""COMPUTED_VALUE"""),"Niagara")</f>
        <v>Niagara</v>
      </c>
      <c r="B225" s="1">
        <f ca="1">IFERROR(__xludf.DUMMYFUNCTION("""COMPUTED_VALUE"""),33)</f>
        <v>33</v>
      </c>
      <c r="C225" s="1">
        <f ca="1">IFERROR(__xludf.DUMMYFUNCTION("""COMPUTED_VALUE"""),10)</f>
        <v>10</v>
      </c>
      <c r="D225" s="1">
        <f ca="1">IFERROR(__xludf.DUMMYFUNCTION("""COMPUTED_VALUE"""),23)</f>
        <v>23</v>
      </c>
      <c r="E225" s="1">
        <f ca="1">IFERROR(__xludf.DUMMYFUNCTION("""COMPUTED_VALUE"""),0.303)</f>
        <v>0.30299999999999999</v>
      </c>
      <c r="F225" s="1">
        <f ca="1">IFERROR(__xludf.DUMMYFUNCTION("""COMPUTED_VALUE"""),-8.34)</f>
        <v>-8.34</v>
      </c>
      <c r="G225" s="1">
        <f ca="1">IFERROR(__xludf.DUMMYFUNCTION("""COMPUTED_VALUE"""),-4.37)</f>
        <v>-4.37</v>
      </c>
      <c r="H225" s="1">
        <f ca="1">IFERROR(__xludf.DUMMYFUNCTION("""COMPUTED_VALUE"""),6)</f>
        <v>6</v>
      </c>
      <c r="I225" s="1">
        <f ca="1">IFERROR(__xludf.DUMMYFUNCTION("""COMPUTED_VALUE"""),14)</f>
        <v>14</v>
      </c>
      <c r="J225" s="1">
        <f ca="1">IFERROR(__xludf.DUMMYFUNCTION("""COMPUTED_VALUE"""),5)</f>
        <v>5</v>
      </c>
      <c r="K225" s="1">
        <f ca="1">IFERROR(__xludf.DUMMYFUNCTION("""COMPUTED_VALUE"""),8)</f>
        <v>8</v>
      </c>
      <c r="L225" s="1">
        <f ca="1">IFERROR(__xludf.DUMMYFUNCTION("""COMPUTED_VALUE"""),3)</f>
        <v>3</v>
      </c>
      <c r="M225" s="1">
        <f ca="1">IFERROR(__xludf.DUMMYFUNCTION("""COMPUTED_VALUE"""),13)</f>
        <v>13</v>
      </c>
      <c r="N225" s="1">
        <f ca="1">IFERROR(__xludf.DUMMYFUNCTION("""COMPUTED_VALUE"""),2448)</f>
        <v>2448</v>
      </c>
      <c r="O225" s="1">
        <f ca="1">IFERROR(__xludf.DUMMYFUNCTION("""COMPUTED_VALUE"""),2579)</f>
        <v>2579</v>
      </c>
      <c r="P225" s="1">
        <f ca="1">IFERROR(__xludf.DUMMYFUNCTION("""COMPUTED_VALUE"""),1335)</f>
        <v>1335</v>
      </c>
      <c r="Q225" s="1">
        <f ca="1">IFERROR(__xludf.DUMMYFUNCTION("""COMPUTED_VALUE"""),846)</f>
        <v>846</v>
      </c>
      <c r="R225" s="1">
        <f ca="1">IFERROR(__xludf.DUMMYFUNCTION("""COMPUTED_VALUE"""),2035)</f>
        <v>2035</v>
      </c>
      <c r="S225" s="1">
        <f ca="1">IFERROR(__xludf.DUMMYFUNCTION("""COMPUTED_VALUE"""),0.416)</f>
        <v>0.41599999999999998</v>
      </c>
      <c r="T225" s="1">
        <f ca="1">IFERROR(__xludf.DUMMYFUNCTION("""COMPUTED_VALUE"""),244)</f>
        <v>244</v>
      </c>
      <c r="U225" s="1">
        <f ca="1">IFERROR(__xludf.DUMMYFUNCTION("""COMPUTED_VALUE"""),667)</f>
        <v>667</v>
      </c>
      <c r="V225" s="1">
        <f ca="1">IFERROR(__xludf.DUMMYFUNCTION("""COMPUTED_VALUE"""),0.366)</f>
        <v>0.36599999999999999</v>
      </c>
      <c r="W225" s="1">
        <f ca="1">IFERROR(__xludf.DUMMYFUNCTION("""COMPUTED_VALUE"""),512)</f>
        <v>512</v>
      </c>
      <c r="X225" s="1">
        <f ca="1">IFERROR(__xludf.DUMMYFUNCTION("""COMPUTED_VALUE"""),683)</f>
        <v>683</v>
      </c>
      <c r="Y225" s="1">
        <f ca="1">IFERROR(__xludf.DUMMYFUNCTION("""COMPUTED_VALUE"""),0.75)</f>
        <v>0.75</v>
      </c>
      <c r="Z225" s="1">
        <f ca="1">IFERROR(__xludf.DUMMYFUNCTION("""COMPUTED_VALUE"""),389)</f>
        <v>389</v>
      </c>
      <c r="AA225" s="1">
        <f ca="1">IFERROR(__xludf.DUMMYFUNCTION("""COMPUTED_VALUE"""),1260)</f>
        <v>1260</v>
      </c>
      <c r="AB225" s="1">
        <f ca="1">IFERROR(__xludf.DUMMYFUNCTION("""COMPUTED_VALUE"""),416)</f>
        <v>416</v>
      </c>
      <c r="AC225" s="1">
        <f ca="1">IFERROR(__xludf.DUMMYFUNCTION("""COMPUTED_VALUE"""),172)</f>
        <v>172</v>
      </c>
      <c r="AD225" s="1">
        <f ca="1">IFERROR(__xludf.DUMMYFUNCTION("""COMPUTED_VALUE"""),152)</f>
        <v>152</v>
      </c>
      <c r="AE225" s="1">
        <f ca="1">IFERROR(__xludf.DUMMYFUNCTION("""COMPUTED_VALUE"""),428)</f>
        <v>428</v>
      </c>
      <c r="AF225" s="1">
        <f ca="1">IFERROR(__xludf.DUMMYFUNCTION("""COMPUTED_VALUE"""),604)</f>
        <v>604</v>
      </c>
    </row>
    <row r="226" spans="1:32" ht="12.5" x14ac:dyDescent="0.25">
      <c r="A226" s="1" t="str">
        <f ca="1">IFERROR(__xludf.DUMMYFUNCTION("""COMPUTED_VALUE"""),"Nicholls State")</f>
        <v>Nicholls State</v>
      </c>
      <c r="B226" s="1">
        <f ca="1">IFERROR(__xludf.DUMMYFUNCTION("""COMPUTED_VALUE"""),31)</f>
        <v>31</v>
      </c>
      <c r="C226" s="1">
        <f ca="1">IFERROR(__xludf.DUMMYFUNCTION("""COMPUTED_VALUE"""),14)</f>
        <v>14</v>
      </c>
      <c r="D226" s="1">
        <f ca="1">IFERROR(__xludf.DUMMYFUNCTION("""COMPUTED_VALUE"""),17)</f>
        <v>17</v>
      </c>
      <c r="E226" s="1">
        <f ca="1">IFERROR(__xludf.DUMMYFUNCTION("""COMPUTED_VALUE"""),0.452)</f>
        <v>0.45200000000000001</v>
      </c>
      <c r="F226" s="1">
        <f ca="1">IFERROR(__xludf.DUMMYFUNCTION("""COMPUTED_VALUE"""),-14.57)</f>
        <v>-14.57</v>
      </c>
      <c r="G226" s="1">
        <f ca="1">IFERROR(__xludf.DUMMYFUNCTION("""COMPUTED_VALUE"""),-5.23)</f>
        <v>-5.23</v>
      </c>
      <c r="H226" s="1">
        <f ca="1">IFERROR(__xludf.DUMMYFUNCTION("""COMPUTED_VALUE"""),7)</f>
        <v>7</v>
      </c>
      <c r="I226" s="1">
        <f ca="1">IFERROR(__xludf.DUMMYFUNCTION("""COMPUTED_VALUE"""),11)</f>
        <v>11</v>
      </c>
      <c r="J226" s="1">
        <f ca="1">IFERROR(__xludf.DUMMYFUNCTION("""COMPUTED_VALUE"""),10)</f>
        <v>10</v>
      </c>
      <c r="K226" s="1">
        <f ca="1">IFERROR(__xludf.DUMMYFUNCTION("""COMPUTED_VALUE"""),3)</f>
        <v>3</v>
      </c>
      <c r="L226" s="1">
        <f ca="1">IFERROR(__xludf.DUMMYFUNCTION("""COMPUTED_VALUE"""),4)</f>
        <v>4</v>
      </c>
      <c r="M226" s="1">
        <f ca="1">IFERROR(__xludf.DUMMYFUNCTION("""COMPUTED_VALUE"""),14)</f>
        <v>14</v>
      </c>
      <c r="N226" s="1">
        <f ca="1">IFERROR(__xludf.DUMMYFUNCTION("""COMPUTED_VALUE"""),2316)</f>
        <v>2316</v>
      </c>
      <c r="O226" s="1">
        <f ca="1">IFERROR(__xludf.DUMMYFUNCTION("""COMPUTED_VALUE"""),2464)</f>
        <v>2464</v>
      </c>
      <c r="P226" s="1">
        <f ca="1">IFERROR(__xludf.DUMMYFUNCTION("""COMPUTED_VALUE"""),1255)</f>
        <v>1255</v>
      </c>
      <c r="Q226" s="1">
        <f ca="1">IFERROR(__xludf.DUMMYFUNCTION("""COMPUTED_VALUE"""),771)</f>
        <v>771</v>
      </c>
      <c r="R226" s="1">
        <f ca="1">IFERROR(__xludf.DUMMYFUNCTION("""COMPUTED_VALUE"""),1804)</f>
        <v>1804</v>
      </c>
      <c r="S226" s="1">
        <f ca="1">IFERROR(__xludf.DUMMYFUNCTION("""COMPUTED_VALUE"""),0.427)</f>
        <v>0.42699999999999999</v>
      </c>
      <c r="T226" s="1">
        <f ca="1">IFERROR(__xludf.DUMMYFUNCTION("""COMPUTED_VALUE"""),278)</f>
        <v>278</v>
      </c>
      <c r="U226" s="1">
        <f ca="1">IFERROR(__xludf.DUMMYFUNCTION("""COMPUTED_VALUE"""),805)</f>
        <v>805</v>
      </c>
      <c r="V226" s="1">
        <f ca="1">IFERROR(__xludf.DUMMYFUNCTION("""COMPUTED_VALUE"""),0.345)</f>
        <v>0.34499999999999997</v>
      </c>
      <c r="W226" s="1">
        <f ca="1">IFERROR(__xludf.DUMMYFUNCTION("""COMPUTED_VALUE"""),496)</f>
        <v>496</v>
      </c>
      <c r="X226" s="1">
        <f ca="1">IFERROR(__xludf.DUMMYFUNCTION("""COMPUTED_VALUE"""),671)</f>
        <v>671</v>
      </c>
      <c r="Y226" s="1">
        <f ca="1">IFERROR(__xludf.DUMMYFUNCTION("""COMPUTED_VALUE"""),0.739)</f>
        <v>0.73899999999999999</v>
      </c>
      <c r="Z226" s="1">
        <f ca="1">IFERROR(__xludf.DUMMYFUNCTION("""COMPUTED_VALUE"""),303)</f>
        <v>303</v>
      </c>
      <c r="AA226" s="1">
        <f ca="1">IFERROR(__xludf.DUMMYFUNCTION("""COMPUTED_VALUE"""),1020)</f>
        <v>1020</v>
      </c>
      <c r="AB226" s="1">
        <f ca="1">IFERROR(__xludf.DUMMYFUNCTION("""COMPUTED_VALUE"""),430)</f>
        <v>430</v>
      </c>
      <c r="AC226" s="1">
        <f ca="1">IFERROR(__xludf.DUMMYFUNCTION("""COMPUTED_VALUE"""),234)</f>
        <v>234</v>
      </c>
      <c r="AD226" s="1">
        <f ca="1">IFERROR(__xludf.DUMMYFUNCTION("""COMPUTED_VALUE"""),190)</f>
        <v>190</v>
      </c>
      <c r="AE226" s="1">
        <f ca="1">IFERROR(__xludf.DUMMYFUNCTION("""COMPUTED_VALUE"""),451)</f>
        <v>451</v>
      </c>
      <c r="AF226" s="1">
        <f ca="1">IFERROR(__xludf.DUMMYFUNCTION("""COMPUTED_VALUE"""),599)</f>
        <v>599</v>
      </c>
    </row>
    <row r="227" spans="1:32" ht="12.5" x14ac:dyDescent="0.25">
      <c r="A227" s="1" t="str">
        <f ca="1">IFERROR(__xludf.DUMMYFUNCTION("""COMPUTED_VALUE"""),"NJIT")</f>
        <v>NJIT</v>
      </c>
      <c r="B227" s="1">
        <f ca="1">IFERROR(__xludf.DUMMYFUNCTION("""COMPUTED_VALUE"""),31)</f>
        <v>31</v>
      </c>
      <c r="C227" s="1">
        <f ca="1">IFERROR(__xludf.DUMMYFUNCTION("""COMPUTED_VALUE"""),11)</f>
        <v>11</v>
      </c>
      <c r="D227" s="1">
        <f ca="1">IFERROR(__xludf.DUMMYFUNCTION("""COMPUTED_VALUE"""),20)</f>
        <v>20</v>
      </c>
      <c r="E227" s="1">
        <f ca="1">IFERROR(__xludf.DUMMYFUNCTION("""COMPUTED_VALUE"""),0.355)</f>
        <v>0.35499999999999998</v>
      </c>
      <c r="F227" s="1">
        <f ca="1">IFERROR(__xludf.DUMMYFUNCTION("""COMPUTED_VALUE"""),-10.12)</f>
        <v>-10.119999999999999</v>
      </c>
      <c r="G227" s="1">
        <f ca="1">IFERROR(__xludf.DUMMYFUNCTION("""COMPUTED_VALUE"""),-4.22)</f>
        <v>-4.22</v>
      </c>
      <c r="H227" s="1">
        <f ca="1">IFERROR(__xludf.DUMMYFUNCTION("""COMPUTED_VALUE"""),3)</f>
        <v>3</v>
      </c>
      <c r="I227" s="1">
        <f ca="1">IFERROR(__xludf.DUMMYFUNCTION("""COMPUTED_VALUE"""),11)</f>
        <v>11</v>
      </c>
      <c r="J227" s="1">
        <f ca="1">IFERROR(__xludf.DUMMYFUNCTION("""COMPUTED_VALUE"""),8)</f>
        <v>8</v>
      </c>
      <c r="K227" s="1">
        <f ca="1">IFERROR(__xludf.DUMMYFUNCTION("""COMPUTED_VALUE"""),4)</f>
        <v>4</v>
      </c>
      <c r="L227" s="1">
        <f ca="1">IFERROR(__xludf.DUMMYFUNCTION("""COMPUTED_VALUE"""),2)</f>
        <v>2</v>
      </c>
      <c r="M227" s="1">
        <f ca="1">IFERROR(__xludf.DUMMYFUNCTION("""COMPUTED_VALUE"""),15)</f>
        <v>15</v>
      </c>
      <c r="N227" s="1">
        <f ca="1">IFERROR(__xludf.DUMMYFUNCTION("""COMPUTED_VALUE"""),2253)</f>
        <v>2253</v>
      </c>
      <c r="O227" s="1">
        <f ca="1">IFERROR(__xludf.DUMMYFUNCTION("""COMPUTED_VALUE"""),2320)</f>
        <v>2320</v>
      </c>
      <c r="P227" s="1">
        <f ca="1">IFERROR(__xludf.DUMMYFUNCTION("""COMPUTED_VALUE"""),1245)</f>
        <v>1245</v>
      </c>
      <c r="Q227" s="1">
        <f ca="1">IFERROR(__xludf.DUMMYFUNCTION("""COMPUTED_VALUE"""),786)</f>
        <v>786</v>
      </c>
      <c r="R227" s="1">
        <f ca="1">IFERROR(__xludf.DUMMYFUNCTION("""COMPUTED_VALUE"""),1857)</f>
        <v>1857</v>
      </c>
      <c r="S227" s="1">
        <f ca="1">IFERROR(__xludf.DUMMYFUNCTION("""COMPUTED_VALUE"""),0.423)</f>
        <v>0.42299999999999999</v>
      </c>
      <c r="T227" s="1">
        <f ca="1">IFERROR(__xludf.DUMMYFUNCTION("""COMPUTED_VALUE"""),258)</f>
        <v>258</v>
      </c>
      <c r="U227" s="1">
        <f ca="1">IFERROR(__xludf.DUMMYFUNCTION("""COMPUTED_VALUE"""),775)</f>
        <v>775</v>
      </c>
      <c r="V227" s="1">
        <f ca="1">IFERROR(__xludf.DUMMYFUNCTION("""COMPUTED_VALUE"""),0.333)</f>
        <v>0.33300000000000002</v>
      </c>
      <c r="W227" s="1">
        <f ca="1">IFERROR(__xludf.DUMMYFUNCTION("""COMPUTED_VALUE"""),421)</f>
        <v>421</v>
      </c>
      <c r="X227" s="1">
        <f ca="1">IFERROR(__xludf.DUMMYFUNCTION("""COMPUTED_VALUE"""),599)</f>
        <v>599</v>
      </c>
      <c r="Y227" s="1">
        <f ca="1">IFERROR(__xludf.DUMMYFUNCTION("""COMPUTED_VALUE"""),0.703)</f>
        <v>0.70299999999999996</v>
      </c>
      <c r="Z227" s="1">
        <f ca="1">IFERROR(__xludf.DUMMYFUNCTION("""COMPUTED_VALUE"""),357)</f>
        <v>357</v>
      </c>
      <c r="AA227" s="1">
        <f ca="1">IFERROR(__xludf.DUMMYFUNCTION("""COMPUTED_VALUE"""),1134)</f>
        <v>1134</v>
      </c>
      <c r="AB227" s="1">
        <f ca="1">IFERROR(__xludf.DUMMYFUNCTION("""COMPUTED_VALUE"""),395)</f>
        <v>395</v>
      </c>
      <c r="AC227" s="1">
        <f ca="1">IFERROR(__xludf.DUMMYFUNCTION("""COMPUTED_VALUE"""),203)</f>
        <v>203</v>
      </c>
      <c r="AD227" s="1">
        <f ca="1">IFERROR(__xludf.DUMMYFUNCTION("""COMPUTED_VALUE"""),89)</f>
        <v>89</v>
      </c>
      <c r="AE227" s="1">
        <f ca="1">IFERROR(__xludf.DUMMYFUNCTION("""COMPUTED_VALUE"""),418)</f>
        <v>418</v>
      </c>
      <c r="AF227" s="1">
        <f ca="1">IFERROR(__xludf.DUMMYFUNCTION("""COMPUTED_VALUE"""),599)</f>
        <v>599</v>
      </c>
    </row>
    <row r="228" spans="1:32" ht="12.5" x14ac:dyDescent="0.25">
      <c r="A228" s="1" t="str">
        <f ca="1">IFERROR(__xludf.DUMMYFUNCTION("""COMPUTED_VALUE"""),"Norfolk State")</f>
        <v>Norfolk State</v>
      </c>
      <c r="B228" s="1">
        <f ca="1">IFERROR(__xludf.DUMMYFUNCTION("""COMPUTED_VALUE"""),34)</f>
        <v>34</v>
      </c>
      <c r="C228" s="1">
        <f ca="1">IFERROR(__xludf.DUMMYFUNCTION("""COMPUTED_VALUE"""),17)</f>
        <v>17</v>
      </c>
      <c r="D228" s="1">
        <f ca="1">IFERROR(__xludf.DUMMYFUNCTION("""COMPUTED_VALUE"""),17)</f>
        <v>17</v>
      </c>
      <c r="E228" s="1">
        <f ca="1">IFERROR(__xludf.DUMMYFUNCTION("""COMPUTED_VALUE"""),0.5)</f>
        <v>0.5</v>
      </c>
      <c r="F228" s="1">
        <f ca="1">IFERROR(__xludf.DUMMYFUNCTION("""COMPUTED_VALUE"""),-12.07)</f>
        <v>-12.07</v>
      </c>
      <c r="G228" s="1">
        <f ca="1">IFERROR(__xludf.DUMMYFUNCTION("""COMPUTED_VALUE"""),-8.57)</f>
        <v>-8.57</v>
      </c>
      <c r="H228" s="1">
        <f ca="1">IFERROR(__xludf.DUMMYFUNCTION("""COMPUTED_VALUE"""),12)</f>
        <v>12</v>
      </c>
      <c r="I228" s="1">
        <f ca="1">IFERROR(__xludf.DUMMYFUNCTION("""COMPUTED_VALUE"""),4)</f>
        <v>4</v>
      </c>
      <c r="J228" s="1">
        <f ca="1">IFERROR(__xludf.DUMMYFUNCTION("""COMPUTED_VALUE"""),10)</f>
        <v>10</v>
      </c>
      <c r="K228" s="1">
        <f ca="1">IFERROR(__xludf.DUMMYFUNCTION("""COMPUTED_VALUE"""),2)</f>
        <v>2</v>
      </c>
      <c r="L228" s="1">
        <f ca="1">IFERROR(__xludf.DUMMYFUNCTION("""COMPUTED_VALUE"""),5)</f>
        <v>5</v>
      </c>
      <c r="M228" s="1">
        <f ca="1">IFERROR(__xludf.DUMMYFUNCTION("""COMPUTED_VALUE"""),12)</f>
        <v>12</v>
      </c>
      <c r="N228" s="1">
        <f ca="1">IFERROR(__xludf.DUMMYFUNCTION("""COMPUTED_VALUE"""),2374)</f>
        <v>2374</v>
      </c>
      <c r="O228" s="1">
        <f ca="1">IFERROR(__xludf.DUMMYFUNCTION("""COMPUTED_VALUE"""),2430)</f>
        <v>2430</v>
      </c>
      <c r="P228" s="1">
        <f ca="1">IFERROR(__xludf.DUMMYFUNCTION("""COMPUTED_VALUE"""),1380)</f>
        <v>1380</v>
      </c>
      <c r="Q228" s="1">
        <f ca="1">IFERROR(__xludf.DUMMYFUNCTION("""COMPUTED_VALUE"""),827)</f>
        <v>827</v>
      </c>
      <c r="R228" s="1">
        <f ca="1">IFERROR(__xludf.DUMMYFUNCTION("""COMPUTED_VALUE"""),1949)</f>
        <v>1949</v>
      </c>
      <c r="S228" s="1">
        <f ca="1">IFERROR(__xludf.DUMMYFUNCTION("""COMPUTED_VALUE"""),0.424)</f>
        <v>0.42399999999999999</v>
      </c>
      <c r="T228" s="1">
        <f ca="1">IFERROR(__xludf.DUMMYFUNCTION("""COMPUTED_VALUE"""),225)</f>
        <v>225</v>
      </c>
      <c r="U228" s="1">
        <f ca="1">IFERROR(__xludf.DUMMYFUNCTION("""COMPUTED_VALUE"""),663)</f>
        <v>663</v>
      </c>
      <c r="V228" s="1">
        <f ca="1">IFERROR(__xludf.DUMMYFUNCTION("""COMPUTED_VALUE"""),0.339)</f>
        <v>0.33900000000000002</v>
      </c>
      <c r="W228" s="1">
        <f ca="1">IFERROR(__xludf.DUMMYFUNCTION("""COMPUTED_VALUE"""),495)</f>
        <v>495</v>
      </c>
      <c r="X228" s="1">
        <f ca="1">IFERROR(__xludf.DUMMYFUNCTION("""COMPUTED_VALUE"""),727)</f>
        <v>727</v>
      </c>
      <c r="Y228" s="1">
        <f ca="1">IFERROR(__xludf.DUMMYFUNCTION("""COMPUTED_VALUE"""),0.681)</f>
        <v>0.68100000000000005</v>
      </c>
      <c r="Z228" s="1">
        <f ca="1">IFERROR(__xludf.DUMMYFUNCTION("""COMPUTED_VALUE"""),365)</f>
        <v>365</v>
      </c>
      <c r="AA228" s="1">
        <f ca="1">IFERROR(__xludf.DUMMYFUNCTION("""COMPUTED_VALUE"""),1307)</f>
        <v>1307</v>
      </c>
      <c r="AB228" s="1">
        <f ca="1">IFERROR(__xludf.DUMMYFUNCTION("""COMPUTED_VALUE"""),375)</f>
        <v>375</v>
      </c>
      <c r="AC228" s="1">
        <f ca="1">IFERROR(__xludf.DUMMYFUNCTION("""COMPUTED_VALUE"""),173)</f>
        <v>173</v>
      </c>
      <c r="AD228" s="1">
        <f ca="1">IFERROR(__xludf.DUMMYFUNCTION("""COMPUTED_VALUE"""),180)</f>
        <v>180</v>
      </c>
      <c r="AE228" s="1">
        <f ca="1">IFERROR(__xludf.DUMMYFUNCTION("""COMPUTED_VALUE"""),502)</f>
        <v>502</v>
      </c>
      <c r="AF228" s="1">
        <f ca="1">IFERROR(__xludf.DUMMYFUNCTION("""COMPUTED_VALUE"""),705)</f>
        <v>705</v>
      </c>
    </row>
    <row r="229" spans="1:32" ht="12.5" x14ac:dyDescent="0.25">
      <c r="A229" s="1" t="str">
        <f ca="1">IFERROR(__xludf.DUMMYFUNCTION("""COMPUTED_VALUE"""),"North Carolina-Asheville")</f>
        <v>North Carolina-Asheville</v>
      </c>
      <c r="B229" s="1">
        <f ca="1">IFERROR(__xludf.DUMMYFUNCTION("""COMPUTED_VALUE"""),33)</f>
        <v>33</v>
      </c>
      <c r="C229" s="1">
        <f ca="1">IFERROR(__xludf.DUMMYFUNCTION("""COMPUTED_VALUE"""),23)</f>
        <v>23</v>
      </c>
      <c r="D229" s="1">
        <f ca="1">IFERROR(__xludf.DUMMYFUNCTION("""COMPUTED_VALUE"""),10)</f>
        <v>10</v>
      </c>
      <c r="E229" s="1">
        <f ca="1">IFERROR(__xludf.DUMMYFUNCTION("""COMPUTED_VALUE"""),0.697)</f>
        <v>0.69699999999999995</v>
      </c>
      <c r="F229" s="1">
        <f ca="1">IFERROR(__xludf.DUMMYFUNCTION("""COMPUTED_VALUE"""),0.84)</f>
        <v>0.84</v>
      </c>
      <c r="G229" s="1">
        <f ca="1">IFERROR(__xludf.DUMMYFUNCTION("""COMPUTED_VALUE"""),-5.61)</f>
        <v>-5.61</v>
      </c>
      <c r="H229" s="1">
        <f ca="1">IFERROR(__xludf.DUMMYFUNCTION("""COMPUTED_VALUE"""),15)</f>
        <v>15</v>
      </c>
      <c r="I229" s="1">
        <f ca="1">IFERROR(__xludf.DUMMYFUNCTION("""COMPUTED_VALUE"""),3)</f>
        <v>3</v>
      </c>
      <c r="J229" s="1">
        <f ca="1">IFERROR(__xludf.DUMMYFUNCTION("""COMPUTED_VALUE"""),13)</f>
        <v>13</v>
      </c>
      <c r="K229" s="1">
        <f ca="1">IFERROR(__xludf.DUMMYFUNCTION("""COMPUTED_VALUE"""),1)</f>
        <v>1</v>
      </c>
      <c r="L229" s="1">
        <f ca="1">IFERROR(__xludf.DUMMYFUNCTION("""COMPUTED_VALUE"""),10)</f>
        <v>10</v>
      </c>
      <c r="M229" s="1">
        <f ca="1">IFERROR(__xludf.DUMMYFUNCTION("""COMPUTED_VALUE"""),8)</f>
        <v>8</v>
      </c>
      <c r="N229" s="1">
        <f ca="1">IFERROR(__xludf.DUMMYFUNCTION("""COMPUTED_VALUE"""),2544)</f>
        <v>2544</v>
      </c>
      <c r="O229" s="1">
        <f ca="1">IFERROR(__xludf.DUMMYFUNCTION("""COMPUTED_VALUE"""),2261)</f>
        <v>2261</v>
      </c>
      <c r="P229" s="1">
        <f ca="1">IFERROR(__xludf.DUMMYFUNCTION("""COMPUTED_VALUE"""),1345)</f>
        <v>1345</v>
      </c>
      <c r="Q229" s="1">
        <f ca="1">IFERROR(__xludf.DUMMYFUNCTION("""COMPUTED_VALUE"""),908)</f>
        <v>908</v>
      </c>
      <c r="R229" s="1">
        <f ca="1">IFERROR(__xludf.DUMMYFUNCTION("""COMPUTED_VALUE"""),1908)</f>
        <v>1908</v>
      </c>
      <c r="S229" s="1">
        <f ca="1">IFERROR(__xludf.DUMMYFUNCTION("""COMPUTED_VALUE"""),0.476)</f>
        <v>0.47599999999999998</v>
      </c>
      <c r="T229" s="1">
        <f ca="1">IFERROR(__xludf.DUMMYFUNCTION("""COMPUTED_VALUE"""),264)</f>
        <v>264</v>
      </c>
      <c r="U229" s="1">
        <f ca="1">IFERROR(__xludf.DUMMYFUNCTION("""COMPUTED_VALUE"""),670)</f>
        <v>670</v>
      </c>
      <c r="V229" s="1">
        <f ca="1">IFERROR(__xludf.DUMMYFUNCTION("""COMPUTED_VALUE"""),0.394)</f>
        <v>0.39400000000000002</v>
      </c>
      <c r="W229" s="1">
        <f ca="1">IFERROR(__xludf.DUMMYFUNCTION("""COMPUTED_VALUE"""),464)</f>
        <v>464</v>
      </c>
      <c r="X229" s="1">
        <f ca="1">IFERROR(__xludf.DUMMYFUNCTION("""COMPUTED_VALUE"""),681)</f>
        <v>681</v>
      </c>
      <c r="Y229" s="1">
        <f ca="1">IFERROR(__xludf.DUMMYFUNCTION("""COMPUTED_VALUE"""),0.681)</f>
        <v>0.68100000000000005</v>
      </c>
      <c r="Z229" s="1">
        <f ca="1">IFERROR(__xludf.DUMMYFUNCTION("""COMPUTED_VALUE"""),281)</f>
        <v>281</v>
      </c>
      <c r="AA229" s="1">
        <f ca="1">IFERROR(__xludf.DUMMYFUNCTION("""COMPUTED_VALUE"""),1096)</f>
        <v>1096</v>
      </c>
      <c r="AB229" s="1">
        <f ca="1">IFERROR(__xludf.DUMMYFUNCTION("""COMPUTED_VALUE"""),512)</f>
        <v>512</v>
      </c>
      <c r="AC229" s="1">
        <f ca="1">IFERROR(__xludf.DUMMYFUNCTION("""COMPUTED_VALUE"""),306)</f>
        <v>306</v>
      </c>
      <c r="AD229" s="1">
        <f ca="1">IFERROR(__xludf.DUMMYFUNCTION("""COMPUTED_VALUE"""),64)</f>
        <v>64</v>
      </c>
      <c r="AE229" s="1">
        <f ca="1">IFERROR(__xludf.DUMMYFUNCTION("""COMPUTED_VALUE"""),384)</f>
        <v>384</v>
      </c>
      <c r="AF229" s="1">
        <f ca="1">IFERROR(__xludf.DUMMYFUNCTION("""COMPUTED_VALUE"""),553)</f>
        <v>553</v>
      </c>
    </row>
    <row r="230" spans="1:32" ht="12.5" x14ac:dyDescent="0.25">
      <c r="A230" s="1" t="str">
        <f ca="1">IFERROR(__xludf.DUMMYFUNCTION("""COMPUTED_VALUE"""),"North Carolina A&amp;T")</f>
        <v>North Carolina A&amp;T</v>
      </c>
      <c r="B230" s="1">
        <f ca="1">IFERROR(__xludf.DUMMYFUNCTION("""COMPUTED_VALUE"""),32)</f>
        <v>32</v>
      </c>
      <c r="C230" s="1">
        <f ca="1">IFERROR(__xludf.DUMMYFUNCTION("""COMPUTED_VALUE"""),3)</f>
        <v>3</v>
      </c>
      <c r="D230" s="1">
        <f ca="1">IFERROR(__xludf.DUMMYFUNCTION("""COMPUTED_VALUE"""),29)</f>
        <v>29</v>
      </c>
      <c r="E230" s="1">
        <f ca="1">IFERROR(__xludf.DUMMYFUNCTION("""COMPUTED_VALUE"""),0.094)</f>
        <v>9.4E-2</v>
      </c>
      <c r="F230" s="1">
        <f ca="1">IFERROR(__xludf.DUMMYFUNCTION("""COMPUTED_VALUE"""),-23.07)</f>
        <v>-23.07</v>
      </c>
      <c r="G230" s="1">
        <f ca="1">IFERROR(__xludf.DUMMYFUNCTION("""COMPUTED_VALUE"""),-9.61)</f>
        <v>-9.61</v>
      </c>
      <c r="H230" s="1">
        <f ca="1">IFERROR(__xludf.DUMMYFUNCTION("""COMPUTED_VALUE"""),1)</f>
        <v>1</v>
      </c>
      <c r="I230" s="1">
        <f ca="1">IFERROR(__xludf.DUMMYFUNCTION("""COMPUTED_VALUE"""),15)</f>
        <v>15</v>
      </c>
      <c r="J230" s="1">
        <f ca="1">IFERROR(__xludf.DUMMYFUNCTION("""COMPUTED_VALUE"""),3)</f>
        <v>3</v>
      </c>
      <c r="K230" s="1">
        <f ca="1">IFERROR(__xludf.DUMMYFUNCTION("""COMPUTED_VALUE"""),10)</f>
        <v>10</v>
      </c>
      <c r="L230" s="1">
        <f ca="1">IFERROR(__xludf.DUMMYFUNCTION("""COMPUTED_VALUE"""),0)</f>
        <v>0</v>
      </c>
      <c r="M230" s="1">
        <f ca="1">IFERROR(__xludf.DUMMYFUNCTION("""COMPUTED_VALUE"""),18)</f>
        <v>18</v>
      </c>
      <c r="N230" s="1">
        <f ca="1">IFERROR(__xludf.DUMMYFUNCTION("""COMPUTED_VALUE"""),2056)</f>
        <v>2056</v>
      </c>
      <c r="O230" s="1">
        <f ca="1">IFERROR(__xludf.DUMMYFUNCTION("""COMPUTED_VALUE"""),2435)</f>
        <v>2435</v>
      </c>
      <c r="P230" s="1">
        <f ca="1">IFERROR(__xludf.DUMMYFUNCTION("""COMPUTED_VALUE"""),1300)</f>
        <v>1300</v>
      </c>
      <c r="Q230" s="1">
        <f ca="1">IFERROR(__xludf.DUMMYFUNCTION("""COMPUTED_VALUE"""),728)</f>
        <v>728</v>
      </c>
      <c r="R230" s="1">
        <f ca="1">IFERROR(__xludf.DUMMYFUNCTION("""COMPUTED_VALUE"""),1716)</f>
        <v>1716</v>
      </c>
      <c r="S230" s="1">
        <f ca="1">IFERROR(__xludf.DUMMYFUNCTION("""COMPUTED_VALUE"""),0.424)</f>
        <v>0.42399999999999999</v>
      </c>
      <c r="T230" s="1">
        <f ca="1">IFERROR(__xludf.DUMMYFUNCTION("""COMPUTED_VALUE"""),200)</f>
        <v>200</v>
      </c>
      <c r="U230" s="1">
        <f ca="1">IFERROR(__xludf.DUMMYFUNCTION("""COMPUTED_VALUE"""),610)</f>
        <v>610</v>
      </c>
      <c r="V230" s="1">
        <f ca="1">IFERROR(__xludf.DUMMYFUNCTION("""COMPUTED_VALUE"""),0.328)</f>
        <v>0.32800000000000001</v>
      </c>
      <c r="W230" s="1">
        <f ca="1">IFERROR(__xludf.DUMMYFUNCTION("""COMPUTED_VALUE"""),400)</f>
        <v>400</v>
      </c>
      <c r="X230" s="1">
        <f ca="1">IFERROR(__xludf.DUMMYFUNCTION("""COMPUTED_VALUE"""),587)</f>
        <v>587</v>
      </c>
      <c r="Y230" s="1">
        <f ca="1">IFERROR(__xludf.DUMMYFUNCTION("""COMPUTED_VALUE"""),0.681)</f>
        <v>0.68100000000000005</v>
      </c>
      <c r="Z230" s="1">
        <f ca="1">IFERROR(__xludf.DUMMYFUNCTION("""COMPUTED_VALUE"""),348)</f>
        <v>348</v>
      </c>
      <c r="AA230" s="1">
        <f ca="1">IFERROR(__xludf.DUMMYFUNCTION("""COMPUTED_VALUE"""),1102)</f>
        <v>1102</v>
      </c>
      <c r="AB230" s="1">
        <f ca="1">IFERROR(__xludf.DUMMYFUNCTION("""COMPUTED_VALUE"""),352)</f>
        <v>352</v>
      </c>
      <c r="AC230" s="1">
        <f ca="1">IFERROR(__xludf.DUMMYFUNCTION("""COMPUTED_VALUE"""),144)</f>
        <v>144</v>
      </c>
      <c r="AD230" s="1">
        <f ca="1">IFERROR(__xludf.DUMMYFUNCTION("""COMPUTED_VALUE"""),69)</f>
        <v>69</v>
      </c>
      <c r="AE230" s="1">
        <f ca="1">IFERROR(__xludf.DUMMYFUNCTION("""COMPUTED_VALUE"""),466)</f>
        <v>466</v>
      </c>
      <c r="AF230" s="1">
        <f ca="1">IFERROR(__xludf.DUMMYFUNCTION("""COMPUTED_VALUE"""),629)</f>
        <v>629</v>
      </c>
    </row>
    <row r="231" spans="1:32" ht="12.5" x14ac:dyDescent="0.25">
      <c r="A231" s="1" t="str">
        <f ca="1">IFERROR(__xludf.DUMMYFUNCTION("""COMPUTED_VALUE"""),"North Carolina CentralNCAA")</f>
        <v>North Carolina CentralNCAA</v>
      </c>
      <c r="B231" s="1">
        <f ca="1">IFERROR(__xludf.DUMMYFUNCTION("""COMPUTED_VALUE"""),34)</f>
        <v>34</v>
      </c>
      <c r="C231" s="1">
        <f ca="1">IFERROR(__xludf.DUMMYFUNCTION("""COMPUTED_VALUE"""),25)</f>
        <v>25</v>
      </c>
      <c r="D231" s="1">
        <f ca="1">IFERROR(__xludf.DUMMYFUNCTION("""COMPUTED_VALUE"""),9)</f>
        <v>9</v>
      </c>
      <c r="E231" s="1">
        <f ca="1">IFERROR(__xludf.DUMMYFUNCTION("""COMPUTED_VALUE"""),0.735)</f>
        <v>0.73499999999999999</v>
      </c>
      <c r="F231" s="1">
        <f ca="1">IFERROR(__xludf.DUMMYFUNCTION("""COMPUTED_VALUE"""),-3.18)</f>
        <v>-3.18</v>
      </c>
      <c r="G231" s="1">
        <f ca="1">IFERROR(__xludf.DUMMYFUNCTION("""COMPUTED_VALUE"""),-12.12)</f>
        <v>-12.12</v>
      </c>
      <c r="H231" s="1">
        <f ca="1">IFERROR(__xludf.DUMMYFUNCTION("""COMPUTED_VALUE"""),13)</f>
        <v>13</v>
      </c>
      <c r="I231" s="1">
        <f ca="1">IFERROR(__xludf.DUMMYFUNCTION("""COMPUTED_VALUE"""),3)</f>
        <v>3</v>
      </c>
      <c r="J231" s="1">
        <f ca="1">IFERROR(__xludf.DUMMYFUNCTION("""COMPUTED_VALUE"""),11)</f>
        <v>11</v>
      </c>
      <c r="K231" s="1">
        <f ca="1">IFERROR(__xludf.DUMMYFUNCTION("""COMPUTED_VALUE"""),2)</f>
        <v>2</v>
      </c>
      <c r="L231" s="1">
        <f ca="1">IFERROR(__xludf.DUMMYFUNCTION("""COMPUTED_VALUE"""),11)</f>
        <v>11</v>
      </c>
      <c r="M231" s="1">
        <f ca="1">IFERROR(__xludf.DUMMYFUNCTION("""COMPUTED_VALUE"""),6)</f>
        <v>6</v>
      </c>
      <c r="N231" s="1">
        <f ca="1">IFERROR(__xludf.DUMMYFUNCTION("""COMPUTED_VALUE"""),2542)</f>
        <v>2542</v>
      </c>
      <c r="O231" s="1">
        <f ca="1">IFERROR(__xludf.DUMMYFUNCTION("""COMPUTED_VALUE"""),2159)</f>
        <v>2159</v>
      </c>
      <c r="P231" s="1">
        <f ca="1">IFERROR(__xludf.DUMMYFUNCTION("""COMPUTED_VALUE"""),1360)</f>
        <v>1360</v>
      </c>
      <c r="Q231" s="1">
        <f ca="1">IFERROR(__xludf.DUMMYFUNCTION("""COMPUTED_VALUE"""),910)</f>
        <v>910</v>
      </c>
      <c r="R231" s="1">
        <f ca="1">IFERROR(__xludf.DUMMYFUNCTION("""COMPUTED_VALUE"""),2005)</f>
        <v>2005</v>
      </c>
      <c r="S231" s="1">
        <f ca="1">IFERROR(__xludf.DUMMYFUNCTION("""COMPUTED_VALUE"""),0.454)</f>
        <v>0.45400000000000001</v>
      </c>
      <c r="T231" s="1">
        <f ca="1">IFERROR(__xludf.DUMMYFUNCTION("""COMPUTED_VALUE"""),255)</f>
        <v>255</v>
      </c>
      <c r="U231" s="1">
        <f ca="1">IFERROR(__xludf.DUMMYFUNCTION("""COMPUTED_VALUE"""),761)</f>
        <v>761</v>
      </c>
      <c r="V231" s="1">
        <f ca="1">IFERROR(__xludf.DUMMYFUNCTION("""COMPUTED_VALUE"""),0.335)</f>
        <v>0.33500000000000002</v>
      </c>
      <c r="W231" s="1">
        <f ca="1">IFERROR(__xludf.DUMMYFUNCTION("""COMPUTED_VALUE"""),467)</f>
        <v>467</v>
      </c>
      <c r="X231" s="1">
        <f ca="1">IFERROR(__xludf.DUMMYFUNCTION("""COMPUTED_VALUE"""),684)</f>
        <v>684</v>
      </c>
      <c r="Y231" s="1">
        <f ca="1">IFERROR(__xludf.DUMMYFUNCTION("""COMPUTED_VALUE"""),0.683)</f>
        <v>0.68300000000000005</v>
      </c>
      <c r="Z231" s="1">
        <f ca="1">IFERROR(__xludf.DUMMYFUNCTION("""COMPUTED_VALUE"""),397)</f>
        <v>397</v>
      </c>
      <c r="AA231" s="1">
        <f ca="1">IFERROR(__xludf.DUMMYFUNCTION("""COMPUTED_VALUE"""),1313)</f>
        <v>1313</v>
      </c>
      <c r="AB231" s="1">
        <f ca="1">IFERROR(__xludf.DUMMYFUNCTION("""COMPUTED_VALUE"""),480)</f>
        <v>480</v>
      </c>
      <c r="AC231" s="1">
        <f ca="1">IFERROR(__xludf.DUMMYFUNCTION("""COMPUTED_VALUE"""),209)</f>
        <v>209</v>
      </c>
      <c r="AD231" s="1">
        <f ca="1">IFERROR(__xludf.DUMMYFUNCTION("""COMPUTED_VALUE"""),112)</f>
        <v>112</v>
      </c>
      <c r="AE231" s="1">
        <f ca="1">IFERROR(__xludf.DUMMYFUNCTION("""COMPUTED_VALUE"""),406)</f>
        <v>406</v>
      </c>
      <c r="AF231" s="1">
        <f ca="1">IFERROR(__xludf.DUMMYFUNCTION("""COMPUTED_VALUE"""),587)</f>
        <v>587</v>
      </c>
    </row>
    <row r="232" spans="1:32" ht="12.5" x14ac:dyDescent="0.25">
      <c r="A232" s="1" t="str">
        <f ca="1">IFERROR(__xludf.DUMMYFUNCTION("""COMPUTED_VALUE"""),"North Carolina-Greensboro")</f>
        <v>North Carolina-Greensboro</v>
      </c>
      <c r="B232" s="1">
        <f ca="1">IFERROR(__xludf.DUMMYFUNCTION("""COMPUTED_VALUE"""),35)</f>
        <v>35</v>
      </c>
      <c r="C232" s="1">
        <f ca="1">IFERROR(__xludf.DUMMYFUNCTION("""COMPUTED_VALUE"""),25)</f>
        <v>25</v>
      </c>
      <c r="D232" s="1">
        <f ca="1">IFERROR(__xludf.DUMMYFUNCTION("""COMPUTED_VALUE"""),10)</f>
        <v>10</v>
      </c>
      <c r="E232" s="1">
        <f ca="1">IFERROR(__xludf.DUMMYFUNCTION("""COMPUTED_VALUE"""),0.714)</f>
        <v>0.71399999999999997</v>
      </c>
      <c r="F232" s="1">
        <f ca="1">IFERROR(__xludf.DUMMYFUNCTION("""COMPUTED_VALUE"""),-0.1)</f>
        <v>-0.1</v>
      </c>
      <c r="G232" s="1">
        <f ca="1">IFERROR(__xludf.DUMMYFUNCTION("""COMPUTED_VALUE"""),-2.63)</f>
        <v>-2.63</v>
      </c>
      <c r="H232" s="1">
        <f ca="1">IFERROR(__xludf.DUMMYFUNCTION("""COMPUTED_VALUE"""),14)</f>
        <v>14</v>
      </c>
      <c r="I232" s="1">
        <f ca="1">IFERROR(__xludf.DUMMYFUNCTION("""COMPUTED_VALUE"""),4)</f>
        <v>4</v>
      </c>
      <c r="J232" s="1">
        <f ca="1">IFERROR(__xludf.DUMMYFUNCTION("""COMPUTED_VALUE"""),13)</f>
        <v>13</v>
      </c>
      <c r="K232" s="1">
        <f ca="1">IFERROR(__xludf.DUMMYFUNCTION("""COMPUTED_VALUE"""),4)</f>
        <v>4</v>
      </c>
      <c r="L232" s="1">
        <f ca="1">IFERROR(__xludf.DUMMYFUNCTION("""COMPUTED_VALUE"""),8)</f>
        <v>8</v>
      </c>
      <c r="M232" s="1">
        <f ca="1">IFERROR(__xludf.DUMMYFUNCTION("""COMPUTED_VALUE"""),5)</f>
        <v>5</v>
      </c>
      <c r="N232" s="1">
        <f ca="1">IFERROR(__xludf.DUMMYFUNCTION("""COMPUTED_VALUE"""),2628)</f>
        <v>2628</v>
      </c>
      <c r="O232" s="1">
        <f ca="1">IFERROR(__xludf.DUMMYFUNCTION("""COMPUTED_VALUE"""),2424)</f>
        <v>2424</v>
      </c>
      <c r="P232" s="1">
        <f ca="1">IFERROR(__xludf.DUMMYFUNCTION("""COMPUTED_VALUE"""),1400)</f>
        <v>1400</v>
      </c>
      <c r="Q232" s="1">
        <f ca="1">IFERROR(__xludf.DUMMYFUNCTION("""COMPUTED_VALUE"""),947)</f>
        <v>947</v>
      </c>
      <c r="R232" s="1">
        <f ca="1">IFERROR(__xludf.DUMMYFUNCTION("""COMPUTED_VALUE"""),2043)</f>
        <v>2043</v>
      </c>
      <c r="S232" s="1">
        <f ca="1">IFERROR(__xludf.DUMMYFUNCTION("""COMPUTED_VALUE"""),0.464)</f>
        <v>0.46400000000000002</v>
      </c>
      <c r="T232" s="1">
        <f ca="1">IFERROR(__xludf.DUMMYFUNCTION("""COMPUTED_VALUE"""),308)</f>
        <v>308</v>
      </c>
      <c r="U232" s="1">
        <f ca="1">IFERROR(__xludf.DUMMYFUNCTION("""COMPUTED_VALUE"""),807)</f>
        <v>807</v>
      </c>
      <c r="V232" s="1">
        <f ca="1">IFERROR(__xludf.DUMMYFUNCTION("""COMPUTED_VALUE"""),0.382)</f>
        <v>0.38200000000000001</v>
      </c>
      <c r="W232" s="1">
        <f ca="1">IFERROR(__xludf.DUMMYFUNCTION("""COMPUTED_VALUE"""),426)</f>
        <v>426</v>
      </c>
      <c r="X232" s="1">
        <f ca="1">IFERROR(__xludf.DUMMYFUNCTION("""COMPUTED_VALUE"""),603)</f>
        <v>603</v>
      </c>
      <c r="Y232" s="1">
        <f ca="1">IFERROR(__xludf.DUMMYFUNCTION("""COMPUTED_VALUE"""),0.706)</f>
        <v>0.70599999999999996</v>
      </c>
      <c r="Z232" s="1">
        <f ca="1">IFERROR(__xludf.DUMMYFUNCTION("""COMPUTED_VALUE"""),405)</f>
        <v>405</v>
      </c>
      <c r="AA232" s="1">
        <f ca="1">IFERROR(__xludf.DUMMYFUNCTION("""COMPUTED_VALUE"""),1243)</f>
        <v>1243</v>
      </c>
      <c r="AB232" s="1">
        <f ca="1">IFERROR(__xludf.DUMMYFUNCTION("""COMPUTED_VALUE"""),525)</f>
        <v>525</v>
      </c>
      <c r="AC232" s="1">
        <f ca="1">IFERROR(__xludf.DUMMYFUNCTION("""COMPUTED_VALUE"""),245)</f>
        <v>245</v>
      </c>
      <c r="AD232" s="1">
        <f ca="1">IFERROR(__xludf.DUMMYFUNCTION("""COMPUTED_VALUE"""),133)</f>
        <v>133</v>
      </c>
      <c r="AE232" s="1">
        <f ca="1">IFERROR(__xludf.DUMMYFUNCTION("""COMPUTED_VALUE"""),474)</f>
        <v>474</v>
      </c>
      <c r="AF232" s="1">
        <f ca="1">IFERROR(__xludf.DUMMYFUNCTION("""COMPUTED_VALUE"""),638)</f>
        <v>638</v>
      </c>
    </row>
    <row r="233" spans="1:32" ht="12.5" x14ac:dyDescent="0.25">
      <c r="A233" s="1" t="str">
        <f ca="1">IFERROR(__xludf.DUMMYFUNCTION("""COMPUTED_VALUE"""),"North Carolina State")</f>
        <v>North Carolina State</v>
      </c>
      <c r="B233" s="1">
        <f ca="1">IFERROR(__xludf.DUMMYFUNCTION("""COMPUTED_VALUE"""),32)</f>
        <v>32</v>
      </c>
      <c r="C233" s="1">
        <f ca="1">IFERROR(__xludf.DUMMYFUNCTION("""COMPUTED_VALUE"""),15)</f>
        <v>15</v>
      </c>
      <c r="D233" s="1">
        <f ca="1">IFERROR(__xludf.DUMMYFUNCTION("""COMPUTED_VALUE"""),17)</f>
        <v>17</v>
      </c>
      <c r="E233" s="1">
        <f ca="1">IFERROR(__xludf.DUMMYFUNCTION("""COMPUTED_VALUE"""),0.469)</f>
        <v>0.46899999999999997</v>
      </c>
      <c r="F233" s="1">
        <f ca="1">IFERROR(__xludf.DUMMYFUNCTION("""COMPUTED_VALUE"""),6.09)</f>
        <v>6.09</v>
      </c>
      <c r="G233" s="1">
        <f ca="1">IFERROR(__xludf.DUMMYFUNCTION("""COMPUTED_VALUE"""),8.09)</f>
        <v>8.09</v>
      </c>
      <c r="H233" s="1">
        <f ca="1">IFERROR(__xludf.DUMMYFUNCTION("""COMPUTED_VALUE"""),4)</f>
        <v>4</v>
      </c>
      <c r="I233" s="1">
        <f ca="1">IFERROR(__xludf.DUMMYFUNCTION("""COMPUTED_VALUE"""),14)</f>
        <v>14</v>
      </c>
      <c r="J233" s="1">
        <f ca="1">IFERROR(__xludf.DUMMYFUNCTION("""COMPUTED_VALUE"""),11)</f>
        <v>11</v>
      </c>
      <c r="K233" s="1">
        <f ca="1">IFERROR(__xludf.DUMMYFUNCTION("""COMPUTED_VALUE"""),7)</f>
        <v>7</v>
      </c>
      <c r="L233" s="1">
        <f ca="1">IFERROR(__xludf.DUMMYFUNCTION("""COMPUTED_VALUE"""),2)</f>
        <v>2</v>
      </c>
      <c r="M233" s="1">
        <f ca="1">IFERROR(__xludf.DUMMYFUNCTION("""COMPUTED_VALUE"""),8)</f>
        <v>8</v>
      </c>
      <c r="N233" s="1">
        <f ca="1">IFERROR(__xludf.DUMMYFUNCTION("""COMPUTED_VALUE"""),2483)</f>
        <v>2483</v>
      </c>
      <c r="O233" s="1">
        <f ca="1">IFERROR(__xludf.DUMMYFUNCTION("""COMPUTED_VALUE"""),2547)</f>
        <v>2547</v>
      </c>
      <c r="P233" s="1">
        <f ca="1">IFERROR(__xludf.DUMMYFUNCTION("""COMPUTED_VALUE"""),1290)</f>
        <v>1290</v>
      </c>
      <c r="Q233" s="1">
        <f ca="1">IFERROR(__xludf.DUMMYFUNCTION("""COMPUTED_VALUE"""),888)</f>
        <v>888</v>
      </c>
      <c r="R233" s="1">
        <f ca="1">IFERROR(__xludf.DUMMYFUNCTION("""COMPUTED_VALUE"""),1898)</f>
        <v>1898</v>
      </c>
      <c r="S233" s="1">
        <f ca="1">IFERROR(__xludf.DUMMYFUNCTION("""COMPUTED_VALUE"""),0.468)</f>
        <v>0.46800000000000003</v>
      </c>
      <c r="T233" s="1">
        <f ca="1">IFERROR(__xludf.DUMMYFUNCTION("""COMPUTED_VALUE"""),226)</f>
        <v>226</v>
      </c>
      <c r="U233" s="1">
        <f ca="1">IFERROR(__xludf.DUMMYFUNCTION("""COMPUTED_VALUE"""),635)</f>
        <v>635</v>
      </c>
      <c r="V233" s="1">
        <f ca="1">IFERROR(__xludf.DUMMYFUNCTION("""COMPUTED_VALUE"""),0.356)</f>
        <v>0.35599999999999998</v>
      </c>
      <c r="W233" s="1">
        <f ca="1">IFERROR(__xludf.DUMMYFUNCTION("""COMPUTED_VALUE"""),481)</f>
        <v>481</v>
      </c>
      <c r="X233" s="1">
        <f ca="1">IFERROR(__xludf.DUMMYFUNCTION("""COMPUTED_VALUE"""),687)</f>
        <v>687</v>
      </c>
      <c r="Y233" s="1">
        <f ca="1">IFERROR(__xludf.DUMMYFUNCTION("""COMPUTED_VALUE"""),0.7)</f>
        <v>0.7</v>
      </c>
      <c r="Z233" s="1">
        <f ca="1">IFERROR(__xludf.DUMMYFUNCTION("""COMPUTED_VALUE"""),329)</f>
        <v>329</v>
      </c>
      <c r="AA233" s="1">
        <f ca="1">IFERROR(__xludf.DUMMYFUNCTION("""COMPUTED_VALUE"""),1161)</f>
        <v>1161</v>
      </c>
      <c r="AB233" s="1">
        <f ca="1">IFERROR(__xludf.DUMMYFUNCTION("""COMPUTED_VALUE"""),457)</f>
        <v>457</v>
      </c>
      <c r="AC233" s="1">
        <f ca="1">IFERROR(__xludf.DUMMYFUNCTION("""COMPUTED_VALUE"""),162)</f>
        <v>162</v>
      </c>
      <c r="AD233" s="1">
        <f ca="1">IFERROR(__xludf.DUMMYFUNCTION("""COMPUTED_VALUE"""),140)</f>
        <v>140</v>
      </c>
      <c r="AE233" s="1">
        <f ca="1">IFERROR(__xludf.DUMMYFUNCTION("""COMPUTED_VALUE"""),428)</f>
        <v>428</v>
      </c>
      <c r="AF233" s="1">
        <f ca="1">IFERROR(__xludf.DUMMYFUNCTION("""COMPUTED_VALUE"""),582)</f>
        <v>582</v>
      </c>
    </row>
    <row r="234" spans="1:32" ht="12.5" x14ac:dyDescent="0.25">
      <c r="A234" s="1" t="str">
        <f ca="1">IFERROR(__xludf.DUMMYFUNCTION("""COMPUTED_VALUE"""),"North Carolina-WilmingtonNCAA")</f>
        <v>North Carolina-WilmingtonNCAA</v>
      </c>
      <c r="B234" s="1">
        <f ca="1">IFERROR(__xludf.DUMMYFUNCTION("""COMPUTED_VALUE"""),35)</f>
        <v>35</v>
      </c>
      <c r="C234" s="1">
        <f ca="1">IFERROR(__xludf.DUMMYFUNCTION("""COMPUTED_VALUE"""),29)</f>
        <v>29</v>
      </c>
      <c r="D234" s="1">
        <f ca="1">IFERROR(__xludf.DUMMYFUNCTION("""COMPUTED_VALUE"""),6)</f>
        <v>6</v>
      </c>
      <c r="E234" s="1">
        <f ca="1">IFERROR(__xludf.DUMMYFUNCTION("""COMPUTED_VALUE"""),0.829)</f>
        <v>0.82899999999999996</v>
      </c>
      <c r="F234" s="1">
        <f ca="1">IFERROR(__xludf.DUMMYFUNCTION("""COMPUTED_VALUE"""),8.06)</f>
        <v>8.06</v>
      </c>
      <c r="G234" s="1">
        <f ca="1">IFERROR(__xludf.DUMMYFUNCTION("""COMPUTED_VALUE"""),-0.55)</f>
        <v>-0.55000000000000004</v>
      </c>
      <c r="H234" s="1">
        <f ca="1">IFERROR(__xludf.DUMMYFUNCTION("""COMPUTED_VALUE"""),15)</f>
        <v>15</v>
      </c>
      <c r="I234" s="1">
        <f ca="1">IFERROR(__xludf.DUMMYFUNCTION("""COMPUTED_VALUE"""),3)</f>
        <v>3</v>
      </c>
      <c r="J234" s="1">
        <f ca="1">IFERROR(__xludf.DUMMYFUNCTION("""COMPUTED_VALUE"""),13)</f>
        <v>13</v>
      </c>
      <c r="K234" s="1">
        <f ca="1">IFERROR(__xludf.DUMMYFUNCTION("""COMPUTED_VALUE"""),1)</f>
        <v>1</v>
      </c>
      <c r="L234" s="1">
        <f ca="1">IFERROR(__xludf.DUMMYFUNCTION("""COMPUTED_VALUE"""),11)</f>
        <v>11</v>
      </c>
      <c r="M234" s="1">
        <f ca="1">IFERROR(__xludf.DUMMYFUNCTION("""COMPUTED_VALUE"""),3)</f>
        <v>3</v>
      </c>
      <c r="N234" s="1">
        <f ca="1">IFERROR(__xludf.DUMMYFUNCTION("""COMPUTED_VALUE"""),2967)</f>
        <v>2967</v>
      </c>
      <c r="O234" s="1">
        <f ca="1">IFERROR(__xludf.DUMMYFUNCTION("""COMPUTED_VALUE"""),2624)</f>
        <v>2624</v>
      </c>
      <c r="P234" s="1">
        <f ca="1">IFERROR(__xludf.DUMMYFUNCTION("""COMPUTED_VALUE"""),1405)</f>
        <v>1405</v>
      </c>
      <c r="Q234" s="1">
        <f ca="1">IFERROR(__xludf.DUMMYFUNCTION("""COMPUTED_VALUE"""),1071)</f>
        <v>1071</v>
      </c>
      <c r="R234" s="1">
        <f ca="1">IFERROR(__xludf.DUMMYFUNCTION("""COMPUTED_VALUE"""),2231)</f>
        <v>2231</v>
      </c>
      <c r="S234" s="1">
        <f ca="1">IFERROR(__xludf.DUMMYFUNCTION("""COMPUTED_VALUE"""),0.48)</f>
        <v>0.48</v>
      </c>
      <c r="T234" s="1">
        <f ca="1">IFERROR(__xludf.DUMMYFUNCTION("""COMPUTED_VALUE"""),336)</f>
        <v>336</v>
      </c>
      <c r="U234" s="1">
        <f ca="1">IFERROR(__xludf.DUMMYFUNCTION("""COMPUTED_VALUE"""),917)</f>
        <v>917</v>
      </c>
      <c r="V234" s="1">
        <f ca="1">IFERROR(__xludf.DUMMYFUNCTION("""COMPUTED_VALUE"""),0.366)</f>
        <v>0.36599999999999999</v>
      </c>
      <c r="W234" s="1">
        <f ca="1">IFERROR(__xludf.DUMMYFUNCTION("""COMPUTED_VALUE"""),489)</f>
        <v>489</v>
      </c>
      <c r="X234" s="1">
        <f ca="1">IFERROR(__xludf.DUMMYFUNCTION("""COMPUTED_VALUE"""),708)</f>
        <v>708</v>
      </c>
      <c r="Y234" s="1">
        <f ca="1">IFERROR(__xludf.DUMMYFUNCTION("""COMPUTED_VALUE"""),0.691)</f>
        <v>0.69099999999999995</v>
      </c>
      <c r="Z234" s="1">
        <f ca="1">IFERROR(__xludf.DUMMYFUNCTION("""COMPUTED_VALUE"""),422)</f>
        <v>422</v>
      </c>
      <c r="AA234" s="1">
        <f ca="1">IFERROR(__xludf.DUMMYFUNCTION("""COMPUTED_VALUE"""),1261)</f>
        <v>1261</v>
      </c>
      <c r="AB234" s="1">
        <f ca="1">IFERROR(__xludf.DUMMYFUNCTION("""COMPUTED_VALUE"""),564)</f>
        <v>564</v>
      </c>
      <c r="AC234" s="1">
        <f ca="1">IFERROR(__xludf.DUMMYFUNCTION("""COMPUTED_VALUE"""),234)</f>
        <v>234</v>
      </c>
      <c r="AD234" s="1">
        <f ca="1">IFERROR(__xludf.DUMMYFUNCTION("""COMPUTED_VALUE"""),115)</f>
        <v>115</v>
      </c>
      <c r="AE234" s="1">
        <f ca="1">IFERROR(__xludf.DUMMYFUNCTION("""COMPUTED_VALUE"""),363)</f>
        <v>363</v>
      </c>
      <c r="AF234" s="1">
        <f ca="1">IFERROR(__xludf.DUMMYFUNCTION("""COMPUTED_VALUE"""),699)</f>
        <v>699</v>
      </c>
    </row>
    <row r="235" spans="1:32" ht="12.5" x14ac:dyDescent="0.25">
      <c r="A235" s="1" t="str">
        <f ca="1">IFERROR(__xludf.DUMMYFUNCTION("""COMPUTED_VALUE"""),"North CarolinaNCAA")</f>
        <v>North CarolinaNCAA</v>
      </c>
      <c r="B235" s="1">
        <f ca="1">IFERROR(__xludf.DUMMYFUNCTION("""COMPUTED_VALUE"""),40)</f>
        <v>40</v>
      </c>
      <c r="C235" s="1">
        <f ca="1">IFERROR(__xludf.DUMMYFUNCTION("""COMPUTED_VALUE"""),33)</f>
        <v>33</v>
      </c>
      <c r="D235" s="1">
        <f ca="1">IFERROR(__xludf.DUMMYFUNCTION("""COMPUTED_VALUE"""),7)</f>
        <v>7</v>
      </c>
      <c r="E235" s="1">
        <f ca="1">IFERROR(__xludf.DUMMYFUNCTION("""COMPUTED_VALUE"""),0.825)</f>
        <v>0.82499999999999996</v>
      </c>
      <c r="F235" s="1">
        <f ca="1">IFERROR(__xludf.DUMMYFUNCTION("""COMPUTED_VALUE"""),24.84)</f>
        <v>24.84</v>
      </c>
      <c r="G235" s="1">
        <f ca="1">IFERROR(__xludf.DUMMYFUNCTION("""COMPUTED_VALUE"""),11.76)</f>
        <v>11.76</v>
      </c>
      <c r="H235" s="1">
        <f ca="1">IFERROR(__xludf.DUMMYFUNCTION("""COMPUTED_VALUE"""),14)</f>
        <v>14</v>
      </c>
      <c r="I235" s="1">
        <f ca="1">IFERROR(__xludf.DUMMYFUNCTION("""COMPUTED_VALUE"""),4)</f>
        <v>4</v>
      </c>
      <c r="J235" s="1">
        <f ca="1">IFERROR(__xludf.DUMMYFUNCTION("""COMPUTED_VALUE"""),16)</f>
        <v>16</v>
      </c>
      <c r="K235" s="1">
        <f ca="1">IFERROR(__xludf.DUMMYFUNCTION("""COMPUTED_VALUE"""),0)</f>
        <v>0</v>
      </c>
      <c r="L235" s="1">
        <f ca="1">IFERROR(__xludf.DUMMYFUNCTION("""COMPUTED_VALUE"""),6)</f>
        <v>6</v>
      </c>
      <c r="M235" s="1">
        <f ca="1">IFERROR(__xludf.DUMMYFUNCTION("""COMPUTED_VALUE"""),5)</f>
        <v>5</v>
      </c>
      <c r="N235" s="1">
        <f ca="1">IFERROR(__xludf.DUMMYFUNCTION("""COMPUTED_VALUE"""),3377)</f>
        <v>3377</v>
      </c>
      <c r="O235" s="1">
        <f ca="1">IFERROR(__xludf.DUMMYFUNCTION("""COMPUTED_VALUE"""),2824)</f>
        <v>2824</v>
      </c>
      <c r="P235" s="1">
        <f ca="1">IFERROR(__xludf.DUMMYFUNCTION("""COMPUTED_VALUE"""),1605)</f>
        <v>1605</v>
      </c>
      <c r="Q235" s="1">
        <f ca="1">IFERROR(__xludf.DUMMYFUNCTION("""COMPUTED_VALUE"""),1226)</f>
        <v>1226</v>
      </c>
      <c r="R235" s="1">
        <f ca="1">IFERROR(__xludf.DUMMYFUNCTION("""COMPUTED_VALUE"""),2633)</f>
        <v>2633</v>
      </c>
      <c r="S235" s="1">
        <f ca="1">IFERROR(__xludf.DUMMYFUNCTION("""COMPUTED_VALUE"""),0.466)</f>
        <v>0.46600000000000003</v>
      </c>
      <c r="T235" s="1">
        <f ca="1">IFERROR(__xludf.DUMMYFUNCTION("""COMPUTED_VALUE"""),283)</f>
        <v>283</v>
      </c>
      <c r="U235" s="1">
        <f ca="1">IFERROR(__xludf.DUMMYFUNCTION("""COMPUTED_VALUE"""),798)</f>
        <v>798</v>
      </c>
      <c r="V235" s="1">
        <f ca="1">IFERROR(__xludf.DUMMYFUNCTION("""COMPUTED_VALUE"""),0.355)</f>
        <v>0.35499999999999998</v>
      </c>
      <c r="W235" s="1">
        <f ca="1">IFERROR(__xludf.DUMMYFUNCTION("""COMPUTED_VALUE"""),642)</f>
        <v>642</v>
      </c>
      <c r="X235" s="1">
        <f ca="1">IFERROR(__xludf.DUMMYFUNCTION("""COMPUTED_VALUE"""),916)</f>
        <v>916</v>
      </c>
      <c r="Y235" s="1">
        <f ca="1">IFERROR(__xludf.DUMMYFUNCTION("""COMPUTED_VALUE"""),0.701)</f>
        <v>0.70099999999999996</v>
      </c>
      <c r="Z235" s="1">
        <f ca="1">IFERROR(__xludf.DUMMYFUNCTION("""COMPUTED_VALUE"""),630)</f>
        <v>630</v>
      </c>
      <c r="AA235" s="1">
        <f ca="1">IFERROR(__xludf.DUMMYFUNCTION("""COMPUTED_VALUE"""),1748)</f>
        <v>1748</v>
      </c>
      <c r="AB235" s="1">
        <f ca="1">IFERROR(__xludf.DUMMYFUNCTION("""COMPUTED_VALUE"""),722)</f>
        <v>722</v>
      </c>
      <c r="AC235" s="1">
        <f ca="1">IFERROR(__xludf.DUMMYFUNCTION("""COMPUTED_VALUE"""),283)</f>
        <v>283</v>
      </c>
      <c r="AD235" s="1">
        <f ca="1">IFERROR(__xludf.DUMMYFUNCTION("""COMPUTED_VALUE"""),139)</f>
        <v>139</v>
      </c>
      <c r="AE235" s="1">
        <f ca="1">IFERROR(__xludf.DUMMYFUNCTION("""COMPUTED_VALUE"""),473)</f>
        <v>473</v>
      </c>
      <c r="AF235" s="1">
        <f ca="1">IFERROR(__xludf.DUMMYFUNCTION("""COMPUTED_VALUE"""),711)</f>
        <v>711</v>
      </c>
    </row>
    <row r="236" spans="1:32" ht="12.5" x14ac:dyDescent="0.25">
      <c r="A236" s="1" t="str">
        <f ca="1">IFERROR(__xludf.DUMMYFUNCTION("""COMPUTED_VALUE"""),"North Dakota State")</f>
        <v>North Dakota State</v>
      </c>
      <c r="B236" s="1">
        <f ca="1">IFERROR(__xludf.DUMMYFUNCTION("""COMPUTED_VALUE"""),30)</f>
        <v>30</v>
      </c>
      <c r="C236" s="1">
        <f ca="1">IFERROR(__xludf.DUMMYFUNCTION("""COMPUTED_VALUE"""),19)</f>
        <v>19</v>
      </c>
      <c r="D236" s="1">
        <f ca="1">IFERROR(__xludf.DUMMYFUNCTION("""COMPUTED_VALUE"""),11)</f>
        <v>11</v>
      </c>
      <c r="E236" s="1">
        <f ca="1">IFERROR(__xludf.DUMMYFUNCTION("""COMPUTED_VALUE"""),0.633)</f>
        <v>0.63300000000000001</v>
      </c>
      <c r="F236" s="1">
        <f ca="1">IFERROR(__xludf.DUMMYFUNCTION("""COMPUTED_VALUE"""),-1.31)</f>
        <v>-1.31</v>
      </c>
      <c r="G236" s="1">
        <f ca="1">IFERROR(__xludf.DUMMYFUNCTION("""COMPUTED_VALUE"""),-2.63)</f>
        <v>-2.63</v>
      </c>
      <c r="H236" s="1">
        <f ca="1">IFERROR(__xludf.DUMMYFUNCTION("""COMPUTED_VALUE"""),11)</f>
        <v>11</v>
      </c>
      <c r="I236" s="1">
        <f ca="1">IFERROR(__xludf.DUMMYFUNCTION("""COMPUTED_VALUE"""),5)</f>
        <v>5</v>
      </c>
      <c r="J236" s="1">
        <f ca="1">IFERROR(__xludf.DUMMYFUNCTION("""COMPUTED_VALUE"""),11)</f>
        <v>11</v>
      </c>
      <c r="K236" s="1">
        <f ca="1">IFERROR(__xludf.DUMMYFUNCTION("""COMPUTED_VALUE"""),2)</f>
        <v>2</v>
      </c>
      <c r="L236" s="1">
        <f ca="1">IFERROR(__xludf.DUMMYFUNCTION("""COMPUTED_VALUE"""),7)</f>
        <v>7</v>
      </c>
      <c r="M236" s="1">
        <f ca="1">IFERROR(__xludf.DUMMYFUNCTION("""COMPUTED_VALUE"""),7)</f>
        <v>7</v>
      </c>
      <c r="N236" s="1">
        <f ca="1">IFERROR(__xludf.DUMMYFUNCTION("""COMPUTED_VALUE"""),2244)</f>
        <v>2244</v>
      </c>
      <c r="O236" s="1">
        <f ca="1">IFERROR(__xludf.DUMMYFUNCTION("""COMPUTED_VALUE"""),2146)</f>
        <v>2146</v>
      </c>
      <c r="P236" s="1">
        <f ca="1">IFERROR(__xludf.DUMMYFUNCTION("""COMPUTED_VALUE"""),1215)</f>
        <v>1215</v>
      </c>
      <c r="Q236" s="1">
        <f ca="1">IFERROR(__xludf.DUMMYFUNCTION("""COMPUTED_VALUE"""),775)</f>
        <v>775</v>
      </c>
      <c r="R236" s="1">
        <f ca="1">IFERROR(__xludf.DUMMYFUNCTION("""COMPUTED_VALUE"""),1693)</f>
        <v>1693</v>
      </c>
      <c r="S236" s="1">
        <f ca="1">IFERROR(__xludf.DUMMYFUNCTION("""COMPUTED_VALUE"""),0.458)</f>
        <v>0.45800000000000002</v>
      </c>
      <c r="T236" s="1">
        <f ca="1">IFERROR(__xludf.DUMMYFUNCTION("""COMPUTED_VALUE"""),232)</f>
        <v>232</v>
      </c>
      <c r="U236" s="1">
        <f ca="1">IFERROR(__xludf.DUMMYFUNCTION("""COMPUTED_VALUE"""),630)</f>
        <v>630</v>
      </c>
      <c r="V236" s="1">
        <f ca="1">IFERROR(__xludf.DUMMYFUNCTION("""COMPUTED_VALUE"""),0.368)</f>
        <v>0.36799999999999999</v>
      </c>
      <c r="W236" s="1">
        <f ca="1">IFERROR(__xludf.DUMMYFUNCTION("""COMPUTED_VALUE"""),462)</f>
        <v>462</v>
      </c>
      <c r="X236" s="1">
        <f ca="1">IFERROR(__xludf.DUMMYFUNCTION("""COMPUTED_VALUE"""),650)</f>
        <v>650</v>
      </c>
      <c r="Y236" s="1">
        <f ca="1">IFERROR(__xludf.DUMMYFUNCTION("""COMPUTED_VALUE"""),0.711)</f>
        <v>0.71099999999999997</v>
      </c>
      <c r="Z236" s="1">
        <f ca="1">IFERROR(__xludf.DUMMYFUNCTION("""COMPUTED_VALUE"""),258)</f>
        <v>258</v>
      </c>
      <c r="AA236" s="1">
        <f ca="1">IFERROR(__xludf.DUMMYFUNCTION("""COMPUTED_VALUE"""),1047)</f>
        <v>1047</v>
      </c>
      <c r="AB236" s="1">
        <f ca="1">IFERROR(__xludf.DUMMYFUNCTION("""COMPUTED_VALUE"""),365)</f>
        <v>365</v>
      </c>
      <c r="AC236" s="1">
        <f ca="1">IFERROR(__xludf.DUMMYFUNCTION("""COMPUTED_VALUE"""),183)</f>
        <v>183</v>
      </c>
      <c r="AD236" s="1">
        <f ca="1">IFERROR(__xludf.DUMMYFUNCTION("""COMPUTED_VALUE"""),111)</f>
        <v>111</v>
      </c>
      <c r="AE236" s="1">
        <f ca="1">IFERROR(__xludf.DUMMYFUNCTION("""COMPUTED_VALUE"""),348)</f>
        <v>348</v>
      </c>
      <c r="AF236" s="1">
        <f ca="1">IFERROR(__xludf.DUMMYFUNCTION("""COMPUTED_VALUE"""),501)</f>
        <v>501</v>
      </c>
    </row>
    <row r="237" spans="1:32" ht="12.5" x14ac:dyDescent="0.25">
      <c r="A237" s="1" t="str">
        <f ca="1">IFERROR(__xludf.DUMMYFUNCTION("""COMPUTED_VALUE"""),"North DakotaNCAA")</f>
        <v>North DakotaNCAA</v>
      </c>
      <c r="B237" s="1">
        <f ca="1">IFERROR(__xludf.DUMMYFUNCTION("""COMPUTED_VALUE"""),32)</f>
        <v>32</v>
      </c>
      <c r="C237" s="1">
        <f ca="1">IFERROR(__xludf.DUMMYFUNCTION("""COMPUTED_VALUE"""),22)</f>
        <v>22</v>
      </c>
      <c r="D237" s="1">
        <f ca="1">IFERROR(__xludf.DUMMYFUNCTION("""COMPUTED_VALUE"""),10)</f>
        <v>10</v>
      </c>
      <c r="E237" s="1">
        <f ca="1">IFERROR(__xludf.DUMMYFUNCTION("""COMPUTED_VALUE"""),0.688)</f>
        <v>0.68799999999999994</v>
      </c>
      <c r="F237" s="1">
        <f ca="1">IFERROR(__xludf.DUMMYFUNCTION("""COMPUTED_VALUE"""),-1.83)</f>
        <v>-1.83</v>
      </c>
      <c r="G237" s="1">
        <f ca="1">IFERROR(__xludf.DUMMYFUNCTION("""COMPUTED_VALUE"""),-5.45)</f>
        <v>-5.45</v>
      </c>
      <c r="H237" s="1">
        <f ca="1">IFERROR(__xludf.DUMMYFUNCTION("""COMPUTED_VALUE"""),14)</f>
        <v>14</v>
      </c>
      <c r="I237" s="1">
        <f ca="1">IFERROR(__xludf.DUMMYFUNCTION("""COMPUTED_VALUE"""),4)</f>
        <v>4</v>
      </c>
      <c r="J237" s="1">
        <f ca="1">IFERROR(__xludf.DUMMYFUNCTION("""COMPUTED_VALUE"""),11)</f>
        <v>11</v>
      </c>
      <c r="K237" s="1">
        <f ca="1">IFERROR(__xludf.DUMMYFUNCTION("""COMPUTED_VALUE"""),2)</f>
        <v>2</v>
      </c>
      <c r="L237" s="1">
        <f ca="1">IFERROR(__xludf.DUMMYFUNCTION("""COMPUTED_VALUE"""),7)</f>
        <v>7</v>
      </c>
      <c r="M237" s="1">
        <f ca="1">IFERROR(__xludf.DUMMYFUNCTION("""COMPUTED_VALUE"""),6)</f>
        <v>6</v>
      </c>
      <c r="N237" s="1">
        <f ca="1">IFERROR(__xludf.DUMMYFUNCTION("""COMPUTED_VALUE"""),2578)</f>
        <v>2578</v>
      </c>
      <c r="O237" s="1">
        <f ca="1">IFERROR(__xludf.DUMMYFUNCTION("""COMPUTED_VALUE"""),2357)</f>
        <v>2357</v>
      </c>
      <c r="P237" s="1">
        <f ca="1">IFERROR(__xludf.DUMMYFUNCTION("""COMPUTED_VALUE"""),1300)</f>
        <v>1300</v>
      </c>
      <c r="Q237" s="1">
        <f ca="1">IFERROR(__xludf.DUMMYFUNCTION("""COMPUTED_VALUE"""),926)</f>
        <v>926</v>
      </c>
      <c r="R237" s="1">
        <f ca="1">IFERROR(__xludf.DUMMYFUNCTION("""COMPUTED_VALUE"""),1919)</f>
        <v>1919</v>
      </c>
      <c r="S237" s="1">
        <f ca="1">IFERROR(__xludf.DUMMYFUNCTION("""COMPUTED_VALUE"""),0.483)</f>
        <v>0.48299999999999998</v>
      </c>
      <c r="T237" s="1">
        <f ca="1">IFERROR(__xludf.DUMMYFUNCTION("""COMPUTED_VALUE"""),228)</f>
        <v>228</v>
      </c>
      <c r="U237" s="1">
        <f ca="1">IFERROR(__xludf.DUMMYFUNCTION("""COMPUTED_VALUE"""),585)</f>
        <v>585</v>
      </c>
      <c r="V237" s="1">
        <f ca="1">IFERROR(__xludf.DUMMYFUNCTION("""COMPUTED_VALUE"""),0.39)</f>
        <v>0.39</v>
      </c>
      <c r="W237" s="1">
        <f ca="1">IFERROR(__xludf.DUMMYFUNCTION("""COMPUTED_VALUE"""),498)</f>
        <v>498</v>
      </c>
      <c r="X237" s="1">
        <f ca="1">IFERROR(__xludf.DUMMYFUNCTION("""COMPUTED_VALUE"""),698)</f>
        <v>698</v>
      </c>
      <c r="Y237" s="1">
        <f ca="1">IFERROR(__xludf.DUMMYFUNCTION("""COMPUTED_VALUE"""),0.713)</f>
        <v>0.71299999999999997</v>
      </c>
      <c r="Z237" s="1">
        <f ca="1">IFERROR(__xludf.DUMMYFUNCTION("""COMPUTED_VALUE"""),297)</f>
        <v>297</v>
      </c>
      <c r="AA237" s="1">
        <f ca="1">IFERROR(__xludf.DUMMYFUNCTION("""COMPUTED_VALUE"""),1146)</f>
        <v>1146</v>
      </c>
      <c r="AB237" s="1">
        <f ca="1">IFERROR(__xludf.DUMMYFUNCTION("""COMPUTED_VALUE"""),487)</f>
        <v>487</v>
      </c>
      <c r="AC237" s="1">
        <f ca="1">IFERROR(__xludf.DUMMYFUNCTION("""COMPUTED_VALUE"""),251)</f>
        <v>251</v>
      </c>
      <c r="AD237" s="1">
        <f ca="1">IFERROR(__xludf.DUMMYFUNCTION("""COMPUTED_VALUE"""),93)</f>
        <v>93</v>
      </c>
      <c r="AE237" s="1">
        <f ca="1">IFERROR(__xludf.DUMMYFUNCTION("""COMPUTED_VALUE"""),419)</f>
        <v>419</v>
      </c>
      <c r="AF237" s="1">
        <f ca="1">IFERROR(__xludf.DUMMYFUNCTION("""COMPUTED_VALUE"""),672)</f>
        <v>672</v>
      </c>
    </row>
    <row r="238" spans="1:32" ht="12.5" x14ac:dyDescent="0.25">
      <c r="A238" s="1" t="str">
        <f ca="1">IFERROR(__xludf.DUMMYFUNCTION("""COMPUTED_VALUE"""),"North Florida")</f>
        <v>North Florida</v>
      </c>
      <c r="B238" s="1">
        <f ca="1">IFERROR(__xludf.DUMMYFUNCTION("""COMPUTED_VALUE"""),34)</f>
        <v>34</v>
      </c>
      <c r="C238" s="1">
        <f ca="1">IFERROR(__xludf.DUMMYFUNCTION("""COMPUTED_VALUE"""),15)</f>
        <v>15</v>
      </c>
      <c r="D238" s="1">
        <f ca="1">IFERROR(__xludf.DUMMYFUNCTION("""COMPUTED_VALUE"""),19)</f>
        <v>19</v>
      </c>
      <c r="E238" s="1">
        <f ca="1">IFERROR(__xludf.DUMMYFUNCTION("""COMPUTED_VALUE"""),0.441)</f>
        <v>0.441</v>
      </c>
      <c r="F238" s="1">
        <f ca="1">IFERROR(__xludf.DUMMYFUNCTION("""COMPUTED_VALUE"""),-7.78)</f>
        <v>-7.78</v>
      </c>
      <c r="G238" s="1">
        <f ca="1">IFERROR(__xludf.DUMMYFUNCTION("""COMPUTED_VALUE"""),-1.65)</f>
        <v>-1.65</v>
      </c>
      <c r="H238" s="1">
        <f ca="1">IFERROR(__xludf.DUMMYFUNCTION("""COMPUTED_VALUE"""),8)</f>
        <v>8</v>
      </c>
      <c r="I238" s="1">
        <f ca="1">IFERROR(__xludf.DUMMYFUNCTION("""COMPUTED_VALUE"""),6)</f>
        <v>6</v>
      </c>
      <c r="J238" s="1">
        <f ca="1">IFERROR(__xludf.DUMMYFUNCTION("""COMPUTED_VALUE"""),10)</f>
        <v>10</v>
      </c>
      <c r="K238" s="1">
        <f ca="1">IFERROR(__xludf.DUMMYFUNCTION("""COMPUTED_VALUE"""),5)</f>
        <v>5</v>
      </c>
      <c r="L238" s="1">
        <f ca="1">IFERROR(__xludf.DUMMYFUNCTION("""COMPUTED_VALUE"""),4)</f>
        <v>4</v>
      </c>
      <c r="M238" s="1">
        <f ca="1">IFERROR(__xludf.DUMMYFUNCTION("""COMPUTED_VALUE"""),13)</f>
        <v>13</v>
      </c>
      <c r="N238" s="1">
        <f ca="1">IFERROR(__xludf.DUMMYFUNCTION("""COMPUTED_VALUE"""),2637)</f>
        <v>2637</v>
      </c>
      <c r="O238" s="1">
        <f ca="1">IFERROR(__xludf.DUMMYFUNCTION("""COMPUTED_VALUE"""),2674)</f>
        <v>2674</v>
      </c>
      <c r="P238" s="1">
        <f ca="1">IFERROR(__xludf.DUMMYFUNCTION("""COMPUTED_VALUE"""),1360)</f>
        <v>1360</v>
      </c>
      <c r="Q238" s="1">
        <f ca="1">IFERROR(__xludf.DUMMYFUNCTION("""COMPUTED_VALUE"""),926)</f>
        <v>926</v>
      </c>
      <c r="R238" s="1">
        <f ca="1">IFERROR(__xludf.DUMMYFUNCTION("""COMPUTED_VALUE"""),2025)</f>
        <v>2025</v>
      </c>
      <c r="S238" s="1">
        <f ca="1">IFERROR(__xludf.DUMMYFUNCTION("""COMPUTED_VALUE"""),0.457)</f>
        <v>0.45700000000000002</v>
      </c>
      <c r="T238" s="1">
        <f ca="1">IFERROR(__xludf.DUMMYFUNCTION("""COMPUTED_VALUE"""),295)</f>
        <v>295</v>
      </c>
      <c r="U238" s="1">
        <f ca="1">IFERROR(__xludf.DUMMYFUNCTION("""COMPUTED_VALUE"""),841)</f>
        <v>841</v>
      </c>
      <c r="V238" s="1">
        <f ca="1">IFERROR(__xludf.DUMMYFUNCTION("""COMPUTED_VALUE"""),0.351)</f>
        <v>0.35099999999999998</v>
      </c>
      <c r="W238" s="1">
        <f ca="1">IFERROR(__xludf.DUMMYFUNCTION("""COMPUTED_VALUE"""),490)</f>
        <v>490</v>
      </c>
      <c r="X238" s="1">
        <f ca="1">IFERROR(__xludf.DUMMYFUNCTION("""COMPUTED_VALUE"""),748)</f>
        <v>748</v>
      </c>
      <c r="Y238" s="1">
        <f ca="1">IFERROR(__xludf.DUMMYFUNCTION("""COMPUTED_VALUE"""),0.655)</f>
        <v>0.65500000000000003</v>
      </c>
      <c r="Z238" s="1">
        <f ca="1">IFERROR(__xludf.DUMMYFUNCTION("""COMPUTED_VALUE"""),423)</f>
        <v>423</v>
      </c>
      <c r="AA238" s="1">
        <f ca="1">IFERROR(__xludf.DUMMYFUNCTION("""COMPUTED_VALUE"""),1321)</f>
        <v>1321</v>
      </c>
      <c r="AB238" s="1">
        <f ca="1">IFERROR(__xludf.DUMMYFUNCTION("""COMPUTED_VALUE"""),447)</f>
        <v>447</v>
      </c>
      <c r="AC238" s="1">
        <f ca="1">IFERROR(__xludf.DUMMYFUNCTION("""COMPUTED_VALUE"""),185)</f>
        <v>185</v>
      </c>
      <c r="AD238" s="1">
        <f ca="1">IFERROR(__xludf.DUMMYFUNCTION("""COMPUTED_VALUE"""),143)</f>
        <v>143</v>
      </c>
      <c r="AE238" s="1">
        <f ca="1">IFERROR(__xludf.DUMMYFUNCTION("""COMPUTED_VALUE"""),542)</f>
        <v>542</v>
      </c>
      <c r="AF238" s="1">
        <f ca="1">IFERROR(__xludf.DUMMYFUNCTION("""COMPUTED_VALUE"""),639)</f>
        <v>639</v>
      </c>
    </row>
    <row r="239" spans="1:32" ht="12.5" x14ac:dyDescent="0.25">
      <c r="A239" s="1" t="str">
        <f ca="1">IFERROR(__xludf.DUMMYFUNCTION("""COMPUTED_VALUE"""),"North Texas")</f>
        <v>North Texas</v>
      </c>
      <c r="B239" s="1">
        <f ca="1">IFERROR(__xludf.DUMMYFUNCTION("""COMPUTED_VALUE"""),30)</f>
        <v>30</v>
      </c>
      <c r="C239" s="1">
        <f ca="1">IFERROR(__xludf.DUMMYFUNCTION("""COMPUTED_VALUE"""),8)</f>
        <v>8</v>
      </c>
      <c r="D239" s="1">
        <f ca="1">IFERROR(__xludf.DUMMYFUNCTION("""COMPUTED_VALUE"""),22)</f>
        <v>22</v>
      </c>
      <c r="E239" s="1">
        <f ca="1">IFERROR(__xludf.DUMMYFUNCTION("""COMPUTED_VALUE"""),0.267)</f>
        <v>0.26700000000000002</v>
      </c>
      <c r="F239" s="1">
        <f ca="1">IFERROR(__xludf.DUMMYFUNCTION("""COMPUTED_VALUE"""),-11.14)</f>
        <v>-11.14</v>
      </c>
      <c r="G239" s="1">
        <f ca="1">IFERROR(__xludf.DUMMYFUNCTION("""COMPUTED_VALUE"""),-3.32)</f>
        <v>-3.32</v>
      </c>
      <c r="H239" s="1">
        <f ca="1">IFERROR(__xludf.DUMMYFUNCTION("""COMPUTED_VALUE"""),2)</f>
        <v>2</v>
      </c>
      <c r="I239" s="1">
        <f ca="1">IFERROR(__xludf.DUMMYFUNCTION("""COMPUTED_VALUE"""),16)</f>
        <v>16</v>
      </c>
      <c r="J239" s="1">
        <f ca="1">IFERROR(__xludf.DUMMYFUNCTION("""COMPUTED_VALUE"""),7)</f>
        <v>7</v>
      </c>
      <c r="K239" s="1">
        <f ca="1">IFERROR(__xludf.DUMMYFUNCTION("""COMPUTED_VALUE"""),11)</f>
        <v>11</v>
      </c>
      <c r="L239" s="1">
        <f ca="1">IFERROR(__xludf.DUMMYFUNCTION("""COMPUTED_VALUE"""),1)</f>
        <v>1</v>
      </c>
      <c r="M239" s="1">
        <f ca="1">IFERROR(__xludf.DUMMYFUNCTION("""COMPUTED_VALUE"""),11)</f>
        <v>11</v>
      </c>
      <c r="N239" s="1">
        <f ca="1">IFERROR(__xludf.DUMMYFUNCTION("""COMPUTED_VALUE"""),2075)</f>
        <v>2075</v>
      </c>
      <c r="O239" s="1">
        <f ca="1">IFERROR(__xludf.DUMMYFUNCTION("""COMPUTED_VALUE"""),2258)</f>
        <v>2258</v>
      </c>
      <c r="P239" s="1">
        <f ca="1">IFERROR(__xludf.DUMMYFUNCTION("""COMPUTED_VALUE"""),1205)</f>
        <v>1205</v>
      </c>
      <c r="Q239" s="1">
        <f ca="1">IFERROR(__xludf.DUMMYFUNCTION("""COMPUTED_VALUE"""),740)</f>
        <v>740</v>
      </c>
      <c r="R239" s="1">
        <f ca="1">IFERROR(__xludf.DUMMYFUNCTION("""COMPUTED_VALUE"""),1747)</f>
        <v>1747</v>
      </c>
      <c r="S239" s="1">
        <f ca="1">IFERROR(__xludf.DUMMYFUNCTION("""COMPUTED_VALUE"""),0.424)</f>
        <v>0.42399999999999999</v>
      </c>
      <c r="T239" s="1">
        <f ca="1">IFERROR(__xludf.DUMMYFUNCTION("""COMPUTED_VALUE"""),186)</f>
        <v>186</v>
      </c>
      <c r="U239" s="1">
        <f ca="1">IFERROR(__xludf.DUMMYFUNCTION("""COMPUTED_VALUE"""),582)</f>
        <v>582</v>
      </c>
      <c r="V239" s="1">
        <f ca="1">IFERROR(__xludf.DUMMYFUNCTION("""COMPUTED_VALUE"""),0.32)</f>
        <v>0.32</v>
      </c>
      <c r="W239" s="1">
        <f ca="1">IFERROR(__xludf.DUMMYFUNCTION("""COMPUTED_VALUE"""),409)</f>
        <v>409</v>
      </c>
      <c r="X239" s="1">
        <f ca="1">IFERROR(__xludf.DUMMYFUNCTION("""COMPUTED_VALUE"""),633)</f>
        <v>633</v>
      </c>
      <c r="Y239" s="1">
        <f ca="1">IFERROR(__xludf.DUMMYFUNCTION("""COMPUTED_VALUE"""),0.646)</f>
        <v>0.64600000000000002</v>
      </c>
      <c r="Z239" s="1">
        <f ca="1">IFERROR(__xludf.DUMMYFUNCTION("""COMPUTED_VALUE"""),300)</f>
        <v>300</v>
      </c>
      <c r="AA239" s="1">
        <f ca="1">IFERROR(__xludf.DUMMYFUNCTION("""COMPUTED_VALUE"""),1075)</f>
        <v>1075</v>
      </c>
      <c r="AB239" s="1">
        <f ca="1">IFERROR(__xludf.DUMMYFUNCTION("""COMPUTED_VALUE"""),338)</f>
        <v>338</v>
      </c>
      <c r="AC239" s="1">
        <f ca="1">IFERROR(__xludf.DUMMYFUNCTION("""COMPUTED_VALUE"""),199)</f>
        <v>199</v>
      </c>
      <c r="AD239" s="1">
        <f ca="1">IFERROR(__xludf.DUMMYFUNCTION("""COMPUTED_VALUE"""),95)</f>
        <v>95</v>
      </c>
      <c r="AE239" s="1">
        <f ca="1">IFERROR(__xludf.DUMMYFUNCTION("""COMPUTED_VALUE"""),410)</f>
        <v>410</v>
      </c>
      <c r="AF239" s="1">
        <f ca="1">IFERROR(__xludf.DUMMYFUNCTION("""COMPUTED_VALUE"""),567)</f>
        <v>567</v>
      </c>
    </row>
    <row r="240" spans="1:32" ht="12.5" x14ac:dyDescent="0.25">
      <c r="A240" s="1" t="str">
        <f ca="1">IFERROR(__xludf.DUMMYFUNCTION("""COMPUTED_VALUE"""),"Northeastern")</f>
        <v>Northeastern</v>
      </c>
      <c r="B240" s="1">
        <f ca="1">IFERROR(__xludf.DUMMYFUNCTION("""COMPUTED_VALUE"""),31)</f>
        <v>31</v>
      </c>
      <c r="C240" s="1">
        <f ca="1">IFERROR(__xludf.DUMMYFUNCTION("""COMPUTED_VALUE"""),15)</f>
        <v>15</v>
      </c>
      <c r="D240" s="1">
        <f ca="1">IFERROR(__xludf.DUMMYFUNCTION("""COMPUTED_VALUE"""),16)</f>
        <v>16</v>
      </c>
      <c r="E240" s="1">
        <f ca="1">IFERROR(__xludf.DUMMYFUNCTION("""COMPUTED_VALUE"""),0.484)</f>
        <v>0.48399999999999999</v>
      </c>
      <c r="F240" s="1">
        <f ca="1">IFERROR(__xludf.DUMMYFUNCTION("""COMPUTED_VALUE"""),-0.78)</f>
        <v>-0.78</v>
      </c>
      <c r="G240" s="1">
        <f ca="1">IFERROR(__xludf.DUMMYFUNCTION("""COMPUTED_VALUE"""),-0.91)</f>
        <v>-0.91</v>
      </c>
      <c r="H240" s="1">
        <f ca="1">IFERROR(__xludf.DUMMYFUNCTION("""COMPUTED_VALUE"""),8)</f>
        <v>8</v>
      </c>
      <c r="I240" s="1">
        <f ca="1">IFERROR(__xludf.DUMMYFUNCTION("""COMPUTED_VALUE"""),10)</f>
        <v>10</v>
      </c>
      <c r="J240" s="1">
        <f ca="1">IFERROR(__xludf.DUMMYFUNCTION("""COMPUTED_VALUE"""),7)</f>
        <v>7</v>
      </c>
      <c r="K240" s="1">
        <f ca="1">IFERROR(__xludf.DUMMYFUNCTION("""COMPUTED_VALUE"""),4)</f>
        <v>4</v>
      </c>
      <c r="L240" s="1">
        <f ca="1">IFERROR(__xludf.DUMMYFUNCTION("""COMPUTED_VALUE"""),7)</f>
        <v>7</v>
      </c>
      <c r="M240" s="1">
        <f ca="1">IFERROR(__xludf.DUMMYFUNCTION("""COMPUTED_VALUE"""),10)</f>
        <v>10</v>
      </c>
      <c r="N240" s="1">
        <f ca="1">IFERROR(__xludf.DUMMYFUNCTION("""COMPUTED_VALUE"""),2234)</f>
        <v>2234</v>
      </c>
      <c r="O240" s="1">
        <f ca="1">IFERROR(__xludf.DUMMYFUNCTION("""COMPUTED_VALUE"""),2230)</f>
        <v>2230</v>
      </c>
      <c r="P240" s="1">
        <f ca="1">IFERROR(__xludf.DUMMYFUNCTION("""COMPUTED_VALUE"""),1255)</f>
        <v>1255</v>
      </c>
      <c r="Q240" s="1">
        <f ca="1">IFERROR(__xludf.DUMMYFUNCTION("""COMPUTED_VALUE"""),767)</f>
        <v>767</v>
      </c>
      <c r="R240" s="1">
        <f ca="1">IFERROR(__xludf.DUMMYFUNCTION("""COMPUTED_VALUE"""),1682)</f>
        <v>1682</v>
      </c>
      <c r="S240" s="1">
        <f ca="1">IFERROR(__xludf.DUMMYFUNCTION("""COMPUTED_VALUE"""),0.456)</f>
        <v>0.45600000000000002</v>
      </c>
      <c r="T240" s="1">
        <f ca="1">IFERROR(__xludf.DUMMYFUNCTION("""COMPUTED_VALUE"""),267)</f>
        <v>267</v>
      </c>
      <c r="U240" s="1">
        <f ca="1">IFERROR(__xludf.DUMMYFUNCTION("""COMPUTED_VALUE"""),728)</f>
        <v>728</v>
      </c>
      <c r="V240" s="1">
        <f ca="1">IFERROR(__xludf.DUMMYFUNCTION("""COMPUTED_VALUE"""),0.367)</f>
        <v>0.36699999999999999</v>
      </c>
      <c r="W240" s="1">
        <f ca="1">IFERROR(__xludf.DUMMYFUNCTION("""COMPUTED_VALUE"""),433)</f>
        <v>433</v>
      </c>
      <c r="X240" s="1">
        <f ca="1">IFERROR(__xludf.DUMMYFUNCTION("""COMPUTED_VALUE"""),636)</f>
        <v>636</v>
      </c>
      <c r="Y240" s="1">
        <f ca="1">IFERROR(__xludf.DUMMYFUNCTION("""COMPUTED_VALUE"""),0.681)</f>
        <v>0.68100000000000005</v>
      </c>
      <c r="Z240" s="1">
        <f ca="1">IFERROR(__xludf.DUMMYFUNCTION("""COMPUTED_VALUE"""),264)</f>
        <v>264</v>
      </c>
      <c r="AA240" s="1">
        <f ca="1">IFERROR(__xludf.DUMMYFUNCTION("""COMPUTED_VALUE"""),1039)</f>
        <v>1039</v>
      </c>
      <c r="AB240" s="1">
        <f ca="1">IFERROR(__xludf.DUMMYFUNCTION("""COMPUTED_VALUE"""),414)</f>
        <v>414</v>
      </c>
      <c r="AC240" s="1">
        <f ca="1">IFERROR(__xludf.DUMMYFUNCTION("""COMPUTED_VALUE"""),170)</f>
        <v>170</v>
      </c>
      <c r="AD240" s="1">
        <f ca="1">IFERROR(__xludf.DUMMYFUNCTION("""COMPUTED_VALUE"""),112)</f>
        <v>112</v>
      </c>
      <c r="AE240" s="1">
        <f ca="1">IFERROR(__xludf.DUMMYFUNCTION("""COMPUTED_VALUE"""),390)</f>
        <v>390</v>
      </c>
      <c r="AF240" s="1">
        <f ca="1">IFERROR(__xludf.DUMMYFUNCTION("""COMPUTED_VALUE"""),522)</f>
        <v>522</v>
      </c>
    </row>
    <row r="241" spans="1:32" ht="12.5" x14ac:dyDescent="0.25">
      <c r="A241" s="1" t="str">
        <f ca="1">IFERROR(__xludf.DUMMYFUNCTION("""COMPUTED_VALUE"""),"Northern Arizona")</f>
        <v>Northern Arizona</v>
      </c>
      <c r="B241" s="1">
        <f ca="1">IFERROR(__xludf.DUMMYFUNCTION("""COMPUTED_VALUE"""),32)</f>
        <v>32</v>
      </c>
      <c r="C241" s="1">
        <f ca="1">IFERROR(__xludf.DUMMYFUNCTION("""COMPUTED_VALUE"""),9)</f>
        <v>9</v>
      </c>
      <c r="D241" s="1">
        <f ca="1">IFERROR(__xludf.DUMMYFUNCTION("""COMPUTED_VALUE"""),23)</f>
        <v>23</v>
      </c>
      <c r="E241" s="1">
        <f ca="1">IFERROR(__xludf.DUMMYFUNCTION("""COMPUTED_VALUE"""),0.281)</f>
        <v>0.28100000000000003</v>
      </c>
      <c r="F241" s="1">
        <f ca="1">IFERROR(__xludf.DUMMYFUNCTION("""COMPUTED_VALUE"""),-13.92)</f>
        <v>-13.92</v>
      </c>
      <c r="G241" s="1">
        <f ca="1">IFERROR(__xludf.DUMMYFUNCTION("""COMPUTED_VALUE"""),-5.95)</f>
        <v>-5.95</v>
      </c>
      <c r="H241" s="1">
        <f ca="1">IFERROR(__xludf.DUMMYFUNCTION("""COMPUTED_VALUE"""),6)</f>
        <v>6</v>
      </c>
      <c r="I241" s="1">
        <f ca="1">IFERROR(__xludf.DUMMYFUNCTION("""COMPUTED_VALUE"""),12)</f>
        <v>12</v>
      </c>
      <c r="J241" s="1">
        <f ca="1">IFERROR(__xludf.DUMMYFUNCTION("""COMPUTED_VALUE"""),5)</f>
        <v>5</v>
      </c>
      <c r="K241" s="1">
        <f ca="1">IFERROR(__xludf.DUMMYFUNCTION("""COMPUTED_VALUE"""),7)</f>
        <v>7</v>
      </c>
      <c r="L241" s="1">
        <f ca="1">IFERROR(__xludf.DUMMYFUNCTION("""COMPUTED_VALUE"""),2)</f>
        <v>2</v>
      </c>
      <c r="M241" s="1">
        <f ca="1">IFERROR(__xludf.DUMMYFUNCTION("""COMPUTED_VALUE"""),12)</f>
        <v>12</v>
      </c>
      <c r="N241" s="1">
        <f ca="1">IFERROR(__xludf.DUMMYFUNCTION("""COMPUTED_VALUE"""),2217)</f>
        <v>2217</v>
      </c>
      <c r="O241" s="1">
        <f ca="1">IFERROR(__xludf.DUMMYFUNCTION("""COMPUTED_VALUE"""),2436)</f>
        <v>2436</v>
      </c>
      <c r="P241" s="1">
        <f ca="1">IFERROR(__xludf.DUMMYFUNCTION("""COMPUTED_VALUE"""),1285)</f>
        <v>1285</v>
      </c>
      <c r="Q241" s="1">
        <f ca="1">IFERROR(__xludf.DUMMYFUNCTION("""COMPUTED_VALUE"""),769)</f>
        <v>769</v>
      </c>
      <c r="R241" s="1">
        <f ca="1">IFERROR(__xludf.DUMMYFUNCTION("""COMPUTED_VALUE"""),1892)</f>
        <v>1892</v>
      </c>
      <c r="S241" s="1">
        <f ca="1">IFERROR(__xludf.DUMMYFUNCTION("""COMPUTED_VALUE"""),0.406)</f>
        <v>0.40600000000000003</v>
      </c>
      <c r="T241" s="1">
        <f ca="1">IFERROR(__xludf.DUMMYFUNCTION("""COMPUTED_VALUE"""),239)</f>
        <v>239</v>
      </c>
      <c r="U241" s="1">
        <f ca="1">IFERROR(__xludf.DUMMYFUNCTION("""COMPUTED_VALUE"""),746)</f>
        <v>746</v>
      </c>
      <c r="V241" s="1">
        <f ca="1">IFERROR(__xludf.DUMMYFUNCTION("""COMPUTED_VALUE"""),0.32)</f>
        <v>0.32</v>
      </c>
      <c r="W241" s="1">
        <f ca="1">IFERROR(__xludf.DUMMYFUNCTION("""COMPUTED_VALUE"""),440)</f>
        <v>440</v>
      </c>
      <c r="X241" s="1">
        <f ca="1">IFERROR(__xludf.DUMMYFUNCTION("""COMPUTED_VALUE"""),644)</f>
        <v>644</v>
      </c>
      <c r="Y241" s="1">
        <f ca="1">IFERROR(__xludf.DUMMYFUNCTION("""COMPUTED_VALUE"""),0.683)</f>
        <v>0.68300000000000005</v>
      </c>
      <c r="Z241" s="1">
        <f ca="1">IFERROR(__xludf.DUMMYFUNCTION("""COMPUTED_VALUE"""),383)</f>
        <v>383</v>
      </c>
      <c r="AA241" s="1">
        <f ca="1">IFERROR(__xludf.DUMMYFUNCTION("""COMPUTED_VALUE"""),1218)</f>
        <v>1218</v>
      </c>
      <c r="AB241" s="1">
        <f ca="1">IFERROR(__xludf.DUMMYFUNCTION("""COMPUTED_VALUE"""),440)</f>
        <v>440</v>
      </c>
      <c r="AC241" s="1">
        <f ca="1">IFERROR(__xludf.DUMMYFUNCTION("""COMPUTED_VALUE"""),142)</f>
        <v>142</v>
      </c>
      <c r="AD241" s="1">
        <f ca="1">IFERROR(__xludf.DUMMYFUNCTION("""COMPUTED_VALUE"""),63)</f>
        <v>63</v>
      </c>
      <c r="AE241" s="1">
        <f ca="1">IFERROR(__xludf.DUMMYFUNCTION("""COMPUTED_VALUE"""),465)</f>
        <v>465</v>
      </c>
      <c r="AF241" s="1">
        <f ca="1">IFERROR(__xludf.DUMMYFUNCTION("""COMPUTED_VALUE"""),590)</f>
        <v>590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IFERROR(__xludf.DUMMYFUNCTION("""COMPUTED_VALUE"""),"Northern Colorado")</f>
        <v>Northern Colorado</v>
      </c>
      <c r="B244" s="1">
        <f ca="1">IFERROR(__xludf.DUMMYFUNCTION("""COMPUTED_VALUE"""),29)</f>
        <v>29</v>
      </c>
      <c r="C244" s="1">
        <f ca="1">IFERROR(__xludf.DUMMYFUNCTION("""COMPUTED_VALUE"""),11)</f>
        <v>11</v>
      </c>
      <c r="D244" s="1">
        <f ca="1">IFERROR(__xludf.DUMMYFUNCTION("""COMPUTED_VALUE"""),18)</f>
        <v>18</v>
      </c>
      <c r="E244" s="1">
        <f ca="1">IFERROR(__xludf.DUMMYFUNCTION("""COMPUTED_VALUE"""),0.379)</f>
        <v>0.379</v>
      </c>
      <c r="F244" s="1">
        <f ca="1">IFERROR(__xludf.DUMMYFUNCTION("""COMPUTED_VALUE"""),-9.27)</f>
        <v>-9.27</v>
      </c>
      <c r="G244" s="1">
        <f ca="1">IFERROR(__xludf.DUMMYFUNCTION("""COMPUTED_VALUE"""),-4.2)</f>
        <v>-4.2</v>
      </c>
      <c r="H244" s="1">
        <f ca="1">IFERROR(__xludf.DUMMYFUNCTION("""COMPUTED_VALUE"""),7)</f>
        <v>7</v>
      </c>
      <c r="I244" s="1">
        <f ca="1">IFERROR(__xludf.DUMMYFUNCTION("""COMPUTED_VALUE"""),11)</f>
        <v>11</v>
      </c>
      <c r="J244" s="1">
        <f ca="1">IFERROR(__xludf.DUMMYFUNCTION("""COMPUTED_VALUE"""),6)</f>
        <v>6</v>
      </c>
      <c r="K244" s="1">
        <f ca="1">IFERROR(__xludf.DUMMYFUNCTION("""COMPUTED_VALUE"""),6)</f>
        <v>6</v>
      </c>
      <c r="L244" s="1">
        <f ca="1">IFERROR(__xludf.DUMMYFUNCTION("""COMPUTED_VALUE"""),4)</f>
        <v>4</v>
      </c>
      <c r="M244" s="1">
        <f ca="1">IFERROR(__xludf.DUMMYFUNCTION("""COMPUTED_VALUE"""),11)</f>
        <v>11</v>
      </c>
      <c r="N244" s="1">
        <f ca="1">IFERROR(__xludf.DUMMYFUNCTION("""COMPUTED_VALUE"""),2075)</f>
        <v>2075</v>
      </c>
      <c r="O244" s="1">
        <f ca="1">IFERROR(__xludf.DUMMYFUNCTION("""COMPUTED_VALUE"""),2167)</f>
        <v>2167</v>
      </c>
      <c r="P244" s="1">
        <f ca="1">IFERROR(__xludf.DUMMYFUNCTION("""COMPUTED_VALUE"""),1170)</f>
        <v>1170</v>
      </c>
      <c r="Q244" s="1">
        <f ca="1">IFERROR(__xludf.DUMMYFUNCTION("""COMPUTED_VALUE"""),732)</f>
        <v>732</v>
      </c>
      <c r="R244" s="1">
        <f ca="1">IFERROR(__xludf.DUMMYFUNCTION("""COMPUTED_VALUE"""),1666)</f>
        <v>1666</v>
      </c>
      <c r="S244" s="1">
        <f ca="1">IFERROR(__xludf.DUMMYFUNCTION("""COMPUTED_VALUE"""),0.439)</f>
        <v>0.439</v>
      </c>
      <c r="T244" s="1">
        <f ca="1">IFERROR(__xludf.DUMMYFUNCTION("""COMPUTED_VALUE"""),254)</f>
        <v>254</v>
      </c>
      <c r="U244" s="1">
        <f ca="1">IFERROR(__xludf.DUMMYFUNCTION("""COMPUTED_VALUE"""),732)</f>
        <v>732</v>
      </c>
      <c r="V244" s="1">
        <f ca="1">IFERROR(__xludf.DUMMYFUNCTION("""COMPUTED_VALUE"""),0.347)</f>
        <v>0.34699999999999998</v>
      </c>
      <c r="W244" s="1">
        <f ca="1">IFERROR(__xludf.DUMMYFUNCTION("""COMPUTED_VALUE"""),357)</f>
        <v>357</v>
      </c>
      <c r="X244" s="1">
        <f ca="1">IFERROR(__xludf.DUMMYFUNCTION("""COMPUTED_VALUE"""),590)</f>
        <v>590</v>
      </c>
      <c r="Y244" s="1">
        <f ca="1">IFERROR(__xludf.DUMMYFUNCTION("""COMPUTED_VALUE"""),0.605)</f>
        <v>0.60499999999999998</v>
      </c>
      <c r="Z244" s="1">
        <f ca="1">IFERROR(__xludf.DUMMYFUNCTION("""COMPUTED_VALUE"""),310)</f>
        <v>310</v>
      </c>
      <c r="AA244" s="1">
        <f ca="1">IFERROR(__xludf.DUMMYFUNCTION("""COMPUTED_VALUE"""),1075)</f>
        <v>1075</v>
      </c>
      <c r="AB244" s="1">
        <f ca="1">IFERROR(__xludf.DUMMYFUNCTION("""COMPUTED_VALUE"""),392)</f>
        <v>392</v>
      </c>
      <c r="AC244" s="1">
        <f ca="1">IFERROR(__xludf.DUMMYFUNCTION("""COMPUTED_VALUE"""),147)</f>
        <v>147</v>
      </c>
      <c r="AD244" s="1">
        <f ca="1">IFERROR(__xludf.DUMMYFUNCTION("""COMPUTED_VALUE"""),64)</f>
        <v>64</v>
      </c>
      <c r="AE244" s="1">
        <f ca="1">IFERROR(__xludf.DUMMYFUNCTION("""COMPUTED_VALUE"""),407)</f>
        <v>407</v>
      </c>
      <c r="AF244" s="1">
        <f ca="1">IFERROR(__xludf.DUMMYFUNCTION("""COMPUTED_VALUE"""),563)</f>
        <v>563</v>
      </c>
    </row>
    <row r="245" spans="1:32" ht="12.5" x14ac:dyDescent="0.25">
      <c r="A245" s="1" t="str">
        <f ca="1">IFERROR(__xludf.DUMMYFUNCTION("""COMPUTED_VALUE"""),"Northern Illinois")</f>
        <v>Northern Illinois</v>
      </c>
      <c r="B245" s="1">
        <f ca="1">IFERROR(__xludf.DUMMYFUNCTION("""COMPUTED_VALUE"""),32)</f>
        <v>32</v>
      </c>
      <c r="C245" s="1">
        <f ca="1">IFERROR(__xludf.DUMMYFUNCTION("""COMPUTED_VALUE"""),15)</f>
        <v>15</v>
      </c>
      <c r="D245" s="1">
        <f ca="1">IFERROR(__xludf.DUMMYFUNCTION("""COMPUTED_VALUE"""),17)</f>
        <v>17</v>
      </c>
      <c r="E245" s="1">
        <f ca="1">IFERROR(__xludf.DUMMYFUNCTION("""COMPUTED_VALUE"""),0.469)</f>
        <v>0.46899999999999997</v>
      </c>
      <c r="F245" s="1">
        <f ca="1">IFERROR(__xludf.DUMMYFUNCTION("""COMPUTED_VALUE"""),-3.29)</f>
        <v>-3.29</v>
      </c>
      <c r="G245" s="1">
        <f ca="1">IFERROR(__xludf.DUMMYFUNCTION("""COMPUTED_VALUE"""),-2.05)</f>
        <v>-2.0499999999999998</v>
      </c>
      <c r="H245" s="1">
        <f ca="1">IFERROR(__xludf.DUMMYFUNCTION("""COMPUTED_VALUE"""),7)</f>
        <v>7</v>
      </c>
      <c r="I245" s="1">
        <f ca="1">IFERROR(__xludf.DUMMYFUNCTION("""COMPUTED_VALUE"""),11)</f>
        <v>11</v>
      </c>
      <c r="J245" s="1">
        <f ca="1">IFERROR(__xludf.DUMMYFUNCTION("""COMPUTED_VALUE"""),9)</f>
        <v>9</v>
      </c>
      <c r="K245" s="1">
        <f ca="1">IFERROR(__xludf.DUMMYFUNCTION("""COMPUTED_VALUE"""),8)</f>
        <v>8</v>
      </c>
      <c r="L245" s="1">
        <f ca="1">IFERROR(__xludf.DUMMYFUNCTION("""COMPUTED_VALUE"""),6)</f>
        <v>6</v>
      </c>
      <c r="M245" s="1">
        <f ca="1">IFERROR(__xludf.DUMMYFUNCTION("""COMPUTED_VALUE"""),9)</f>
        <v>9</v>
      </c>
      <c r="N245" s="1">
        <f ca="1">IFERROR(__xludf.DUMMYFUNCTION("""COMPUTED_VALUE"""),2310)</f>
        <v>2310</v>
      </c>
      <c r="O245" s="1">
        <f ca="1">IFERROR(__xludf.DUMMYFUNCTION("""COMPUTED_VALUE"""),2261)</f>
        <v>2261</v>
      </c>
      <c r="P245" s="1">
        <f ca="1">IFERROR(__xludf.DUMMYFUNCTION("""COMPUTED_VALUE"""),1310)</f>
        <v>1310</v>
      </c>
      <c r="Q245" s="1">
        <f ca="1">IFERROR(__xludf.DUMMYFUNCTION("""COMPUTED_VALUE"""),828)</f>
        <v>828</v>
      </c>
      <c r="R245" s="1">
        <f ca="1">IFERROR(__xludf.DUMMYFUNCTION("""COMPUTED_VALUE"""),1891)</f>
        <v>1891</v>
      </c>
      <c r="S245" s="1">
        <f ca="1">IFERROR(__xludf.DUMMYFUNCTION("""COMPUTED_VALUE"""),0.438)</f>
        <v>0.438</v>
      </c>
      <c r="T245" s="1">
        <f ca="1">IFERROR(__xludf.DUMMYFUNCTION("""COMPUTED_VALUE"""),161)</f>
        <v>161</v>
      </c>
      <c r="U245" s="1">
        <f ca="1">IFERROR(__xludf.DUMMYFUNCTION("""COMPUTED_VALUE"""),516)</f>
        <v>516</v>
      </c>
      <c r="V245" s="1">
        <f ca="1">IFERROR(__xludf.DUMMYFUNCTION("""COMPUTED_VALUE"""),0.312)</f>
        <v>0.312</v>
      </c>
      <c r="W245" s="1">
        <f ca="1">IFERROR(__xludf.DUMMYFUNCTION("""COMPUTED_VALUE"""),493)</f>
        <v>493</v>
      </c>
      <c r="X245" s="1">
        <f ca="1">IFERROR(__xludf.DUMMYFUNCTION("""COMPUTED_VALUE"""),728)</f>
        <v>728</v>
      </c>
      <c r="Y245" s="1">
        <f ca="1">IFERROR(__xludf.DUMMYFUNCTION("""COMPUTED_VALUE"""),0.677)</f>
        <v>0.67700000000000005</v>
      </c>
      <c r="Z245" s="1">
        <f ca="1">IFERROR(__xludf.DUMMYFUNCTION("""COMPUTED_VALUE"""),401)</f>
        <v>401</v>
      </c>
      <c r="AA245" s="1">
        <f ca="1">IFERROR(__xludf.DUMMYFUNCTION("""COMPUTED_VALUE"""),1211)</f>
        <v>1211</v>
      </c>
      <c r="AB245" s="1">
        <f ca="1">IFERROR(__xludf.DUMMYFUNCTION("""COMPUTED_VALUE"""),347)</f>
        <v>347</v>
      </c>
      <c r="AC245" s="1">
        <f ca="1">IFERROR(__xludf.DUMMYFUNCTION("""COMPUTED_VALUE"""),226)</f>
        <v>226</v>
      </c>
      <c r="AD245" s="1">
        <f ca="1">IFERROR(__xludf.DUMMYFUNCTION("""COMPUTED_VALUE"""),80)</f>
        <v>80</v>
      </c>
      <c r="AE245" s="1">
        <f ca="1">IFERROR(__xludf.DUMMYFUNCTION("""COMPUTED_VALUE"""),429)</f>
        <v>429</v>
      </c>
      <c r="AF245" s="1">
        <f ca="1">IFERROR(__xludf.DUMMYFUNCTION("""COMPUTED_VALUE"""),618)</f>
        <v>618</v>
      </c>
    </row>
    <row r="246" spans="1:32" ht="12.5" x14ac:dyDescent="0.25">
      <c r="A246" s="1" t="str">
        <f ca="1">IFERROR(__xludf.DUMMYFUNCTION("""COMPUTED_VALUE"""),"Northern Iowa")</f>
        <v>Northern Iowa</v>
      </c>
      <c r="B246" s="1">
        <f ca="1">IFERROR(__xludf.DUMMYFUNCTION("""COMPUTED_VALUE"""),30)</f>
        <v>30</v>
      </c>
      <c r="C246" s="1">
        <f ca="1">IFERROR(__xludf.DUMMYFUNCTION("""COMPUTED_VALUE"""),14)</f>
        <v>14</v>
      </c>
      <c r="D246" s="1">
        <f ca="1">IFERROR(__xludf.DUMMYFUNCTION("""COMPUTED_VALUE"""),16)</f>
        <v>16</v>
      </c>
      <c r="E246" s="1">
        <f ca="1">IFERROR(__xludf.DUMMYFUNCTION("""COMPUTED_VALUE"""),0.467)</f>
        <v>0.46700000000000003</v>
      </c>
      <c r="F246" s="1">
        <f ca="1">IFERROR(__xludf.DUMMYFUNCTION("""COMPUTED_VALUE"""),1.29)</f>
        <v>1.29</v>
      </c>
      <c r="G246" s="1">
        <f ca="1">IFERROR(__xludf.DUMMYFUNCTION("""COMPUTED_VALUE"""),5.22)</f>
        <v>5.22</v>
      </c>
      <c r="H246" s="1">
        <f ca="1">IFERROR(__xludf.DUMMYFUNCTION("""COMPUTED_VALUE"""),9)</f>
        <v>9</v>
      </c>
      <c r="I246" s="1">
        <f ca="1">IFERROR(__xludf.DUMMYFUNCTION("""COMPUTED_VALUE"""),9)</f>
        <v>9</v>
      </c>
      <c r="J246" s="1">
        <f ca="1">IFERROR(__xludf.DUMMYFUNCTION("""COMPUTED_VALUE"""),9)</f>
        <v>9</v>
      </c>
      <c r="K246" s="1">
        <f ca="1">IFERROR(__xludf.DUMMYFUNCTION("""COMPUTED_VALUE"""),4)</f>
        <v>4</v>
      </c>
      <c r="L246" s="1">
        <f ca="1">IFERROR(__xludf.DUMMYFUNCTION("""COMPUTED_VALUE"""),3)</f>
        <v>3</v>
      </c>
      <c r="M246" s="1">
        <f ca="1">IFERROR(__xludf.DUMMYFUNCTION("""COMPUTED_VALUE"""),9)</f>
        <v>9</v>
      </c>
      <c r="N246" s="1">
        <f ca="1">IFERROR(__xludf.DUMMYFUNCTION("""COMPUTED_VALUE"""),1854)</f>
        <v>1854</v>
      </c>
      <c r="O246" s="1">
        <f ca="1">IFERROR(__xludf.DUMMYFUNCTION("""COMPUTED_VALUE"""),1931)</f>
        <v>1931</v>
      </c>
      <c r="P246" s="1">
        <f ca="1">IFERROR(__xludf.DUMMYFUNCTION("""COMPUTED_VALUE"""),1215)</f>
        <v>1215</v>
      </c>
      <c r="Q246" s="1">
        <f ca="1">IFERROR(__xludf.DUMMYFUNCTION("""COMPUTED_VALUE"""),622)</f>
        <v>622</v>
      </c>
      <c r="R246" s="1">
        <f ca="1">IFERROR(__xludf.DUMMYFUNCTION("""COMPUTED_VALUE"""),1559)</f>
        <v>1559</v>
      </c>
      <c r="S246" s="1">
        <f ca="1">IFERROR(__xludf.DUMMYFUNCTION("""COMPUTED_VALUE"""),0.399)</f>
        <v>0.39900000000000002</v>
      </c>
      <c r="T246" s="1">
        <f ca="1">IFERROR(__xludf.DUMMYFUNCTION("""COMPUTED_VALUE"""),229)</f>
        <v>229</v>
      </c>
      <c r="U246" s="1">
        <f ca="1">IFERROR(__xludf.DUMMYFUNCTION("""COMPUTED_VALUE"""),702)</f>
        <v>702</v>
      </c>
      <c r="V246" s="1">
        <f ca="1">IFERROR(__xludf.DUMMYFUNCTION("""COMPUTED_VALUE"""),0.326)</f>
        <v>0.32600000000000001</v>
      </c>
      <c r="W246" s="1">
        <f ca="1">IFERROR(__xludf.DUMMYFUNCTION("""COMPUTED_VALUE"""),381)</f>
        <v>381</v>
      </c>
      <c r="X246" s="1">
        <f ca="1">IFERROR(__xludf.DUMMYFUNCTION("""COMPUTED_VALUE"""),520)</f>
        <v>520</v>
      </c>
      <c r="Y246" s="1">
        <f ca="1">IFERROR(__xludf.DUMMYFUNCTION("""COMPUTED_VALUE"""),0.733)</f>
        <v>0.73299999999999998</v>
      </c>
      <c r="Z246" s="1">
        <f ca="1">IFERROR(__xludf.DUMMYFUNCTION("""COMPUTED_VALUE"""),182)</f>
        <v>182</v>
      </c>
      <c r="AA246" s="1">
        <f ca="1">IFERROR(__xludf.DUMMYFUNCTION("""COMPUTED_VALUE"""),878)</f>
        <v>878</v>
      </c>
      <c r="AB246" s="1">
        <f ca="1">IFERROR(__xludf.DUMMYFUNCTION("""COMPUTED_VALUE"""),298)</f>
        <v>298</v>
      </c>
      <c r="AC246" s="1">
        <f ca="1">IFERROR(__xludf.DUMMYFUNCTION("""COMPUTED_VALUE"""),197)</f>
        <v>197</v>
      </c>
      <c r="AD246" s="1">
        <f ca="1">IFERROR(__xludf.DUMMYFUNCTION("""COMPUTED_VALUE"""),84)</f>
        <v>84</v>
      </c>
      <c r="AE246" s="1">
        <f ca="1">IFERROR(__xludf.DUMMYFUNCTION("""COMPUTED_VALUE"""),342)</f>
        <v>342</v>
      </c>
      <c r="AF246" s="1">
        <f ca="1">IFERROR(__xludf.DUMMYFUNCTION("""COMPUTED_VALUE"""),464)</f>
        <v>464</v>
      </c>
    </row>
    <row r="247" spans="1:32" ht="12.5" x14ac:dyDescent="0.25">
      <c r="A247" s="1" t="str">
        <f ca="1">IFERROR(__xludf.DUMMYFUNCTION("""COMPUTED_VALUE"""),"Northern KentuckyNCAA")</f>
        <v>Northern KentuckyNCAA</v>
      </c>
      <c r="B247" s="1">
        <f ca="1">IFERROR(__xludf.DUMMYFUNCTION("""COMPUTED_VALUE"""),35)</f>
        <v>35</v>
      </c>
      <c r="C247" s="1">
        <f ca="1">IFERROR(__xludf.DUMMYFUNCTION("""COMPUTED_VALUE"""),24)</f>
        <v>24</v>
      </c>
      <c r="D247" s="1">
        <f ca="1">IFERROR(__xludf.DUMMYFUNCTION("""COMPUTED_VALUE"""),11)</f>
        <v>11</v>
      </c>
      <c r="E247" s="1">
        <f ca="1">IFERROR(__xludf.DUMMYFUNCTION("""COMPUTED_VALUE"""),0.686)</f>
        <v>0.68600000000000005</v>
      </c>
      <c r="F247" s="1">
        <f ca="1">IFERROR(__xludf.DUMMYFUNCTION("""COMPUTED_VALUE"""),-0.17)</f>
        <v>-0.17</v>
      </c>
      <c r="G247" s="1">
        <f ca="1">IFERROR(__xludf.DUMMYFUNCTION("""COMPUTED_VALUE"""),-2.84)</f>
        <v>-2.84</v>
      </c>
      <c r="H247" s="1">
        <f ca="1">IFERROR(__xludf.DUMMYFUNCTION("""COMPUTED_VALUE"""),12)</f>
        <v>12</v>
      </c>
      <c r="I247" s="1">
        <f ca="1">IFERROR(__xludf.DUMMYFUNCTION("""COMPUTED_VALUE"""),6)</f>
        <v>6</v>
      </c>
      <c r="J247" s="1">
        <f ca="1">IFERROR(__xludf.DUMMYFUNCTION("""COMPUTED_VALUE"""),12)</f>
        <v>12</v>
      </c>
      <c r="K247" s="1">
        <f ca="1">IFERROR(__xludf.DUMMYFUNCTION("""COMPUTED_VALUE"""),2)</f>
        <v>2</v>
      </c>
      <c r="L247" s="1">
        <f ca="1">IFERROR(__xludf.DUMMYFUNCTION("""COMPUTED_VALUE"""),8)</f>
        <v>8</v>
      </c>
      <c r="M247" s="1">
        <f ca="1">IFERROR(__xludf.DUMMYFUNCTION("""COMPUTED_VALUE"""),7)</f>
        <v>7</v>
      </c>
      <c r="N247" s="1">
        <f ca="1">IFERROR(__xludf.DUMMYFUNCTION("""COMPUTED_VALUE"""),2659)</f>
        <v>2659</v>
      </c>
      <c r="O247" s="1">
        <f ca="1">IFERROR(__xludf.DUMMYFUNCTION("""COMPUTED_VALUE"""),2507)</f>
        <v>2507</v>
      </c>
      <c r="P247" s="1">
        <f ca="1">IFERROR(__xludf.DUMMYFUNCTION("""COMPUTED_VALUE"""),1400)</f>
        <v>1400</v>
      </c>
      <c r="Q247" s="1">
        <f ca="1">IFERROR(__xludf.DUMMYFUNCTION("""COMPUTED_VALUE"""),928)</f>
        <v>928</v>
      </c>
      <c r="R247" s="1">
        <f ca="1">IFERROR(__xludf.DUMMYFUNCTION("""COMPUTED_VALUE"""),2037)</f>
        <v>2037</v>
      </c>
      <c r="S247" s="1">
        <f ca="1">IFERROR(__xludf.DUMMYFUNCTION("""COMPUTED_VALUE"""),0.456)</f>
        <v>0.45600000000000002</v>
      </c>
      <c r="T247" s="1">
        <f ca="1">IFERROR(__xludf.DUMMYFUNCTION("""COMPUTED_VALUE"""),300)</f>
        <v>300</v>
      </c>
      <c r="U247" s="1">
        <f ca="1">IFERROR(__xludf.DUMMYFUNCTION("""COMPUTED_VALUE"""),859)</f>
        <v>859</v>
      </c>
      <c r="V247" s="1">
        <f ca="1">IFERROR(__xludf.DUMMYFUNCTION("""COMPUTED_VALUE"""),0.349)</f>
        <v>0.34899999999999998</v>
      </c>
      <c r="W247" s="1">
        <f ca="1">IFERROR(__xludf.DUMMYFUNCTION("""COMPUTED_VALUE"""),503)</f>
        <v>503</v>
      </c>
      <c r="X247" s="1">
        <f ca="1">IFERROR(__xludf.DUMMYFUNCTION("""COMPUTED_VALUE"""),740)</f>
        <v>740</v>
      </c>
      <c r="Y247" s="1">
        <f ca="1">IFERROR(__xludf.DUMMYFUNCTION("""COMPUTED_VALUE"""),0.68)</f>
        <v>0.68</v>
      </c>
      <c r="Z247" s="1">
        <f ca="1">IFERROR(__xludf.DUMMYFUNCTION("""COMPUTED_VALUE"""),391)</f>
        <v>391</v>
      </c>
      <c r="AA247" s="1">
        <f ca="1">IFERROR(__xludf.DUMMYFUNCTION("""COMPUTED_VALUE"""),1319)</f>
        <v>1319</v>
      </c>
      <c r="AB247" s="1">
        <f ca="1">IFERROR(__xludf.DUMMYFUNCTION("""COMPUTED_VALUE"""),486)</f>
        <v>486</v>
      </c>
      <c r="AC247" s="1">
        <f ca="1">IFERROR(__xludf.DUMMYFUNCTION("""COMPUTED_VALUE"""),200)</f>
        <v>200</v>
      </c>
      <c r="AD247" s="1">
        <f ca="1">IFERROR(__xludf.DUMMYFUNCTION("""COMPUTED_VALUE"""),98)</f>
        <v>98</v>
      </c>
      <c r="AE247" s="1">
        <f ca="1">IFERROR(__xludf.DUMMYFUNCTION("""COMPUTED_VALUE"""),468)</f>
        <v>468</v>
      </c>
      <c r="AF247" s="1">
        <f ca="1">IFERROR(__xludf.DUMMYFUNCTION("""COMPUTED_VALUE"""),622)</f>
        <v>622</v>
      </c>
    </row>
    <row r="248" spans="1:32" ht="12.5" x14ac:dyDescent="0.25">
      <c r="A248" s="1" t="str">
        <f ca="1">IFERROR(__xludf.DUMMYFUNCTION("""COMPUTED_VALUE"""),"Northwestern State")</f>
        <v>Northwestern State</v>
      </c>
      <c r="B248" s="1">
        <f ca="1">IFERROR(__xludf.DUMMYFUNCTION("""COMPUTED_VALUE"""),29)</f>
        <v>29</v>
      </c>
      <c r="C248" s="1">
        <f ca="1">IFERROR(__xludf.DUMMYFUNCTION("""COMPUTED_VALUE"""),13)</f>
        <v>13</v>
      </c>
      <c r="D248" s="1">
        <f ca="1">IFERROR(__xludf.DUMMYFUNCTION("""COMPUTED_VALUE"""),16)</f>
        <v>16</v>
      </c>
      <c r="E248" s="1">
        <f ca="1">IFERROR(__xludf.DUMMYFUNCTION("""COMPUTED_VALUE"""),0.448)</f>
        <v>0.44800000000000001</v>
      </c>
      <c r="F248" s="1">
        <f ca="1">IFERROR(__xludf.DUMMYFUNCTION("""COMPUTED_VALUE"""),-12.03)</f>
        <v>-12.03</v>
      </c>
      <c r="G248" s="1">
        <f ca="1">IFERROR(__xludf.DUMMYFUNCTION("""COMPUTED_VALUE"""),-6.07)</f>
        <v>-6.07</v>
      </c>
      <c r="H248" s="1">
        <f ca="1">IFERROR(__xludf.DUMMYFUNCTION("""COMPUTED_VALUE"""),7)</f>
        <v>7</v>
      </c>
      <c r="I248" s="1">
        <f ca="1">IFERROR(__xludf.DUMMYFUNCTION("""COMPUTED_VALUE"""),11)</f>
        <v>11</v>
      </c>
      <c r="J248" s="1">
        <f ca="1">IFERROR(__xludf.DUMMYFUNCTION("""COMPUTED_VALUE"""),7)</f>
        <v>7</v>
      </c>
      <c r="K248" s="1">
        <f ca="1">IFERROR(__xludf.DUMMYFUNCTION("""COMPUTED_VALUE"""),6)</f>
        <v>6</v>
      </c>
      <c r="L248" s="1">
        <f ca="1">IFERROR(__xludf.DUMMYFUNCTION("""COMPUTED_VALUE"""),5)</f>
        <v>5</v>
      </c>
      <c r="M248" s="1">
        <f ca="1">IFERROR(__xludf.DUMMYFUNCTION("""COMPUTED_VALUE"""),10)</f>
        <v>10</v>
      </c>
      <c r="N248" s="1">
        <f ca="1">IFERROR(__xludf.DUMMYFUNCTION("""COMPUTED_VALUE"""),2204)</f>
        <v>2204</v>
      </c>
      <c r="O248" s="1">
        <f ca="1">IFERROR(__xludf.DUMMYFUNCTION("""COMPUTED_VALUE"""),2301)</f>
        <v>2301</v>
      </c>
      <c r="P248" s="1">
        <f ca="1">IFERROR(__xludf.DUMMYFUNCTION("""COMPUTED_VALUE"""),1170)</f>
        <v>1170</v>
      </c>
      <c r="Q248" s="1">
        <f ca="1">IFERROR(__xludf.DUMMYFUNCTION("""COMPUTED_VALUE"""),751)</f>
        <v>751</v>
      </c>
      <c r="R248" s="1">
        <f ca="1">IFERROR(__xludf.DUMMYFUNCTION("""COMPUTED_VALUE"""),1698)</f>
        <v>1698</v>
      </c>
      <c r="S248" s="1">
        <f ca="1">IFERROR(__xludf.DUMMYFUNCTION("""COMPUTED_VALUE"""),0.442)</f>
        <v>0.442</v>
      </c>
      <c r="T248" s="1">
        <f ca="1">IFERROR(__xludf.DUMMYFUNCTION("""COMPUTED_VALUE"""),203)</f>
        <v>203</v>
      </c>
      <c r="U248" s="1">
        <f ca="1">IFERROR(__xludf.DUMMYFUNCTION("""COMPUTED_VALUE"""),555)</f>
        <v>555</v>
      </c>
      <c r="V248" s="1">
        <f ca="1">IFERROR(__xludf.DUMMYFUNCTION("""COMPUTED_VALUE"""),0.366)</f>
        <v>0.36599999999999999</v>
      </c>
      <c r="W248" s="1">
        <f ca="1">IFERROR(__xludf.DUMMYFUNCTION("""COMPUTED_VALUE"""),499)</f>
        <v>499</v>
      </c>
      <c r="X248" s="1">
        <f ca="1">IFERROR(__xludf.DUMMYFUNCTION("""COMPUTED_VALUE"""),723)</f>
        <v>723</v>
      </c>
      <c r="Y248" s="1">
        <f ca="1">IFERROR(__xludf.DUMMYFUNCTION("""COMPUTED_VALUE"""),0.69)</f>
        <v>0.69</v>
      </c>
      <c r="Z248" s="1">
        <f ca="1">IFERROR(__xludf.DUMMYFUNCTION("""COMPUTED_VALUE"""),337)</f>
        <v>337</v>
      </c>
      <c r="AA248" s="1">
        <f ca="1">IFERROR(__xludf.DUMMYFUNCTION("""COMPUTED_VALUE"""),1049)</f>
        <v>1049</v>
      </c>
      <c r="AB248" s="1">
        <f ca="1">IFERROR(__xludf.DUMMYFUNCTION("""COMPUTED_VALUE"""),405)</f>
        <v>405</v>
      </c>
      <c r="AC248" s="1">
        <f ca="1">IFERROR(__xludf.DUMMYFUNCTION("""COMPUTED_VALUE"""),196)</f>
        <v>196</v>
      </c>
      <c r="AD248" s="1">
        <f ca="1">IFERROR(__xludf.DUMMYFUNCTION("""COMPUTED_VALUE"""),77)</f>
        <v>77</v>
      </c>
      <c r="AE248" s="1">
        <f ca="1">IFERROR(__xludf.DUMMYFUNCTION("""COMPUTED_VALUE"""),439)</f>
        <v>439</v>
      </c>
      <c r="AF248" s="1">
        <f ca="1">IFERROR(__xludf.DUMMYFUNCTION("""COMPUTED_VALUE"""),568)</f>
        <v>568</v>
      </c>
    </row>
    <row r="249" spans="1:32" ht="12.5" x14ac:dyDescent="0.25">
      <c r="A249" s="1" t="str">
        <f ca="1">IFERROR(__xludf.DUMMYFUNCTION("""COMPUTED_VALUE"""),"NorthwesternNCAA")</f>
        <v>NorthwesternNCAA</v>
      </c>
      <c r="B249" s="1">
        <f ca="1">IFERROR(__xludf.DUMMYFUNCTION("""COMPUTED_VALUE"""),36)</f>
        <v>36</v>
      </c>
      <c r="C249" s="1">
        <f ca="1">IFERROR(__xludf.DUMMYFUNCTION("""COMPUTED_VALUE"""),24)</f>
        <v>24</v>
      </c>
      <c r="D249" s="1">
        <f ca="1">IFERROR(__xludf.DUMMYFUNCTION("""COMPUTED_VALUE"""),12)</f>
        <v>12</v>
      </c>
      <c r="E249" s="1">
        <f ca="1">IFERROR(__xludf.DUMMYFUNCTION("""COMPUTED_VALUE"""),0.667)</f>
        <v>0.66700000000000004</v>
      </c>
      <c r="F249" s="1">
        <f ca="1">IFERROR(__xludf.DUMMYFUNCTION("""COMPUTED_VALUE"""),14.02)</f>
        <v>14.02</v>
      </c>
      <c r="G249" s="1">
        <f ca="1">IFERROR(__xludf.DUMMYFUNCTION("""COMPUTED_VALUE"""),8.43)</f>
        <v>8.43</v>
      </c>
      <c r="H249" s="1">
        <f ca="1">IFERROR(__xludf.DUMMYFUNCTION("""COMPUTED_VALUE"""),10)</f>
        <v>10</v>
      </c>
      <c r="I249" s="1">
        <f ca="1">IFERROR(__xludf.DUMMYFUNCTION("""COMPUTED_VALUE"""),8)</f>
        <v>8</v>
      </c>
      <c r="J249" s="1">
        <f ca="1">IFERROR(__xludf.DUMMYFUNCTION("""COMPUTED_VALUE"""),14)</f>
        <v>14</v>
      </c>
      <c r="K249" s="1">
        <f ca="1">IFERROR(__xludf.DUMMYFUNCTION("""COMPUTED_VALUE"""),4)</f>
        <v>4</v>
      </c>
      <c r="L249" s="1">
        <f ca="1">IFERROR(__xludf.DUMMYFUNCTION("""COMPUTED_VALUE"""),5)</f>
        <v>5</v>
      </c>
      <c r="M249" s="1">
        <f ca="1">IFERROR(__xludf.DUMMYFUNCTION("""COMPUTED_VALUE"""),5)</f>
        <v>5</v>
      </c>
      <c r="N249" s="1">
        <f ca="1">IFERROR(__xludf.DUMMYFUNCTION("""COMPUTED_VALUE"""),2558)</f>
        <v>2558</v>
      </c>
      <c r="O249" s="1">
        <f ca="1">IFERROR(__xludf.DUMMYFUNCTION("""COMPUTED_VALUE"""),2357)</f>
        <v>2357</v>
      </c>
      <c r="P249" s="1">
        <f ca="1">IFERROR(__xludf.DUMMYFUNCTION("""COMPUTED_VALUE"""),1440)</f>
        <v>1440</v>
      </c>
      <c r="Q249" s="1">
        <f ca="1">IFERROR(__xludf.DUMMYFUNCTION("""COMPUTED_VALUE"""),913)</f>
        <v>913</v>
      </c>
      <c r="R249" s="1">
        <f ca="1">IFERROR(__xludf.DUMMYFUNCTION("""COMPUTED_VALUE"""),2094)</f>
        <v>2094</v>
      </c>
      <c r="S249" s="1">
        <f ca="1">IFERROR(__xludf.DUMMYFUNCTION("""COMPUTED_VALUE"""),0.436)</f>
        <v>0.436</v>
      </c>
      <c r="T249" s="1">
        <f ca="1">IFERROR(__xludf.DUMMYFUNCTION("""COMPUTED_VALUE"""),256)</f>
        <v>256</v>
      </c>
      <c r="U249" s="1">
        <f ca="1">IFERROR(__xludf.DUMMYFUNCTION("""COMPUTED_VALUE"""),747)</f>
        <v>747</v>
      </c>
      <c r="V249" s="1">
        <f ca="1">IFERROR(__xludf.DUMMYFUNCTION("""COMPUTED_VALUE"""),0.343)</f>
        <v>0.34300000000000003</v>
      </c>
      <c r="W249" s="1">
        <f ca="1">IFERROR(__xludf.DUMMYFUNCTION("""COMPUTED_VALUE"""),476)</f>
        <v>476</v>
      </c>
      <c r="X249" s="1">
        <f ca="1">IFERROR(__xludf.DUMMYFUNCTION("""COMPUTED_VALUE"""),637)</f>
        <v>637</v>
      </c>
      <c r="Y249" s="1">
        <f ca="1">IFERROR(__xludf.DUMMYFUNCTION("""COMPUTED_VALUE"""),0.747)</f>
        <v>0.747</v>
      </c>
      <c r="Z249" s="1">
        <f ca="1">IFERROR(__xludf.DUMMYFUNCTION("""COMPUTED_VALUE"""),386)</f>
        <v>386</v>
      </c>
      <c r="AA249" s="1">
        <f ca="1">IFERROR(__xludf.DUMMYFUNCTION("""COMPUTED_VALUE"""),1304)</f>
        <v>1304</v>
      </c>
      <c r="AB249" s="1">
        <f ca="1">IFERROR(__xludf.DUMMYFUNCTION("""COMPUTED_VALUE"""),540)</f>
        <v>540</v>
      </c>
      <c r="AC249" s="1">
        <f ca="1">IFERROR(__xludf.DUMMYFUNCTION("""COMPUTED_VALUE"""),190)</f>
        <v>190</v>
      </c>
      <c r="AD249" s="1">
        <f ca="1">IFERROR(__xludf.DUMMYFUNCTION("""COMPUTED_VALUE"""),175)</f>
        <v>175</v>
      </c>
      <c r="AE249" s="1">
        <f ca="1">IFERROR(__xludf.DUMMYFUNCTION("""COMPUTED_VALUE"""),383)</f>
        <v>383</v>
      </c>
      <c r="AF249" s="1">
        <f ca="1">IFERROR(__xludf.DUMMYFUNCTION("""COMPUTED_VALUE"""),691)</f>
        <v>691</v>
      </c>
    </row>
    <row r="250" spans="1:32" ht="12.5" x14ac:dyDescent="0.25">
      <c r="A250" s="1" t="str">
        <f ca="1">IFERROR(__xludf.DUMMYFUNCTION("""COMPUTED_VALUE"""),"Notre DameNCAA")</f>
        <v>Notre DameNCAA</v>
      </c>
      <c r="B250" s="1">
        <f ca="1">IFERROR(__xludf.DUMMYFUNCTION("""COMPUTED_VALUE"""),36)</f>
        <v>36</v>
      </c>
      <c r="C250" s="1">
        <f ca="1">IFERROR(__xludf.DUMMYFUNCTION("""COMPUTED_VALUE"""),26)</f>
        <v>26</v>
      </c>
      <c r="D250" s="1">
        <f ca="1">IFERROR(__xludf.DUMMYFUNCTION("""COMPUTED_VALUE"""),10)</f>
        <v>10</v>
      </c>
      <c r="E250" s="1">
        <f ca="1">IFERROR(__xludf.DUMMYFUNCTION("""COMPUTED_VALUE"""),0.722)</f>
        <v>0.72199999999999998</v>
      </c>
      <c r="F250" s="1">
        <f ca="1">IFERROR(__xludf.DUMMYFUNCTION("""COMPUTED_VALUE"""),17.81)</f>
        <v>17.809999999999999</v>
      </c>
      <c r="G250" s="1">
        <f ca="1">IFERROR(__xludf.DUMMYFUNCTION("""COMPUTED_VALUE"""),9.78)</f>
        <v>9.7799999999999994</v>
      </c>
      <c r="H250" s="1">
        <f ca="1">IFERROR(__xludf.DUMMYFUNCTION("""COMPUTED_VALUE"""),12)</f>
        <v>12</v>
      </c>
      <c r="I250" s="1">
        <f ca="1">IFERROR(__xludf.DUMMYFUNCTION("""COMPUTED_VALUE"""),6)</f>
        <v>6</v>
      </c>
      <c r="J250" s="1">
        <f ca="1">IFERROR(__xludf.DUMMYFUNCTION("""COMPUTED_VALUE"""),16)</f>
        <v>16</v>
      </c>
      <c r="K250" s="1">
        <f ca="1">IFERROR(__xludf.DUMMYFUNCTION("""COMPUTED_VALUE"""),2)</f>
        <v>2</v>
      </c>
      <c r="L250" s="1">
        <f ca="1">IFERROR(__xludf.DUMMYFUNCTION("""COMPUTED_VALUE"""),5)</f>
        <v>5</v>
      </c>
      <c r="M250" s="1">
        <f ca="1">IFERROR(__xludf.DUMMYFUNCTION("""COMPUTED_VALUE"""),4)</f>
        <v>4</v>
      </c>
      <c r="N250" s="1">
        <f ca="1">IFERROR(__xludf.DUMMYFUNCTION("""COMPUTED_VALUE"""),2783)</f>
        <v>2783</v>
      </c>
      <c r="O250" s="1">
        <f ca="1">IFERROR(__xludf.DUMMYFUNCTION("""COMPUTED_VALUE"""),2494)</f>
        <v>2494</v>
      </c>
      <c r="P250" s="1">
        <f ca="1">IFERROR(__xludf.DUMMYFUNCTION("""COMPUTED_VALUE"""),1445)</f>
        <v>1445</v>
      </c>
      <c r="Q250" s="1">
        <f ca="1">IFERROR(__xludf.DUMMYFUNCTION("""COMPUTED_VALUE"""),980)</f>
        <v>980</v>
      </c>
      <c r="R250" s="1">
        <f ca="1">IFERROR(__xludf.DUMMYFUNCTION("""COMPUTED_VALUE"""),2139)</f>
        <v>2139</v>
      </c>
      <c r="S250" s="1">
        <f ca="1">IFERROR(__xludf.DUMMYFUNCTION("""COMPUTED_VALUE"""),0.458)</f>
        <v>0.45800000000000002</v>
      </c>
      <c r="T250" s="1">
        <f ca="1">IFERROR(__xludf.DUMMYFUNCTION("""COMPUTED_VALUE"""),334)</f>
        <v>334</v>
      </c>
      <c r="U250" s="1">
        <f ca="1">IFERROR(__xludf.DUMMYFUNCTION("""COMPUTED_VALUE"""),869)</f>
        <v>869</v>
      </c>
      <c r="V250" s="1">
        <f ca="1">IFERROR(__xludf.DUMMYFUNCTION("""COMPUTED_VALUE"""),0.384)</f>
        <v>0.38400000000000001</v>
      </c>
      <c r="W250" s="1">
        <f ca="1">IFERROR(__xludf.DUMMYFUNCTION("""COMPUTED_VALUE"""),489)</f>
        <v>489</v>
      </c>
      <c r="X250" s="1">
        <f ca="1">IFERROR(__xludf.DUMMYFUNCTION("""COMPUTED_VALUE"""),611)</f>
        <v>611</v>
      </c>
      <c r="Y250" s="1">
        <f ca="1">IFERROR(__xludf.DUMMYFUNCTION("""COMPUTED_VALUE"""),0.8)</f>
        <v>0.8</v>
      </c>
      <c r="Z250" s="1">
        <f ca="1">IFERROR(__xludf.DUMMYFUNCTION("""COMPUTED_VALUE"""),334)</f>
        <v>334</v>
      </c>
      <c r="AA250" s="1">
        <f ca="1">IFERROR(__xludf.DUMMYFUNCTION("""COMPUTED_VALUE"""),1212)</f>
        <v>1212</v>
      </c>
      <c r="AB250" s="1">
        <f ca="1">IFERROR(__xludf.DUMMYFUNCTION("""COMPUTED_VALUE"""),566)</f>
        <v>566</v>
      </c>
      <c r="AC250" s="1">
        <f ca="1">IFERROR(__xludf.DUMMYFUNCTION("""COMPUTED_VALUE"""),255)</f>
        <v>255</v>
      </c>
      <c r="AD250" s="1">
        <f ca="1">IFERROR(__xludf.DUMMYFUNCTION("""COMPUTED_VALUE"""),134)</f>
        <v>134</v>
      </c>
      <c r="AE250" s="1">
        <f ca="1">IFERROR(__xludf.DUMMYFUNCTION("""COMPUTED_VALUE"""),341)</f>
        <v>341</v>
      </c>
      <c r="AF250" s="1">
        <f ca="1">IFERROR(__xludf.DUMMYFUNCTION("""COMPUTED_VALUE"""),533)</f>
        <v>533</v>
      </c>
    </row>
    <row r="251" spans="1:32" ht="12.5" x14ac:dyDescent="0.25">
      <c r="A251" s="1" t="str">
        <f ca="1">IFERROR(__xludf.DUMMYFUNCTION("""COMPUTED_VALUE"""),"Oakland")</f>
        <v>Oakland</v>
      </c>
      <c r="B251" s="1">
        <f ca="1">IFERROR(__xludf.DUMMYFUNCTION("""COMPUTED_VALUE"""),34)</f>
        <v>34</v>
      </c>
      <c r="C251" s="1">
        <f ca="1">IFERROR(__xludf.DUMMYFUNCTION("""COMPUTED_VALUE"""),25)</f>
        <v>25</v>
      </c>
      <c r="D251" s="1">
        <f ca="1">IFERROR(__xludf.DUMMYFUNCTION("""COMPUTED_VALUE"""),9)</f>
        <v>9</v>
      </c>
      <c r="E251" s="1">
        <f ca="1">IFERROR(__xludf.DUMMYFUNCTION("""COMPUTED_VALUE"""),0.735)</f>
        <v>0.73499999999999999</v>
      </c>
      <c r="F251" s="1">
        <f ca="1">IFERROR(__xludf.DUMMYFUNCTION("""COMPUTED_VALUE"""),4.22)</f>
        <v>4.22</v>
      </c>
      <c r="G251" s="1">
        <f ca="1">IFERROR(__xludf.DUMMYFUNCTION("""COMPUTED_VALUE"""),-3)</f>
        <v>-3</v>
      </c>
      <c r="H251" s="1">
        <f ca="1">IFERROR(__xludf.DUMMYFUNCTION("""COMPUTED_VALUE"""),14)</f>
        <v>14</v>
      </c>
      <c r="I251" s="1">
        <f ca="1">IFERROR(__xludf.DUMMYFUNCTION("""COMPUTED_VALUE"""),4)</f>
        <v>4</v>
      </c>
      <c r="J251" s="1">
        <f ca="1">IFERROR(__xludf.DUMMYFUNCTION("""COMPUTED_VALUE"""),13)</f>
        <v>13</v>
      </c>
      <c r="K251" s="1">
        <f ca="1">IFERROR(__xludf.DUMMYFUNCTION("""COMPUTED_VALUE"""),4)</f>
        <v>4</v>
      </c>
      <c r="L251" s="1">
        <f ca="1">IFERROR(__xludf.DUMMYFUNCTION("""COMPUTED_VALUE"""),11)</f>
        <v>11</v>
      </c>
      <c r="M251" s="1">
        <f ca="1">IFERROR(__xludf.DUMMYFUNCTION("""COMPUTED_VALUE"""),3)</f>
        <v>3</v>
      </c>
      <c r="N251" s="1">
        <f ca="1">IFERROR(__xludf.DUMMYFUNCTION("""COMPUTED_VALUE"""),2699)</f>
        <v>2699</v>
      </c>
      <c r="O251" s="1">
        <f ca="1">IFERROR(__xludf.DUMMYFUNCTION("""COMPUTED_VALUE"""),2419)</f>
        <v>2419</v>
      </c>
      <c r="P251" s="1">
        <f ca="1">IFERROR(__xludf.DUMMYFUNCTION("""COMPUTED_VALUE"""),1365)</f>
        <v>1365</v>
      </c>
      <c r="Q251" s="1">
        <f ca="1">IFERROR(__xludf.DUMMYFUNCTION("""COMPUTED_VALUE"""),935)</f>
        <v>935</v>
      </c>
      <c r="R251" s="1">
        <f ca="1">IFERROR(__xludf.DUMMYFUNCTION("""COMPUTED_VALUE"""),2057)</f>
        <v>2057</v>
      </c>
      <c r="S251" s="1">
        <f ca="1">IFERROR(__xludf.DUMMYFUNCTION("""COMPUTED_VALUE"""),0.455)</f>
        <v>0.45500000000000002</v>
      </c>
      <c r="T251" s="1">
        <f ca="1">IFERROR(__xludf.DUMMYFUNCTION("""COMPUTED_VALUE"""),247)</f>
        <v>247</v>
      </c>
      <c r="U251" s="1">
        <f ca="1">IFERROR(__xludf.DUMMYFUNCTION("""COMPUTED_VALUE"""),738)</f>
        <v>738</v>
      </c>
      <c r="V251" s="1">
        <f ca="1">IFERROR(__xludf.DUMMYFUNCTION("""COMPUTED_VALUE"""),0.335)</f>
        <v>0.33500000000000002</v>
      </c>
      <c r="W251" s="1">
        <f ca="1">IFERROR(__xludf.DUMMYFUNCTION("""COMPUTED_VALUE"""),582)</f>
        <v>582</v>
      </c>
      <c r="X251" s="1">
        <f ca="1">IFERROR(__xludf.DUMMYFUNCTION("""COMPUTED_VALUE"""),765)</f>
        <v>765</v>
      </c>
      <c r="Y251" s="1">
        <f ca="1">IFERROR(__xludf.DUMMYFUNCTION("""COMPUTED_VALUE"""),0.761)</f>
        <v>0.76100000000000001</v>
      </c>
      <c r="Z251" s="1">
        <f ca="1">IFERROR(__xludf.DUMMYFUNCTION("""COMPUTED_VALUE"""),353)</f>
        <v>353</v>
      </c>
      <c r="AA251" s="1">
        <f ca="1">IFERROR(__xludf.DUMMYFUNCTION("""COMPUTED_VALUE"""),1324)</f>
        <v>1324</v>
      </c>
      <c r="AB251" s="1">
        <f ca="1">IFERROR(__xludf.DUMMYFUNCTION("""COMPUTED_VALUE"""),576)</f>
        <v>576</v>
      </c>
      <c r="AC251" s="1">
        <f ca="1">IFERROR(__xludf.DUMMYFUNCTION("""COMPUTED_VALUE"""),266)</f>
        <v>266</v>
      </c>
      <c r="AD251" s="1">
        <f ca="1">IFERROR(__xludf.DUMMYFUNCTION("""COMPUTED_VALUE"""),170)</f>
        <v>170</v>
      </c>
      <c r="AE251" s="1">
        <f ca="1">IFERROR(__xludf.DUMMYFUNCTION("""COMPUTED_VALUE"""),462)</f>
        <v>462</v>
      </c>
      <c r="AF251" s="1">
        <f ca="1">IFERROR(__xludf.DUMMYFUNCTION("""COMPUTED_VALUE"""),592)</f>
        <v>592</v>
      </c>
    </row>
    <row r="252" spans="1:32" ht="12.5" x14ac:dyDescent="0.25">
      <c r="A252" s="1" t="str">
        <f ca="1">IFERROR(__xludf.DUMMYFUNCTION("""COMPUTED_VALUE"""),"Ohio State")</f>
        <v>Ohio State</v>
      </c>
      <c r="B252" s="1">
        <f ca="1">IFERROR(__xludf.DUMMYFUNCTION("""COMPUTED_VALUE"""),32)</f>
        <v>32</v>
      </c>
      <c r="C252" s="1">
        <f ca="1">IFERROR(__xludf.DUMMYFUNCTION("""COMPUTED_VALUE"""),17)</f>
        <v>17</v>
      </c>
      <c r="D252" s="1">
        <f ca="1">IFERROR(__xludf.DUMMYFUNCTION("""COMPUTED_VALUE"""),15)</f>
        <v>15</v>
      </c>
      <c r="E252" s="1">
        <f ca="1">IFERROR(__xludf.DUMMYFUNCTION("""COMPUTED_VALUE"""),0.531)</f>
        <v>0.53100000000000003</v>
      </c>
      <c r="F252" s="1">
        <f ca="1">IFERROR(__xludf.DUMMYFUNCTION("""COMPUTED_VALUE"""),10.31)</f>
        <v>10.31</v>
      </c>
      <c r="G252" s="1">
        <f ca="1">IFERROR(__xludf.DUMMYFUNCTION("""COMPUTED_VALUE"""),7.28)</f>
        <v>7.28</v>
      </c>
      <c r="H252" s="1">
        <f ca="1">IFERROR(__xludf.DUMMYFUNCTION("""COMPUTED_VALUE"""),7)</f>
        <v>7</v>
      </c>
      <c r="I252" s="1">
        <f ca="1">IFERROR(__xludf.DUMMYFUNCTION("""COMPUTED_VALUE"""),11)</f>
        <v>11</v>
      </c>
      <c r="J252" s="1">
        <f ca="1">IFERROR(__xludf.DUMMYFUNCTION("""COMPUTED_VALUE"""),13)</f>
        <v>13</v>
      </c>
      <c r="K252" s="1">
        <f ca="1">IFERROR(__xludf.DUMMYFUNCTION("""COMPUTED_VALUE"""),6)</f>
        <v>6</v>
      </c>
      <c r="L252" s="1">
        <f ca="1">IFERROR(__xludf.DUMMYFUNCTION("""COMPUTED_VALUE"""),4)</f>
        <v>4</v>
      </c>
      <c r="M252" s="1">
        <f ca="1">IFERROR(__xludf.DUMMYFUNCTION("""COMPUTED_VALUE"""),7)</f>
        <v>7</v>
      </c>
      <c r="N252" s="1">
        <f ca="1">IFERROR(__xludf.DUMMYFUNCTION("""COMPUTED_VALUE"""),2329)</f>
        <v>2329</v>
      </c>
      <c r="O252" s="1">
        <f ca="1">IFERROR(__xludf.DUMMYFUNCTION("""COMPUTED_VALUE"""),2232)</f>
        <v>2232</v>
      </c>
      <c r="P252" s="1">
        <f ca="1">IFERROR(__xludf.DUMMYFUNCTION("""COMPUTED_VALUE"""),1285)</f>
        <v>1285</v>
      </c>
      <c r="Q252" s="1">
        <f ca="1">IFERROR(__xludf.DUMMYFUNCTION("""COMPUTED_VALUE"""),827)</f>
        <v>827</v>
      </c>
      <c r="R252" s="1">
        <f ca="1">IFERROR(__xludf.DUMMYFUNCTION("""COMPUTED_VALUE"""),1786)</f>
        <v>1786</v>
      </c>
      <c r="S252" s="1">
        <f ca="1">IFERROR(__xludf.DUMMYFUNCTION("""COMPUTED_VALUE"""),0.463)</f>
        <v>0.46300000000000002</v>
      </c>
      <c r="T252" s="1">
        <f ca="1">IFERROR(__xludf.DUMMYFUNCTION("""COMPUTED_VALUE"""),211)</f>
        <v>211</v>
      </c>
      <c r="U252" s="1">
        <f ca="1">IFERROR(__xludf.DUMMYFUNCTION("""COMPUTED_VALUE"""),592)</f>
        <v>592</v>
      </c>
      <c r="V252" s="1">
        <f ca="1">IFERROR(__xludf.DUMMYFUNCTION("""COMPUTED_VALUE"""),0.356)</f>
        <v>0.35599999999999998</v>
      </c>
      <c r="W252" s="1">
        <f ca="1">IFERROR(__xludf.DUMMYFUNCTION("""COMPUTED_VALUE"""),464)</f>
        <v>464</v>
      </c>
      <c r="X252" s="1">
        <f ca="1">IFERROR(__xludf.DUMMYFUNCTION("""COMPUTED_VALUE"""),680)</f>
        <v>680</v>
      </c>
      <c r="Y252" s="1">
        <f ca="1">IFERROR(__xludf.DUMMYFUNCTION("""COMPUTED_VALUE"""),0.682)</f>
        <v>0.68200000000000005</v>
      </c>
      <c r="Z252" s="1">
        <f ca="1">IFERROR(__xludf.DUMMYFUNCTION("""COMPUTED_VALUE"""),324)</f>
        <v>324</v>
      </c>
      <c r="AA252" s="1">
        <f ca="1">IFERROR(__xludf.DUMMYFUNCTION("""COMPUTED_VALUE"""),1191)</f>
        <v>1191</v>
      </c>
      <c r="AB252" s="1">
        <f ca="1">IFERROR(__xludf.DUMMYFUNCTION("""COMPUTED_VALUE"""),434)</f>
        <v>434</v>
      </c>
      <c r="AC252" s="1">
        <f ca="1">IFERROR(__xludf.DUMMYFUNCTION("""COMPUTED_VALUE"""),166)</f>
        <v>166</v>
      </c>
      <c r="AD252" s="1">
        <f ca="1">IFERROR(__xludf.DUMMYFUNCTION("""COMPUTED_VALUE"""),121)</f>
        <v>121</v>
      </c>
      <c r="AE252" s="1">
        <f ca="1">IFERROR(__xludf.DUMMYFUNCTION("""COMPUTED_VALUE"""),423)</f>
        <v>423</v>
      </c>
      <c r="AF252" s="1">
        <f ca="1">IFERROR(__xludf.DUMMYFUNCTION("""COMPUTED_VALUE"""),562)</f>
        <v>562</v>
      </c>
    </row>
    <row r="253" spans="1:32" ht="12.5" x14ac:dyDescent="0.25">
      <c r="A253" s="1" t="str">
        <f ca="1">IFERROR(__xludf.DUMMYFUNCTION("""COMPUTED_VALUE"""),"Ohio")</f>
        <v>Ohio</v>
      </c>
      <c r="B253" s="1">
        <f ca="1">IFERROR(__xludf.DUMMYFUNCTION("""COMPUTED_VALUE"""),31)</f>
        <v>31</v>
      </c>
      <c r="C253" s="1">
        <f ca="1">IFERROR(__xludf.DUMMYFUNCTION("""COMPUTED_VALUE"""),20)</f>
        <v>20</v>
      </c>
      <c r="D253" s="1">
        <f ca="1">IFERROR(__xludf.DUMMYFUNCTION("""COMPUTED_VALUE"""),11)</f>
        <v>11</v>
      </c>
      <c r="E253" s="1">
        <f ca="1">IFERROR(__xludf.DUMMYFUNCTION("""COMPUTED_VALUE"""),0.645)</f>
        <v>0.64500000000000002</v>
      </c>
      <c r="F253" s="1">
        <f ca="1">IFERROR(__xludf.DUMMYFUNCTION("""COMPUTED_VALUE"""),3.9)</f>
        <v>3.9</v>
      </c>
      <c r="G253" s="1">
        <f ca="1">IFERROR(__xludf.DUMMYFUNCTION("""COMPUTED_VALUE"""),-2.56)</f>
        <v>-2.56</v>
      </c>
      <c r="H253" s="1">
        <f ca="1">IFERROR(__xludf.DUMMYFUNCTION("""COMPUTED_VALUE"""),11)</f>
        <v>11</v>
      </c>
      <c r="I253" s="1">
        <f ca="1">IFERROR(__xludf.DUMMYFUNCTION("""COMPUTED_VALUE"""),7)</f>
        <v>7</v>
      </c>
      <c r="J253" s="1">
        <f ca="1">IFERROR(__xludf.DUMMYFUNCTION("""COMPUTED_VALUE"""),12)</f>
        <v>12</v>
      </c>
      <c r="K253" s="1">
        <f ca="1">IFERROR(__xludf.DUMMYFUNCTION("""COMPUTED_VALUE"""),4)</f>
        <v>4</v>
      </c>
      <c r="L253" s="1">
        <f ca="1">IFERROR(__xludf.DUMMYFUNCTION("""COMPUTED_VALUE"""),7)</f>
        <v>7</v>
      </c>
      <c r="M253" s="1">
        <f ca="1">IFERROR(__xludf.DUMMYFUNCTION("""COMPUTED_VALUE"""),6)</f>
        <v>6</v>
      </c>
      <c r="N253" s="1">
        <f ca="1">IFERROR(__xludf.DUMMYFUNCTION("""COMPUTED_VALUE"""),2387)</f>
        <v>2387</v>
      </c>
      <c r="O253" s="1">
        <f ca="1">IFERROR(__xludf.DUMMYFUNCTION("""COMPUTED_VALUE"""),2166)</f>
        <v>2166</v>
      </c>
      <c r="P253" s="1">
        <f ca="1">IFERROR(__xludf.DUMMYFUNCTION("""COMPUTED_VALUE"""),1240)</f>
        <v>1240</v>
      </c>
      <c r="Q253" s="1">
        <f ca="1">IFERROR(__xludf.DUMMYFUNCTION("""COMPUTED_VALUE"""),835)</f>
        <v>835</v>
      </c>
      <c r="R253" s="1">
        <f ca="1">IFERROR(__xludf.DUMMYFUNCTION("""COMPUTED_VALUE"""),1837)</f>
        <v>1837</v>
      </c>
      <c r="S253" s="1">
        <f ca="1">IFERROR(__xludf.DUMMYFUNCTION("""COMPUTED_VALUE"""),0.455)</f>
        <v>0.45500000000000002</v>
      </c>
      <c r="T253" s="1">
        <f ca="1">IFERROR(__xludf.DUMMYFUNCTION("""COMPUTED_VALUE"""),285)</f>
        <v>285</v>
      </c>
      <c r="U253" s="1">
        <f ca="1">IFERROR(__xludf.DUMMYFUNCTION("""COMPUTED_VALUE"""),742)</f>
        <v>742</v>
      </c>
      <c r="V253" s="1">
        <f ca="1">IFERROR(__xludf.DUMMYFUNCTION("""COMPUTED_VALUE"""),0.384)</f>
        <v>0.38400000000000001</v>
      </c>
      <c r="W253" s="1">
        <f ca="1">IFERROR(__xludf.DUMMYFUNCTION("""COMPUTED_VALUE"""),432)</f>
        <v>432</v>
      </c>
      <c r="X253" s="1">
        <f ca="1">IFERROR(__xludf.DUMMYFUNCTION("""COMPUTED_VALUE"""),626)</f>
        <v>626</v>
      </c>
      <c r="Y253" s="1">
        <f ca="1">IFERROR(__xludf.DUMMYFUNCTION("""COMPUTED_VALUE"""),0.69)</f>
        <v>0.69</v>
      </c>
      <c r="Z253" s="1">
        <f ca="1">IFERROR(__xludf.DUMMYFUNCTION("""COMPUTED_VALUE"""),284)</f>
        <v>284</v>
      </c>
      <c r="AA253" s="1">
        <f ca="1">IFERROR(__xludf.DUMMYFUNCTION("""COMPUTED_VALUE"""),1141)</f>
        <v>1141</v>
      </c>
      <c r="AB253" s="1">
        <f ca="1">IFERROR(__xludf.DUMMYFUNCTION("""COMPUTED_VALUE"""),415)</f>
        <v>415</v>
      </c>
      <c r="AC253" s="1">
        <f ca="1">IFERROR(__xludf.DUMMYFUNCTION("""COMPUTED_VALUE"""),182)</f>
        <v>182</v>
      </c>
      <c r="AD253" s="1">
        <f ca="1">IFERROR(__xludf.DUMMYFUNCTION("""COMPUTED_VALUE"""),88)</f>
        <v>88</v>
      </c>
      <c r="AE253" s="1">
        <f ca="1">IFERROR(__xludf.DUMMYFUNCTION("""COMPUTED_VALUE"""),388)</f>
        <v>388</v>
      </c>
      <c r="AF253" s="1">
        <f ca="1">IFERROR(__xludf.DUMMYFUNCTION("""COMPUTED_VALUE"""),550)</f>
        <v>550</v>
      </c>
    </row>
    <row r="254" spans="1:32" ht="12.5" x14ac:dyDescent="0.25">
      <c r="A254" s="1" t="str">
        <f ca="1">IFERROR(__xludf.DUMMYFUNCTION("""COMPUTED_VALUE"""),"Oklahoma StateNCAA")</f>
        <v>Oklahoma StateNCAA</v>
      </c>
      <c r="B254" s="1">
        <f ca="1">IFERROR(__xludf.DUMMYFUNCTION("""COMPUTED_VALUE"""),33)</f>
        <v>33</v>
      </c>
      <c r="C254" s="1">
        <f ca="1">IFERROR(__xludf.DUMMYFUNCTION("""COMPUTED_VALUE"""),20)</f>
        <v>20</v>
      </c>
      <c r="D254" s="1">
        <f ca="1">IFERROR(__xludf.DUMMYFUNCTION("""COMPUTED_VALUE"""),13)</f>
        <v>13</v>
      </c>
      <c r="E254" s="1">
        <f ca="1">IFERROR(__xludf.DUMMYFUNCTION("""COMPUTED_VALUE"""),0.606)</f>
        <v>0.60599999999999998</v>
      </c>
      <c r="F254" s="1">
        <f ca="1">IFERROR(__xludf.DUMMYFUNCTION("""COMPUTED_VALUE"""),19.19)</f>
        <v>19.190000000000001</v>
      </c>
      <c r="G254" s="1">
        <f ca="1">IFERROR(__xludf.DUMMYFUNCTION("""COMPUTED_VALUE"""),12.22)</f>
        <v>12.22</v>
      </c>
      <c r="H254" s="1">
        <f ca="1">IFERROR(__xludf.DUMMYFUNCTION("""COMPUTED_VALUE"""),9)</f>
        <v>9</v>
      </c>
      <c r="I254" s="1">
        <f ca="1">IFERROR(__xludf.DUMMYFUNCTION("""COMPUTED_VALUE"""),9)</f>
        <v>9</v>
      </c>
      <c r="J254" s="1">
        <f ca="1">IFERROR(__xludf.DUMMYFUNCTION("""COMPUTED_VALUE"""),11)</f>
        <v>11</v>
      </c>
      <c r="K254" s="1">
        <f ca="1">IFERROR(__xludf.DUMMYFUNCTION("""COMPUTED_VALUE"""),5)</f>
        <v>5</v>
      </c>
      <c r="L254" s="1">
        <f ca="1">IFERROR(__xludf.DUMMYFUNCTION("""COMPUTED_VALUE"""),7)</f>
        <v>7</v>
      </c>
      <c r="M254" s="1">
        <f ca="1">IFERROR(__xludf.DUMMYFUNCTION("""COMPUTED_VALUE"""),5)</f>
        <v>5</v>
      </c>
      <c r="N254" s="1">
        <f ca="1">IFERROR(__xludf.DUMMYFUNCTION("""COMPUTED_VALUE"""),2828)</f>
        <v>2828</v>
      </c>
      <c r="O254" s="1">
        <f ca="1">IFERROR(__xludf.DUMMYFUNCTION("""COMPUTED_VALUE"""),2589)</f>
        <v>2589</v>
      </c>
      <c r="P254" s="1">
        <f ca="1">IFERROR(__xludf.DUMMYFUNCTION("""COMPUTED_VALUE"""),1320)</f>
        <v>1320</v>
      </c>
      <c r="Q254" s="1">
        <f ca="1">IFERROR(__xludf.DUMMYFUNCTION("""COMPUTED_VALUE"""),957)</f>
        <v>957</v>
      </c>
      <c r="R254" s="1">
        <f ca="1">IFERROR(__xludf.DUMMYFUNCTION("""COMPUTED_VALUE"""),2050)</f>
        <v>2050</v>
      </c>
      <c r="S254" s="1">
        <f ca="1">IFERROR(__xludf.DUMMYFUNCTION("""COMPUTED_VALUE"""),0.467)</f>
        <v>0.46700000000000003</v>
      </c>
      <c r="T254" s="1">
        <f ca="1">IFERROR(__xludf.DUMMYFUNCTION("""COMPUTED_VALUE"""),294)</f>
        <v>294</v>
      </c>
      <c r="U254" s="1">
        <f ca="1">IFERROR(__xludf.DUMMYFUNCTION("""COMPUTED_VALUE"""),732)</f>
        <v>732</v>
      </c>
      <c r="V254" s="1">
        <f ca="1">IFERROR(__xludf.DUMMYFUNCTION("""COMPUTED_VALUE"""),0.402)</f>
        <v>0.40200000000000002</v>
      </c>
      <c r="W254" s="1">
        <f ca="1">IFERROR(__xludf.DUMMYFUNCTION("""COMPUTED_VALUE"""),620)</f>
        <v>620</v>
      </c>
      <c r="X254" s="1">
        <f ca="1">IFERROR(__xludf.DUMMYFUNCTION("""COMPUTED_VALUE"""),786)</f>
        <v>786</v>
      </c>
      <c r="Y254" s="1">
        <f ca="1">IFERROR(__xludf.DUMMYFUNCTION("""COMPUTED_VALUE"""),0.789)</f>
        <v>0.78900000000000003</v>
      </c>
      <c r="Z254" s="1">
        <f ca="1">IFERROR(__xludf.DUMMYFUNCTION("""COMPUTED_VALUE"""),454)</f>
        <v>454</v>
      </c>
      <c r="AA254" s="1">
        <f ca="1">IFERROR(__xludf.DUMMYFUNCTION("""COMPUTED_VALUE"""),1215)</f>
        <v>1215</v>
      </c>
      <c r="AB254" s="1">
        <f ca="1">IFERROR(__xludf.DUMMYFUNCTION("""COMPUTED_VALUE"""),486)</f>
        <v>486</v>
      </c>
      <c r="AC254" s="1">
        <f ca="1">IFERROR(__xludf.DUMMYFUNCTION("""COMPUTED_VALUE"""),252)</f>
        <v>252</v>
      </c>
      <c r="AD254" s="1">
        <f ca="1">IFERROR(__xludf.DUMMYFUNCTION("""COMPUTED_VALUE"""),99)</f>
        <v>99</v>
      </c>
      <c r="AE254" s="1">
        <f ca="1">IFERROR(__xludf.DUMMYFUNCTION("""COMPUTED_VALUE"""),432)</f>
        <v>432</v>
      </c>
      <c r="AF254" s="1">
        <f ca="1">IFERROR(__xludf.DUMMYFUNCTION("""COMPUTED_VALUE"""),730)</f>
        <v>730</v>
      </c>
    </row>
    <row r="255" spans="1:32" ht="12.5" x14ac:dyDescent="0.25">
      <c r="A255" s="1" t="str">
        <f ca="1">IFERROR(__xludf.DUMMYFUNCTION("""COMPUTED_VALUE"""),"Oklahoma")</f>
        <v>Oklahoma</v>
      </c>
      <c r="B255" s="1">
        <f ca="1">IFERROR(__xludf.DUMMYFUNCTION("""COMPUTED_VALUE"""),31)</f>
        <v>31</v>
      </c>
      <c r="C255" s="1">
        <f ca="1">IFERROR(__xludf.DUMMYFUNCTION("""COMPUTED_VALUE"""),11)</f>
        <v>11</v>
      </c>
      <c r="D255" s="1">
        <f ca="1">IFERROR(__xludf.DUMMYFUNCTION("""COMPUTED_VALUE"""),20)</f>
        <v>20</v>
      </c>
      <c r="E255" s="1">
        <f ca="1">IFERROR(__xludf.DUMMYFUNCTION("""COMPUTED_VALUE"""),0.355)</f>
        <v>0.35499999999999998</v>
      </c>
      <c r="F255" s="1">
        <f ca="1">IFERROR(__xludf.DUMMYFUNCTION("""COMPUTED_VALUE"""),11.42)</f>
        <v>11.42</v>
      </c>
      <c r="G255" s="1">
        <f ca="1">IFERROR(__xludf.DUMMYFUNCTION("""COMPUTED_VALUE"""),12.62)</f>
        <v>12.62</v>
      </c>
      <c r="H255" s="1">
        <f ca="1">IFERROR(__xludf.DUMMYFUNCTION("""COMPUTED_VALUE"""),5)</f>
        <v>5</v>
      </c>
      <c r="I255" s="1">
        <f ca="1">IFERROR(__xludf.DUMMYFUNCTION("""COMPUTED_VALUE"""),13)</f>
        <v>13</v>
      </c>
      <c r="J255" s="1">
        <f ca="1">IFERROR(__xludf.DUMMYFUNCTION("""COMPUTED_VALUE"""),8)</f>
        <v>8</v>
      </c>
      <c r="K255" s="1">
        <f ca="1">IFERROR(__xludf.DUMMYFUNCTION("""COMPUTED_VALUE"""),7)</f>
        <v>7</v>
      </c>
      <c r="L255" s="1">
        <f ca="1">IFERROR(__xludf.DUMMYFUNCTION("""COMPUTED_VALUE"""),1)</f>
        <v>1</v>
      </c>
      <c r="M255" s="1">
        <f ca="1">IFERROR(__xludf.DUMMYFUNCTION("""COMPUTED_VALUE"""),9)</f>
        <v>9</v>
      </c>
      <c r="N255" s="1">
        <f ca="1">IFERROR(__xludf.DUMMYFUNCTION("""COMPUTED_VALUE"""),2262)</f>
        <v>2262</v>
      </c>
      <c r="O255" s="1">
        <f ca="1">IFERROR(__xludf.DUMMYFUNCTION("""COMPUTED_VALUE"""),2299)</f>
        <v>2299</v>
      </c>
      <c r="P255" s="1">
        <f ca="1">IFERROR(__xludf.DUMMYFUNCTION("""COMPUTED_VALUE"""),1265)</f>
        <v>1265</v>
      </c>
      <c r="Q255" s="1">
        <f ca="1">IFERROR(__xludf.DUMMYFUNCTION("""COMPUTED_VALUE"""),788)</f>
        <v>788</v>
      </c>
      <c r="R255" s="1">
        <f ca="1">IFERROR(__xludf.DUMMYFUNCTION("""COMPUTED_VALUE"""),1863)</f>
        <v>1863</v>
      </c>
      <c r="S255" s="1">
        <f ca="1">IFERROR(__xludf.DUMMYFUNCTION("""COMPUTED_VALUE"""),0.423)</f>
        <v>0.42299999999999999</v>
      </c>
      <c r="T255" s="1">
        <f ca="1">IFERROR(__xludf.DUMMYFUNCTION("""COMPUTED_VALUE"""),192)</f>
        <v>192</v>
      </c>
      <c r="U255" s="1">
        <f ca="1">IFERROR(__xludf.DUMMYFUNCTION("""COMPUTED_VALUE"""),558)</f>
        <v>558</v>
      </c>
      <c r="V255" s="1">
        <f ca="1">IFERROR(__xludf.DUMMYFUNCTION("""COMPUTED_VALUE"""),0.344)</f>
        <v>0.34399999999999997</v>
      </c>
      <c r="W255" s="1">
        <f ca="1">IFERROR(__xludf.DUMMYFUNCTION("""COMPUTED_VALUE"""),494)</f>
        <v>494</v>
      </c>
      <c r="X255" s="1">
        <f ca="1">IFERROR(__xludf.DUMMYFUNCTION("""COMPUTED_VALUE"""),685)</f>
        <v>685</v>
      </c>
      <c r="Y255" s="1">
        <f ca="1">IFERROR(__xludf.DUMMYFUNCTION("""COMPUTED_VALUE"""),0.721)</f>
        <v>0.72099999999999997</v>
      </c>
      <c r="Z255" s="1">
        <f ca="1">IFERROR(__xludf.DUMMYFUNCTION("""COMPUTED_VALUE"""),361)</f>
        <v>361</v>
      </c>
      <c r="AA255" s="1">
        <f ca="1">IFERROR(__xludf.DUMMYFUNCTION("""COMPUTED_VALUE"""),1173)</f>
        <v>1173</v>
      </c>
      <c r="AB255" s="1">
        <f ca="1">IFERROR(__xludf.DUMMYFUNCTION("""COMPUTED_VALUE"""),328)</f>
        <v>328</v>
      </c>
      <c r="AC255" s="1">
        <f ca="1">IFERROR(__xludf.DUMMYFUNCTION("""COMPUTED_VALUE"""),213)</f>
        <v>213</v>
      </c>
      <c r="AD255" s="1">
        <f ca="1">IFERROR(__xludf.DUMMYFUNCTION("""COMPUTED_VALUE"""),147)</f>
        <v>147</v>
      </c>
      <c r="AE255" s="1">
        <f ca="1">IFERROR(__xludf.DUMMYFUNCTION("""COMPUTED_VALUE"""),428)</f>
        <v>428</v>
      </c>
      <c r="AF255" s="1">
        <f ca="1">IFERROR(__xludf.DUMMYFUNCTION("""COMPUTED_VALUE"""),602)</f>
        <v>602</v>
      </c>
    </row>
    <row r="256" spans="1:32" ht="12.5" x14ac:dyDescent="0.25">
      <c r="A256" s="1" t="str">
        <f ca="1">IFERROR(__xludf.DUMMYFUNCTION("""COMPUTED_VALUE"""),"Old Dominion")</f>
        <v>Old Dominion</v>
      </c>
      <c r="B256" s="1">
        <f ca="1">IFERROR(__xludf.DUMMYFUNCTION("""COMPUTED_VALUE"""),31)</f>
        <v>31</v>
      </c>
      <c r="C256" s="1">
        <f ca="1">IFERROR(__xludf.DUMMYFUNCTION("""COMPUTED_VALUE"""),19)</f>
        <v>19</v>
      </c>
      <c r="D256" s="1">
        <f ca="1">IFERROR(__xludf.DUMMYFUNCTION("""COMPUTED_VALUE"""),12)</f>
        <v>12</v>
      </c>
      <c r="E256" s="1">
        <f ca="1">IFERROR(__xludf.DUMMYFUNCTION("""COMPUTED_VALUE"""),0.613)</f>
        <v>0.61299999999999999</v>
      </c>
      <c r="F256" s="1">
        <f ca="1">IFERROR(__xludf.DUMMYFUNCTION("""COMPUTED_VALUE"""),1.94)</f>
        <v>1.94</v>
      </c>
      <c r="G256" s="1">
        <f ca="1">IFERROR(__xludf.DUMMYFUNCTION("""COMPUTED_VALUE"""),-1.35)</f>
        <v>-1.35</v>
      </c>
      <c r="H256" s="1">
        <f ca="1">IFERROR(__xludf.DUMMYFUNCTION("""COMPUTED_VALUE"""),12)</f>
        <v>12</v>
      </c>
      <c r="I256" s="1">
        <f ca="1">IFERROR(__xludf.DUMMYFUNCTION("""COMPUTED_VALUE"""),6)</f>
        <v>6</v>
      </c>
      <c r="J256" s="1">
        <f ca="1">IFERROR(__xludf.DUMMYFUNCTION("""COMPUTED_VALUE"""),11)</f>
        <v>11</v>
      </c>
      <c r="K256" s="1">
        <f ca="1">IFERROR(__xludf.DUMMYFUNCTION("""COMPUTED_VALUE"""),4)</f>
        <v>4</v>
      </c>
      <c r="L256" s="1">
        <f ca="1">IFERROR(__xludf.DUMMYFUNCTION("""COMPUTED_VALUE"""),7)</f>
        <v>7</v>
      </c>
      <c r="M256" s="1">
        <f ca="1">IFERROR(__xludf.DUMMYFUNCTION("""COMPUTED_VALUE"""),5)</f>
        <v>5</v>
      </c>
      <c r="N256" s="1">
        <f ca="1">IFERROR(__xludf.DUMMYFUNCTION("""COMPUTED_VALUE"""),1998)</f>
        <v>1998</v>
      </c>
      <c r="O256" s="1">
        <f ca="1">IFERROR(__xludf.DUMMYFUNCTION("""COMPUTED_VALUE"""),1896)</f>
        <v>1896</v>
      </c>
      <c r="P256" s="1">
        <f ca="1">IFERROR(__xludf.DUMMYFUNCTION("""COMPUTED_VALUE"""),1250)</f>
        <v>1250</v>
      </c>
      <c r="Q256" s="1">
        <f ca="1">IFERROR(__xludf.DUMMYFUNCTION("""COMPUTED_VALUE"""),727)</f>
        <v>727</v>
      </c>
      <c r="R256" s="1">
        <f ca="1">IFERROR(__xludf.DUMMYFUNCTION("""COMPUTED_VALUE"""),1765)</f>
        <v>1765</v>
      </c>
      <c r="S256" s="1">
        <f ca="1">IFERROR(__xludf.DUMMYFUNCTION("""COMPUTED_VALUE"""),0.412)</f>
        <v>0.41199999999999998</v>
      </c>
      <c r="T256" s="1">
        <f ca="1">IFERROR(__xludf.DUMMYFUNCTION("""COMPUTED_VALUE"""),157)</f>
        <v>157</v>
      </c>
      <c r="U256" s="1">
        <f ca="1">IFERROR(__xludf.DUMMYFUNCTION("""COMPUTED_VALUE"""),485)</f>
        <v>485</v>
      </c>
      <c r="V256" s="1">
        <f ca="1">IFERROR(__xludf.DUMMYFUNCTION("""COMPUTED_VALUE"""),0.324)</f>
        <v>0.32400000000000001</v>
      </c>
      <c r="W256" s="1">
        <f ca="1">IFERROR(__xludf.DUMMYFUNCTION("""COMPUTED_VALUE"""),387)</f>
        <v>387</v>
      </c>
      <c r="X256" s="1">
        <f ca="1">IFERROR(__xludf.DUMMYFUNCTION("""COMPUTED_VALUE"""),602)</f>
        <v>602</v>
      </c>
      <c r="Y256" s="1">
        <f ca="1">IFERROR(__xludf.DUMMYFUNCTION("""COMPUTED_VALUE"""),0.643)</f>
        <v>0.64300000000000002</v>
      </c>
      <c r="Z256" s="1">
        <f ca="1">IFERROR(__xludf.DUMMYFUNCTION("""COMPUTED_VALUE"""),412)</f>
        <v>412</v>
      </c>
      <c r="AA256" s="1">
        <f ca="1">IFERROR(__xludf.DUMMYFUNCTION("""COMPUTED_VALUE"""),1190)</f>
        <v>1190</v>
      </c>
      <c r="AB256" s="1">
        <f ca="1">IFERROR(__xludf.DUMMYFUNCTION("""COMPUTED_VALUE"""),422)</f>
        <v>422</v>
      </c>
      <c r="AC256" s="1">
        <f ca="1">IFERROR(__xludf.DUMMYFUNCTION("""COMPUTED_VALUE"""),196)</f>
        <v>196</v>
      </c>
      <c r="AD256" s="1">
        <f ca="1">IFERROR(__xludf.DUMMYFUNCTION("""COMPUTED_VALUE"""),142)</f>
        <v>142</v>
      </c>
      <c r="AE256" s="1">
        <f ca="1">IFERROR(__xludf.DUMMYFUNCTION("""COMPUTED_VALUE"""),348)</f>
        <v>348</v>
      </c>
      <c r="AF256" s="1">
        <f ca="1">IFERROR(__xludf.DUMMYFUNCTION("""COMPUTED_VALUE"""),566)</f>
        <v>566</v>
      </c>
    </row>
    <row r="257" spans="1:32" ht="12.5" x14ac:dyDescent="0.25">
      <c r="A257" s="1" t="str">
        <f ca="1">IFERROR(__xludf.DUMMYFUNCTION("""COMPUTED_VALUE"""),"Oral Roberts")</f>
        <v>Oral Roberts</v>
      </c>
      <c r="B257" s="1">
        <f ca="1">IFERROR(__xludf.DUMMYFUNCTION("""COMPUTED_VALUE"""),30)</f>
        <v>30</v>
      </c>
      <c r="C257" s="1">
        <f ca="1">IFERROR(__xludf.DUMMYFUNCTION("""COMPUTED_VALUE"""),8)</f>
        <v>8</v>
      </c>
      <c r="D257" s="1">
        <f ca="1">IFERROR(__xludf.DUMMYFUNCTION("""COMPUTED_VALUE"""),22)</f>
        <v>22</v>
      </c>
      <c r="E257" s="1">
        <f ca="1">IFERROR(__xludf.DUMMYFUNCTION("""COMPUTED_VALUE"""),0.267)</f>
        <v>0.26700000000000002</v>
      </c>
      <c r="F257" s="1">
        <f ca="1">IFERROR(__xludf.DUMMYFUNCTION("""COMPUTED_VALUE"""),-5.51)</f>
        <v>-5.51</v>
      </c>
      <c r="G257" s="1">
        <f ca="1">IFERROR(__xludf.DUMMYFUNCTION("""COMPUTED_VALUE"""),1.24)</f>
        <v>1.24</v>
      </c>
      <c r="H257" s="1">
        <f ca="1">IFERROR(__xludf.DUMMYFUNCTION("""COMPUTED_VALUE"""),4)</f>
        <v>4</v>
      </c>
      <c r="I257" s="1">
        <f ca="1">IFERROR(__xludf.DUMMYFUNCTION("""COMPUTED_VALUE"""),12)</f>
        <v>12</v>
      </c>
      <c r="J257" s="1">
        <f ca="1">IFERROR(__xludf.DUMMYFUNCTION("""COMPUTED_VALUE"""),7)</f>
        <v>7</v>
      </c>
      <c r="K257" s="1">
        <f ca="1">IFERROR(__xludf.DUMMYFUNCTION("""COMPUTED_VALUE"""),6)</f>
        <v>6</v>
      </c>
      <c r="L257" s="1">
        <f ca="1">IFERROR(__xludf.DUMMYFUNCTION("""COMPUTED_VALUE"""),1)</f>
        <v>1</v>
      </c>
      <c r="M257" s="1">
        <f ca="1">IFERROR(__xludf.DUMMYFUNCTION("""COMPUTED_VALUE"""),13)</f>
        <v>13</v>
      </c>
      <c r="N257" s="1">
        <f ca="1">IFERROR(__xludf.DUMMYFUNCTION("""COMPUTED_VALUE"""),2252)</f>
        <v>2252</v>
      </c>
      <c r="O257" s="1">
        <f ca="1">IFERROR(__xludf.DUMMYFUNCTION("""COMPUTED_VALUE"""),2398)</f>
        <v>2398</v>
      </c>
      <c r="P257" s="1">
        <f ca="1">IFERROR(__xludf.DUMMYFUNCTION("""COMPUTED_VALUE"""),1210)</f>
        <v>1210</v>
      </c>
      <c r="Q257" s="1">
        <f ca="1">IFERROR(__xludf.DUMMYFUNCTION("""COMPUTED_VALUE"""),810)</f>
        <v>810</v>
      </c>
      <c r="R257" s="1">
        <f ca="1">IFERROR(__xludf.DUMMYFUNCTION("""COMPUTED_VALUE"""),1819)</f>
        <v>1819</v>
      </c>
      <c r="S257" s="1">
        <f ca="1">IFERROR(__xludf.DUMMYFUNCTION("""COMPUTED_VALUE"""),0.445)</f>
        <v>0.44500000000000001</v>
      </c>
      <c r="T257" s="1">
        <f ca="1">IFERROR(__xludf.DUMMYFUNCTION("""COMPUTED_VALUE"""),216)</f>
        <v>216</v>
      </c>
      <c r="U257" s="1">
        <f ca="1">IFERROR(__xludf.DUMMYFUNCTION("""COMPUTED_VALUE"""),588)</f>
        <v>588</v>
      </c>
      <c r="V257" s="1">
        <f ca="1">IFERROR(__xludf.DUMMYFUNCTION("""COMPUTED_VALUE"""),0.367)</f>
        <v>0.36699999999999999</v>
      </c>
      <c r="W257" s="1">
        <f ca="1">IFERROR(__xludf.DUMMYFUNCTION("""COMPUTED_VALUE"""),416)</f>
        <v>416</v>
      </c>
      <c r="X257" s="1">
        <f ca="1">IFERROR(__xludf.DUMMYFUNCTION("""COMPUTED_VALUE"""),548)</f>
        <v>548</v>
      </c>
      <c r="Y257" s="1">
        <f ca="1">IFERROR(__xludf.DUMMYFUNCTION("""COMPUTED_VALUE"""),0.759)</f>
        <v>0.75900000000000001</v>
      </c>
      <c r="Z257" s="1">
        <f ca="1">IFERROR(__xludf.DUMMYFUNCTION("""COMPUTED_VALUE"""),278)</f>
        <v>278</v>
      </c>
      <c r="AA257" s="1">
        <f ca="1">IFERROR(__xludf.DUMMYFUNCTION("""COMPUTED_VALUE"""),1034)</f>
        <v>1034</v>
      </c>
      <c r="AB257" s="1">
        <f ca="1">IFERROR(__xludf.DUMMYFUNCTION("""COMPUTED_VALUE"""),423)</f>
        <v>423</v>
      </c>
      <c r="AC257" s="1">
        <f ca="1">IFERROR(__xludf.DUMMYFUNCTION("""COMPUTED_VALUE"""),162)</f>
        <v>162</v>
      </c>
      <c r="AD257" s="1">
        <f ca="1">IFERROR(__xludf.DUMMYFUNCTION("""COMPUTED_VALUE"""),88)</f>
        <v>88</v>
      </c>
      <c r="AE257" s="1">
        <f ca="1">IFERROR(__xludf.DUMMYFUNCTION("""COMPUTED_VALUE"""),360)</f>
        <v>360</v>
      </c>
      <c r="AF257" s="1">
        <f ca="1">IFERROR(__xludf.DUMMYFUNCTION("""COMPUTED_VALUE"""),534)</f>
        <v>534</v>
      </c>
    </row>
    <row r="258" spans="1:32" ht="12.5" x14ac:dyDescent="0.25">
      <c r="A258" s="1" t="str">
        <f ca="1">IFERROR(__xludf.DUMMYFUNCTION("""COMPUTED_VALUE"""),"Oregon State")</f>
        <v>Oregon State</v>
      </c>
      <c r="B258" s="1">
        <f ca="1">IFERROR(__xludf.DUMMYFUNCTION("""COMPUTED_VALUE"""),32)</f>
        <v>32</v>
      </c>
      <c r="C258" s="1">
        <f ca="1">IFERROR(__xludf.DUMMYFUNCTION("""COMPUTED_VALUE"""),5)</f>
        <v>5</v>
      </c>
      <c r="D258" s="1">
        <f ca="1">IFERROR(__xludf.DUMMYFUNCTION("""COMPUTED_VALUE"""),27)</f>
        <v>27</v>
      </c>
      <c r="E258" s="1">
        <f ca="1">IFERROR(__xludf.DUMMYFUNCTION("""COMPUTED_VALUE"""),0.156)</f>
        <v>0.156</v>
      </c>
      <c r="F258" s="1">
        <f ca="1">IFERROR(__xludf.DUMMYFUNCTION("""COMPUTED_VALUE"""),-4.59)</f>
        <v>-4.59</v>
      </c>
      <c r="G258" s="1">
        <f ca="1">IFERROR(__xludf.DUMMYFUNCTION("""COMPUTED_VALUE"""),5.89)</f>
        <v>5.89</v>
      </c>
      <c r="H258" s="1">
        <f ca="1">IFERROR(__xludf.DUMMYFUNCTION("""COMPUTED_VALUE"""),1)</f>
        <v>1</v>
      </c>
      <c r="I258" s="1">
        <f ca="1">IFERROR(__xludf.DUMMYFUNCTION("""COMPUTED_VALUE"""),17)</f>
        <v>17</v>
      </c>
      <c r="J258" s="1">
        <f ca="1">IFERROR(__xludf.DUMMYFUNCTION("""COMPUTED_VALUE"""),5)</f>
        <v>5</v>
      </c>
      <c r="K258" s="1">
        <f ca="1">IFERROR(__xludf.DUMMYFUNCTION("""COMPUTED_VALUE"""),11)</f>
        <v>11</v>
      </c>
      <c r="L258" s="1">
        <f ca="1">IFERROR(__xludf.DUMMYFUNCTION("""COMPUTED_VALUE"""),0)</f>
        <v>0</v>
      </c>
      <c r="M258" s="1">
        <f ca="1">IFERROR(__xludf.DUMMYFUNCTION("""COMPUTED_VALUE"""),13)</f>
        <v>13</v>
      </c>
      <c r="N258" s="1">
        <f ca="1">IFERROR(__xludf.DUMMYFUNCTION("""COMPUTED_VALUE"""),2021)</f>
        <v>2021</v>
      </c>
      <c r="O258" s="1">
        <f ca="1">IFERROR(__xludf.DUMMYFUNCTION("""COMPUTED_VALUE"""),2321)</f>
        <v>2321</v>
      </c>
      <c r="P258" s="1">
        <f ca="1">IFERROR(__xludf.DUMMYFUNCTION("""COMPUTED_VALUE"""),1285)</f>
        <v>1285</v>
      </c>
      <c r="Q258" s="1">
        <f ca="1">IFERROR(__xludf.DUMMYFUNCTION("""COMPUTED_VALUE"""),721)</f>
        <v>721</v>
      </c>
      <c r="R258" s="1">
        <f ca="1">IFERROR(__xludf.DUMMYFUNCTION("""COMPUTED_VALUE"""),1686)</f>
        <v>1686</v>
      </c>
      <c r="S258" s="1">
        <f ca="1">IFERROR(__xludf.DUMMYFUNCTION("""COMPUTED_VALUE"""),0.428)</f>
        <v>0.42799999999999999</v>
      </c>
      <c r="T258" s="1">
        <f ca="1">IFERROR(__xludf.DUMMYFUNCTION("""COMPUTED_VALUE"""),203)</f>
        <v>203</v>
      </c>
      <c r="U258" s="1">
        <f ca="1">IFERROR(__xludf.DUMMYFUNCTION("""COMPUTED_VALUE"""),586)</f>
        <v>586</v>
      </c>
      <c r="V258" s="1">
        <f ca="1">IFERROR(__xludf.DUMMYFUNCTION("""COMPUTED_VALUE"""),0.346)</f>
        <v>0.34599999999999997</v>
      </c>
      <c r="W258" s="1">
        <f ca="1">IFERROR(__xludf.DUMMYFUNCTION("""COMPUTED_VALUE"""),376)</f>
        <v>376</v>
      </c>
      <c r="X258" s="1">
        <f ca="1">IFERROR(__xludf.DUMMYFUNCTION("""COMPUTED_VALUE"""),569)</f>
        <v>569</v>
      </c>
      <c r="Y258" s="1">
        <f ca="1">IFERROR(__xludf.DUMMYFUNCTION("""COMPUTED_VALUE"""),0.661)</f>
        <v>0.66100000000000003</v>
      </c>
      <c r="Z258" s="1">
        <f ca="1">IFERROR(__xludf.DUMMYFUNCTION("""COMPUTED_VALUE"""),290)</f>
        <v>290</v>
      </c>
      <c r="AA258" s="1">
        <f ca="1">IFERROR(__xludf.DUMMYFUNCTION("""COMPUTED_VALUE"""),1038)</f>
        <v>1038</v>
      </c>
      <c r="AB258" s="1">
        <f ca="1">IFERROR(__xludf.DUMMYFUNCTION("""COMPUTED_VALUE"""),380)</f>
        <v>380</v>
      </c>
      <c r="AC258" s="1">
        <f ca="1">IFERROR(__xludf.DUMMYFUNCTION("""COMPUTED_VALUE"""),177)</f>
        <v>177</v>
      </c>
      <c r="AD258" s="1">
        <f ca="1">IFERROR(__xludf.DUMMYFUNCTION("""COMPUTED_VALUE"""),118)</f>
        <v>118</v>
      </c>
      <c r="AE258" s="1">
        <f ca="1">IFERROR(__xludf.DUMMYFUNCTION("""COMPUTED_VALUE"""),491)</f>
        <v>491</v>
      </c>
      <c r="AF258" s="1">
        <f ca="1">IFERROR(__xludf.DUMMYFUNCTION("""COMPUTED_VALUE"""),611)</f>
        <v>611</v>
      </c>
    </row>
    <row r="259" spans="1:32" ht="12.5" x14ac:dyDescent="0.25">
      <c r="A259" s="1" t="str">
        <f ca="1">IFERROR(__xludf.DUMMYFUNCTION("""COMPUTED_VALUE"""),"OregonNCAA")</f>
        <v>OregonNCAA</v>
      </c>
      <c r="B259" s="1">
        <f ca="1">IFERROR(__xludf.DUMMYFUNCTION("""COMPUTED_VALUE"""),39)</f>
        <v>39</v>
      </c>
      <c r="C259" s="1">
        <f ca="1">IFERROR(__xludf.DUMMYFUNCTION("""COMPUTED_VALUE"""),33)</f>
        <v>33</v>
      </c>
      <c r="D259" s="1">
        <f ca="1">IFERROR(__xludf.DUMMYFUNCTION("""COMPUTED_VALUE"""),6)</f>
        <v>6</v>
      </c>
      <c r="E259" s="1">
        <f ca="1">IFERROR(__xludf.DUMMYFUNCTION("""COMPUTED_VALUE"""),0.846)</f>
        <v>0.84599999999999997</v>
      </c>
      <c r="F259" s="1">
        <f ca="1">IFERROR(__xludf.DUMMYFUNCTION("""COMPUTED_VALUE"""),20.8)</f>
        <v>20.8</v>
      </c>
      <c r="G259" s="1">
        <f ca="1">IFERROR(__xludf.DUMMYFUNCTION("""COMPUTED_VALUE"""),8.38)</f>
        <v>8.3800000000000008</v>
      </c>
      <c r="H259" s="1">
        <f ca="1">IFERROR(__xludf.DUMMYFUNCTION("""COMPUTED_VALUE"""),16)</f>
        <v>16</v>
      </c>
      <c r="I259" s="1">
        <f ca="1">IFERROR(__xludf.DUMMYFUNCTION("""COMPUTED_VALUE"""),2)</f>
        <v>2</v>
      </c>
      <c r="J259" s="1">
        <f ca="1">IFERROR(__xludf.DUMMYFUNCTION("""COMPUTED_VALUE"""),17)</f>
        <v>17</v>
      </c>
      <c r="K259" s="1">
        <f ca="1">IFERROR(__xludf.DUMMYFUNCTION("""COMPUTED_VALUE"""),0)</f>
        <v>0</v>
      </c>
      <c r="L259" s="1">
        <f ca="1">IFERROR(__xludf.DUMMYFUNCTION("""COMPUTED_VALUE"""),7)</f>
        <v>7</v>
      </c>
      <c r="M259" s="1">
        <f ca="1">IFERROR(__xludf.DUMMYFUNCTION("""COMPUTED_VALUE"""),3)</f>
        <v>3</v>
      </c>
      <c r="N259" s="1">
        <f ca="1">IFERROR(__xludf.DUMMYFUNCTION("""COMPUTED_VALUE"""),3076)</f>
        <v>3076</v>
      </c>
      <c r="O259" s="1">
        <f ca="1">IFERROR(__xludf.DUMMYFUNCTION("""COMPUTED_VALUE"""),2565)</f>
        <v>2565</v>
      </c>
      <c r="P259" s="1">
        <f ca="1">IFERROR(__xludf.DUMMYFUNCTION("""COMPUTED_VALUE"""),1565)</f>
        <v>1565</v>
      </c>
      <c r="Q259" s="1">
        <f ca="1">IFERROR(__xludf.DUMMYFUNCTION("""COMPUTED_VALUE"""),1091)</f>
        <v>1091</v>
      </c>
      <c r="R259" s="1">
        <f ca="1">IFERROR(__xludf.DUMMYFUNCTION("""COMPUTED_VALUE"""),2270)</f>
        <v>2270</v>
      </c>
      <c r="S259" s="1">
        <f ca="1">IFERROR(__xludf.DUMMYFUNCTION("""COMPUTED_VALUE"""),0.481)</f>
        <v>0.48099999999999998</v>
      </c>
      <c r="T259" s="1">
        <f ca="1">IFERROR(__xludf.DUMMYFUNCTION("""COMPUTED_VALUE"""),334)</f>
        <v>334</v>
      </c>
      <c r="U259" s="1">
        <f ca="1">IFERROR(__xludf.DUMMYFUNCTION("""COMPUTED_VALUE"""),880)</f>
        <v>880</v>
      </c>
      <c r="V259" s="1">
        <f ca="1">IFERROR(__xludf.DUMMYFUNCTION("""COMPUTED_VALUE"""),0.38)</f>
        <v>0.38</v>
      </c>
      <c r="W259" s="1">
        <f ca="1">IFERROR(__xludf.DUMMYFUNCTION("""COMPUTED_VALUE"""),560)</f>
        <v>560</v>
      </c>
      <c r="X259" s="1">
        <f ca="1">IFERROR(__xludf.DUMMYFUNCTION("""COMPUTED_VALUE"""),787)</f>
        <v>787</v>
      </c>
      <c r="Y259" s="1">
        <f ca="1">IFERROR(__xludf.DUMMYFUNCTION("""COMPUTED_VALUE"""),0.712)</f>
        <v>0.71199999999999997</v>
      </c>
      <c r="Z259" s="1">
        <f ca="1">IFERROR(__xludf.DUMMYFUNCTION("""COMPUTED_VALUE"""),412)</f>
        <v>412</v>
      </c>
      <c r="AA259" s="1">
        <f ca="1">IFERROR(__xludf.DUMMYFUNCTION("""COMPUTED_VALUE"""),1431)</f>
        <v>1431</v>
      </c>
      <c r="AB259" s="1">
        <f ca="1">IFERROR(__xludf.DUMMYFUNCTION("""COMPUTED_VALUE"""),614)</f>
        <v>614</v>
      </c>
      <c r="AC259" s="1">
        <f ca="1">IFERROR(__xludf.DUMMYFUNCTION("""COMPUTED_VALUE"""),253)</f>
        <v>253</v>
      </c>
      <c r="AD259" s="1">
        <f ca="1">IFERROR(__xludf.DUMMYFUNCTION("""COMPUTED_VALUE"""),248)</f>
        <v>248</v>
      </c>
      <c r="AE259" s="1">
        <f ca="1">IFERROR(__xludf.DUMMYFUNCTION("""COMPUTED_VALUE"""),454)</f>
        <v>454</v>
      </c>
      <c r="AF259" s="1">
        <f ca="1">IFERROR(__xludf.DUMMYFUNCTION("""COMPUTED_VALUE"""),614)</f>
        <v>614</v>
      </c>
    </row>
    <row r="260" spans="1:32" ht="12.5" x14ac:dyDescent="0.25">
      <c r="A260" s="1" t="str">
        <f ca="1">IFERROR(__xludf.DUMMYFUNCTION("""COMPUTED_VALUE"""),"Pacific")</f>
        <v>Pacific</v>
      </c>
      <c r="B260" s="1">
        <f ca="1">IFERROR(__xludf.DUMMYFUNCTION("""COMPUTED_VALUE"""),33)</f>
        <v>33</v>
      </c>
      <c r="C260" s="1">
        <f ca="1">IFERROR(__xludf.DUMMYFUNCTION("""COMPUTED_VALUE"""),11)</f>
        <v>11</v>
      </c>
      <c r="D260" s="1">
        <f ca="1">IFERROR(__xludf.DUMMYFUNCTION("""COMPUTED_VALUE"""),22)</f>
        <v>22</v>
      </c>
      <c r="E260" s="1">
        <f ca="1">IFERROR(__xludf.DUMMYFUNCTION("""COMPUTED_VALUE"""),0.333)</f>
        <v>0.33300000000000002</v>
      </c>
      <c r="F260" s="1">
        <f ca="1">IFERROR(__xludf.DUMMYFUNCTION("""COMPUTED_VALUE"""),-4.57)</f>
        <v>-4.57</v>
      </c>
      <c r="G260" s="1">
        <f ca="1">IFERROR(__xludf.DUMMYFUNCTION("""COMPUTED_VALUE"""),2.09)</f>
        <v>2.09</v>
      </c>
      <c r="H260" s="1">
        <f ca="1">IFERROR(__xludf.DUMMYFUNCTION("""COMPUTED_VALUE"""),4)</f>
        <v>4</v>
      </c>
      <c r="I260" s="1">
        <f ca="1">IFERROR(__xludf.DUMMYFUNCTION("""COMPUTED_VALUE"""),14)</f>
        <v>14</v>
      </c>
      <c r="J260" s="1">
        <f ca="1">IFERROR(__xludf.DUMMYFUNCTION("""COMPUTED_VALUE"""),8)</f>
        <v>8</v>
      </c>
      <c r="K260" s="1">
        <f ca="1">IFERROR(__xludf.DUMMYFUNCTION("""COMPUTED_VALUE"""),8)</f>
        <v>8</v>
      </c>
      <c r="L260" s="1">
        <f ca="1">IFERROR(__xludf.DUMMYFUNCTION("""COMPUTED_VALUE"""),2)</f>
        <v>2</v>
      </c>
      <c r="M260" s="1">
        <f ca="1">IFERROR(__xludf.DUMMYFUNCTION("""COMPUTED_VALUE"""),12)</f>
        <v>12</v>
      </c>
      <c r="N260" s="1">
        <f ca="1">IFERROR(__xludf.DUMMYFUNCTION("""COMPUTED_VALUE"""),2206)</f>
        <v>2206</v>
      </c>
      <c r="O260" s="1">
        <f ca="1">IFERROR(__xludf.DUMMYFUNCTION("""COMPUTED_VALUE"""),2371)</f>
        <v>2371</v>
      </c>
      <c r="P260" s="1">
        <f ca="1">IFERROR(__xludf.DUMMYFUNCTION("""COMPUTED_VALUE"""),1325)</f>
        <v>1325</v>
      </c>
      <c r="Q260" s="1">
        <f ca="1">IFERROR(__xludf.DUMMYFUNCTION("""COMPUTED_VALUE"""),784)</f>
        <v>784</v>
      </c>
      <c r="R260" s="1">
        <f ca="1">IFERROR(__xludf.DUMMYFUNCTION("""COMPUTED_VALUE"""),1939)</f>
        <v>1939</v>
      </c>
      <c r="S260" s="1">
        <f ca="1">IFERROR(__xludf.DUMMYFUNCTION("""COMPUTED_VALUE"""),0.404)</f>
        <v>0.40400000000000003</v>
      </c>
      <c r="T260" s="1">
        <f ca="1">IFERROR(__xludf.DUMMYFUNCTION("""COMPUTED_VALUE"""),185)</f>
        <v>185</v>
      </c>
      <c r="U260" s="1">
        <f ca="1">IFERROR(__xludf.DUMMYFUNCTION("""COMPUTED_VALUE"""),560)</f>
        <v>560</v>
      </c>
      <c r="V260" s="1">
        <f ca="1">IFERROR(__xludf.DUMMYFUNCTION("""COMPUTED_VALUE"""),0.33)</f>
        <v>0.33</v>
      </c>
      <c r="W260" s="1">
        <f ca="1">IFERROR(__xludf.DUMMYFUNCTION("""COMPUTED_VALUE"""),453)</f>
        <v>453</v>
      </c>
      <c r="X260" s="1">
        <f ca="1">IFERROR(__xludf.DUMMYFUNCTION("""COMPUTED_VALUE"""),671)</f>
        <v>671</v>
      </c>
      <c r="Y260" s="1">
        <f ca="1">IFERROR(__xludf.DUMMYFUNCTION("""COMPUTED_VALUE"""),0.675)</f>
        <v>0.67500000000000004</v>
      </c>
      <c r="Z260" s="1">
        <f ca="1">IFERROR(__xludf.DUMMYFUNCTION("""COMPUTED_VALUE"""),385)</f>
        <v>385</v>
      </c>
      <c r="AA260" s="1">
        <f ca="1">IFERROR(__xludf.DUMMYFUNCTION("""COMPUTED_VALUE"""),1225)</f>
        <v>1225</v>
      </c>
      <c r="AB260" s="1">
        <f ca="1">IFERROR(__xludf.DUMMYFUNCTION("""COMPUTED_VALUE"""),396)</f>
        <v>396</v>
      </c>
      <c r="AC260" s="1">
        <f ca="1">IFERROR(__xludf.DUMMYFUNCTION("""COMPUTED_VALUE"""),140)</f>
        <v>140</v>
      </c>
      <c r="AD260" s="1">
        <f ca="1">IFERROR(__xludf.DUMMYFUNCTION("""COMPUTED_VALUE"""),63)</f>
        <v>63</v>
      </c>
      <c r="AE260" s="1">
        <f ca="1">IFERROR(__xludf.DUMMYFUNCTION("""COMPUTED_VALUE"""),386)</f>
        <v>386</v>
      </c>
      <c r="AF260" s="1">
        <f ca="1">IFERROR(__xludf.DUMMYFUNCTION("""COMPUTED_VALUE"""),690)</f>
        <v>690</v>
      </c>
    </row>
    <row r="261" spans="1:32" ht="12.5" x14ac:dyDescent="0.25">
      <c r="A261" s="1" t="str">
        <f ca="1">IFERROR(__xludf.DUMMYFUNCTION("""COMPUTED_VALUE"""),"Penn State")</f>
        <v>Penn State</v>
      </c>
      <c r="B261" s="1">
        <f ca="1">IFERROR(__xludf.DUMMYFUNCTION("""COMPUTED_VALUE"""),33)</f>
        <v>33</v>
      </c>
      <c r="C261" s="1">
        <f ca="1">IFERROR(__xludf.DUMMYFUNCTION("""COMPUTED_VALUE"""),15)</f>
        <v>15</v>
      </c>
      <c r="D261" s="1">
        <f ca="1">IFERROR(__xludf.DUMMYFUNCTION("""COMPUTED_VALUE"""),18)</f>
        <v>18</v>
      </c>
      <c r="E261" s="1">
        <f ca="1">IFERROR(__xludf.DUMMYFUNCTION("""COMPUTED_VALUE"""),0.455)</f>
        <v>0.45500000000000002</v>
      </c>
      <c r="F261" s="1">
        <f ca="1">IFERROR(__xludf.DUMMYFUNCTION("""COMPUTED_VALUE"""),7.9)</f>
        <v>7.9</v>
      </c>
      <c r="G261" s="1">
        <f ca="1">IFERROR(__xludf.DUMMYFUNCTION("""COMPUTED_VALUE"""),8.9)</f>
        <v>8.9</v>
      </c>
      <c r="H261" s="1">
        <f ca="1">IFERROR(__xludf.DUMMYFUNCTION("""COMPUTED_VALUE"""),6)</f>
        <v>6</v>
      </c>
      <c r="I261" s="1">
        <f ca="1">IFERROR(__xludf.DUMMYFUNCTION("""COMPUTED_VALUE"""),12)</f>
        <v>12</v>
      </c>
      <c r="J261" s="1">
        <f ca="1">IFERROR(__xludf.DUMMYFUNCTION("""COMPUTED_VALUE"""),9)</f>
        <v>9</v>
      </c>
      <c r="K261" s="1">
        <f ca="1">IFERROR(__xludf.DUMMYFUNCTION("""COMPUTED_VALUE"""),7)</f>
        <v>7</v>
      </c>
      <c r="L261" s="1">
        <f ca="1">IFERROR(__xludf.DUMMYFUNCTION("""COMPUTED_VALUE"""),3)</f>
        <v>3</v>
      </c>
      <c r="M261" s="1">
        <f ca="1">IFERROR(__xludf.DUMMYFUNCTION("""COMPUTED_VALUE"""),7)</f>
        <v>7</v>
      </c>
      <c r="N261" s="1">
        <f ca="1">IFERROR(__xludf.DUMMYFUNCTION("""COMPUTED_VALUE"""),2367)</f>
        <v>2367</v>
      </c>
      <c r="O261" s="1">
        <f ca="1">IFERROR(__xludf.DUMMYFUNCTION("""COMPUTED_VALUE"""),2400)</f>
        <v>2400</v>
      </c>
      <c r="P261" s="1">
        <f ca="1">IFERROR(__xludf.DUMMYFUNCTION("""COMPUTED_VALUE"""),1345)</f>
        <v>1345</v>
      </c>
      <c r="Q261" s="1">
        <f ca="1">IFERROR(__xludf.DUMMYFUNCTION("""COMPUTED_VALUE"""),825)</f>
        <v>825</v>
      </c>
      <c r="R261" s="1">
        <f ca="1">IFERROR(__xludf.DUMMYFUNCTION("""COMPUTED_VALUE"""),1989)</f>
        <v>1989</v>
      </c>
      <c r="S261" s="1">
        <f ca="1">IFERROR(__xludf.DUMMYFUNCTION("""COMPUTED_VALUE"""),0.415)</f>
        <v>0.41499999999999998</v>
      </c>
      <c r="T261" s="1">
        <f ca="1">IFERROR(__xludf.DUMMYFUNCTION("""COMPUTED_VALUE"""),230)</f>
        <v>230</v>
      </c>
      <c r="U261" s="1">
        <f ca="1">IFERROR(__xludf.DUMMYFUNCTION("""COMPUTED_VALUE"""),679)</f>
        <v>679</v>
      </c>
      <c r="V261" s="1">
        <f ca="1">IFERROR(__xludf.DUMMYFUNCTION("""COMPUTED_VALUE"""),0.339)</f>
        <v>0.33900000000000002</v>
      </c>
      <c r="W261" s="1">
        <f ca="1">IFERROR(__xludf.DUMMYFUNCTION("""COMPUTED_VALUE"""),487)</f>
        <v>487</v>
      </c>
      <c r="X261" s="1">
        <f ca="1">IFERROR(__xludf.DUMMYFUNCTION("""COMPUTED_VALUE"""),654)</f>
        <v>654</v>
      </c>
      <c r="Y261" s="1">
        <f ca="1">IFERROR(__xludf.DUMMYFUNCTION("""COMPUTED_VALUE"""),0.745)</f>
        <v>0.745</v>
      </c>
      <c r="Z261" s="1">
        <f ca="1">IFERROR(__xludf.DUMMYFUNCTION("""COMPUTED_VALUE"""),330)</f>
        <v>330</v>
      </c>
      <c r="AA261" s="1">
        <f ca="1">IFERROR(__xludf.DUMMYFUNCTION("""COMPUTED_VALUE"""),1166)</f>
        <v>1166</v>
      </c>
      <c r="AB261" s="1">
        <f ca="1">IFERROR(__xludf.DUMMYFUNCTION("""COMPUTED_VALUE"""),449)</f>
        <v>449</v>
      </c>
      <c r="AC261" s="1">
        <f ca="1">IFERROR(__xludf.DUMMYFUNCTION("""COMPUTED_VALUE"""),224)</f>
        <v>224</v>
      </c>
      <c r="AD261" s="1">
        <f ca="1">IFERROR(__xludf.DUMMYFUNCTION("""COMPUTED_VALUE"""),184)</f>
        <v>184</v>
      </c>
      <c r="AE261" s="1">
        <f ca="1">IFERROR(__xludf.DUMMYFUNCTION("""COMPUTED_VALUE"""),430)</f>
        <v>430</v>
      </c>
      <c r="AF261" s="1">
        <f ca="1">IFERROR(__xludf.DUMMYFUNCTION("""COMPUTED_VALUE"""),596)</f>
        <v>596</v>
      </c>
    </row>
    <row r="262" spans="1:32" ht="12.5" x14ac:dyDescent="0.25">
      <c r="A262" s="1" t="str">
        <f ca="1">IFERROR(__xludf.DUMMYFUNCTION("""COMPUTED_VALUE"""),"Pennsylvania")</f>
        <v>Pennsylvania</v>
      </c>
      <c r="B262" s="1">
        <f ca="1">IFERROR(__xludf.DUMMYFUNCTION("""COMPUTED_VALUE"""),28)</f>
        <v>28</v>
      </c>
      <c r="C262" s="1">
        <f ca="1">IFERROR(__xludf.DUMMYFUNCTION("""COMPUTED_VALUE"""),13)</f>
        <v>13</v>
      </c>
      <c r="D262" s="1">
        <f ca="1">IFERROR(__xludf.DUMMYFUNCTION("""COMPUTED_VALUE"""),15)</f>
        <v>15</v>
      </c>
      <c r="E262" s="1">
        <f ca="1">IFERROR(__xludf.DUMMYFUNCTION("""COMPUTED_VALUE"""),0.464)</f>
        <v>0.46400000000000002</v>
      </c>
      <c r="F262" s="1">
        <f ca="1">IFERROR(__xludf.DUMMYFUNCTION("""COMPUTED_VALUE"""),-0.65)</f>
        <v>-0.65</v>
      </c>
      <c r="G262" s="1">
        <f ca="1">IFERROR(__xludf.DUMMYFUNCTION("""COMPUTED_VALUE"""),-1.5)</f>
        <v>-1.5</v>
      </c>
      <c r="H262" s="1">
        <f ca="1">IFERROR(__xludf.DUMMYFUNCTION("""COMPUTED_VALUE"""),6)</f>
        <v>6</v>
      </c>
      <c r="I262" s="1">
        <f ca="1">IFERROR(__xludf.DUMMYFUNCTION("""COMPUTED_VALUE"""),8)</f>
        <v>8</v>
      </c>
      <c r="J262" s="1">
        <f ca="1">IFERROR(__xludf.DUMMYFUNCTION("""COMPUTED_VALUE"""),6)</f>
        <v>6</v>
      </c>
      <c r="K262" s="1">
        <f ca="1">IFERROR(__xludf.DUMMYFUNCTION("""COMPUTED_VALUE"""),6)</f>
        <v>6</v>
      </c>
      <c r="L262" s="1">
        <f ca="1">IFERROR(__xludf.DUMMYFUNCTION("""COMPUTED_VALUE"""),7)</f>
        <v>7</v>
      </c>
      <c r="M262" s="1">
        <f ca="1">IFERROR(__xludf.DUMMYFUNCTION("""COMPUTED_VALUE"""),8)</f>
        <v>8</v>
      </c>
      <c r="N262" s="1">
        <f ca="1">IFERROR(__xludf.DUMMYFUNCTION("""COMPUTED_VALUE"""),1928)</f>
        <v>1928</v>
      </c>
      <c r="O262" s="1">
        <f ca="1">IFERROR(__xludf.DUMMYFUNCTION("""COMPUTED_VALUE"""),1904)</f>
        <v>1904</v>
      </c>
      <c r="P262" s="1">
        <f ca="1">IFERROR(__xludf.DUMMYFUNCTION("""COMPUTED_VALUE"""),1125)</f>
        <v>1125</v>
      </c>
      <c r="Q262" s="1">
        <f ca="1">IFERROR(__xludf.DUMMYFUNCTION("""COMPUTED_VALUE"""),710)</f>
        <v>710</v>
      </c>
      <c r="R262" s="1">
        <f ca="1">IFERROR(__xludf.DUMMYFUNCTION("""COMPUTED_VALUE"""),1603)</f>
        <v>1603</v>
      </c>
      <c r="S262" s="1">
        <f ca="1">IFERROR(__xludf.DUMMYFUNCTION("""COMPUTED_VALUE"""),0.443)</f>
        <v>0.443</v>
      </c>
      <c r="T262" s="1">
        <f ca="1">IFERROR(__xludf.DUMMYFUNCTION("""COMPUTED_VALUE"""),234)</f>
        <v>234</v>
      </c>
      <c r="U262" s="1">
        <f ca="1">IFERROR(__xludf.DUMMYFUNCTION("""COMPUTED_VALUE"""),690)</f>
        <v>690</v>
      </c>
      <c r="V262" s="1">
        <f ca="1">IFERROR(__xludf.DUMMYFUNCTION("""COMPUTED_VALUE"""),0.339)</f>
        <v>0.33900000000000002</v>
      </c>
      <c r="W262" s="1">
        <f ca="1">IFERROR(__xludf.DUMMYFUNCTION("""COMPUTED_VALUE"""),274)</f>
        <v>274</v>
      </c>
      <c r="X262" s="1">
        <f ca="1">IFERROR(__xludf.DUMMYFUNCTION("""COMPUTED_VALUE"""),417)</f>
        <v>417</v>
      </c>
      <c r="Y262" s="1">
        <f ca="1">IFERROR(__xludf.DUMMYFUNCTION("""COMPUTED_VALUE"""),0.657)</f>
        <v>0.65700000000000003</v>
      </c>
      <c r="Z262" s="1">
        <f ca="1">IFERROR(__xludf.DUMMYFUNCTION("""COMPUTED_VALUE"""),267)</f>
        <v>267</v>
      </c>
      <c r="AA262" s="1">
        <f ca="1">IFERROR(__xludf.DUMMYFUNCTION("""COMPUTED_VALUE"""),972)</f>
        <v>972</v>
      </c>
      <c r="AB262" s="1">
        <f ca="1">IFERROR(__xludf.DUMMYFUNCTION("""COMPUTED_VALUE"""),401)</f>
        <v>401</v>
      </c>
      <c r="AC262" s="1">
        <f ca="1">IFERROR(__xludf.DUMMYFUNCTION("""COMPUTED_VALUE"""),181)</f>
        <v>181</v>
      </c>
      <c r="AD262" s="1">
        <f ca="1">IFERROR(__xludf.DUMMYFUNCTION("""COMPUTED_VALUE"""),100)</f>
        <v>100</v>
      </c>
      <c r="AE262" s="1">
        <f ca="1">IFERROR(__xludf.DUMMYFUNCTION("""COMPUTED_VALUE"""),358)</f>
        <v>358</v>
      </c>
      <c r="AF262" s="1">
        <f ca="1">IFERROR(__xludf.DUMMYFUNCTION("""COMPUTED_VALUE"""),501)</f>
        <v>501</v>
      </c>
    </row>
    <row r="263" spans="1:32" ht="12.5" x14ac:dyDescent="0.25">
      <c r="A263" s="1" t="str">
        <f ca="1">IFERROR(__xludf.DUMMYFUNCTION("""COMPUTED_VALUE"""),"Pepperdine")</f>
        <v>Pepperdine</v>
      </c>
      <c r="B263" s="1">
        <f ca="1">IFERROR(__xludf.DUMMYFUNCTION("""COMPUTED_VALUE"""),31)</f>
        <v>31</v>
      </c>
      <c r="C263" s="1">
        <f ca="1">IFERROR(__xludf.DUMMYFUNCTION("""COMPUTED_VALUE"""),9)</f>
        <v>9</v>
      </c>
      <c r="D263" s="1">
        <f ca="1">IFERROR(__xludf.DUMMYFUNCTION("""COMPUTED_VALUE"""),22)</f>
        <v>22</v>
      </c>
      <c r="E263" s="1">
        <f ca="1">IFERROR(__xludf.DUMMYFUNCTION("""COMPUTED_VALUE"""),0.29)</f>
        <v>0.28999999999999998</v>
      </c>
      <c r="F263" s="1">
        <f ca="1">IFERROR(__xludf.DUMMYFUNCTION("""COMPUTED_VALUE"""),-10)</f>
        <v>-10</v>
      </c>
      <c r="G263" s="1">
        <f ca="1">IFERROR(__xludf.DUMMYFUNCTION("""COMPUTED_VALUE"""),1.87)</f>
        <v>1.87</v>
      </c>
      <c r="H263" s="1">
        <f ca="1">IFERROR(__xludf.DUMMYFUNCTION("""COMPUTED_VALUE"""),5)</f>
        <v>5</v>
      </c>
      <c r="I263" s="1">
        <f ca="1">IFERROR(__xludf.DUMMYFUNCTION("""COMPUTED_VALUE"""),13)</f>
        <v>13</v>
      </c>
      <c r="J263" s="1">
        <f ca="1">IFERROR(__xludf.DUMMYFUNCTION("""COMPUTED_VALUE"""),7)</f>
        <v>7</v>
      </c>
      <c r="K263" s="1">
        <f ca="1">IFERROR(__xludf.DUMMYFUNCTION("""COMPUTED_VALUE"""),7)</f>
        <v>7</v>
      </c>
      <c r="L263" s="1">
        <f ca="1">IFERROR(__xludf.DUMMYFUNCTION("""COMPUTED_VALUE"""),1)</f>
        <v>1</v>
      </c>
      <c r="M263" s="1">
        <f ca="1">IFERROR(__xludf.DUMMYFUNCTION("""COMPUTED_VALUE"""),12)</f>
        <v>12</v>
      </c>
      <c r="N263" s="1">
        <f ca="1">IFERROR(__xludf.DUMMYFUNCTION("""COMPUTED_VALUE"""),2140)</f>
        <v>2140</v>
      </c>
      <c r="O263" s="1">
        <f ca="1">IFERROR(__xludf.DUMMYFUNCTION("""COMPUTED_VALUE"""),2490)</f>
        <v>2490</v>
      </c>
      <c r="P263" s="1">
        <f ca="1">IFERROR(__xludf.DUMMYFUNCTION("""COMPUTED_VALUE"""),1240)</f>
        <v>1240</v>
      </c>
      <c r="Q263" s="1">
        <f ca="1">IFERROR(__xludf.DUMMYFUNCTION("""COMPUTED_VALUE"""),807)</f>
        <v>807</v>
      </c>
      <c r="R263" s="1">
        <f ca="1">IFERROR(__xludf.DUMMYFUNCTION("""COMPUTED_VALUE"""),1811)</f>
        <v>1811</v>
      </c>
      <c r="S263" s="1">
        <f ca="1">IFERROR(__xludf.DUMMYFUNCTION("""COMPUTED_VALUE"""),0.446)</f>
        <v>0.44600000000000001</v>
      </c>
      <c r="T263" s="1">
        <f ca="1">IFERROR(__xludf.DUMMYFUNCTION("""COMPUTED_VALUE"""),178)</f>
        <v>178</v>
      </c>
      <c r="U263" s="1">
        <f ca="1">IFERROR(__xludf.DUMMYFUNCTION("""COMPUTED_VALUE"""),482)</f>
        <v>482</v>
      </c>
      <c r="V263" s="1">
        <f ca="1">IFERROR(__xludf.DUMMYFUNCTION("""COMPUTED_VALUE"""),0.369)</f>
        <v>0.36899999999999999</v>
      </c>
      <c r="W263" s="1">
        <f ca="1">IFERROR(__xludf.DUMMYFUNCTION("""COMPUTED_VALUE"""),348)</f>
        <v>348</v>
      </c>
      <c r="X263" s="1">
        <f ca="1">IFERROR(__xludf.DUMMYFUNCTION("""COMPUTED_VALUE"""),543)</f>
        <v>543</v>
      </c>
      <c r="Y263" s="1">
        <f ca="1">IFERROR(__xludf.DUMMYFUNCTION("""COMPUTED_VALUE"""),0.641)</f>
        <v>0.64100000000000001</v>
      </c>
      <c r="Z263" s="1">
        <f ca="1">IFERROR(__xludf.DUMMYFUNCTION("""COMPUTED_VALUE"""),295)</f>
        <v>295</v>
      </c>
      <c r="AA263" s="1">
        <f ca="1">IFERROR(__xludf.DUMMYFUNCTION("""COMPUTED_VALUE"""),1033)</f>
        <v>1033</v>
      </c>
      <c r="AB263" s="1">
        <f ca="1">IFERROR(__xludf.DUMMYFUNCTION("""COMPUTED_VALUE"""),420)</f>
        <v>420</v>
      </c>
      <c r="AC263" s="1">
        <f ca="1">IFERROR(__xludf.DUMMYFUNCTION("""COMPUTED_VALUE"""),157)</f>
        <v>157</v>
      </c>
      <c r="AD263" s="1">
        <f ca="1">IFERROR(__xludf.DUMMYFUNCTION("""COMPUTED_VALUE"""),84)</f>
        <v>84</v>
      </c>
      <c r="AE263" s="1">
        <f ca="1">IFERROR(__xludf.DUMMYFUNCTION("""COMPUTED_VALUE"""),389)</f>
        <v>389</v>
      </c>
      <c r="AF263" s="1">
        <f ca="1">IFERROR(__xludf.DUMMYFUNCTION("""COMPUTED_VALUE"""),531)</f>
        <v>531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IFERROR(__xludf.DUMMYFUNCTION("""COMPUTED_VALUE"""),"Pittsburgh")</f>
        <v>Pittsburgh</v>
      </c>
      <c r="B266" s="1">
        <f ca="1">IFERROR(__xludf.DUMMYFUNCTION("""COMPUTED_VALUE"""),33)</f>
        <v>33</v>
      </c>
      <c r="C266" s="1">
        <f ca="1">IFERROR(__xludf.DUMMYFUNCTION("""COMPUTED_VALUE"""),16)</f>
        <v>16</v>
      </c>
      <c r="D266" s="1">
        <f ca="1">IFERROR(__xludf.DUMMYFUNCTION("""COMPUTED_VALUE"""),17)</f>
        <v>17</v>
      </c>
      <c r="E266" s="1">
        <f ca="1">IFERROR(__xludf.DUMMYFUNCTION("""COMPUTED_VALUE"""),0.485)</f>
        <v>0.48499999999999999</v>
      </c>
      <c r="F266" s="1">
        <f ca="1">IFERROR(__xludf.DUMMYFUNCTION("""COMPUTED_VALUE"""),9.25)</f>
        <v>9.25</v>
      </c>
      <c r="G266" s="1">
        <f ca="1">IFERROR(__xludf.DUMMYFUNCTION("""COMPUTED_VALUE"""),11.06)</f>
        <v>11.06</v>
      </c>
      <c r="H266" s="1">
        <f ca="1">IFERROR(__xludf.DUMMYFUNCTION("""COMPUTED_VALUE"""),4)</f>
        <v>4</v>
      </c>
      <c r="I266" s="1">
        <f ca="1">IFERROR(__xludf.DUMMYFUNCTION("""COMPUTED_VALUE"""),14)</f>
        <v>14</v>
      </c>
      <c r="J266" s="1">
        <f ca="1">IFERROR(__xludf.DUMMYFUNCTION("""COMPUTED_VALUE"""),11)</f>
        <v>11</v>
      </c>
      <c r="K266" s="1">
        <f ca="1">IFERROR(__xludf.DUMMYFUNCTION("""COMPUTED_VALUE"""),6)</f>
        <v>6</v>
      </c>
      <c r="L266" s="1">
        <f ca="1">IFERROR(__xludf.DUMMYFUNCTION("""COMPUTED_VALUE"""),2)</f>
        <v>2</v>
      </c>
      <c r="M266" s="1">
        <f ca="1">IFERROR(__xludf.DUMMYFUNCTION("""COMPUTED_VALUE"""),8)</f>
        <v>8</v>
      </c>
      <c r="N266" s="1">
        <f ca="1">IFERROR(__xludf.DUMMYFUNCTION("""COMPUTED_VALUE"""),2404)</f>
        <v>2404</v>
      </c>
      <c r="O266" s="1">
        <f ca="1">IFERROR(__xludf.DUMMYFUNCTION("""COMPUTED_VALUE"""),2464)</f>
        <v>2464</v>
      </c>
      <c r="P266" s="1">
        <f ca="1">IFERROR(__xludf.DUMMYFUNCTION("""COMPUTED_VALUE"""),1340)</f>
        <v>1340</v>
      </c>
      <c r="Q266" s="1">
        <f ca="1">IFERROR(__xludf.DUMMYFUNCTION("""COMPUTED_VALUE"""),807)</f>
        <v>807</v>
      </c>
      <c r="R266" s="1">
        <f ca="1">IFERROR(__xludf.DUMMYFUNCTION("""COMPUTED_VALUE"""),1825)</f>
        <v>1825</v>
      </c>
      <c r="S266" s="1">
        <f ca="1">IFERROR(__xludf.DUMMYFUNCTION("""COMPUTED_VALUE"""),0.442)</f>
        <v>0.442</v>
      </c>
      <c r="T266" s="1">
        <f ca="1">IFERROR(__xludf.DUMMYFUNCTION("""COMPUTED_VALUE"""),263)</f>
        <v>263</v>
      </c>
      <c r="U266" s="1">
        <f ca="1">IFERROR(__xludf.DUMMYFUNCTION("""COMPUTED_VALUE"""),728)</f>
        <v>728</v>
      </c>
      <c r="V266" s="1">
        <f ca="1">IFERROR(__xludf.DUMMYFUNCTION("""COMPUTED_VALUE"""),0.361)</f>
        <v>0.36099999999999999</v>
      </c>
      <c r="W266" s="1">
        <f ca="1">IFERROR(__xludf.DUMMYFUNCTION("""COMPUTED_VALUE"""),527)</f>
        <v>527</v>
      </c>
      <c r="X266" s="1">
        <f ca="1">IFERROR(__xludf.DUMMYFUNCTION("""COMPUTED_VALUE"""),719)</f>
        <v>719</v>
      </c>
      <c r="Y266" s="1">
        <f ca="1">IFERROR(__xludf.DUMMYFUNCTION("""COMPUTED_VALUE"""),0.733)</f>
        <v>0.73299999999999998</v>
      </c>
      <c r="Z266" s="1">
        <f ca="1">IFERROR(__xludf.DUMMYFUNCTION("""COMPUTED_VALUE"""),313)</f>
        <v>313</v>
      </c>
      <c r="AA266" s="1">
        <f ca="1">IFERROR(__xludf.DUMMYFUNCTION("""COMPUTED_VALUE"""),1158)</f>
        <v>1158</v>
      </c>
      <c r="AB266" s="1">
        <f ca="1">IFERROR(__xludf.DUMMYFUNCTION("""COMPUTED_VALUE"""),473)</f>
        <v>473</v>
      </c>
      <c r="AC266" s="1">
        <f ca="1">IFERROR(__xludf.DUMMYFUNCTION("""COMPUTED_VALUE"""),127)</f>
        <v>127</v>
      </c>
      <c r="AD266" s="1">
        <f ca="1">IFERROR(__xludf.DUMMYFUNCTION("""COMPUTED_VALUE"""),112)</f>
        <v>112</v>
      </c>
      <c r="AE266" s="1">
        <f ca="1">IFERROR(__xludf.DUMMYFUNCTION("""COMPUTED_VALUE"""),396)</f>
        <v>396</v>
      </c>
      <c r="AF266" s="1">
        <f ca="1">IFERROR(__xludf.DUMMYFUNCTION("""COMPUTED_VALUE"""),548)</f>
        <v>548</v>
      </c>
    </row>
    <row r="267" spans="1:32" ht="12.5" x14ac:dyDescent="0.25">
      <c r="A267" s="1" t="str">
        <f ca="1">IFERROR(__xludf.DUMMYFUNCTION("""COMPUTED_VALUE"""),"Portland State")</f>
        <v>Portland State</v>
      </c>
      <c r="B267" s="1">
        <f ca="1">IFERROR(__xludf.DUMMYFUNCTION("""COMPUTED_VALUE"""),31)</f>
        <v>31</v>
      </c>
      <c r="C267" s="1">
        <f ca="1">IFERROR(__xludf.DUMMYFUNCTION("""COMPUTED_VALUE"""),15)</f>
        <v>15</v>
      </c>
      <c r="D267" s="1">
        <f ca="1">IFERROR(__xludf.DUMMYFUNCTION("""COMPUTED_VALUE"""),16)</f>
        <v>16</v>
      </c>
      <c r="E267" s="1">
        <f ca="1">IFERROR(__xludf.DUMMYFUNCTION("""COMPUTED_VALUE"""),0.484)</f>
        <v>0.48399999999999999</v>
      </c>
      <c r="F267" s="1">
        <f ca="1">IFERROR(__xludf.DUMMYFUNCTION("""COMPUTED_VALUE"""),-7.06)</f>
        <v>-7.06</v>
      </c>
      <c r="G267" s="1">
        <f ca="1">IFERROR(__xludf.DUMMYFUNCTION("""COMPUTED_VALUE"""),-6.63)</f>
        <v>-6.63</v>
      </c>
      <c r="H267" s="1">
        <f ca="1">IFERROR(__xludf.DUMMYFUNCTION("""COMPUTED_VALUE"""),7)</f>
        <v>7</v>
      </c>
      <c r="I267" s="1">
        <f ca="1">IFERROR(__xludf.DUMMYFUNCTION("""COMPUTED_VALUE"""),11)</f>
        <v>11</v>
      </c>
      <c r="J267" s="1">
        <f ca="1">IFERROR(__xludf.DUMMYFUNCTION("""COMPUTED_VALUE"""),10)</f>
        <v>10</v>
      </c>
      <c r="K267" s="1">
        <f ca="1">IFERROR(__xludf.DUMMYFUNCTION("""COMPUTED_VALUE"""),3)</f>
        <v>3</v>
      </c>
      <c r="L267" s="1">
        <f ca="1">IFERROR(__xludf.DUMMYFUNCTION("""COMPUTED_VALUE"""),4)</f>
        <v>4</v>
      </c>
      <c r="M267" s="1">
        <f ca="1">IFERROR(__xludf.DUMMYFUNCTION("""COMPUTED_VALUE"""),12)</f>
        <v>12</v>
      </c>
      <c r="N267" s="1">
        <f ca="1">IFERROR(__xludf.DUMMYFUNCTION("""COMPUTED_VALUE"""),2645)</f>
        <v>2645</v>
      </c>
      <c r="O267" s="1">
        <f ca="1">IFERROR(__xludf.DUMMYFUNCTION("""COMPUTED_VALUE"""),2535)</f>
        <v>2535</v>
      </c>
      <c r="P267" s="1">
        <f ca="1">IFERROR(__xludf.DUMMYFUNCTION("""COMPUTED_VALUE"""),1280)</f>
        <v>1280</v>
      </c>
      <c r="Q267" s="1">
        <f ca="1">IFERROR(__xludf.DUMMYFUNCTION("""COMPUTED_VALUE"""),959)</f>
        <v>959</v>
      </c>
      <c r="R267" s="1">
        <f ca="1">IFERROR(__xludf.DUMMYFUNCTION("""COMPUTED_VALUE"""),1991)</f>
        <v>1991</v>
      </c>
      <c r="S267" s="1">
        <f ca="1">IFERROR(__xludf.DUMMYFUNCTION("""COMPUTED_VALUE"""),0.482)</f>
        <v>0.48199999999999998</v>
      </c>
      <c r="T267" s="1">
        <f ca="1">IFERROR(__xludf.DUMMYFUNCTION("""COMPUTED_VALUE"""),238)</f>
        <v>238</v>
      </c>
      <c r="U267" s="1">
        <f ca="1">IFERROR(__xludf.DUMMYFUNCTION("""COMPUTED_VALUE"""),697)</f>
        <v>697</v>
      </c>
      <c r="V267" s="1">
        <f ca="1">IFERROR(__xludf.DUMMYFUNCTION("""COMPUTED_VALUE"""),0.341)</f>
        <v>0.34100000000000003</v>
      </c>
      <c r="W267" s="1">
        <f ca="1">IFERROR(__xludf.DUMMYFUNCTION("""COMPUTED_VALUE"""),489)</f>
        <v>489</v>
      </c>
      <c r="X267" s="1">
        <f ca="1">IFERROR(__xludf.DUMMYFUNCTION("""COMPUTED_VALUE"""),743)</f>
        <v>743</v>
      </c>
      <c r="Y267" s="1">
        <f ca="1">IFERROR(__xludf.DUMMYFUNCTION("""COMPUTED_VALUE"""),0.658)</f>
        <v>0.65800000000000003</v>
      </c>
      <c r="Z267" s="1">
        <f ca="1">IFERROR(__xludf.DUMMYFUNCTION("""COMPUTED_VALUE"""),322)</f>
        <v>322</v>
      </c>
      <c r="AA267" s="1">
        <f ca="1">IFERROR(__xludf.DUMMYFUNCTION("""COMPUTED_VALUE"""),1064)</f>
        <v>1064</v>
      </c>
      <c r="AB267" s="1">
        <f ca="1">IFERROR(__xludf.DUMMYFUNCTION("""COMPUTED_VALUE"""),491)</f>
        <v>491</v>
      </c>
      <c r="AC267" s="1">
        <f ca="1">IFERROR(__xludf.DUMMYFUNCTION("""COMPUTED_VALUE"""),307)</f>
        <v>307</v>
      </c>
      <c r="AD267" s="1">
        <f ca="1">IFERROR(__xludf.DUMMYFUNCTION("""COMPUTED_VALUE"""),81)</f>
        <v>81</v>
      </c>
      <c r="AE267" s="1">
        <f ca="1">IFERROR(__xludf.DUMMYFUNCTION("""COMPUTED_VALUE"""),376)</f>
        <v>376</v>
      </c>
      <c r="AF267" s="1">
        <f ca="1">IFERROR(__xludf.DUMMYFUNCTION("""COMPUTED_VALUE"""),590)</f>
        <v>590</v>
      </c>
    </row>
    <row r="268" spans="1:32" ht="12.5" x14ac:dyDescent="0.25">
      <c r="A268" s="1" t="str">
        <f ca="1">IFERROR(__xludf.DUMMYFUNCTION("""COMPUTED_VALUE"""),"Portland")</f>
        <v>Portland</v>
      </c>
      <c r="B268" s="1">
        <f ca="1">IFERROR(__xludf.DUMMYFUNCTION("""COMPUTED_VALUE"""),33)</f>
        <v>33</v>
      </c>
      <c r="C268" s="1">
        <f ca="1">IFERROR(__xludf.DUMMYFUNCTION("""COMPUTED_VALUE"""),11)</f>
        <v>11</v>
      </c>
      <c r="D268" s="1">
        <f ca="1">IFERROR(__xludf.DUMMYFUNCTION("""COMPUTED_VALUE"""),22)</f>
        <v>22</v>
      </c>
      <c r="E268" s="1">
        <f ca="1">IFERROR(__xludf.DUMMYFUNCTION("""COMPUTED_VALUE"""),0.333)</f>
        <v>0.33300000000000002</v>
      </c>
      <c r="F268" s="1">
        <f ca="1">IFERROR(__xludf.DUMMYFUNCTION("""COMPUTED_VALUE"""),-5.81)</f>
        <v>-5.81</v>
      </c>
      <c r="G268" s="1">
        <f ca="1">IFERROR(__xludf.DUMMYFUNCTION("""COMPUTED_VALUE"""),2.32)</f>
        <v>2.3199999999999998</v>
      </c>
      <c r="H268" s="1">
        <f ca="1">IFERROR(__xludf.DUMMYFUNCTION("""COMPUTED_VALUE"""),2)</f>
        <v>2</v>
      </c>
      <c r="I268" s="1">
        <f ca="1">IFERROR(__xludf.DUMMYFUNCTION("""COMPUTED_VALUE"""),16)</f>
        <v>16</v>
      </c>
      <c r="J268" s="1">
        <f ca="1">IFERROR(__xludf.DUMMYFUNCTION("""COMPUTED_VALUE"""),5)</f>
        <v>5</v>
      </c>
      <c r="K268" s="1">
        <f ca="1">IFERROR(__xludf.DUMMYFUNCTION("""COMPUTED_VALUE"""),10)</f>
        <v>10</v>
      </c>
      <c r="L268" s="1">
        <f ca="1">IFERROR(__xludf.DUMMYFUNCTION("""COMPUTED_VALUE"""),2)</f>
        <v>2</v>
      </c>
      <c r="M268" s="1">
        <f ca="1">IFERROR(__xludf.DUMMYFUNCTION("""COMPUTED_VALUE"""),9)</f>
        <v>9</v>
      </c>
      <c r="N268" s="1">
        <f ca="1">IFERROR(__xludf.DUMMYFUNCTION("""COMPUTED_VALUE"""),2215)</f>
        <v>2215</v>
      </c>
      <c r="O268" s="1">
        <f ca="1">IFERROR(__xludf.DUMMYFUNCTION("""COMPUTED_VALUE"""),2383)</f>
        <v>2383</v>
      </c>
      <c r="P268" s="1">
        <f ca="1">IFERROR(__xludf.DUMMYFUNCTION("""COMPUTED_VALUE"""),1335)</f>
        <v>1335</v>
      </c>
      <c r="Q268" s="1">
        <f ca="1">IFERROR(__xludf.DUMMYFUNCTION("""COMPUTED_VALUE"""),758)</f>
        <v>758</v>
      </c>
      <c r="R268" s="1">
        <f ca="1">IFERROR(__xludf.DUMMYFUNCTION("""COMPUTED_VALUE"""),1793)</f>
        <v>1793</v>
      </c>
      <c r="S268" s="1">
        <f ca="1">IFERROR(__xludf.DUMMYFUNCTION("""COMPUTED_VALUE"""),0.423)</f>
        <v>0.42299999999999999</v>
      </c>
      <c r="T268" s="1">
        <f ca="1">IFERROR(__xludf.DUMMYFUNCTION("""COMPUTED_VALUE"""),214)</f>
        <v>214</v>
      </c>
      <c r="U268" s="1">
        <f ca="1">IFERROR(__xludf.DUMMYFUNCTION("""COMPUTED_VALUE"""),573)</f>
        <v>573</v>
      </c>
      <c r="V268" s="1">
        <f ca="1">IFERROR(__xludf.DUMMYFUNCTION("""COMPUTED_VALUE"""),0.373)</f>
        <v>0.373</v>
      </c>
      <c r="W268" s="1">
        <f ca="1">IFERROR(__xludf.DUMMYFUNCTION("""COMPUTED_VALUE"""),485)</f>
        <v>485</v>
      </c>
      <c r="X268" s="1">
        <f ca="1">IFERROR(__xludf.DUMMYFUNCTION("""COMPUTED_VALUE"""),655)</f>
        <v>655</v>
      </c>
      <c r="Y268" s="1">
        <f ca="1">IFERROR(__xludf.DUMMYFUNCTION("""COMPUTED_VALUE"""),0.74)</f>
        <v>0.74</v>
      </c>
      <c r="Z268" s="1">
        <f ca="1">IFERROR(__xludf.DUMMYFUNCTION("""COMPUTED_VALUE"""),278)</f>
        <v>278</v>
      </c>
      <c r="AA268" s="1">
        <f ca="1">IFERROR(__xludf.DUMMYFUNCTION("""COMPUTED_VALUE"""),1098)</f>
        <v>1098</v>
      </c>
      <c r="AB268" s="1">
        <f ca="1">IFERROR(__xludf.DUMMYFUNCTION("""COMPUTED_VALUE"""),325)</f>
        <v>325</v>
      </c>
      <c r="AC268" s="1">
        <f ca="1">IFERROR(__xludf.DUMMYFUNCTION("""COMPUTED_VALUE"""),163)</f>
        <v>163</v>
      </c>
      <c r="AD268" s="1">
        <f ca="1">IFERROR(__xludf.DUMMYFUNCTION("""COMPUTED_VALUE"""),112)</f>
        <v>112</v>
      </c>
      <c r="AE268" s="1">
        <f ca="1">IFERROR(__xludf.DUMMYFUNCTION("""COMPUTED_VALUE"""),424)</f>
        <v>424</v>
      </c>
      <c r="AF268" s="1">
        <f ca="1">IFERROR(__xludf.DUMMYFUNCTION("""COMPUTED_VALUE"""),581)</f>
        <v>581</v>
      </c>
    </row>
    <row r="269" spans="1:32" ht="12.5" x14ac:dyDescent="0.25">
      <c r="A269" s="1" t="str">
        <f ca="1">IFERROR(__xludf.DUMMYFUNCTION("""COMPUTED_VALUE"""),"Prairie View")</f>
        <v>Prairie View</v>
      </c>
      <c r="B269" s="1">
        <f ca="1">IFERROR(__xludf.DUMMYFUNCTION("""COMPUTED_VALUE"""),33)</f>
        <v>33</v>
      </c>
      <c r="C269" s="1">
        <f ca="1">IFERROR(__xludf.DUMMYFUNCTION("""COMPUTED_VALUE"""),13)</f>
        <v>13</v>
      </c>
      <c r="D269" s="1">
        <f ca="1">IFERROR(__xludf.DUMMYFUNCTION("""COMPUTED_VALUE"""),20)</f>
        <v>20</v>
      </c>
      <c r="E269" s="1">
        <f ca="1">IFERROR(__xludf.DUMMYFUNCTION("""COMPUTED_VALUE"""),0.394)</f>
        <v>0.39400000000000002</v>
      </c>
      <c r="F269" s="1">
        <f ca="1">IFERROR(__xludf.DUMMYFUNCTION("""COMPUTED_VALUE"""),-14.54)</f>
        <v>-14.54</v>
      </c>
      <c r="G269" s="1">
        <f ca="1">IFERROR(__xludf.DUMMYFUNCTION("""COMPUTED_VALUE"""),-8.48)</f>
        <v>-8.48</v>
      </c>
      <c r="H269" s="1">
        <f ca="1">IFERROR(__xludf.DUMMYFUNCTION("""COMPUTED_VALUE"""),10)</f>
        <v>10</v>
      </c>
      <c r="I269" s="1">
        <f ca="1">IFERROR(__xludf.DUMMYFUNCTION("""COMPUTED_VALUE"""),8)</f>
        <v>8</v>
      </c>
      <c r="J269" s="1">
        <f ca="1">IFERROR(__xludf.DUMMYFUNCTION("""COMPUTED_VALUE"""),10)</f>
        <v>10</v>
      </c>
      <c r="K269" s="1">
        <f ca="1">IFERROR(__xludf.DUMMYFUNCTION("""COMPUTED_VALUE"""),3)</f>
        <v>3</v>
      </c>
      <c r="L269" s="1">
        <f ca="1">IFERROR(__xludf.DUMMYFUNCTION("""COMPUTED_VALUE"""),3)</f>
        <v>3</v>
      </c>
      <c r="M269" s="1">
        <f ca="1">IFERROR(__xludf.DUMMYFUNCTION("""COMPUTED_VALUE"""),17)</f>
        <v>17</v>
      </c>
      <c r="N269" s="1">
        <f ca="1">IFERROR(__xludf.DUMMYFUNCTION("""COMPUTED_VALUE"""),2276)</f>
        <v>2276</v>
      </c>
      <c r="O269" s="1">
        <f ca="1">IFERROR(__xludf.DUMMYFUNCTION("""COMPUTED_VALUE"""),2419)</f>
        <v>2419</v>
      </c>
      <c r="P269" s="1">
        <f ca="1">IFERROR(__xludf.DUMMYFUNCTION("""COMPUTED_VALUE"""),1330)</f>
        <v>1330</v>
      </c>
      <c r="Q269" s="1">
        <f ca="1">IFERROR(__xludf.DUMMYFUNCTION("""COMPUTED_VALUE"""),788)</f>
        <v>788</v>
      </c>
      <c r="R269" s="1">
        <f ca="1">IFERROR(__xludf.DUMMYFUNCTION("""COMPUTED_VALUE"""),1839)</f>
        <v>1839</v>
      </c>
      <c r="S269" s="1">
        <f ca="1">IFERROR(__xludf.DUMMYFUNCTION("""COMPUTED_VALUE"""),0.428)</f>
        <v>0.42799999999999999</v>
      </c>
      <c r="T269" s="1">
        <f ca="1">IFERROR(__xludf.DUMMYFUNCTION("""COMPUTED_VALUE"""),237)</f>
        <v>237</v>
      </c>
      <c r="U269" s="1">
        <f ca="1">IFERROR(__xludf.DUMMYFUNCTION("""COMPUTED_VALUE"""),678)</f>
        <v>678</v>
      </c>
      <c r="V269" s="1">
        <f ca="1">IFERROR(__xludf.DUMMYFUNCTION("""COMPUTED_VALUE"""),0.35)</f>
        <v>0.35</v>
      </c>
      <c r="W269" s="1">
        <f ca="1">IFERROR(__xludf.DUMMYFUNCTION("""COMPUTED_VALUE"""),463)</f>
        <v>463</v>
      </c>
      <c r="X269" s="1">
        <f ca="1">IFERROR(__xludf.DUMMYFUNCTION("""COMPUTED_VALUE"""),659)</f>
        <v>659</v>
      </c>
      <c r="Y269" s="1">
        <f ca="1">IFERROR(__xludf.DUMMYFUNCTION("""COMPUTED_VALUE"""),0.703)</f>
        <v>0.70299999999999996</v>
      </c>
      <c r="Z269" s="1">
        <f ca="1">IFERROR(__xludf.DUMMYFUNCTION("""COMPUTED_VALUE"""),292)</f>
        <v>292</v>
      </c>
      <c r="AA269" s="1">
        <f ca="1">IFERROR(__xludf.DUMMYFUNCTION("""COMPUTED_VALUE"""),1019)</f>
        <v>1019</v>
      </c>
      <c r="AB269" s="1">
        <f ca="1">IFERROR(__xludf.DUMMYFUNCTION("""COMPUTED_VALUE"""),404)</f>
        <v>404</v>
      </c>
      <c r="AC269" s="1">
        <f ca="1">IFERROR(__xludf.DUMMYFUNCTION("""COMPUTED_VALUE"""),273)</f>
        <v>273</v>
      </c>
      <c r="AD269" s="1">
        <f ca="1">IFERROR(__xludf.DUMMYFUNCTION("""COMPUTED_VALUE"""),121)</f>
        <v>121</v>
      </c>
      <c r="AE269" s="1">
        <f ca="1">IFERROR(__xludf.DUMMYFUNCTION("""COMPUTED_VALUE"""),436)</f>
        <v>436</v>
      </c>
      <c r="AF269" s="1">
        <f ca="1">IFERROR(__xludf.DUMMYFUNCTION("""COMPUTED_VALUE"""),700)</f>
        <v>700</v>
      </c>
    </row>
    <row r="270" spans="1:32" ht="12.5" x14ac:dyDescent="0.25">
      <c r="A270" s="1" t="str">
        <f ca="1">IFERROR(__xludf.DUMMYFUNCTION("""COMPUTED_VALUE"""),"Presbyterian")</f>
        <v>Presbyterian</v>
      </c>
      <c r="B270" s="1">
        <f ca="1">IFERROR(__xludf.DUMMYFUNCTION("""COMPUTED_VALUE"""),30)</f>
        <v>30</v>
      </c>
      <c r="C270" s="1">
        <f ca="1">IFERROR(__xludf.DUMMYFUNCTION("""COMPUTED_VALUE"""),5)</f>
        <v>5</v>
      </c>
      <c r="D270" s="1">
        <f ca="1">IFERROR(__xludf.DUMMYFUNCTION("""COMPUTED_VALUE"""),25)</f>
        <v>25</v>
      </c>
      <c r="E270" s="1">
        <f ca="1">IFERROR(__xludf.DUMMYFUNCTION("""COMPUTED_VALUE"""),0.167)</f>
        <v>0.16700000000000001</v>
      </c>
      <c r="F270" s="1">
        <f ca="1">IFERROR(__xludf.DUMMYFUNCTION("""COMPUTED_VALUE"""),-23.63)</f>
        <v>-23.63</v>
      </c>
      <c r="G270" s="1">
        <f ca="1">IFERROR(__xludf.DUMMYFUNCTION("""COMPUTED_VALUE"""),-5.95)</f>
        <v>-5.95</v>
      </c>
      <c r="H270" s="1">
        <f ca="1">IFERROR(__xludf.DUMMYFUNCTION("""COMPUTED_VALUE"""),1)</f>
        <v>1</v>
      </c>
      <c r="I270" s="1">
        <f ca="1">IFERROR(__xludf.DUMMYFUNCTION("""COMPUTED_VALUE"""),17)</f>
        <v>17</v>
      </c>
      <c r="J270" s="1">
        <f ca="1">IFERROR(__xludf.DUMMYFUNCTION("""COMPUTED_VALUE"""),5)</f>
        <v>5</v>
      </c>
      <c r="K270" s="1">
        <f ca="1">IFERROR(__xludf.DUMMYFUNCTION("""COMPUTED_VALUE"""),8)</f>
        <v>8</v>
      </c>
      <c r="L270" s="1">
        <f ca="1">IFERROR(__xludf.DUMMYFUNCTION("""COMPUTED_VALUE"""),0)</f>
        <v>0</v>
      </c>
      <c r="M270" s="1">
        <f ca="1">IFERROR(__xludf.DUMMYFUNCTION("""COMPUTED_VALUE"""),17)</f>
        <v>17</v>
      </c>
      <c r="N270" s="1">
        <f ca="1">IFERROR(__xludf.DUMMYFUNCTION("""COMPUTED_VALUE"""),1836)</f>
        <v>1836</v>
      </c>
      <c r="O270" s="1">
        <f ca="1">IFERROR(__xludf.DUMMYFUNCTION("""COMPUTED_VALUE"""),2245)</f>
        <v>2245</v>
      </c>
      <c r="P270" s="1">
        <f ca="1">IFERROR(__xludf.DUMMYFUNCTION("""COMPUTED_VALUE"""),1205)</f>
        <v>1205</v>
      </c>
      <c r="Q270" s="1">
        <f ca="1">IFERROR(__xludf.DUMMYFUNCTION("""COMPUTED_VALUE"""),667)</f>
        <v>667</v>
      </c>
      <c r="R270" s="1">
        <f ca="1">IFERROR(__xludf.DUMMYFUNCTION("""COMPUTED_VALUE"""),1618)</f>
        <v>1618</v>
      </c>
      <c r="S270" s="1">
        <f ca="1">IFERROR(__xludf.DUMMYFUNCTION("""COMPUTED_VALUE"""),0.412)</f>
        <v>0.41199999999999998</v>
      </c>
      <c r="T270" s="1">
        <f ca="1">IFERROR(__xludf.DUMMYFUNCTION("""COMPUTED_VALUE"""),181)</f>
        <v>181</v>
      </c>
      <c r="U270" s="1">
        <f ca="1">IFERROR(__xludf.DUMMYFUNCTION("""COMPUTED_VALUE"""),523)</f>
        <v>523</v>
      </c>
      <c r="V270" s="1">
        <f ca="1">IFERROR(__xludf.DUMMYFUNCTION("""COMPUTED_VALUE"""),0.346)</f>
        <v>0.34599999999999997</v>
      </c>
      <c r="W270" s="1">
        <f ca="1">IFERROR(__xludf.DUMMYFUNCTION("""COMPUTED_VALUE"""),321)</f>
        <v>321</v>
      </c>
      <c r="X270" s="1">
        <f ca="1">IFERROR(__xludf.DUMMYFUNCTION("""COMPUTED_VALUE"""),468)</f>
        <v>468</v>
      </c>
      <c r="Y270" s="1">
        <f ca="1">IFERROR(__xludf.DUMMYFUNCTION("""COMPUTED_VALUE"""),0.686)</f>
        <v>0.68600000000000005</v>
      </c>
      <c r="Z270" s="1">
        <f ca="1">IFERROR(__xludf.DUMMYFUNCTION("""COMPUTED_VALUE"""),300)</f>
        <v>300</v>
      </c>
      <c r="AA270" s="1">
        <f ca="1">IFERROR(__xludf.DUMMYFUNCTION("""COMPUTED_VALUE"""),979)</f>
        <v>979</v>
      </c>
      <c r="AB270" s="1">
        <f ca="1">IFERROR(__xludf.DUMMYFUNCTION("""COMPUTED_VALUE"""),364)</f>
        <v>364</v>
      </c>
      <c r="AC270" s="1">
        <f ca="1">IFERROR(__xludf.DUMMYFUNCTION("""COMPUTED_VALUE"""),143)</f>
        <v>143</v>
      </c>
      <c r="AD270" s="1">
        <f ca="1">IFERROR(__xludf.DUMMYFUNCTION("""COMPUTED_VALUE"""),72)</f>
        <v>72</v>
      </c>
      <c r="AE270" s="1">
        <f ca="1">IFERROR(__xludf.DUMMYFUNCTION("""COMPUTED_VALUE"""),451)</f>
        <v>451</v>
      </c>
      <c r="AF270" s="1">
        <f ca="1">IFERROR(__xludf.DUMMYFUNCTION("""COMPUTED_VALUE"""),519)</f>
        <v>519</v>
      </c>
    </row>
    <row r="271" spans="1:32" ht="12.5" x14ac:dyDescent="0.25">
      <c r="A271" s="1" t="str">
        <f ca="1">IFERROR(__xludf.DUMMYFUNCTION("""COMPUTED_VALUE"""),"PrincetonNCAA")</f>
        <v>PrincetonNCAA</v>
      </c>
      <c r="B271" s="1">
        <f ca="1">IFERROR(__xludf.DUMMYFUNCTION("""COMPUTED_VALUE"""),30)</f>
        <v>30</v>
      </c>
      <c r="C271" s="1">
        <f ca="1">IFERROR(__xludf.DUMMYFUNCTION("""COMPUTED_VALUE"""),23)</f>
        <v>23</v>
      </c>
      <c r="D271" s="1">
        <f ca="1">IFERROR(__xludf.DUMMYFUNCTION("""COMPUTED_VALUE"""),7)</f>
        <v>7</v>
      </c>
      <c r="E271" s="1">
        <f ca="1">IFERROR(__xludf.DUMMYFUNCTION("""COMPUTED_VALUE"""),0.767)</f>
        <v>0.76700000000000002</v>
      </c>
      <c r="F271" s="1">
        <f ca="1">IFERROR(__xludf.DUMMYFUNCTION("""COMPUTED_VALUE"""),6.57)</f>
        <v>6.57</v>
      </c>
      <c r="G271" s="1">
        <f ca="1">IFERROR(__xludf.DUMMYFUNCTION("""COMPUTED_VALUE"""),-1.84)</f>
        <v>-1.84</v>
      </c>
      <c r="H271" s="1">
        <f ca="1">IFERROR(__xludf.DUMMYFUNCTION("""COMPUTED_VALUE"""),14)</f>
        <v>14</v>
      </c>
      <c r="I271" s="1">
        <f ca="1">IFERROR(__xludf.DUMMYFUNCTION("""COMPUTED_VALUE"""),0)</f>
        <v>0</v>
      </c>
      <c r="J271" s="1">
        <f ca="1">IFERROR(__xludf.DUMMYFUNCTION("""COMPUTED_VALUE"""),10)</f>
        <v>10</v>
      </c>
      <c r="K271" s="1">
        <f ca="1">IFERROR(__xludf.DUMMYFUNCTION("""COMPUTED_VALUE"""),1)</f>
        <v>1</v>
      </c>
      <c r="L271" s="1">
        <f ca="1">IFERROR(__xludf.DUMMYFUNCTION("""COMPUTED_VALUE"""),10)</f>
        <v>10</v>
      </c>
      <c r="M271" s="1">
        <f ca="1">IFERROR(__xludf.DUMMYFUNCTION("""COMPUTED_VALUE"""),4)</f>
        <v>4</v>
      </c>
      <c r="N271" s="1">
        <f ca="1">IFERROR(__xludf.DUMMYFUNCTION("""COMPUTED_VALUE"""),2149)</f>
        <v>2149</v>
      </c>
      <c r="O271" s="1">
        <f ca="1">IFERROR(__xludf.DUMMYFUNCTION("""COMPUTED_VALUE"""),1843)</f>
        <v>1843</v>
      </c>
      <c r="P271" s="1">
        <f ca="1">IFERROR(__xludf.DUMMYFUNCTION("""COMPUTED_VALUE"""),1205)</f>
        <v>1205</v>
      </c>
      <c r="Q271" s="1">
        <f ca="1">IFERROR(__xludf.DUMMYFUNCTION("""COMPUTED_VALUE"""),772)</f>
        <v>772</v>
      </c>
      <c r="R271" s="1">
        <f ca="1">IFERROR(__xludf.DUMMYFUNCTION("""COMPUTED_VALUE"""),1716)</f>
        <v>1716</v>
      </c>
      <c r="S271" s="1">
        <f ca="1">IFERROR(__xludf.DUMMYFUNCTION("""COMPUTED_VALUE"""),0.45)</f>
        <v>0.45</v>
      </c>
      <c r="T271" s="1">
        <f ca="1">IFERROR(__xludf.DUMMYFUNCTION("""COMPUTED_VALUE"""),298)</f>
        <v>298</v>
      </c>
      <c r="U271" s="1">
        <f ca="1">IFERROR(__xludf.DUMMYFUNCTION("""COMPUTED_VALUE"""),789)</f>
        <v>789</v>
      </c>
      <c r="V271" s="1">
        <f ca="1">IFERROR(__xludf.DUMMYFUNCTION("""COMPUTED_VALUE"""),0.378)</f>
        <v>0.378</v>
      </c>
      <c r="W271" s="1">
        <f ca="1">IFERROR(__xludf.DUMMYFUNCTION("""COMPUTED_VALUE"""),307)</f>
        <v>307</v>
      </c>
      <c r="X271" s="1">
        <f ca="1">IFERROR(__xludf.DUMMYFUNCTION("""COMPUTED_VALUE"""),416)</f>
        <v>416</v>
      </c>
      <c r="Y271" s="1">
        <f ca="1">IFERROR(__xludf.DUMMYFUNCTION("""COMPUTED_VALUE"""),0.738)</f>
        <v>0.73799999999999999</v>
      </c>
      <c r="Z271" s="1">
        <f ca="1">IFERROR(__xludf.DUMMYFUNCTION("""COMPUTED_VALUE"""),247)</f>
        <v>247</v>
      </c>
      <c r="AA271" s="1">
        <f ca="1">IFERROR(__xludf.DUMMYFUNCTION("""COMPUTED_VALUE"""),1003)</f>
        <v>1003</v>
      </c>
      <c r="AB271" s="1">
        <f ca="1">IFERROR(__xludf.DUMMYFUNCTION("""COMPUTED_VALUE"""),426)</f>
        <v>426</v>
      </c>
      <c r="AC271" s="1">
        <f ca="1">IFERROR(__xludf.DUMMYFUNCTION("""COMPUTED_VALUE"""),200)</f>
        <v>200</v>
      </c>
      <c r="AD271" s="1">
        <f ca="1">IFERROR(__xludf.DUMMYFUNCTION("""COMPUTED_VALUE"""),93)</f>
        <v>93</v>
      </c>
      <c r="AE271" s="1">
        <f ca="1">IFERROR(__xludf.DUMMYFUNCTION("""COMPUTED_VALUE"""),298)</f>
        <v>298</v>
      </c>
      <c r="AF271" s="1">
        <f ca="1">IFERROR(__xludf.DUMMYFUNCTION("""COMPUTED_VALUE"""),482)</f>
        <v>482</v>
      </c>
    </row>
    <row r="272" spans="1:32" ht="12.5" x14ac:dyDescent="0.25">
      <c r="A272" s="1" t="str">
        <f ca="1">IFERROR(__xludf.DUMMYFUNCTION("""COMPUTED_VALUE"""),"ProvidenceNCAA")</f>
        <v>ProvidenceNCAA</v>
      </c>
      <c r="B272" s="1">
        <f ca="1">IFERROR(__xludf.DUMMYFUNCTION("""COMPUTED_VALUE"""),33)</f>
        <v>33</v>
      </c>
      <c r="C272" s="1">
        <f ca="1">IFERROR(__xludf.DUMMYFUNCTION("""COMPUTED_VALUE"""),20)</f>
        <v>20</v>
      </c>
      <c r="D272" s="1">
        <f ca="1">IFERROR(__xludf.DUMMYFUNCTION("""COMPUTED_VALUE"""),13)</f>
        <v>13</v>
      </c>
      <c r="E272" s="1">
        <f ca="1">IFERROR(__xludf.DUMMYFUNCTION("""COMPUTED_VALUE"""),0.606)</f>
        <v>0.60599999999999998</v>
      </c>
      <c r="F272" s="1">
        <f ca="1">IFERROR(__xludf.DUMMYFUNCTION("""COMPUTED_VALUE"""),11.24)</f>
        <v>11.24</v>
      </c>
      <c r="G272" s="1">
        <f ca="1">IFERROR(__xludf.DUMMYFUNCTION("""COMPUTED_VALUE"""),7.84)</f>
        <v>7.84</v>
      </c>
      <c r="H272" s="1">
        <f ca="1">IFERROR(__xludf.DUMMYFUNCTION("""COMPUTED_VALUE"""),10)</f>
        <v>10</v>
      </c>
      <c r="I272" s="1">
        <f ca="1">IFERROR(__xludf.DUMMYFUNCTION("""COMPUTED_VALUE"""),8)</f>
        <v>8</v>
      </c>
      <c r="J272" s="1">
        <f ca="1">IFERROR(__xludf.DUMMYFUNCTION("""COMPUTED_VALUE"""),15)</f>
        <v>15</v>
      </c>
      <c r="K272" s="1">
        <f ca="1">IFERROR(__xludf.DUMMYFUNCTION("""COMPUTED_VALUE"""),3)</f>
        <v>3</v>
      </c>
      <c r="L272" s="1">
        <f ca="1">IFERROR(__xludf.DUMMYFUNCTION("""COMPUTED_VALUE"""),4)</f>
        <v>4</v>
      </c>
      <c r="M272" s="1">
        <f ca="1">IFERROR(__xludf.DUMMYFUNCTION("""COMPUTED_VALUE"""),7)</f>
        <v>7</v>
      </c>
      <c r="N272" s="1">
        <f ca="1">IFERROR(__xludf.DUMMYFUNCTION("""COMPUTED_VALUE"""),2319)</f>
        <v>2319</v>
      </c>
      <c r="O272" s="1">
        <f ca="1">IFERROR(__xludf.DUMMYFUNCTION("""COMPUTED_VALUE"""),2207)</f>
        <v>2207</v>
      </c>
      <c r="P272" s="1">
        <f ca="1">IFERROR(__xludf.DUMMYFUNCTION("""COMPUTED_VALUE"""),1325)</f>
        <v>1325</v>
      </c>
      <c r="Q272" s="1">
        <f ca="1">IFERROR(__xludf.DUMMYFUNCTION("""COMPUTED_VALUE"""),804)</f>
        <v>804</v>
      </c>
      <c r="R272" s="1">
        <f ca="1">IFERROR(__xludf.DUMMYFUNCTION("""COMPUTED_VALUE"""),1795)</f>
        <v>1795</v>
      </c>
      <c r="S272" s="1">
        <f ca="1">IFERROR(__xludf.DUMMYFUNCTION("""COMPUTED_VALUE"""),0.448)</f>
        <v>0.44800000000000001</v>
      </c>
      <c r="T272" s="1">
        <f ca="1">IFERROR(__xludf.DUMMYFUNCTION("""COMPUTED_VALUE"""),239)</f>
        <v>239</v>
      </c>
      <c r="U272" s="1">
        <f ca="1">IFERROR(__xludf.DUMMYFUNCTION("""COMPUTED_VALUE"""),645)</f>
        <v>645</v>
      </c>
      <c r="V272" s="1">
        <f ca="1">IFERROR(__xludf.DUMMYFUNCTION("""COMPUTED_VALUE"""),0.371)</f>
        <v>0.371</v>
      </c>
      <c r="W272" s="1">
        <f ca="1">IFERROR(__xludf.DUMMYFUNCTION("""COMPUTED_VALUE"""),472)</f>
        <v>472</v>
      </c>
      <c r="X272" s="1">
        <f ca="1">IFERROR(__xludf.DUMMYFUNCTION("""COMPUTED_VALUE"""),683)</f>
        <v>683</v>
      </c>
      <c r="Y272" s="1">
        <f ca="1">IFERROR(__xludf.DUMMYFUNCTION("""COMPUTED_VALUE"""),0.691)</f>
        <v>0.69099999999999995</v>
      </c>
      <c r="Z272" s="1">
        <f ca="1">IFERROR(__xludf.DUMMYFUNCTION("""COMPUTED_VALUE"""),294)</f>
        <v>294</v>
      </c>
      <c r="AA272" s="1">
        <f ca="1">IFERROR(__xludf.DUMMYFUNCTION("""COMPUTED_VALUE"""),1101)</f>
        <v>1101</v>
      </c>
      <c r="AB272" s="1">
        <f ca="1">IFERROR(__xludf.DUMMYFUNCTION("""COMPUTED_VALUE"""),471)</f>
        <v>471</v>
      </c>
      <c r="AC272" s="1">
        <f ca="1">IFERROR(__xludf.DUMMYFUNCTION("""COMPUTED_VALUE"""),218)</f>
        <v>218</v>
      </c>
      <c r="AD272" s="1">
        <f ca="1">IFERROR(__xludf.DUMMYFUNCTION("""COMPUTED_VALUE"""),98)</f>
        <v>98</v>
      </c>
      <c r="AE272" s="1">
        <f ca="1">IFERROR(__xludf.DUMMYFUNCTION("""COMPUTED_VALUE"""),412)</f>
        <v>412</v>
      </c>
      <c r="AF272" s="1">
        <f ca="1">IFERROR(__xludf.DUMMYFUNCTION("""COMPUTED_VALUE"""),569)</f>
        <v>569</v>
      </c>
    </row>
    <row r="273" spans="1:32" ht="12.5" x14ac:dyDescent="0.25">
      <c r="A273" s="1" t="str">
        <f ca="1">IFERROR(__xludf.DUMMYFUNCTION("""COMPUTED_VALUE"""),"PurdueNCAA")</f>
        <v>PurdueNCAA</v>
      </c>
      <c r="B273" s="1">
        <f ca="1">IFERROR(__xludf.DUMMYFUNCTION("""COMPUTED_VALUE"""),35)</f>
        <v>35</v>
      </c>
      <c r="C273" s="1">
        <f ca="1">IFERROR(__xludf.DUMMYFUNCTION("""COMPUTED_VALUE"""),27)</f>
        <v>27</v>
      </c>
      <c r="D273" s="1">
        <f ca="1">IFERROR(__xludf.DUMMYFUNCTION("""COMPUTED_VALUE"""),8)</f>
        <v>8</v>
      </c>
      <c r="E273" s="1">
        <f ca="1">IFERROR(__xludf.DUMMYFUNCTION("""COMPUTED_VALUE"""),0.771)</f>
        <v>0.77100000000000002</v>
      </c>
      <c r="F273" s="1">
        <f ca="1">IFERROR(__xludf.DUMMYFUNCTION("""COMPUTED_VALUE"""),20.13)</f>
        <v>20.13</v>
      </c>
      <c r="G273" s="1">
        <f ca="1">IFERROR(__xludf.DUMMYFUNCTION("""COMPUTED_VALUE"""),8.79)</f>
        <v>8.7899999999999991</v>
      </c>
      <c r="H273" s="1">
        <f ca="1">IFERROR(__xludf.DUMMYFUNCTION("""COMPUTED_VALUE"""),14)</f>
        <v>14</v>
      </c>
      <c r="I273" s="1">
        <f ca="1">IFERROR(__xludf.DUMMYFUNCTION("""COMPUTED_VALUE"""),4)</f>
        <v>4</v>
      </c>
      <c r="J273" s="1">
        <f ca="1">IFERROR(__xludf.DUMMYFUNCTION("""COMPUTED_VALUE"""),15)</f>
        <v>15</v>
      </c>
      <c r="K273" s="1">
        <f ca="1">IFERROR(__xludf.DUMMYFUNCTION("""COMPUTED_VALUE"""),2)</f>
        <v>2</v>
      </c>
      <c r="L273" s="1">
        <f ca="1">IFERROR(__xludf.DUMMYFUNCTION("""COMPUTED_VALUE"""),6)</f>
        <v>6</v>
      </c>
      <c r="M273" s="1">
        <f ca="1">IFERROR(__xludf.DUMMYFUNCTION("""COMPUTED_VALUE"""),4)</f>
        <v>4</v>
      </c>
      <c r="N273" s="1">
        <f ca="1">IFERROR(__xludf.DUMMYFUNCTION("""COMPUTED_VALUE"""),2790)</f>
        <v>2790</v>
      </c>
      <c r="O273" s="1">
        <f ca="1">IFERROR(__xludf.DUMMYFUNCTION("""COMPUTED_VALUE"""),2393)</f>
        <v>2393</v>
      </c>
      <c r="P273" s="1">
        <f ca="1">IFERROR(__xludf.DUMMYFUNCTION("""COMPUTED_VALUE"""),1415)</f>
        <v>1415</v>
      </c>
      <c r="Q273" s="1">
        <f ca="1">IFERROR(__xludf.DUMMYFUNCTION("""COMPUTED_VALUE"""),980)</f>
        <v>980</v>
      </c>
      <c r="R273" s="1">
        <f ca="1">IFERROR(__xludf.DUMMYFUNCTION("""COMPUTED_VALUE"""),2044)</f>
        <v>2044</v>
      </c>
      <c r="S273" s="1">
        <f ca="1">IFERROR(__xludf.DUMMYFUNCTION("""COMPUTED_VALUE"""),0.479)</f>
        <v>0.47899999999999998</v>
      </c>
      <c r="T273" s="1">
        <f ca="1">IFERROR(__xludf.DUMMYFUNCTION("""COMPUTED_VALUE"""),315)</f>
        <v>315</v>
      </c>
      <c r="U273" s="1">
        <f ca="1">IFERROR(__xludf.DUMMYFUNCTION("""COMPUTED_VALUE"""),782)</f>
        <v>782</v>
      </c>
      <c r="V273" s="1">
        <f ca="1">IFERROR(__xludf.DUMMYFUNCTION("""COMPUTED_VALUE"""),0.403)</f>
        <v>0.40300000000000002</v>
      </c>
      <c r="W273" s="1">
        <f ca="1">IFERROR(__xludf.DUMMYFUNCTION("""COMPUTED_VALUE"""),515)</f>
        <v>515</v>
      </c>
      <c r="X273" s="1">
        <f ca="1">IFERROR(__xludf.DUMMYFUNCTION("""COMPUTED_VALUE"""),680)</f>
        <v>680</v>
      </c>
      <c r="Y273" s="1">
        <f ca="1">IFERROR(__xludf.DUMMYFUNCTION("""COMPUTED_VALUE"""),0.757)</f>
        <v>0.75700000000000001</v>
      </c>
      <c r="Z273" s="1">
        <f ca="1">IFERROR(__xludf.DUMMYFUNCTION("""COMPUTED_VALUE"""),344)</f>
        <v>344</v>
      </c>
      <c r="AA273" s="1">
        <f ca="1">IFERROR(__xludf.DUMMYFUNCTION("""COMPUTED_VALUE"""),1322)</f>
        <v>1322</v>
      </c>
      <c r="AB273" s="1">
        <f ca="1">IFERROR(__xludf.DUMMYFUNCTION("""COMPUTED_VALUE"""),640)</f>
        <v>640</v>
      </c>
      <c r="AC273" s="1">
        <f ca="1">IFERROR(__xludf.DUMMYFUNCTION("""COMPUTED_VALUE"""),181)</f>
        <v>181</v>
      </c>
      <c r="AD273" s="1">
        <f ca="1">IFERROR(__xludf.DUMMYFUNCTION("""COMPUTED_VALUE"""),87)</f>
        <v>87</v>
      </c>
      <c r="AE273" s="1">
        <f ca="1">IFERROR(__xludf.DUMMYFUNCTION("""COMPUTED_VALUE"""),455)</f>
        <v>455</v>
      </c>
      <c r="AF273" s="1">
        <f ca="1">IFERROR(__xludf.DUMMYFUNCTION("""COMPUTED_VALUE"""),552)</f>
        <v>552</v>
      </c>
    </row>
    <row r="274" spans="1:32" ht="12.5" x14ac:dyDescent="0.25">
      <c r="A274" s="1" t="str">
        <f ca="1">IFERROR(__xludf.DUMMYFUNCTION("""COMPUTED_VALUE"""),"Quinnipiac")</f>
        <v>Quinnipiac</v>
      </c>
      <c r="B274" s="1">
        <f ca="1">IFERROR(__xludf.DUMMYFUNCTION("""COMPUTED_VALUE"""),31)</f>
        <v>31</v>
      </c>
      <c r="C274" s="1">
        <f ca="1">IFERROR(__xludf.DUMMYFUNCTION("""COMPUTED_VALUE"""),10)</f>
        <v>10</v>
      </c>
      <c r="D274" s="1">
        <f ca="1">IFERROR(__xludf.DUMMYFUNCTION("""COMPUTED_VALUE"""),21)</f>
        <v>21</v>
      </c>
      <c r="E274" s="1">
        <f ca="1">IFERROR(__xludf.DUMMYFUNCTION("""COMPUTED_VALUE"""),0.323)</f>
        <v>0.32300000000000001</v>
      </c>
      <c r="F274" s="1">
        <f ca="1">IFERROR(__xludf.DUMMYFUNCTION("""COMPUTED_VALUE"""),-9.86)</f>
        <v>-9.86</v>
      </c>
      <c r="G274" s="1">
        <f ca="1">IFERROR(__xludf.DUMMYFUNCTION("""COMPUTED_VALUE"""),-3.22)</f>
        <v>-3.22</v>
      </c>
      <c r="H274" s="1">
        <f ca="1">IFERROR(__xludf.DUMMYFUNCTION("""COMPUTED_VALUE"""),7)</f>
        <v>7</v>
      </c>
      <c r="I274" s="1">
        <f ca="1">IFERROR(__xludf.DUMMYFUNCTION("""COMPUTED_VALUE"""),13)</f>
        <v>13</v>
      </c>
      <c r="J274" s="1">
        <f ca="1">IFERROR(__xludf.DUMMYFUNCTION("""COMPUTED_VALUE"""),6)</f>
        <v>6</v>
      </c>
      <c r="K274" s="1">
        <f ca="1">IFERROR(__xludf.DUMMYFUNCTION("""COMPUTED_VALUE"""),8)</f>
        <v>8</v>
      </c>
      <c r="L274" s="1">
        <f ca="1">IFERROR(__xludf.DUMMYFUNCTION("""COMPUTED_VALUE"""),3)</f>
        <v>3</v>
      </c>
      <c r="M274" s="1">
        <f ca="1">IFERROR(__xludf.DUMMYFUNCTION("""COMPUTED_VALUE"""),10)</f>
        <v>10</v>
      </c>
      <c r="N274" s="1">
        <f ca="1">IFERROR(__xludf.DUMMYFUNCTION("""COMPUTED_VALUE"""),2377)</f>
        <v>2377</v>
      </c>
      <c r="O274" s="1">
        <f ca="1">IFERROR(__xludf.DUMMYFUNCTION("""COMPUTED_VALUE"""),2583)</f>
        <v>2583</v>
      </c>
      <c r="P274" s="1">
        <f ca="1">IFERROR(__xludf.DUMMYFUNCTION("""COMPUTED_VALUE"""),1250)</f>
        <v>1250</v>
      </c>
      <c r="Q274" s="1">
        <f ca="1">IFERROR(__xludf.DUMMYFUNCTION("""COMPUTED_VALUE"""),848)</f>
        <v>848</v>
      </c>
      <c r="R274" s="1">
        <f ca="1">IFERROR(__xludf.DUMMYFUNCTION("""COMPUTED_VALUE"""),2008)</f>
        <v>2008</v>
      </c>
      <c r="S274" s="1">
        <f ca="1">IFERROR(__xludf.DUMMYFUNCTION("""COMPUTED_VALUE"""),0.422)</f>
        <v>0.42199999999999999</v>
      </c>
      <c r="T274" s="1">
        <f ca="1">IFERROR(__xludf.DUMMYFUNCTION("""COMPUTED_VALUE"""),228)</f>
        <v>228</v>
      </c>
      <c r="U274" s="1">
        <f ca="1">IFERROR(__xludf.DUMMYFUNCTION("""COMPUTED_VALUE"""),700)</f>
        <v>700</v>
      </c>
      <c r="V274" s="1">
        <f ca="1">IFERROR(__xludf.DUMMYFUNCTION("""COMPUTED_VALUE"""),0.326)</f>
        <v>0.32600000000000001</v>
      </c>
      <c r="W274" s="1">
        <f ca="1">IFERROR(__xludf.DUMMYFUNCTION("""COMPUTED_VALUE"""),453)</f>
        <v>453</v>
      </c>
      <c r="X274" s="1">
        <f ca="1">IFERROR(__xludf.DUMMYFUNCTION("""COMPUTED_VALUE"""),663)</f>
        <v>663</v>
      </c>
      <c r="Y274" s="1">
        <f ca="1">IFERROR(__xludf.DUMMYFUNCTION("""COMPUTED_VALUE"""),0.683)</f>
        <v>0.68300000000000005</v>
      </c>
      <c r="Z274" s="1">
        <f ca="1">IFERROR(__xludf.DUMMYFUNCTION("""COMPUTED_VALUE"""),432)</f>
        <v>432</v>
      </c>
      <c r="AA274" s="1">
        <f ca="1">IFERROR(__xludf.DUMMYFUNCTION("""COMPUTED_VALUE"""),1223)</f>
        <v>1223</v>
      </c>
      <c r="AB274" s="1">
        <f ca="1">IFERROR(__xludf.DUMMYFUNCTION("""COMPUTED_VALUE"""),447)</f>
        <v>447</v>
      </c>
      <c r="AC274" s="1">
        <f ca="1">IFERROR(__xludf.DUMMYFUNCTION("""COMPUTED_VALUE"""),178)</f>
        <v>178</v>
      </c>
      <c r="AD274" s="1">
        <f ca="1">IFERROR(__xludf.DUMMYFUNCTION("""COMPUTED_VALUE"""),111)</f>
        <v>111</v>
      </c>
      <c r="AE274" s="1">
        <f ca="1">IFERROR(__xludf.DUMMYFUNCTION("""COMPUTED_VALUE"""),448)</f>
        <v>448</v>
      </c>
      <c r="AF274" s="1">
        <f ca="1">IFERROR(__xludf.DUMMYFUNCTION("""COMPUTED_VALUE"""),607)</f>
        <v>607</v>
      </c>
    </row>
    <row r="275" spans="1:32" ht="12.5" x14ac:dyDescent="0.25">
      <c r="A275" s="1" t="str">
        <f ca="1">IFERROR(__xludf.DUMMYFUNCTION("""COMPUTED_VALUE"""),"Radford")</f>
        <v>Radford</v>
      </c>
      <c r="B275" s="1">
        <f ca="1">IFERROR(__xludf.DUMMYFUNCTION("""COMPUTED_VALUE"""),32)</f>
        <v>32</v>
      </c>
      <c r="C275" s="1">
        <f ca="1">IFERROR(__xludf.DUMMYFUNCTION("""COMPUTED_VALUE"""),14)</f>
        <v>14</v>
      </c>
      <c r="D275" s="1">
        <f ca="1">IFERROR(__xludf.DUMMYFUNCTION("""COMPUTED_VALUE"""),18)</f>
        <v>18</v>
      </c>
      <c r="E275" s="1">
        <f ca="1">IFERROR(__xludf.DUMMYFUNCTION("""COMPUTED_VALUE"""),0.438)</f>
        <v>0.438</v>
      </c>
      <c r="F275" s="1">
        <f ca="1">IFERROR(__xludf.DUMMYFUNCTION("""COMPUTED_VALUE"""),-11.34)</f>
        <v>-11.34</v>
      </c>
      <c r="G275" s="1">
        <f ca="1">IFERROR(__xludf.DUMMYFUNCTION("""COMPUTED_VALUE"""),-4.58)</f>
        <v>-4.58</v>
      </c>
      <c r="H275" s="1">
        <f ca="1">IFERROR(__xludf.DUMMYFUNCTION("""COMPUTED_VALUE"""),8)</f>
        <v>8</v>
      </c>
      <c r="I275" s="1">
        <f ca="1">IFERROR(__xludf.DUMMYFUNCTION("""COMPUTED_VALUE"""),10)</f>
        <v>10</v>
      </c>
      <c r="J275" s="1">
        <f ca="1">IFERROR(__xludf.DUMMYFUNCTION("""COMPUTED_VALUE"""),8)</f>
        <v>8</v>
      </c>
      <c r="K275" s="1">
        <f ca="1">IFERROR(__xludf.DUMMYFUNCTION("""COMPUTED_VALUE"""),6)</f>
        <v>6</v>
      </c>
      <c r="L275" s="1">
        <f ca="1">IFERROR(__xludf.DUMMYFUNCTION("""COMPUTED_VALUE"""),4)</f>
        <v>4</v>
      </c>
      <c r="M275" s="1">
        <f ca="1">IFERROR(__xludf.DUMMYFUNCTION("""COMPUTED_VALUE"""),11)</f>
        <v>11</v>
      </c>
      <c r="N275" s="1">
        <f ca="1">IFERROR(__xludf.DUMMYFUNCTION("""COMPUTED_VALUE"""),2090)</f>
        <v>2090</v>
      </c>
      <c r="O275" s="1">
        <f ca="1">IFERROR(__xludf.DUMMYFUNCTION("""COMPUTED_VALUE"""),2247)</f>
        <v>2247</v>
      </c>
      <c r="P275" s="1">
        <f ca="1">IFERROR(__xludf.DUMMYFUNCTION("""COMPUTED_VALUE"""),1300)</f>
        <v>1300</v>
      </c>
      <c r="Q275" s="1">
        <f ca="1">IFERROR(__xludf.DUMMYFUNCTION("""COMPUTED_VALUE"""),745)</f>
        <v>745</v>
      </c>
      <c r="R275" s="1">
        <f ca="1">IFERROR(__xludf.DUMMYFUNCTION("""COMPUTED_VALUE"""),1802)</f>
        <v>1802</v>
      </c>
      <c r="S275" s="1">
        <f ca="1">IFERROR(__xludf.DUMMYFUNCTION("""COMPUTED_VALUE"""),0.413)</f>
        <v>0.41299999999999998</v>
      </c>
      <c r="T275" s="1">
        <f ca="1">IFERROR(__xludf.DUMMYFUNCTION("""COMPUTED_VALUE"""),247)</f>
        <v>247</v>
      </c>
      <c r="U275" s="1">
        <f ca="1">IFERROR(__xludf.DUMMYFUNCTION("""COMPUTED_VALUE"""),715)</f>
        <v>715</v>
      </c>
      <c r="V275" s="1">
        <f ca="1">IFERROR(__xludf.DUMMYFUNCTION("""COMPUTED_VALUE"""),0.345)</f>
        <v>0.34499999999999997</v>
      </c>
      <c r="W275" s="1">
        <f ca="1">IFERROR(__xludf.DUMMYFUNCTION("""COMPUTED_VALUE"""),353)</f>
        <v>353</v>
      </c>
      <c r="X275" s="1">
        <f ca="1">IFERROR(__xludf.DUMMYFUNCTION("""COMPUTED_VALUE"""),530)</f>
        <v>530</v>
      </c>
      <c r="Y275" s="1">
        <f ca="1">IFERROR(__xludf.DUMMYFUNCTION("""COMPUTED_VALUE"""),0.666)</f>
        <v>0.66600000000000004</v>
      </c>
      <c r="Z275" s="1">
        <f ca="1">IFERROR(__xludf.DUMMYFUNCTION("""COMPUTED_VALUE"""),396)</f>
        <v>396</v>
      </c>
      <c r="AA275" s="1">
        <f ca="1">IFERROR(__xludf.DUMMYFUNCTION("""COMPUTED_VALUE"""),1219)</f>
        <v>1219</v>
      </c>
      <c r="AB275" s="1">
        <f ca="1">IFERROR(__xludf.DUMMYFUNCTION("""COMPUTED_VALUE"""),393)</f>
        <v>393</v>
      </c>
      <c r="AC275" s="1">
        <f ca="1">IFERROR(__xludf.DUMMYFUNCTION("""COMPUTED_VALUE"""),153)</f>
        <v>153</v>
      </c>
      <c r="AD275" s="1">
        <f ca="1">IFERROR(__xludf.DUMMYFUNCTION("""COMPUTED_VALUE"""),114)</f>
        <v>114</v>
      </c>
      <c r="AE275" s="1">
        <f ca="1">IFERROR(__xludf.DUMMYFUNCTION("""COMPUTED_VALUE"""),470)</f>
        <v>470</v>
      </c>
      <c r="AF275" s="1">
        <f ca="1">IFERROR(__xludf.DUMMYFUNCTION("""COMPUTED_VALUE"""),550)</f>
        <v>550</v>
      </c>
    </row>
    <row r="276" spans="1:32" ht="12.5" x14ac:dyDescent="0.25">
      <c r="A276" s="1" t="str">
        <f ca="1">IFERROR(__xludf.DUMMYFUNCTION("""COMPUTED_VALUE"""),"Rhode IslandNCAA")</f>
        <v>Rhode IslandNCAA</v>
      </c>
      <c r="B276" s="1">
        <f ca="1">IFERROR(__xludf.DUMMYFUNCTION("""COMPUTED_VALUE"""),35)</f>
        <v>35</v>
      </c>
      <c r="C276" s="1">
        <f ca="1">IFERROR(__xludf.DUMMYFUNCTION("""COMPUTED_VALUE"""),25)</f>
        <v>25</v>
      </c>
      <c r="D276" s="1">
        <f ca="1">IFERROR(__xludf.DUMMYFUNCTION("""COMPUTED_VALUE"""),10)</f>
        <v>10</v>
      </c>
      <c r="E276" s="1">
        <f ca="1">IFERROR(__xludf.DUMMYFUNCTION("""COMPUTED_VALUE"""),0.714)</f>
        <v>0.71399999999999997</v>
      </c>
      <c r="F276" s="1">
        <f ca="1">IFERROR(__xludf.DUMMYFUNCTION("""COMPUTED_VALUE"""),12.88)</f>
        <v>12.88</v>
      </c>
      <c r="G276" s="1">
        <f ca="1">IFERROR(__xludf.DUMMYFUNCTION("""COMPUTED_VALUE"""),4.62)</f>
        <v>4.62</v>
      </c>
      <c r="H276" s="1">
        <f ca="1">IFERROR(__xludf.DUMMYFUNCTION("""COMPUTED_VALUE"""),13)</f>
        <v>13</v>
      </c>
      <c r="I276" s="1">
        <f ca="1">IFERROR(__xludf.DUMMYFUNCTION("""COMPUTED_VALUE"""),5)</f>
        <v>5</v>
      </c>
      <c r="J276" s="1">
        <f ca="1">IFERROR(__xludf.DUMMYFUNCTION("""COMPUTED_VALUE"""),13)</f>
        <v>13</v>
      </c>
      <c r="K276" s="1">
        <f ca="1">IFERROR(__xludf.DUMMYFUNCTION("""COMPUTED_VALUE"""),3)</f>
        <v>3</v>
      </c>
      <c r="L276" s="1">
        <f ca="1">IFERROR(__xludf.DUMMYFUNCTION("""COMPUTED_VALUE"""),7)</f>
        <v>7</v>
      </c>
      <c r="M276" s="1">
        <f ca="1">IFERROR(__xludf.DUMMYFUNCTION("""COMPUTED_VALUE"""),5)</f>
        <v>5</v>
      </c>
      <c r="N276" s="1">
        <f ca="1">IFERROR(__xludf.DUMMYFUNCTION("""COMPUTED_VALUE"""),2577)</f>
        <v>2577</v>
      </c>
      <c r="O276" s="1">
        <f ca="1">IFERROR(__xludf.DUMMYFUNCTION("""COMPUTED_VALUE"""),2288)</f>
        <v>2288</v>
      </c>
      <c r="P276" s="1">
        <f ca="1">IFERROR(__xludf.DUMMYFUNCTION("""COMPUTED_VALUE"""),1405)</f>
        <v>1405</v>
      </c>
      <c r="Q276" s="1">
        <f ca="1">IFERROR(__xludf.DUMMYFUNCTION("""COMPUTED_VALUE"""),916)</f>
        <v>916</v>
      </c>
      <c r="R276" s="1">
        <f ca="1">IFERROR(__xludf.DUMMYFUNCTION("""COMPUTED_VALUE"""),2019)</f>
        <v>2019</v>
      </c>
      <c r="S276" s="1">
        <f ca="1">IFERROR(__xludf.DUMMYFUNCTION("""COMPUTED_VALUE"""),0.454)</f>
        <v>0.45400000000000001</v>
      </c>
      <c r="T276" s="1">
        <f ca="1">IFERROR(__xludf.DUMMYFUNCTION("""COMPUTED_VALUE"""),217)</f>
        <v>217</v>
      </c>
      <c r="U276" s="1">
        <f ca="1">IFERROR(__xludf.DUMMYFUNCTION("""COMPUTED_VALUE"""),653)</f>
        <v>653</v>
      </c>
      <c r="V276" s="1">
        <f ca="1">IFERROR(__xludf.DUMMYFUNCTION("""COMPUTED_VALUE"""),0.332)</f>
        <v>0.33200000000000002</v>
      </c>
      <c r="W276" s="1">
        <f ca="1">IFERROR(__xludf.DUMMYFUNCTION("""COMPUTED_VALUE"""),528)</f>
        <v>528</v>
      </c>
      <c r="X276" s="1">
        <f ca="1">IFERROR(__xludf.DUMMYFUNCTION("""COMPUTED_VALUE"""),791)</f>
        <v>791</v>
      </c>
      <c r="Y276" s="1">
        <f ca="1">IFERROR(__xludf.DUMMYFUNCTION("""COMPUTED_VALUE"""),0.668)</f>
        <v>0.66800000000000004</v>
      </c>
      <c r="Z276" s="1">
        <f ca="1">IFERROR(__xludf.DUMMYFUNCTION("""COMPUTED_VALUE"""),409)</f>
        <v>409</v>
      </c>
      <c r="AA276" s="1">
        <f ca="1">IFERROR(__xludf.DUMMYFUNCTION("""COMPUTED_VALUE"""),1301)</f>
        <v>1301</v>
      </c>
      <c r="AB276" s="1">
        <f ca="1">IFERROR(__xludf.DUMMYFUNCTION("""COMPUTED_VALUE"""),467)</f>
        <v>467</v>
      </c>
      <c r="AC276" s="1">
        <f ca="1">IFERROR(__xludf.DUMMYFUNCTION("""COMPUTED_VALUE"""),227)</f>
        <v>227</v>
      </c>
      <c r="AD276" s="1">
        <f ca="1">IFERROR(__xludf.DUMMYFUNCTION("""COMPUTED_VALUE"""),206)</f>
        <v>206</v>
      </c>
      <c r="AE276" s="1">
        <f ca="1">IFERROR(__xludf.DUMMYFUNCTION("""COMPUTED_VALUE"""),389)</f>
        <v>389</v>
      </c>
      <c r="AF276" s="1">
        <f ca="1">IFERROR(__xludf.DUMMYFUNCTION("""COMPUTED_VALUE"""),725)</f>
        <v>725</v>
      </c>
    </row>
    <row r="277" spans="1:32" ht="12.5" x14ac:dyDescent="0.25">
      <c r="A277" s="1" t="str">
        <f ca="1">IFERROR(__xludf.DUMMYFUNCTION("""COMPUTED_VALUE"""),"Rice")</f>
        <v>Rice</v>
      </c>
      <c r="B277" s="1">
        <f ca="1">IFERROR(__xludf.DUMMYFUNCTION("""COMPUTED_VALUE"""),35)</f>
        <v>35</v>
      </c>
      <c r="C277" s="1">
        <f ca="1">IFERROR(__xludf.DUMMYFUNCTION("""COMPUTED_VALUE"""),23)</f>
        <v>23</v>
      </c>
      <c r="D277" s="1">
        <f ca="1">IFERROR(__xludf.DUMMYFUNCTION("""COMPUTED_VALUE"""),12)</f>
        <v>12</v>
      </c>
      <c r="E277" s="1">
        <f ca="1">IFERROR(__xludf.DUMMYFUNCTION("""COMPUTED_VALUE"""),0.657)</f>
        <v>0.65700000000000003</v>
      </c>
      <c r="F277" s="1">
        <f ca="1">IFERROR(__xludf.DUMMYFUNCTION("""COMPUTED_VALUE"""),0.51)</f>
        <v>0.51</v>
      </c>
      <c r="G277" s="1">
        <f ca="1">IFERROR(__xludf.DUMMYFUNCTION("""COMPUTED_VALUE"""),-4.16)</f>
        <v>-4.16</v>
      </c>
      <c r="H277" s="1">
        <f ca="1">IFERROR(__xludf.DUMMYFUNCTION("""COMPUTED_VALUE"""),11)</f>
        <v>11</v>
      </c>
      <c r="I277" s="1">
        <f ca="1">IFERROR(__xludf.DUMMYFUNCTION("""COMPUTED_VALUE"""),7)</f>
        <v>7</v>
      </c>
      <c r="J277" s="1">
        <f ca="1">IFERROR(__xludf.DUMMYFUNCTION("""COMPUTED_VALUE"""),13)</f>
        <v>13</v>
      </c>
      <c r="K277" s="1">
        <f ca="1">IFERROR(__xludf.DUMMYFUNCTION("""COMPUTED_VALUE"""),6)</f>
        <v>6</v>
      </c>
      <c r="L277" s="1">
        <f ca="1">IFERROR(__xludf.DUMMYFUNCTION("""COMPUTED_VALUE"""),9)</f>
        <v>9</v>
      </c>
      <c r="M277" s="1">
        <f ca="1">IFERROR(__xludf.DUMMYFUNCTION("""COMPUTED_VALUE"""),5)</f>
        <v>5</v>
      </c>
      <c r="N277" s="1">
        <f ca="1">IFERROR(__xludf.DUMMYFUNCTION("""COMPUTED_VALUE"""),2853)</f>
        <v>2853</v>
      </c>
      <c r="O277" s="1">
        <f ca="1">IFERROR(__xludf.DUMMYFUNCTION("""COMPUTED_VALUE"""),2650)</f>
        <v>2650</v>
      </c>
      <c r="P277" s="1">
        <f ca="1">IFERROR(__xludf.DUMMYFUNCTION("""COMPUTED_VALUE"""),1415)</f>
        <v>1415</v>
      </c>
      <c r="Q277" s="1">
        <f ca="1">IFERROR(__xludf.DUMMYFUNCTION("""COMPUTED_VALUE"""),946)</f>
        <v>946</v>
      </c>
      <c r="R277" s="1">
        <f ca="1">IFERROR(__xludf.DUMMYFUNCTION("""COMPUTED_VALUE"""),2048)</f>
        <v>2048</v>
      </c>
      <c r="S277" s="1">
        <f ca="1">IFERROR(__xludf.DUMMYFUNCTION("""COMPUTED_VALUE"""),0.462)</f>
        <v>0.46200000000000002</v>
      </c>
      <c r="T277" s="1">
        <f ca="1">IFERROR(__xludf.DUMMYFUNCTION("""COMPUTED_VALUE"""),326)</f>
        <v>326</v>
      </c>
      <c r="U277" s="1">
        <f ca="1">IFERROR(__xludf.DUMMYFUNCTION("""COMPUTED_VALUE"""),840)</f>
        <v>840</v>
      </c>
      <c r="V277" s="1">
        <f ca="1">IFERROR(__xludf.DUMMYFUNCTION("""COMPUTED_VALUE"""),0.388)</f>
        <v>0.38800000000000001</v>
      </c>
      <c r="W277" s="1">
        <f ca="1">IFERROR(__xludf.DUMMYFUNCTION("""COMPUTED_VALUE"""),635)</f>
        <v>635</v>
      </c>
      <c r="X277" s="1">
        <f ca="1">IFERROR(__xludf.DUMMYFUNCTION("""COMPUTED_VALUE"""),858)</f>
        <v>858</v>
      </c>
      <c r="Y277" s="1">
        <f ca="1">IFERROR(__xludf.DUMMYFUNCTION("""COMPUTED_VALUE"""),0.74)</f>
        <v>0.74</v>
      </c>
      <c r="Z277" s="1">
        <f ca="1">IFERROR(__xludf.DUMMYFUNCTION("""COMPUTED_VALUE"""),353)</f>
        <v>353</v>
      </c>
      <c r="AA277" s="1">
        <f ca="1">IFERROR(__xludf.DUMMYFUNCTION("""COMPUTED_VALUE"""),1331)</f>
        <v>1331</v>
      </c>
      <c r="AB277" s="1">
        <f ca="1">IFERROR(__xludf.DUMMYFUNCTION("""COMPUTED_VALUE"""),484)</f>
        <v>484</v>
      </c>
      <c r="AC277" s="1">
        <f ca="1">IFERROR(__xludf.DUMMYFUNCTION("""COMPUTED_VALUE"""),221)</f>
        <v>221</v>
      </c>
      <c r="AD277" s="1">
        <f ca="1">IFERROR(__xludf.DUMMYFUNCTION("""COMPUTED_VALUE"""),129)</f>
        <v>129</v>
      </c>
      <c r="AE277" s="1">
        <f ca="1">IFERROR(__xludf.DUMMYFUNCTION("""COMPUTED_VALUE"""),524)</f>
        <v>524</v>
      </c>
      <c r="AF277" s="1">
        <f ca="1">IFERROR(__xludf.DUMMYFUNCTION("""COMPUTED_VALUE"""),669)</f>
        <v>669</v>
      </c>
    </row>
    <row r="278" spans="1:32" ht="12.5" x14ac:dyDescent="0.25">
      <c r="A278" s="1" t="str">
        <f ca="1">IFERROR(__xludf.DUMMYFUNCTION("""COMPUTED_VALUE"""),"Richmond")</f>
        <v>Richmond</v>
      </c>
      <c r="B278" s="1">
        <f ca="1">IFERROR(__xludf.DUMMYFUNCTION("""COMPUTED_VALUE"""),35)</f>
        <v>35</v>
      </c>
      <c r="C278" s="1">
        <f ca="1">IFERROR(__xludf.DUMMYFUNCTION("""COMPUTED_VALUE"""),22)</f>
        <v>22</v>
      </c>
      <c r="D278" s="1">
        <f ca="1">IFERROR(__xludf.DUMMYFUNCTION("""COMPUTED_VALUE"""),13)</f>
        <v>13</v>
      </c>
      <c r="E278" s="1">
        <f ca="1">IFERROR(__xludf.DUMMYFUNCTION("""COMPUTED_VALUE"""),0.629)</f>
        <v>0.629</v>
      </c>
      <c r="F278" s="1">
        <f ca="1">IFERROR(__xludf.DUMMYFUNCTION("""COMPUTED_VALUE"""),5.45)</f>
        <v>5.45</v>
      </c>
      <c r="G278" s="1">
        <f ca="1">IFERROR(__xludf.DUMMYFUNCTION("""COMPUTED_VALUE"""),3.28)</f>
        <v>3.28</v>
      </c>
      <c r="H278" s="1">
        <f ca="1">IFERROR(__xludf.DUMMYFUNCTION("""COMPUTED_VALUE"""),13)</f>
        <v>13</v>
      </c>
      <c r="I278" s="1">
        <f ca="1">IFERROR(__xludf.DUMMYFUNCTION("""COMPUTED_VALUE"""),5)</f>
        <v>5</v>
      </c>
      <c r="J278" s="1">
        <f ca="1">IFERROR(__xludf.DUMMYFUNCTION("""COMPUTED_VALUE"""),12)</f>
        <v>12</v>
      </c>
      <c r="K278" s="1">
        <f ca="1">IFERROR(__xludf.DUMMYFUNCTION("""COMPUTED_VALUE"""),5)</f>
        <v>5</v>
      </c>
      <c r="L278" s="1">
        <f ca="1">IFERROR(__xludf.DUMMYFUNCTION("""COMPUTED_VALUE"""),8)</f>
        <v>8</v>
      </c>
      <c r="M278" s="1">
        <f ca="1">IFERROR(__xludf.DUMMYFUNCTION("""COMPUTED_VALUE"""),6)</f>
        <v>6</v>
      </c>
      <c r="N278" s="1">
        <f ca="1">IFERROR(__xludf.DUMMYFUNCTION("""COMPUTED_VALUE"""),2596)</f>
        <v>2596</v>
      </c>
      <c r="O278" s="1">
        <f ca="1">IFERROR(__xludf.DUMMYFUNCTION("""COMPUTED_VALUE"""),2520)</f>
        <v>2520</v>
      </c>
      <c r="P278" s="1">
        <f ca="1">IFERROR(__xludf.DUMMYFUNCTION("""COMPUTED_VALUE"""),1410)</f>
        <v>1410</v>
      </c>
      <c r="Q278" s="1">
        <f ca="1">IFERROR(__xludf.DUMMYFUNCTION("""COMPUTED_VALUE"""),938)</f>
        <v>938</v>
      </c>
      <c r="R278" s="1">
        <f ca="1">IFERROR(__xludf.DUMMYFUNCTION("""COMPUTED_VALUE"""),1993)</f>
        <v>1993</v>
      </c>
      <c r="S278" s="1">
        <f ca="1">IFERROR(__xludf.DUMMYFUNCTION("""COMPUTED_VALUE"""),0.471)</f>
        <v>0.47099999999999997</v>
      </c>
      <c r="T278" s="1">
        <f ca="1">IFERROR(__xludf.DUMMYFUNCTION("""COMPUTED_VALUE"""),271)</f>
        <v>271</v>
      </c>
      <c r="U278" s="1">
        <f ca="1">IFERROR(__xludf.DUMMYFUNCTION("""COMPUTED_VALUE"""),793)</f>
        <v>793</v>
      </c>
      <c r="V278" s="1">
        <f ca="1">IFERROR(__xludf.DUMMYFUNCTION("""COMPUTED_VALUE"""),0.342)</f>
        <v>0.34200000000000003</v>
      </c>
      <c r="W278" s="1">
        <f ca="1">IFERROR(__xludf.DUMMYFUNCTION("""COMPUTED_VALUE"""),449)</f>
        <v>449</v>
      </c>
      <c r="X278" s="1">
        <f ca="1">IFERROR(__xludf.DUMMYFUNCTION("""COMPUTED_VALUE"""),630)</f>
        <v>630</v>
      </c>
      <c r="Y278" s="1">
        <f ca="1">IFERROR(__xludf.DUMMYFUNCTION("""COMPUTED_VALUE"""),0.713)</f>
        <v>0.71299999999999997</v>
      </c>
      <c r="Z278" s="1">
        <f ca="1">IFERROR(__xludf.DUMMYFUNCTION("""COMPUTED_VALUE"""),236)</f>
        <v>236</v>
      </c>
      <c r="AA278" s="1">
        <f ca="1">IFERROR(__xludf.DUMMYFUNCTION("""COMPUTED_VALUE"""),1078)</f>
        <v>1078</v>
      </c>
      <c r="AB278" s="1">
        <f ca="1">IFERROR(__xludf.DUMMYFUNCTION("""COMPUTED_VALUE"""),592)</f>
        <v>592</v>
      </c>
      <c r="AC278" s="1">
        <f ca="1">IFERROR(__xludf.DUMMYFUNCTION("""COMPUTED_VALUE"""),232)</f>
        <v>232</v>
      </c>
      <c r="AD278" s="1">
        <f ca="1">IFERROR(__xludf.DUMMYFUNCTION("""COMPUTED_VALUE"""),67)</f>
        <v>67</v>
      </c>
      <c r="AE278" s="1">
        <f ca="1">IFERROR(__xludf.DUMMYFUNCTION("""COMPUTED_VALUE"""),399)</f>
        <v>399</v>
      </c>
      <c r="AF278" s="1">
        <f ca="1">IFERROR(__xludf.DUMMYFUNCTION("""COMPUTED_VALUE"""),634)</f>
        <v>634</v>
      </c>
    </row>
    <row r="279" spans="1:32" ht="12.5" x14ac:dyDescent="0.25">
      <c r="A279" s="1" t="str">
        <f ca="1">IFERROR(__xludf.DUMMYFUNCTION("""COMPUTED_VALUE"""),"Rider")</f>
        <v>Rider</v>
      </c>
      <c r="B279" s="1">
        <f ca="1">IFERROR(__xludf.DUMMYFUNCTION("""COMPUTED_VALUE"""),33)</f>
        <v>33</v>
      </c>
      <c r="C279" s="1">
        <f ca="1">IFERROR(__xludf.DUMMYFUNCTION("""COMPUTED_VALUE"""),18)</f>
        <v>18</v>
      </c>
      <c r="D279" s="1">
        <f ca="1">IFERROR(__xludf.DUMMYFUNCTION("""COMPUTED_VALUE"""),15)</f>
        <v>15</v>
      </c>
      <c r="E279" s="1">
        <f ca="1">IFERROR(__xludf.DUMMYFUNCTION("""COMPUTED_VALUE"""),0.545)</f>
        <v>0.54500000000000004</v>
      </c>
      <c r="F279" s="1">
        <f ca="1">IFERROR(__xludf.DUMMYFUNCTION("""COMPUTED_VALUE"""),-5.34)</f>
        <v>-5.34</v>
      </c>
      <c r="G279" s="1">
        <f ca="1">IFERROR(__xludf.DUMMYFUNCTION("""COMPUTED_VALUE"""),-5.28)</f>
        <v>-5.28</v>
      </c>
      <c r="H279" s="1">
        <f ca="1">IFERROR(__xludf.DUMMYFUNCTION("""COMPUTED_VALUE"""),10)</f>
        <v>10</v>
      </c>
      <c r="I279" s="1">
        <f ca="1">IFERROR(__xludf.DUMMYFUNCTION("""COMPUTED_VALUE"""),10)</f>
        <v>10</v>
      </c>
      <c r="J279" s="1">
        <f ca="1">IFERROR(__xludf.DUMMYFUNCTION("""COMPUTED_VALUE"""),7)</f>
        <v>7</v>
      </c>
      <c r="K279" s="1">
        <f ca="1">IFERROR(__xludf.DUMMYFUNCTION("""COMPUTED_VALUE"""),5)</f>
        <v>5</v>
      </c>
      <c r="L279" s="1">
        <f ca="1">IFERROR(__xludf.DUMMYFUNCTION("""COMPUTED_VALUE"""),9)</f>
        <v>9</v>
      </c>
      <c r="M279" s="1">
        <f ca="1">IFERROR(__xludf.DUMMYFUNCTION("""COMPUTED_VALUE"""),9)</f>
        <v>9</v>
      </c>
      <c r="N279" s="1">
        <f ca="1">IFERROR(__xludf.DUMMYFUNCTION("""COMPUTED_VALUE"""),2498)</f>
        <v>2498</v>
      </c>
      <c r="O279" s="1">
        <f ca="1">IFERROR(__xludf.DUMMYFUNCTION("""COMPUTED_VALUE"""),2500)</f>
        <v>2500</v>
      </c>
      <c r="P279" s="1">
        <f ca="1">IFERROR(__xludf.DUMMYFUNCTION("""COMPUTED_VALUE"""),1325)</f>
        <v>1325</v>
      </c>
      <c r="Q279" s="1">
        <f ca="1">IFERROR(__xludf.DUMMYFUNCTION("""COMPUTED_VALUE"""),907)</f>
        <v>907</v>
      </c>
      <c r="R279" s="1">
        <f ca="1">IFERROR(__xludf.DUMMYFUNCTION("""COMPUTED_VALUE"""),2034)</f>
        <v>2034</v>
      </c>
      <c r="S279" s="1">
        <f ca="1">IFERROR(__xludf.DUMMYFUNCTION("""COMPUTED_VALUE"""),0.446)</f>
        <v>0.44600000000000001</v>
      </c>
      <c r="T279" s="1">
        <f ca="1">IFERROR(__xludf.DUMMYFUNCTION("""COMPUTED_VALUE"""),179)</f>
        <v>179</v>
      </c>
      <c r="U279" s="1">
        <f ca="1">IFERROR(__xludf.DUMMYFUNCTION("""COMPUTED_VALUE"""),539)</f>
        <v>539</v>
      </c>
      <c r="V279" s="1">
        <f ca="1">IFERROR(__xludf.DUMMYFUNCTION("""COMPUTED_VALUE"""),0.332)</f>
        <v>0.33200000000000002</v>
      </c>
      <c r="W279" s="1">
        <f ca="1">IFERROR(__xludf.DUMMYFUNCTION("""COMPUTED_VALUE"""),505)</f>
        <v>505</v>
      </c>
      <c r="X279" s="1">
        <f ca="1">IFERROR(__xludf.DUMMYFUNCTION("""COMPUTED_VALUE"""),752)</f>
        <v>752</v>
      </c>
      <c r="Y279" s="1">
        <f ca="1">IFERROR(__xludf.DUMMYFUNCTION("""COMPUTED_VALUE"""),0.672)</f>
        <v>0.67200000000000004</v>
      </c>
      <c r="Z279" s="1">
        <f ca="1">IFERROR(__xludf.DUMMYFUNCTION("""COMPUTED_VALUE"""),421)</f>
        <v>421</v>
      </c>
      <c r="AA279" s="1">
        <f ca="1">IFERROR(__xludf.DUMMYFUNCTION("""COMPUTED_VALUE"""),1331)</f>
        <v>1331</v>
      </c>
      <c r="AB279" s="1">
        <f ca="1">IFERROR(__xludf.DUMMYFUNCTION("""COMPUTED_VALUE"""),466)</f>
        <v>466</v>
      </c>
      <c r="AC279" s="1">
        <f ca="1">IFERROR(__xludf.DUMMYFUNCTION("""COMPUTED_VALUE"""),219)</f>
        <v>219</v>
      </c>
      <c r="AD279" s="1">
        <f ca="1">IFERROR(__xludf.DUMMYFUNCTION("""COMPUTED_VALUE"""),119)</f>
        <v>119</v>
      </c>
      <c r="AE279" s="1">
        <f ca="1">IFERROR(__xludf.DUMMYFUNCTION("""COMPUTED_VALUE"""),481)</f>
        <v>481</v>
      </c>
      <c r="AF279" s="1">
        <f ca="1">IFERROR(__xludf.DUMMYFUNCTION("""COMPUTED_VALUE"""),650)</f>
        <v>650</v>
      </c>
    </row>
    <row r="280" spans="1:32" ht="12.5" x14ac:dyDescent="0.25">
      <c r="A280" s="1" t="str">
        <f ca="1">IFERROR(__xludf.DUMMYFUNCTION("""COMPUTED_VALUE"""),"Robert Morris")</f>
        <v>Robert Morris</v>
      </c>
      <c r="B280" s="1">
        <f ca="1">IFERROR(__xludf.DUMMYFUNCTION("""COMPUTED_VALUE"""),33)</f>
        <v>33</v>
      </c>
      <c r="C280" s="1">
        <f ca="1">IFERROR(__xludf.DUMMYFUNCTION("""COMPUTED_VALUE"""),14)</f>
        <v>14</v>
      </c>
      <c r="D280" s="1">
        <f ca="1">IFERROR(__xludf.DUMMYFUNCTION("""COMPUTED_VALUE"""),19)</f>
        <v>19</v>
      </c>
      <c r="E280" s="1">
        <f ca="1">IFERROR(__xludf.DUMMYFUNCTION("""COMPUTED_VALUE"""),0.424)</f>
        <v>0.42399999999999999</v>
      </c>
      <c r="F280" s="1">
        <f ca="1">IFERROR(__xludf.DUMMYFUNCTION("""COMPUTED_VALUE"""),-8.56)</f>
        <v>-8.56</v>
      </c>
      <c r="G280" s="1">
        <f ca="1">IFERROR(__xludf.DUMMYFUNCTION("""COMPUTED_VALUE"""),-5.13)</f>
        <v>-5.13</v>
      </c>
      <c r="H280" s="1">
        <f ca="1">IFERROR(__xludf.DUMMYFUNCTION("""COMPUTED_VALUE"""),9)</f>
        <v>9</v>
      </c>
      <c r="I280" s="1">
        <f ca="1">IFERROR(__xludf.DUMMYFUNCTION("""COMPUTED_VALUE"""),9)</f>
        <v>9</v>
      </c>
      <c r="J280" s="1">
        <f ca="1">IFERROR(__xludf.DUMMYFUNCTION("""COMPUTED_VALUE"""),6)</f>
        <v>6</v>
      </c>
      <c r="K280" s="1">
        <f ca="1">IFERROR(__xludf.DUMMYFUNCTION("""COMPUTED_VALUE"""),7)</f>
        <v>7</v>
      </c>
      <c r="L280" s="1">
        <f ca="1">IFERROR(__xludf.DUMMYFUNCTION("""COMPUTED_VALUE"""),6)</f>
        <v>6</v>
      </c>
      <c r="M280" s="1">
        <f ca="1">IFERROR(__xludf.DUMMYFUNCTION("""COMPUTED_VALUE"""),12)</f>
        <v>12</v>
      </c>
      <c r="N280" s="1">
        <f ca="1">IFERROR(__xludf.DUMMYFUNCTION("""COMPUTED_VALUE"""),2125)</f>
        <v>2125</v>
      </c>
      <c r="O280" s="1">
        <f ca="1">IFERROR(__xludf.DUMMYFUNCTION("""COMPUTED_VALUE"""),2238)</f>
        <v>2238</v>
      </c>
      <c r="P280" s="1">
        <f ca="1">IFERROR(__xludf.DUMMYFUNCTION("""COMPUTED_VALUE"""),1325)</f>
        <v>1325</v>
      </c>
      <c r="Q280" s="1">
        <f ca="1">IFERROR(__xludf.DUMMYFUNCTION("""COMPUTED_VALUE"""),728)</f>
        <v>728</v>
      </c>
      <c r="R280" s="1">
        <f ca="1">IFERROR(__xludf.DUMMYFUNCTION("""COMPUTED_VALUE"""),1818)</f>
        <v>1818</v>
      </c>
      <c r="S280" s="1">
        <f ca="1">IFERROR(__xludf.DUMMYFUNCTION("""COMPUTED_VALUE"""),0.4)</f>
        <v>0.4</v>
      </c>
      <c r="T280" s="1">
        <f ca="1">IFERROR(__xludf.DUMMYFUNCTION("""COMPUTED_VALUE"""),183)</f>
        <v>183</v>
      </c>
      <c r="U280" s="1">
        <f ca="1">IFERROR(__xludf.DUMMYFUNCTION("""COMPUTED_VALUE"""),574)</f>
        <v>574</v>
      </c>
      <c r="V280" s="1">
        <f ca="1">IFERROR(__xludf.DUMMYFUNCTION("""COMPUTED_VALUE"""),0.319)</f>
        <v>0.31900000000000001</v>
      </c>
      <c r="W280" s="1">
        <f ca="1">IFERROR(__xludf.DUMMYFUNCTION("""COMPUTED_VALUE"""),486)</f>
        <v>486</v>
      </c>
      <c r="X280" s="1">
        <f ca="1">IFERROR(__xludf.DUMMYFUNCTION("""COMPUTED_VALUE"""),750)</f>
        <v>750</v>
      </c>
      <c r="Y280" s="1">
        <f ca="1">IFERROR(__xludf.DUMMYFUNCTION("""COMPUTED_VALUE"""),0.648)</f>
        <v>0.64800000000000002</v>
      </c>
      <c r="Z280" s="1">
        <f ca="1">IFERROR(__xludf.DUMMYFUNCTION("""COMPUTED_VALUE"""),363)</f>
        <v>363</v>
      </c>
      <c r="AA280" s="1">
        <f ca="1">IFERROR(__xludf.DUMMYFUNCTION("""COMPUTED_VALUE"""),1139)</f>
        <v>1139</v>
      </c>
      <c r="AB280" s="1">
        <f ca="1">IFERROR(__xludf.DUMMYFUNCTION("""COMPUTED_VALUE"""),348)</f>
        <v>348</v>
      </c>
      <c r="AC280" s="1">
        <f ca="1">IFERROR(__xludf.DUMMYFUNCTION("""COMPUTED_VALUE"""),261)</f>
        <v>261</v>
      </c>
      <c r="AD280" s="1">
        <f ca="1">IFERROR(__xludf.DUMMYFUNCTION("""COMPUTED_VALUE"""),80)</f>
        <v>80</v>
      </c>
      <c r="AE280" s="1">
        <f ca="1">IFERROR(__xludf.DUMMYFUNCTION("""COMPUTED_VALUE"""),497)</f>
        <v>497</v>
      </c>
      <c r="AF280" s="1">
        <f ca="1">IFERROR(__xludf.DUMMYFUNCTION("""COMPUTED_VALUE"""),671)</f>
        <v>671</v>
      </c>
    </row>
    <row r="281" spans="1:32" ht="12.5" x14ac:dyDescent="0.25">
      <c r="A281" s="1" t="str">
        <f ca="1">IFERROR(__xludf.DUMMYFUNCTION("""COMPUTED_VALUE"""),"Rutgers")</f>
        <v>Rutgers</v>
      </c>
      <c r="B281" s="1">
        <f ca="1">IFERROR(__xludf.DUMMYFUNCTION("""COMPUTED_VALUE"""),33)</f>
        <v>33</v>
      </c>
      <c r="C281" s="1">
        <f ca="1">IFERROR(__xludf.DUMMYFUNCTION("""COMPUTED_VALUE"""),15)</f>
        <v>15</v>
      </c>
      <c r="D281" s="1">
        <f ca="1">IFERROR(__xludf.DUMMYFUNCTION("""COMPUTED_VALUE"""),18)</f>
        <v>18</v>
      </c>
      <c r="E281" s="1">
        <f ca="1">IFERROR(__xludf.DUMMYFUNCTION("""COMPUTED_VALUE"""),0.455)</f>
        <v>0.45500000000000002</v>
      </c>
      <c r="F281" s="1">
        <f ca="1">IFERROR(__xludf.DUMMYFUNCTION("""COMPUTED_VALUE"""),3.69)</f>
        <v>3.69</v>
      </c>
      <c r="G281" s="1">
        <f ca="1">IFERROR(__xludf.DUMMYFUNCTION("""COMPUTED_VALUE"""),6.22)</f>
        <v>6.22</v>
      </c>
      <c r="H281" s="1">
        <f ca="1">IFERROR(__xludf.DUMMYFUNCTION("""COMPUTED_VALUE"""),3)</f>
        <v>3</v>
      </c>
      <c r="I281" s="1">
        <f ca="1">IFERROR(__xludf.DUMMYFUNCTION("""COMPUTED_VALUE"""),15)</f>
        <v>15</v>
      </c>
      <c r="J281" s="1">
        <f ca="1">IFERROR(__xludf.DUMMYFUNCTION("""COMPUTED_VALUE"""),10)</f>
        <v>10</v>
      </c>
      <c r="K281" s="1">
        <f ca="1">IFERROR(__xludf.DUMMYFUNCTION("""COMPUTED_VALUE"""),6)</f>
        <v>6</v>
      </c>
      <c r="L281" s="1">
        <f ca="1">IFERROR(__xludf.DUMMYFUNCTION("""COMPUTED_VALUE"""),3)</f>
        <v>3</v>
      </c>
      <c r="M281" s="1">
        <f ca="1">IFERROR(__xludf.DUMMYFUNCTION("""COMPUTED_VALUE"""),10)</f>
        <v>10</v>
      </c>
      <c r="N281" s="1">
        <f ca="1">IFERROR(__xludf.DUMMYFUNCTION("""COMPUTED_VALUE"""),2163)</f>
        <v>2163</v>
      </c>
      <c r="O281" s="1">
        <f ca="1">IFERROR(__xludf.DUMMYFUNCTION("""COMPUTED_VALUE"""),2215)</f>
        <v>2215</v>
      </c>
      <c r="P281" s="1">
        <f ca="1">IFERROR(__xludf.DUMMYFUNCTION("""COMPUTED_VALUE"""),1325)</f>
        <v>1325</v>
      </c>
      <c r="Q281" s="1">
        <f ca="1">IFERROR(__xludf.DUMMYFUNCTION("""COMPUTED_VALUE"""),809)</f>
        <v>809</v>
      </c>
      <c r="R281" s="1">
        <f ca="1">IFERROR(__xludf.DUMMYFUNCTION("""COMPUTED_VALUE"""),1967)</f>
        <v>1967</v>
      </c>
      <c r="S281" s="1">
        <f ca="1">IFERROR(__xludf.DUMMYFUNCTION("""COMPUTED_VALUE"""),0.411)</f>
        <v>0.41099999999999998</v>
      </c>
      <c r="T281" s="1">
        <f ca="1">IFERROR(__xludf.DUMMYFUNCTION("""COMPUTED_VALUE"""),152)</f>
        <v>152</v>
      </c>
      <c r="U281" s="1">
        <f ca="1">IFERROR(__xludf.DUMMYFUNCTION("""COMPUTED_VALUE"""),502)</f>
        <v>502</v>
      </c>
      <c r="V281" s="1">
        <f ca="1">IFERROR(__xludf.DUMMYFUNCTION("""COMPUTED_VALUE"""),0.303)</f>
        <v>0.30299999999999999</v>
      </c>
      <c r="W281" s="1">
        <f ca="1">IFERROR(__xludf.DUMMYFUNCTION("""COMPUTED_VALUE"""),393)</f>
        <v>393</v>
      </c>
      <c r="X281" s="1">
        <f ca="1">IFERROR(__xludf.DUMMYFUNCTION("""COMPUTED_VALUE"""),631)</f>
        <v>631</v>
      </c>
      <c r="Y281" s="1">
        <f ca="1">IFERROR(__xludf.DUMMYFUNCTION("""COMPUTED_VALUE"""),0.623)</f>
        <v>0.623</v>
      </c>
      <c r="Z281" s="1">
        <f ca="1">IFERROR(__xludf.DUMMYFUNCTION("""COMPUTED_VALUE"""),480)</f>
        <v>480</v>
      </c>
      <c r="AA281" s="1">
        <f ca="1">IFERROR(__xludf.DUMMYFUNCTION("""COMPUTED_VALUE"""),1319)</f>
        <v>1319</v>
      </c>
      <c r="AB281" s="1">
        <f ca="1">IFERROR(__xludf.DUMMYFUNCTION("""COMPUTED_VALUE"""),360)</f>
        <v>360</v>
      </c>
      <c r="AC281" s="1">
        <f ca="1">IFERROR(__xludf.DUMMYFUNCTION("""COMPUTED_VALUE"""),217)</f>
        <v>217</v>
      </c>
      <c r="AD281" s="1">
        <f ca="1">IFERROR(__xludf.DUMMYFUNCTION("""COMPUTED_VALUE"""),153)</f>
        <v>153</v>
      </c>
      <c r="AE281" s="1">
        <f ca="1">IFERROR(__xludf.DUMMYFUNCTION("""COMPUTED_VALUE"""),437)</f>
        <v>437</v>
      </c>
      <c r="AF281" s="1">
        <f ca="1">IFERROR(__xludf.DUMMYFUNCTION("""COMPUTED_VALUE"""),584)</f>
        <v>584</v>
      </c>
    </row>
    <row r="282" spans="1:32" ht="12.5" x14ac:dyDescent="0.25">
      <c r="A282" s="1" t="str">
        <f ca="1">IFERROR(__xludf.DUMMYFUNCTION("""COMPUTED_VALUE"""),"Sacramento State")</f>
        <v>Sacramento State</v>
      </c>
      <c r="B282" s="1">
        <f ca="1">IFERROR(__xludf.DUMMYFUNCTION("""COMPUTED_VALUE"""),31)</f>
        <v>31</v>
      </c>
      <c r="C282" s="1">
        <f ca="1">IFERROR(__xludf.DUMMYFUNCTION("""COMPUTED_VALUE"""),13)</f>
        <v>13</v>
      </c>
      <c r="D282" s="1">
        <f ca="1">IFERROR(__xludf.DUMMYFUNCTION("""COMPUTED_VALUE"""),18)</f>
        <v>18</v>
      </c>
      <c r="E282" s="1">
        <f ca="1">IFERROR(__xludf.DUMMYFUNCTION("""COMPUTED_VALUE"""),0.419)</f>
        <v>0.41899999999999998</v>
      </c>
      <c r="F282" s="1">
        <f ca="1">IFERROR(__xludf.DUMMYFUNCTION("""COMPUTED_VALUE"""),-10.69)</f>
        <v>-10.69</v>
      </c>
      <c r="G282" s="1">
        <f ca="1">IFERROR(__xludf.DUMMYFUNCTION("""COMPUTED_VALUE"""),-5.58)</f>
        <v>-5.58</v>
      </c>
      <c r="H282" s="1">
        <f ca="1">IFERROR(__xludf.DUMMYFUNCTION("""COMPUTED_VALUE"""),9)</f>
        <v>9</v>
      </c>
      <c r="I282" s="1">
        <f ca="1">IFERROR(__xludf.DUMMYFUNCTION("""COMPUTED_VALUE"""),9)</f>
        <v>9</v>
      </c>
      <c r="J282" s="1">
        <f ca="1">IFERROR(__xludf.DUMMYFUNCTION("""COMPUTED_VALUE"""),8)</f>
        <v>8</v>
      </c>
      <c r="K282" s="1">
        <f ca="1">IFERROR(__xludf.DUMMYFUNCTION("""COMPUTED_VALUE"""),5)</f>
        <v>5</v>
      </c>
      <c r="L282" s="1">
        <f ca="1">IFERROR(__xludf.DUMMYFUNCTION("""COMPUTED_VALUE"""),4)</f>
        <v>4</v>
      </c>
      <c r="M282" s="1">
        <f ca="1">IFERROR(__xludf.DUMMYFUNCTION("""COMPUTED_VALUE"""),10)</f>
        <v>10</v>
      </c>
      <c r="N282" s="1">
        <f ca="1">IFERROR(__xludf.DUMMYFUNCTION("""COMPUTED_VALUE"""),2204)</f>
        <v>2204</v>
      </c>
      <c r="O282" s="1">
        <f ca="1">IFERROR(__xludf.DUMMYFUNCTION("""COMPUTED_VALUE"""),2303)</f>
        <v>2303</v>
      </c>
      <c r="P282" s="1">
        <f ca="1">IFERROR(__xludf.DUMMYFUNCTION("""COMPUTED_VALUE"""),1260)</f>
        <v>1260</v>
      </c>
      <c r="Q282" s="1">
        <f ca="1">IFERROR(__xludf.DUMMYFUNCTION("""COMPUTED_VALUE"""),808)</f>
        <v>808</v>
      </c>
      <c r="R282" s="1">
        <f ca="1">IFERROR(__xludf.DUMMYFUNCTION("""COMPUTED_VALUE"""),1759)</f>
        <v>1759</v>
      </c>
      <c r="S282" s="1">
        <f ca="1">IFERROR(__xludf.DUMMYFUNCTION("""COMPUTED_VALUE"""),0.459)</f>
        <v>0.45900000000000002</v>
      </c>
      <c r="T282" s="1">
        <f ca="1">IFERROR(__xludf.DUMMYFUNCTION("""COMPUTED_VALUE"""),160)</f>
        <v>160</v>
      </c>
      <c r="U282" s="1">
        <f ca="1">IFERROR(__xludf.DUMMYFUNCTION("""COMPUTED_VALUE"""),506)</f>
        <v>506</v>
      </c>
      <c r="V282" s="1">
        <f ca="1">IFERROR(__xludf.DUMMYFUNCTION("""COMPUTED_VALUE"""),0.316)</f>
        <v>0.316</v>
      </c>
      <c r="W282" s="1">
        <f ca="1">IFERROR(__xludf.DUMMYFUNCTION("""COMPUTED_VALUE"""),428)</f>
        <v>428</v>
      </c>
      <c r="X282" s="1">
        <f ca="1">IFERROR(__xludf.DUMMYFUNCTION("""COMPUTED_VALUE"""),657)</f>
        <v>657</v>
      </c>
      <c r="Y282" s="1">
        <f ca="1">IFERROR(__xludf.DUMMYFUNCTION("""COMPUTED_VALUE"""),0.651)</f>
        <v>0.65100000000000002</v>
      </c>
      <c r="Z282" s="1">
        <f ca="1">IFERROR(__xludf.DUMMYFUNCTION("""COMPUTED_VALUE"""),306)</f>
        <v>306</v>
      </c>
      <c r="AA282" s="1">
        <f ca="1">IFERROR(__xludf.DUMMYFUNCTION("""COMPUTED_VALUE"""),1100)</f>
        <v>1100</v>
      </c>
      <c r="AB282" s="1">
        <f ca="1">IFERROR(__xludf.DUMMYFUNCTION("""COMPUTED_VALUE"""),408)</f>
        <v>408</v>
      </c>
      <c r="AC282" s="1">
        <f ca="1">IFERROR(__xludf.DUMMYFUNCTION("""COMPUTED_VALUE"""),145)</f>
        <v>145</v>
      </c>
      <c r="AD282" s="1">
        <f ca="1">IFERROR(__xludf.DUMMYFUNCTION("""COMPUTED_VALUE"""),135)</f>
        <v>135</v>
      </c>
      <c r="AE282" s="1">
        <f ca="1">IFERROR(__xludf.DUMMYFUNCTION("""COMPUTED_VALUE"""),360)</f>
        <v>360</v>
      </c>
      <c r="AF282" s="1">
        <f ca="1">IFERROR(__xludf.DUMMYFUNCTION("""COMPUTED_VALUE"""),568)</f>
        <v>568</v>
      </c>
    </row>
    <row r="283" spans="1:32" ht="12.5" x14ac:dyDescent="0.25">
      <c r="A283" s="1" t="str">
        <f ca="1">IFERROR(__xludf.DUMMYFUNCTION("""COMPUTED_VALUE"""),"Sacred Heart")</f>
        <v>Sacred Heart</v>
      </c>
      <c r="B283" s="1">
        <f ca="1">IFERROR(__xludf.DUMMYFUNCTION("""COMPUTED_VALUE"""),32)</f>
        <v>32</v>
      </c>
      <c r="C283" s="1">
        <f ca="1">IFERROR(__xludf.DUMMYFUNCTION("""COMPUTED_VALUE"""),13)</f>
        <v>13</v>
      </c>
      <c r="D283" s="1">
        <f ca="1">IFERROR(__xludf.DUMMYFUNCTION("""COMPUTED_VALUE"""),19)</f>
        <v>19</v>
      </c>
      <c r="E283" s="1">
        <f ca="1">IFERROR(__xludf.DUMMYFUNCTION("""COMPUTED_VALUE"""),0.406)</f>
        <v>0.40600000000000003</v>
      </c>
      <c r="F283" s="1">
        <f ca="1">IFERROR(__xludf.DUMMYFUNCTION("""COMPUTED_VALUE"""),-10.95)</f>
        <v>-10.95</v>
      </c>
      <c r="G283" s="1">
        <f ca="1">IFERROR(__xludf.DUMMYFUNCTION("""COMPUTED_VALUE"""),-7.52)</f>
        <v>-7.52</v>
      </c>
      <c r="H283" s="1">
        <f ca="1">IFERROR(__xludf.DUMMYFUNCTION("""COMPUTED_VALUE"""),8)</f>
        <v>8</v>
      </c>
      <c r="I283" s="1">
        <f ca="1">IFERROR(__xludf.DUMMYFUNCTION("""COMPUTED_VALUE"""),10)</f>
        <v>10</v>
      </c>
      <c r="J283" s="1">
        <f ca="1">IFERROR(__xludf.DUMMYFUNCTION("""COMPUTED_VALUE"""),6)</f>
        <v>6</v>
      </c>
      <c r="K283" s="1">
        <f ca="1">IFERROR(__xludf.DUMMYFUNCTION("""COMPUTED_VALUE"""),8)</f>
        <v>8</v>
      </c>
      <c r="L283" s="1">
        <f ca="1">IFERROR(__xludf.DUMMYFUNCTION("""COMPUTED_VALUE"""),6)</f>
        <v>6</v>
      </c>
      <c r="M283" s="1">
        <f ca="1">IFERROR(__xludf.DUMMYFUNCTION("""COMPUTED_VALUE"""),10)</f>
        <v>10</v>
      </c>
      <c r="N283" s="1">
        <f ca="1">IFERROR(__xludf.DUMMYFUNCTION("""COMPUTED_VALUE"""),2326)</f>
        <v>2326</v>
      </c>
      <c r="O283" s="1">
        <f ca="1">IFERROR(__xludf.DUMMYFUNCTION("""COMPUTED_VALUE"""),2436)</f>
        <v>2436</v>
      </c>
      <c r="P283" s="1">
        <f ca="1">IFERROR(__xludf.DUMMYFUNCTION("""COMPUTED_VALUE"""),1305)</f>
        <v>1305</v>
      </c>
      <c r="Q283" s="1">
        <f ca="1">IFERROR(__xludf.DUMMYFUNCTION("""COMPUTED_VALUE"""),832)</f>
        <v>832</v>
      </c>
      <c r="R283" s="1">
        <f ca="1">IFERROR(__xludf.DUMMYFUNCTION("""COMPUTED_VALUE"""),1882)</f>
        <v>1882</v>
      </c>
      <c r="S283" s="1">
        <f ca="1">IFERROR(__xludf.DUMMYFUNCTION("""COMPUTED_VALUE"""),0.442)</f>
        <v>0.442</v>
      </c>
      <c r="T283" s="1">
        <f ca="1">IFERROR(__xludf.DUMMYFUNCTION("""COMPUTED_VALUE"""),200)</f>
        <v>200</v>
      </c>
      <c r="U283" s="1">
        <f ca="1">IFERROR(__xludf.DUMMYFUNCTION("""COMPUTED_VALUE"""),597)</f>
        <v>597</v>
      </c>
      <c r="V283" s="1">
        <f ca="1">IFERROR(__xludf.DUMMYFUNCTION("""COMPUTED_VALUE"""),0.335)</f>
        <v>0.33500000000000002</v>
      </c>
      <c r="W283" s="1">
        <f ca="1">IFERROR(__xludf.DUMMYFUNCTION("""COMPUTED_VALUE"""),462)</f>
        <v>462</v>
      </c>
      <c r="X283" s="1">
        <f ca="1">IFERROR(__xludf.DUMMYFUNCTION("""COMPUTED_VALUE"""),659)</f>
        <v>659</v>
      </c>
      <c r="Y283" s="1">
        <f ca="1">IFERROR(__xludf.DUMMYFUNCTION("""COMPUTED_VALUE"""),0.701)</f>
        <v>0.70099999999999996</v>
      </c>
      <c r="Z283" s="1">
        <f ca="1">IFERROR(__xludf.DUMMYFUNCTION("""COMPUTED_VALUE"""),361)</f>
        <v>361</v>
      </c>
      <c r="AA283" s="1">
        <f ca="1">IFERROR(__xludf.DUMMYFUNCTION("""COMPUTED_VALUE"""),1194)</f>
        <v>1194</v>
      </c>
      <c r="AB283" s="1">
        <f ca="1">IFERROR(__xludf.DUMMYFUNCTION("""COMPUTED_VALUE"""),459)</f>
        <v>459</v>
      </c>
      <c r="AC283" s="1">
        <f ca="1">IFERROR(__xludf.DUMMYFUNCTION("""COMPUTED_VALUE"""),217)</f>
        <v>217</v>
      </c>
      <c r="AD283" s="1">
        <f ca="1">IFERROR(__xludf.DUMMYFUNCTION("""COMPUTED_VALUE"""),86)</f>
        <v>86</v>
      </c>
      <c r="AE283" s="1">
        <f ca="1">IFERROR(__xludf.DUMMYFUNCTION("""COMPUTED_VALUE"""),516)</f>
        <v>516</v>
      </c>
      <c r="AF283" s="1">
        <f ca="1">IFERROR(__xludf.DUMMYFUNCTION("""COMPUTED_VALUE"""),617)</f>
        <v>617</v>
      </c>
    </row>
    <row r="284" spans="1:32" ht="12.5" x14ac:dyDescent="0.25">
      <c r="A284" s="1" t="str">
        <f ca="1">IFERROR(__xludf.DUMMYFUNCTION("""COMPUTED_VALUE"""),"Saint Francis (PA)")</f>
        <v>Saint Francis (PA)</v>
      </c>
      <c r="B284" s="1">
        <f ca="1">IFERROR(__xludf.DUMMYFUNCTION("""COMPUTED_VALUE"""),34)</f>
        <v>34</v>
      </c>
      <c r="C284" s="1">
        <f ca="1">IFERROR(__xludf.DUMMYFUNCTION("""COMPUTED_VALUE"""),17)</f>
        <v>17</v>
      </c>
      <c r="D284" s="1">
        <f ca="1">IFERROR(__xludf.DUMMYFUNCTION("""COMPUTED_VALUE"""),17)</f>
        <v>17</v>
      </c>
      <c r="E284" s="1">
        <f ca="1">IFERROR(__xludf.DUMMYFUNCTION("""COMPUTED_VALUE"""),0.5)</f>
        <v>0.5</v>
      </c>
      <c r="F284" s="1">
        <f ca="1">IFERROR(__xludf.DUMMYFUNCTION("""COMPUTED_VALUE"""),-8.13)</f>
        <v>-8.1300000000000008</v>
      </c>
      <c r="G284" s="1">
        <f ca="1">IFERROR(__xludf.DUMMYFUNCTION("""COMPUTED_VALUE"""),-7.65)</f>
        <v>-7.65</v>
      </c>
      <c r="H284" s="1">
        <f ca="1">IFERROR(__xludf.DUMMYFUNCTION("""COMPUTED_VALUE"""),11)</f>
        <v>11</v>
      </c>
      <c r="I284" s="1">
        <f ca="1">IFERROR(__xludf.DUMMYFUNCTION("""COMPUTED_VALUE"""),7)</f>
        <v>7</v>
      </c>
      <c r="J284" s="1">
        <f ca="1">IFERROR(__xludf.DUMMYFUNCTION("""COMPUTED_VALUE"""),8)</f>
        <v>8</v>
      </c>
      <c r="K284" s="1">
        <f ca="1">IFERROR(__xludf.DUMMYFUNCTION("""COMPUTED_VALUE"""),6)</f>
        <v>6</v>
      </c>
      <c r="L284" s="1">
        <f ca="1">IFERROR(__xludf.DUMMYFUNCTION("""COMPUTED_VALUE"""),9)</f>
        <v>9</v>
      </c>
      <c r="M284" s="1">
        <f ca="1">IFERROR(__xludf.DUMMYFUNCTION("""COMPUTED_VALUE"""),11)</f>
        <v>11</v>
      </c>
      <c r="N284" s="1">
        <f ca="1">IFERROR(__xludf.DUMMYFUNCTION("""COMPUTED_VALUE"""),2577)</f>
        <v>2577</v>
      </c>
      <c r="O284" s="1">
        <f ca="1">IFERROR(__xludf.DUMMYFUNCTION("""COMPUTED_VALUE"""),2533)</f>
        <v>2533</v>
      </c>
      <c r="P284" s="1">
        <f ca="1">IFERROR(__xludf.DUMMYFUNCTION("""COMPUTED_VALUE"""),1375)</f>
        <v>1375</v>
      </c>
      <c r="Q284" s="1">
        <f ca="1">IFERROR(__xludf.DUMMYFUNCTION("""COMPUTED_VALUE"""),943)</f>
        <v>943</v>
      </c>
      <c r="R284" s="1">
        <f ca="1">IFERROR(__xludf.DUMMYFUNCTION("""COMPUTED_VALUE"""),2021)</f>
        <v>2021</v>
      </c>
      <c r="S284" s="1">
        <f ca="1">IFERROR(__xludf.DUMMYFUNCTION("""COMPUTED_VALUE"""),0.467)</f>
        <v>0.46700000000000003</v>
      </c>
      <c r="T284" s="1">
        <f ca="1">IFERROR(__xludf.DUMMYFUNCTION("""COMPUTED_VALUE"""),277)</f>
        <v>277</v>
      </c>
      <c r="U284" s="1">
        <f ca="1">IFERROR(__xludf.DUMMYFUNCTION("""COMPUTED_VALUE"""),709)</f>
        <v>709</v>
      </c>
      <c r="V284" s="1">
        <f ca="1">IFERROR(__xludf.DUMMYFUNCTION("""COMPUTED_VALUE"""),0.391)</f>
        <v>0.39100000000000001</v>
      </c>
      <c r="W284" s="1">
        <f ca="1">IFERROR(__xludf.DUMMYFUNCTION("""COMPUTED_VALUE"""),414)</f>
        <v>414</v>
      </c>
      <c r="X284" s="1">
        <f ca="1">IFERROR(__xludf.DUMMYFUNCTION("""COMPUTED_VALUE"""),598)</f>
        <v>598</v>
      </c>
      <c r="Y284" s="1">
        <f ca="1">IFERROR(__xludf.DUMMYFUNCTION("""COMPUTED_VALUE"""),0.692)</f>
        <v>0.69199999999999995</v>
      </c>
      <c r="Z284" s="1">
        <f ca="1">IFERROR(__xludf.DUMMYFUNCTION("""COMPUTED_VALUE"""),354)</f>
        <v>354</v>
      </c>
      <c r="AA284" s="1">
        <f ca="1">IFERROR(__xludf.DUMMYFUNCTION("""COMPUTED_VALUE"""),1243)</f>
        <v>1243</v>
      </c>
      <c r="AB284" s="1">
        <f ca="1">IFERROR(__xludf.DUMMYFUNCTION("""COMPUTED_VALUE"""),472)</f>
        <v>472</v>
      </c>
      <c r="AC284" s="1">
        <f ca="1">IFERROR(__xludf.DUMMYFUNCTION("""COMPUTED_VALUE"""),225)</f>
        <v>225</v>
      </c>
      <c r="AD284" s="1">
        <f ca="1">IFERROR(__xludf.DUMMYFUNCTION("""COMPUTED_VALUE"""),136)</f>
        <v>136</v>
      </c>
      <c r="AE284" s="1">
        <f ca="1">IFERROR(__xludf.DUMMYFUNCTION("""COMPUTED_VALUE"""),491)</f>
        <v>491</v>
      </c>
      <c r="AF284" s="1">
        <f ca="1">IFERROR(__xludf.DUMMYFUNCTION("""COMPUTED_VALUE"""),551)</f>
        <v>551</v>
      </c>
    </row>
    <row r="285" spans="1:32" ht="12.5" x14ac:dyDescent="0.25">
      <c r="A285" s="1" t="str">
        <f ca="1">IFERROR(__xludf.DUMMYFUNCTION("""COMPUTED_VALUE"""),"Saint Joseph's")</f>
        <v>Saint Joseph's</v>
      </c>
      <c r="B285" s="1">
        <f ca="1">IFERROR(__xludf.DUMMYFUNCTION("""COMPUTED_VALUE"""),31)</f>
        <v>31</v>
      </c>
      <c r="C285" s="1">
        <f ca="1">IFERROR(__xludf.DUMMYFUNCTION("""COMPUTED_VALUE"""),11)</f>
        <v>11</v>
      </c>
      <c r="D285" s="1">
        <f ca="1">IFERROR(__xludf.DUMMYFUNCTION("""COMPUTED_VALUE"""),20)</f>
        <v>20</v>
      </c>
      <c r="E285" s="1">
        <f ca="1">IFERROR(__xludf.DUMMYFUNCTION("""COMPUTED_VALUE"""),0.355)</f>
        <v>0.35499999999999998</v>
      </c>
      <c r="F285" s="1">
        <f ca="1">IFERROR(__xludf.DUMMYFUNCTION("""COMPUTED_VALUE"""),0.14)</f>
        <v>0.14000000000000001</v>
      </c>
      <c r="G285" s="1">
        <f ca="1">IFERROR(__xludf.DUMMYFUNCTION("""COMPUTED_VALUE"""),3.69)</f>
        <v>3.69</v>
      </c>
      <c r="H285" s="1">
        <f ca="1">IFERROR(__xludf.DUMMYFUNCTION("""COMPUTED_VALUE"""),4)</f>
        <v>4</v>
      </c>
      <c r="I285" s="1">
        <f ca="1">IFERROR(__xludf.DUMMYFUNCTION("""COMPUTED_VALUE"""),14)</f>
        <v>14</v>
      </c>
      <c r="J285" s="1">
        <f ca="1">IFERROR(__xludf.DUMMYFUNCTION("""COMPUTED_VALUE"""),6)</f>
        <v>6</v>
      </c>
      <c r="K285" s="1">
        <f ca="1">IFERROR(__xludf.DUMMYFUNCTION("""COMPUTED_VALUE"""),8)</f>
        <v>8</v>
      </c>
      <c r="L285" s="1">
        <f ca="1">IFERROR(__xludf.DUMMYFUNCTION("""COMPUTED_VALUE"""),4)</f>
        <v>4</v>
      </c>
      <c r="M285" s="1">
        <f ca="1">IFERROR(__xludf.DUMMYFUNCTION("""COMPUTED_VALUE"""),9)</f>
        <v>9</v>
      </c>
      <c r="N285" s="1">
        <f ca="1">IFERROR(__xludf.DUMMYFUNCTION("""COMPUTED_VALUE"""),2155)</f>
        <v>2155</v>
      </c>
      <c r="O285" s="1">
        <f ca="1">IFERROR(__xludf.DUMMYFUNCTION("""COMPUTED_VALUE"""),2265)</f>
        <v>2265</v>
      </c>
      <c r="P285" s="1">
        <f ca="1">IFERROR(__xludf.DUMMYFUNCTION("""COMPUTED_VALUE"""),1250)</f>
        <v>1250</v>
      </c>
      <c r="Q285" s="1">
        <f ca="1">IFERROR(__xludf.DUMMYFUNCTION("""COMPUTED_VALUE"""),755)</f>
        <v>755</v>
      </c>
      <c r="R285" s="1">
        <f ca="1">IFERROR(__xludf.DUMMYFUNCTION("""COMPUTED_VALUE"""),1808)</f>
        <v>1808</v>
      </c>
      <c r="S285" s="1">
        <f ca="1">IFERROR(__xludf.DUMMYFUNCTION("""COMPUTED_VALUE"""),0.418)</f>
        <v>0.41799999999999998</v>
      </c>
      <c r="T285" s="1">
        <f ca="1">IFERROR(__xludf.DUMMYFUNCTION("""COMPUTED_VALUE"""),174)</f>
        <v>174</v>
      </c>
      <c r="U285" s="1">
        <f ca="1">IFERROR(__xludf.DUMMYFUNCTION("""COMPUTED_VALUE"""),537)</f>
        <v>537</v>
      </c>
      <c r="V285" s="1">
        <f ca="1">IFERROR(__xludf.DUMMYFUNCTION("""COMPUTED_VALUE"""),0.324)</f>
        <v>0.32400000000000001</v>
      </c>
      <c r="W285" s="1">
        <f ca="1">IFERROR(__xludf.DUMMYFUNCTION("""COMPUTED_VALUE"""),471)</f>
        <v>471</v>
      </c>
      <c r="X285" s="1">
        <f ca="1">IFERROR(__xludf.DUMMYFUNCTION("""COMPUTED_VALUE"""),725)</f>
        <v>725</v>
      </c>
      <c r="Y285" s="1">
        <f ca="1">IFERROR(__xludf.DUMMYFUNCTION("""COMPUTED_VALUE"""),0.65)</f>
        <v>0.65</v>
      </c>
      <c r="Z285" s="1">
        <f ca="1">IFERROR(__xludf.DUMMYFUNCTION("""COMPUTED_VALUE"""),351)</f>
        <v>351</v>
      </c>
      <c r="AA285" s="1">
        <f ca="1">IFERROR(__xludf.DUMMYFUNCTION("""COMPUTED_VALUE"""),1132)</f>
        <v>1132</v>
      </c>
      <c r="AB285" s="1">
        <f ca="1">IFERROR(__xludf.DUMMYFUNCTION("""COMPUTED_VALUE"""),352)</f>
        <v>352</v>
      </c>
      <c r="AC285" s="1">
        <f ca="1">IFERROR(__xludf.DUMMYFUNCTION("""COMPUTED_VALUE"""),150)</f>
        <v>150</v>
      </c>
      <c r="AD285" s="1">
        <f ca="1">IFERROR(__xludf.DUMMYFUNCTION("""COMPUTED_VALUE"""),106)</f>
        <v>106</v>
      </c>
      <c r="AE285" s="1">
        <f ca="1">IFERROR(__xludf.DUMMYFUNCTION("""COMPUTED_VALUE"""),371)</f>
        <v>371</v>
      </c>
      <c r="AF285" s="1">
        <f ca="1">IFERROR(__xludf.DUMMYFUNCTION("""COMPUTED_VALUE"""),547)</f>
        <v>547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IFERROR(__xludf.DUMMYFUNCTION("""COMPUTED_VALUE"""),"Saint Louis")</f>
        <v>Saint Louis</v>
      </c>
      <c r="B288" s="1">
        <f ca="1">IFERROR(__xludf.DUMMYFUNCTION("""COMPUTED_VALUE"""),33)</f>
        <v>33</v>
      </c>
      <c r="C288" s="1">
        <f ca="1">IFERROR(__xludf.DUMMYFUNCTION("""COMPUTED_VALUE"""),12)</f>
        <v>12</v>
      </c>
      <c r="D288" s="1">
        <f ca="1">IFERROR(__xludf.DUMMYFUNCTION("""COMPUTED_VALUE"""),21)</f>
        <v>21</v>
      </c>
      <c r="E288" s="1">
        <f ca="1">IFERROR(__xludf.DUMMYFUNCTION("""COMPUTED_VALUE"""),0.364)</f>
        <v>0.36399999999999999</v>
      </c>
      <c r="F288" s="1">
        <f ca="1">IFERROR(__xludf.DUMMYFUNCTION("""COMPUTED_VALUE"""),-6.09)</f>
        <v>-6.09</v>
      </c>
      <c r="G288" s="1">
        <f ca="1">IFERROR(__xludf.DUMMYFUNCTION("""COMPUTED_VALUE"""),1.85)</f>
        <v>1.85</v>
      </c>
      <c r="H288" s="1">
        <f ca="1">IFERROR(__xludf.DUMMYFUNCTION("""COMPUTED_VALUE"""),6)</f>
        <v>6</v>
      </c>
      <c r="I288" s="1">
        <f ca="1">IFERROR(__xludf.DUMMYFUNCTION("""COMPUTED_VALUE"""),12)</f>
        <v>12</v>
      </c>
      <c r="J288" s="1">
        <f ca="1">IFERROR(__xludf.DUMMYFUNCTION("""COMPUTED_VALUE"""),10)</f>
        <v>10</v>
      </c>
      <c r="K288" s="1">
        <f ca="1">IFERROR(__xludf.DUMMYFUNCTION("""COMPUTED_VALUE"""),8)</f>
        <v>8</v>
      </c>
      <c r="L288" s="1">
        <f ca="1">IFERROR(__xludf.DUMMYFUNCTION("""COMPUTED_VALUE"""),1)</f>
        <v>1</v>
      </c>
      <c r="M288" s="1">
        <f ca="1">IFERROR(__xludf.DUMMYFUNCTION("""COMPUTED_VALUE"""),10)</f>
        <v>10</v>
      </c>
      <c r="N288" s="1">
        <f ca="1">IFERROR(__xludf.DUMMYFUNCTION("""COMPUTED_VALUE"""),2026)</f>
        <v>2026</v>
      </c>
      <c r="O288" s="1">
        <f ca="1">IFERROR(__xludf.DUMMYFUNCTION("""COMPUTED_VALUE"""),2288)</f>
        <v>2288</v>
      </c>
      <c r="P288" s="1">
        <f ca="1">IFERROR(__xludf.DUMMYFUNCTION("""COMPUTED_VALUE"""),1330)</f>
        <v>1330</v>
      </c>
      <c r="Q288" s="1">
        <f ca="1">IFERROR(__xludf.DUMMYFUNCTION("""COMPUTED_VALUE"""),700)</f>
        <v>700</v>
      </c>
      <c r="R288" s="1">
        <f ca="1">IFERROR(__xludf.DUMMYFUNCTION("""COMPUTED_VALUE"""),1733)</f>
        <v>1733</v>
      </c>
      <c r="S288" s="1">
        <f ca="1">IFERROR(__xludf.DUMMYFUNCTION("""COMPUTED_VALUE"""),0.404)</f>
        <v>0.40400000000000003</v>
      </c>
      <c r="T288" s="1">
        <f ca="1">IFERROR(__xludf.DUMMYFUNCTION("""COMPUTED_VALUE"""),230)</f>
        <v>230</v>
      </c>
      <c r="U288" s="1">
        <f ca="1">IFERROR(__xludf.DUMMYFUNCTION("""COMPUTED_VALUE"""),672)</f>
        <v>672</v>
      </c>
      <c r="V288" s="1">
        <f ca="1">IFERROR(__xludf.DUMMYFUNCTION("""COMPUTED_VALUE"""),0.342)</f>
        <v>0.34200000000000003</v>
      </c>
      <c r="W288" s="1">
        <f ca="1">IFERROR(__xludf.DUMMYFUNCTION("""COMPUTED_VALUE"""),396)</f>
        <v>396</v>
      </c>
      <c r="X288" s="1">
        <f ca="1">IFERROR(__xludf.DUMMYFUNCTION("""COMPUTED_VALUE"""),597)</f>
        <v>597</v>
      </c>
      <c r="Y288" s="1">
        <f ca="1">IFERROR(__xludf.DUMMYFUNCTION("""COMPUTED_VALUE"""),0.663)</f>
        <v>0.66300000000000003</v>
      </c>
      <c r="Z288" s="1">
        <f ca="1">IFERROR(__xludf.DUMMYFUNCTION("""COMPUTED_VALUE"""),279)</f>
        <v>279</v>
      </c>
      <c r="AA288" s="1">
        <f ca="1">IFERROR(__xludf.DUMMYFUNCTION("""COMPUTED_VALUE"""),1093)</f>
        <v>1093</v>
      </c>
      <c r="AB288" s="1">
        <f ca="1">IFERROR(__xludf.DUMMYFUNCTION("""COMPUTED_VALUE"""),423)</f>
        <v>423</v>
      </c>
      <c r="AC288" s="1">
        <f ca="1">IFERROR(__xludf.DUMMYFUNCTION("""COMPUTED_VALUE"""),164)</f>
        <v>164</v>
      </c>
      <c r="AD288" s="1">
        <f ca="1">IFERROR(__xludf.DUMMYFUNCTION("""COMPUTED_VALUE"""),95)</f>
        <v>95</v>
      </c>
      <c r="AE288" s="1">
        <f ca="1">IFERROR(__xludf.DUMMYFUNCTION("""COMPUTED_VALUE"""),441)</f>
        <v>441</v>
      </c>
      <c r="AF288" s="1">
        <f ca="1">IFERROR(__xludf.DUMMYFUNCTION("""COMPUTED_VALUE"""),639)</f>
        <v>639</v>
      </c>
    </row>
    <row r="289" spans="1:32" ht="12.5" x14ac:dyDescent="0.25">
      <c r="A289" s="1" t="str">
        <f ca="1">IFERROR(__xludf.DUMMYFUNCTION("""COMPUTED_VALUE"""),"Saint Mary's (CA)NCAA")</f>
        <v>Saint Mary's (CA)NCAA</v>
      </c>
      <c r="B289" s="1">
        <f ca="1">IFERROR(__xludf.DUMMYFUNCTION("""COMPUTED_VALUE"""),34)</f>
        <v>34</v>
      </c>
      <c r="C289" s="1">
        <f ca="1">IFERROR(__xludf.DUMMYFUNCTION("""COMPUTED_VALUE"""),29)</f>
        <v>29</v>
      </c>
      <c r="D289" s="1">
        <f ca="1">IFERROR(__xludf.DUMMYFUNCTION("""COMPUTED_VALUE"""),5)</f>
        <v>5</v>
      </c>
      <c r="E289" s="1">
        <f ca="1">IFERROR(__xludf.DUMMYFUNCTION("""COMPUTED_VALUE"""),0.853)</f>
        <v>0.85299999999999998</v>
      </c>
      <c r="F289" s="1">
        <f ca="1">IFERROR(__xludf.DUMMYFUNCTION("""COMPUTED_VALUE"""),16.75)</f>
        <v>16.75</v>
      </c>
      <c r="G289" s="1">
        <f ca="1">IFERROR(__xludf.DUMMYFUNCTION("""COMPUTED_VALUE"""),2.19)</f>
        <v>2.19</v>
      </c>
      <c r="H289" s="1">
        <f ca="1">IFERROR(__xludf.DUMMYFUNCTION("""COMPUTED_VALUE"""),16)</f>
        <v>16</v>
      </c>
      <c r="I289" s="1">
        <f ca="1">IFERROR(__xludf.DUMMYFUNCTION("""COMPUTED_VALUE"""),2)</f>
        <v>2</v>
      </c>
      <c r="J289" s="1">
        <f ca="1">IFERROR(__xludf.DUMMYFUNCTION("""COMPUTED_VALUE"""),15)</f>
        <v>15</v>
      </c>
      <c r="K289" s="1">
        <f ca="1">IFERROR(__xludf.DUMMYFUNCTION("""COMPUTED_VALUE"""),2)</f>
        <v>2</v>
      </c>
      <c r="L289" s="1">
        <f ca="1">IFERROR(__xludf.DUMMYFUNCTION("""COMPUTED_VALUE"""),10)</f>
        <v>10</v>
      </c>
      <c r="M289" s="1">
        <f ca="1">IFERROR(__xludf.DUMMYFUNCTION("""COMPUTED_VALUE"""),1)</f>
        <v>1</v>
      </c>
      <c r="N289" s="1">
        <f ca="1">IFERROR(__xludf.DUMMYFUNCTION("""COMPUTED_VALUE"""),2449)</f>
        <v>2449</v>
      </c>
      <c r="O289" s="1">
        <f ca="1">IFERROR(__xludf.DUMMYFUNCTION("""COMPUTED_VALUE"""),1954)</f>
        <v>1954</v>
      </c>
      <c r="P289" s="1">
        <f ca="1">IFERROR(__xludf.DUMMYFUNCTION("""COMPUTED_VALUE"""),1360)</f>
        <v>1360</v>
      </c>
      <c r="Q289" s="1">
        <f ca="1">IFERROR(__xludf.DUMMYFUNCTION("""COMPUTED_VALUE"""),892)</f>
        <v>892</v>
      </c>
      <c r="R289" s="1">
        <f ca="1">IFERROR(__xludf.DUMMYFUNCTION("""COMPUTED_VALUE"""),1797)</f>
        <v>1797</v>
      </c>
      <c r="S289" s="1">
        <f ca="1">IFERROR(__xludf.DUMMYFUNCTION("""COMPUTED_VALUE"""),0.496)</f>
        <v>0.496</v>
      </c>
      <c r="T289" s="1">
        <f ca="1">IFERROR(__xludf.DUMMYFUNCTION("""COMPUTED_VALUE"""),293)</f>
        <v>293</v>
      </c>
      <c r="U289" s="1">
        <f ca="1">IFERROR(__xludf.DUMMYFUNCTION("""COMPUTED_VALUE"""),744)</f>
        <v>744</v>
      </c>
      <c r="V289" s="1">
        <f ca="1">IFERROR(__xludf.DUMMYFUNCTION("""COMPUTED_VALUE"""),0.394)</f>
        <v>0.39400000000000002</v>
      </c>
      <c r="W289" s="1">
        <f ca="1">IFERROR(__xludf.DUMMYFUNCTION("""COMPUTED_VALUE"""),372)</f>
        <v>372</v>
      </c>
      <c r="X289" s="1">
        <f ca="1">IFERROR(__xludf.DUMMYFUNCTION("""COMPUTED_VALUE"""),499)</f>
        <v>499</v>
      </c>
      <c r="Y289" s="1">
        <f ca="1">IFERROR(__xludf.DUMMYFUNCTION("""COMPUTED_VALUE"""),0.745)</f>
        <v>0.745</v>
      </c>
      <c r="Z289" s="1">
        <f ca="1">IFERROR(__xludf.DUMMYFUNCTION("""COMPUTED_VALUE"""),324)</f>
        <v>324</v>
      </c>
      <c r="AA289" s="1">
        <f ca="1">IFERROR(__xludf.DUMMYFUNCTION("""COMPUTED_VALUE"""),1205)</f>
        <v>1205</v>
      </c>
      <c r="AB289" s="1">
        <f ca="1">IFERROR(__xludf.DUMMYFUNCTION("""COMPUTED_VALUE"""),563)</f>
        <v>563</v>
      </c>
      <c r="AC289" s="1">
        <f ca="1">IFERROR(__xludf.DUMMYFUNCTION("""COMPUTED_VALUE"""),143)</f>
        <v>143</v>
      </c>
      <c r="AD289" s="1">
        <f ca="1">IFERROR(__xludf.DUMMYFUNCTION("""COMPUTED_VALUE"""),110)</f>
        <v>110</v>
      </c>
      <c r="AE289" s="1">
        <f ca="1">IFERROR(__xludf.DUMMYFUNCTION("""COMPUTED_VALUE"""),365)</f>
        <v>365</v>
      </c>
      <c r="AF289" s="1">
        <f ca="1">IFERROR(__xludf.DUMMYFUNCTION("""COMPUTED_VALUE"""),512)</f>
        <v>512</v>
      </c>
    </row>
    <row r="290" spans="1:32" ht="12.5" x14ac:dyDescent="0.25">
      <c r="A290" s="1" t="str">
        <f ca="1">IFERROR(__xludf.DUMMYFUNCTION("""COMPUTED_VALUE"""),"Saint Peter's")</f>
        <v>Saint Peter's</v>
      </c>
      <c r="B290" s="1">
        <f ca="1">IFERROR(__xludf.DUMMYFUNCTION("""COMPUTED_VALUE"""),36)</f>
        <v>36</v>
      </c>
      <c r="C290" s="1">
        <f ca="1">IFERROR(__xludf.DUMMYFUNCTION("""COMPUTED_VALUE"""),23)</f>
        <v>23</v>
      </c>
      <c r="D290" s="1">
        <f ca="1">IFERROR(__xludf.DUMMYFUNCTION("""COMPUTED_VALUE"""),13)</f>
        <v>13</v>
      </c>
      <c r="E290" s="1">
        <f ca="1">IFERROR(__xludf.DUMMYFUNCTION("""COMPUTED_VALUE"""),0.639)</f>
        <v>0.63900000000000001</v>
      </c>
      <c r="F290" s="1">
        <f ca="1">IFERROR(__xludf.DUMMYFUNCTION("""COMPUTED_VALUE"""),1.6)</f>
        <v>1.6</v>
      </c>
      <c r="G290" s="1">
        <f ca="1">IFERROR(__xludf.DUMMYFUNCTION("""COMPUTED_VALUE"""),-3.6)</f>
        <v>-3.6</v>
      </c>
      <c r="H290" s="1">
        <f ca="1">IFERROR(__xludf.DUMMYFUNCTION("""COMPUTED_VALUE"""),14)</f>
        <v>14</v>
      </c>
      <c r="I290" s="1">
        <f ca="1">IFERROR(__xludf.DUMMYFUNCTION("""COMPUTED_VALUE"""),6)</f>
        <v>6</v>
      </c>
      <c r="J290" s="1">
        <f ca="1">IFERROR(__xludf.DUMMYFUNCTION("""COMPUTED_VALUE"""),9)</f>
        <v>9</v>
      </c>
      <c r="K290" s="1">
        <f ca="1">IFERROR(__xludf.DUMMYFUNCTION("""COMPUTED_VALUE"""),5)</f>
        <v>5</v>
      </c>
      <c r="L290" s="1">
        <f ca="1">IFERROR(__xludf.DUMMYFUNCTION("""COMPUTED_VALUE"""),11)</f>
        <v>11</v>
      </c>
      <c r="M290" s="1">
        <f ca="1">IFERROR(__xludf.DUMMYFUNCTION("""COMPUTED_VALUE"""),7)</f>
        <v>7</v>
      </c>
      <c r="N290" s="1">
        <f ca="1">IFERROR(__xludf.DUMMYFUNCTION("""COMPUTED_VALUE"""),2376)</f>
        <v>2376</v>
      </c>
      <c r="O290" s="1">
        <f ca="1">IFERROR(__xludf.DUMMYFUNCTION("""COMPUTED_VALUE"""),2189)</f>
        <v>2189</v>
      </c>
      <c r="P290" s="1">
        <f ca="1">IFERROR(__xludf.DUMMYFUNCTION("""COMPUTED_VALUE"""),1450)</f>
        <v>1450</v>
      </c>
      <c r="Q290" s="1">
        <f ca="1">IFERROR(__xludf.DUMMYFUNCTION("""COMPUTED_VALUE"""),825)</f>
        <v>825</v>
      </c>
      <c r="R290" s="1">
        <f ca="1">IFERROR(__xludf.DUMMYFUNCTION("""COMPUTED_VALUE"""),1891)</f>
        <v>1891</v>
      </c>
      <c r="S290" s="1">
        <f ca="1">IFERROR(__xludf.DUMMYFUNCTION("""COMPUTED_VALUE"""),0.436)</f>
        <v>0.436</v>
      </c>
      <c r="T290" s="1">
        <f ca="1">IFERROR(__xludf.DUMMYFUNCTION("""COMPUTED_VALUE"""),288)</f>
        <v>288</v>
      </c>
      <c r="U290" s="1">
        <f ca="1">IFERROR(__xludf.DUMMYFUNCTION("""COMPUTED_VALUE"""),755)</f>
        <v>755</v>
      </c>
      <c r="V290" s="1">
        <f ca="1">IFERROR(__xludf.DUMMYFUNCTION("""COMPUTED_VALUE"""),0.381)</f>
        <v>0.38100000000000001</v>
      </c>
      <c r="W290" s="1">
        <f ca="1">IFERROR(__xludf.DUMMYFUNCTION("""COMPUTED_VALUE"""),438)</f>
        <v>438</v>
      </c>
      <c r="X290" s="1">
        <f ca="1">IFERROR(__xludf.DUMMYFUNCTION("""COMPUTED_VALUE"""),625)</f>
        <v>625</v>
      </c>
      <c r="Y290" s="1">
        <f ca="1">IFERROR(__xludf.DUMMYFUNCTION("""COMPUTED_VALUE"""),0.701)</f>
        <v>0.70099999999999996</v>
      </c>
      <c r="Z290" s="1">
        <f ca="1">IFERROR(__xludf.DUMMYFUNCTION("""COMPUTED_VALUE"""),297)</f>
        <v>297</v>
      </c>
      <c r="AA290" s="1">
        <f ca="1">IFERROR(__xludf.DUMMYFUNCTION("""COMPUTED_VALUE"""),1182)</f>
        <v>1182</v>
      </c>
      <c r="AB290" s="1">
        <f ca="1">IFERROR(__xludf.DUMMYFUNCTION("""COMPUTED_VALUE"""),440)</f>
        <v>440</v>
      </c>
      <c r="AC290" s="1">
        <f ca="1">IFERROR(__xludf.DUMMYFUNCTION("""COMPUTED_VALUE"""),251)</f>
        <v>251</v>
      </c>
      <c r="AD290" s="1">
        <f ca="1">IFERROR(__xludf.DUMMYFUNCTION("""COMPUTED_VALUE"""),106)</f>
        <v>106</v>
      </c>
      <c r="AE290" s="1">
        <f ca="1">IFERROR(__xludf.DUMMYFUNCTION("""COMPUTED_VALUE"""),398)</f>
        <v>398</v>
      </c>
      <c r="AF290" s="1">
        <f ca="1">IFERROR(__xludf.DUMMYFUNCTION("""COMPUTED_VALUE"""),571)</f>
        <v>571</v>
      </c>
    </row>
    <row r="291" spans="1:32" ht="12.5" x14ac:dyDescent="0.25">
      <c r="A291" s="1" t="str">
        <f ca="1">IFERROR(__xludf.DUMMYFUNCTION("""COMPUTED_VALUE"""),"Sam Houston State")</f>
        <v>Sam Houston State</v>
      </c>
      <c r="B291" s="1">
        <f ca="1">IFERROR(__xludf.DUMMYFUNCTION("""COMPUTED_VALUE"""),34)</f>
        <v>34</v>
      </c>
      <c r="C291" s="1">
        <f ca="1">IFERROR(__xludf.DUMMYFUNCTION("""COMPUTED_VALUE"""),21)</f>
        <v>21</v>
      </c>
      <c r="D291" s="1">
        <f ca="1">IFERROR(__xludf.DUMMYFUNCTION("""COMPUTED_VALUE"""),13)</f>
        <v>13</v>
      </c>
      <c r="E291" s="1">
        <f ca="1">IFERROR(__xludf.DUMMYFUNCTION("""COMPUTED_VALUE"""),0.618)</f>
        <v>0.61799999999999999</v>
      </c>
      <c r="F291" s="1">
        <f ca="1">IFERROR(__xludf.DUMMYFUNCTION("""COMPUTED_VALUE"""),-7.55)</f>
        <v>-7.55</v>
      </c>
      <c r="G291" s="1">
        <f ca="1">IFERROR(__xludf.DUMMYFUNCTION("""COMPUTED_VALUE"""),-6.35)</f>
        <v>-6.35</v>
      </c>
      <c r="H291" s="1">
        <f ca="1">IFERROR(__xludf.DUMMYFUNCTION("""COMPUTED_VALUE"""),10)</f>
        <v>10</v>
      </c>
      <c r="I291" s="1">
        <f ca="1">IFERROR(__xludf.DUMMYFUNCTION("""COMPUTED_VALUE"""),8)</f>
        <v>8</v>
      </c>
      <c r="J291" s="1">
        <f ca="1">IFERROR(__xludf.DUMMYFUNCTION("""COMPUTED_VALUE"""),14)</f>
        <v>14</v>
      </c>
      <c r="K291" s="1">
        <f ca="1">IFERROR(__xludf.DUMMYFUNCTION("""COMPUTED_VALUE"""),2)</f>
        <v>2</v>
      </c>
      <c r="L291" s="1">
        <f ca="1">IFERROR(__xludf.DUMMYFUNCTION("""COMPUTED_VALUE"""),5)</f>
        <v>5</v>
      </c>
      <c r="M291" s="1">
        <f ca="1">IFERROR(__xludf.DUMMYFUNCTION("""COMPUTED_VALUE"""),9)</f>
        <v>9</v>
      </c>
      <c r="N291" s="1">
        <f ca="1">IFERROR(__xludf.DUMMYFUNCTION("""COMPUTED_VALUE"""),2526)</f>
        <v>2526</v>
      </c>
      <c r="O291" s="1">
        <f ca="1">IFERROR(__xludf.DUMMYFUNCTION("""COMPUTED_VALUE"""),2424)</f>
        <v>2424</v>
      </c>
      <c r="P291" s="1">
        <f ca="1">IFERROR(__xludf.DUMMYFUNCTION("""COMPUTED_VALUE"""),1365)</f>
        <v>1365</v>
      </c>
      <c r="Q291" s="1">
        <f ca="1">IFERROR(__xludf.DUMMYFUNCTION("""COMPUTED_VALUE"""),898)</f>
        <v>898</v>
      </c>
      <c r="R291" s="1">
        <f ca="1">IFERROR(__xludf.DUMMYFUNCTION("""COMPUTED_VALUE"""),2055)</f>
        <v>2055</v>
      </c>
      <c r="S291" s="1">
        <f ca="1">IFERROR(__xludf.DUMMYFUNCTION("""COMPUTED_VALUE"""),0.437)</f>
        <v>0.437</v>
      </c>
      <c r="T291" s="1">
        <f ca="1">IFERROR(__xludf.DUMMYFUNCTION("""COMPUTED_VALUE"""),212)</f>
        <v>212</v>
      </c>
      <c r="U291" s="1">
        <f ca="1">IFERROR(__xludf.DUMMYFUNCTION("""COMPUTED_VALUE"""),671)</f>
        <v>671</v>
      </c>
      <c r="V291" s="1">
        <f ca="1">IFERROR(__xludf.DUMMYFUNCTION("""COMPUTED_VALUE"""),0.316)</f>
        <v>0.316</v>
      </c>
      <c r="W291" s="1">
        <f ca="1">IFERROR(__xludf.DUMMYFUNCTION("""COMPUTED_VALUE"""),518)</f>
        <v>518</v>
      </c>
      <c r="X291" s="1">
        <f ca="1">IFERROR(__xludf.DUMMYFUNCTION("""COMPUTED_VALUE"""),755)</f>
        <v>755</v>
      </c>
      <c r="Y291" s="1">
        <f ca="1">IFERROR(__xludf.DUMMYFUNCTION("""COMPUTED_VALUE"""),0.686)</f>
        <v>0.68600000000000005</v>
      </c>
      <c r="Z291" s="1">
        <f ca="1">IFERROR(__xludf.DUMMYFUNCTION("""COMPUTED_VALUE"""),401)</f>
        <v>401</v>
      </c>
      <c r="AA291" s="1">
        <f ca="1">IFERROR(__xludf.DUMMYFUNCTION("""COMPUTED_VALUE"""),1283)</f>
        <v>1283</v>
      </c>
      <c r="AB291" s="1">
        <f ca="1">IFERROR(__xludf.DUMMYFUNCTION("""COMPUTED_VALUE"""),507)</f>
        <v>507</v>
      </c>
      <c r="AC291" s="1">
        <f ca="1">IFERROR(__xludf.DUMMYFUNCTION("""COMPUTED_VALUE"""),239)</f>
        <v>239</v>
      </c>
      <c r="AD291" s="1">
        <f ca="1">IFERROR(__xludf.DUMMYFUNCTION("""COMPUTED_VALUE"""),93)</f>
        <v>93</v>
      </c>
      <c r="AE291" s="1">
        <f ca="1">IFERROR(__xludf.DUMMYFUNCTION("""COMPUTED_VALUE"""),466)</f>
        <v>466</v>
      </c>
      <c r="AF291" s="1">
        <f ca="1">IFERROR(__xludf.DUMMYFUNCTION("""COMPUTED_VALUE"""),758)</f>
        <v>758</v>
      </c>
    </row>
    <row r="292" spans="1:32" ht="12.5" x14ac:dyDescent="0.25">
      <c r="A292" s="1" t="str">
        <f ca="1">IFERROR(__xludf.DUMMYFUNCTION("""COMPUTED_VALUE"""),"Samford")</f>
        <v>Samford</v>
      </c>
      <c r="B292" s="1">
        <f ca="1">IFERROR(__xludf.DUMMYFUNCTION("""COMPUTED_VALUE"""),36)</f>
        <v>36</v>
      </c>
      <c r="C292" s="1">
        <f ca="1">IFERROR(__xludf.DUMMYFUNCTION("""COMPUTED_VALUE"""),20)</f>
        <v>20</v>
      </c>
      <c r="D292" s="1">
        <f ca="1">IFERROR(__xludf.DUMMYFUNCTION("""COMPUTED_VALUE"""),16)</f>
        <v>16</v>
      </c>
      <c r="E292" s="1">
        <f ca="1">IFERROR(__xludf.DUMMYFUNCTION("""COMPUTED_VALUE"""),0.556)</f>
        <v>0.55600000000000005</v>
      </c>
      <c r="F292" s="1">
        <f ca="1">IFERROR(__xludf.DUMMYFUNCTION("""COMPUTED_VALUE"""),-1.87)</f>
        <v>-1.87</v>
      </c>
      <c r="G292" s="1">
        <f ca="1">IFERROR(__xludf.DUMMYFUNCTION("""COMPUTED_VALUE"""),-3.7)</f>
        <v>-3.7</v>
      </c>
      <c r="H292" s="1">
        <f ca="1">IFERROR(__xludf.DUMMYFUNCTION("""COMPUTED_VALUE"""),8)</f>
        <v>8</v>
      </c>
      <c r="I292" s="1">
        <f ca="1">IFERROR(__xludf.DUMMYFUNCTION("""COMPUTED_VALUE"""),10)</f>
        <v>10</v>
      </c>
      <c r="J292" s="1">
        <f ca="1">IFERROR(__xludf.DUMMYFUNCTION("""COMPUTED_VALUE"""),10)</f>
        <v>10</v>
      </c>
      <c r="K292" s="1">
        <f ca="1">IFERROR(__xludf.DUMMYFUNCTION("""COMPUTED_VALUE"""),6)</f>
        <v>6</v>
      </c>
      <c r="L292" s="1">
        <f ca="1">IFERROR(__xludf.DUMMYFUNCTION("""COMPUTED_VALUE"""),8)</f>
        <v>8</v>
      </c>
      <c r="M292" s="1">
        <f ca="1">IFERROR(__xludf.DUMMYFUNCTION("""COMPUTED_VALUE"""),9)</f>
        <v>9</v>
      </c>
      <c r="N292" s="1">
        <f ca="1">IFERROR(__xludf.DUMMYFUNCTION("""COMPUTED_VALUE"""),2834)</f>
        <v>2834</v>
      </c>
      <c r="O292" s="1">
        <f ca="1">IFERROR(__xludf.DUMMYFUNCTION("""COMPUTED_VALUE"""),2733)</f>
        <v>2733</v>
      </c>
      <c r="P292" s="1">
        <f ca="1">IFERROR(__xludf.DUMMYFUNCTION("""COMPUTED_VALUE"""),1490)</f>
        <v>1490</v>
      </c>
      <c r="Q292" s="1">
        <f ca="1">IFERROR(__xludf.DUMMYFUNCTION("""COMPUTED_VALUE"""),955)</f>
        <v>955</v>
      </c>
      <c r="R292" s="1">
        <f ca="1">IFERROR(__xludf.DUMMYFUNCTION("""COMPUTED_VALUE"""),2038)</f>
        <v>2038</v>
      </c>
      <c r="S292" s="1">
        <f ca="1">IFERROR(__xludf.DUMMYFUNCTION("""COMPUTED_VALUE"""),0.469)</f>
        <v>0.46899999999999997</v>
      </c>
      <c r="T292" s="1">
        <f ca="1">IFERROR(__xludf.DUMMYFUNCTION("""COMPUTED_VALUE"""),279)</f>
        <v>279</v>
      </c>
      <c r="U292" s="1">
        <f ca="1">IFERROR(__xludf.DUMMYFUNCTION("""COMPUTED_VALUE"""),707)</f>
        <v>707</v>
      </c>
      <c r="V292" s="1">
        <f ca="1">IFERROR(__xludf.DUMMYFUNCTION("""COMPUTED_VALUE"""),0.395)</f>
        <v>0.39500000000000002</v>
      </c>
      <c r="W292" s="1">
        <f ca="1">IFERROR(__xludf.DUMMYFUNCTION("""COMPUTED_VALUE"""),645)</f>
        <v>645</v>
      </c>
      <c r="X292" s="1">
        <f ca="1">IFERROR(__xludf.DUMMYFUNCTION("""COMPUTED_VALUE"""),868)</f>
        <v>868</v>
      </c>
      <c r="Y292" s="1">
        <f ca="1">IFERROR(__xludf.DUMMYFUNCTION("""COMPUTED_VALUE"""),0.743)</f>
        <v>0.74299999999999999</v>
      </c>
      <c r="Z292" s="1">
        <f ca="1">IFERROR(__xludf.DUMMYFUNCTION("""COMPUTED_VALUE"""),345)</f>
        <v>345</v>
      </c>
      <c r="AA292" s="1">
        <f ca="1">IFERROR(__xludf.DUMMYFUNCTION("""COMPUTED_VALUE"""),1300)</f>
        <v>1300</v>
      </c>
      <c r="AB292" s="1">
        <f ca="1">IFERROR(__xludf.DUMMYFUNCTION("""COMPUTED_VALUE"""),581)</f>
        <v>581</v>
      </c>
      <c r="AC292" s="1">
        <f ca="1">IFERROR(__xludf.DUMMYFUNCTION("""COMPUTED_VALUE"""),222)</f>
        <v>222</v>
      </c>
      <c r="AD292" s="1">
        <f ca="1">IFERROR(__xludf.DUMMYFUNCTION("""COMPUTED_VALUE"""),88)</f>
        <v>88</v>
      </c>
      <c r="AE292" s="1">
        <f ca="1">IFERROR(__xludf.DUMMYFUNCTION("""COMPUTED_VALUE"""),493)</f>
        <v>493</v>
      </c>
      <c r="AF292" s="1">
        <f ca="1">IFERROR(__xludf.DUMMYFUNCTION("""COMPUTED_VALUE"""),678)</f>
        <v>678</v>
      </c>
    </row>
    <row r="293" spans="1:32" ht="12.5" x14ac:dyDescent="0.25">
      <c r="A293" s="1" t="str">
        <f ca="1">IFERROR(__xludf.DUMMYFUNCTION("""COMPUTED_VALUE"""),"San Diego State")</f>
        <v>San Diego State</v>
      </c>
      <c r="B293" s="1">
        <f ca="1">IFERROR(__xludf.DUMMYFUNCTION("""COMPUTED_VALUE"""),33)</f>
        <v>33</v>
      </c>
      <c r="C293" s="1">
        <f ca="1">IFERROR(__xludf.DUMMYFUNCTION("""COMPUTED_VALUE"""),19)</f>
        <v>19</v>
      </c>
      <c r="D293" s="1">
        <f ca="1">IFERROR(__xludf.DUMMYFUNCTION("""COMPUTED_VALUE"""),14)</f>
        <v>14</v>
      </c>
      <c r="E293" s="1">
        <f ca="1">IFERROR(__xludf.DUMMYFUNCTION("""COMPUTED_VALUE"""),0.576)</f>
        <v>0.57599999999999996</v>
      </c>
      <c r="F293" s="1">
        <f ca="1">IFERROR(__xludf.DUMMYFUNCTION("""COMPUTED_VALUE"""),6.88)</f>
        <v>6.88</v>
      </c>
      <c r="G293" s="1">
        <f ca="1">IFERROR(__xludf.DUMMYFUNCTION("""COMPUTED_VALUE"""),1.47)</f>
        <v>1.47</v>
      </c>
      <c r="H293" s="1">
        <f ca="1">IFERROR(__xludf.DUMMYFUNCTION("""COMPUTED_VALUE"""),9)</f>
        <v>9</v>
      </c>
      <c r="I293" s="1">
        <f ca="1">IFERROR(__xludf.DUMMYFUNCTION("""COMPUTED_VALUE"""),9)</f>
        <v>9</v>
      </c>
      <c r="J293" s="1">
        <f ca="1">IFERROR(__xludf.DUMMYFUNCTION("""COMPUTED_VALUE"""),10)</f>
        <v>10</v>
      </c>
      <c r="K293" s="1">
        <f ca="1">IFERROR(__xludf.DUMMYFUNCTION("""COMPUTED_VALUE"""),4)</f>
        <v>4</v>
      </c>
      <c r="L293" s="1">
        <f ca="1">IFERROR(__xludf.DUMMYFUNCTION("""COMPUTED_VALUE"""),3)</f>
        <v>3</v>
      </c>
      <c r="M293" s="1">
        <f ca="1">IFERROR(__xludf.DUMMYFUNCTION("""COMPUTED_VALUE"""),9)</f>
        <v>9</v>
      </c>
      <c r="N293" s="1">
        <f ca="1">IFERROR(__xludf.DUMMYFUNCTION("""COMPUTED_VALUE"""),2260)</f>
        <v>2260</v>
      </c>
      <c r="O293" s="1">
        <f ca="1">IFERROR(__xludf.DUMMYFUNCTION("""COMPUTED_VALUE"""),2064)</f>
        <v>2064</v>
      </c>
      <c r="P293" s="1">
        <f ca="1">IFERROR(__xludf.DUMMYFUNCTION("""COMPUTED_VALUE"""),1325)</f>
        <v>1325</v>
      </c>
      <c r="Q293" s="1">
        <f ca="1">IFERROR(__xludf.DUMMYFUNCTION("""COMPUTED_VALUE"""),782)</f>
        <v>782</v>
      </c>
      <c r="R293" s="1">
        <f ca="1">IFERROR(__xludf.DUMMYFUNCTION("""COMPUTED_VALUE"""),1878)</f>
        <v>1878</v>
      </c>
      <c r="S293" s="1">
        <f ca="1">IFERROR(__xludf.DUMMYFUNCTION("""COMPUTED_VALUE"""),0.416)</f>
        <v>0.41599999999999998</v>
      </c>
      <c r="T293" s="1">
        <f ca="1">IFERROR(__xludf.DUMMYFUNCTION("""COMPUTED_VALUE"""),233)</f>
        <v>233</v>
      </c>
      <c r="U293" s="1">
        <f ca="1">IFERROR(__xludf.DUMMYFUNCTION("""COMPUTED_VALUE"""),736)</f>
        <v>736</v>
      </c>
      <c r="V293" s="1">
        <f ca="1">IFERROR(__xludf.DUMMYFUNCTION("""COMPUTED_VALUE"""),0.317)</f>
        <v>0.317</v>
      </c>
      <c r="W293" s="1">
        <f ca="1">IFERROR(__xludf.DUMMYFUNCTION("""COMPUTED_VALUE"""),463)</f>
        <v>463</v>
      </c>
      <c r="X293" s="1">
        <f ca="1">IFERROR(__xludf.DUMMYFUNCTION("""COMPUTED_VALUE"""),663)</f>
        <v>663</v>
      </c>
      <c r="Y293" s="1">
        <f ca="1">IFERROR(__xludf.DUMMYFUNCTION("""COMPUTED_VALUE"""),0.698)</f>
        <v>0.69799999999999995</v>
      </c>
      <c r="Z293" s="1">
        <f ca="1">IFERROR(__xludf.DUMMYFUNCTION("""COMPUTED_VALUE"""),350)</f>
        <v>350</v>
      </c>
      <c r="AA293" s="1">
        <f ca="1">IFERROR(__xludf.DUMMYFUNCTION("""COMPUTED_VALUE"""),1199)</f>
        <v>1199</v>
      </c>
      <c r="AB293" s="1">
        <f ca="1">IFERROR(__xludf.DUMMYFUNCTION("""COMPUTED_VALUE"""),360)</f>
        <v>360</v>
      </c>
      <c r="AC293" s="1">
        <f ca="1">IFERROR(__xludf.DUMMYFUNCTION("""COMPUTED_VALUE"""),227)</f>
        <v>227</v>
      </c>
      <c r="AD293" s="1">
        <f ca="1">IFERROR(__xludf.DUMMYFUNCTION("""COMPUTED_VALUE"""),164)</f>
        <v>164</v>
      </c>
      <c r="AE293" s="1">
        <f ca="1">IFERROR(__xludf.DUMMYFUNCTION("""COMPUTED_VALUE"""),387)</f>
        <v>387</v>
      </c>
      <c r="AF293" s="1">
        <f ca="1">IFERROR(__xludf.DUMMYFUNCTION("""COMPUTED_VALUE"""),572)</f>
        <v>572</v>
      </c>
    </row>
    <row r="294" spans="1:32" ht="12.5" x14ac:dyDescent="0.25">
      <c r="A294" s="1" t="str">
        <f ca="1">IFERROR(__xludf.DUMMYFUNCTION("""COMPUTED_VALUE"""),"San Diego")</f>
        <v>San Diego</v>
      </c>
      <c r="B294" s="1">
        <f ca="1">IFERROR(__xludf.DUMMYFUNCTION("""COMPUTED_VALUE"""),31)</f>
        <v>31</v>
      </c>
      <c r="C294" s="1">
        <f ca="1">IFERROR(__xludf.DUMMYFUNCTION("""COMPUTED_VALUE"""),13)</f>
        <v>13</v>
      </c>
      <c r="D294" s="1">
        <f ca="1">IFERROR(__xludf.DUMMYFUNCTION("""COMPUTED_VALUE"""),18)</f>
        <v>18</v>
      </c>
      <c r="E294" s="1">
        <f ca="1">IFERROR(__xludf.DUMMYFUNCTION("""COMPUTED_VALUE"""),0.419)</f>
        <v>0.41899999999999998</v>
      </c>
      <c r="F294" s="1">
        <f ca="1">IFERROR(__xludf.DUMMYFUNCTION("""COMPUTED_VALUE"""),-5.78)</f>
        <v>-5.78</v>
      </c>
      <c r="G294" s="1">
        <f ca="1">IFERROR(__xludf.DUMMYFUNCTION("""COMPUTED_VALUE"""),0.92)</f>
        <v>0.92</v>
      </c>
      <c r="H294" s="1">
        <f ca="1">IFERROR(__xludf.DUMMYFUNCTION("""COMPUTED_VALUE"""),6)</f>
        <v>6</v>
      </c>
      <c r="I294" s="1">
        <f ca="1">IFERROR(__xludf.DUMMYFUNCTION("""COMPUTED_VALUE"""),12)</f>
        <v>12</v>
      </c>
      <c r="J294" s="1">
        <f ca="1">IFERROR(__xludf.DUMMYFUNCTION("""COMPUTED_VALUE"""),7)</f>
        <v>7</v>
      </c>
      <c r="K294" s="1">
        <f ca="1">IFERROR(__xludf.DUMMYFUNCTION("""COMPUTED_VALUE"""),10)</f>
        <v>10</v>
      </c>
      <c r="L294" s="1">
        <f ca="1">IFERROR(__xludf.DUMMYFUNCTION("""COMPUTED_VALUE"""),6)</f>
        <v>6</v>
      </c>
      <c r="M294" s="1">
        <f ca="1">IFERROR(__xludf.DUMMYFUNCTION("""COMPUTED_VALUE"""),7)</f>
        <v>7</v>
      </c>
      <c r="N294" s="1">
        <f ca="1">IFERROR(__xludf.DUMMYFUNCTION("""COMPUTED_VALUE"""),2025)</f>
        <v>2025</v>
      </c>
      <c r="O294" s="1">
        <f ca="1">IFERROR(__xludf.DUMMYFUNCTION("""COMPUTED_VALUE"""),2210)</f>
        <v>2210</v>
      </c>
      <c r="P294" s="1">
        <f ca="1">IFERROR(__xludf.DUMMYFUNCTION("""COMPUTED_VALUE"""),1265)</f>
        <v>1265</v>
      </c>
      <c r="Q294" s="1">
        <f ca="1">IFERROR(__xludf.DUMMYFUNCTION("""COMPUTED_VALUE"""),666)</f>
        <v>666</v>
      </c>
      <c r="R294" s="1">
        <f ca="1">IFERROR(__xludf.DUMMYFUNCTION("""COMPUTED_VALUE"""),1636)</f>
        <v>1636</v>
      </c>
      <c r="S294" s="1">
        <f ca="1">IFERROR(__xludf.DUMMYFUNCTION("""COMPUTED_VALUE"""),0.407)</f>
        <v>0.40699999999999997</v>
      </c>
      <c r="T294" s="1">
        <f ca="1">IFERROR(__xludf.DUMMYFUNCTION("""COMPUTED_VALUE"""),258)</f>
        <v>258</v>
      </c>
      <c r="U294" s="1">
        <f ca="1">IFERROR(__xludf.DUMMYFUNCTION("""COMPUTED_VALUE"""),741)</f>
        <v>741</v>
      </c>
      <c r="V294" s="1">
        <f ca="1">IFERROR(__xludf.DUMMYFUNCTION("""COMPUTED_VALUE"""),0.348)</f>
        <v>0.34799999999999998</v>
      </c>
      <c r="W294" s="1">
        <f ca="1">IFERROR(__xludf.DUMMYFUNCTION("""COMPUTED_VALUE"""),435)</f>
        <v>435</v>
      </c>
      <c r="X294" s="1">
        <f ca="1">IFERROR(__xludf.DUMMYFUNCTION("""COMPUTED_VALUE"""),603)</f>
        <v>603</v>
      </c>
      <c r="Y294" s="1">
        <f ca="1">IFERROR(__xludf.DUMMYFUNCTION("""COMPUTED_VALUE"""),0.721)</f>
        <v>0.72099999999999997</v>
      </c>
      <c r="Z294" s="1">
        <f ca="1">IFERROR(__xludf.DUMMYFUNCTION("""COMPUTED_VALUE"""),254)</f>
        <v>254</v>
      </c>
      <c r="AA294" s="1">
        <f ca="1">IFERROR(__xludf.DUMMYFUNCTION("""COMPUTED_VALUE"""),1028)</f>
        <v>1028</v>
      </c>
      <c r="AB294" s="1">
        <f ca="1">IFERROR(__xludf.DUMMYFUNCTION("""COMPUTED_VALUE"""),376)</f>
        <v>376</v>
      </c>
      <c r="AC294" s="1">
        <f ca="1">IFERROR(__xludf.DUMMYFUNCTION("""COMPUTED_VALUE"""),121)</f>
        <v>121</v>
      </c>
      <c r="AD294" s="1">
        <f ca="1">IFERROR(__xludf.DUMMYFUNCTION("""COMPUTED_VALUE"""),54)</f>
        <v>54</v>
      </c>
      <c r="AE294" s="1">
        <f ca="1">IFERROR(__xludf.DUMMYFUNCTION("""COMPUTED_VALUE"""),379)</f>
        <v>379</v>
      </c>
      <c r="AF294" s="1">
        <f ca="1">IFERROR(__xludf.DUMMYFUNCTION("""COMPUTED_VALUE"""),600)</f>
        <v>600</v>
      </c>
    </row>
    <row r="295" spans="1:32" ht="12.5" x14ac:dyDescent="0.25">
      <c r="A295" s="1" t="str">
        <f ca="1">IFERROR(__xludf.DUMMYFUNCTION("""COMPUTED_VALUE"""),"San Francisco")</f>
        <v>San Francisco</v>
      </c>
      <c r="B295" s="1">
        <f ca="1">IFERROR(__xludf.DUMMYFUNCTION("""COMPUTED_VALUE"""),33)</f>
        <v>33</v>
      </c>
      <c r="C295" s="1">
        <f ca="1">IFERROR(__xludf.DUMMYFUNCTION("""COMPUTED_VALUE"""),20)</f>
        <v>20</v>
      </c>
      <c r="D295" s="1">
        <f ca="1">IFERROR(__xludf.DUMMYFUNCTION("""COMPUTED_VALUE"""),13)</f>
        <v>13</v>
      </c>
      <c r="E295" s="1">
        <f ca="1">IFERROR(__xludf.DUMMYFUNCTION("""COMPUTED_VALUE"""),0.606)</f>
        <v>0.60599999999999998</v>
      </c>
      <c r="F295" s="1">
        <f ca="1">IFERROR(__xludf.DUMMYFUNCTION("""COMPUTED_VALUE"""),3.8)</f>
        <v>3.8</v>
      </c>
      <c r="G295" s="1">
        <f ca="1">IFERROR(__xludf.DUMMYFUNCTION("""COMPUTED_VALUE"""),0.42)</f>
        <v>0.42</v>
      </c>
      <c r="H295" s="1">
        <f ca="1">IFERROR(__xludf.DUMMYFUNCTION("""COMPUTED_VALUE"""),10)</f>
        <v>10</v>
      </c>
      <c r="I295" s="1">
        <f ca="1">IFERROR(__xludf.DUMMYFUNCTION("""COMPUTED_VALUE"""),8)</f>
        <v>8</v>
      </c>
      <c r="J295" s="1">
        <f ca="1">IFERROR(__xludf.DUMMYFUNCTION("""COMPUTED_VALUE"""),12)</f>
        <v>12</v>
      </c>
      <c r="K295" s="1">
        <f ca="1">IFERROR(__xludf.DUMMYFUNCTION("""COMPUTED_VALUE"""),4)</f>
        <v>4</v>
      </c>
      <c r="L295" s="1">
        <f ca="1">IFERROR(__xludf.DUMMYFUNCTION("""COMPUTED_VALUE"""),5)</f>
        <v>5</v>
      </c>
      <c r="M295" s="1">
        <f ca="1">IFERROR(__xludf.DUMMYFUNCTION("""COMPUTED_VALUE"""),7)</f>
        <v>7</v>
      </c>
      <c r="N295" s="1">
        <f ca="1">IFERROR(__xludf.DUMMYFUNCTION("""COMPUTED_VALUE"""),2362)</f>
        <v>2362</v>
      </c>
      <c r="O295" s="1">
        <f ca="1">IFERROR(__xludf.DUMMYFUNCTION("""COMPUTED_VALUE"""),2222)</f>
        <v>2222</v>
      </c>
      <c r="P295" s="1">
        <f ca="1">IFERROR(__xludf.DUMMYFUNCTION("""COMPUTED_VALUE"""),1320)</f>
        <v>1320</v>
      </c>
      <c r="Q295" s="1">
        <f ca="1">IFERROR(__xludf.DUMMYFUNCTION("""COMPUTED_VALUE"""),868)</f>
        <v>868</v>
      </c>
      <c r="R295" s="1">
        <f ca="1">IFERROR(__xludf.DUMMYFUNCTION("""COMPUTED_VALUE"""),1934)</f>
        <v>1934</v>
      </c>
      <c r="S295" s="1">
        <f ca="1">IFERROR(__xludf.DUMMYFUNCTION("""COMPUTED_VALUE"""),0.449)</f>
        <v>0.44900000000000001</v>
      </c>
      <c r="T295" s="1">
        <f ca="1">IFERROR(__xludf.DUMMYFUNCTION("""COMPUTED_VALUE"""),299)</f>
        <v>299</v>
      </c>
      <c r="U295" s="1">
        <f ca="1">IFERROR(__xludf.DUMMYFUNCTION("""COMPUTED_VALUE"""),855)</f>
        <v>855</v>
      </c>
      <c r="V295" s="1">
        <f ca="1">IFERROR(__xludf.DUMMYFUNCTION("""COMPUTED_VALUE"""),0.35)</f>
        <v>0.35</v>
      </c>
      <c r="W295" s="1">
        <f ca="1">IFERROR(__xludf.DUMMYFUNCTION("""COMPUTED_VALUE"""),327)</f>
        <v>327</v>
      </c>
      <c r="X295" s="1">
        <f ca="1">IFERROR(__xludf.DUMMYFUNCTION("""COMPUTED_VALUE"""),514)</f>
        <v>514</v>
      </c>
      <c r="Y295" s="1">
        <f ca="1">IFERROR(__xludf.DUMMYFUNCTION("""COMPUTED_VALUE"""),0.636)</f>
        <v>0.63600000000000001</v>
      </c>
      <c r="Z295" s="1">
        <f ca="1">IFERROR(__xludf.DUMMYFUNCTION("""COMPUTED_VALUE"""),314)</f>
        <v>314</v>
      </c>
      <c r="AA295" s="1">
        <f ca="1">IFERROR(__xludf.DUMMYFUNCTION("""COMPUTED_VALUE"""),1187)</f>
        <v>1187</v>
      </c>
      <c r="AB295" s="1">
        <f ca="1">IFERROR(__xludf.DUMMYFUNCTION("""COMPUTED_VALUE"""),428)</f>
        <v>428</v>
      </c>
      <c r="AC295" s="1">
        <f ca="1">IFERROR(__xludf.DUMMYFUNCTION("""COMPUTED_VALUE"""),220)</f>
        <v>220</v>
      </c>
      <c r="AD295" s="1">
        <f ca="1">IFERROR(__xludf.DUMMYFUNCTION("""COMPUTED_VALUE"""),92)</f>
        <v>92</v>
      </c>
      <c r="AE295" s="1">
        <f ca="1">IFERROR(__xludf.DUMMYFUNCTION("""COMPUTED_VALUE"""),415)</f>
        <v>415</v>
      </c>
      <c r="AF295" s="1">
        <f ca="1">IFERROR(__xludf.DUMMYFUNCTION("""COMPUTED_VALUE"""),639)</f>
        <v>639</v>
      </c>
    </row>
    <row r="296" spans="1:32" ht="12.5" x14ac:dyDescent="0.25">
      <c r="A296" s="1" t="str">
        <f ca="1">IFERROR(__xludf.DUMMYFUNCTION("""COMPUTED_VALUE"""),"San Jose State")</f>
        <v>San Jose State</v>
      </c>
      <c r="B296" s="1">
        <f ca="1">IFERROR(__xludf.DUMMYFUNCTION("""COMPUTED_VALUE"""),30)</f>
        <v>30</v>
      </c>
      <c r="C296" s="1">
        <f ca="1">IFERROR(__xludf.DUMMYFUNCTION("""COMPUTED_VALUE"""),14)</f>
        <v>14</v>
      </c>
      <c r="D296" s="1">
        <f ca="1">IFERROR(__xludf.DUMMYFUNCTION("""COMPUTED_VALUE"""),16)</f>
        <v>16</v>
      </c>
      <c r="E296" s="1">
        <f ca="1">IFERROR(__xludf.DUMMYFUNCTION("""COMPUTED_VALUE"""),0.467)</f>
        <v>0.46700000000000003</v>
      </c>
      <c r="F296" s="1">
        <f ca="1">IFERROR(__xludf.DUMMYFUNCTION("""COMPUTED_VALUE"""),-2.84)</f>
        <v>-2.84</v>
      </c>
      <c r="G296" s="1">
        <f ca="1">IFERROR(__xludf.DUMMYFUNCTION("""COMPUTED_VALUE"""),1.74)</f>
        <v>1.74</v>
      </c>
      <c r="H296" s="1">
        <f ca="1">IFERROR(__xludf.DUMMYFUNCTION("""COMPUTED_VALUE"""),7)</f>
        <v>7</v>
      </c>
      <c r="I296" s="1">
        <f ca="1">IFERROR(__xludf.DUMMYFUNCTION("""COMPUTED_VALUE"""),11)</f>
        <v>11</v>
      </c>
      <c r="J296" s="1">
        <f ca="1">IFERROR(__xludf.DUMMYFUNCTION("""COMPUTED_VALUE"""),9)</f>
        <v>9</v>
      </c>
      <c r="K296" s="1">
        <f ca="1">IFERROR(__xludf.DUMMYFUNCTION("""COMPUTED_VALUE"""),7)</f>
        <v>7</v>
      </c>
      <c r="L296" s="1">
        <f ca="1">IFERROR(__xludf.DUMMYFUNCTION("""COMPUTED_VALUE"""),5)</f>
        <v>5</v>
      </c>
      <c r="M296" s="1">
        <f ca="1">IFERROR(__xludf.DUMMYFUNCTION("""COMPUTED_VALUE"""),8)</f>
        <v>8</v>
      </c>
      <c r="N296" s="1">
        <f ca="1">IFERROR(__xludf.DUMMYFUNCTION("""COMPUTED_VALUE"""),2195)</f>
        <v>2195</v>
      </c>
      <c r="O296" s="1">
        <f ca="1">IFERROR(__xludf.DUMMYFUNCTION("""COMPUTED_VALUE"""),2245)</f>
        <v>2245</v>
      </c>
      <c r="P296" s="1">
        <f ca="1">IFERROR(__xludf.DUMMYFUNCTION("""COMPUTED_VALUE"""),1205)</f>
        <v>1205</v>
      </c>
      <c r="Q296" s="1">
        <f ca="1">IFERROR(__xludf.DUMMYFUNCTION("""COMPUTED_VALUE"""),772)</f>
        <v>772</v>
      </c>
      <c r="R296" s="1">
        <f ca="1">IFERROR(__xludf.DUMMYFUNCTION("""COMPUTED_VALUE"""),1750)</f>
        <v>1750</v>
      </c>
      <c r="S296" s="1">
        <f ca="1">IFERROR(__xludf.DUMMYFUNCTION("""COMPUTED_VALUE"""),0.441)</f>
        <v>0.441</v>
      </c>
      <c r="T296" s="1">
        <f ca="1">IFERROR(__xludf.DUMMYFUNCTION("""COMPUTED_VALUE"""),200)</f>
        <v>200</v>
      </c>
      <c r="U296" s="1">
        <f ca="1">IFERROR(__xludf.DUMMYFUNCTION("""COMPUTED_VALUE"""),574)</f>
        <v>574</v>
      </c>
      <c r="V296" s="1">
        <f ca="1">IFERROR(__xludf.DUMMYFUNCTION("""COMPUTED_VALUE"""),0.348)</f>
        <v>0.34799999999999998</v>
      </c>
      <c r="W296" s="1">
        <f ca="1">IFERROR(__xludf.DUMMYFUNCTION("""COMPUTED_VALUE"""),451)</f>
        <v>451</v>
      </c>
      <c r="X296" s="1">
        <f ca="1">IFERROR(__xludf.DUMMYFUNCTION("""COMPUTED_VALUE"""),643)</f>
        <v>643</v>
      </c>
      <c r="Y296" s="1">
        <f ca="1">IFERROR(__xludf.DUMMYFUNCTION("""COMPUTED_VALUE"""),0.701)</f>
        <v>0.70099999999999996</v>
      </c>
      <c r="Z296" s="1">
        <f ca="1">IFERROR(__xludf.DUMMYFUNCTION("""COMPUTED_VALUE"""),283)</f>
        <v>283</v>
      </c>
      <c r="AA296" s="1">
        <f ca="1">IFERROR(__xludf.DUMMYFUNCTION("""COMPUTED_VALUE"""),1015)</f>
        <v>1015</v>
      </c>
      <c r="AB296" s="1">
        <f ca="1">IFERROR(__xludf.DUMMYFUNCTION("""COMPUTED_VALUE"""),417)</f>
        <v>417</v>
      </c>
      <c r="AC296" s="1">
        <f ca="1">IFERROR(__xludf.DUMMYFUNCTION("""COMPUTED_VALUE"""),190)</f>
        <v>190</v>
      </c>
      <c r="AD296" s="1">
        <f ca="1">IFERROR(__xludf.DUMMYFUNCTION("""COMPUTED_VALUE"""),124)</f>
        <v>124</v>
      </c>
      <c r="AE296" s="1">
        <f ca="1">IFERROR(__xludf.DUMMYFUNCTION("""COMPUTED_VALUE"""),377)</f>
        <v>377</v>
      </c>
      <c r="AF296" s="1">
        <f ca="1">IFERROR(__xludf.DUMMYFUNCTION("""COMPUTED_VALUE"""),589)</f>
        <v>589</v>
      </c>
    </row>
    <row r="297" spans="1:32" ht="12.5" x14ac:dyDescent="0.25">
      <c r="A297" s="1" t="str">
        <f ca="1">IFERROR(__xludf.DUMMYFUNCTION("""COMPUTED_VALUE"""),"Santa Clara")</f>
        <v>Santa Clara</v>
      </c>
      <c r="B297" s="1">
        <f ca="1">IFERROR(__xludf.DUMMYFUNCTION("""COMPUTED_VALUE"""),33)</f>
        <v>33</v>
      </c>
      <c r="C297" s="1">
        <f ca="1">IFERROR(__xludf.DUMMYFUNCTION("""COMPUTED_VALUE"""),17)</f>
        <v>17</v>
      </c>
      <c r="D297" s="1">
        <f ca="1">IFERROR(__xludf.DUMMYFUNCTION("""COMPUTED_VALUE"""),16)</f>
        <v>16</v>
      </c>
      <c r="E297" s="1">
        <f ca="1">IFERROR(__xludf.DUMMYFUNCTION("""COMPUTED_VALUE"""),0.515)</f>
        <v>0.51500000000000001</v>
      </c>
      <c r="F297" s="1">
        <f ca="1">IFERROR(__xludf.DUMMYFUNCTION("""COMPUTED_VALUE"""),2.69)</f>
        <v>2.69</v>
      </c>
      <c r="G297" s="1">
        <f ca="1">IFERROR(__xludf.DUMMYFUNCTION("""COMPUTED_VALUE"""),2.03)</f>
        <v>2.0299999999999998</v>
      </c>
      <c r="H297" s="1">
        <f ca="1">IFERROR(__xludf.DUMMYFUNCTION("""COMPUTED_VALUE"""),10)</f>
        <v>10</v>
      </c>
      <c r="I297" s="1">
        <f ca="1">IFERROR(__xludf.DUMMYFUNCTION("""COMPUTED_VALUE"""),8)</f>
        <v>8</v>
      </c>
      <c r="J297" s="1">
        <f ca="1">IFERROR(__xludf.DUMMYFUNCTION("""COMPUTED_VALUE"""),11)</f>
        <v>11</v>
      </c>
      <c r="K297" s="1">
        <f ca="1">IFERROR(__xludf.DUMMYFUNCTION("""COMPUTED_VALUE"""),6)</f>
        <v>6</v>
      </c>
      <c r="L297" s="1">
        <f ca="1">IFERROR(__xludf.DUMMYFUNCTION("""COMPUTED_VALUE"""),5)</f>
        <v>5</v>
      </c>
      <c r="M297" s="1">
        <f ca="1">IFERROR(__xludf.DUMMYFUNCTION("""COMPUTED_VALUE"""),7)</f>
        <v>7</v>
      </c>
      <c r="N297" s="1">
        <f ca="1">IFERROR(__xludf.DUMMYFUNCTION("""COMPUTED_VALUE"""),2204)</f>
        <v>2204</v>
      </c>
      <c r="O297" s="1">
        <f ca="1">IFERROR(__xludf.DUMMYFUNCTION("""COMPUTED_VALUE"""),2158)</f>
        <v>2158</v>
      </c>
      <c r="P297" s="1">
        <f ca="1">IFERROR(__xludf.DUMMYFUNCTION("""COMPUTED_VALUE"""),1340)</f>
        <v>1340</v>
      </c>
      <c r="Q297" s="1">
        <f ca="1">IFERROR(__xludf.DUMMYFUNCTION("""COMPUTED_VALUE"""),778)</f>
        <v>778</v>
      </c>
      <c r="R297" s="1">
        <f ca="1">IFERROR(__xludf.DUMMYFUNCTION("""COMPUTED_VALUE"""),1784)</f>
        <v>1784</v>
      </c>
      <c r="S297" s="1">
        <f ca="1">IFERROR(__xludf.DUMMYFUNCTION("""COMPUTED_VALUE"""),0.436)</f>
        <v>0.436</v>
      </c>
      <c r="T297" s="1">
        <f ca="1">IFERROR(__xludf.DUMMYFUNCTION("""COMPUTED_VALUE"""),318)</f>
        <v>318</v>
      </c>
      <c r="U297" s="1">
        <f ca="1">IFERROR(__xludf.DUMMYFUNCTION("""COMPUTED_VALUE"""),832)</f>
        <v>832</v>
      </c>
      <c r="V297" s="1">
        <f ca="1">IFERROR(__xludf.DUMMYFUNCTION("""COMPUTED_VALUE"""),0.382)</f>
        <v>0.38200000000000001</v>
      </c>
      <c r="W297" s="1">
        <f ca="1">IFERROR(__xludf.DUMMYFUNCTION("""COMPUTED_VALUE"""),330)</f>
        <v>330</v>
      </c>
      <c r="X297" s="1">
        <f ca="1">IFERROR(__xludf.DUMMYFUNCTION("""COMPUTED_VALUE"""),451)</f>
        <v>451</v>
      </c>
      <c r="Y297" s="1">
        <f ca="1">IFERROR(__xludf.DUMMYFUNCTION("""COMPUTED_VALUE"""),0.732)</f>
        <v>0.73199999999999998</v>
      </c>
      <c r="Z297" s="1">
        <f ca="1">IFERROR(__xludf.DUMMYFUNCTION("""COMPUTED_VALUE"""),203)</f>
        <v>203</v>
      </c>
      <c r="AA297" s="1">
        <f ca="1">IFERROR(__xludf.DUMMYFUNCTION("""COMPUTED_VALUE"""),980)</f>
        <v>980</v>
      </c>
      <c r="AB297" s="1">
        <f ca="1">IFERROR(__xludf.DUMMYFUNCTION("""COMPUTED_VALUE"""),464)</f>
        <v>464</v>
      </c>
      <c r="AC297" s="1">
        <f ca="1">IFERROR(__xludf.DUMMYFUNCTION("""COMPUTED_VALUE"""),170)</f>
        <v>170</v>
      </c>
      <c r="AD297" s="1">
        <f ca="1">IFERROR(__xludf.DUMMYFUNCTION("""COMPUTED_VALUE"""),65)</f>
        <v>65</v>
      </c>
      <c r="AE297" s="1">
        <f ca="1">IFERROR(__xludf.DUMMYFUNCTION("""COMPUTED_VALUE"""),341)</f>
        <v>341</v>
      </c>
      <c r="AF297" s="1">
        <f ca="1">IFERROR(__xludf.DUMMYFUNCTION("""COMPUTED_VALUE"""),617)</f>
        <v>617</v>
      </c>
    </row>
    <row r="298" spans="1:32" ht="12.5" x14ac:dyDescent="0.25">
      <c r="A298" s="1" t="str">
        <f ca="1">IFERROR(__xludf.DUMMYFUNCTION("""COMPUTED_VALUE"""),"Savannah State")</f>
        <v>Savannah State</v>
      </c>
      <c r="B298" s="1">
        <f ca="1">IFERROR(__xludf.DUMMYFUNCTION("""COMPUTED_VALUE"""),29)</f>
        <v>29</v>
      </c>
      <c r="C298" s="1">
        <f ca="1">IFERROR(__xludf.DUMMYFUNCTION("""COMPUTED_VALUE"""),13)</f>
        <v>13</v>
      </c>
      <c r="D298" s="1">
        <f ca="1">IFERROR(__xludf.DUMMYFUNCTION("""COMPUTED_VALUE"""),16)</f>
        <v>16</v>
      </c>
      <c r="E298" s="1">
        <f ca="1">IFERROR(__xludf.DUMMYFUNCTION("""COMPUTED_VALUE"""),0.448)</f>
        <v>0.44800000000000001</v>
      </c>
      <c r="F298" s="1">
        <f ca="1">IFERROR(__xludf.DUMMYFUNCTION("""COMPUTED_VALUE"""),-16.04)</f>
        <v>-16.04</v>
      </c>
      <c r="G298" s="1">
        <f ca="1">IFERROR(__xludf.DUMMYFUNCTION("""COMPUTED_VALUE"""),-8.44)</f>
        <v>-8.44</v>
      </c>
      <c r="H298" s="1">
        <f ca="1">IFERROR(__xludf.DUMMYFUNCTION("""COMPUTED_VALUE"""),10)</f>
        <v>10</v>
      </c>
      <c r="I298" s="1">
        <f ca="1">IFERROR(__xludf.DUMMYFUNCTION("""COMPUTED_VALUE"""),6)</f>
        <v>6</v>
      </c>
      <c r="J298" s="1">
        <f ca="1">IFERROR(__xludf.DUMMYFUNCTION("""COMPUTED_VALUE"""),7)</f>
        <v>7</v>
      </c>
      <c r="K298" s="1">
        <f ca="1">IFERROR(__xludf.DUMMYFUNCTION("""COMPUTED_VALUE"""),4)</f>
        <v>4</v>
      </c>
      <c r="L298" s="1">
        <f ca="1">IFERROR(__xludf.DUMMYFUNCTION("""COMPUTED_VALUE"""),6)</f>
        <v>6</v>
      </c>
      <c r="M298" s="1">
        <f ca="1">IFERROR(__xludf.DUMMYFUNCTION("""COMPUTED_VALUE"""),10)</f>
        <v>10</v>
      </c>
      <c r="N298" s="1">
        <f ca="1">IFERROR(__xludf.DUMMYFUNCTION("""COMPUTED_VALUE"""),2485)</f>
        <v>2485</v>
      </c>
      <c r="O298" s="1">
        <f ca="1">IFERROR(__xludf.DUMMYFUNCTION("""COMPUTED_VALUE"""),2665)</f>
        <v>2665</v>
      </c>
      <c r="P298" s="1">
        <f ca="1">IFERROR(__xludf.DUMMYFUNCTION("""COMPUTED_VALUE"""),1165)</f>
        <v>1165</v>
      </c>
      <c r="Q298" s="1">
        <f ca="1">IFERROR(__xludf.DUMMYFUNCTION("""COMPUTED_VALUE"""),833)</f>
        <v>833</v>
      </c>
      <c r="R298" s="1">
        <f ca="1">IFERROR(__xludf.DUMMYFUNCTION("""COMPUTED_VALUE"""),2030)</f>
        <v>2030</v>
      </c>
      <c r="S298" s="1">
        <f ca="1">IFERROR(__xludf.DUMMYFUNCTION("""COMPUTED_VALUE"""),0.41)</f>
        <v>0.41</v>
      </c>
      <c r="T298" s="1">
        <f ca="1">IFERROR(__xludf.DUMMYFUNCTION("""COMPUTED_VALUE"""),392)</f>
        <v>392</v>
      </c>
      <c r="U298" s="1">
        <f ca="1">IFERROR(__xludf.DUMMYFUNCTION("""COMPUTED_VALUE"""),1182)</f>
        <v>1182</v>
      </c>
      <c r="V298" s="1">
        <f ca="1">IFERROR(__xludf.DUMMYFUNCTION("""COMPUTED_VALUE"""),0.332)</f>
        <v>0.33200000000000002</v>
      </c>
      <c r="W298" s="1">
        <f ca="1">IFERROR(__xludf.DUMMYFUNCTION("""COMPUTED_VALUE"""),427)</f>
        <v>427</v>
      </c>
      <c r="X298" s="1">
        <f ca="1">IFERROR(__xludf.DUMMYFUNCTION("""COMPUTED_VALUE"""),659)</f>
        <v>659</v>
      </c>
      <c r="Y298" s="1">
        <f ca="1">IFERROR(__xludf.DUMMYFUNCTION("""COMPUTED_VALUE"""),0.648)</f>
        <v>0.64800000000000002</v>
      </c>
      <c r="Z298" s="1">
        <f ca="1">IFERROR(__xludf.DUMMYFUNCTION("""COMPUTED_VALUE"""),358)</f>
        <v>358</v>
      </c>
      <c r="AA298" s="1">
        <f ca="1">IFERROR(__xludf.DUMMYFUNCTION("""COMPUTED_VALUE"""),1169)</f>
        <v>1169</v>
      </c>
      <c r="AB298" s="1">
        <f ca="1">IFERROR(__xludf.DUMMYFUNCTION("""COMPUTED_VALUE"""),501)</f>
        <v>501</v>
      </c>
      <c r="AC298" s="1">
        <f ca="1">IFERROR(__xludf.DUMMYFUNCTION("""COMPUTED_VALUE"""),226)</f>
        <v>226</v>
      </c>
      <c r="AD298" s="1">
        <f ca="1">IFERROR(__xludf.DUMMYFUNCTION("""COMPUTED_VALUE"""),94)</f>
        <v>94</v>
      </c>
      <c r="AE298" s="1">
        <f ca="1">IFERROR(__xludf.DUMMYFUNCTION("""COMPUTED_VALUE"""),431)</f>
        <v>431</v>
      </c>
      <c r="AF298" s="1">
        <f ca="1">IFERROR(__xludf.DUMMYFUNCTION("""COMPUTED_VALUE"""),571)</f>
        <v>571</v>
      </c>
    </row>
    <row r="299" spans="1:32" ht="12.5" x14ac:dyDescent="0.25">
      <c r="A299" s="1" t="str">
        <f ca="1">IFERROR(__xludf.DUMMYFUNCTION("""COMPUTED_VALUE"""),"Seattle")</f>
        <v>Seattle</v>
      </c>
      <c r="B299" s="1">
        <f ca="1">IFERROR(__xludf.DUMMYFUNCTION("""COMPUTED_VALUE"""),30)</f>
        <v>30</v>
      </c>
      <c r="C299" s="1">
        <f ca="1">IFERROR(__xludf.DUMMYFUNCTION("""COMPUTED_VALUE"""),13)</f>
        <v>13</v>
      </c>
      <c r="D299" s="1">
        <f ca="1">IFERROR(__xludf.DUMMYFUNCTION("""COMPUTED_VALUE"""),17)</f>
        <v>17</v>
      </c>
      <c r="E299" s="1">
        <f ca="1">IFERROR(__xludf.DUMMYFUNCTION("""COMPUTED_VALUE"""),0.433)</f>
        <v>0.433</v>
      </c>
      <c r="F299" s="1">
        <f ca="1">IFERROR(__xludf.DUMMYFUNCTION("""COMPUTED_VALUE"""),-8.36)</f>
        <v>-8.36</v>
      </c>
      <c r="G299" s="1">
        <f ca="1">IFERROR(__xludf.DUMMYFUNCTION("""COMPUTED_VALUE"""),-3.95)</f>
        <v>-3.95</v>
      </c>
      <c r="H299" s="1">
        <f ca="1">IFERROR(__xludf.DUMMYFUNCTION("""COMPUTED_VALUE"""),5)</f>
        <v>5</v>
      </c>
      <c r="I299" s="1">
        <f ca="1">IFERROR(__xludf.DUMMYFUNCTION("""COMPUTED_VALUE"""),9)</f>
        <v>9</v>
      </c>
      <c r="J299" s="1">
        <f ca="1">IFERROR(__xludf.DUMMYFUNCTION("""COMPUTED_VALUE"""),9)</f>
        <v>9</v>
      </c>
      <c r="K299" s="1">
        <f ca="1">IFERROR(__xludf.DUMMYFUNCTION("""COMPUTED_VALUE"""),7)</f>
        <v>7</v>
      </c>
      <c r="L299" s="1">
        <f ca="1">IFERROR(__xludf.DUMMYFUNCTION("""COMPUTED_VALUE"""),3)</f>
        <v>3</v>
      </c>
      <c r="M299" s="1">
        <f ca="1">IFERROR(__xludf.DUMMYFUNCTION("""COMPUTED_VALUE"""),9)</f>
        <v>9</v>
      </c>
      <c r="N299" s="1">
        <f ca="1">IFERROR(__xludf.DUMMYFUNCTION("""COMPUTED_VALUE"""),2091)</f>
        <v>2091</v>
      </c>
      <c r="O299" s="1">
        <f ca="1">IFERROR(__xludf.DUMMYFUNCTION("""COMPUTED_VALUE"""),2141)</f>
        <v>2141</v>
      </c>
      <c r="P299" s="1">
        <f ca="1">IFERROR(__xludf.DUMMYFUNCTION("""COMPUTED_VALUE"""),1225)</f>
        <v>1225</v>
      </c>
      <c r="Q299" s="1">
        <f ca="1">IFERROR(__xludf.DUMMYFUNCTION("""COMPUTED_VALUE"""),713)</f>
        <v>713</v>
      </c>
      <c r="R299" s="1">
        <f ca="1">IFERROR(__xludf.DUMMYFUNCTION("""COMPUTED_VALUE"""),1646)</f>
        <v>1646</v>
      </c>
      <c r="S299" s="1">
        <f ca="1">IFERROR(__xludf.DUMMYFUNCTION("""COMPUTED_VALUE"""),0.433)</f>
        <v>0.433</v>
      </c>
      <c r="T299" s="1">
        <f ca="1">IFERROR(__xludf.DUMMYFUNCTION("""COMPUTED_VALUE"""),260)</f>
        <v>260</v>
      </c>
      <c r="U299" s="1">
        <f ca="1">IFERROR(__xludf.DUMMYFUNCTION("""COMPUTED_VALUE"""),756)</f>
        <v>756</v>
      </c>
      <c r="V299" s="1">
        <f ca="1">IFERROR(__xludf.DUMMYFUNCTION("""COMPUTED_VALUE"""),0.344)</f>
        <v>0.34399999999999997</v>
      </c>
      <c r="W299" s="1">
        <f ca="1">IFERROR(__xludf.DUMMYFUNCTION("""COMPUTED_VALUE"""),405)</f>
        <v>405</v>
      </c>
      <c r="X299" s="1">
        <f ca="1">IFERROR(__xludf.DUMMYFUNCTION("""COMPUTED_VALUE"""),573)</f>
        <v>573</v>
      </c>
      <c r="Y299" s="1">
        <f ca="1">IFERROR(__xludf.DUMMYFUNCTION("""COMPUTED_VALUE"""),0.707)</f>
        <v>0.70699999999999996</v>
      </c>
      <c r="Z299" s="1">
        <f ca="1">IFERROR(__xludf.DUMMYFUNCTION("""COMPUTED_VALUE"""),223)</f>
        <v>223</v>
      </c>
      <c r="AA299" s="1">
        <f ca="1">IFERROR(__xludf.DUMMYFUNCTION("""COMPUTED_VALUE"""),1011)</f>
        <v>1011</v>
      </c>
      <c r="AB299" s="1">
        <f ca="1">IFERROR(__xludf.DUMMYFUNCTION("""COMPUTED_VALUE"""),476)</f>
        <v>476</v>
      </c>
      <c r="AC299" s="1">
        <f ca="1">IFERROR(__xludf.DUMMYFUNCTION("""COMPUTED_VALUE"""),199)</f>
        <v>199</v>
      </c>
      <c r="AD299" s="1">
        <f ca="1">IFERROR(__xludf.DUMMYFUNCTION("""COMPUTED_VALUE"""),62)</f>
        <v>62</v>
      </c>
      <c r="AE299" s="1">
        <f ca="1">IFERROR(__xludf.DUMMYFUNCTION("""COMPUTED_VALUE"""),436)</f>
        <v>436</v>
      </c>
      <c r="AF299" s="1">
        <f ca="1">IFERROR(__xludf.DUMMYFUNCTION("""COMPUTED_VALUE"""),568)</f>
        <v>568</v>
      </c>
    </row>
    <row r="300" spans="1:32" ht="12.5" x14ac:dyDescent="0.25">
      <c r="A300" s="1" t="str">
        <f ca="1">IFERROR(__xludf.DUMMYFUNCTION("""COMPUTED_VALUE"""),"Seton HallNCAA")</f>
        <v>Seton HallNCAA</v>
      </c>
      <c r="B300" s="1">
        <f ca="1">IFERROR(__xludf.DUMMYFUNCTION("""COMPUTED_VALUE"""),33)</f>
        <v>33</v>
      </c>
      <c r="C300" s="1">
        <f ca="1">IFERROR(__xludf.DUMMYFUNCTION("""COMPUTED_VALUE"""),21)</f>
        <v>21</v>
      </c>
      <c r="D300" s="1">
        <f ca="1">IFERROR(__xludf.DUMMYFUNCTION("""COMPUTED_VALUE"""),12)</f>
        <v>12</v>
      </c>
      <c r="E300" s="1">
        <f ca="1">IFERROR(__xludf.DUMMYFUNCTION("""COMPUTED_VALUE"""),0.636)</f>
        <v>0.63600000000000001</v>
      </c>
      <c r="F300" s="1">
        <f ca="1">IFERROR(__xludf.DUMMYFUNCTION("""COMPUTED_VALUE"""),12.1)</f>
        <v>12.1</v>
      </c>
      <c r="G300" s="1">
        <f ca="1">IFERROR(__xludf.DUMMYFUNCTION("""COMPUTED_VALUE"""),9.25)</f>
        <v>9.25</v>
      </c>
      <c r="H300" s="1">
        <f ca="1">IFERROR(__xludf.DUMMYFUNCTION("""COMPUTED_VALUE"""),10)</f>
        <v>10</v>
      </c>
      <c r="I300" s="1">
        <f ca="1">IFERROR(__xludf.DUMMYFUNCTION("""COMPUTED_VALUE"""),8)</f>
        <v>8</v>
      </c>
      <c r="J300" s="1">
        <f ca="1">IFERROR(__xludf.DUMMYFUNCTION("""COMPUTED_VALUE"""),12)</f>
        <v>12</v>
      </c>
      <c r="K300" s="1">
        <f ca="1">IFERROR(__xludf.DUMMYFUNCTION("""COMPUTED_VALUE"""),2)</f>
        <v>2</v>
      </c>
      <c r="L300" s="1">
        <f ca="1">IFERROR(__xludf.DUMMYFUNCTION("""COMPUTED_VALUE"""),4)</f>
        <v>4</v>
      </c>
      <c r="M300" s="1">
        <f ca="1">IFERROR(__xludf.DUMMYFUNCTION("""COMPUTED_VALUE"""),6)</f>
        <v>6</v>
      </c>
      <c r="N300" s="1">
        <f ca="1">IFERROR(__xludf.DUMMYFUNCTION("""COMPUTED_VALUE"""),2417)</f>
        <v>2417</v>
      </c>
      <c r="O300" s="1">
        <f ca="1">IFERROR(__xludf.DUMMYFUNCTION("""COMPUTED_VALUE"""),2323)</f>
        <v>2323</v>
      </c>
      <c r="P300" s="1">
        <f ca="1">IFERROR(__xludf.DUMMYFUNCTION("""COMPUTED_VALUE"""),1335)</f>
        <v>1335</v>
      </c>
      <c r="Q300" s="1">
        <f ca="1">IFERROR(__xludf.DUMMYFUNCTION("""COMPUTED_VALUE"""),872)</f>
        <v>872</v>
      </c>
      <c r="R300" s="1">
        <f ca="1">IFERROR(__xludf.DUMMYFUNCTION("""COMPUTED_VALUE"""),1949)</f>
        <v>1949</v>
      </c>
      <c r="S300" s="1">
        <f ca="1">IFERROR(__xludf.DUMMYFUNCTION("""COMPUTED_VALUE"""),0.447)</f>
        <v>0.44700000000000001</v>
      </c>
      <c r="T300" s="1">
        <f ca="1">IFERROR(__xludf.DUMMYFUNCTION("""COMPUTED_VALUE"""),202)</f>
        <v>202</v>
      </c>
      <c r="U300" s="1">
        <f ca="1">IFERROR(__xludf.DUMMYFUNCTION("""COMPUTED_VALUE"""),598)</f>
        <v>598</v>
      </c>
      <c r="V300" s="1">
        <f ca="1">IFERROR(__xludf.DUMMYFUNCTION("""COMPUTED_VALUE"""),0.338)</f>
        <v>0.33800000000000002</v>
      </c>
      <c r="W300" s="1">
        <f ca="1">IFERROR(__xludf.DUMMYFUNCTION("""COMPUTED_VALUE"""),471)</f>
        <v>471</v>
      </c>
      <c r="X300" s="1">
        <f ca="1">IFERROR(__xludf.DUMMYFUNCTION("""COMPUTED_VALUE"""),733)</f>
        <v>733</v>
      </c>
      <c r="Y300" s="1">
        <f ca="1">IFERROR(__xludf.DUMMYFUNCTION("""COMPUTED_VALUE"""),0.643)</f>
        <v>0.64300000000000002</v>
      </c>
      <c r="Z300" s="1">
        <f ca="1">IFERROR(__xludf.DUMMYFUNCTION("""COMPUTED_VALUE"""),439)</f>
        <v>439</v>
      </c>
      <c r="AA300" s="1">
        <f ca="1">IFERROR(__xludf.DUMMYFUNCTION("""COMPUTED_VALUE"""),1311)</f>
        <v>1311</v>
      </c>
      <c r="AB300" s="1">
        <f ca="1">IFERROR(__xludf.DUMMYFUNCTION("""COMPUTED_VALUE"""),405)</f>
        <v>405</v>
      </c>
      <c r="AC300" s="1">
        <f ca="1">IFERROR(__xludf.DUMMYFUNCTION("""COMPUTED_VALUE"""),228)</f>
        <v>228</v>
      </c>
      <c r="AD300" s="1">
        <f ca="1">IFERROR(__xludf.DUMMYFUNCTION("""COMPUTED_VALUE"""),82)</f>
        <v>82</v>
      </c>
      <c r="AE300" s="1">
        <f ca="1">IFERROR(__xludf.DUMMYFUNCTION("""COMPUTED_VALUE"""),449)</f>
        <v>449</v>
      </c>
      <c r="AF300" s="1">
        <f ca="1">IFERROR(__xludf.DUMMYFUNCTION("""COMPUTED_VALUE"""),613)</f>
        <v>613</v>
      </c>
    </row>
    <row r="301" spans="1:32" ht="12.5" x14ac:dyDescent="0.25">
      <c r="A301" s="1" t="str">
        <f ca="1">IFERROR(__xludf.DUMMYFUNCTION("""COMPUTED_VALUE"""),"Siena")</f>
        <v>Siena</v>
      </c>
      <c r="B301" s="1">
        <f ca="1">IFERROR(__xludf.DUMMYFUNCTION("""COMPUTED_VALUE"""),34)</f>
        <v>34</v>
      </c>
      <c r="C301" s="1">
        <f ca="1">IFERROR(__xludf.DUMMYFUNCTION("""COMPUTED_VALUE"""),17)</f>
        <v>17</v>
      </c>
      <c r="D301" s="1">
        <f ca="1">IFERROR(__xludf.DUMMYFUNCTION("""COMPUTED_VALUE"""),17)</f>
        <v>17</v>
      </c>
      <c r="E301" s="1">
        <f ca="1">IFERROR(__xludf.DUMMYFUNCTION("""COMPUTED_VALUE"""),0.5)</f>
        <v>0.5</v>
      </c>
      <c r="F301" s="1">
        <f ca="1">IFERROR(__xludf.DUMMYFUNCTION("""COMPUTED_VALUE"""),-2)</f>
        <v>-2</v>
      </c>
      <c r="G301" s="1">
        <f ca="1">IFERROR(__xludf.DUMMYFUNCTION("""COMPUTED_VALUE"""),-2.23)</f>
        <v>-2.23</v>
      </c>
      <c r="H301" s="1">
        <f ca="1">IFERROR(__xludf.DUMMYFUNCTION("""COMPUTED_VALUE"""),12)</f>
        <v>12</v>
      </c>
      <c r="I301" s="1">
        <f ca="1">IFERROR(__xludf.DUMMYFUNCTION("""COMPUTED_VALUE"""),8)</f>
        <v>8</v>
      </c>
      <c r="J301" s="1">
        <f ca="1">IFERROR(__xludf.DUMMYFUNCTION("""COMPUTED_VALUE"""),10)</f>
        <v>10</v>
      </c>
      <c r="K301" s="1">
        <f ca="1">IFERROR(__xludf.DUMMYFUNCTION("""COMPUTED_VALUE"""),4)</f>
        <v>4</v>
      </c>
      <c r="L301" s="1">
        <f ca="1">IFERROR(__xludf.DUMMYFUNCTION("""COMPUTED_VALUE"""),5)</f>
        <v>5</v>
      </c>
      <c r="M301" s="1">
        <f ca="1">IFERROR(__xludf.DUMMYFUNCTION("""COMPUTED_VALUE"""),12)</f>
        <v>12</v>
      </c>
      <c r="N301" s="1">
        <f ca="1">IFERROR(__xludf.DUMMYFUNCTION("""COMPUTED_VALUE"""),2549)</f>
        <v>2549</v>
      </c>
      <c r="O301" s="1">
        <f ca="1">IFERROR(__xludf.DUMMYFUNCTION("""COMPUTED_VALUE"""),2541)</f>
        <v>2541</v>
      </c>
      <c r="P301" s="1">
        <f ca="1">IFERROR(__xludf.DUMMYFUNCTION("""COMPUTED_VALUE"""),1365)</f>
        <v>1365</v>
      </c>
      <c r="Q301" s="1">
        <f ca="1">IFERROR(__xludf.DUMMYFUNCTION("""COMPUTED_VALUE"""),899)</f>
        <v>899</v>
      </c>
      <c r="R301" s="1">
        <f ca="1">IFERROR(__xludf.DUMMYFUNCTION("""COMPUTED_VALUE"""),1989)</f>
        <v>1989</v>
      </c>
      <c r="S301" s="1">
        <f ca="1">IFERROR(__xludf.DUMMYFUNCTION("""COMPUTED_VALUE"""),0.452)</f>
        <v>0.45200000000000001</v>
      </c>
      <c r="T301" s="1">
        <f ca="1">IFERROR(__xludf.DUMMYFUNCTION("""COMPUTED_VALUE"""),186)</f>
        <v>186</v>
      </c>
      <c r="U301" s="1">
        <f ca="1">IFERROR(__xludf.DUMMYFUNCTION("""COMPUTED_VALUE"""),568)</f>
        <v>568</v>
      </c>
      <c r="V301" s="1">
        <f ca="1">IFERROR(__xludf.DUMMYFUNCTION("""COMPUTED_VALUE"""),0.327)</f>
        <v>0.32700000000000001</v>
      </c>
      <c r="W301" s="1">
        <f ca="1">IFERROR(__xludf.DUMMYFUNCTION("""COMPUTED_VALUE"""),565)</f>
        <v>565</v>
      </c>
      <c r="X301" s="1">
        <f ca="1">IFERROR(__xludf.DUMMYFUNCTION("""COMPUTED_VALUE"""),795)</f>
        <v>795</v>
      </c>
      <c r="Y301" s="1">
        <f ca="1">IFERROR(__xludf.DUMMYFUNCTION("""COMPUTED_VALUE"""),0.711)</f>
        <v>0.71099999999999997</v>
      </c>
      <c r="Z301" s="1">
        <f ca="1">IFERROR(__xludf.DUMMYFUNCTION("""COMPUTED_VALUE"""),430)</f>
        <v>430</v>
      </c>
      <c r="AA301" s="1">
        <f ca="1">IFERROR(__xludf.DUMMYFUNCTION("""COMPUTED_VALUE"""),1284)</f>
        <v>1284</v>
      </c>
      <c r="AB301" s="1">
        <f ca="1">IFERROR(__xludf.DUMMYFUNCTION("""COMPUTED_VALUE"""),460)</f>
        <v>460</v>
      </c>
      <c r="AC301" s="1">
        <f ca="1">IFERROR(__xludf.DUMMYFUNCTION("""COMPUTED_VALUE"""),199)</f>
        <v>199</v>
      </c>
      <c r="AD301" s="1">
        <f ca="1">IFERROR(__xludf.DUMMYFUNCTION("""COMPUTED_VALUE"""),140)</f>
        <v>140</v>
      </c>
      <c r="AE301" s="1">
        <f ca="1">IFERROR(__xludf.DUMMYFUNCTION("""COMPUTED_VALUE"""),476)</f>
        <v>476</v>
      </c>
      <c r="AF301" s="1">
        <f ca="1">IFERROR(__xludf.DUMMYFUNCTION("""COMPUTED_VALUE"""),664)</f>
        <v>664</v>
      </c>
    </row>
    <row r="302" spans="1:32" ht="12.5" x14ac:dyDescent="0.25">
      <c r="A302" s="1" t="str">
        <f ca="1">IFERROR(__xludf.DUMMYFUNCTION("""COMPUTED_VALUE"""),"South Alabama")</f>
        <v>South Alabama</v>
      </c>
      <c r="B302" s="1">
        <f ca="1">IFERROR(__xludf.DUMMYFUNCTION("""COMPUTED_VALUE"""),32)</f>
        <v>32</v>
      </c>
      <c r="C302" s="1">
        <f ca="1">IFERROR(__xludf.DUMMYFUNCTION("""COMPUTED_VALUE"""),14)</f>
        <v>14</v>
      </c>
      <c r="D302" s="1">
        <f ca="1">IFERROR(__xludf.DUMMYFUNCTION("""COMPUTED_VALUE"""),18)</f>
        <v>18</v>
      </c>
      <c r="E302" s="1">
        <f ca="1">IFERROR(__xludf.DUMMYFUNCTION("""COMPUTED_VALUE"""),0.438)</f>
        <v>0.438</v>
      </c>
      <c r="F302" s="1">
        <f ca="1">IFERROR(__xludf.DUMMYFUNCTION("""COMPUTED_VALUE"""),-6.57)</f>
        <v>-6.57</v>
      </c>
      <c r="G302" s="1">
        <f ca="1">IFERROR(__xludf.DUMMYFUNCTION("""COMPUTED_VALUE"""),-2.9)</f>
        <v>-2.9</v>
      </c>
      <c r="H302" s="1">
        <f ca="1">IFERROR(__xludf.DUMMYFUNCTION("""COMPUTED_VALUE"""),7)</f>
        <v>7</v>
      </c>
      <c r="I302" s="1">
        <f ca="1">IFERROR(__xludf.DUMMYFUNCTION("""COMPUTED_VALUE"""),11)</f>
        <v>11</v>
      </c>
      <c r="J302" s="1">
        <f ca="1">IFERROR(__xludf.DUMMYFUNCTION("""COMPUTED_VALUE"""),10)</f>
        <v>10</v>
      </c>
      <c r="K302" s="1">
        <f ca="1">IFERROR(__xludf.DUMMYFUNCTION("""COMPUTED_VALUE"""),7)</f>
        <v>7</v>
      </c>
      <c r="L302" s="1">
        <f ca="1">IFERROR(__xludf.DUMMYFUNCTION("""COMPUTED_VALUE"""),4)</f>
        <v>4</v>
      </c>
      <c r="M302" s="1">
        <f ca="1">IFERROR(__xludf.DUMMYFUNCTION("""COMPUTED_VALUE"""),10)</f>
        <v>10</v>
      </c>
      <c r="N302" s="1">
        <f ca="1">IFERROR(__xludf.DUMMYFUNCTION("""COMPUTED_VALUE"""),2286)</f>
        <v>2286</v>
      </c>
      <c r="O302" s="1">
        <f ca="1">IFERROR(__xludf.DUMMYFUNCTION("""COMPUTED_VALUE"""),2322)</f>
        <v>2322</v>
      </c>
      <c r="P302" s="1">
        <f ca="1">IFERROR(__xludf.DUMMYFUNCTION("""COMPUTED_VALUE"""),1300)</f>
        <v>1300</v>
      </c>
      <c r="Q302" s="1">
        <f ca="1">IFERROR(__xludf.DUMMYFUNCTION("""COMPUTED_VALUE"""),793)</f>
        <v>793</v>
      </c>
      <c r="R302" s="1">
        <f ca="1">IFERROR(__xludf.DUMMYFUNCTION("""COMPUTED_VALUE"""),1859)</f>
        <v>1859</v>
      </c>
      <c r="S302" s="1">
        <f ca="1">IFERROR(__xludf.DUMMYFUNCTION("""COMPUTED_VALUE"""),0.427)</f>
        <v>0.42699999999999999</v>
      </c>
      <c r="T302" s="1">
        <f ca="1">IFERROR(__xludf.DUMMYFUNCTION("""COMPUTED_VALUE"""),223)</f>
        <v>223</v>
      </c>
      <c r="U302" s="1">
        <f ca="1">IFERROR(__xludf.DUMMYFUNCTION("""COMPUTED_VALUE"""),702)</f>
        <v>702</v>
      </c>
      <c r="V302" s="1">
        <f ca="1">IFERROR(__xludf.DUMMYFUNCTION("""COMPUTED_VALUE"""),0.318)</f>
        <v>0.318</v>
      </c>
      <c r="W302" s="1">
        <f ca="1">IFERROR(__xludf.DUMMYFUNCTION("""COMPUTED_VALUE"""),475)</f>
        <v>475</v>
      </c>
      <c r="X302" s="1">
        <f ca="1">IFERROR(__xludf.DUMMYFUNCTION("""COMPUTED_VALUE"""),725)</f>
        <v>725</v>
      </c>
      <c r="Y302" s="1">
        <f ca="1">IFERROR(__xludf.DUMMYFUNCTION("""COMPUTED_VALUE"""),0.655)</f>
        <v>0.65500000000000003</v>
      </c>
      <c r="Z302" s="1">
        <f ca="1">IFERROR(__xludf.DUMMYFUNCTION("""COMPUTED_VALUE"""),337)</f>
        <v>337</v>
      </c>
      <c r="AA302" s="1">
        <f ca="1">IFERROR(__xludf.DUMMYFUNCTION("""COMPUTED_VALUE"""),1108)</f>
        <v>1108</v>
      </c>
      <c r="AB302" s="1">
        <f ca="1">IFERROR(__xludf.DUMMYFUNCTION("""COMPUTED_VALUE"""),408)</f>
        <v>408</v>
      </c>
      <c r="AC302" s="1">
        <f ca="1">IFERROR(__xludf.DUMMYFUNCTION("""COMPUTED_VALUE"""),240)</f>
        <v>240</v>
      </c>
      <c r="AD302" s="1">
        <f ca="1">IFERROR(__xludf.DUMMYFUNCTION("""COMPUTED_VALUE"""),119)</f>
        <v>119</v>
      </c>
      <c r="AE302" s="1">
        <f ca="1">IFERROR(__xludf.DUMMYFUNCTION("""COMPUTED_VALUE"""),419)</f>
        <v>419</v>
      </c>
      <c r="AF302" s="1">
        <f ca="1">IFERROR(__xludf.DUMMYFUNCTION("""COMPUTED_VALUE"""),653)</f>
        <v>653</v>
      </c>
    </row>
    <row r="303" spans="1:32" ht="12.5" x14ac:dyDescent="0.25">
      <c r="A303" s="1" t="str">
        <f ca="1">IFERROR(__xludf.DUMMYFUNCTION("""COMPUTED_VALUE"""),"South Carolina State")</f>
        <v>South Carolina State</v>
      </c>
      <c r="B303" s="1">
        <f ca="1">IFERROR(__xludf.DUMMYFUNCTION("""COMPUTED_VALUE"""),31)</f>
        <v>31</v>
      </c>
      <c r="C303" s="1">
        <f ca="1">IFERROR(__xludf.DUMMYFUNCTION("""COMPUTED_VALUE"""),11)</f>
        <v>11</v>
      </c>
      <c r="D303" s="1">
        <f ca="1">IFERROR(__xludf.DUMMYFUNCTION("""COMPUTED_VALUE"""),20)</f>
        <v>20</v>
      </c>
      <c r="E303" s="1">
        <f ca="1">IFERROR(__xludf.DUMMYFUNCTION("""COMPUTED_VALUE"""),0.355)</f>
        <v>0.35499999999999998</v>
      </c>
      <c r="F303" s="1">
        <f ca="1">IFERROR(__xludf.DUMMYFUNCTION("""COMPUTED_VALUE"""),-18.37)</f>
        <v>-18.37</v>
      </c>
      <c r="G303" s="1">
        <f ca="1">IFERROR(__xludf.DUMMYFUNCTION("""COMPUTED_VALUE"""),-6.61)</f>
        <v>-6.61</v>
      </c>
      <c r="H303" s="1">
        <f ca="1">IFERROR(__xludf.DUMMYFUNCTION("""COMPUTED_VALUE"""),7)</f>
        <v>7</v>
      </c>
      <c r="I303" s="1">
        <f ca="1">IFERROR(__xludf.DUMMYFUNCTION("""COMPUTED_VALUE"""),9)</f>
        <v>9</v>
      </c>
      <c r="J303" s="1">
        <f ca="1">IFERROR(__xludf.DUMMYFUNCTION("""COMPUTED_VALUE"""),6)</f>
        <v>6</v>
      </c>
      <c r="K303" s="1">
        <f ca="1">IFERROR(__xludf.DUMMYFUNCTION("""COMPUTED_VALUE"""),4)</f>
        <v>4</v>
      </c>
      <c r="L303" s="1">
        <f ca="1">IFERROR(__xludf.DUMMYFUNCTION("""COMPUTED_VALUE"""),4)</f>
        <v>4</v>
      </c>
      <c r="M303" s="1">
        <f ca="1">IFERROR(__xludf.DUMMYFUNCTION("""COMPUTED_VALUE"""),14)</f>
        <v>14</v>
      </c>
      <c r="N303" s="1">
        <f ca="1">IFERROR(__xludf.DUMMYFUNCTION("""COMPUTED_VALUE"""),2167)</f>
        <v>2167</v>
      </c>
      <c r="O303" s="1">
        <f ca="1">IFERROR(__xludf.DUMMYFUNCTION("""COMPUTED_VALUE"""),2486)</f>
        <v>2486</v>
      </c>
      <c r="P303" s="1">
        <f ca="1">IFERROR(__xludf.DUMMYFUNCTION("""COMPUTED_VALUE"""),1250)</f>
        <v>1250</v>
      </c>
      <c r="Q303" s="1">
        <f ca="1">IFERROR(__xludf.DUMMYFUNCTION("""COMPUTED_VALUE"""),796)</f>
        <v>796</v>
      </c>
      <c r="R303" s="1">
        <f ca="1">IFERROR(__xludf.DUMMYFUNCTION("""COMPUTED_VALUE"""),1849)</f>
        <v>1849</v>
      </c>
      <c r="S303" s="1">
        <f ca="1">IFERROR(__xludf.DUMMYFUNCTION("""COMPUTED_VALUE"""),0.431)</f>
        <v>0.43099999999999999</v>
      </c>
      <c r="T303" s="1">
        <f ca="1">IFERROR(__xludf.DUMMYFUNCTION("""COMPUTED_VALUE"""),185)</f>
        <v>185</v>
      </c>
      <c r="U303" s="1">
        <f ca="1">IFERROR(__xludf.DUMMYFUNCTION("""COMPUTED_VALUE"""),578)</f>
        <v>578</v>
      </c>
      <c r="V303" s="1">
        <f ca="1">IFERROR(__xludf.DUMMYFUNCTION("""COMPUTED_VALUE"""),0.32)</f>
        <v>0.32</v>
      </c>
      <c r="W303" s="1">
        <f ca="1">IFERROR(__xludf.DUMMYFUNCTION("""COMPUTED_VALUE"""),390)</f>
        <v>390</v>
      </c>
      <c r="X303" s="1">
        <f ca="1">IFERROR(__xludf.DUMMYFUNCTION("""COMPUTED_VALUE"""),564)</f>
        <v>564</v>
      </c>
      <c r="Y303" s="1">
        <f ca="1">IFERROR(__xludf.DUMMYFUNCTION("""COMPUTED_VALUE"""),0.691)</f>
        <v>0.69099999999999995</v>
      </c>
      <c r="Z303" s="1">
        <f ca="1">IFERROR(__xludf.DUMMYFUNCTION("""COMPUTED_VALUE"""),320)</f>
        <v>320</v>
      </c>
      <c r="AA303" s="1">
        <f ca="1">IFERROR(__xludf.DUMMYFUNCTION("""COMPUTED_VALUE"""),991)</f>
        <v>991</v>
      </c>
      <c r="AB303" s="1">
        <f ca="1">IFERROR(__xludf.DUMMYFUNCTION("""COMPUTED_VALUE"""),380)</f>
        <v>380</v>
      </c>
      <c r="AC303" s="1">
        <f ca="1">IFERROR(__xludf.DUMMYFUNCTION("""COMPUTED_VALUE"""),154)</f>
        <v>154</v>
      </c>
      <c r="AD303" s="1">
        <f ca="1">IFERROR(__xludf.DUMMYFUNCTION("""COMPUTED_VALUE"""),64)</f>
        <v>64</v>
      </c>
      <c r="AE303" s="1">
        <f ca="1">IFERROR(__xludf.DUMMYFUNCTION("""COMPUTED_VALUE"""),383)</f>
        <v>383</v>
      </c>
      <c r="AF303" s="1">
        <f ca="1">IFERROR(__xludf.DUMMYFUNCTION("""COMPUTED_VALUE"""),594)</f>
        <v>594</v>
      </c>
    </row>
    <row r="304" spans="1:32" ht="12.5" x14ac:dyDescent="0.25">
      <c r="A304" s="1" t="str">
        <f ca="1">IFERROR(__xludf.DUMMYFUNCTION("""COMPUTED_VALUE"""),"South Carolina Upstate")</f>
        <v>South Carolina Upstate</v>
      </c>
      <c r="B304" s="1">
        <f ca="1">IFERROR(__xludf.DUMMYFUNCTION("""COMPUTED_VALUE"""),33)</f>
        <v>33</v>
      </c>
      <c r="C304" s="1">
        <f ca="1">IFERROR(__xludf.DUMMYFUNCTION("""COMPUTED_VALUE"""),17)</f>
        <v>17</v>
      </c>
      <c r="D304" s="1">
        <f ca="1">IFERROR(__xludf.DUMMYFUNCTION("""COMPUTED_VALUE"""),16)</f>
        <v>16</v>
      </c>
      <c r="E304" s="1">
        <f ca="1">IFERROR(__xludf.DUMMYFUNCTION("""COMPUTED_VALUE"""),0.515)</f>
        <v>0.51500000000000001</v>
      </c>
      <c r="F304" s="1">
        <f ca="1">IFERROR(__xludf.DUMMYFUNCTION("""COMPUTED_VALUE"""),-7.64)</f>
        <v>-7.64</v>
      </c>
      <c r="G304" s="1">
        <f ca="1">IFERROR(__xludf.DUMMYFUNCTION("""COMPUTED_VALUE"""),-5.23)</f>
        <v>-5.23</v>
      </c>
      <c r="H304" s="1">
        <f ca="1">IFERROR(__xludf.DUMMYFUNCTION("""COMPUTED_VALUE"""),7)</f>
        <v>7</v>
      </c>
      <c r="I304" s="1">
        <f ca="1">IFERROR(__xludf.DUMMYFUNCTION("""COMPUTED_VALUE"""),7)</f>
        <v>7</v>
      </c>
      <c r="J304" s="1">
        <f ca="1">IFERROR(__xludf.DUMMYFUNCTION("""COMPUTED_VALUE"""),8)</f>
        <v>8</v>
      </c>
      <c r="K304" s="1">
        <f ca="1">IFERROR(__xludf.DUMMYFUNCTION("""COMPUTED_VALUE"""),8)</f>
        <v>8</v>
      </c>
      <c r="L304" s="1">
        <f ca="1">IFERROR(__xludf.DUMMYFUNCTION("""COMPUTED_VALUE"""),7)</f>
        <v>7</v>
      </c>
      <c r="M304" s="1">
        <f ca="1">IFERROR(__xludf.DUMMYFUNCTION("""COMPUTED_VALUE"""),8)</f>
        <v>8</v>
      </c>
      <c r="N304" s="1">
        <f ca="1">IFERROR(__xludf.DUMMYFUNCTION("""COMPUTED_VALUE"""),2575)</f>
        <v>2575</v>
      </c>
      <c r="O304" s="1">
        <f ca="1">IFERROR(__xludf.DUMMYFUNCTION("""COMPUTED_VALUE"""),2530)</f>
        <v>2530</v>
      </c>
      <c r="P304" s="1">
        <f ca="1">IFERROR(__xludf.DUMMYFUNCTION("""COMPUTED_VALUE"""),1335)</f>
        <v>1335</v>
      </c>
      <c r="Q304" s="1">
        <f ca="1">IFERROR(__xludf.DUMMYFUNCTION("""COMPUTED_VALUE"""),936)</f>
        <v>936</v>
      </c>
      <c r="R304" s="1">
        <f ca="1">IFERROR(__xludf.DUMMYFUNCTION("""COMPUTED_VALUE"""),2042)</f>
        <v>2042</v>
      </c>
      <c r="S304" s="1">
        <f ca="1">IFERROR(__xludf.DUMMYFUNCTION("""COMPUTED_VALUE"""),0.458)</f>
        <v>0.45800000000000002</v>
      </c>
      <c r="T304" s="1">
        <f ca="1">IFERROR(__xludf.DUMMYFUNCTION("""COMPUTED_VALUE"""),284)</f>
        <v>284</v>
      </c>
      <c r="U304" s="1">
        <f ca="1">IFERROR(__xludf.DUMMYFUNCTION("""COMPUTED_VALUE"""),821)</f>
        <v>821</v>
      </c>
      <c r="V304" s="1">
        <f ca="1">IFERROR(__xludf.DUMMYFUNCTION("""COMPUTED_VALUE"""),0.346)</f>
        <v>0.34599999999999997</v>
      </c>
      <c r="W304" s="1">
        <f ca="1">IFERROR(__xludf.DUMMYFUNCTION("""COMPUTED_VALUE"""),419)</f>
        <v>419</v>
      </c>
      <c r="X304" s="1">
        <f ca="1">IFERROR(__xludf.DUMMYFUNCTION("""COMPUTED_VALUE"""),638)</f>
        <v>638</v>
      </c>
      <c r="Y304" s="1">
        <f ca="1">IFERROR(__xludf.DUMMYFUNCTION("""COMPUTED_VALUE"""),0.657)</f>
        <v>0.65700000000000003</v>
      </c>
      <c r="Z304" s="1">
        <f ca="1">IFERROR(__xludf.DUMMYFUNCTION("""COMPUTED_VALUE"""),396)</f>
        <v>396</v>
      </c>
      <c r="AA304" s="1">
        <f ca="1">IFERROR(__xludf.DUMMYFUNCTION("""COMPUTED_VALUE"""),1279)</f>
        <v>1279</v>
      </c>
      <c r="AB304" s="1">
        <f ca="1">IFERROR(__xludf.DUMMYFUNCTION("""COMPUTED_VALUE"""),508)</f>
        <v>508</v>
      </c>
      <c r="AC304" s="1">
        <f ca="1">IFERROR(__xludf.DUMMYFUNCTION("""COMPUTED_VALUE"""),179)</f>
        <v>179</v>
      </c>
      <c r="AD304" s="1">
        <f ca="1">IFERROR(__xludf.DUMMYFUNCTION("""COMPUTED_VALUE"""),104)</f>
        <v>104</v>
      </c>
      <c r="AE304" s="1">
        <f ca="1">IFERROR(__xludf.DUMMYFUNCTION("""COMPUTED_VALUE"""),421)</f>
        <v>421</v>
      </c>
      <c r="AF304" s="1">
        <f ca="1">IFERROR(__xludf.DUMMYFUNCTION("""COMPUTED_VALUE"""),545)</f>
        <v>545</v>
      </c>
    </row>
    <row r="305" spans="1:32" ht="12.5" x14ac:dyDescent="0.25">
      <c r="A305" s="1" t="str">
        <f ca="1">IFERROR(__xludf.DUMMYFUNCTION("""COMPUTED_VALUE"""),"South CarolinaNCAA")</f>
        <v>South CarolinaNCAA</v>
      </c>
      <c r="B305" s="1">
        <f ca="1">IFERROR(__xludf.DUMMYFUNCTION("""COMPUTED_VALUE"""),37)</f>
        <v>37</v>
      </c>
      <c r="C305" s="1">
        <f ca="1">IFERROR(__xludf.DUMMYFUNCTION("""COMPUTED_VALUE"""),26)</f>
        <v>26</v>
      </c>
      <c r="D305" s="1">
        <f ca="1">IFERROR(__xludf.DUMMYFUNCTION("""COMPUTED_VALUE"""),11)</f>
        <v>11</v>
      </c>
      <c r="E305" s="1">
        <f ca="1">IFERROR(__xludf.DUMMYFUNCTION("""COMPUTED_VALUE"""),0.703)</f>
        <v>0.70299999999999996</v>
      </c>
      <c r="F305" s="1">
        <f ca="1">IFERROR(__xludf.DUMMYFUNCTION("""COMPUTED_VALUE"""),17.52)</f>
        <v>17.52</v>
      </c>
      <c r="G305" s="1">
        <f ca="1">IFERROR(__xludf.DUMMYFUNCTION("""COMPUTED_VALUE"""),10.16)</f>
        <v>10.16</v>
      </c>
      <c r="H305" s="1">
        <f ca="1">IFERROR(__xludf.DUMMYFUNCTION("""COMPUTED_VALUE"""),12)</f>
        <v>12</v>
      </c>
      <c r="I305" s="1">
        <f ca="1">IFERROR(__xludf.DUMMYFUNCTION("""COMPUTED_VALUE"""),6)</f>
        <v>6</v>
      </c>
      <c r="J305" s="1">
        <f ca="1">IFERROR(__xludf.DUMMYFUNCTION("""COMPUTED_VALUE"""),15)</f>
        <v>15</v>
      </c>
      <c r="K305" s="1">
        <f ca="1">IFERROR(__xludf.DUMMYFUNCTION("""COMPUTED_VALUE"""),3)</f>
        <v>3</v>
      </c>
      <c r="L305" s="1">
        <f ca="1">IFERROR(__xludf.DUMMYFUNCTION("""COMPUTED_VALUE"""),6)</f>
        <v>6</v>
      </c>
      <c r="M305" s="1">
        <f ca="1">IFERROR(__xludf.DUMMYFUNCTION("""COMPUTED_VALUE"""),5)</f>
        <v>5</v>
      </c>
      <c r="N305" s="1">
        <f ca="1">IFERROR(__xludf.DUMMYFUNCTION("""COMPUTED_VALUE"""),2707)</f>
        <v>2707</v>
      </c>
      <c r="O305" s="1">
        <f ca="1">IFERROR(__xludf.DUMMYFUNCTION("""COMPUTED_VALUE"""),2414)</f>
        <v>2414</v>
      </c>
      <c r="P305" s="1">
        <f ca="1">IFERROR(__xludf.DUMMYFUNCTION("""COMPUTED_VALUE"""),1505)</f>
        <v>1505</v>
      </c>
      <c r="Q305" s="1">
        <f ca="1">IFERROR(__xludf.DUMMYFUNCTION("""COMPUTED_VALUE"""),924)</f>
        <v>924</v>
      </c>
      <c r="R305" s="1">
        <f ca="1">IFERROR(__xludf.DUMMYFUNCTION("""COMPUTED_VALUE"""),2197)</f>
        <v>2197</v>
      </c>
      <c r="S305" s="1">
        <f ca="1">IFERROR(__xludf.DUMMYFUNCTION("""COMPUTED_VALUE"""),0.421)</f>
        <v>0.42099999999999999</v>
      </c>
      <c r="T305" s="1">
        <f ca="1">IFERROR(__xludf.DUMMYFUNCTION("""COMPUTED_VALUE"""),248)</f>
        <v>248</v>
      </c>
      <c r="U305" s="1">
        <f ca="1">IFERROR(__xludf.DUMMYFUNCTION("""COMPUTED_VALUE"""),733)</f>
        <v>733</v>
      </c>
      <c r="V305" s="1">
        <f ca="1">IFERROR(__xludf.DUMMYFUNCTION("""COMPUTED_VALUE"""),0.338)</f>
        <v>0.33800000000000002</v>
      </c>
      <c r="W305" s="1">
        <f ca="1">IFERROR(__xludf.DUMMYFUNCTION("""COMPUTED_VALUE"""),611)</f>
        <v>611</v>
      </c>
      <c r="X305" s="1">
        <f ca="1">IFERROR(__xludf.DUMMYFUNCTION("""COMPUTED_VALUE"""),874)</f>
        <v>874</v>
      </c>
      <c r="Y305" s="1">
        <f ca="1">IFERROR(__xludf.DUMMYFUNCTION("""COMPUTED_VALUE"""),0.699)</f>
        <v>0.69899999999999995</v>
      </c>
      <c r="Z305" s="1">
        <f ca="1">IFERROR(__xludf.DUMMYFUNCTION("""COMPUTED_VALUE"""),464)</f>
        <v>464</v>
      </c>
      <c r="AA305" s="1">
        <f ca="1">IFERROR(__xludf.DUMMYFUNCTION("""COMPUTED_VALUE"""),1346)</f>
        <v>1346</v>
      </c>
      <c r="AB305" s="1">
        <f ca="1">IFERROR(__xludf.DUMMYFUNCTION("""COMPUTED_VALUE"""),468)</f>
        <v>468</v>
      </c>
      <c r="AC305" s="1">
        <f ca="1">IFERROR(__xludf.DUMMYFUNCTION("""COMPUTED_VALUE"""),288)</f>
        <v>288</v>
      </c>
      <c r="AD305" s="1">
        <f ca="1">IFERROR(__xludf.DUMMYFUNCTION("""COMPUTED_VALUE"""),142)</f>
        <v>142</v>
      </c>
      <c r="AE305" s="1">
        <f ca="1">IFERROR(__xludf.DUMMYFUNCTION("""COMPUTED_VALUE"""),480)</f>
        <v>480</v>
      </c>
      <c r="AF305" s="1">
        <f ca="1">IFERROR(__xludf.DUMMYFUNCTION("""COMPUTED_VALUE"""),751)</f>
        <v>751</v>
      </c>
    </row>
    <row r="306" spans="1:32" ht="12.5" x14ac:dyDescent="0.25">
      <c r="A306" s="1" t="str">
        <f ca="1">IFERROR(__xludf.DUMMYFUNCTION("""COMPUTED_VALUE"""),"South Dakota StateNCAA")</f>
        <v>South Dakota StateNCAA</v>
      </c>
      <c r="B306" s="1">
        <f ca="1">IFERROR(__xludf.DUMMYFUNCTION("""COMPUTED_VALUE"""),35)</f>
        <v>35</v>
      </c>
      <c r="C306" s="1">
        <f ca="1">IFERROR(__xludf.DUMMYFUNCTION("""COMPUTED_VALUE"""),18)</f>
        <v>18</v>
      </c>
      <c r="D306" s="1">
        <f ca="1">IFERROR(__xludf.DUMMYFUNCTION("""COMPUTED_VALUE"""),17)</f>
        <v>17</v>
      </c>
      <c r="E306" s="1">
        <f ca="1">IFERROR(__xludf.DUMMYFUNCTION("""COMPUTED_VALUE"""),0.514)</f>
        <v>0.51400000000000001</v>
      </c>
      <c r="F306" s="1">
        <f ca="1">IFERROR(__xludf.DUMMYFUNCTION("""COMPUTED_VALUE"""),-2.3)</f>
        <v>-2.2999999999999998</v>
      </c>
      <c r="G306" s="1">
        <f ca="1">IFERROR(__xludf.DUMMYFUNCTION("""COMPUTED_VALUE"""),-0.66)</f>
        <v>-0.66</v>
      </c>
      <c r="H306" s="1">
        <f ca="1">IFERROR(__xludf.DUMMYFUNCTION("""COMPUTED_VALUE"""),8)</f>
        <v>8</v>
      </c>
      <c r="I306" s="1">
        <f ca="1">IFERROR(__xludf.DUMMYFUNCTION("""COMPUTED_VALUE"""),8)</f>
        <v>8</v>
      </c>
      <c r="J306" s="1">
        <f ca="1">IFERROR(__xludf.DUMMYFUNCTION("""COMPUTED_VALUE"""),11)</f>
        <v>11</v>
      </c>
      <c r="K306" s="1">
        <f ca="1">IFERROR(__xludf.DUMMYFUNCTION("""COMPUTED_VALUE"""),3)</f>
        <v>3</v>
      </c>
      <c r="L306" s="1">
        <f ca="1">IFERROR(__xludf.DUMMYFUNCTION("""COMPUTED_VALUE"""),3)</f>
        <v>3</v>
      </c>
      <c r="M306" s="1">
        <f ca="1">IFERROR(__xludf.DUMMYFUNCTION("""COMPUTED_VALUE"""),12)</f>
        <v>12</v>
      </c>
      <c r="N306" s="1">
        <f ca="1">IFERROR(__xludf.DUMMYFUNCTION("""COMPUTED_VALUE"""),2683)</f>
        <v>2683</v>
      </c>
      <c r="O306" s="1">
        <f ca="1">IFERROR(__xludf.DUMMYFUNCTION("""COMPUTED_VALUE"""),2697)</f>
        <v>2697</v>
      </c>
      <c r="P306" s="1">
        <f ca="1">IFERROR(__xludf.DUMMYFUNCTION("""COMPUTED_VALUE"""),1415)</f>
        <v>1415</v>
      </c>
      <c r="Q306" s="1">
        <f ca="1">IFERROR(__xludf.DUMMYFUNCTION("""COMPUTED_VALUE"""),881)</f>
        <v>881</v>
      </c>
      <c r="R306" s="1">
        <f ca="1">IFERROR(__xludf.DUMMYFUNCTION("""COMPUTED_VALUE"""),1938)</f>
        <v>1938</v>
      </c>
      <c r="S306" s="1">
        <f ca="1">IFERROR(__xludf.DUMMYFUNCTION("""COMPUTED_VALUE"""),0.455)</f>
        <v>0.45500000000000002</v>
      </c>
      <c r="T306" s="1">
        <f ca="1">IFERROR(__xludf.DUMMYFUNCTION("""COMPUTED_VALUE"""),318)</f>
        <v>318</v>
      </c>
      <c r="U306" s="1">
        <f ca="1">IFERROR(__xludf.DUMMYFUNCTION("""COMPUTED_VALUE"""),883)</f>
        <v>883</v>
      </c>
      <c r="V306" s="1">
        <f ca="1">IFERROR(__xludf.DUMMYFUNCTION("""COMPUTED_VALUE"""),0.36)</f>
        <v>0.36</v>
      </c>
      <c r="W306" s="1">
        <f ca="1">IFERROR(__xludf.DUMMYFUNCTION("""COMPUTED_VALUE"""),603)</f>
        <v>603</v>
      </c>
      <c r="X306" s="1">
        <f ca="1">IFERROR(__xludf.DUMMYFUNCTION("""COMPUTED_VALUE"""),782)</f>
        <v>782</v>
      </c>
      <c r="Y306" s="1">
        <f ca="1">IFERROR(__xludf.DUMMYFUNCTION("""COMPUTED_VALUE"""),0.771)</f>
        <v>0.77100000000000002</v>
      </c>
      <c r="Z306" s="1">
        <f ca="1">IFERROR(__xludf.DUMMYFUNCTION("""COMPUTED_VALUE"""),316)</f>
        <v>316</v>
      </c>
      <c r="AA306" s="1">
        <f ca="1">IFERROR(__xludf.DUMMYFUNCTION("""COMPUTED_VALUE"""),1229)</f>
        <v>1229</v>
      </c>
      <c r="AB306" s="1">
        <f ca="1">IFERROR(__xludf.DUMMYFUNCTION("""COMPUTED_VALUE"""),459)</f>
        <v>459</v>
      </c>
      <c r="AC306" s="1">
        <f ca="1">IFERROR(__xludf.DUMMYFUNCTION("""COMPUTED_VALUE"""),180)</f>
        <v>180</v>
      </c>
      <c r="AD306" s="1">
        <f ca="1">IFERROR(__xludf.DUMMYFUNCTION("""COMPUTED_VALUE"""),83)</f>
        <v>83</v>
      </c>
      <c r="AE306" s="1">
        <f ca="1">IFERROR(__xludf.DUMMYFUNCTION("""COMPUTED_VALUE"""),453)</f>
        <v>453</v>
      </c>
      <c r="AF306" s="1">
        <f ca="1">IFERROR(__xludf.DUMMYFUNCTION("""COMPUTED_VALUE"""),584)</f>
        <v>584</v>
      </c>
    </row>
    <row r="307" spans="1:32" ht="12.5" x14ac:dyDescent="0.25">
      <c r="A307" s="1" t="str">
        <f ca="1">IFERROR(__xludf.DUMMYFUNCTION("""COMPUTED_VALUE"""),"South Dakota")</f>
        <v>South Dakota</v>
      </c>
      <c r="B307" s="1">
        <f ca="1">IFERROR(__xludf.DUMMYFUNCTION("""COMPUTED_VALUE"""),34)</f>
        <v>34</v>
      </c>
      <c r="C307" s="1">
        <f ca="1">IFERROR(__xludf.DUMMYFUNCTION("""COMPUTED_VALUE"""),22)</f>
        <v>22</v>
      </c>
      <c r="D307" s="1">
        <f ca="1">IFERROR(__xludf.DUMMYFUNCTION("""COMPUTED_VALUE"""),12)</f>
        <v>12</v>
      </c>
      <c r="E307" s="1">
        <f ca="1">IFERROR(__xludf.DUMMYFUNCTION("""COMPUTED_VALUE"""),0.647)</f>
        <v>0.64700000000000002</v>
      </c>
      <c r="F307" s="1">
        <f ca="1">IFERROR(__xludf.DUMMYFUNCTION("""COMPUTED_VALUE"""),-0.42)</f>
        <v>-0.42</v>
      </c>
      <c r="G307" s="1">
        <f ca="1">IFERROR(__xludf.DUMMYFUNCTION("""COMPUTED_VALUE"""),-2.08)</f>
        <v>-2.08</v>
      </c>
      <c r="H307" s="1">
        <f ca="1">IFERROR(__xludf.DUMMYFUNCTION("""COMPUTED_VALUE"""),12)</f>
        <v>12</v>
      </c>
      <c r="I307" s="1">
        <f ca="1">IFERROR(__xludf.DUMMYFUNCTION("""COMPUTED_VALUE"""),4)</f>
        <v>4</v>
      </c>
      <c r="J307" s="1">
        <f ca="1">IFERROR(__xludf.DUMMYFUNCTION("""COMPUTED_VALUE"""),13)</f>
        <v>13</v>
      </c>
      <c r="K307" s="1">
        <f ca="1">IFERROR(__xludf.DUMMYFUNCTION("""COMPUTED_VALUE"""),1)</f>
        <v>1</v>
      </c>
      <c r="L307" s="1">
        <f ca="1">IFERROR(__xludf.DUMMYFUNCTION("""COMPUTED_VALUE"""),7)</f>
        <v>7</v>
      </c>
      <c r="M307" s="1">
        <f ca="1">IFERROR(__xludf.DUMMYFUNCTION("""COMPUTED_VALUE"""),7)</f>
        <v>7</v>
      </c>
      <c r="N307" s="1">
        <f ca="1">IFERROR(__xludf.DUMMYFUNCTION("""COMPUTED_VALUE"""),2639)</f>
        <v>2639</v>
      </c>
      <c r="O307" s="1">
        <f ca="1">IFERROR(__xludf.DUMMYFUNCTION("""COMPUTED_VALUE"""),2513)</f>
        <v>2513</v>
      </c>
      <c r="P307" s="1">
        <f ca="1">IFERROR(__xludf.DUMMYFUNCTION("""COMPUTED_VALUE"""),1365)</f>
        <v>1365</v>
      </c>
      <c r="Q307" s="1">
        <f ca="1">IFERROR(__xludf.DUMMYFUNCTION("""COMPUTED_VALUE"""),907)</f>
        <v>907</v>
      </c>
      <c r="R307" s="1">
        <f ca="1">IFERROR(__xludf.DUMMYFUNCTION("""COMPUTED_VALUE"""),2044)</f>
        <v>2044</v>
      </c>
      <c r="S307" s="1">
        <f ca="1">IFERROR(__xludf.DUMMYFUNCTION("""COMPUTED_VALUE"""),0.444)</f>
        <v>0.44400000000000001</v>
      </c>
      <c r="T307" s="1">
        <f ca="1">IFERROR(__xludf.DUMMYFUNCTION("""COMPUTED_VALUE"""),224)</f>
        <v>224</v>
      </c>
      <c r="U307" s="1">
        <f ca="1">IFERROR(__xludf.DUMMYFUNCTION("""COMPUTED_VALUE"""),657)</f>
        <v>657</v>
      </c>
      <c r="V307" s="1">
        <f ca="1">IFERROR(__xludf.DUMMYFUNCTION("""COMPUTED_VALUE"""),0.341)</f>
        <v>0.34100000000000003</v>
      </c>
      <c r="W307" s="1">
        <f ca="1">IFERROR(__xludf.DUMMYFUNCTION("""COMPUTED_VALUE"""),601)</f>
        <v>601</v>
      </c>
      <c r="X307" s="1">
        <f ca="1">IFERROR(__xludf.DUMMYFUNCTION("""COMPUTED_VALUE"""),852)</f>
        <v>852</v>
      </c>
      <c r="Y307" s="1">
        <f ca="1">IFERROR(__xludf.DUMMYFUNCTION("""COMPUTED_VALUE"""),0.705)</f>
        <v>0.70499999999999996</v>
      </c>
      <c r="Z307" s="1">
        <f ca="1">IFERROR(__xludf.DUMMYFUNCTION("""COMPUTED_VALUE"""),355)</f>
        <v>355</v>
      </c>
      <c r="AA307" s="1">
        <f ca="1">IFERROR(__xludf.DUMMYFUNCTION("""COMPUTED_VALUE"""),1268)</f>
        <v>1268</v>
      </c>
      <c r="AB307" s="1">
        <f ca="1">IFERROR(__xludf.DUMMYFUNCTION("""COMPUTED_VALUE"""),415)</f>
        <v>415</v>
      </c>
      <c r="AC307" s="1">
        <f ca="1">IFERROR(__xludf.DUMMYFUNCTION("""COMPUTED_VALUE"""),231)</f>
        <v>231</v>
      </c>
      <c r="AD307" s="1">
        <f ca="1">IFERROR(__xludf.DUMMYFUNCTION("""COMPUTED_VALUE"""),115)</f>
        <v>115</v>
      </c>
      <c r="AE307" s="1">
        <f ca="1">IFERROR(__xludf.DUMMYFUNCTION("""COMPUTED_VALUE"""),402)</f>
        <v>402</v>
      </c>
      <c r="AF307" s="1">
        <f ca="1">IFERROR(__xludf.DUMMYFUNCTION("""COMPUTED_VALUE"""),657)</f>
        <v>657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 Florida")</f>
        <v>South Florida</v>
      </c>
      <c r="B310" s="1">
        <f ca="1">IFERROR(__xludf.DUMMYFUNCTION("""COMPUTED_VALUE"""),30)</f>
        <v>30</v>
      </c>
      <c r="C310" s="1">
        <f ca="1">IFERROR(__xludf.DUMMYFUNCTION("""COMPUTED_VALUE"""),7)</f>
        <v>7</v>
      </c>
      <c r="D310" s="1">
        <f ca="1">IFERROR(__xludf.DUMMYFUNCTION("""COMPUTED_VALUE"""),23)</f>
        <v>23</v>
      </c>
      <c r="E310" s="1">
        <f ca="1">IFERROR(__xludf.DUMMYFUNCTION("""COMPUTED_VALUE"""),0.233)</f>
        <v>0.23300000000000001</v>
      </c>
      <c r="F310" s="1">
        <f ca="1">IFERROR(__xludf.DUMMYFUNCTION("""COMPUTED_VALUE"""),-7.28)</f>
        <v>-7.28</v>
      </c>
      <c r="G310" s="1">
        <f ca="1">IFERROR(__xludf.DUMMYFUNCTION("""COMPUTED_VALUE"""),2.39)</f>
        <v>2.39</v>
      </c>
      <c r="H310" s="1">
        <f ca="1">IFERROR(__xludf.DUMMYFUNCTION("""COMPUTED_VALUE"""),1)</f>
        <v>1</v>
      </c>
      <c r="I310" s="1">
        <f ca="1">IFERROR(__xludf.DUMMYFUNCTION("""COMPUTED_VALUE"""),17)</f>
        <v>17</v>
      </c>
      <c r="J310" s="1">
        <f ca="1">IFERROR(__xludf.DUMMYFUNCTION("""COMPUTED_VALUE"""),6)</f>
        <v>6</v>
      </c>
      <c r="K310" s="1">
        <f ca="1">IFERROR(__xludf.DUMMYFUNCTION("""COMPUTED_VALUE"""),11)</f>
        <v>11</v>
      </c>
      <c r="L310" s="1">
        <f ca="1">IFERROR(__xludf.DUMMYFUNCTION("""COMPUTED_VALUE"""),1)</f>
        <v>1</v>
      </c>
      <c r="M310" s="1">
        <f ca="1">IFERROR(__xludf.DUMMYFUNCTION("""COMPUTED_VALUE"""),11)</f>
        <v>11</v>
      </c>
      <c r="N310" s="1">
        <f ca="1">IFERROR(__xludf.DUMMYFUNCTION("""COMPUTED_VALUE"""),1945)</f>
        <v>1945</v>
      </c>
      <c r="O310" s="1">
        <f ca="1">IFERROR(__xludf.DUMMYFUNCTION("""COMPUTED_VALUE"""),2235)</f>
        <v>2235</v>
      </c>
      <c r="P310" s="1">
        <f ca="1">IFERROR(__xludf.DUMMYFUNCTION("""COMPUTED_VALUE"""),1205)</f>
        <v>1205</v>
      </c>
      <c r="Q310" s="1">
        <f ca="1">IFERROR(__xludf.DUMMYFUNCTION("""COMPUTED_VALUE"""),716)</f>
        <v>716</v>
      </c>
      <c r="R310" s="1">
        <f ca="1">IFERROR(__xludf.DUMMYFUNCTION("""COMPUTED_VALUE"""),1684)</f>
        <v>1684</v>
      </c>
      <c r="S310" s="1">
        <f ca="1">IFERROR(__xludf.DUMMYFUNCTION("""COMPUTED_VALUE"""),0.425)</f>
        <v>0.42499999999999999</v>
      </c>
      <c r="T310" s="1">
        <f ca="1">IFERROR(__xludf.DUMMYFUNCTION("""COMPUTED_VALUE"""),174)</f>
        <v>174</v>
      </c>
      <c r="U310" s="1">
        <f ca="1">IFERROR(__xludf.DUMMYFUNCTION("""COMPUTED_VALUE"""),503)</f>
        <v>503</v>
      </c>
      <c r="V310" s="1">
        <f ca="1">IFERROR(__xludf.DUMMYFUNCTION("""COMPUTED_VALUE"""),0.346)</f>
        <v>0.34599999999999997</v>
      </c>
      <c r="W310" s="1">
        <f ca="1">IFERROR(__xludf.DUMMYFUNCTION("""COMPUTED_VALUE"""),339)</f>
        <v>339</v>
      </c>
      <c r="X310" s="1">
        <f ca="1">IFERROR(__xludf.DUMMYFUNCTION("""COMPUTED_VALUE"""),516)</f>
        <v>516</v>
      </c>
      <c r="Y310" s="1">
        <f ca="1">IFERROR(__xludf.DUMMYFUNCTION("""COMPUTED_VALUE"""),0.657)</f>
        <v>0.65700000000000003</v>
      </c>
      <c r="Z310" s="1">
        <f ca="1">IFERROR(__xludf.DUMMYFUNCTION("""COMPUTED_VALUE"""),328)</f>
        <v>328</v>
      </c>
      <c r="AA310" s="1">
        <f ca="1">IFERROR(__xludf.DUMMYFUNCTION("""COMPUTED_VALUE"""),1053)</f>
        <v>1053</v>
      </c>
      <c r="AB310" s="1">
        <f ca="1">IFERROR(__xludf.DUMMYFUNCTION("""COMPUTED_VALUE"""),365)</f>
        <v>365</v>
      </c>
      <c r="AC310" s="1">
        <f ca="1">IFERROR(__xludf.DUMMYFUNCTION("""COMPUTED_VALUE"""),183)</f>
        <v>183</v>
      </c>
      <c r="AD310" s="1">
        <f ca="1">IFERROR(__xludf.DUMMYFUNCTION("""COMPUTED_VALUE"""),115)</f>
        <v>115</v>
      </c>
      <c r="AE310" s="1">
        <f ca="1">IFERROR(__xludf.DUMMYFUNCTION("""COMPUTED_VALUE"""),489)</f>
        <v>489</v>
      </c>
      <c r="AF310" s="1">
        <f ca="1">IFERROR(__xludf.DUMMYFUNCTION("""COMPUTED_VALUE"""),579)</f>
        <v>579</v>
      </c>
    </row>
    <row r="311" spans="1:32" ht="12.5" x14ac:dyDescent="0.25">
      <c r="A311" s="1" t="str">
        <f ca="1">IFERROR(__xludf.DUMMYFUNCTION("""COMPUTED_VALUE"""),"Southeast Missouri State")</f>
        <v>Southeast Missouri State</v>
      </c>
      <c r="B311" s="1">
        <f ca="1">IFERROR(__xludf.DUMMYFUNCTION("""COMPUTED_VALUE"""),33)</f>
        <v>33</v>
      </c>
      <c r="C311" s="1">
        <f ca="1">IFERROR(__xludf.DUMMYFUNCTION("""COMPUTED_VALUE"""),15)</f>
        <v>15</v>
      </c>
      <c r="D311" s="1">
        <f ca="1">IFERROR(__xludf.DUMMYFUNCTION("""COMPUTED_VALUE"""),18)</f>
        <v>18</v>
      </c>
      <c r="E311" s="1">
        <f ca="1">IFERROR(__xludf.DUMMYFUNCTION("""COMPUTED_VALUE"""),0.455)</f>
        <v>0.45500000000000002</v>
      </c>
      <c r="F311" s="1">
        <f ca="1">IFERROR(__xludf.DUMMYFUNCTION("""COMPUTED_VALUE"""),-5.89)</f>
        <v>-5.89</v>
      </c>
      <c r="G311" s="1">
        <f ca="1">IFERROR(__xludf.DUMMYFUNCTION("""COMPUTED_VALUE"""),-4.28)</f>
        <v>-4.28</v>
      </c>
      <c r="H311" s="1">
        <f ca="1">IFERROR(__xludf.DUMMYFUNCTION("""COMPUTED_VALUE"""),9)</f>
        <v>9</v>
      </c>
      <c r="I311" s="1">
        <f ca="1">IFERROR(__xludf.DUMMYFUNCTION("""COMPUTED_VALUE"""),7)</f>
        <v>7</v>
      </c>
      <c r="J311" s="1">
        <f ca="1">IFERROR(__xludf.DUMMYFUNCTION("""COMPUTED_VALUE"""),10)</f>
        <v>10</v>
      </c>
      <c r="K311" s="1">
        <f ca="1">IFERROR(__xludf.DUMMYFUNCTION("""COMPUTED_VALUE"""),4)</f>
        <v>4</v>
      </c>
      <c r="L311" s="1">
        <f ca="1">IFERROR(__xludf.DUMMYFUNCTION("""COMPUTED_VALUE"""),4)</f>
        <v>4</v>
      </c>
      <c r="M311" s="1">
        <f ca="1">IFERROR(__xludf.DUMMYFUNCTION("""COMPUTED_VALUE"""),11)</f>
        <v>11</v>
      </c>
      <c r="N311" s="1">
        <f ca="1">IFERROR(__xludf.DUMMYFUNCTION("""COMPUTED_VALUE"""),2460)</f>
        <v>2460</v>
      </c>
      <c r="O311" s="1">
        <f ca="1">IFERROR(__xludf.DUMMYFUNCTION("""COMPUTED_VALUE"""),2464)</f>
        <v>2464</v>
      </c>
      <c r="P311" s="1">
        <f ca="1">IFERROR(__xludf.DUMMYFUNCTION("""COMPUTED_VALUE"""),1330)</f>
        <v>1330</v>
      </c>
      <c r="Q311" s="1">
        <f ca="1">IFERROR(__xludf.DUMMYFUNCTION("""COMPUTED_VALUE"""),852)</f>
        <v>852</v>
      </c>
      <c r="R311" s="1">
        <f ca="1">IFERROR(__xludf.DUMMYFUNCTION("""COMPUTED_VALUE"""),1897)</f>
        <v>1897</v>
      </c>
      <c r="S311" s="1">
        <f ca="1">IFERROR(__xludf.DUMMYFUNCTION("""COMPUTED_VALUE"""),0.449)</f>
        <v>0.44900000000000001</v>
      </c>
      <c r="T311" s="1">
        <f ca="1">IFERROR(__xludf.DUMMYFUNCTION("""COMPUTED_VALUE"""),263)</f>
        <v>263</v>
      </c>
      <c r="U311" s="1">
        <f ca="1">IFERROR(__xludf.DUMMYFUNCTION("""COMPUTED_VALUE"""),716)</f>
        <v>716</v>
      </c>
      <c r="V311" s="1">
        <f ca="1">IFERROR(__xludf.DUMMYFUNCTION("""COMPUTED_VALUE"""),0.367)</f>
        <v>0.36699999999999999</v>
      </c>
      <c r="W311" s="1">
        <f ca="1">IFERROR(__xludf.DUMMYFUNCTION("""COMPUTED_VALUE"""),493)</f>
        <v>493</v>
      </c>
      <c r="X311" s="1">
        <f ca="1">IFERROR(__xludf.DUMMYFUNCTION("""COMPUTED_VALUE"""),664)</f>
        <v>664</v>
      </c>
      <c r="Y311" s="1">
        <f ca="1">IFERROR(__xludf.DUMMYFUNCTION("""COMPUTED_VALUE"""),0.742)</f>
        <v>0.74199999999999999</v>
      </c>
      <c r="Z311" s="1">
        <f ca="1">IFERROR(__xludf.DUMMYFUNCTION("""COMPUTED_VALUE"""),289)</f>
        <v>289</v>
      </c>
      <c r="AA311" s="1">
        <f ca="1">IFERROR(__xludf.DUMMYFUNCTION("""COMPUTED_VALUE"""),1024)</f>
        <v>1024</v>
      </c>
      <c r="AB311" s="1">
        <f ca="1">IFERROR(__xludf.DUMMYFUNCTION("""COMPUTED_VALUE"""),454)</f>
        <v>454</v>
      </c>
      <c r="AC311" s="1">
        <f ca="1">IFERROR(__xludf.DUMMYFUNCTION("""COMPUTED_VALUE"""),248)</f>
        <v>248</v>
      </c>
      <c r="AD311" s="1">
        <f ca="1">IFERROR(__xludf.DUMMYFUNCTION("""COMPUTED_VALUE"""),63)</f>
        <v>63</v>
      </c>
      <c r="AE311" s="1">
        <f ca="1">IFERROR(__xludf.DUMMYFUNCTION("""COMPUTED_VALUE"""),410)</f>
        <v>410</v>
      </c>
      <c r="AF311" s="1">
        <f ca="1">IFERROR(__xludf.DUMMYFUNCTION("""COMPUTED_VALUE"""),644)</f>
        <v>644</v>
      </c>
    </row>
    <row r="312" spans="1:32" ht="12.5" x14ac:dyDescent="0.25">
      <c r="A312" s="1" t="str">
        <f ca="1">IFERROR(__xludf.DUMMYFUNCTION("""COMPUTED_VALUE"""),"Southeastern Louisiana")</f>
        <v>Southeastern Louisiana</v>
      </c>
      <c r="B312" s="1">
        <f ca="1">IFERROR(__xludf.DUMMYFUNCTION("""COMPUTED_VALUE"""),32)</f>
        <v>32</v>
      </c>
      <c r="C312" s="1">
        <f ca="1">IFERROR(__xludf.DUMMYFUNCTION("""COMPUTED_VALUE"""),16)</f>
        <v>16</v>
      </c>
      <c r="D312" s="1">
        <f ca="1">IFERROR(__xludf.DUMMYFUNCTION("""COMPUTED_VALUE"""),16)</f>
        <v>16</v>
      </c>
      <c r="E312" s="1">
        <f ca="1">IFERROR(__xludf.DUMMYFUNCTION("""COMPUTED_VALUE"""),0.5)</f>
        <v>0.5</v>
      </c>
      <c r="F312" s="1">
        <f ca="1">IFERROR(__xludf.DUMMYFUNCTION("""COMPUTED_VALUE"""),-7.36)</f>
        <v>-7.36</v>
      </c>
      <c r="G312" s="1">
        <f ca="1">IFERROR(__xludf.DUMMYFUNCTION("""COMPUTED_VALUE"""),-8.13)</f>
        <v>-8.1300000000000008</v>
      </c>
      <c r="H312" s="1">
        <f ca="1">IFERROR(__xludf.DUMMYFUNCTION("""COMPUTED_VALUE"""),9)</f>
        <v>9</v>
      </c>
      <c r="I312" s="1">
        <f ca="1">IFERROR(__xludf.DUMMYFUNCTION("""COMPUTED_VALUE"""),9)</f>
        <v>9</v>
      </c>
      <c r="J312" s="1">
        <f ca="1">IFERROR(__xludf.DUMMYFUNCTION("""COMPUTED_VALUE"""),11)</f>
        <v>11</v>
      </c>
      <c r="K312" s="1">
        <f ca="1">IFERROR(__xludf.DUMMYFUNCTION("""COMPUTED_VALUE"""),3)</f>
        <v>3</v>
      </c>
      <c r="L312" s="1">
        <f ca="1">IFERROR(__xludf.DUMMYFUNCTION("""COMPUTED_VALUE"""),5)</f>
        <v>5</v>
      </c>
      <c r="M312" s="1">
        <f ca="1">IFERROR(__xludf.DUMMYFUNCTION("""COMPUTED_VALUE"""),12)</f>
        <v>12</v>
      </c>
      <c r="N312" s="1">
        <f ca="1">IFERROR(__xludf.DUMMYFUNCTION("""COMPUTED_VALUE"""),2268)</f>
        <v>2268</v>
      </c>
      <c r="O312" s="1">
        <f ca="1">IFERROR(__xludf.DUMMYFUNCTION("""COMPUTED_VALUE"""),2182)</f>
        <v>2182</v>
      </c>
      <c r="P312" s="1">
        <f ca="1">IFERROR(__xludf.DUMMYFUNCTION("""COMPUTED_VALUE"""),1280)</f>
        <v>1280</v>
      </c>
      <c r="Q312" s="1">
        <f ca="1">IFERROR(__xludf.DUMMYFUNCTION("""COMPUTED_VALUE"""),796)</f>
        <v>796</v>
      </c>
      <c r="R312" s="1">
        <f ca="1">IFERROR(__xludf.DUMMYFUNCTION("""COMPUTED_VALUE"""),1770)</f>
        <v>1770</v>
      </c>
      <c r="S312" s="1">
        <f ca="1">IFERROR(__xludf.DUMMYFUNCTION("""COMPUTED_VALUE"""),0.45)</f>
        <v>0.45</v>
      </c>
      <c r="T312" s="1">
        <f ca="1">IFERROR(__xludf.DUMMYFUNCTION("""COMPUTED_VALUE"""),215)</f>
        <v>215</v>
      </c>
      <c r="U312" s="1">
        <f ca="1">IFERROR(__xludf.DUMMYFUNCTION("""COMPUTED_VALUE"""),593)</f>
        <v>593</v>
      </c>
      <c r="V312" s="1">
        <f ca="1">IFERROR(__xludf.DUMMYFUNCTION("""COMPUTED_VALUE"""),0.363)</f>
        <v>0.36299999999999999</v>
      </c>
      <c r="W312" s="1">
        <f ca="1">IFERROR(__xludf.DUMMYFUNCTION("""COMPUTED_VALUE"""),461)</f>
        <v>461</v>
      </c>
      <c r="X312" s="1">
        <f ca="1">IFERROR(__xludf.DUMMYFUNCTION("""COMPUTED_VALUE"""),675)</f>
        <v>675</v>
      </c>
      <c r="Y312" s="1">
        <f ca="1">IFERROR(__xludf.DUMMYFUNCTION("""COMPUTED_VALUE"""),0.683)</f>
        <v>0.68300000000000005</v>
      </c>
      <c r="Z312" s="1">
        <f ca="1">IFERROR(__xludf.DUMMYFUNCTION("""COMPUTED_VALUE"""),384)</f>
        <v>384</v>
      </c>
      <c r="AA312" s="1">
        <f ca="1">IFERROR(__xludf.DUMMYFUNCTION("""COMPUTED_VALUE"""),1154)</f>
        <v>1154</v>
      </c>
      <c r="AB312" s="1">
        <f ca="1">IFERROR(__xludf.DUMMYFUNCTION("""COMPUTED_VALUE"""),455)</f>
        <v>455</v>
      </c>
      <c r="AC312" s="1">
        <f ca="1">IFERROR(__xludf.DUMMYFUNCTION("""COMPUTED_VALUE"""),218)</f>
        <v>218</v>
      </c>
      <c r="AD312" s="1">
        <f ca="1">IFERROR(__xludf.DUMMYFUNCTION("""COMPUTED_VALUE"""),106)</f>
        <v>106</v>
      </c>
      <c r="AE312" s="1">
        <f ca="1">IFERROR(__xludf.DUMMYFUNCTION("""COMPUTED_VALUE"""),512)</f>
        <v>512</v>
      </c>
      <c r="AF312" s="1">
        <f ca="1">IFERROR(__xludf.DUMMYFUNCTION("""COMPUTED_VALUE"""),619)</f>
        <v>619</v>
      </c>
    </row>
    <row r="313" spans="1:32" ht="12.5" x14ac:dyDescent="0.25">
      <c r="A313" s="1" t="str">
        <f ca="1">IFERROR(__xludf.DUMMYFUNCTION("""COMPUTED_VALUE"""),"Southern CaliforniaNCAA")</f>
        <v>Southern CaliforniaNCAA</v>
      </c>
      <c r="B313" s="1">
        <f ca="1">IFERROR(__xludf.DUMMYFUNCTION("""COMPUTED_VALUE"""),36)</f>
        <v>36</v>
      </c>
      <c r="C313" s="1">
        <f ca="1">IFERROR(__xludf.DUMMYFUNCTION("""COMPUTED_VALUE"""),26)</f>
        <v>26</v>
      </c>
      <c r="D313" s="1">
        <f ca="1">IFERROR(__xludf.DUMMYFUNCTION("""COMPUTED_VALUE"""),10)</f>
        <v>10</v>
      </c>
      <c r="E313" s="1">
        <f ca="1">IFERROR(__xludf.DUMMYFUNCTION("""COMPUTED_VALUE"""),0.722)</f>
        <v>0.72199999999999998</v>
      </c>
      <c r="F313" s="1">
        <f ca="1">IFERROR(__xludf.DUMMYFUNCTION("""COMPUTED_VALUE"""),11.48)</f>
        <v>11.48</v>
      </c>
      <c r="G313" s="1">
        <f ca="1">IFERROR(__xludf.DUMMYFUNCTION("""COMPUTED_VALUE"""),6.4)</f>
        <v>6.4</v>
      </c>
      <c r="H313" s="1">
        <f ca="1">IFERROR(__xludf.DUMMYFUNCTION("""COMPUTED_VALUE"""),10)</f>
        <v>10</v>
      </c>
      <c r="I313" s="1">
        <f ca="1">IFERROR(__xludf.DUMMYFUNCTION("""COMPUTED_VALUE"""),8)</f>
        <v>8</v>
      </c>
      <c r="J313" s="1">
        <f ca="1">IFERROR(__xludf.DUMMYFUNCTION("""COMPUTED_VALUE"""),14)</f>
        <v>14</v>
      </c>
      <c r="K313" s="1">
        <f ca="1">IFERROR(__xludf.DUMMYFUNCTION("""COMPUTED_VALUE"""),3)</f>
        <v>3</v>
      </c>
      <c r="L313" s="1">
        <f ca="1">IFERROR(__xludf.DUMMYFUNCTION("""COMPUTED_VALUE"""),6)</f>
        <v>6</v>
      </c>
      <c r="M313" s="1">
        <f ca="1">IFERROR(__xludf.DUMMYFUNCTION("""COMPUTED_VALUE"""),5)</f>
        <v>5</v>
      </c>
      <c r="N313" s="1">
        <f ca="1">IFERROR(__xludf.DUMMYFUNCTION("""COMPUTED_VALUE"""),2816)</f>
        <v>2816</v>
      </c>
      <c r="O313" s="1">
        <f ca="1">IFERROR(__xludf.DUMMYFUNCTION("""COMPUTED_VALUE"""),2633)</f>
        <v>2633</v>
      </c>
      <c r="P313" s="1">
        <f ca="1">IFERROR(__xludf.DUMMYFUNCTION("""COMPUTED_VALUE"""),1445)</f>
        <v>1445</v>
      </c>
      <c r="Q313" s="1">
        <f ca="1">IFERROR(__xludf.DUMMYFUNCTION("""COMPUTED_VALUE"""),975)</f>
        <v>975</v>
      </c>
      <c r="R313" s="1">
        <f ca="1">IFERROR(__xludf.DUMMYFUNCTION("""COMPUTED_VALUE"""),2139)</f>
        <v>2139</v>
      </c>
      <c r="S313" s="1">
        <f ca="1">IFERROR(__xludf.DUMMYFUNCTION("""COMPUTED_VALUE"""),0.456)</f>
        <v>0.45600000000000002</v>
      </c>
      <c r="T313" s="1">
        <f ca="1">IFERROR(__xludf.DUMMYFUNCTION("""COMPUTED_VALUE"""),283)</f>
        <v>283</v>
      </c>
      <c r="U313" s="1">
        <f ca="1">IFERROR(__xludf.DUMMYFUNCTION("""COMPUTED_VALUE"""),782)</f>
        <v>782</v>
      </c>
      <c r="V313" s="1">
        <f ca="1">IFERROR(__xludf.DUMMYFUNCTION("""COMPUTED_VALUE"""),0.362)</f>
        <v>0.36199999999999999</v>
      </c>
      <c r="W313" s="1">
        <f ca="1">IFERROR(__xludf.DUMMYFUNCTION("""COMPUTED_VALUE"""),583)</f>
        <v>583</v>
      </c>
      <c r="X313" s="1">
        <f ca="1">IFERROR(__xludf.DUMMYFUNCTION("""COMPUTED_VALUE"""),787)</f>
        <v>787</v>
      </c>
      <c r="Y313" s="1">
        <f ca="1">IFERROR(__xludf.DUMMYFUNCTION("""COMPUTED_VALUE"""),0.741)</f>
        <v>0.74099999999999999</v>
      </c>
      <c r="Z313" s="1">
        <f ca="1">IFERROR(__xludf.DUMMYFUNCTION("""COMPUTED_VALUE"""),387)</f>
        <v>387</v>
      </c>
      <c r="AA313" s="1">
        <f ca="1">IFERROR(__xludf.DUMMYFUNCTION("""COMPUTED_VALUE"""),1286)</f>
        <v>1286</v>
      </c>
      <c r="AB313" s="1">
        <f ca="1">IFERROR(__xludf.DUMMYFUNCTION("""COMPUTED_VALUE"""),550)</f>
        <v>550</v>
      </c>
      <c r="AC313" s="1">
        <f ca="1">IFERROR(__xludf.DUMMYFUNCTION("""COMPUTED_VALUE"""),252)</f>
        <v>252</v>
      </c>
      <c r="AD313" s="1">
        <f ca="1">IFERROR(__xludf.DUMMYFUNCTION("""COMPUTED_VALUE"""),190)</f>
        <v>190</v>
      </c>
      <c r="AE313" s="1">
        <f ca="1">IFERROR(__xludf.DUMMYFUNCTION("""COMPUTED_VALUE"""),398)</f>
        <v>398</v>
      </c>
      <c r="AF313" s="1">
        <f ca="1">IFERROR(__xludf.DUMMYFUNCTION("""COMPUTED_VALUE"""),571)</f>
        <v>571</v>
      </c>
    </row>
    <row r="314" spans="1:32" ht="12.5" x14ac:dyDescent="0.25">
      <c r="A314" s="1" t="str">
        <f ca="1">IFERROR(__xludf.DUMMYFUNCTION("""COMPUTED_VALUE"""),"SIU Edwardsville")</f>
        <v>SIU Edwardsville</v>
      </c>
      <c r="B314" s="1">
        <f ca="1">IFERROR(__xludf.DUMMYFUNCTION("""COMPUTED_VALUE"""),30)</f>
        <v>30</v>
      </c>
      <c r="C314" s="1">
        <f ca="1">IFERROR(__xludf.DUMMYFUNCTION("""COMPUTED_VALUE"""),6)</f>
        <v>6</v>
      </c>
      <c r="D314" s="1">
        <f ca="1">IFERROR(__xludf.DUMMYFUNCTION("""COMPUTED_VALUE"""),24)</f>
        <v>24</v>
      </c>
      <c r="E314" s="1">
        <f ca="1">IFERROR(__xludf.DUMMYFUNCTION("""COMPUTED_VALUE"""),0.2)</f>
        <v>0.2</v>
      </c>
      <c r="F314" s="1">
        <f ca="1">IFERROR(__xludf.DUMMYFUNCTION("""COMPUTED_VALUE"""),-12.25)</f>
        <v>-12.25</v>
      </c>
      <c r="G314" s="1">
        <f ca="1">IFERROR(__xludf.DUMMYFUNCTION("""COMPUTED_VALUE"""),-3.29)</f>
        <v>-3.29</v>
      </c>
      <c r="H314" s="1">
        <f ca="1">IFERROR(__xludf.DUMMYFUNCTION("""COMPUTED_VALUE"""),1)</f>
        <v>1</v>
      </c>
      <c r="I314" s="1">
        <f ca="1">IFERROR(__xludf.DUMMYFUNCTION("""COMPUTED_VALUE"""),15)</f>
        <v>15</v>
      </c>
      <c r="J314" s="1">
        <f ca="1">IFERROR(__xludf.DUMMYFUNCTION("""COMPUTED_VALUE"""),3)</f>
        <v>3</v>
      </c>
      <c r="K314" s="1">
        <f ca="1">IFERROR(__xludf.DUMMYFUNCTION("""COMPUTED_VALUE"""),10)</f>
        <v>10</v>
      </c>
      <c r="L314" s="1">
        <f ca="1">IFERROR(__xludf.DUMMYFUNCTION("""COMPUTED_VALUE"""),2)</f>
        <v>2</v>
      </c>
      <c r="M314" s="1">
        <f ca="1">IFERROR(__xludf.DUMMYFUNCTION("""COMPUTED_VALUE"""),13)</f>
        <v>13</v>
      </c>
      <c r="N314" s="1">
        <f ca="1">IFERROR(__xludf.DUMMYFUNCTION("""COMPUTED_VALUE"""),2044)</f>
        <v>2044</v>
      </c>
      <c r="O314" s="1">
        <f ca="1">IFERROR(__xludf.DUMMYFUNCTION("""COMPUTED_VALUE"""),2282)</f>
        <v>2282</v>
      </c>
      <c r="P314" s="1">
        <f ca="1">IFERROR(__xludf.DUMMYFUNCTION("""COMPUTED_VALUE"""),1210)</f>
        <v>1210</v>
      </c>
      <c r="Q314" s="1">
        <f ca="1">IFERROR(__xludf.DUMMYFUNCTION("""COMPUTED_VALUE"""),687)</f>
        <v>687</v>
      </c>
      <c r="R314" s="1">
        <f ca="1">IFERROR(__xludf.DUMMYFUNCTION("""COMPUTED_VALUE"""),1686)</f>
        <v>1686</v>
      </c>
      <c r="S314" s="1">
        <f ca="1">IFERROR(__xludf.DUMMYFUNCTION("""COMPUTED_VALUE"""),0.407)</f>
        <v>0.40699999999999997</v>
      </c>
      <c r="T314" s="1">
        <f ca="1">IFERROR(__xludf.DUMMYFUNCTION("""COMPUTED_VALUE"""),142)</f>
        <v>142</v>
      </c>
      <c r="U314" s="1">
        <f ca="1">IFERROR(__xludf.DUMMYFUNCTION("""COMPUTED_VALUE"""),486)</f>
        <v>486</v>
      </c>
      <c r="V314" s="1">
        <f ca="1">IFERROR(__xludf.DUMMYFUNCTION("""COMPUTED_VALUE"""),0.292)</f>
        <v>0.29199999999999998</v>
      </c>
      <c r="W314" s="1">
        <f ca="1">IFERROR(__xludf.DUMMYFUNCTION("""COMPUTED_VALUE"""),528)</f>
        <v>528</v>
      </c>
      <c r="X314" s="1">
        <f ca="1">IFERROR(__xludf.DUMMYFUNCTION("""COMPUTED_VALUE"""),780)</f>
        <v>780</v>
      </c>
      <c r="Y314" s="1">
        <f ca="1">IFERROR(__xludf.DUMMYFUNCTION("""COMPUTED_VALUE"""),0.677)</f>
        <v>0.67700000000000005</v>
      </c>
      <c r="Z314" s="1">
        <f ca="1">IFERROR(__xludf.DUMMYFUNCTION("""COMPUTED_VALUE"""),353)</f>
        <v>353</v>
      </c>
      <c r="AA314" s="1">
        <f ca="1">IFERROR(__xludf.DUMMYFUNCTION("""COMPUTED_VALUE"""),1073)</f>
        <v>1073</v>
      </c>
      <c r="AB314" s="1">
        <f ca="1">IFERROR(__xludf.DUMMYFUNCTION("""COMPUTED_VALUE"""),305)</f>
        <v>305</v>
      </c>
      <c r="AC314" s="1">
        <f ca="1">IFERROR(__xludf.DUMMYFUNCTION("""COMPUTED_VALUE"""),142)</f>
        <v>142</v>
      </c>
      <c r="AD314" s="1">
        <f ca="1">IFERROR(__xludf.DUMMYFUNCTION("""COMPUTED_VALUE"""),85)</f>
        <v>85</v>
      </c>
      <c r="AE314" s="1">
        <f ca="1">IFERROR(__xludf.DUMMYFUNCTION("""COMPUTED_VALUE"""),436)</f>
        <v>436</v>
      </c>
      <c r="AF314" s="1">
        <f ca="1">IFERROR(__xludf.DUMMYFUNCTION("""COMPUTED_VALUE"""),657)</f>
        <v>657</v>
      </c>
    </row>
    <row r="315" spans="1:32" ht="12.5" x14ac:dyDescent="0.25">
      <c r="A315" s="1" t="str">
        <f ca="1">IFERROR(__xludf.DUMMYFUNCTION("""COMPUTED_VALUE"""),"Southern Illinois")</f>
        <v>Southern Illinois</v>
      </c>
      <c r="B315" s="1">
        <f ca="1">IFERROR(__xludf.DUMMYFUNCTION("""COMPUTED_VALUE"""),33)</f>
        <v>33</v>
      </c>
      <c r="C315" s="1">
        <f ca="1">IFERROR(__xludf.DUMMYFUNCTION("""COMPUTED_VALUE"""),17)</f>
        <v>17</v>
      </c>
      <c r="D315" s="1">
        <f ca="1">IFERROR(__xludf.DUMMYFUNCTION("""COMPUTED_VALUE"""),16)</f>
        <v>16</v>
      </c>
      <c r="E315" s="1">
        <f ca="1">IFERROR(__xludf.DUMMYFUNCTION("""COMPUTED_VALUE"""),0.515)</f>
        <v>0.51500000000000001</v>
      </c>
      <c r="F315" s="1">
        <f ca="1">IFERROR(__xludf.DUMMYFUNCTION("""COMPUTED_VALUE"""),1.09)</f>
        <v>1.0900000000000001</v>
      </c>
      <c r="G315" s="1">
        <f ca="1">IFERROR(__xludf.DUMMYFUNCTION("""COMPUTED_VALUE"""),2.65)</f>
        <v>2.65</v>
      </c>
      <c r="H315" s="1">
        <f ca="1">IFERROR(__xludf.DUMMYFUNCTION("""COMPUTED_VALUE"""),9)</f>
        <v>9</v>
      </c>
      <c r="I315" s="1">
        <f ca="1">IFERROR(__xludf.DUMMYFUNCTION("""COMPUTED_VALUE"""),9)</f>
        <v>9</v>
      </c>
      <c r="J315" s="1">
        <f ca="1">IFERROR(__xludf.DUMMYFUNCTION("""COMPUTED_VALUE"""),11)</f>
        <v>11</v>
      </c>
      <c r="K315" s="1">
        <f ca="1">IFERROR(__xludf.DUMMYFUNCTION("""COMPUTED_VALUE"""),6)</f>
        <v>6</v>
      </c>
      <c r="L315" s="1">
        <f ca="1">IFERROR(__xludf.DUMMYFUNCTION("""COMPUTED_VALUE"""),5)</f>
        <v>5</v>
      </c>
      <c r="M315" s="1">
        <f ca="1">IFERROR(__xludf.DUMMYFUNCTION("""COMPUTED_VALUE"""),9)</f>
        <v>9</v>
      </c>
      <c r="N315" s="1">
        <f ca="1">IFERROR(__xludf.DUMMYFUNCTION("""COMPUTED_VALUE"""),2260)</f>
        <v>2260</v>
      </c>
      <c r="O315" s="1">
        <f ca="1">IFERROR(__xludf.DUMMYFUNCTION("""COMPUTED_VALUE"""),2289)</f>
        <v>2289</v>
      </c>
      <c r="P315" s="1">
        <f ca="1">IFERROR(__xludf.DUMMYFUNCTION("""COMPUTED_VALUE"""),1340)</f>
        <v>1340</v>
      </c>
      <c r="Q315" s="1">
        <f ca="1">IFERROR(__xludf.DUMMYFUNCTION("""COMPUTED_VALUE"""),808)</f>
        <v>808</v>
      </c>
      <c r="R315" s="1">
        <f ca="1">IFERROR(__xludf.DUMMYFUNCTION("""COMPUTED_VALUE"""),1866)</f>
        <v>1866</v>
      </c>
      <c r="S315" s="1">
        <f ca="1">IFERROR(__xludf.DUMMYFUNCTION("""COMPUTED_VALUE"""),0.433)</f>
        <v>0.433</v>
      </c>
      <c r="T315" s="1">
        <f ca="1">IFERROR(__xludf.DUMMYFUNCTION("""COMPUTED_VALUE"""),175)</f>
        <v>175</v>
      </c>
      <c r="U315" s="1">
        <f ca="1">IFERROR(__xludf.DUMMYFUNCTION("""COMPUTED_VALUE"""),554)</f>
        <v>554</v>
      </c>
      <c r="V315" s="1">
        <f ca="1">IFERROR(__xludf.DUMMYFUNCTION("""COMPUTED_VALUE"""),0.316)</f>
        <v>0.316</v>
      </c>
      <c r="W315" s="1">
        <f ca="1">IFERROR(__xludf.DUMMYFUNCTION("""COMPUTED_VALUE"""),469)</f>
        <v>469</v>
      </c>
      <c r="X315" s="1">
        <f ca="1">IFERROR(__xludf.DUMMYFUNCTION("""COMPUTED_VALUE"""),674)</f>
        <v>674</v>
      </c>
      <c r="Y315" s="1">
        <f ca="1">IFERROR(__xludf.DUMMYFUNCTION("""COMPUTED_VALUE"""),0.696)</f>
        <v>0.69599999999999995</v>
      </c>
      <c r="Z315" s="1">
        <f ca="1">IFERROR(__xludf.DUMMYFUNCTION("""COMPUTED_VALUE"""),348)</f>
        <v>348</v>
      </c>
      <c r="AA315" s="1">
        <f ca="1">IFERROR(__xludf.DUMMYFUNCTION("""COMPUTED_VALUE"""),1114)</f>
        <v>1114</v>
      </c>
      <c r="AB315" s="1">
        <f ca="1">IFERROR(__xludf.DUMMYFUNCTION("""COMPUTED_VALUE"""),375)</f>
        <v>375</v>
      </c>
      <c r="AC315" s="1">
        <f ca="1">IFERROR(__xludf.DUMMYFUNCTION("""COMPUTED_VALUE"""),225)</f>
        <v>225</v>
      </c>
      <c r="AD315" s="1">
        <f ca="1">IFERROR(__xludf.DUMMYFUNCTION("""COMPUTED_VALUE"""),128)</f>
        <v>128</v>
      </c>
      <c r="AE315" s="1">
        <f ca="1">IFERROR(__xludf.DUMMYFUNCTION("""COMPUTED_VALUE"""),398)</f>
        <v>398</v>
      </c>
      <c r="AF315" s="1">
        <f ca="1">IFERROR(__xludf.DUMMYFUNCTION("""COMPUTED_VALUE"""),594)</f>
        <v>594</v>
      </c>
    </row>
    <row r="316" spans="1:32" ht="12.5" x14ac:dyDescent="0.25">
      <c r="A316" s="1" t="str">
        <f ca="1">IFERROR(__xludf.DUMMYFUNCTION("""COMPUTED_VALUE"""),"Southern MethodistNCAA")</f>
        <v>Southern MethodistNCAA</v>
      </c>
      <c r="B316" s="1">
        <f ca="1">IFERROR(__xludf.DUMMYFUNCTION("""COMPUTED_VALUE"""),35)</f>
        <v>35</v>
      </c>
      <c r="C316" s="1">
        <f ca="1">IFERROR(__xludf.DUMMYFUNCTION("""COMPUTED_VALUE"""),30)</f>
        <v>30</v>
      </c>
      <c r="D316" s="1">
        <f ca="1">IFERROR(__xludf.DUMMYFUNCTION("""COMPUTED_VALUE"""),5)</f>
        <v>5</v>
      </c>
      <c r="E316" s="1">
        <f ca="1">IFERROR(__xludf.DUMMYFUNCTION("""COMPUTED_VALUE"""),0.857)</f>
        <v>0.85699999999999998</v>
      </c>
      <c r="F316" s="1">
        <f ca="1">IFERROR(__xludf.DUMMYFUNCTION("""COMPUTED_VALUE"""),18.71)</f>
        <v>18.71</v>
      </c>
      <c r="G316" s="1">
        <f ca="1">IFERROR(__xludf.DUMMYFUNCTION("""COMPUTED_VALUE"""),4.45)</f>
        <v>4.45</v>
      </c>
      <c r="H316" s="1">
        <f ca="1">IFERROR(__xludf.DUMMYFUNCTION("""COMPUTED_VALUE"""),17)</f>
        <v>17</v>
      </c>
      <c r="I316" s="1">
        <f ca="1">IFERROR(__xludf.DUMMYFUNCTION("""COMPUTED_VALUE"""),1)</f>
        <v>1</v>
      </c>
      <c r="J316" s="1">
        <f ca="1">IFERROR(__xludf.DUMMYFUNCTION("""COMPUTED_VALUE"""),18)</f>
        <v>18</v>
      </c>
      <c r="K316" s="1">
        <f ca="1">IFERROR(__xludf.DUMMYFUNCTION("""COMPUTED_VALUE"""),0)</f>
        <v>0</v>
      </c>
      <c r="L316" s="1">
        <f ca="1">IFERROR(__xludf.DUMMYFUNCTION("""COMPUTED_VALUE"""),8)</f>
        <v>8</v>
      </c>
      <c r="M316" s="1">
        <f ca="1">IFERROR(__xludf.DUMMYFUNCTION("""COMPUTED_VALUE"""),3)</f>
        <v>3</v>
      </c>
      <c r="N316" s="1">
        <f ca="1">IFERROR(__xludf.DUMMYFUNCTION("""COMPUTED_VALUE"""),2599)</f>
        <v>2599</v>
      </c>
      <c r="O316" s="1">
        <f ca="1">IFERROR(__xludf.DUMMYFUNCTION("""COMPUTED_VALUE"""),2100)</f>
        <v>2100</v>
      </c>
      <c r="P316" s="1">
        <f ca="1">IFERROR(__xludf.DUMMYFUNCTION("""COMPUTED_VALUE"""),1400)</f>
        <v>1400</v>
      </c>
      <c r="Q316" s="1">
        <f ca="1">IFERROR(__xludf.DUMMYFUNCTION("""COMPUTED_VALUE"""),914)</f>
        <v>914</v>
      </c>
      <c r="R316" s="1">
        <f ca="1">IFERROR(__xludf.DUMMYFUNCTION("""COMPUTED_VALUE"""),1934)</f>
        <v>1934</v>
      </c>
      <c r="S316" s="1">
        <f ca="1">IFERROR(__xludf.DUMMYFUNCTION("""COMPUTED_VALUE"""),0.473)</f>
        <v>0.47299999999999998</v>
      </c>
      <c r="T316" s="1">
        <f ca="1">IFERROR(__xludf.DUMMYFUNCTION("""COMPUTED_VALUE"""),286)</f>
        <v>286</v>
      </c>
      <c r="U316" s="1">
        <f ca="1">IFERROR(__xludf.DUMMYFUNCTION("""COMPUTED_VALUE"""),705)</f>
        <v>705</v>
      </c>
      <c r="V316" s="1">
        <f ca="1">IFERROR(__xludf.DUMMYFUNCTION("""COMPUTED_VALUE"""),0.406)</f>
        <v>0.40600000000000003</v>
      </c>
      <c r="W316" s="1">
        <f ca="1">IFERROR(__xludf.DUMMYFUNCTION("""COMPUTED_VALUE"""),485)</f>
        <v>485</v>
      </c>
      <c r="X316" s="1">
        <f ca="1">IFERROR(__xludf.DUMMYFUNCTION("""COMPUTED_VALUE"""),696)</f>
        <v>696</v>
      </c>
      <c r="Y316" s="1">
        <f ca="1">IFERROR(__xludf.DUMMYFUNCTION("""COMPUTED_VALUE"""),0.697)</f>
        <v>0.69699999999999995</v>
      </c>
      <c r="Z316" s="1">
        <f ca="1">IFERROR(__xludf.DUMMYFUNCTION("""COMPUTED_VALUE"""),416)</f>
        <v>416</v>
      </c>
      <c r="AA316" s="1">
        <f ca="1">IFERROR(__xludf.DUMMYFUNCTION("""COMPUTED_VALUE"""),1335)</f>
        <v>1335</v>
      </c>
      <c r="AB316" s="1">
        <f ca="1">IFERROR(__xludf.DUMMYFUNCTION("""COMPUTED_VALUE"""),566)</f>
        <v>566</v>
      </c>
      <c r="AC316" s="1">
        <f ca="1">IFERROR(__xludf.DUMMYFUNCTION("""COMPUTED_VALUE"""),200)</f>
        <v>200</v>
      </c>
      <c r="AD316" s="1">
        <f ca="1">IFERROR(__xludf.DUMMYFUNCTION("""COMPUTED_VALUE"""),117)</f>
        <v>117</v>
      </c>
      <c r="AE316" s="1">
        <f ca="1">IFERROR(__xludf.DUMMYFUNCTION("""COMPUTED_VALUE"""),377)</f>
        <v>377</v>
      </c>
      <c r="AF316" s="1">
        <f ca="1">IFERROR(__xludf.DUMMYFUNCTION("""COMPUTED_VALUE"""),506)</f>
        <v>506</v>
      </c>
    </row>
    <row r="317" spans="1:32" ht="12.5" x14ac:dyDescent="0.25">
      <c r="A317" s="1" t="str">
        <f ca="1">IFERROR(__xludf.DUMMYFUNCTION("""COMPUTED_VALUE"""),"Southern Mississippi")</f>
        <v>Southern Mississippi</v>
      </c>
      <c r="B317" s="1">
        <f ca="1">IFERROR(__xludf.DUMMYFUNCTION("""COMPUTED_VALUE"""),31)</f>
        <v>31</v>
      </c>
      <c r="C317" s="1">
        <f ca="1">IFERROR(__xludf.DUMMYFUNCTION("""COMPUTED_VALUE"""),9)</f>
        <v>9</v>
      </c>
      <c r="D317" s="1">
        <f ca="1">IFERROR(__xludf.DUMMYFUNCTION("""COMPUTED_VALUE"""),22)</f>
        <v>22</v>
      </c>
      <c r="E317" s="1">
        <f ca="1">IFERROR(__xludf.DUMMYFUNCTION("""COMPUTED_VALUE"""),0.29)</f>
        <v>0.28999999999999998</v>
      </c>
      <c r="F317" s="1">
        <f ca="1">IFERROR(__xludf.DUMMYFUNCTION("""COMPUTED_VALUE"""),-13.4)</f>
        <v>-13.4</v>
      </c>
      <c r="G317" s="1">
        <f ca="1">IFERROR(__xludf.DUMMYFUNCTION("""COMPUTED_VALUE"""),-2.78)</f>
        <v>-2.78</v>
      </c>
      <c r="H317" s="1">
        <f ca="1">IFERROR(__xludf.DUMMYFUNCTION("""COMPUTED_VALUE"""),6)</f>
        <v>6</v>
      </c>
      <c r="I317" s="1">
        <f ca="1">IFERROR(__xludf.DUMMYFUNCTION("""COMPUTED_VALUE"""),12)</f>
        <v>12</v>
      </c>
      <c r="J317" s="1">
        <f ca="1">IFERROR(__xludf.DUMMYFUNCTION("""COMPUTED_VALUE"""),8)</f>
        <v>8</v>
      </c>
      <c r="K317" s="1">
        <f ca="1">IFERROR(__xludf.DUMMYFUNCTION("""COMPUTED_VALUE"""),6)</f>
        <v>6</v>
      </c>
      <c r="L317" s="1">
        <f ca="1">IFERROR(__xludf.DUMMYFUNCTION("""COMPUTED_VALUE"""),1)</f>
        <v>1</v>
      </c>
      <c r="M317" s="1">
        <f ca="1">IFERROR(__xludf.DUMMYFUNCTION("""COMPUTED_VALUE"""),12)</f>
        <v>12</v>
      </c>
      <c r="N317" s="1">
        <f ca="1">IFERROR(__xludf.DUMMYFUNCTION("""COMPUTED_VALUE"""),1952)</f>
        <v>1952</v>
      </c>
      <c r="O317" s="1">
        <f ca="1">IFERROR(__xludf.DUMMYFUNCTION("""COMPUTED_VALUE"""),2239)</f>
        <v>2239</v>
      </c>
      <c r="P317" s="1">
        <f ca="1">IFERROR(__xludf.DUMMYFUNCTION("""COMPUTED_VALUE"""),1260)</f>
        <v>1260</v>
      </c>
      <c r="Q317" s="1">
        <f ca="1">IFERROR(__xludf.DUMMYFUNCTION("""COMPUTED_VALUE"""),690)</f>
        <v>690</v>
      </c>
      <c r="R317" s="1">
        <f ca="1">IFERROR(__xludf.DUMMYFUNCTION("""COMPUTED_VALUE"""),1728)</f>
        <v>1728</v>
      </c>
      <c r="S317" s="1">
        <f ca="1">IFERROR(__xludf.DUMMYFUNCTION("""COMPUTED_VALUE"""),0.399)</f>
        <v>0.39900000000000002</v>
      </c>
      <c r="T317" s="1">
        <f ca="1">IFERROR(__xludf.DUMMYFUNCTION("""COMPUTED_VALUE"""),200)</f>
        <v>200</v>
      </c>
      <c r="U317" s="1">
        <f ca="1">IFERROR(__xludf.DUMMYFUNCTION("""COMPUTED_VALUE"""),655)</f>
        <v>655</v>
      </c>
      <c r="V317" s="1">
        <f ca="1">IFERROR(__xludf.DUMMYFUNCTION("""COMPUTED_VALUE"""),0.305)</f>
        <v>0.30499999999999999</v>
      </c>
      <c r="W317" s="1">
        <f ca="1">IFERROR(__xludf.DUMMYFUNCTION("""COMPUTED_VALUE"""),372)</f>
        <v>372</v>
      </c>
      <c r="X317" s="1">
        <f ca="1">IFERROR(__xludf.DUMMYFUNCTION("""COMPUTED_VALUE"""),526)</f>
        <v>526</v>
      </c>
      <c r="Y317" s="1">
        <f ca="1">IFERROR(__xludf.DUMMYFUNCTION("""COMPUTED_VALUE"""),0.707)</f>
        <v>0.70699999999999996</v>
      </c>
      <c r="Z317" s="1">
        <f ca="1">IFERROR(__xludf.DUMMYFUNCTION("""COMPUTED_VALUE"""),258)</f>
        <v>258</v>
      </c>
      <c r="AA317" s="1">
        <f ca="1">IFERROR(__xludf.DUMMYFUNCTION("""COMPUTED_VALUE"""),1058)</f>
        <v>1058</v>
      </c>
      <c r="AB317" s="1">
        <f ca="1">IFERROR(__xludf.DUMMYFUNCTION("""COMPUTED_VALUE"""),376)</f>
        <v>376</v>
      </c>
      <c r="AC317" s="1">
        <f ca="1">IFERROR(__xludf.DUMMYFUNCTION("""COMPUTED_VALUE"""),145)</f>
        <v>145</v>
      </c>
      <c r="AD317" s="1">
        <f ca="1">IFERROR(__xludf.DUMMYFUNCTION("""COMPUTED_VALUE"""),64)</f>
        <v>64</v>
      </c>
      <c r="AE317" s="1">
        <f ca="1">IFERROR(__xludf.DUMMYFUNCTION("""COMPUTED_VALUE"""),405)</f>
        <v>405</v>
      </c>
      <c r="AF317" s="1">
        <f ca="1">IFERROR(__xludf.DUMMYFUNCTION("""COMPUTED_VALUE"""),527)</f>
        <v>527</v>
      </c>
    </row>
    <row r="318" spans="1:32" ht="12.5" x14ac:dyDescent="0.25">
      <c r="A318" s="1" t="str">
        <f ca="1">IFERROR(__xludf.DUMMYFUNCTION("""COMPUTED_VALUE"""),"Southern Utah")</f>
        <v>Southern Utah</v>
      </c>
      <c r="B318" s="1">
        <f ca="1">IFERROR(__xludf.DUMMYFUNCTION("""COMPUTED_VALUE"""),33)</f>
        <v>33</v>
      </c>
      <c r="C318" s="1">
        <f ca="1">IFERROR(__xludf.DUMMYFUNCTION("""COMPUTED_VALUE"""),6)</f>
        <v>6</v>
      </c>
      <c r="D318" s="1">
        <f ca="1">IFERROR(__xludf.DUMMYFUNCTION("""COMPUTED_VALUE"""),27)</f>
        <v>27</v>
      </c>
      <c r="E318" s="1">
        <f ca="1">IFERROR(__xludf.DUMMYFUNCTION("""COMPUTED_VALUE"""),0.182)</f>
        <v>0.182</v>
      </c>
      <c r="F318" s="1">
        <f ca="1">IFERROR(__xludf.DUMMYFUNCTION("""COMPUTED_VALUE"""),-15.58)</f>
        <v>-15.58</v>
      </c>
      <c r="G318" s="1">
        <f ca="1">IFERROR(__xludf.DUMMYFUNCTION("""COMPUTED_VALUE"""),-5.39)</f>
        <v>-5.39</v>
      </c>
      <c r="H318" s="1">
        <f ca="1">IFERROR(__xludf.DUMMYFUNCTION("""COMPUTED_VALUE"""),3)</f>
        <v>3</v>
      </c>
      <c r="I318" s="1">
        <f ca="1">IFERROR(__xludf.DUMMYFUNCTION("""COMPUTED_VALUE"""),15)</f>
        <v>15</v>
      </c>
      <c r="J318" s="1">
        <f ca="1">IFERROR(__xludf.DUMMYFUNCTION("""COMPUTED_VALUE"""),3)</f>
        <v>3</v>
      </c>
      <c r="K318" s="1">
        <f ca="1">IFERROR(__xludf.DUMMYFUNCTION("""COMPUTED_VALUE"""),10)</f>
        <v>10</v>
      </c>
      <c r="L318" s="1">
        <f ca="1">IFERROR(__xludf.DUMMYFUNCTION("""COMPUTED_VALUE"""),2)</f>
        <v>2</v>
      </c>
      <c r="M318" s="1">
        <f ca="1">IFERROR(__xludf.DUMMYFUNCTION("""COMPUTED_VALUE"""),14)</f>
        <v>14</v>
      </c>
      <c r="N318" s="1">
        <f ca="1">IFERROR(__xludf.DUMMYFUNCTION("""COMPUTED_VALUE"""),2559)</f>
        <v>2559</v>
      </c>
      <c r="O318" s="1">
        <f ca="1">IFERROR(__xludf.DUMMYFUNCTION("""COMPUTED_VALUE"""),2814)</f>
        <v>2814</v>
      </c>
      <c r="P318" s="1">
        <f ca="1">IFERROR(__xludf.DUMMYFUNCTION("""COMPUTED_VALUE"""),1335)</f>
        <v>1335</v>
      </c>
      <c r="Q318" s="1">
        <f ca="1">IFERROR(__xludf.DUMMYFUNCTION("""COMPUTED_VALUE"""),815)</f>
        <v>815</v>
      </c>
      <c r="R318" s="1">
        <f ca="1">IFERROR(__xludf.DUMMYFUNCTION("""COMPUTED_VALUE"""),2004)</f>
        <v>2004</v>
      </c>
      <c r="S318" s="1">
        <f ca="1">IFERROR(__xludf.DUMMYFUNCTION("""COMPUTED_VALUE"""),0.407)</f>
        <v>0.40699999999999997</v>
      </c>
      <c r="T318" s="1">
        <f ca="1">IFERROR(__xludf.DUMMYFUNCTION("""COMPUTED_VALUE"""),291)</f>
        <v>291</v>
      </c>
      <c r="U318" s="1">
        <f ca="1">IFERROR(__xludf.DUMMYFUNCTION("""COMPUTED_VALUE"""),815)</f>
        <v>815</v>
      </c>
      <c r="V318" s="1">
        <f ca="1">IFERROR(__xludf.DUMMYFUNCTION("""COMPUTED_VALUE"""),0.357)</f>
        <v>0.35699999999999998</v>
      </c>
      <c r="W318" s="1">
        <f ca="1">IFERROR(__xludf.DUMMYFUNCTION("""COMPUTED_VALUE"""),638)</f>
        <v>638</v>
      </c>
      <c r="X318" s="1">
        <f ca="1">IFERROR(__xludf.DUMMYFUNCTION("""COMPUTED_VALUE"""),861)</f>
        <v>861</v>
      </c>
      <c r="Y318" s="1">
        <f ca="1">IFERROR(__xludf.DUMMYFUNCTION("""COMPUTED_VALUE"""),0.741)</f>
        <v>0.74099999999999999</v>
      </c>
      <c r="Z318" s="1">
        <f ca="1">IFERROR(__xludf.DUMMYFUNCTION("""COMPUTED_VALUE"""),383)</f>
        <v>383</v>
      </c>
      <c r="AA318" s="1">
        <f ca="1">IFERROR(__xludf.DUMMYFUNCTION("""COMPUTED_VALUE"""),1218)</f>
        <v>1218</v>
      </c>
      <c r="AB318" s="1">
        <f ca="1">IFERROR(__xludf.DUMMYFUNCTION("""COMPUTED_VALUE"""),381)</f>
        <v>381</v>
      </c>
      <c r="AC318" s="1">
        <f ca="1">IFERROR(__xludf.DUMMYFUNCTION("""COMPUTED_VALUE"""),185)</f>
        <v>185</v>
      </c>
      <c r="AD318" s="1">
        <f ca="1">IFERROR(__xludf.DUMMYFUNCTION("""COMPUTED_VALUE"""),107)</f>
        <v>107</v>
      </c>
      <c r="AE318" s="1">
        <f ca="1">IFERROR(__xludf.DUMMYFUNCTION("""COMPUTED_VALUE"""),452)</f>
        <v>452</v>
      </c>
      <c r="AF318" s="1">
        <f ca="1">IFERROR(__xludf.DUMMYFUNCTION("""COMPUTED_VALUE"""),803)</f>
        <v>803</v>
      </c>
    </row>
    <row r="319" spans="1:32" ht="12.5" x14ac:dyDescent="0.25">
      <c r="A319" s="1" t="str">
        <f ca="1">IFERROR(__xludf.DUMMYFUNCTION("""COMPUTED_VALUE"""),"Southern")</f>
        <v>Southern</v>
      </c>
      <c r="B319" s="1">
        <f ca="1">IFERROR(__xludf.DUMMYFUNCTION("""COMPUTED_VALUE"""),33)</f>
        <v>33</v>
      </c>
      <c r="C319" s="1">
        <f ca="1">IFERROR(__xludf.DUMMYFUNCTION("""COMPUTED_VALUE"""),15)</f>
        <v>15</v>
      </c>
      <c r="D319" s="1">
        <f ca="1">IFERROR(__xludf.DUMMYFUNCTION("""COMPUTED_VALUE"""),18)</f>
        <v>18</v>
      </c>
      <c r="E319" s="1">
        <f ca="1">IFERROR(__xludf.DUMMYFUNCTION("""COMPUTED_VALUE"""),0.455)</f>
        <v>0.45500000000000002</v>
      </c>
      <c r="F319" s="1">
        <f ca="1">IFERROR(__xludf.DUMMYFUNCTION("""COMPUTED_VALUE"""),-14.48)</f>
        <v>-14.48</v>
      </c>
      <c r="G319" s="1">
        <f ca="1">IFERROR(__xludf.DUMMYFUNCTION("""COMPUTED_VALUE"""),-11.68)</f>
        <v>-11.68</v>
      </c>
      <c r="H319" s="1">
        <f ca="1">IFERROR(__xludf.DUMMYFUNCTION("""COMPUTED_VALUE"""),10)</f>
        <v>10</v>
      </c>
      <c r="I319" s="1">
        <f ca="1">IFERROR(__xludf.DUMMYFUNCTION("""COMPUTED_VALUE"""),8)</f>
        <v>8</v>
      </c>
      <c r="J319" s="1">
        <f ca="1">IFERROR(__xludf.DUMMYFUNCTION("""COMPUTED_VALUE"""),11)</f>
        <v>11</v>
      </c>
      <c r="K319" s="1">
        <f ca="1">IFERROR(__xludf.DUMMYFUNCTION("""COMPUTED_VALUE"""),4)</f>
        <v>4</v>
      </c>
      <c r="L319" s="1">
        <f ca="1">IFERROR(__xludf.DUMMYFUNCTION("""COMPUTED_VALUE"""),4)</f>
        <v>4</v>
      </c>
      <c r="M319" s="1">
        <f ca="1">IFERROR(__xludf.DUMMYFUNCTION("""COMPUTED_VALUE"""),13)</f>
        <v>13</v>
      </c>
      <c r="N319" s="1">
        <f ca="1">IFERROR(__xludf.DUMMYFUNCTION("""COMPUTED_VALUE"""),2360)</f>
        <v>2360</v>
      </c>
      <c r="O319" s="1">
        <f ca="1">IFERROR(__xludf.DUMMYFUNCTION("""COMPUTED_VALUE"""),2401)</f>
        <v>2401</v>
      </c>
      <c r="P319" s="1">
        <f ca="1">IFERROR(__xludf.DUMMYFUNCTION("""COMPUTED_VALUE"""),1325)</f>
        <v>1325</v>
      </c>
      <c r="Q319" s="1">
        <f ca="1">IFERROR(__xludf.DUMMYFUNCTION("""COMPUTED_VALUE"""),825)</f>
        <v>825</v>
      </c>
      <c r="R319" s="1">
        <f ca="1">IFERROR(__xludf.DUMMYFUNCTION("""COMPUTED_VALUE"""),1887)</f>
        <v>1887</v>
      </c>
      <c r="S319" s="1">
        <f ca="1">IFERROR(__xludf.DUMMYFUNCTION("""COMPUTED_VALUE"""),0.437)</f>
        <v>0.437</v>
      </c>
      <c r="T319" s="1">
        <f ca="1">IFERROR(__xludf.DUMMYFUNCTION("""COMPUTED_VALUE"""),163)</f>
        <v>163</v>
      </c>
      <c r="U319" s="1">
        <f ca="1">IFERROR(__xludf.DUMMYFUNCTION("""COMPUTED_VALUE"""),510)</f>
        <v>510</v>
      </c>
      <c r="V319" s="1">
        <f ca="1">IFERROR(__xludf.DUMMYFUNCTION("""COMPUTED_VALUE"""),0.32)</f>
        <v>0.32</v>
      </c>
      <c r="W319" s="1">
        <f ca="1">IFERROR(__xludf.DUMMYFUNCTION("""COMPUTED_VALUE"""),547)</f>
        <v>547</v>
      </c>
      <c r="X319" s="1">
        <f ca="1">IFERROR(__xludf.DUMMYFUNCTION("""COMPUTED_VALUE"""),786)</f>
        <v>786</v>
      </c>
      <c r="Y319" s="1">
        <f ca="1">IFERROR(__xludf.DUMMYFUNCTION("""COMPUTED_VALUE"""),0.696)</f>
        <v>0.69599999999999995</v>
      </c>
      <c r="Z319" s="1">
        <f ca="1">IFERROR(__xludf.DUMMYFUNCTION("""COMPUTED_VALUE"""),405)</f>
        <v>405</v>
      </c>
      <c r="AA319" s="1">
        <f ca="1">IFERROR(__xludf.DUMMYFUNCTION("""COMPUTED_VALUE"""),1247)</f>
        <v>1247</v>
      </c>
      <c r="AB319" s="1">
        <f ca="1">IFERROR(__xludf.DUMMYFUNCTION("""COMPUTED_VALUE"""),384)</f>
        <v>384</v>
      </c>
      <c r="AC319" s="1">
        <f ca="1">IFERROR(__xludf.DUMMYFUNCTION("""COMPUTED_VALUE"""),184)</f>
        <v>184</v>
      </c>
      <c r="AD319" s="1">
        <f ca="1">IFERROR(__xludf.DUMMYFUNCTION("""COMPUTED_VALUE"""),121)</f>
        <v>121</v>
      </c>
      <c r="AE319" s="1">
        <f ca="1">IFERROR(__xludf.DUMMYFUNCTION("""COMPUTED_VALUE"""),453)</f>
        <v>453</v>
      </c>
      <c r="AF319" s="1">
        <f ca="1">IFERROR(__xludf.DUMMYFUNCTION("""COMPUTED_VALUE"""),635)</f>
        <v>635</v>
      </c>
    </row>
    <row r="320" spans="1:32" ht="12.5" x14ac:dyDescent="0.25">
      <c r="A320" s="1" t="str">
        <f ca="1">IFERROR(__xludf.DUMMYFUNCTION("""COMPUTED_VALUE"""),"St. Bonaventure")</f>
        <v>St. Bonaventure</v>
      </c>
      <c r="B320" s="1">
        <f ca="1">IFERROR(__xludf.DUMMYFUNCTION("""COMPUTED_VALUE"""),32)</f>
        <v>32</v>
      </c>
      <c r="C320" s="1">
        <f ca="1">IFERROR(__xludf.DUMMYFUNCTION("""COMPUTED_VALUE"""),20)</f>
        <v>20</v>
      </c>
      <c r="D320" s="1">
        <f ca="1">IFERROR(__xludf.DUMMYFUNCTION("""COMPUTED_VALUE"""),12)</f>
        <v>12</v>
      </c>
      <c r="E320" s="1">
        <f ca="1">IFERROR(__xludf.DUMMYFUNCTION("""COMPUTED_VALUE"""),0.625)</f>
        <v>0.625</v>
      </c>
      <c r="F320" s="1">
        <f ca="1">IFERROR(__xludf.DUMMYFUNCTION("""COMPUTED_VALUE"""),5.95)</f>
        <v>5.95</v>
      </c>
      <c r="G320" s="1">
        <f ca="1">IFERROR(__xludf.DUMMYFUNCTION("""COMPUTED_VALUE"""),1.48)</f>
        <v>1.48</v>
      </c>
      <c r="H320" s="1">
        <f ca="1">IFERROR(__xludf.DUMMYFUNCTION("""COMPUTED_VALUE"""),11)</f>
        <v>11</v>
      </c>
      <c r="I320" s="1">
        <f ca="1">IFERROR(__xludf.DUMMYFUNCTION("""COMPUTED_VALUE"""),7)</f>
        <v>7</v>
      </c>
      <c r="J320" s="1">
        <f ca="1">IFERROR(__xludf.DUMMYFUNCTION("""COMPUTED_VALUE"""),11)</f>
        <v>11</v>
      </c>
      <c r="K320" s="1">
        <f ca="1">IFERROR(__xludf.DUMMYFUNCTION("""COMPUTED_VALUE"""),4)</f>
        <v>4</v>
      </c>
      <c r="L320" s="1">
        <f ca="1">IFERROR(__xludf.DUMMYFUNCTION("""COMPUTED_VALUE"""),5)</f>
        <v>5</v>
      </c>
      <c r="M320" s="1">
        <f ca="1">IFERROR(__xludf.DUMMYFUNCTION("""COMPUTED_VALUE"""),5)</f>
        <v>5</v>
      </c>
      <c r="N320" s="1">
        <f ca="1">IFERROR(__xludf.DUMMYFUNCTION("""COMPUTED_VALUE"""),2459)</f>
        <v>2459</v>
      </c>
      <c r="O320" s="1">
        <f ca="1">IFERROR(__xludf.DUMMYFUNCTION("""COMPUTED_VALUE"""),2316)</f>
        <v>2316</v>
      </c>
      <c r="P320" s="1">
        <f ca="1">IFERROR(__xludf.DUMMYFUNCTION("""COMPUTED_VALUE"""),1290)</f>
        <v>1290</v>
      </c>
      <c r="Q320" s="1">
        <f ca="1">IFERROR(__xludf.DUMMYFUNCTION("""COMPUTED_VALUE"""),825)</f>
        <v>825</v>
      </c>
      <c r="R320" s="1">
        <f ca="1">IFERROR(__xludf.DUMMYFUNCTION("""COMPUTED_VALUE"""),1864)</f>
        <v>1864</v>
      </c>
      <c r="S320" s="1">
        <f ca="1">IFERROR(__xludf.DUMMYFUNCTION("""COMPUTED_VALUE"""),0.443)</f>
        <v>0.443</v>
      </c>
      <c r="T320" s="1">
        <f ca="1">IFERROR(__xludf.DUMMYFUNCTION("""COMPUTED_VALUE"""),201)</f>
        <v>201</v>
      </c>
      <c r="U320" s="1">
        <f ca="1">IFERROR(__xludf.DUMMYFUNCTION("""COMPUTED_VALUE"""),577)</f>
        <v>577</v>
      </c>
      <c r="V320" s="1">
        <f ca="1">IFERROR(__xludf.DUMMYFUNCTION("""COMPUTED_VALUE"""),0.348)</f>
        <v>0.34799999999999998</v>
      </c>
      <c r="W320" s="1">
        <f ca="1">IFERROR(__xludf.DUMMYFUNCTION("""COMPUTED_VALUE"""),608)</f>
        <v>608</v>
      </c>
      <c r="X320" s="1">
        <f ca="1">IFERROR(__xludf.DUMMYFUNCTION("""COMPUTED_VALUE"""),791)</f>
        <v>791</v>
      </c>
      <c r="Y320" s="1">
        <f ca="1">IFERROR(__xludf.DUMMYFUNCTION("""COMPUTED_VALUE"""),0.769)</f>
        <v>0.76900000000000002</v>
      </c>
      <c r="Z320" s="1">
        <f ca="1">IFERROR(__xludf.DUMMYFUNCTION("""COMPUTED_VALUE"""),369)</f>
        <v>369</v>
      </c>
      <c r="AA320" s="1">
        <f ca="1">IFERROR(__xludf.DUMMYFUNCTION("""COMPUTED_VALUE"""),1153)</f>
        <v>1153</v>
      </c>
      <c r="AB320" s="1">
        <f ca="1">IFERROR(__xludf.DUMMYFUNCTION("""COMPUTED_VALUE"""),423)</f>
        <v>423</v>
      </c>
      <c r="AC320" s="1">
        <f ca="1">IFERROR(__xludf.DUMMYFUNCTION("""COMPUTED_VALUE"""),230)</f>
        <v>230</v>
      </c>
      <c r="AD320" s="1">
        <f ca="1">IFERROR(__xludf.DUMMYFUNCTION("""COMPUTED_VALUE"""),138)</f>
        <v>138</v>
      </c>
      <c r="AE320" s="1">
        <f ca="1">IFERROR(__xludf.DUMMYFUNCTION("""COMPUTED_VALUE"""),401)</f>
        <v>401</v>
      </c>
      <c r="AF320" s="1">
        <f ca="1">IFERROR(__xludf.DUMMYFUNCTION("""COMPUTED_VALUE"""),668)</f>
        <v>668</v>
      </c>
    </row>
    <row r="321" spans="1:32" ht="12.5" x14ac:dyDescent="0.25">
      <c r="A321" s="1" t="str">
        <f ca="1">IFERROR(__xludf.DUMMYFUNCTION("""COMPUTED_VALUE"""),"St. Francis (NY)")</f>
        <v>St. Francis (NY)</v>
      </c>
      <c r="B321" s="1">
        <f ca="1">IFERROR(__xludf.DUMMYFUNCTION("""COMPUTED_VALUE"""),31)</f>
        <v>31</v>
      </c>
      <c r="C321" s="1">
        <f ca="1">IFERROR(__xludf.DUMMYFUNCTION("""COMPUTED_VALUE"""),4)</f>
        <v>4</v>
      </c>
      <c r="D321" s="1">
        <f ca="1">IFERROR(__xludf.DUMMYFUNCTION("""COMPUTED_VALUE"""),27)</f>
        <v>27</v>
      </c>
      <c r="E321" s="1">
        <f ca="1">IFERROR(__xludf.DUMMYFUNCTION("""COMPUTED_VALUE"""),0.129)</f>
        <v>0.129</v>
      </c>
      <c r="F321" s="1">
        <f ca="1">IFERROR(__xludf.DUMMYFUNCTION("""COMPUTED_VALUE"""),-19.24)</f>
        <v>-19.239999999999998</v>
      </c>
      <c r="G321" s="1">
        <f ca="1">IFERROR(__xludf.DUMMYFUNCTION("""COMPUTED_VALUE"""),-6.54)</f>
        <v>-6.54</v>
      </c>
      <c r="H321" s="1">
        <f ca="1">IFERROR(__xludf.DUMMYFUNCTION("""COMPUTED_VALUE"""),2)</f>
        <v>2</v>
      </c>
      <c r="I321" s="1">
        <f ca="1">IFERROR(__xludf.DUMMYFUNCTION("""COMPUTED_VALUE"""),16)</f>
        <v>16</v>
      </c>
      <c r="J321" s="1">
        <f ca="1">IFERROR(__xludf.DUMMYFUNCTION("""COMPUTED_VALUE"""),3)</f>
        <v>3</v>
      </c>
      <c r="K321" s="1">
        <f ca="1">IFERROR(__xludf.DUMMYFUNCTION("""COMPUTED_VALUE"""),10)</f>
        <v>10</v>
      </c>
      <c r="L321" s="1">
        <f ca="1">IFERROR(__xludf.DUMMYFUNCTION("""COMPUTED_VALUE"""),0)</f>
        <v>0</v>
      </c>
      <c r="M321" s="1">
        <f ca="1">IFERROR(__xludf.DUMMYFUNCTION("""COMPUTED_VALUE"""),16)</f>
        <v>16</v>
      </c>
      <c r="N321" s="1">
        <f ca="1">IFERROR(__xludf.DUMMYFUNCTION("""COMPUTED_VALUE"""),1921)</f>
        <v>1921</v>
      </c>
      <c r="O321" s="1">
        <f ca="1">IFERROR(__xludf.DUMMYFUNCTION("""COMPUTED_VALUE"""),2284)</f>
        <v>2284</v>
      </c>
      <c r="P321" s="1">
        <f ca="1">IFERROR(__xludf.DUMMYFUNCTION("""COMPUTED_VALUE"""),1250)</f>
        <v>1250</v>
      </c>
      <c r="Q321" s="1">
        <f ca="1">IFERROR(__xludf.DUMMYFUNCTION("""COMPUTED_VALUE"""),650)</f>
        <v>650</v>
      </c>
      <c r="R321" s="1">
        <f ca="1">IFERROR(__xludf.DUMMYFUNCTION("""COMPUTED_VALUE"""),1871)</f>
        <v>1871</v>
      </c>
      <c r="S321" s="1">
        <f ca="1">IFERROR(__xludf.DUMMYFUNCTION("""COMPUTED_VALUE"""),0.347)</f>
        <v>0.34699999999999998</v>
      </c>
      <c r="T321" s="1">
        <f ca="1">IFERROR(__xludf.DUMMYFUNCTION("""COMPUTED_VALUE"""),221)</f>
        <v>221</v>
      </c>
      <c r="U321" s="1">
        <f ca="1">IFERROR(__xludf.DUMMYFUNCTION("""COMPUTED_VALUE"""),792)</f>
        <v>792</v>
      </c>
      <c r="V321" s="1">
        <f ca="1">IFERROR(__xludf.DUMMYFUNCTION("""COMPUTED_VALUE"""),0.279)</f>
        <v>0.27900000000000003</v>
      </c>
      <c r="W321" s="1">
        <f ca="1">IFERROR(__xludf.DUMMYFUNCTION("""COMPUTED_VALUE"""),400)</f>
        <v>400</v>
      </c>
      <c r="X321" s="1">
        <f ca="1">IFERROR(__xludf.DUMMYFUNCTION("""COMPUTED_VALUE"""),616)</f>
        <v>616</v>
      </c>
      <c r="Y321" s="1">
        <f ca="1">IFERROR(__xludf.DUMMYFUNCTION("""COMPUTED_VALUE"""),0.649)</f>
        <v>0.64900000000000002</v>
      </c>
      <c r="Z321" s="1">
        <f ca="1">IFERROR(__xludf.DUMMYFUNCTION("""COMPUTED_VALUE"""),390)</f>
        <v>390</v>
      </c>
      <c r="AA321" s="1">
        <f ca="1">IFERROR(__xludf.DUMMYFUNCTION("""COMPUTED_VALUE"""),1078)</f>
        <v>1078</v>
      </c>
      <c r="AB321" s="1">
        <f ca="1">IFERROR(__xludf.DUMMYFUNCTION("""COMPUTED_VALUE"""),287)</f>
        <v>287</v>
      </c>
      <c r="AC321" s="1">
        <f ca="1">IFERROR(__xludf.DUMMYFUNCTION("""COMPUTED_VALUE"""),208)</f>
        <v>208</v>
      </c>
      <c r="AD321" s="1">
        <f ca="1">IFERROR(__xludf.DUMMYFUNCTION("""COMPUTED_VALUE"""),89)</f>
        <v>89</v>
      </c>
      <c r="AE321" s="1">
        <f ca="1">IFERROR(__xludf.DUMMYFUNCTION("""COMPUTED_VALUE"""),379)</f>
        <v>379</v>
      </c>
      <c r="AF321" s="1">
        <f ca="1">IFERROR(__xludf.DUMMYFUNCTION("""COMPUTED_VALUE"""),672)</f>
        <v>672</v>
      </c>
    </row>
    <row r="322" spans="1:32" ht="12.5" x14ac:dyDescent="0.25">
      <c r="A322" s="1" t="str">
        <f ca="1">IFERROR(__xludf.DUMMYFUNCTION("""COMPUTED_VALUE"""),"St. John's (NY)")</f>
        <v>St. John's (NY)</v>
      </c>
      <c r="B322" s="1">
        <f ca="1">IFERROR(__xludf.DUMMYFUNCTION("""COMPUTED_VALUE"""),33)</f>
        <v>33</v>
      </c>
      <c r="C322" s="1">
        <f ca="1">IFERROR(__xludf.DUMMYFUNCTION("""COMPUTED_VALUE"""),14)</f>
        <v>14</v>
      </c>
      <c r="D322" s="1">
        <f ca="1">IFERROR(__xludf.DUMMYFUNCTION("""COMPUTED_VALUE"""),19)</f>
        <v>19</v>
      </c>
      <c r="E322" s="1">
        <f ca="1">IFERROR(__xludf.DUMMYFUNCTION("""COMPUTED_VALUE"""),0.424)</f>
        <v>0.42399999999999999</v>
      </c>
      <c r="F322" s="1">
        <f ca="1">IFERROR(__xludf.DUMMYFUNCTION("""COMPUTED_VALUE"""),6.45)</f>
        <v>6.45</v>
      </c>
      <c r="G322" s="1">
        <f ca="1">IFERROR(__xludf.DUMMYFUNCTION("""COMPUTED_VALUE"""),8.39)</f>
        <v>8.39</v>
      </c>
      <c r="H322" s="1">
        <f ca="1">IFERROR(__xludf.DUMMYFUNCTION("""COMPUTED_VALUE"""),7)</f>
        <v>7</v>
      </c>
      <c r="I322" s="1">
        <f ca="1">IFERROR(__xludf.DUMMYFUNCTION("""COMPUTED_VALUE"""),11)</f>
        <v>11</v>
      </c>
      <c r="J322" s="1">
        <f ca="1">IFERROR(__xludf.DUMMYFUNCTION("""COMPUTED_VALUE"""),9)</f>
        <v>9</v>
      </c>
      <c r="K322" s="1">
        <f ca="1">IFERROR(__xludf.DUMMYFUNCTION("""COMPUTED_VALUE"""),5)</f>
        <v>5</v>
      </c>
      <c r="L322" s="1">
        <f ca="1">IFERROR(__xludf.DUMMYFUNCTION("""COMPUTED_VALUE"""),4)</f>
        <v>4</v>
      </c>
      <c r="M322" s="1">
        <f ca="1">IFERROR(__xludf.DUMMYFUNCTION("""COMPUTED_VALUE"""),9)</f>
        <v>9</v>
      </c>
      <c r="N322" s="1">
        <f ca="1">IFERROR(__xludf.DUMMYFUNCTION("""COMPUTED_VALUE"""),2534)</f>
        <v>2534</v>
      </c>
      <c r="O322" s="1">
        <f ca="1">IFERROR(__xludf.DUMMYFUNCTION("""COMPUTED_VALUE"""),2598)</f>
        <v>2598</v>
      </c>
      <c r="P322" s="1">
        <f ca="1">IFERROR(__xludf.DUMMYFUNCTION("""COMPUTED_VALUE"""),1320)</f>
        <v>1320</v>
      </c>
      <c r="Q322" s="1">
        <f ca="1">IFERROR(__xludf.DUMMYFUNCTION("""COMPUTED_VALUE"""),866)</f>
        <v>866</v>
      </c>
      <c r="R322" s="1">
        <f ca="1">IFERROR(__xludf.DUMMYFUNCTION("""COMPUTED_VALUE"""),2000)</f>
        <v>2000</v>
      </c>
      <c r="S322" s="1">
        <f ca="1">IFERROR(__xludf.DUMMYFUNCTION("""COMPUTED_VALUE"""),0.433)</f>
        <v>0.433</v>
      </c>
      <c r="T322" s="1">
        <f ca="1">IFERROR(__xludf.DUMMYFUNCTION("""COMPUTED_VALUE"""),278)</f>
        <v>278</v>
      </c>
      <c r="U322" s="1">
        <f ca="1">IFERROR(__xludf.DUMMYFUNCTION("""COMPUTED_VALUE"""),763)</f>
        <v>763</v>
      </c>
      <c r="V322" s="1">
        <f ca="1">IFERROR(__xludf.DUMMYFUNCTION("""COMPUTED_VALUE"""),0.364)</f>
        <v>0.36399999999999999</v>
      </c>
      <c r="W322" s="1">
        <f ca="1">IFERROR(__xludf.DUMMYFUNCTION("""COMPUTED_VALUE"""),524)</f>
        <v>524</v>
      </c>
      <c r="X322" s="1">
        <f ca="1">IFERROR(__xludf.DUMMYFUNCTION("""COMPUTED_VALUE"""),724)</f>
        <v>724</v>
      </c>
      <c r="Y322" s="1">
        <f ca="1">IFERROR(__xludf.DUMMYFUNCTION("""COMPUTED_VALUE"""),0.724)</f>
        <v>0.72399999999999998</v>
      </c>
      <c r="Z322" s="1">
        <f ca="1">IFERROR(__xludf.DUMMYFUNCTION("""COMPUTED_VALUE"""),337)</f>
        <v>337</v>
      </c>
      <c r="AA322" s="1">
        <f ca="1">IFERROR(__xludf.DUMMYFUNCTION("""COMPUTED_VALUE"""),1136)</f>
        <v>1136</v>
      </c>
      <c r="AB322" s="1">
        <f ca="1">IFERROR(__xludf.DUMMYFUNCTION("""COMPUTED_VALUE"""),446)</f>
        <v>446</v>
      </c>
      <c r="AC322" s="1">
        <f ca="1">IFERROR(__xludf.DUMMYFUNCTION("""COMPUTED_VALUE"""),224)</f>
        <v>224</v>
      </c>
      <c r="AD322" s="1">
        <f ca="1">IFERROR(__xludf.DUMMYFUNCTION("""COMPUTED_VALUE"""),197)</f>
        <v>197</v>
      </c>
      <c r="AE322" s="1">
        <f ca="1">IFERROR(__xludf.DUMMYFUNCTION("""COMPUTED_VALUE"""),433)</f>
        <v>433</v>
      </c>
      <c r="AF322" s="1">
        <f ca="1">IFERROR(__xludf.DUMMYFUNCTION("""COMPUTED_VALUE"""),688)</f>
        <v>688</v>
      </c>
    </row>
    <row r="323" spans="1:32" ht="12.5" x14ac:dyDescent="0.25">
      <c r="A323" s="1" t="str">
        <f ca="1">IFERROR(__xludf.DUMMYFUNCTION("""COMPUTED_VALUE"""),"Stanford")</f>
        <v>Stanford</v>
      </c>
      <c r="B323" s="1">
        <f ca="1">IFERROR(__xludf.DUMMYFUNCTION("""COMPUTED_VALUE"""),31)</f>
        <v>31</v>
      </c>
      <c r="C323" s="1">
        <f ca="1">IFERROR(__xludf.DUMMYFUNCTION("""COMPUTED_VALUE"""),14)</f>
        <v>14</v>
      </c>
      <c r="D323" s="1">
        <f ca="1">IFERROR(__xludf.DUMMYFUNCTION("""COMPUTED_VALUE"""),17)</f>
        <v>17</v>
      </c>
      <c r="E323" s="1">
        <f ca="1">IFERROR(__xludf.DUMMYFUNCTION("""COMPUTED_VALUE"""),0.452)</f>
        <v>0.45200000000000001</v>
      </c>
      <c r="F323" s="1">
        <f ca="1">IFERROR(__xludf.DUMMYFUNCTION("""COMPUTED_VALUE"""),6.39)</f>
        <v>6.39</v>
      </c>
      <c r="G323" s="1">
        <f ca="1">IFERROR(__xludf.DUMMYFUNCTION("""COMPUTED_VALUE"""),8.59)</f>
        <v>8.59</v>
      </c>
      <c r="H323" s="1">
        <f ca="1">IFERROR(__xludf.DUMMYFUNCTION("""COMPUTED_VALUE"""),6)</f>
        <v>6</v>
      </c>
      <c r="I323" s="1">
        <f ca="1">IFERROR(__xludf.DUMMYFUNCTION("""COMPUTED_VALUE"""),12)</f>
        <v>12</v>
      </c>
      <c r="J323" s="1">
        <f ca="1">IFERROR(__xludf.DUMMYFUNCTION("""COMPUTED_VALUE"""),10)</f>
        <v>10</v>
      </c>
      <c r="K323" s="1">
        <f ca="1">IFERROR(__xludf.DUMMYFUNCTION("""COMPUTED_VALUE"""),5)</f>
        <v>5</v>
      </c>
      <c r="L323" s="1">
        <f ca="1">IFERROR(__xludf.DUMMYFUNCTION("""COMPUTED_VALUE"""),1)</f>
        <v>1</v>
      </c>
      <c r="M323" s="1">
        <f ca="1">IFERROR(__xludf.DUMMYFUNCTION("""COMPUTED_VALUE"""),10)</f>
        <v>10</v>
      </c>
      <c r="N323" s="1">
        <f ca="1">IFERROR(__xludf.DUMMYFUNCTION("""COMPUTED_VALUE"""),2162)</f>
        <v>2162</v>
      </c>
      <c r="O323" s="1">
        <f ca="1">IFERROR(__xludf.DUMMYFUNCTION("""COMPUTED_VALUE"""),2204)</f>
        <v>2204</v>
      </c>
      <c r="P323" s="1">
        <f ca="1">IFERROR(__xludf.DUMMYFUNCTION("""COMPUTED_VALUE"""),1245)</f>
        <v>1245</v>
      </c>
      <c r="Q323" s="1">
        <f ca="1">IFERROR(__xludf.DUMMYFUNCTION("""COMPUTED_VALUE"""),772)</f>
        <v>772</v>
      </c>
      <c r="R323" s="1">
        <f ca="1">IFERROR(__xludf.DUMMYFUNCTION("""COMPUTED_VALUE"""),1753)</f>
        <v>1753</v>
      </c>
      <c r="S323" s="1">
        <f ca="1">IFERROR(__xludf.DUMMYFUNCTION("""COMPUTED_VALUE"""),0.44)</f>
        <v>0.44</v>
      </c>
      <c r="T323" s="1">
        <f ca="1">IFERROR(__xludf.DUMMYFUNCTION("""COMPUTED_VALUE"""),157)</f>
        <v>157</v>
      </c>
      <c r="U323" s="1">
        <f ca="1">IFERROR(__xludf.DUMMYFUNCTION("""COMPUTED_VALUE"""),490)</f>
        <v>490</v>
      </c>
      <c r="V323" s="1">
        <f ca="1">IFERROR(__xludf.DUMMYFUNCTION("""COMPUTED_VALUE"""),0.32)</f>
        <v>0.32</v>
      </c>
      <c r="W323" s="1">
        <f ca="1">IFERROR(__xludf.DUMMYFUNCTION("""COMPUTED_VALUE"""),461)</f>
        <v>461</v>
      </c>
      <c r="X323" s="1">
        <f ca="1">IFERROR(__xludf.DUMMYFUNCTION("""COMPUTED_VALUE"""),676)</f>
        <v>676</v>
      </c>
      <c r="Y323" s="1">
        <f ca="1">IFERROR(__xludf.DUMMYFUNCTION("""COMPUTED_VALUE"""),0.682)</f>
        <v>0.68200000000000005</v>
      </c>
      <c r="Z323" s="1">
        <f ca="1">IFERROR(__xludf.DUMMYFUNCTION("""COMPUTED_VALUE"""),316)</f>
        <v>316</v>
      </c>
      <c r="AA323" s="1">
        <f ca="1">IFERROR(__xludf.DUMMYFUNCTION("""COMPUTED_VALUE"""),1067)</f>
        <v>1067</v>
      </c>
      <c r="AB323" s="1">
        <f ca="1">IFERROR(__xludf.DUMMYFUNCTION("""COMPUTED_VALUE"""),421)</f>
        <v>421</v>
      </c>
      <c r="AC323" s="1">
        <f ca="1">IFERROR(__xludf.DUMMYFUNCTION("""COMPUTED_VALUE"""),211)</f>
        <v>211</v>
      </c>
      <c r="AD323" s="1">
        <f ca="1">IFERROR(__xludf.DUMMYFUNCTION("""COMPUTED_VALUE"""),79)</f>
        <v>79</v>
      </c>
      <c r="AE323" s="1">
        <f ca="1">IFERROR(__xludf.DUMMYFUNCTION("""COMPUTED_VALUE"""),399)</f>
        <v>399</v>
      </c>
      <c r="AF323" s="1">
        <f ca="1">IFERROR(__xludf.DUMMYFUNCTION("""COMPUTED_VALUE"""),604)</f>
        <v>604</v>
      </c>
    </row>
    <row r="324" spans="1:32" ht="12.5" x14ac:dyDescent="0.25">
      <c r="A324" s="1" t="str">
        <f ca="1">IFERROR(__xludf.DUMMYFUNCTION("""COMPUTED_VALUE"""),"Stephen F. Austin")</f>
        <v>Stephen F. Austin</v>
      </c>
      <c r="B324" s="1">
        <f ca="1">IFERROR(__xludf.DUMMYFUNCTION("""COMPUTED_VALUE"""),33)</f>
        <v>33</v>
      </c>
      <c r="C324" s="1">
        <f ca="1">IFERROR(__xludf.DUMMYFUNCTION("""COMPUTED_VALUE"""),18)</f>
        <v>18</v>
      </c>
      <c r="D324" s="1">
        <f ca="1">IFERROR(__xludf.DUMMYFUNCTION("""COMPUTED_VALUE"""),15)</f>
        <v>15</v>
      </c>
      <c r="E324" s="1">
        <f ca="1">IFERROR(__xludf.DUMMYFUNCTION("""COMPUTED_VALUE"""),0.545)</f>
        <v>0.54500000000000004</v>
      </c>
      <c r="F324" s="1">
        <f ca="1">IFERROR(__xludf.DUMMYFUNCTION("""COMPUTED_VALUE"""),-7.01)</f>
        <v>-7.01</v>
      </c>
      <c r="G324" s="1">
        <f ca="1">IFERROR(__xludf.DUMMYFUNCTION("""COMPUTED_VALUE"""),-5.75)</f>
        <v>-5.75</v>
      </c>
      <c r="H324" s="1">
        <f ca="1">IFERROR(__xludf.DUMMYFUNCTION("""COMPUTED_VALUE"""),12)</f>
        <v>12</v>
      </c>
      <c r="I324" s="1">
        <f ca="1">IFERROR(__xludf.DUMMYFUNCTION("""COMPUTED_VALUE"""),6)</f>
        <v>6</v>
      </c>
      <c r="J324" s="1">
        <f ca="1">IFERROR(__xludf.DUMMYFUNCTION("""COMPUTED_VALUE"""),12)</f>
        <v>12</v>
      </c>
      <c r="K324" s="1">
        <f ca="1">IFERROR(__xludf.DUMMYFUNCTION("""COMPUTED_VALUE"""),2)</f>
        <v>2</v>
      </c>
      <c r="L324" s="1">
        <f ca="1">IFERROR(__xludf.DUMMYFUNCTION("""COMPUTED_VALUE"""),4)</f>
        <v>4</v>
      </c>
      <c r="M324" s="1">
        <f ca="1">IFERROR(__xludf.DUMMYFUNCTION("""COMPUTED_VALUE"""),10)</f>
        <v>10</v>
      </c>
      <c r="N324" s="1">
        <f ca="1">IFERROR(__xludf.DUMMYFUNCTION("""COMPUTED_VALUE"""),2289)</f>
        <v>2289</v>
      </c>
      <c r="O324" s="1">
        <f ca="1">IFERROR(__xludf.DUMMYFUNCTION("""COMPUTED_VALUE"""),2271)</f>
        <v>2271</v>
      </c>
      <c r="P324" s="1">
        <f ca="1">IFERROR(__xludf.DUMMYFUNCTION("""COMPUTED_VALUE"""),1330)</f>
        <v>1330</v>
      </c>
      <c r="Q324" s="1">
        <f ca="1">IFERROR(__xludf.DUMMYFUNCTION("""COMPUTED_VALUE"""),783)</f>
        <v>783</v>
      </c>
      <c r="R324" s="1">
        <f ca="1">IFERROR(__xludf.DUMMYFUNCTION("""COMPUTED_VALUE"""),1754)</f>
        <v>1754</v>
      </c>
      <c r="S324" s="1">
        <f ca="1">IFERROR(__xludf.DUMMYFUNCTION("""COMPUTED_VALUE"""),0.446)</f>
        <v>0.44600000000000001</v>
      </c>
      <c r="T324" s="1">
        <f ca="1">IFERROR(__xludf.DUMMYFUNCTION("""COMPUTED_VALUE"""),193)</f>
        <v>193</v>
      </c>
      <c r="U324" s="1">
        <f ca="1">IFERROR(__xludf.DUMMYFUNCTION("""COMPUTED_VALUE"""),605)</f>
        <v>605</v>
      </c>
      <c r="V324" s="1">
        <f ca="1">IFERROR(__xludf.DUMMYFUNCTION("""COMPUTED_VALUE"""),0.319)</f>
        <v>0.31900000000000001</v>
      </c>
      <c r="W324" s="1">
        <f ca="1">IFERROR(__xludf.DUMMYFUNCTION("""COMPUTED_VALUE"""),530)</f>
        <v>530</v>
      </c>
      <c r="X324" s="1">
        <f ca="1">IFERROR(__xludf.DUMMYFUNCTION("""COMPUTED_VALUE"""),735)</f>
        <v>735</v>
      </c>
      <c r="Y324" s="1">
        <f ca="1">IFERROR(__xludf.DUMMYFUNCTION("""COMPUTED_VALUE"""),0.721)</f>
        <v>0.72099999999999997</v>
      </c>
      <c r="Z324" s="1">
        <f ca="1">IFERROR(__xludf.DUMMYFUNCTION("""COMPUTED_VALUE"""),378)</f>
        <v>378</v>
      </c>
      <c r="AA324" s="1">
        <f ca="1">IFERROR(__xludf.DUMMYFUNCTION("""COMPUTED_VALUE"""),1147)</f>
        <v>1147</v>
      </c>
      <c r="AB324" s="1">
        <f ca="1">IFERROR(__xludf.DUMMYFUNCTION("""COMPUTED_VALUE"""),409)</f>
        <v>409</v>
      </c>
      <c r="AC324" s="1">
        <f ca="1">IFERROR(__xludf.DUMMYFUNCTION("""COMPUTED_VALUE"""),223)</f>
        <v>223</v>
      </c>
      <c r="AD324" s="1">
        <f ca="1">IFERROR(__xludf.DUMMYFUNCTION("""COMPUTED_VALUE"""),100)</f>
        <v>100</v>
      </c>
      <c r="AE324" s="1">
        <f ca="1">IFERROR(__xludf.DUMMYFUNCTION("""COMPUTED_VALUE"""),578)</f>
        <v>578</v>
      </c>
      <c r="AF324" s="1">
        <f ca="1">IFERROR(__xludf.DUMMYFUNCTION("""COMPUTED_VALUE"""),716)</f>
        <v>716</v>
      </c>
    </row>
    <row r="325" spans="1:32" ht="12.5" x14ac:dyDescent="0.25">
      <c r="A325" s="1" t="str">
        <f ca="1">IFERROR(__xludf.DUMMYFUNCTION("""COMPUTED_VALUE"""),"Stetson")</f>
        <v>Stetson</v>
      </c>
      <c r="B325" s="1">
        <f ca="1">IFERROR(__xludf.DUMMYFUNCTION("""COMPUTED_VALUE"""),32)</f>
        <v>32</v>
      </c>
      <c r="C325" s="1">
        <f ca="1">IFERROR(__xludf.DUMMYFUNCTION("""COMPUTED_VALUE"""),11)</f>
        <v>11</v>
      </c>
      <c r="D325" s="1">
        <f ca="1">IFERROR(__xludf.DUMMYFUNCTION("""COMPUTED_VALUE"""),21)</f>
        <v>21</v>
      </c>
      <c r="E325" s="1">
        <f ca="1">IFERROR(__xludf.DUMMYFUNCTION("""COMPUTED_VALUE"""),0.344)</f>
        <v>0.34399999999999997</v>
      </c>
      <c r="F325" s="1">
        <f ca="1">IFERROR(__xludf.DUMMYFUNCTION("""COMPUTED_VALUE"""),-14.21)</f>
        <v>-14.21</v>
      </c>
      <c r="G325" s="1">
        <f ca="1">IFERROR(__xludf.DUMMYFUNCTION("""COMPUTED_VALUE"""),-5.45)</f>
        <v>-5.45</v>
      </c>
      <c r="H325" s="1">
        <f ca="1">IFERROR(__xludf.DUMMYFUNCTION("""COMPUTED_VALUE"""),3)</f>
        <v>3</v>
      </c>
      <c r="I325" s="1">
        <f ca="1">IFERROR(__xludf.DUMMYFUNCTION("""COMPUTED_VALUE"""),11)</f>
        <v>11</v>
      </c>
      <c r="J325" s="1">
        <f ca="1">IFERROR(__xludf.DUMMYFUNCTION("""COMPUTED_VALUE"""),7)</f>
        <v>7</v>
      </c>
      <c r="K325" s="1">
        <f ca="1">IFERROR(__xludf.DUMMYFUNCTION("""COMPUTED_VALUE"""),7)</f>
        <v>7</v>
      </c>
      <c r="L325" s="1">
        <f ca="1">IFERROR(__xludf.DUMMYFUNCTION("""COMPUTED_VALUE"""),4)</f>
        <v>4</v>
      </c>
      <c r="M325" s="1">
        <f ca="1">IFERROR(__xludf.DUMMYFUNCTION("""COMPUTED_VALUE"""),13)</f>
        <v>13</v>
      </c>
      <c r="N325" s="1">
        <f ca="1">IFERROR(__xludf.DUMMYFUNCTION("""COMPUTED_VALUE"""),2471)</f>
        <v>2471</v>
      </c>
      <c r="O325" s="1">
        <f ca="1">IFERROR(__xludf.DUMMYFUNCTION("""COMPUTED_VALUE"""),2654)</f>
        <v>2654</v>
      </c>
      <c r="P325" s="1">
        <f ca="1">IFERROR(__xludf.DUMMYFUNCTION("""COMPUTED_VALUE"""),1285)</f>
        <v>1285</v>
      </c>
      <c r="Q325" s="1">
        <f ca="1">IFERROR(__xludf.DUMMYFUNCTION("""COMPUTED_VALUE"""),886)</f>
        <v>886</v>
      </c>
      <c r="R325" s="1">
        <f ca="1">IFERROR(__xludf.DUMMYFUNCTION("""COMPUTED_VALUE"""),2007)</f>
        <v>2007</v>
      </c>
      <c r="S325" s="1">
        <f ca="1">IFERROR(__xludf.DUMMYFUNCTION("""COMPUTED_VALUE"""),0.441)</f>
        <v>0.441</v>
      </c>
      <c r="T325" s="1">
        <f ca="1">IFERROR(__xludf.DUMMYFUNCTION("""COMPUTED_VALUE"""),261)</f>
        <v>261</v>
      </c>
      <c r="U325" s="1">
        <f ca="1">IFERROR(__xludf.DUMMYFUNCTION("""COMPUTED_VALUE"""),770)</f>
        <v>770</v>
      </c>
      <c r="V325" s="1">
        <f ca="1">IFERROR(__xludf.DUMMYFUNCTION("""COMPUTED_VALUE"""),0.339)</f>
        <v>0.33900000000000002</v>
      </c>
      <c r="W325" s="1">
        <f ca="1">IFERROR(__xludf.DUMMYFUNCTION("""COMPUTED_VALUE"""),438)</f>
        <v>438</v>
      </c>
      <c r="X325" s="1">
        <f ca="1">IFERROR(__xludf.DUMMYFUNCTION("""COMPUTED_VALUE"""),665)</f>
        <v>665</v>
      </c>
      <c r="Y325" s="1">
        <f ca="1">IFERROR(__xludf.DUMMYFUNCTION("""COMPUTED_VALUE"""),0.659)</f>
        <v>0.65900000000000003</v>
      </c>
      <c r="Z325" s="1">
        <f ca="1">IFERROR(__xludf.DUMMYFUNCTION("""COMPUTED_VALUE"""),274)</f>
        <v>274</v>
      </c>
      <c r="AA325" s="1">
        <f ca="1">IFERROR(__xludf.DUMMYFUNCTION("""COMPUTED_VALUE"""),1128)</f>
        <v>1128</v>
      </c>
      <c r="AB325" s="1">
        <f ca="1">IFERROR(__xludf.DUMMYFUNCTION("""COMPUTED_VALUE"""),436)</f>
        <v>436</v>
      </c>
      <c r="AC325" s="1">
        <f ca="1">IFERROR(__xludf.DUMMYFUNCTION("""COMPUTED_VALUE"""),155)</f>
        <v>155</v>
      </c>
      <c r="AD325" s="1">
        <f ca="1">IFERROR(__xludf.DUMMYFUNCTION("""COMPUTED_VALUE"""),71)</f>
        <v>71</v>
      </c>
      <c r="AE325" s="1">
        <f ca="1">IFERROR(__xludf.DUMMYFUNCTION("""COMPUTED_VALUE"""),362)</f>
        <v>362</v>
      </c>
      <c r="AF325" s="1">
        <f ca="1">IFERROR(__xludf.DUMMYFUNCTION("""COMPUTED_VALUE"""),608)</f>
        <v>608</v>
      </c>
    </row>
    <row r="326" spans="1:32" ht="12.5" x14ac:dyDescent="0.25">
      <c r="A326" s="1" t="str">
        <f ca="1">IFERROR(__xludf.DUMMYFUNCTION("""COMPUTED_VALUE"""),"Stony Brook")</f>
        <v>Stony Brook</v>
      </c>
      <c r="B326" s="1">
        <f ca="1">IFERROR(__xludf.DUMMYFUNCTION("""COMPUTED_VALUE"""),32)</f>
        <v>32</v>
      </c>
      <c r="C326" s="1">
        <f ca="1">IFERROR(__xludf.DUMMYFUNCTION("""COMPUTED_VALUE"""),18)</f>
        <v>18</v>
      </c>
      <c r="D326" s="1">
        <f ca="1">IFERROR(__xludf.DUMMYFUNCTION("""COMPUTED_VALUE"""),14)</f>
        <v>14</v>
      </c>
      <c r="E326" s="1">
        <f ca="1">IFERROR(__xludf.DUMMYFUNCTION("""COMPUTED_VALUE"""),0.563)</f>
        <v>0.56299999999999994</v>
      </c>
      <c r="F326" s="1">
        <f ca="1">IFERROR(__xludf.DUMMYFUNCTION("""COMPUTED_VALUE"""),-4.71)</f>
        <v>-4.71</v>
      </c>
      <c r="G326" s="1">
        <f ca="1">IFERROR(__xludf.DUMMYFUNCTION("""COMPUTED_VALUE"""),-5.05)</f>
        <v>-5.05</v>
      </c>
      <c r="H326" s="1">
        <f ca="1">IFERROR(__xludf.DUMMYFUNCTION("""COMPUTED_VALUE"""),12)</f>
        <v>12</v>
      </c>
      <c r="I326" s="1">
        <f ca="1">IFERROR(__xludf.DUMMYFUNCTION("""COMPUTED_VALUE"""),4)</f>
        <v>4</v>
      </c>
      <c r="J326" s="1">
        <f ca="1">IFERROR(__xludf.DUMMYFUNCTION("""COMPUTED_VALUE"""),10)</f>
        <v>10</v>
      </c>
      <c r="K326" s="1">
        <f ca="1">IFERROR(__xludf.DUMMYFUNCTION("""COMPUTED_VALUE"""),6)</f>
        <v>6</v>
      </c>
      <c r="L326" s="1">
        <f ca="1">IFERROR(__xludf.DUMMYFUNCTION("""COMPUTED_VALUE"""),7)</f>
        <v>7</v>
      </c>
      <c r="M326" s="1">
        <f ca="1">IFERROR(__xludf.DUMMYFUNCTION("""COMPUTED_VALUE"""),8)</f>
        <v>8</v>
      </c>
      <c r="N326" s="1">
        <f ca="1">IFERROR(__xludf.DUMMYFUNCTION("""COMPUTED_VALUE"""),2215)</f>
        <v>2215</v>
      </c>
      <c r="O326" s="1">
        <f ca="1">IFERROR(__xludf.DUMMYFUNCTION("""COMPUTED_VALUE"""),2204)</f>
        <v>2204</v>
      </c>
      <c r="P326" s="1">
        <f ca="1">IFERROR(__xludf.DUMMYFUNCTION("""COMPUTED_VALUE"""),1280)</f>
        <v>1280</v>
      </c>
      <c r="Q326" s="1">
        <f ca="1">IFERROR(__xludf.DUMMYFUNCTION("""COMPUTED_VALUE"""),759)</f>
        <v>759</v>
      </c>
      <c r="R326" s="1">
        <f ca="1">IFERROR(__xludf.DUMMYFUNCTION("""COMPUTED_VALUE"""),1878)</f>
        <v>1878</v>
      </c>
      <c r="S326" s="1">
        <f ca="1">IFERROR(__xludf.DUMMYFUNCTION("""COMPUTED_VALUE"""),0.404)</f>
        <v>0.40400000000000003</v>
      </c>
      <c r="T326" s="1">
        <f ca="1">IFERROR(__xludf.DUMMYFUNCTION("""COMPUTED_VALUE"""),250)</f>
        <v>250</v>
      </c>
      <c r="U326" s="1">
        <f ca="1">IFERROR(__xludf.DUMMYFUNCTION("""COMPUTED_VALUE"""),764)</f>
        <v>764</v>
      </c>
      <c r="V326" s="1">
        <f ca="1">IFERROR(__xludf.DUMMYFUNCTION("""COMPUTED_VALUE"""),0.327)</f>
        <v>0.32700000000000001</v>
      </c>
      <c r="W326" s="1">
        <f ca="1">IFERROR(__xludf.DUMMYFUNCTION("""COMPUTED_VALUE"""),445)</f>
        <v>445</v>
      </c>
      <c r="X326" s="1">
        <f ca="1">IFERROR(__xludf.DUMMYFUNCTION("""COMPUTED_VALUE"""),617)</f>
        <v>617</v>
      </c>
      <c r="Y326" s="1">
        <f ca="1">IFERROR(__xludf.DUMMYFUNCTION("""COMPUTED_VALUE"""),0.721)</f>
        <v>0.72099999999999997</v>
      </c>
      <c r="Z326" s="1">
        <f ca="1">IFERROR(__xludf.DUMMYFUNCTION("""COMPUTED_VALUE"""),358)</f>
        <v>358</v>
      </c>
      <c r="AA326" s="1">
        <f ca="1">IFERROR(__xludf.DUMMYFUNCTION("""COMPUTED_VALUE"""),1108)</f>
        <v>1108</v>
      </c>
      <c r="AB326" s="1">
        <f ca="1">IFERROR(__xludf.DUMMYFUNCTION("""COMPUTED_VALUE"""),391)</f>
        <v>391</v>
      </c>
      <c r="AC326" s="1">
        <f ca="1">IFERROR(__xludf.DUMMYFUNCTION("""COMPUTED_VALUE"""),174)</f>
        <v>174</v>
      </c>
      <c r="AD326" s="1">
        <f ca="1">IFERROR(__xludf.DUMMYFUNCTION("""COMPUTED_VALUE"""),102)</f>
        <v>102</v>
      </c>
      <c r="AE326" s="1">
        <f ca="1">IFERROR(__xludf.DUMMYFUNCTION("""COMPUTED_VALUE"""),325)</f>
        <v>325</v>
      </c>
      <c r="AF326" s="1">
        <f ca="1">IFERROR(__xludf.DUMMYFUNCTION("""COMPUTED_VALUE"""),622)</f>
        <v>622</v>
      </c>
    </row>
    <row r="327" spans="1:32" ht="12.5" x14ac:dyDescent="0.25">
      <c r="A327" s="1" t="str">
        <f ca="1">IFERROR(__xludf.DUMMYFUNCTION("""COMPUTED_VALUE"""),"Syracuse")</f>
        <v>Syracuse</v>
      </c>
      <c r="B327" s="1">
        <f ca="1">IFERROR(__xludf.DUMMYFUNCTION("""COMPUTED_VALUE"""),34)</f>
        <v>34</v>
      </c>
      <c r="C327" s="1">
        <f ca="1">IFERROR(__xludf.DUMMYFUNCTION("""COMPUTED_VALUE"""),19)</f>
        <v>19</v>
      </c>
      <c r="D327" s="1">
        <f ca="1">IFERROR(__xludf.DUMMYFUNCTION("""COMPUTED_VALUE"""),15)</f>
        <v>15</v>
      </c>
      <c r="E327" s="1">
        <f ca="1">IFERROR(__xludf.DUMMYFUNCTION("""COMPUTED_VALUE"""),0.559)</f>
        <v>0.55900000000000005</v>
      </c>
      <c r="F327" s="1">
        <f ca="1">IFERROR(__xludf.DUMMYFUNCTION("""COMPUTED_VALUE"""),13.7)</f>
        <v>13.7</v>
      </c>
      <c r="G327" s="1">
        <f ca="1">IFERROR(__xludf.DUMMYFUNCTION("""COMPUTED_VALUE"""),8.47)</f>
        <v>8.4700000000000006</v>
      </c>
      <c r="H327" s="1">
        <f ca="1">IFERROR(__xludf.DUMMYFUNCTION("""COMPUTED_VALUE"""),10)</f>
        <v>10</v>
      </c>
      <c r="I327" s="1">
        <f ca="1">IFERROR(__xludf.DUMMYFUNCTION("""COMPUTED_VALUE"""),8)</f>
        <v>8</v>
      </c>
      <c r="J327" s="1">
        <f ca="1">IFERROR(__xludf.DUMMYFUNCTION("""COMPUTED_VALUE"""),17)</f>
        <v>17</v>
      </c>
      <c r="K327" s="1">
        <f ca="1">IFERROR(__xludf.DUMMYFUNCTION("""COMPUTED_VALUE"""),4)</f>
        <v>4</v>
      </c>
      <c r="L327" s="1">
        <f ca="1">IFERROR(__xludf.DUMMYFUNCTION("""COMPUTED_VALUE"""),2)</f>
        <v>2</v>
      </c>
      <c r="M327" s="1">
        <f ca="1">IFERROR(__xludf.DUMMYFUNCTION("""COMPUTED_VALUE"""),8)</f>
        <v>8</v>
      </c>
      <c r="N327" s="1">
        <f ca="1">IFERROR(__xludf.DUMMYFUNCTION("""COMPUTED_VALUE"""),2594)</f>
        <v>2594</v>
      </c>
      <c r="O327" s="1">
        <f ca="1">IFERROR(__xludf.DUMMYFUNCTION("""COMPUTED_VALUE"""),2416)</f>
        <v>2416</v>
      </c>
      <c r="P327" s="1">
        <f ca="1">IFERROR(__xludf.DUMMYFUNCTION("""COMPUTED_VALUE"""),1370)</f>
        <v>1370</v>
      </c>
      <c r="Q327" s="1">
        <f ca="1">IFERROR(__xludf.DUMMYFUNCTION("""COMPUTED_VALUE"""),894)</f>
        <v>894</v>
      </c>
      <c r="R327" s="1">
        <f ca="1">IFERROR(__xludf.DUMMYFUNCTION("""COMPUTED_VALUE"""),1950)</f>
        <v>1950</v>
      </c>
      <c r="S327" s="1">
        <f ca="1">IFERROR(__xludf.DUMMYFUNCTION("""COMPUTED_VALUE"""),0.458)</f>
        <v>0.45800000000000002</v>
      </c>
      <c r="T327" s="1">
        <f ca="1">IFERROR(__xludf.DUMMYFUNCTION("""COMPUTED_VALUE"""),300)</f>
        <v>300</v>
      </c>
      <c r="U327" s="1">
        <f ca="1">IFERROR(__xludf.DUMMYFUNCTION("""COMPUTED_VALUE"""),791)</f>
        <v>791</v>
      </c>
      <c r="V327" s="1">
        <f ca="1">IFERROR(__xludf.DUMMYFUNCTION("""COMPUTED_VALUE"""),0.379)</f>
        <v>0.379</v>
      </c>
      <c r="W327" s="1">
        <f ca="1">IFERROR(__xludf.DUMMYFUNCTION("""COMPUTED_VALUE"""),506)</f>
        <v>506</v>
      </c>
      <c r="X327" s="1">
        <f ca="1">IFERROR(__xludf.DUMMYFUNCTION("""COMPUTED_VALUE"""),685)</f>
        <v>685</v>
      </c>
      <c r="Y327" s="1">
        <f ca="1">IFERROR(__xludf.DUMMYFUNCTION("""COMPUTED_VALUE"""),0.739)</f>
        <v>0.73899999999999999</v>
      </c>
      <c r="Z327" s="1">
        <f ca="1">IFERROR(__xludf.DUMMYFUNCTION("""COMPUTED_VALUE"""),363)</f>
        <v>363</v>
      </c>
      <c r="AA327" s="1">
        <f ca="1">IFERROR(__xludf.DUMMYFUNCTION("""COMPUTED_VALUE"""),1183)</f>
        <v>1183</v>
      </c>
      <c r="AB327" s="1">
        <f ca="1">IFERROR(__xludf.DUMMYFUNCTION("""COMPUTED_VALUE"""),532)</f>
        <v>532</v>
      </c>
      <c r="AC327" s="1">
        <f ca="1">IFERROR(__xludf.DUMMYFUNCTION("""COMPUTED_VALUE"""),275)</f>
        <v>275</v>
      </c>
      <c r="AD327" s="1">
        <f ca="1">IFERROR(__xludf.DUMMYFUNCTION("""COMPUTED_VALUE"""),159)</f>
        <v>159</v>
      </c>
      <c r="AE327" s="1">
        <f ca="1">IFERROR(__xludf.DUMMYFUNCTION("""COMPUTED_VALUE"""),418)</f>
        <v>418</v>
      </c>
      <c r="AF327" s="1">
        <f ca="1">IFERROR(__xludf.DUMMYFUNCTION("""COMPUTED_VALUE"""),542)</f>
        <v>542</v>
      </c>
    </row>
    <row r="328" spans="1:32" ht="12.5" x14ac:dyDescent="0.25">
      <c r="A328" s="1" t="str">
        <f ca="1">IFERROR(__xludf.DUMMYFUNCTION("""COMPUTED_VALUE"""),"Temple")</f>
        <v>Temple</v>
      </c>
      <c r="B328" s="1">
        <f ca="1">IFERROR(__xludf.DUMMYFUNCTION("""COMPUTED_VALUE"""),32)</f>
        <v>32</v>
      </c>
      <c r="C328" s="1">
        <f ca="1">IFERROR(__xludf.DUMMYFUNCTION("""COMPUTED_VALUE"""),16)</f>
        <v>16</v>
      </c>
      <c r="D328" s="1">
        <f ca="1">IFERROR(__xludf.DUMMYFUNCTION("""COMPUTED_VALUE"""),16)</f>
        <v>16</v>
      </c>
      <c r="E328" s="1">
        <f ca="1">IFERROR(__xludf.DUMMYFUNCTION("""COMPUTED_VALUE"""),0.5)</f>
        <v>0.5</v>
      </c>
      <c r="F328" s="1">
        <f ca="1">IFERROR(__xludf.DUMMYFUNCTION("""COMPUTED_VALUE"""),4.84)</f>
        <v>4.84</v>
      </c>
      <c r="G328" s="1">
        <f ca="1">IFERROR(__xludf.DUMMYFUNCTION("""COMPUTED_VALUE"""),5.09)</f>
        <v>5.09</v>
      </c>
      <c r="H328" s="1">
        <f ca="1">IFERROR(__xludf.DUMMYFUNCTION("""COMPUTED_VALUE"""),7)</f>
        <v>7</v>
      </c>
      <c r="I328" s="1">
        <f ca="1">IFERROR(__xludf.DUMMYFUNCTION("""COMPUTED_VALUE"""),11)</f>
        <v>11</v>
      </c>
      <c r="J328" s="1">
        <f ca="1">IFERROR(__xludf.DUMMYFUNCTION("""COMPUTED_VALUE"""),9)</f>
        <v>9</v>
      </c>
      <c r="K328" s="1">
        <f ca="1">IFERROR(__xludf.DUMMYFUNCTION("""COMPUTED_VALUE"""),7)</f>
        <v>7</v>
      </c>
      <c r="L328" s="1">
        <f ca="1">IFERROR(__xludf.DUMMYFUNCTION("""COMPUTED_VALUE"""),4)</f>
        <v>4</v>
      </c>
      <c r="M328" s="1">
        <f ca="1">IFERROR(__xludf.DUMMYFUNCTION("""COMPUTED_VALUE"""),8)</f>
        <v>8</v>
      </c>
      <c r="N328" s="1">
        <f ca="1">IFERROR(__xludf.DUMMYFUNCTION("""COMPUTED_VALUE"""),2269)</f>
        <v>2269</v>
      </c>
      <c r="O328" s="1">
        <f ca="1">IFERROR(__xludf.DUMMYFUNCTION("""COMPUTED_VALUE"""),2277)</f>
        <v>2277</v>
      </c>
      <c r="P328" s="1">
        <f ca="1">IFERROR(__xludf.DUMMYFUNCTION("""COMPUTED_VALUE"""),1295)</f>
        <v>1295</v>
      </c>
      <c r="Q328" s="1">
        <f ca="1">IFERROR(__xludf.DUMMYFUNCTION("""COMPUTED_VALUE"""),808)</f>
        <v>808</v>
      </c>
      <c r="R328" s="1">
        <f ca="1">IFERROR(__xludf.DUMMYFUNCTION("""COMPUTED_VALUE"""),1916)</f>
        <v>1916</v>
      </c>
      <c r="S328" s="1">
        <f ca="1">IFERROR(__xludf.DUMMYFUNCTION("""COMPUTED_VALUE"""),0.422)</f>
        <v>0.42199999999999999</v>
      </c>
      <c r="T328" s="1">
        <f ca="1">IFERROR(__xludf.DUMMYFUNCTION("""COMPUTED_VALUE"""),287)</f>
        <v>287</v>
      </c>
      <c r="U328" s="1">
        <f ca="1">IFERROR(__xludf.DUMMYFUNCTION("""COMPUTED_VALUE"""),807)</f>
        <v>807</v>
      </c>
      <c r="V328" s="1">
        <f ca="1">IFERROR(__xludf.DUMMYFUNCTION("""COMPUTED_VALUE"""),0.356)</f>
        <v>0.35599999999999998</v>
      </c>
      <c r="W328" s="1">
        <f ca="1">IFERROR(__xludf.DUMMYFUNCTION("""COMPUTED_VALUE"""),366)</f>
        <v>366</v>
      </c>
      <c r="X328" s="1">
        <f ca="1">IFERROR(__xludf.DUMMYFUNCTION("""COMPUTED_VALUE"""),506)</f>
        <v>506</v>
      </c>
      <c r="Y328" s="1">
        <f ca="1">IFERROR(__xludf.DUMMYFUNCTION("""COMPUTED_VALUE"""),0.723)</f>
        <v>0.72299999999999998</v>
      </c>
      <c r="Z328" s="1">
        <f ca="1">IFERROR(__xludf.DUMMYFUNCTION("""COMPUTED_VALUE"""),320)</f>
        <v>320</v>
      </c>
      <c r="AA328" s="1">
        <f ca="1">IFERROR(__xludf.DUMMYFUNCTION("""COMPUTED_VALUE"""),1096)</f>
        <v>1096</v>
      </c>
      <c r="AB328" s="1">
        <f ca="1">IFERROR(__xludf.DUMMYFUNCTION("""COMPUTED_VALUE"""),464)</f>
        <v>464</v>
      </c>
      <c r="AC328" s="1">
        <f ca="1">IFERROR(__xludf.DUMMYFUNCTION("""COMPUTED_VALUE"""),208)</f>
        <v>208</v>
      </c>
      <c r="AD328" s="1">
        <f ca="1">IFERROR(__xludf.DUMMYFUNCTION("""COMPUTED_VALUE"""),128)</f>
        <v>128</v>
      </c>
      <c r="AE328" s="1">
        <f ca="1">IFERROR(__xludf.DUMMYFUNCTION("""COMPUTED_VALUE"""),365)</f>
        <v>365</v>
      </c>
      <c r="AF328" s="1">
        <f ca="1">IFERROR(__xludf.DUMMYFUNCTION("""COMPUTED_VALUE"""),584)</f>
        <v>584</v>
      </c>
    </row>
    <row r="329" spans="1:32" ht="12.5" x14ac:dyDescent="0.25">
      <c r="A329" s="1" t="str">
        <f ca="1">IFERROR(__xludf.DUMMYFUNCTION("""COMPUTED_VALUE"""),"Tennessee-Martin")</f>
        <v>Tennessee-Martin</v>
      </c>
      <c r="B329" s="1">
        <f ca="1">IFERROR(__xludf.DUMMYFUNCTION("""COMPUTED_VALUE"""),35)</f>
        <v>35</v>
      </c>
      <c r="C329" s="1">
        <f ca="1">IFERROR(__xludf.DUMMYFUNCTION("""COMPUTED_VALUE"""),22)</f>
        <v>22</v>
      </c>
      <c r="D329" s="1">
        <f ca="1">IFERROR(__xludf.DUMMYFUNCTION("""COMPUTED_VALUE"""),13)</f>
        <v>13</v>
      </c>
      <c r="E329" s="1">
        <f ca="1">IFERROR(__xludf.DUMMYFUNCTION("""COMPUTED_VALUE"""),0.629)</f>
        <v>0.629</v>
      </c>
      <c r="F329" s="1">
        <f ca="1">IFERROR(__xludf.DUMMYFUNCTION("""COMPUTED_VALUE"""),-4.7)</f>
        <v>-4.7</v>
      </c>
      <c r="G329" s="1">
        <f ca="1">IFERROR(__xludf.DUMMYFUNCTION("""COMPUTED_VALUE"""),-4.34)</f>
        <v>-4.34</v>
      </c>
      <c r="H329" s="1">
        <f ca="1">IFERROR(__xludf.DUMMYFUNCTION("""COMPUTED_VALUE"""),10)</f>
        <v>10</v>
      </c>
      <c r="I329" s="1">
        <f ca="1">IFERROR(__xludf.DUMMYFUNCTION("""COMPUTED_VALUE"""),6)</f>
        <v>6</v>
      </c>
      <c r="J329" s="1">
        <f ca="1">IFERROR(__xludf.DUMMYFUNCTION("""COMPUTED_VALUE"""),14)</f>
        <v>14</v>
      </c>
      <c r="K329" s="1">
        <f ca="1">IFERROR(__xludf.DUMMYFUNCTION("""COMPUTED_VALUE"""),2)</f>
        <v>2</v>
      </c>
      <c r="L329" s="1">
        <f ca="1">IFERROR(__xludf.DUMMYFUNCTION("""COMPUTED_VALUE"""),7)</f>
        <v>7</v>
      </c>
      <c r="M329" s="1">
        <f ca="1">IFERROR(__xludf.DUMMYFUNCTION("""COMPUTED_VALUE"""),10)</f>
        <v>10</v>
      </c>
      <c r="N329" s="1">
        <f ca="1">IFERROR(__xludf.DUMMYFUNCTION("""COMPUTED_VALUE"""),2693)</f>
        <v>2693</v>
      </c>
      <c r="O329" s="1">
        <f ca="1">IFERROR(__xludf.DUMMYFUNCTION("""COMPUTED_VALUE"""),2630)</f>
        <v>2630</v>
      </c>
      <c r="P329" s="1">
        <f ca="1">IFERROR(__xludf.DUMMYFUNCTION("""COMPUTED_VALUE"""),1415)</f>
        <v>1415</v>
      </c>
      <c r="Q329" s="1">
        <f ca="1">IFERROR(__xludf.DUMMYFUNCTION("""COMPUTED_VALUE"""),966)</f>
        <v>966</v>
      </c>
      <c r="R329" s="1">
        <f ca="1">IFERROR(__xludf.DUMMYFUNCTION("""COMPUTED_VALUE"""),2066)</f>
        <v>2066</v>
      </c>
      <c r="S329" s="1">
        <f ca="1">IFERROR(__xludf.DUMMYFUNCTION("""COMPUTED_VALUE"""),0.468)</f>
        <v>0.46800000000000003</v>
      </c>
      <c r="T329" s="1">
        <f ca="1">IFERROR(__xludf.DUMMYFUNCTION("""COMPUTED_VALUE"""),287)</f>
        <v>287</v>
      </c>
      <c r="U329" s="1">
        <f ca="1">IFERROR(__xludf.DUMMYFUNCTION("""COMPUTED_VALUE"""),812)</f>
        <v>812</v>
      </c>
      <c r="V329" s="1">
        <f ca="1">IFERROR(__xludf.DUMMYFUNCTION("""COMPUTED_VALUE"""),0.353)</f>
        <v>0.35299999999999998</v>
      </c>
      <c r="W329" s="1">
        <f ca="1">IFERROR(__xludf.DUMMYFUNCTION("""COMPUTED_VALUE"""),474)</f>
        <v>474</v>
      </c>
      <c r="X329" s="1">
        <f ca="1">IFERROR(__xludf.DUMMYFUNCTION("""COMPUTED_VALUE"""),689)</f>
        <v>689</v>
      </c>
      <c r="Y329" s="1">
        <f ca="1">IFERROR(__xludf.DUMMYFUNCTION("""COMPUTED_VALUE"""),0.688)</f>
        <v>0.68799999999999994</v>
      </c>
      <c r="Z329" s="1">
        <f ca="1">IFERROR(__xludf.DUMMYFUNCTION("""COMPUTED_VALUE"""),453)</f>
        <v>453</v>
      </c>
      <c r="AA329" s="1">
        <f ca="1">IFERROR(__xludf.DUMMYFUNCTION("""COMPUTED_VALUE"""),1312)</f>
        <v>1312</v>
      </c>
      <c r="AB329" s="1">
        <f ca="1">IFERROR(__xludf.DUMMYFUNCTION("""COMPUTED_VALUE"""),555)</f>
        <v>555</v>
      </c>
      <c r="AC329" s="1">
        <f ca="1">IFERROR(__xludf.DUMMYFUNCTION("""COMPUTED_VALUE"""),228)</f>
        <v>228</v>
      </c>
      <c r="AD329" s="1">
        <f ca="1">IFERROR(__xludf.DUMMYFUNCTION("""COMPUTED_VALUE"""),123)</f>
        <v>123</v>
      </c>
      <c r="AE329" s="1">
        <f ca="1">IFERROR(__xludf.DUMMYFUNCTION("""COMPUTED_VALUE"""),528)</f>
        <v>528</v>
      </c>
      <c r="AF329" s="1">
        <f ca="1">IFERROR(__xludf.DUMMYFUNCTION("""COMPUTED_VALUE"""),606)</f>
        <v>606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IFERROR(__xludf.DUMMYFUNCTION("""COMPUTED_VALUE"""),"Tennessee State")</f>
        <v>Tennessee State</v>
      </c>
      <c r="B332" s="1">
        <f ca="1">IFERROR(__xludf.DUMMYFUNCTION("""COMPUTED_VALUE"""),30)</f>
        <v>30</v>
      </c>
      <c r="C332" s="1">
        <f ca="1">IFERROR(__xludf.DUMMYFUNCTION("""COMPUTED_VALUE"""),17)</f>
        <v>17</v>
      </c>
      <c r="D332" s="1">
        <f ca="1">IFERROR(__xludf.DUMMYFUNCTION("""COMPUTED_VALUE"""),13)</f>
        <v>13</v>
      </c>
      <c r="E332" s="1">
        <f ca="1">IFERROR(__xludf.DUMMYFUNCTION("""COMPUTED_VALUE"""),0.567)</f>
        <v>0.56699999999999995</v>
      </c>
      <c r="F332" s="1">
        <f ca="1">IFERROR(__xludf.DUMMYFUNCTION("""COMPUTED_VALUE"""),-1.57)</f>
        <v>-1.57</v>
      </c>
      <c r="G332" s="1">
        <f ca="1">IFERROR(__xludf.DUMMYFUNCTION("""COMPUTED_VALUE"""),-2.96)</f>
        <v>-2.96</v>
      </c>
      <c r="H332" s="1">
        <f ca="1">IFERROR(__xludf.DUMMYFUNCTION("""COMPUTED_VALUE"""),8)</f>
        <v>8</v>
      </c>
      <c r="I332" s="1">
        <f ca="1">IFERROR(__xludf.DUMMYFUNCTION("""COMPUTED_VALUE"""),8)</f>
        <v>8</v>
      </c>
      <c r="J332" s="1">
        <f ca="1">IFERROR(__xludf.DUMMYFUNCTION("""COMPUTED_VALUE"""),7)</f>
        <v>7</v>
      </c>
      <c r="K332" s="1">
        <f ca="1">IFERROR(__xludf.DUMMYFUNCTION("""COMPUTED_VALUE"""),5)</f>
        <v>5</v>
      </c>
      <c r="L332" s="1">
        <f ca="1">IFERROR(__xludf.DUMMYFUNCTION("""COMPUTED_VALUE"""),8)</f>
        <v>8</v>
      </c>
      <c r="M332" s="1">
        <f ca="1">IFERROR(__xludf.DUMMYFUNCTION("""COMPUTED_VALUE"""),7)</f>
        <v>7</v>
      </c>
      <c r="N332" s="1">
        <f ca="1">IFERROR(__xludf.DUMMYFUNCTION("""COMPUTED_VALUE"""),2134)</f>
        <v>2134</v>
      </c>
      <c r="O332" s="1">
        <f ca="1">IFERROR(__xludf.DUMMYFUNCTION("""COMPUTED_VALUE"""),2032)</f>
        <v>2032</v>
      </c>
      <c r="P332" s="1">
        <f ca="1">IFERROR(__xludf.DUMMYFUNCTION("""COMPUTED_VALUE"""),1220)</f>
        <v>1220</v>
      </c>
      <c r="Q332" s="1">
        <f ca="1">IFERROR(__xludf.DUMMYFUNCTION("""COMPUTED_VALUE"""),744)</f>
        <v>744</v>
      </c>
      <c r="R332" s="1">
        <f ca="1">IFERROR(__xludf.DUMMYFUNCTION("""COMPUTED_VALUE"""),1680)</f>
        <v>1680</v>
      </c>
      <c r="S332" s="1">
        <f ca="1">IFERROR(__xludf.DUMMYFUNCTION("""COMPUTED_VALUE"""),0.443)</f>
        <v>0.443</v>
      </c>
      <c r="T332" s="1">
        <f ca="1">IFERROR(__xludf.DUMMYFUNCTION("""COMPUTED_VALUE"""),170)</f>
        <v>170</v>
      </c>
      <c r="U332" s="1">
        <f ca="1">IFERROR(__xludf.DUMMYFUNCTION("""COMPUTED_VALUE"""),502)</f>
        <v>502</v>
      </c>
      <c r="V332" s="1">
        <f ca="1">IFERROR(__xludf.DUMMYFUNCTION("""COMPUTED_VALUE"""),0.339)</f>
        <v>0.33900000000000002</v>
      </c>
      <c r="W332" s="1">
        <f ca="1">IFERROR(__xludf.DUMMYFUNCTION("""COMPUTED_VALUE"""),476)</f>
        <v>476</v>
      </c>
      <c r="X332" s="1">
        <f ca="1">IFERROR(__xludf.DUMMYFUNCTION("""COMPUTED_VALUE"""),688)</f>
        <v>688</v>
      </c>
      <c r="Y332" s="1">
        <f ca="1">IFERROR(__xludf.DUMMYFUNCTION("""COMPUTED_VALUE"""),0.692)</f>
        <v>0.69199999999999995</v>
      </c>
      <c r="Z332" s="1">
        <f ca="1">IFERROR(__xludf.DUMMYFUNCTION("""COMPUTED_VALUE"""),366)</f>
        <v>366</v>
      </c>
      <c r="AA332" s="1">
        <f ca="1">IFERROR(__xludf.DUMMYFUNCTION("""COMPUTED_VALUE"""),1117)</f>
        <v>1117</v>
      </c>
      <c r="AB332" s="1">
        <f ca="1">IFERROR(__xludf.DUMMYFUNCTION("""COMPUTED_VALUE"""),339)</f>
        <v>339</v>
      </c>
      <c r="AC332" s="1">
        <f ca="1">IFERROR(__xludf.DUMMYFUNCTION("""COMPUTED_VALUE"""),201)</f>
        <v>201</v>
      </c>
      <c r="AD332" s="1">
        <f ca="1">IFERROR(__xludf.DUMMYFUNCTION("""COMPUTED_VALUE"""),102)</f>
        <v>102</v>
      </c>
      <c r="AE332" s="1">
        <f ca="1">IFERROR(__xludf.DUMMYFUNCTION("""COMPUTED_VALUE"""),452)</f>
        <v>452</v>
      </c>
      <c r="AF332" s="1">
        <f ca="1">IFERROR(__xludf.DUMMYFUNCTION("""COMPUTED_VALUE"""),633)</f>
        <v>633</v>
      </c>
    </row>
    <row r="333" spans="1:32" ht="12.5" x14ac:dyDescent="0.25">
      <c r="A333" s="1" t="str">
        <f ca="1">IFERROR(__xludf.DUMMYFUNCTION("""COMPUTED_VALUE"""),"Tennessee Tech")</f>
        <v>Tennessee Tech</v>
      </c>
      <c r="B333" s="1">
        <f ca="1">IFERROR(__xludf.DUMMYFUNCTION("""COMPUTED_VALUE"""),32)</f>
        <v>32</v>
      </c>
      <c r="C333" s="1">
        <f ca="1">IFERROR(__xludf.DUMMYFUNCTION("""COMPUTED_VALUE"""),12)</f>
        <v>12</v>
      </c>
      <c r="D333" s="1">
        <f ca="1">IFERROR(__xludf.DUMMYFUNCTION("""COMPUTED_VALUE"""),20)</f>
        <v>20</v>
      </c>
      <c r="E333" s="1">
        <f ca="1">IFERROR(__xludf.DUMMYFUNCTION("""COMPUTED_VALUE"""),0.375)</f>
        <v>0.375</v>
      </c>
      <c r="F333" s="1">
        <f ca="1">IFERROR(__xludf.DUMMYFUNCTION("""COMPUTED_VALUE"""),-7.6)</f>
        <v>-7.6</v>
      </c>
      <c r="G333" s="1">
        <f ca="1">IFERROR(__xludf.DUMMYFUNCTION("""COMPUTED_VALUE"""),-4.17)</f>
        <v>-4.17</v>
      </c>
      <c r="H333" s="1">
        <f ca="1">IFERROR(__xludf.DUMMYFUNCTION("""COMPUTED_VALUE"""),8)</f>
        <v>8</v>
      </c>
      <c r="I333" s="1">
        <f ca="1">IFERROR(__xludf.DUMMYFUNCTION("""COMPUTED_VALUE"""),8)</f>
        <v>8</v>
      </c>
      <c r="J333" s="1">
        <f ca="1">IFERROR(__xludf.DUMMYFUNCTION("""COMPUTED_VALUE"""),7)</f>
        <v>7</v>
      </c>
      <c r="K333" s="1">
        <f ca="1">IFERROR(__xludf.DUMMYFUNCTION("""COMPUTED_VALUE"""),8)</f>
        <v>8</v>
      </c>
      <c r="L333" s="1">
        <f ca="1">IFERROR(__xludf.DUMMYFUNCTION("""COMPUTED_VALUE"""),5)</f>
        <v>5</v>
      </c>
      <c r="M333" s="1">
        <f ca="1">IFERROR(__xludf.DUMMYFUNCTION("""COMPUTED_VALUE"""),11)</f>
        <v>11</v>
      </c>
      <c r="N333" s="1">
        <f ca="1">IFERROR(__xludf.DUMMYFUNCTION("""COMPUTED_VALUE"""),2317)</f>
        <v>2317</v>
      </c>
      <c r="O333" s="1">
        <f ca="1">IFERROR(__xludf.DUMMYFUNCTION("""COMPUTED_VALUE"""),2340)</f>
        <v>2340</v>
      </c>
      <c r="P333" s="1">
        <f ca="1">IFERROR(__xludf.DUMMYFUNCTION("""COMPUTED_VALUE"""),1300)</f>
        <v>1300</v>
      </c>
      <c r="Q333" s="1">
        <f ca="1">IFERROR(__xludf.DUMMYFUNCTION("""COMPUTED_VALUE"""),785)</f>
        <v>785</v>
      </c>
      <c r="R333" s="1">
        <f ca="1">IFERROR(__xludf.DUMMYFUNCTION("""COMPUTED_VALUE"""),1860)</f>
        <v>1860</v>
      </c>
      <c r="S333" s="1">
        <f ca="1">IFERROR(__xludf.DUMMYFUNCTION("""COMPUTED_VALUE"""),0.422)</f>
        <v>0.42199999999999999</v>
      </c>
      <c r="T333" s="1">
        <f ca="1">IFERROR(__xludf.DUMMYFUNCTION("""COMPUTED_VALUE"""),241)</f>
        <v>241</v>
      </c>
      <c r="U333" s="1">
        <f ca="1">IFERROR(__xludf.DUMMYFUNCTION("""COMPUTED_VALUE"""),742)</f>
        <v>742</v>
      </c>
      <c r="V333" s="1">
        <f ca="1">IFERROR(__xludf.DUMMYFUNCTION("""COMPUTED_VALUE"""),0.325)</f>
        <v>0.32500000000000001</v>
      </c>
      <c r="W333" s="1">
        <f ca="1">IFERROR(__xludf.DUMMYFUNCTION("""COMPUTED_VALUE"""),506)</f>
        <v>506</v>
      </c>
      <c r="X333" s="1">
        <f ca="1">IFERROR(__xludf.DUMMYFUNCTION("""COMPUTED_VALUE"""),715)</f>
        <v>715</v>
      </c>
      <c r="Y333" s="1">
        <f ca="1">IFERROR(__xludf.DUMMYFUNCTION("""COMPUTED_VALUE"""),0.708)</f>
        <v>0.70799999999999996</v>
      </c>
      <c r="Z333" s="1">
        <f ca="1">IFERROR(__xludf.DUMMYFUNCTION("""COMPUTED_VALUE"""),356)</f>
        <v>356</v>
      </c>
      <c r="AA333" s="1">
        <f ca="1">IFERROR(__xludf.DUMMYFUNCTION("""COMPUTED_VALUE"""),1144)</f>
        <v>1144</v>
      </c>
      <c r="AB333" s="1">
        <f ca="1">IFERROR(__xludf.DUMMYFUNCTION("""COMPUTED_VALUE"""),435)</f>
        <v>435</v>
      </c>
      <c r="AC333" s="1">
        <f ca="1">IFERROR(__xludf.DUMMYFUNCTION("""COMPUTED_VALUE"""),213)</f>
        <v>213</v>
      </c>
      <c r="AD333" s="1">
        <f ca="1">IFERROR(__xludf.DUMMYFUNCTION("""COMPUTED_VALUE"""),115)</f>
        <v>115</v>
      </c>
      <c r="AE333" s="1">
        <f ca="1">IFERROR(__xludf.DUMMYFUNCTION("""COMPUTED_VALUE"""),434)</f>
        <v>434</v>
      </c>
      <c r="AF333" s="1">
        <f ca="1">IFERROR(__xludf.DUMMYFUNCTION("""COMPUTED_VALUE"""),675)</f>
        <v>675</v>
      </c>
    </row>
    <row r="334" spans="1:32" ht="12.5" x14ac:dyDescent="0.25">
      <c r="A334" s="1" t="str">
        <f ca="1">IFERROR(__xludf.DUMMYFUNCTION("""COMPUTED_VALUE"""),"Tennessee")</f>
        <v>Tennessee</v>
      </c>
      <c r="B334" s="1">
        <f ca="1">IFERROR(__xludf.DUMMYFUNCTION("""COMPUTED_VALUE"""),32)</f>
        <v>32</v>
      </c>
      <c r="C334" s="1">
        <f ca="1">IFERROR(__xludf.DUMMYFUNCTION("""COMPUTED_VALUE"""),16)</f>
        <v>16</v>
      </c>
      <c r="D334" s="1">
        <f ca="1">IFERROR(__xludf.DUMMYFUNCTION("""COMPUTED_VALUE"""),16)</f>
        <v>16</v>
      </c>
      <c r="E334" s="1">
        <f ca="1">IFERROR(__xludf.DUMMYFUNCTION("""COMPUTED_VALUE"""),0.5)</f>
        <v>0.5</v>
      </c>
      <c r="F334" s="1">
        <f ca="1">IFERROR(__xludf.DUMMYFUNCTION("""COMPUTED_VALUE"""),11.28)</f>
        <v>11.28</v>
      </c>
      <c r="G334" s="1">
        <f ca="1">IFERROR(__xludf.DUMMYFUNCTION("""COMPUTED_VALUE"""),10.18)</f>
        <v>10.18</v>
      </c>
      <c r="H334" s="1">
        <f ca="1">IFERROR(__xludf.DUMMYFUNCTION("""COMPUTED_VALUE"""),8)</f>
        <v>8</v>
      </c>
      <c r="I334" s="1">
        <f ca="1">IFERROR(__xludf.DUMMYFUNCTION("""COMPUTED_VALUE"""),10)</f>
        <v>10</v>
      </c>
      <c r="J334" s="1">
        <f ca="1">IFERROR(__xludf.DUMMYFUNCTION("""COMPUTED_VALUE"""),11)</f>
        <v>11</v>
      </c>
      <c r="K334" s="1">
        <f ca="1">IFERROR(__xludf.DUMMYFUNCTION("""COMPUTED_VALUE"""),6)</f>
        <v>6</v>
      </c>
      <c r="L334" s="1">
        <f ca="1">IFERROR(__xludf.DUMMYFUNCTION("""COMPUTED_VALUE"""),4)</f>
        <v>4</v>
      </c>
      <c r="M334" s="1">
        <f ca="1">IFERROR(__xludf.DUMMYFUNCTION("""COMPUTED_VALUE"""),7)</f>
        <v>7</v>
      </c>
      <c r="N334" s="1">
        <f ca="1">IFERROR(__xludf.DUMMYFUNCTION("""COMPUTED_VALUE"""),2383)</f>
        <v>2383</v>
      </c>
      <c r="O334" s="1">
        <f ca="1">IFERROR(__xludf.DUMMYFUNCTION("""COMPUTED_VALUE"""),2335)</f>
        <v>2335</v>
      </c>
      <c r="P334" s="1">
        <f ca="1">IFERROR(__xludf.DUMMYFUNCTION("""COMPUTED_VALUE"""),1285)</f>
        <v>1285</v>
      </c>
      <c r="Q334" s="1">
        <f ca="1">IFERROR(__xludf.DUMMYFUNCTION("""COMPUTED_VALUE"""),803)</f>
        <v>803</v>
      </c>
      <c r="R334" s="1">
        <f ca="1">IFERROR(__xludf.DUMMYFUNCTION("""COMPUTED_VALUE"""),1903)</f>
        <v>1903</v>
      </c>
      <c r="S334" s="1">
        <f ca="1">IFERROR(__xludf.DUMMYFUNCTION("""COMPUTED_VALUE"""),0.422)</f>
        <v>0.42199999999999999</v>
      </c>
      <c r="T334" s="1">
        <f ca="1">IFERROR(__xludf.DUMMYFUNCTION("""COMPUTED_VALUE"""),189)</f>
        <v>189</v>
      </c>
      <c r="U334" s="1">
        <f ca="1">IFERROR(__xludf.DUMMYFUNCTION("""COMPUTED_VALUE"""),579)</f>
        <v>579</v>
      </c>
      <c r="V334" s="1">
        <f ca="1">IFERROR(__xludf.DUMMYFUNCTION("""COMPUTED_VALUE"""),0.326)</f>
        <v>0.32600000000000001</v>
      </c>
      <c r="W334" s="1">
        <f ca="1">IFERROR(__xludf.DUMMYFUNCTION("""COMPUTED_VALUE"""),588)</f>
        <v>588</v>
      </c>
      <c r="X334" s="1">
        <f ca="1">IFERROR(__xludf.DUMMYFUNCTION("""COMPUTED_VALUE"""),807)</f>
        <v>807</v>
      </c>
      <c r="Y334" s="1">
        <f ca="1">IFERROR(__xludf.DUMMYFUNCTION("""COMPUTED_VALUE"""),0.729)</f>
        <v>0.72899999999999998</v>
      </c>
      <c r="Z334" s="1">
        <f ca="1">IFERROR(__xludf.DUMMYFUNCTION("""COMPUTED_VALUE"""),388)</f>
        <v>388</v>
      </c>
      <c r="AA334" s="1">
        <f ca="1">IFERROR(__xludf.DUMMYFUNCTION("""COMPUTED_VALUE"""),1206)</f>
        <v>1206</v>
      </c>
      <c r="AB334" s="1">
        <f ca="1">IFERROR(__xludf.DUMMYFUNCTION("""COMPUTED_VALUE"""),441)</f>
        <v>441</v>
      </c>
      <c r="AC334" s="1">
        <f ca="1">IFERROR(__xludf.DUMMYFUNCTION("""COMPUTED_VALUE"""),175)</f>
        <v>175</v>
      </c>
      <c r="AD334" s="1">
        <f ca="1">IFERROR(__xludf.DUMMYFUNCTION("""COMPUTED_VALUE"""),146)</f>
        <v>146</v>
      </c>
      <c r="AE334" s="1">
        <f ca="1">IFERROR(__xludf.DUMMYFUNCTION("""COMPUTED_VALUE"""),399)</f>
        <v>399</v>
      </c>
      <c r="AF334" s="1">
        <f ca="1">IFERROR(__xludf.DUMMYFUNCTION("""COMPUTED_VALUE"""),670)</f>
        <v>670</v>
      </c>
    </row>
    <row r="335" spans="1:32" ht="12.5" x14ac:dyDescent="0.25">
      <c r="A335" s="1" t="str">
        <f ca="1">IFERROR(__xludf.DUMMYFUNCTION("""COMPUTED_VALUE"""),"Texas A&amp;M-Corpus Christi")</f>
        <v>Texas A&amp;M-Corpus Christi</v>
      </c>
      <c r="B335" s="1">
        <f ca="1">IFERROR(__xludf.DUMMYFUNCTION("""COMPUTED_VALUE"""),36)</f>
        <v>36</v>
      </c>
      <c r="C335" s="1">
        <f ca="1">IFERROR(__xludf.DUMMYFUNCTION("""COMPUTED_VALUE"""),24)</f>
        <v>24</v>
      </c>
      <c r="D335" s="1">
        <f ca="1">IFERROR(__xludf.DUMMYFUNCTION("""COMPUTED_VALUE"""),12)</f>
        <v>12</v>
      </c>
      <c r="E335" s="1">
        <f ca="1">IFERROR(__xludf.DUMMYFUNCTION("""COMPUTED_VALUE"""),0.667)</f>
        <v>0.66700000000000004</v>
      </c>
      <c r="F335" s="1">
        <f ca="1">IFERROR(__xludf.DUMMYFUNCTION("""COMPUTED_VALUE"""),-2.97)</f>
        <v>-2.97</v>
      </c>
      <c r="G335" s="1">
        <f ca="1">IFERROR(__xludf.DUMMYFUNCTION("""COMPUTED_VALUE"""),-5.79)</f>
        <v>-5.79</v>
      </c>
      <c r="H335" s="1">
        <f ca="1">IFERROR(__xludf.DUMMYFUNCTION("""COMPUTED_VALUE"""),12)</f>
        <v>12</v>
      </c>
      <c r="I335" s="1">
        <f ca="1">IFERROR(__xludf.DUMMYFUNCTION("""COMPUTED_VALUE"""),6)</f>
        <v>6</v>
      </c>
      <c r="J335" s="1">
        <f ca="1">IFERROR(__xludf.DUMMYFUNCTION("""COMPUTED_VALUE"""),16)</f>
        <v>16</v>
      </c>
      <c r="K335" s="1">
        <f ca="1">IFERROR(__xludf.DUMMYFUNCTION("""COMPUTED_VALUE"""),2)</f>
        <v>2</v>
      </c>
      <c r="L335" s="1">
        <f ca="1">IFERROR(__xludf.DUMMYFUNCTION("""COMPUTED_VALUE"""),7)</f>
        <v>7</v>
      </c>
      <c r="M335" s="1">
        <f ca="1">IFERROR(__xludf.DUMMYFUNCTION("""COMPUTED_VALUE"""),9)</f>
        <v>9</v>
      </c>
      <c r="N335" s="1">
        <f ca="1">IFERROR(__xludf.DUMMYFUNCTION("""COMPUTED_VALUE"""),2715)</f>
        <v>2715</v>
      </c>
      <c r="O335" s="1">
        <f ca="1">IFERROR(__xludf.DUMMYFUNCTION("""COMPUTED_VALUE"""),2574)</f>
        <v>2574</v>
      </c>
      <c r="P335" s="1">
        <f ca="1">IFERROR(__xludf.DUMMYFUNCTION("""COMPUTED_VALUE"""),1455)</f>
        <v>1455</v>
      </c>
      <c r="Q335" s="1">
        <f ca="1">IFERROR(__xludf.DUMMYFUNCTION("""COMPUTED_VALUE"""),974)</f>
        <v>974</v>
      </c>
      <c r="R335" s="1">
        <f ca="1">IFERROR(__xludf.DUMMYFUNCTION("""COMPUTED_VALUE"""),2071)</f>
        <v>2071</v>
      </c>
      <c r="S335" s="1">
        <f ca="1">IFERROR(__xludf.DUMMYFUNCTION("""COMPUTED_VALUE"""),0.47)</f>
        <v>0.47</v>
      </c>
      <c r="T335" s="1">
        <f ca="1">IFERROR(__xludf.DUMMYFUNCTION("""COMPUTED_VALUE"""),195)</f>
        <v>195</v>
      </c>
      <c r="U335" s="1">
        <f ca="1">IFERROR(__xludf.DUMMYFUNCTION("""COMPUTED_VALUE"""),588)</f>
        <v>588</v>
      </c>
      <c r="V335" s="1">
        <f ca="1">IFERROR(__xludf.DUMMYFUNCTION("""COMPUTED_VALUE"""),0.332)</f>
        <v>0.33200000000000002</v>
      </c>
      <c r="W335" s="1">
        <f ca="1">IFERROR(__xludf.DUMMYFUNCTION("""COMPUTED_VALUE"""),572)</f>
        <v>572</v>
      </c>
      <c r="X335" s="1">
        <f ca="1">IFERROR(__xludf.DUMMYFUNCTION("""COMPUTED_VALUE"""),792)</f>
        <v>792</v>
      </c>
      <c r="Y335" s="1">
        <f ca="1">IFERROR(__xludf.DUMMYFUNCTION("""COMPUTED_VALUE"""),0.722)</f>
        <v>0.72199999999999998</v>
      </c>
      <c r="Z335" s="1">
        <f ca="1">IFERROR(__xludf.DUMMYFUNCTION("""COMPUTED_VALUE"""),368)</f>
        <v>368</v>
      </c>
      <c r="AA335" s="1">
        <f ca="1">IFERROR(__xludf.DUMMYFUNCTION("""COMPUTED_VALUE"""),1227)</f>
        <v>1227</v>
      </c>
      <c r="AB335" s="1">
        <f ca="1">IFERROR(__xludf.DUMMYFUNCTION("""COMPUTED_VALUE"""),486)</f>
        <v>486</v>
      </c>
      <c r="AC335" s="1">
        <f ca="1">IFERROR(__xludf.DUMMYFUNCTION("""COMPUTED_VALUE"""),337)</f>
        <v>337</v>
      </c>
      <c r="AD335" s="1">
        <f ca="1">IFERROR(__xludf.DUMMYFUNCTION("""COMPUTED_VALUE"""),142)</f>
        <v>142</v>
      </c>
      <c r="AE335" s="1">
        <f ca="1">IFERROR(__xludf.DUMMYFUNCTION("""COMPUTED_VALUE"""),485)</f>
        <v>485</v>
      </c>
      <c r="AF335" s="1">
        <f ca="1">IFERROR(__xludf.DUMMYFUNCTION("""COMPUTED_VALUE"""),703)</f>
        <v>703</v>
      </c>
    </row>
    <row r="336" spans="1:32" ht="12.5" x14ac:dyDescent="0.25">
      <c r="A336" s="1" t="str">
        <f ca="1">IFERROR(__xludf.DUMMYFUNCTION("""COMPUTED_VALUE"""),"Texas A&amp;M")</f>
        <v>Texas A&amp;M</v>
      </c>
      <c r="B336" s="1">
        <f ca="1">IFERROR(__xludf.DUMMYFUNCTION("""COMPUTED_VALUE"""),31)</f>
        <v>31</v>
      </c>
      <c r="C336" s="1">
        <f ca="1">IFERROR(__xludf.DUMMYFUNCTION("""COMPUTED_VALUE"""),16)</f>
        <v>16</v>
      </c>
      <c r="D336" s="1">
        <f ca="1">IFERROR(__xludf.DUMMYFUNCTION("""COMPUTED_VALUE"""),15)</f>
        <v>15</v>
      </c>
      <c r="E336" s="1">
        <f ca="1">IFERROR(__xludf.DUMMYFUNCTION("""COMPUTED_VALUE"""),0.516)</f>
        <v>0.51600000000000001</v>
      </c>
      <c r="F336" s="1">
        <f ca="1">IFERROR(__xludf.DUMMYFUNCTION("""COMPUTED_VALUE"""),10.36)</f>
        <v>10.36</v>
      </c>
      <c r="G336" s="1">
        <f ca="1">IFERROR(__xludf.DUMMYFUNCTION("""COMPUTED_VALUE"""),7.97)</f>
        <v>7.97</v>
      </c>
      <c r="H336" s="1">
        <f ca="1">IFERROR(__xludf.DUMMYFUNCTION("""COMPUTED_VALUE"""),8)</f>
        <v>8</v>
      </c>
      <c r="I336" s="1">
        <f ca="1">IFERROR(__xludf.DUMMYFUNCTION("""COMPUTED_VALUE"""),10)</f>
        <v>10</v>
      </c>
      <c r="J336" s="1">
        <f ca="1">IFERROR(__xludf.DUMMYFUNCTION("""COMPUTED_VALUE"""),11)</f>
        <v>11</v>
      </c>
      <c r="K336" s="1">
        <f ca="1">IFERROR(__xludf.DUMMYFUNCTION("""COMPUTED_VALUE"""),5)</f>
        <v>5</v>
      </c>
      <c r="L336" s="1">
        <f ca="1">IFERROR(__xludf.DUMMYFUNCTION("""COMPUTED_VALUE"""),3)</f>
        <v>3</v>
      </c>
      <c r="M336" s="1">
        <f ca="1">IFERROR(__xludf.DUMMYFUNCTION("""COMPUTED_VALUE"""),7)</f>
        <v>7</v>
      </c>
      <c r="N336" s="1">
        <f ca="1">IFERROR(__xludf.DUMMYFUNCTION("""COMPUTED_VALUE"""),2176)</f>
        <v>2176</v>
      </c>
      <c r="O336" s="1">
        <f ca="1">IFERROR(__xludf.DUMMYFUNCTION("""COMPUTED_VALUE"""),2102)</f>
        <v>2102</v>
      </c>
      <c r="P336" s="1">
        <f ca="1">IFERROR(__xludf.DUMMYFUNCTION("""COMPUTED_VALUE"""),1240)</f>
        <v>1240</v>
      </c>
      <c r="Q336" s="1">
        <f ca="1">IFERROR(__xludf.DUMMYFUNCTION("""COMPUTED_VALUE"""),804)</f>
        <v>804</v>
      </c>
      <c r="R336" s="1">
        <f ca="1">IFERROR(__xludf.DUMMYFUNCTION("""COMPUTED_VALUE"""),1754)</f>
        <v>1754</v>
      </c>
      <c r="S336" s="1">
        <f ca="1">IFERROR(__xludf.DUMMYFUNCTION("""COMPUTED_VALUE"""),0.458)</f>
        <v>0.45800000000000002</v>
      </c>
      <c r="T336" s="1">
        <f ca="1">IFERROR(__xludf.DUMMYFUNCTION("""COMPUTED_VALUE"""),189)</f>
        <v>189</v>
      </c>
      <c r="U336" s="1">
        <f ca="1">IFERROR(__xludf.DUMMYFUNCTION("""COMPUTED_VALUE"""),574)</f>
        <v>574</v>
      </c>
      <c r="V336" s="1">
        <f ca="1">IFERROR(__xludf.DUMMYFUNCTION("""COMPUTED_VALUE"""),0.329)</f>
        <v>0.32900000000000001</v>
      </c>
      <c r="W336" s="1">
        <f ca="1">IFERROR(__xludf.DUMMYFUNCTION("""COMPUTED_VALUE"""),379)</f>
        <v>379</v>
      </c>
      <c r="X336" s="1">
        <f ca="1">IFERROR(__xludf.DUMMYFUNCTION("""COMPUTED_VALUE"""),584)</f>
        <v>584</v>
      </c>
      <c r="Y336" s="1">
        <f ca="1">IFERROR(__xludf.DUMMYFUNCTION("""COMPUTED_VALUE"""),0.649)</f>
        <v>0.64900000000000002</v>
      </c>
      <c r="Z336" s="1">
        <f ca="1">IFERROR(__xludf.DUMMYFUNCTION("""COMPUTED_VALUE"""),401)</f>
        <v>401</v>
      </c>
      <c r="AA336" s="1">
        <f ca="1">IFERROR(__xludf.DUMMYFUNCTION("""COMPUTED_VALUE"""),1193)</f>
        <v>1193</v>
      </c>
      <c r="AB336" s="1">
        <f ca="1">IFERROR(__xludf.DUMMYFUNCTION("""COMPUTED_VALUE"""),489)</f>
        <v>489</v>
      </c>
      <c r="AC336" s="1">
        <f ca="1">IFERROR(__xludf.DUMMYFUNCTION("""COMPUTED_VALUE"""),186)</f>
        <v>186</v>
      </c>
      <c r="AD336" s="1">
        <f ca="1">IFERROR(__xludf.DUMMYFUNCTION("""COMPUTED_VALUE"""),173)</f>
        <v>173</v>
      </c>
      <c r="AE336" s="1">
        <f ca="1">IFERROR(__xludf.DUMMYFUNCTION("""COMPUTED_VALUE"""),439)</f>
        <v>439</v>
      </c>
      <c r="AF336" s="1">
        <f ca="1">IFERROR(__xludf.DUMMYFUNCTION("""COMPUTED_VALUE"""),511)</f>
        <v>511</v>
      </c>
    </row>
    <row r="337" spans="1:32" ht="12.5" x14ac:dyDescent="0.25">
      <c r="A337" s="1" t="str">
        <f ca="1">IFERROR(__xludf.DUMMYFUNCTION("""COMPUTED_VALUE"""),"Texas-Arlington")</f>
        <v>Texas-Arlington</v>
      </c>
      <c r="B337" s="1">
        <f ca="1">IFERROR(__xludf.DUMMYFUNCTION("""COMPUTED_VALUE"""),36)</f>
        <v>36</v>
      </c>
      <c r="C337" s="1">
        <f ca="1">IFERROR(__xludf.DUMMYFUNCTION("""COMPUTED_VALUE"""),27)</f>
        <v>27</v>
      </c>
      <c r="D337" s="1">
        <f ca="1">IFERROR(__xludf.DUMMYFUNCTION("""COMPUTED_VALUE"""),9)</f>
        <v>9</v>
      </c>
      <c r="E337" s="1">
        <f ca="1">IFERROR(__xludf.DUMMYFUNCTION("""COMPUTED_VALUE"""),0.75)</f>
        <v>0.75</v>
      </c>
      <c r="F337" s="1">
        <f ca="1">IFERROR(__xludf.DUMMYFUNCTION("""COMPUTED_VALUE"""),5.92)</f>
        <v>5.92</v>
      </c>
      <c r="G337" s="1">
        <f ca="1">IFERROR(__xludf.DUMMYFUNCTION("""COMPUTED_VALUE"""),-0.87)</f>
        <v>-0.87</v>
      </c>
      <c r="H337" s="1">
        <f ca="1">IFERROR(__xludf.DUMMYFUNCTION("""COMPUTED_VALUE"""),14)</f>
        <v>14</v>
      </c>
      <c r="I337" s="1">
        <f ca="1">IFERROR(__xludf.DUMMYFUNCTION("""COMPUTED_VALUE"""),4)</f>
        <v>4</v>
      </c>
      <c r="J337" s="1">
        <f ca="1">IFERROR(__xludf.DUMMYFUNCTION("""COMPUTED_VALUE"""),14)</f>
        <v>14</v>
      </c>
      <c r="K337" s="1">
        <f ca="1">IFERROR(__xludf.DUMMYFUNCTION("""COMPUTED_VALUE"""),1)</f>
        <v>1</v>
      </c>
      <c r="L337" s="1">
        <f ca="1">IFERROR(__xludf.DUMMYFUNCTION("""COMPUTED_VALUE"""),12)</f>
        <v>12</v>
      </c>
      <c r="M337" s="1">
        <f ca="1">IFERROR(__xludf.DUMMYFUNCTION("""COMPUTED_VALUE"""),7)</f>
        <v>7</v>
      </c>
      <c r="N337" s="1">
        <f ca="1">IFERROR(__xludf.DUMMYFUNCTION("""COMPUTED_VALUE"""),2818)</f>
        <v>2818</v>
      </c>
      <c r="O337" s="1">
        <f ca="1">IFERROR(__xludf.DUMMYFUNCTION("""COMPUTED_VALUE"""),2516)</f>
        <v>2516</v>
      </c>
      <c r="P337" s="1">
        <f ca="1">IFERROR(__xludf.DUMMYFUNCTION("""COMPUTED_VALUE"""),1440)</f>
        <v>1440</v>
      </c>
      <c r="Q337" s="1">
        <f ca="1">IFERROR(__xludf.DUMMYFUNCTION("""COMPUTED_VALUE"""),999)</f>
        <v>999</v>
      </c>
      <c r="R337" s="1">
        <f ca="1">IFERROR(__xludf.DUMMYFUNCTION("""COMPUTED_VALUE"""),2168)</f>
        <v>2168</v>
      </c>
      <c r="S337" s="1">
        <f ca="1">IFERROR(__xludf.DUMMYFUNCTION("""COMPUTED_VALUE"""),0.461)</f>
        <v>0.46100000000000002</v>
      </c>
      <c r="T337" s="1">
        <f ca="1">IFERROR(__xludf.DUMMYFUNCTION("""COMPUTED_VALUE"""),310)</f>
        <v>310</v>
      </c>
      <c r="U337" s="1">
        <f ca="1">IFERROR(__xludf.DUMMYFUNCTION("""COMPUTED_VALUE"""),920)</f>
        <v>920</v>
      </c>
      <c r="V337" s="1">
        <f ca="1">IFERROR(__xludf.DUMMYFUNCTION("""COMPUTED_VALUE"""),0.337)</f>
        <v>0.33700000000000002</v>
      </c>
      <c r="W337" s="1">
        <f ca="1">IFERROR(__xludf.DUMMYFUNCTION("""COMPUTED_VALUE"""),510)</f>
        <v>510</v>
      </c>
      <c r="X337" s="1">
        <f ca="1">IFERROR(__xludf.DUMMYFUNCTION("""COMPUTED_VALUE"""),749)</f>
        <v>749</v>
      </c>
      <c r="Y337" s="1">
        <f ca="1">IFERROR(__xludf.DUMMYFUNCTION("""COMPUTED_VALUE"""),0.681)</f>
        <v>0.68100000000000005</v>
      </c>
      <c r="Z337" s="1">
        <f ca="1">IFERROR(__xludf.DUMMYFUNCTION("""COMPUTED_VALUE"""),430)</f>
        <v>430</v>
      </c>
      <c r="AA337" s="1">
        <f ca="1">IFERROR(__xludf.DUMMYFUNCTION("""COMPUTED_VALUE"""),1384)</f>
        <v>1384</v>
      </c>
      <c r="AB337" s="1">
        <f ca="1">IFERROR(__xludf.DUMMYFUNCTION("""COMPUTED_VALUE"""),566)</f>
        <v>566</v>
      </c>
      <c r="AC337" s="1">
        <f ca="1">IFERROR(__xludf.DUMMYFUNCTION("""COMPUTED_VALUE"""),266)</f>
        <v>266</v>
      </c>
      <c r="AD337" s="1">
        <f ca="1">IFERROR(__xludf.DUMMYFUNCTION("""COMPUTED_VALUE"""),81)</f>
        <v>81</v>
      </c>
      <c r="AE337" s="1">
        <f ca="1">IFERROR(__xludf.DUMMYFUNCTION("""COMPUTED_VALUE"""),472)</f>
        <v>472</v>
      </c>
      <c r="AF337" s="1">
        <f ca="1">IFERROR(__xludf.DUMMYFUNCTION("""COMPUTED_VALUE"""),691)</f>
        <v>691</v>
      </c>
    </row>
    <row r="338" spans="1:32" ht="12.5" x14ac:dyDescent="0.25">
      <c r="A338" s="1" t="str">
        <f ca="1">IFERROR(__xludf.DUMMYFUNCTION("""COMPUTED_VALUE"""),"Texas Christian")</f>
        <v>Texas Christian</v>
      </c>
      <c r="B338" s="1">
        <f ca="1">IFERROR(__xludf.DUMMYFUNCTION("""COMPUTED_VALUE"""),39)</f>
        <v>39</v>
      </c>
      <c r="C338" s="1">
        <f ca="1">IFERROR(__xludf.DUMMYFUNCTION("""COMPUTED_VALUE"""),24)</f>
        <v>24</v>
      </c>
      <c r="D338" s="1">
        <f ca="1">IFERROR(__xludf.DUMMYFUNCTION("""COMPUTED_VALUE"""),15)</f>
        <v>15</v>
      </c>
      <c r="E338" s="1">
        <f ca="1">IFERROR(__xludf.DUMMYFUNCTION("""COMPUTED_VALUE"""),0.615)</f>
        <v>0.61499999999999999</v>
      </c>
      <c r="F338" s="1">
        <f ca="1">IFERROR(__xludf.DUMMYFUNCTION("""COMPUTED_VALUE"""),15.64)</f>
        <v>15.64</v>
      </c>
      <c r="G338" s="1">
        <f ca="1">IFERROR(__xludf.DUMMYFUNCTION("""COMPUTED_VALUE"""),10.95)</f>
        <v>10.95</v>
      </c>
      <c r="H338" s="1">
        <f ca="1">IFERROR(__xludf.DUMMYFUNCTION("""COMPUTED_VALUE"""),6)</f>
        <v>6</v>
      </c>
      <c r="I338" s="1">
        <f ca="1">IFERROR(__xludf.DUMMYFUNCTION("""COMPUTED_VALUE"""),12)</f>
        <v>12</v>
      </c>
      <c r="J338" s="1">
        <f ca="1">IFERROR(__xludf.DUMMYFUNCTION("""COMPUTED_VALUE"""),15)</f>
        <v>15</v>
      </c>
      <c r="K338" s="1">
        <f ca="1">IFERROR(__xludf.DUMMYFUNCTION("""COMPUTED_VALUE"""),6)</f>
        <v>6</v>
      </c>
      <c r="L338" s="1">
        <f ca="1">IFERROR(__xludf.DUMMYFUNCTION("""COMPUTED_VALUE"""),4)</f>
        <v>4</v>
      </c>
      <c r="M338" s="1">
        <f ca="1">IFERROR(__xludf.DUMMYFUNCTION("""COMPUTED_VALUE"""),8)</f>
        <v>8</v>
      </c>
      <c r="N338" s="1">
        <f ca="1">IFERROR(__xludf.DUMMYFUNCTION("""COMPUTED_VALUE"""),2914)</f>
        <v>2914</v>
      </c>
      <c r="O338" s="1">
        <f ca="1">IFERROR(__xludf.DUMMYFUNCTION("""COMPUTED_VALUE"""),2718)</f>
        <v>2718</v>
      </c>
      <c r="P338" s="1">
        <f ca="1">IFERROR(__xludf.DUMMYFUNCTION("""COMPUTED_VALUE"""),1570)</f>
        <v>1570</v>
      </c>
      <c r="Q338" s="1">
        <f ca="1">IFERROR(__xludf.DUMMYFUNCTION("""COMPUTED_VALUE"""),1064)</f>
        <v>1064</v>
      </c>
      <c r="R338" s="1">
        <f ca="1">IFERROR(__xludf.DUMMYFUNCTION("""COMPUTED_VALUE"""),2284)</f>
        <v>2284</v>
      </c>
      <c r="S338" s="1">
        <f ca="1">IFERROR(__xludf.DUMMYFUNCTION("""COMPUTED_VALUE"""),0.466)</f>
        <v>0.46600000000000003</v>
      </c>
      <c r="T338" s="1">
        <f ca="1">IFERROR(__xludf.DUMMYFUNCTION("""COMPUTED_VALUE"""),280)</f>
        <v>280</v>
      </c>
      <c r="U338" s="1">
        <f ca="1">IFERROR(__xludf.DUMMYFUNCTION("""COMPUTED_VALUE"""),790)</f>
        <v>790</v>
      </c>
      <c r="V338" s="1">
        <f ca="1">IFERROR(__xludf.DUMMYFUNCTION("""COMPUTED_VALUE"""),0.354)</f>
        <v>0.35399999999999998</v>
      </c>
      <c r="W338" s="1">
        <f ca="1">IFERROR(__xludf.DUMMYFUNCTION("""COMPUTED_VALUE"""),506)</f>
        <v>506</v>
      </c>
      <c r="X338" s="1">
        <f ca="1">IFERROR(__xludf.DUMMYFUNCTION("""COMPUTED_VALUE"""),738)</f>
        <v>738</v>
      </c>
      <c r="Y338" s="1">
        <f ca="1">IFERROR(__xludf.DUMMYFUNCTION("""COMPUTED_VALUE"""),0.686)</f>
        <v>0.68600000000000005</v>
      </c>
      <c r="Z338" s="1">
        <f ca="1">IFERROR(__xludf.DUMMYFUNCTION("""COMPUTED_VALUE"""),453)</f>
        <v>453</v>
      </c>
      <c r="AA338" s="1">
        <f ca="1">IFERROR(__xludf.DUMMYFUNCTION("""COMPUTED_VALUE"""),1404)</f>
        <v>1404</v>
      </c>
      <c r="AB338" s="1">
        <f ca="1">IFERROR(__xludf.DUMMYFUNCTION("""COMPUTED_VALUE"""),661)</f>
        <v>661</v>
      </c>
      <c r="AC338" s="1">
        <f ca="1">IFERROR(__xludf.DUMMYFUNCTION("""COMPUTED_VALUE"""),256)</f>
        <v>256</v>
      </c>
      <c r="AD338" s="1">
        <f ca="1">IFERROR(__xludf.DUMMYFUNCTION("""COMPUTED_VALUE"""),175)</f>
        <v>175</v>
      </c>
      <c r="AE338" s="1">
        <f ca="1">IFERROR(__xludf.DUMMYFUNCTION("""COMPUTED_VALUE"""),504)</f>
        <v>504</v>
      </c>
      <c r="AF338" s="1">
        <f ca="1">IFERROR(__xludf.DUMMYFUNCTION("""COMPUTED_VALUE"""),676)</f>
        <v>676</v>
      </c>
    </row>
    <row r="339" spans="1:32" ht="12.5" x14ac:dyDescent="0.25">
      <c r="A339" s="1" t="str">
        <f ca="1">IFERROR(__xludf.DUMMYFUNCTION("""COMPUTED_VALUE"""),"Texas-El Paso")</f>
        <v>Texas-El Paso</v>
      </c>
      <c r="B339" s="1">
        <f ca="1">IFERROR(__xludf.DUMMYFUNCTION("""COMPUTED_VALUE"""),32)</f>
        <v>32</v>
      </c>
      <c r="C339" s="1">
        <f ca="1">IFERROR(__xludf.DUMMYFUNCTION("""COMPUTED_VALUE"""),15)</f>
        <v>15</v>
      </c>
      <c r="D339" s="1">
        <f ca="1">IFERROR(__xludf.DUMMYFUNCTION("""COMPUTED_VALUE"""),17)</f>
        <v>17</v>
      </c>
      <c r="E339" s="1">
        <f ca="1">IFERROR(__xludf.DUMMYFUNCTION("""COMPUTED_VALUE"""),0.469)</f>
        <v>0.46899999999999997</v>
      </c>
      <c r="F339" s="1">
        <f ca="1">IFERROR(__xludf.DUMMYFUNCTION("""COMPUTED_VALUE"""),-3.13)</f>
        <v>-3.13</v>
      </c>
      <c r="G339" s="1">
        <f ca="1">IFERROR(__xludf.DUMMYFUNCTION("""COMPUTED_VALUE"""),-2.51)</f>
        <v>-2.5099999999999998</v>
      </c>
      <c r="H339" s="1">
        <f ca="1">IFERROR(__xludf.DUMMYFUNCTION("""COMPUTED_VALUE"""),12)</f>
        <v>12</v>
      </c>
      <c r="I339" s="1">
        <f ca="1">IFERROR(__xludf.DUMMYFUNCTION("""COMPUTED_VALUE"""),6)</f>
        <v>6</v>
      </c>
      <c r="J339" s="1">
        <f ca="1">IFERROR(__xludf.DUMMYFUNCTION("""COMPUTED_VALUE"""),8)</f>
        <v>8</v>
      </c>
      <c r="K339" s="1">
        <f ca="1">IFERROR(__xludf.DUMMYFUNCTION("""COMPUTED_VALUE"""),8)</f>
        <v>8</v>
      </c>
      <c r="L339" s="1">
        <f ca="1">IFERROR(__xludf.DUMMYFUNCTION("""COMPUTED_VALUE"""),5)</f>
        <v>5</v>
      </c>
      <c r="M339" s="1">
        <f ca="1">IFERROR(__xludf.DUMMYFUNCTION("""COMPUTED_VALUE"""),6)</f>
        <v>6</v>
      </c>
      <c r="N339" s="1">
        <f ca="1">IFERROR(__xludf.DUMMYFUNCTION("""COMPUTED_VALUE"""),2217)</f>
        <v>2217</v>
      </c>
      <c r="O339" s="1">
        <f ca="1">IFERROR(__xludf.DUMMYFUNCTION("""COMPUTED_VALUE"""),2202)</f>
        <v>2202</v>
      </c>
      <c r="P339" s="1">
        <f ca="1">IFERROR(__xludf.DUMMYFUNCTION("""COMPUTED_VALUE"""),1300)</f>
        <v>1300</v>
      </c>
      <c r="Q339" s="1">
        <f ca="1">IFERROR(__xludf.DUMMYFUNCTION("""COMPUTED_VALUE"""),812)</f>
        <v>812</v>
      </c>
      <c r="R339" s="1">
        <f ca="1">IFERROR(__xludf.DUMMYFUNCTION("""COMPUTED_VALUE"""),1731)</f>
        <v>1731</v>
      </c>
      <c r="S339" s="1">
        <f ca="1">IFERROR(__xludf.DUMMYFUNCTION("""COMPUTED_VALUE"""),0.469)</f>
        <v>0.46899999999999997</v>
      </c>
      <c r="T339" s="1">
        <f ca="1">IFERROR(__xludf.DUMMYFUNCTION("""COMPUTED_VALUE"""),180)</f>
        <v>180</v>
      </c>
      <c r="U339" s="1">
        <f ca="1">IFERROR(__xludf.DUMMYFUNCTION("""COMPUTED_VALUE"""),517)</f>
        <v>517</v>
      </c>
      <c r="V339" s="1">
        <f ca="1">IFERROR(__xludf.DUMMYFUNCTION("""COMPUTED_VALUE"""),0.348)</f>
        <v>0.34799999999999998</v>
      </c>
      <c r="W339" s="1">
        <f ca="1">IFERROR(__xludf.DUMMYFUNCTION("""COMPUTED_VALUE"""),413)</f>
        <v>413</v>
      </c>
      <c r="X339" s="1">
        <f ca="1">IFERROR(__xludf.DUMMYFUNCTION("""COMPUTED_VALUE"""),624)</f>
        <v>624</v>
      </c>
      <c r="Y339" s="1">
        <f ca="1">IFERROR(__xludf.DUMMYFUNCTION("""COMPUTED_VALUE"""),0.662)</f>
        <v>0.66200000000000003</v>
      </c>
      <c r="Z339" s="1">
        <f ca="1">IFERROR(__xludf.DUMMYFUNCTION("""COMPUTED_VALUE"""),235)</f>
        <v>235</v>
      </c>
      <c r="AA339" s="1">
        <f ca="1">IFERROR(__xludf.DUMMYFUNCTION("""COMPUTED_VALUE"""),1101)</f>
        <v>1101</v>
      </c>
      <c r="AB339" s="1">
        <f ca="1">IFERROR(__xludf.DUMMYFUNCTION("""COMPUTED_VALUE"""),463)</f>
        <v>463</v>
      </c>
      <c r="AC339" s="1">
        <f ca="1">IFERROR(__xludf.DUMMYFUNCTION("""COMPUTED_VALUE"""),172)</f>
        <v>172</v>
      </c>
      <c r="AD339" s="1">
        <f ca="1">IFERROR(__xludf.DUMMYFUNCTION("""COMPUTED_VALUE"""),99)</f>
        <v>99</v>
      </c>
      <c r="AE339" s="1">
        <f ca="1">IFERROR(__xludf.DUMMYFUNCTION("""COMPUTED_VALUE"""),427)</f>
        <v>427</v>
      </c>
      <c r="AF339" s="1">
        <f ca="1">IFERROR(__xludf.DUMMYFUNCTION("""COMPUTED_VALUE"""),618)</f>
        <v>618</v>
      </c>
    </row>
    <row r="340" spans="1:32" ht="12.5" x14ac:dyDescent="0.25">
      <c r="A340" s="1" t="str">
        <f ca="1">IFERROR(__xludf.DUMMYFUNCTION("""COMPUTED_VALUE"""),"Texas-Rio Grande Valley")</f>
        <v>Texas-Rio Grande Valley</v>
      </c>
      <c r="B340" s="1">
        <f ca="1">IFERROR(__xludf.DUMMYFUNCTION("""COMPUTED_VALUE"""),32)</f>
        <v>32</v>
      </c>
      <c r="C340" s="1">
        <f ca="1">IFERROR(__xludf.DUMMYFUNCTION("""COMPUTED_VALUE"""),10)</f>
        <v>10</v>
      </c>
      <c r="D340" s="1">
        <f ca="1">IFERROR(__xludf.DUMMYFUNCTION("""COMPUTED_VALUE"""),22)</f>
        <v>22</v>
      </c>
      <c r="E340" s="1">
        <f ca="1">IFERROR(__xludf.DUMMYFUNCTION("""COMPUTED_VALUE"""),0.313)</f>
        <v>0.313</v>
      </c>
      <c r="F340" s="1">
        <f ca="1">IFERROR(__xludf.DUMMYFUNCTION("""COMPUTED_VALUE"""),-11.44)</f>
        <v>-11.44</v>
      </c>
      <c r="G340" s="1">
        <f ca="1">IFERROR(__xludf.DUMMYFUNCTION("""COMPUTED_VALUE"""),-3.68)</f>
        <v>-3.68</v>
      </c>
      <c r="H340" s="1">
        <f ca="1">IFERROR(__xludf.DUMMYFUNCTION("""COMPUTED_VALUE"""),2)</f>
        <v>2</v>
      </c>
      <c r="I340" s="1">
        <f ca="1">IFERROR(__xludf.DUMMYFUNCTION("""COMPUTED_VALUE"""),12)</f>
        <v>12</v>
      </c>
      <c r="J340" s="1">
        <f ca="1">IFERROR(__xludf.DUMMYFUNCTION("""COMPUTED_VALUE"""),7)</f>
        <v>7</v>
      </c>
      <c r="K340" s="1">
        <f ca="1">IFERROR(__xludf.DUMMYFUNCTION("""COMPUTED_VALUE"""),7)</f>
        <v>7</v>
      </c>
      <c r="L340" s="1">
        <f ca="1">IFERROR(__xludf.DUMMYFUNCTION("""COMPUTED_VALUE"""),1)</f>
        <v>1</v>
      </c>
      <c r="M340" s="1">
        <f ca="1">IFERROR(__xludf.DUMMYFUNCTION("""COMPUTED_VALUE"""),14)</f>
        <v>14</v>
      </c>
      <c r="N340" s="1">
        <f ca="1">IFERROR(__xludf.DUMMYFUNCTION("""COMPUTED_VALUE"""),2505)</f>
        <v>2505</v>
      </c>
      <c r="O340" s="1">
        <f ca="1">IFERROR(__xludf.DUMMYFUNCTION("""COMPUTED_VALUE"""),2665)</f>
        <v>2665</v>
      </c>
      <c r="P340" s="1">
        <f ca="1">IFERROR(__xludf.DUMMYFUNCTION("""COMPUTED_VALUE"""),1305)</f>
        <v>1305</v>
      </c>
      <c r="Q340" s="1">
        <f ca="1">IFERROR(__xludf.DUMMYFUNCTION("""COMPUTED_VALUE"""),869)</f>
        <v>869</v>
      </c>
      <c r="R340" s="1">
        <f ca="1">IFERROR(__xludf.DUMMYFUNCTION("""COMPUTED_VALUE"""),2050)</f>
        <v>2050</v>
      </c>
      <c r="S340" s="1">
        <f ca="1">IFERROR(__xludf.DUMMYFUNCTION("""COMPUTED_VALUE"""),0.424)</f>
        <v>0.42399999999999999</v>
      </c>
      <c r="T340" s="1">
        <f ca="1">IFERROR(__xludf.DUMMYFUNCTION("""COMPUTED_VALUE"""),276)</f>
        <v>276</v>
      </c>
      <c r="U340" s="1">
        <f ca="1">IFERROR(__xludf.DUMMYFUNCTION("""COMPUTED_VALUE"""),821)</f>
        <v>821</v>
      </c>
      <c r="V340" s="1">
        <f ca="1">IFERROR(__xludf.DUMMYFUNCTION("""COMPUTED_VALUE"""),0.336)</f>
        <v>0.33600000000000002</v>
      </c>
      <c r="W340" s="1">
        <f ca="1">IFERROR(__xludf.DUMMYFUNCTION("""COMPUTED_VALUE"""),491)</f>
        <v>491</v>
      </c>
      <c r="X340" s="1">
        <f ca="1">IFERROR(__xludf.DUMMYFUNCTION("""COMPUTED_VALUE"""),685)</f>
        <v>685</v>
      </c>
      <c r="Y340" s="1">
        <f ca="1">IFERROR(__xludf.DUMMYFUNCTION("""COMPUTED_VALUE"""),0.717)</f>
        <v>0.71699999999999997</v>
      </c>
      <c r="Z340" s="1">
        <f ca="1">IFERROR(__xludf.DUMMYFUNCTION("""COMPUTED_VALUE"""),382)</f>
        <v>382</v>
      </c>
      <c r="AA340" s="1">
        <f ca="1">IFERROR(__xludf.DUMMYFUNCTION("""COMPUTED_VALUE"""),1180)</f>
        <v>1180</v>
      </c>
      <c r="AB340" s="1">
        <f ca="1">IFERROR(__xludf.DUMMYFUNCTION("""COMPUTED_VALUE"""),484)</f>
        <v>484</v>
      </c>
      <c r="AC340" s="1">
        <f ca="1">IFERROR(__xludf.DUMMYFUNCTION("""COMPUTED_VALUE"""),246)</f>
        <v>246</v>
      </c>
      <c r="AD340" s="1">
        <f ca="1">IFERROR(__xludf.DUMMYFUNCTION("""COMPUTED_VALUE"""),82)</f>
        <v>82</v>
      </c>
      <c r="AE340" s="1">
        <f ca="1">IFERROR(__xludf.DUMMYFUNCTION("""COMPUTED_VALUE"""),507)</f>
        <v>507</v>
      </c>
      <c r="AF340" s="1">
        <f ca="1">IFERROR(__xludf.DUMMYFUNCTION("""COMPUTED_VALUE"""),780)</f>
        <v>780</v>
      </c>
    </row>
    <row r="341" spans="1:32" ht="12.5" x14ac:dyDescent="0.25">
      <c r="A341" s="1" t="str">
        <f ca="1">IFERROR(__xludf.DUMMYFUNCTION("""COMPUTED_VALUE"""),"Texas-San Antonio")</f>
        <v>Texas-San Antonio</v>
      </c>
      <c r="B341" s="1">
        <f ca="1">IFERROR(__xludf.DUMMYFUNCTION("""COMPUTED_VALUE"""),33)</f>
        <v>33</v>
      </c>
      <c r="C341" s="1">
        <f ca="1">IFERROR(__xludf.DUMMYFUNCTION("""COMPUTED_VALUE"""),14)</f>
        <v>14</v>
      </c>
      <c r="D341" s="1">
        <f ca="1">IFERROR(__xludf.DUMMYFUNCTION("""COMPUTED_VALUE"""),19)</f>
        <v>19</v>
      </c>
      <c r="E341" s="1">
        <f ca="1">IFERROR(__xludf.DUMMYFUNCTION("""COMPUTED_VALUE"""),0.424)</f>
        <v>0.42399999999999999</v>
      </c>
      <c r="F341" s="1">
        <f ca="1">IFERROR(__xludf.DUMMYFUNCTION("""COMPUTED_VALUE"""),-7.42)</f>
        <v>-7.42</v>
      </c>
      <c r="G341" s="1">
        <f ca="1">IFERROR(__xludf.DUMMYFUNCTION("""COMPUTED_VALUE"""),-3.03)</f>
        <v>-3.03</v>
      </c>
      <c r="H341" s="1">
        <f ca="1">IFERROR(__xludf.DUMMYFUNCTION("""COMPUTED_VALUE"""),8)</f>
        <v>8</v>
      </c>
      <c r="I341" s="1">
        <f ca="1">IFERROR(__xludf.DUMMYFUNCTION("""COMPUTED_VALUE"""),10)</f>
        <v>10</v>
      </c>
      <c r="J341" s="1">
        <f ca="1">IFERROR(__xludf.DUMMYFUNCTION("""COMPUTED_VALUE"""),11)</f>
        <v>11</v>
      </c>
      <c r="K341" s="1">
        <f ca="1">IFERROR(__xludf.DUMMYFUNCTION("""COMPUTED_VALUE"""),3)</f>
        <v>3</v>
      </c>
      <c r="L341" s="1">
        <f ca="1">IFERROR(__xludf.DUMMYFUNCTION("""COMPUTED_VALUE"""),2)</f>
        <v>2</v>
      </c>
      <c r="M341" s="1">
        <f ca="1">IFERROR(__xludf.DUMMYFUNCTION("""COMPUTED_VALUE"""),15)</f>
        <v>15</v>
      </c>
      <c r="N341" s="1">
        <f ca="1">IFERROR(__xludf.DUMMYFUNCTION("""COMPUTED_VALUE"""),2178)</f>
        <v>2178</v>
      </c>
      <c r="O341" s="1">
        <f ca="1">IFERROR(__xludf.DUMMYFUNCTION("""COMPUTED_VALUE"""),2291)</f>
        <v>2291</v>
      </c>
      <c r="P341" s="1">
        <f ca="1">IFERROR(__xludf.DUMMYFUNCTION("""COMPUTED_VALUE"""),1320)</f>
        <v>1320</v>
      </c>
      <c r="Q341" s="1">
        <f ca="1">IFERROR(__xludf.DUMMYFUNCTION("""COMPUTED_VALUE"""),769)</f>
        <v>769</v>
      </c>
      <c r="R341" s="1">
        <f ca="1">IFERROR(__xludf.DUMMYFUNCTION("""COMPUTED_VALUE"""),1959)</f>
        <v>1959</v>
      </c>
      <c r="S341" s="1">
        <f ca="1">IFERROR(__xludf.DUMMYFUNCTION("""COMPUTED_VALUE"""),0.393)</f>
        <v>0.39300000000000002</v>
      </c>
      <c r="T341" s="1">
        <f ca="1">IFERROR(__xludf.DUMMYFUNCTION("""COMPUTED_VALUE"""),172)</f>
        <v>172</v>
      </c>
      <c r="U341" s="1">
        <f ca="1">IFERROR(__xludf.DUMMYFUNCTION("""COMPUTED_VALUE"""),608)</f>
        <v>608</v>
      </c>
      <c r="V341" s="1">
        <f ca="1">IFERROR(__xludf.DUMMYFUNCTION("""COMPUTED_VALUE"""),0.283)</f>
        <v>0.28299999999999997</v>
      </c>
      <c r="W341" s="1">
        <f ca="1">IFERROR(__xludf.DUMMYFUNCTION("""COMPUTED_VALUE"""),468)</f>
        <v>468</v>
      </c>
      <c r="X341" s="1">
        <f ca="1">IFERROR(__xludf.DUMMYFUNCTION("""COMPUTED_VALUE"""),703)</f>
        <v>703</v>
      </c>
      <c r="Y341" s="1">
        <f ca="1">IFERROR(__xludf.DUMMYFUNCTION("""COMPUTED_VALUE"""),0.666)</f>
        <v>0.66600000000000004</v>
      </c>
      <c r="Z341" s="1">
        <f ca="1">IFERROR(__xludf.DUMMYFUNCTION("""COMPUTED_VALUE"""),425)</f>
        <v>425</v>
      </c>
      <c r="AA341" s="1">
        <f ca="1">IFERROR(__xludf.DUMMYFUNCTION("""COMPUTED_VALUE"""),1293)</f>
        <v>1293</v>
      </c>
      <c r="AB341" s="1">
        <f ca="1">IFERROR(__xludf.DUMMYFUNCTION("""COMPUTED_VALUE"""),357)</f>
        <v>357</v>
      </c>
      <c r="AC341" s="1">
        <f ca="1">IFERROR(__xludf.DUMMYFUNCTION("""COMPUTED_VALUE"""),183)</f>
        <v>183</v>
      </c>
      <c r="AD341" s="1">
        <f ca="1">IFERROR(__xludf.DUMMYFUNCTION("""COMPUTED_VALUE"""),62)</f>
        <v>62</v>
      </c>
      <c r="AE341" s="1">
        <f ca="1">IFERROR(__xludf.DUMMYFUNCTION("""COMPUTED_VALUE"""),418)</f>
        <v>418</v>
      </c>
      <c r="AF341" s="1">
        <f ca="1">IFERROR(__xludf.DUMMYFUNCTION("""COMPUTED_VALUE"""),642)</f>
        <v>642</v>
      </c>
    </row>
    <row r="342" spans="1:32" ht="12.5" x14ac:dyDescent="0.25">
      <c r="A342" s="1" t="str">
        <f ca="1">IFERROR(__xludf.DUMMYFUNCTION("""COMPUTED_VALUE"""),"Texas SouthernNCAA")</f>
        <v>Texas SouthernNCAA</v>
      </c>
      <c r="B342" s="1">
        <f ca="1">IFERROR(__xludf.DUMMYFUNCTION("""COMPUTED_VALUE"""),35)</f>
        <v>35</v>
      </c>
      <c r="C342" s="1">
        <f ca="1">IFERROR(__xludf.DUMMYFUNCTION("""COMPUTED_VALUE"""),23)</f>
        <v>23</v>
      </c>
      <c r="D342" s="1">
        <f ca="1">IFERROR(__xludf.DUMMYFUNCTION("""COMPUTED_VALUE"""),12)</f>
        <v>12</v>
      </c>
      <c r="E342" s="1">
        <f ca="1">IFERROR(__xludf.DUMMYFUNCTION("""COMPUTED_VALUE"""),0.657)</f>
        <v>0.65700000000000003</v>
      </c>
      <c r="F342" s="1">
        <f ca="1">IFERROR(__xludf.DUMMYFUNCTION("""COMPUTED_VALUE"""),-6.41)</f>
        <v>-6.41</v>
      </c>
      <c r="G342" s="1">
        <f ca="1">IFERROR(__xludf.DUMMYFUNCTION("""COMPUTED_VALUE"""),-7.81)</f>
        <v>-7.81</v>
      </c>
      <c r="H342" s="1">
        <f ca="1">IFERROR(__xludf.DUMMYFUNCTION("""COMPUTED_VALUE"""),16)</f>
        <v>16</v>
      </c>
      <c r="I342" s="1">
        <f ca="1">IFERROR(__xludf.DUMMYFUNCTION("""COMPUTED_VALUE"""),2)</f>
        <v>2</v>
      </c>
      <c r="J342" s="1">
        <f ca="1">IFERROR(__xludf.DUMMYFUNCTION("""COMPUTED_VALUE"""),10)</f>
        <v>10</v>
      </c>
      <c r="K342" s="1">
        <f ca="1">IFERROR(__xludf.DUMMYFUNCTION("""COMPUTED_VALUE"""),0)</f>
        <v>0</v>
      </c>
      <c r="L342" s="1">
        <f ca="1">IFERROR(__xludf.DUMMYFUNCTION("""COMPUTED_VALUE"""),11)</f>
        <v>11</v>
      </c>
      <c r="M342" s="1">
        <f ca="1">IFERROR(__xludf.DUMMYFUNCTION("""COMPUTED_VALUE"""),11)</f>
        <v>11</v>
      </c>
      <c r="N342" s="1">
        <f ca="1">IFERROR(__xludf.DUMMYFUNCTION("""COMPUTED_VALUE"""),2593)</f>
        <v>2593</v>
      </c>
      <c r="O342" s="1">
        <f ca="1">IFERROR(__xludf.DUMMYFUNCTION("""COMPUTED_VALUE"""),2544)</f>
        <v>2544</v>
      </c>
      <c r="P342" s="1">
        <f ca="1">IFERROR(__xludf.DUMMYFUNCTION("""COMPUTED_VALUE"""),1410)</f>
        <v>1410</v>
      </c>
      <c r="Q342" s="1">
        <f ca="1">IFERROR(__xludf.DUMMYFUNCTION("""COMPUTED_VALUE"""),866)</f>
        <v>866</v>
      </c>
      <c r="R342" s="1">
        <f ca="1">IFERROR(__xludf.DUMMYFUNCTION("""COMPUTED_VALUE"""),2015)</f>
        <v>2015</v>
      </c>
      <c r="S342" s="1">
        <f ca="1">IFERROR(__xludf.DUMMYFUNCTION("""COMPUTED_VALUE"""),0.43)</f>
        <v>0.43</v>
      </c>
      <c r="T342" s="1">
        <f ca="1">IFERROR(__xludf.DUMMYFUNCTION("""COMPUTED_VALUE"""),205)</f>
        <v>205</v>
      </c>
      <c r="U342" s="1">
        <f ca="1">IFERROR(__xludf.DUMMYFUNCTION("""COMPUTED_VALUE"""),693)</f>
        <v>693</v>
      </c>
      <c r="V342" s="1">
        <f ca="1">IFERROR(__xludf.DUMMYFUNCTION("""COMPUTED_VALUE"""),0.296)</f>
        <v>0.29599999999999999</v>
      </c>
      <c r="W342" s="1">
        <f ca="1">IFERROR(__xludf.DUMMYFUNCTION("""COMPUTED_VALUE"""),656)</f>
        <v>656</v>
      </c>
      <c r="X342" s="1">
        <f ca="1">IFERROR(__xludf.DUMMYFUNCTION("""COMPUTED_VALUE"""),893)</f>
        <v>893</v>
      </c>
      <c r="Y342" s="1">
        <f ca="1">IFERROR(__xludf.DUMMYFUNCTION("""COMPUTED_VALUE"""),0.735)</f>
        <v>0.73499999999999999</v>
      </c>
      <c r="Z342" s="1">
        <f ca="1">IFERROR(__xludf.DUMMYFUNCTION("""COMPUTED_VALUE"""),401)</f>
        <v>401</v>
      </c>
      <c r="AA342" s="1">
        <f ca="1">IFERROR(__xludf.DUMMYFUNCTION("""COMPUTED_VALUE"""),1228)</f>
        <v>1228</v>
      </c>
      <c r="AB342" s="1">
        <f ca="1">IFERROR(__xludf.DUMMYFUNCTION("""COMPUTED_VALUE"""),409)</f>
        <v>409</v>
      </c>
      <c r="AC342" s="1">
        <f ca="1">IFERROR(__xludf.DUMMYFUNCTION("""COMPUTED_VALUE"""),250)</f>
        <v>250</v>
      </c>
      <c r="AD342" s="1">
        <f ca="1">IFERROR(__xludf.DUMMYFUNCTION("""COMPUTED_VALUE"""),111)</f>
        <v>111</v>
      </c>
      <c r="AE342" s="1">
        <f ca="1">IFERROR(__xludf.DUMMYFUNCTION("""COMPUTED_VALUE"""),407)</f>
        <v>407</v>
      </c>
      <c r="AF342" s="1">
        <f ca="1">IFERROR(__xludf.DUMMYFUNCTION("""COMPUTED_VALUE"""),607)</f>
        <v>607</v>
      </c>
    </row>
    <row r="343" spans="1:32" ht="12.5" x14ac:dyDescent="0.25">
      <c r="A343" s="1" t="str">
        <f ca="1">IFERROR(__xludf.DUMMYFUNCTION("""COMPUTED_VALUE"""),"Texas State")</f>
        <v>Texas State</v>
      </c>
      <c r="B343" s="1">
        <f ca="1">IFERROR(__xludf.DUMMYFUNCTION("""COMPUTED_VALUE"""),36)</f>
        <v>36</v>
      </c>
      <c r="C343" s="1">
        <f ca="1">IFERROR(__xludf.DUMMYFUNCTION("""COMPUTED_VALUE"""),22)</f>
        <v>22</v>
      </c>
      <c r="D343" s="1">
        <f ca="1">IFERROR(__xludf.DUMMYFUNCTION("""COMPUTED_VALUE"""),14)</f>
        <v>14</v>
      </c>
      <c r="E343" s="1">
        <f ca="1">IFERROR(__xludf.DUMMYFUNCTION("""COMPUTED_VALUE"""),0.611)</f>
        <v>0.61099999999999999</v>
      </c>
      <c r="F343" s="1">
        <f ca="1">IFERROR(__xludf.DUMMYFUNCTION("""COMPUTED_VALUE"""),-2.23)</f>
        <v>-2.23</v>
      </c>
      <c r="G343" s="1">
        <f ca="1">IFERROR(__xludf.DUMMYFUNCTION("""COMPUTED_VALUE"""),-4.29)</f>
        <v>-4.29</v>
      </c>
      <c r="H343" s="1">
        <f ca="1">IFERROR(__xludf.DUMMYFUNCTION("""COMPUTED_VALUE"""),11)</f>
        <v>11</v>
      </c>
      <c r="I343" s="1">
        <f ca="1">IFERROR(__xludf.DUMMYFUNCTION("""COMPUTED_VALUE"""),7)</f>
        <v>7</v>
      </c>
      <c r="J343" s="1">
        <f ca="1">IFERROR(__xludf.DUMMYFUNCTION("""COMPUTED_VALUE"""),13)</f>
        <v>13</v>
      </c>
      <c r="K343" s="1">
        <f ca="1">IFERROR(__xludf.DUMMYFUNCTION("""COMPUTED_VALUE"""),4)</f>
        <v>4</v>
      </c>
      <c r="L343" s="1">
        <f ca="1">IFERROR(__xludf.DUMMYFUNCTION("""COMPUTED_VALUE"""),5)</f>
        <v>5</v>
      </c>
      <c r="M343" s="1">
        <f ca="1">IFERROR(__xludf.DUMMYFUNCTION("""COMPUTED_VALUE"""),9)</f>
        <v>9</v>
      </c>
      <c r="N343" s="1">
        <f ca="1">IFERROR(__xludf.DUMMYFUNCTION("""COMPUTED_VALUE"""),2407)</f>
        <v>2407</v>
      </c>
      <c r="O343" s="1">
        <f ca="1">IFERROR(__xludf.DUMMYFUNCTION("""COMPUTED_VALUE"""),2256)</f>
        <v>2256</v>
      </c>
      <c r="P343" s="1">
        <f ca="1">IFERROR(__xludf.DUMMYFUNCTION("""COMPUTED_VALUE"""),1455)</f>
        <v>1455</v>
      </c>
      <c r="Q343" s="1">
        <f ca="1">IFERROR(__xludf.DUMMYFUNCTION("""COMPUTED_VALUE"""),865)</f>
        <v>865</v>
      </c>
      <c r="R343" s="1">
        <f ca="1">IFERROR(__xludf.DUMMYFUNCTION("""COMPUTED_VALUE"""),1933)</f>
        <v>1933</v>
      </c>
      <c r="S343" s="1">
        <f ca="1">IFERROR(__xludf.DUMMYFUNCTION("""COMPUTED_VALUE"""),0.447)</f>
        <v>0.44700000000000001</v>
      </c>
      <c r="T343" s="1">
        <f ca="1">IFERROR(__xludf.DUMMYFUNCTION("""COMPUTED_VALUE"""),217)</f>
        <v>217</v>
      </c>
      <c r="U343" s="1">
        <f ca="1">IFERROR(__xludf.DUMMYFUNCTION("""COMPUTED_VALUE"""),657)</f>
        <v>657</v>
      </c>
      <c r="V343" s="1">
        <f ca="1">IFERROR(__xludf.DUMMYFUNCTION("""COMPUTED_VALUE"""),0.33)</f>
        <v>0.33</v>
      </c>
      <c r="W343" s="1">
        <f ca="1">IFERROR(__xludf.DUMMYFUNCTION("""COMPUTED_VALUE"""),460)</f>
        <v>460</v>
      </c>
      <c r="X343" s="1">
        <f ca="1">IFERROR(__xludf.DUMMYFUNCTION("""COMPUTED_VALUE"""),696)</f>
        <v>696</v>
      </c>
      <c r="Y343" s="1">
        <f ca="1">IFERROR(__xludf.DUMMYFUNCTION("""COMPUTED_VALUE"""),0.661)</f>
        <v>0.66100000000000003</v>
      </c>
      <c r="Z343" s="1">
        <f ca="1">IFERROR(__xludf.DUMMYFUNCTION("""COMPUTED_VALUE"""),344)</f>
        <v>344</v>
      </c>
      <c r="AA343" s="1">
        <f ca="1">IFERROR(__xludf.DUMMYFUNCTION("""COMPUTED_VALUE"""),1211)</f>
        <v>1211</v>
      </c>
      <c r="AB343" s="1">
        <f ca="1">IFERROR(__xludf.DUMMYFUNCTION("""COMPUTED_VALUE"""),526)</f>
        <v>526</v>
      </c>
      <c r="AC343" s="1">
        <f ca="1">IFERROR(__xludf.DUMMYFUNCTION("""COMPUTED_VALUE"""),237)</f>
        <v>237</v>
      </c>
      <c r="AD343" s="1">
        <f ca="1">IFERROR(__xludf.DUMMYFUNCTION("""COMPUTED_VALUE"""),160)</f>
        <v>160</v>
      </c>
      <c r="AE343" s="1">
        <f ca="1">IFERROR(__xludf.DUMMYFUNCTION("""COMPUTED_VALUE"""),423)</f>
        <v>423</v>
      </c>
      <c r="AF343" s="1">
        <f ca="1">IFERROR(__xludf.DUMMYFUNCTION("""COMPUTED_VALUE"""),642)</f>
        <v>642</v>
      </c>
    </row>
    <row r="344" spans="1:32" ht="12.5" x14ac:dyDescent="0.25">
      <c r="A344" s="1" t="str">
        <f ca="1">IFERROR(__xludf.DUMMYFUNCTION("""COMPUTED_VALUE"""),"Texas Tech")</f>
        <v>Texas Tech</v>
      </c>
      <c r="B344" s="1">
        <f ca="1">IFERROR(__xludf.DUMMYFUNCTION("""COMPUTED_VALUE"""),32)</f>
        <v>32</v>
      </c>
      <c r="C344" s="1">
        <f ca="1">IFERROR(__xludf.DUMMYFUNCTION("""COMPUTED_VALUE"""),18)</f>
        <v>18</v>
      </c>
      <c r="D344" s="1">
        <f ca="1">IFERROR(__xludf.DUMMYFUNCTION("""COMPUTED_VALUE"""),14)</f>
        <v>14</v>
      </c>
      <c r="E344" s="1">
        <f ca="1">IFERROR(__xludf.DUMMYFUNCTION("""COMPUTED_VALUE"""),0.563)</f>
        <v>0.56299999999999994</v>
      </c>
      <c r="F344" s="1">
        <f ca="1">IFERROR(__xludf.DUMMYFUNCTION("""COMPUTED_VALUE"""),14.11)</f>
        <v>14.11</v>
      </c>
      <c r="G344" s="1">
        <f ca="1">IFERROR(__xludf.DUMMYFUNCTION("""COMPUTED_VALUE"""),7.86)</f>
        <v>7.86</v>
      </c>
      <c r="H344" s="1">
        <f ca="1">IFERROR(__xludf.DUMMYFUNCTION("""COMPUTED_VALUE"""),6)</f>
        <v>6</v>
      </c>
      <c r="I344" s="1">
        <f ca="1">IFERROR(__xludf.DUMMYFUNCTION("""COMPUTED_VALUE"""),12)</f>
        <v>12</v>
      </c>
      <c r="J344" s="1">
        <f ca="1">IFERROR(__xludf.DUMMYFUNCTION("""COMPUTED_VALUE"""),16)</f>
        <v>16</v>
      </c>
      <c r="K344" s="1">
        <f ca="1">IFERROR(__xludf.DUMMYFUNCTION("""COMPUTED_VALUE"""),3)</f>
        <v>3</v>
      </c>
      <c r="L344" s="1">
        <f ca="1">IFERROR(__xludf.DUMMYFUNCTION("""COMPUTED_VALUE"""),1)</f>
        <v>1</v>
      </c>
      <c r="M344" s="1">
        <f ca="1">IFERROR(__xludf.DUMMYFUNCTION("""COMPUTED_VALUE"""),9)</f>
        <v>9</v>
      </c>
      <c r="N344" s="1">
        <f ca="1">IFERROR(__xludf.DUMMYFUNCTION("""COMPUTED_VALUE"""),2346)</f>
        <v>2346</v>
      </c>
      <c r="O344" s="1">
        <f ca="1">IFERROR(__xludf.DUMMYFUNCTION("""COMPUTED_VALUE"""),2146)</f>
        <v>2146</v>
      </c>
      <c r="P344" s="1">
        <f ca="1">IFERROR(__xludf.DUMMYFUNCTION("""COMPUTED_VALUE"""),1300)</f>
        <v>1300</v>
      </c>
      <c r="Q344" s="1">
        <f ca="1">IFERROR(__xludf.DUMMYFUNCTION("""COMPUTED_VALUE"""),835)</f>
        <v>835</v>
      </c>
      <c r="R344" s="1">
        <f ca="1">IFERROR(__xludf.DUMMYFUNCTION("""COMPUTED_VALUE"""),1776)</f>
        <v>1776</v>
      </c>
      <c r="S344" s="1">
        <f ca="1">IFERROR(__xludf.DUMMYFUNCTION("""COMPUTED_VALUE"""),0.47)</f>
        <v>0.47</v>
      </c>
      <c r="T344" s="1">
        <f ca="1">IFERROR(__xludf.DUMMYFUNCTION("""COMPUTED_VALUE"""),212)</f>
        <v>212</v>
      </c>
      <c r="U344" s="1">
        <f ca="1">IFERROR(__xludf.DUMMYFUNCTION("""COMPUTED_VALUE"""),577)</f>
        <v>577</v>
      </c>
      <c r="V344" s="1">
        <f ca="1">IFERROR(__xludf.DUMMYFUNCTION("""COMPUTED_VALUE"""),0.367)</f>
        <v>0.36699999999999999</v>
      </c>
      <c r="W344" s="1">
        <f ca="1">IFERROR(__xludf.DUMMYFUNCTION("""COMPUTED_VALUE"""),464)</f>
        <v>464</v>
      </c>
      <c r="X344" s="1">
        <f ca="1">IFERROR(__xludf.DUMMYFUNCTION("""COMPUTED_VALUE"""),633)</f>
        <v>633</v>
      </c>
      <c r="Y344" s="1">
        <f ca="1">IFERROR(__xludf.DUMMYFUNCTION("""COMPUTED_VALUE"""),0.733)</f>
        <v>0.73299999999999998</v>
      </c>
      <c r="Z344" s="1">
        <f ca="1">IFERROR(__xludf.DUMMYFUNCTION("""COMPUTED_VALUE"""),299)</f>
        <v>299</v>
      </c>
      <c r="AA344" s="1">
        <f ca="1">IFERROR(__xludf.DUMMYFUNCTION("""COMPUTED_VALUE"""),1050)</f>
        <v>1050</v>
      </c>
      <c r="AB344" s="1">
        <f ca="1">IFERROR(__xludf.DUMMYFUNCTION("""COMPUTED_VALUE"""),427)</f>
        <v>427</v>
      </c>
      <c r="AC344" s="1">
        <f ca="1">IFERROR(__xludf.DUMMYFUNCTION("""COMPUTED_VALUE"""),169)</f>
        <v>169</v>
      </c>
      <c r="AD344" s="1">
        <f ca="1">IFERROR(__xludf.DUMMYFUNCTION("""COMPUTED_VALUE"""),98)</f>
        <v>98</v>
      </c>
      <c r="AE344" s="1">
        <f ca="1">IFERROR(__xludf.DUMMYFUNCTION("""COMPUTED_VALUE"""),354)</f>
        <v>354</v>
      </c>
      <c r="AF344" s="1">
        <f ca="1">IFERROR(__xludf.DUMMYFUNCTION("""COMPUTED_VALUE"""),562)</f>
        <v>562</v>
      </c>
    </row>
    <row r="345" spans="1:32" ht="12.5" x14ac:dyDescent="0.25">
      <c r="A345" s="1" t="str">
        <f ca="1">IFERROR(__xludf.DUMMYFUNCTION("""COMPUTED_VALUE"""),"Texas")</f>
        <v>Texas</v>
      </c>
      <c r="B345" s="1">
        <f ca="1">IFERROR(__xludf.DUMMYFUNCTION("""COMPUTED_VALUE"""),33)</f>
        <v>33</v>
      </c>
      <c r="C345" s="1">
        <f ca="1">IFERROR(__xludf.DUMMYFUNCTION("""COMPUTED_VALUE"""),11)</f>
        <v>11</v>
      </c>
      <c r="D345" s="1">
        <f ca="1">IFERROR(__xludf.DUMMYFUNCTION("""COMPUTED_VALUE"""),22)</f>
        <v>22</v>
      </c>
      <c r="E345" s="1">
        <f ca="1">IFERROR(__xludf.DUMMYFUNCTION("""COMPUTED_VALUE"""),0.333)</f>
        <v>0.33300000000000002</v>
      </c>
      <c r="F345" s="1">
        <f ca="1">IFERROR(__xludf.DUMMYFUNCTION("""COMPUTED_VALUE"""),10.99)</f>
        <v>10.99</v>
      </c>
      <c r="G345" s="1">
        <f ca="1">IFERROR(__xludf.DUMMYFUNCTION("""COMPUTED_VALUE"""),12.75)</f>
        <v>12.75</v>
      </c>
      <c r="H345" s="1">
        <f ca="1">IFERROR(__xludf.DUMMYFUNCTION("""COMPUTED_VALUE"""),4)</f>
        <v>4</v>
      </c>
      <c r="I345" s="1">
        <f ca="1">IFERROR(__xludf.DUMMYFUNCTION("""COMPUTED_VALUE"""),14)</f>
        <v>14</v>
      </c>
      <c r="J345" s="1">
        <f ca="1">IFERROR(__xludf.DUMMYFUNCTION("""COMPUTED_VALUE"""),10)</f>
        <v>10</v>
      </c>
      <c r="K345" s="1">
        <f ca="1">IFERROR(__xludf.DUMMYFUNCTION("""COMPUTED_VALUE"""),7)</f>
        <v>7</v>
      </c>
      <c r="L345" s="1">
        <f ca="1">IFERROR(__xludf.DUMMYFUNCTION("""COMPUTED_VALUE"""),0)</f>
        <v>0</v>
      </c>
      <c r="M345" s="1">
        <f ca="1">IFERROR(__xludf.DUMMYFUNCTION("""COMPUTED_VALUE"""),11)</f>
        <v>11</v>
      </c>
      <c r="N345" s="1">
        <f ca="1">IFERROR(__xludf.DUMMYFUNCTION("""COMPUTED_VALUE"""),2215)</f>
        <v>2215</v>
      </c>
      <c r="O345" s="1">
        <f ca="1">IFERROR(__xludf.DUMMYFUNCTION("""COMPUTED_VALUE"""),2273)</f>
        <v>2273</v>
      </c>
      <c r="P345" s="1">
        <f ca="1">IFERROR(__xludf.DUMMYFUNCTION("""COMPUTED_VALUE"""),1320)</f>
        <v>1320</v>
      </c>
      <c r="Q345" s="1">
        <f ca="1">IFERROR(__xludf.DUMMYFUNCTION("""COMPUTED_VALUE"""),810)</f>
        <v>810</v>
      </c>
      <c r="R345" s="1">
        <f ca="1">IFERROR(__xludf.DUMMYFUNCTION("""COMPUTED_VALUE"""),1846)</f>
        <v>1846</v>
      </c>
      <c r="S345" s="1">
        <f ca="1">IFERROR(__xludf.DUMMYFUNCTION("""COMPUTED_VALUE"""),0.439)</f>
        <v>0.439</v>
      </c>
      <c r="T345" s="1">
        <f ca="1">IFERROR(__xludf.DUMMYFUNCTION("""COMPUTED_VALUE"""),181)</f>
        <v>181</v>
      </c>
      <c r="U345" s="1">
        <f ca="1">IFERROR(__xludf.DUMMYFUNCTION("""COMPUTED_VALUE"""),619)</f>
        <v>619</v>
      </c>
      <c r="V345" s="1">
        <f ca="1">IFERROR(__xludf.DUMMYFUNCTION("""COMPUTED_VALUE"""),0.292)</f>
        <v>0.29199999999999998</v>
      </c>
      <c r="W345" s="1">
        <f ca="1">IFERROR(__xludf.DUMMYFUNCTION("""COMPUTED_VALUE"""),414)</f>
        <v>414</v>
      </c>
      <c r="X345" s="1">
        <f ca="1">IFERROR(__xludf.DUMMYFUNCTION("""COMPUTED_VALUE"""),637)</f>
        <v>637</v>
      </c>
      <c r="Y345" s="1">
        <f ca="1">IFERROR(__xludf.DUMMYFUNCTION("""COMPUTED_VALUE"""),0.65)</f>
        <v>0.65</v>
      </c>
      <c r="Z345" s="1">
        <f ca="1">IFERROR(__xludf.DUMMYFUNCTION("""COMPUTED_VALUE"""),323)</f>
        <v>323</v>
      </c>
      <c r="AA345" s="1">
        <f ca="1">IFERROR(__xludf.DUMMYFUNCTION("""COMPUTED_VALUE"""),1133)</f>
        <v>1133</v>
      </c>
      <c r="AB345" s="1">
        <f ca="1">IFERROR(__xludf.DUMMYFUNCTION("""COMPUTED_VALUE"""),376)</f>
        <v>376</v>
      </c>
      <c r="AC345" s="1">
        <f ca="1">IFERROR(__xludf.DUMMYFUNCTION("""COMPUTED_VALUE"""),190)</f>
        <v>190</v>
      </c>
      <c r="AD345" s="1">
        <f ca="1">IFERROR(__xludf.DUMMYFUNCTION("""COMPUTED_VALUE"""),149)</f>
        <v>149</v>
      </c>
      <c r="AE345" s="1">
        <f ca="1">IFERROR(__xludf.DUMMYFUNCTION("""COMPUTED_VALUE"""),443)</f>
        <v>443</v>
      </c>
      <c r="AF345" s="1">
        <f ca="1">IFERROR(__xludf.DUMMYFUNCTION("""COMPUTED_VALUE"""),588)</f>
        <v>588</v>
      </c>
    </row>
    <row r="346" spans="1:32" ht="12.5" x14ac:dyDescent="0.25">
      <c r="A346" s="1" t="str">
        <f ca="1">IFERROR(__xludf.DUMMYFUNCTION("""COMPUTED_VALUE"""),"Toledo")</f>
        <v>Toledo</v>
      </c>
      <c r="B346" s="1">
        <f ca="1">IFERROR(__xludf.DUMMYFUNCTION("""COMPUTED_VALUE"""),34)</f>
        <v>34</v>
      </c>
      <c r="C346" s="1">
        <f ca="1">IFERROR(__xludf.DUMMYFUNCTION("""COMPUTED_VALUE"""),17)</f>
        <v>17</v>
      </c>
      <c r="D346" s="1">
        <f ca="1">IFERROR(__xludf.DUMMYFUNCTION("""COMPUTED_VALUE"""),17)</f>
        <v>17</v>
      </c>
      <c r="E346" s="1">
        <f ca="1">IFERROR(__xludf.DUMMYFUNCTION("""COMPUTED_VALUE"""),0.5)</f>
        <v>0.5</v>
      </c>
      <c r="F346" s="1">
        <f ca="1">IFERROR(__xludf.DUMMYFUNCTION("""COMPUTED_VALUE"""),1.16)</f>
        <v>1.1599999999999999</v>
      </c>
      <c r="G346" s="1">
        <f ca="1">IFERROR(__xludf.DUMMYFUNCTION("""COMPUTED_VALUE"""),-0.9)</f>
        <v>-0.9</v>
      </c>
      <c r="H346" s="1">
        <f ca="1">IFERROR(__xludf.DUMMYFUNCTION("""COMPUTED_VALUE"""),9)</f>
        <v>9</v>
      </c>
      <c r="I346" s="1">
        <f ca="1">IFERROR(__xludf.DUMMYFUNCTION("""COMPUTED_VALUE"""),9)</f>
        <v>9</v>
      </c>
      <c r="J346" s="1">
        <f ca="1">IFERROR(__xludf.DUMMYFUNCTION("""COMPUTED_VALUE"""),12)</f>
        <v>12</v>
      </c>
      <c r="K346" s="1">
        <f ca="1">IFERROR(__xludf.DUMMYFUNCTION("""COMPUTED_VALUE"""),4)</f>
        <v>4</v>
      </c>
      <c r="L346" s="1">
        <f ca="1">IFERROR(__xludf.DUMMYFUNCTION("""COMPUTED_VALUE"""),4)</f>
        <v>4</v>
      </c>
      <c r="M346" s="1">
        <f ca="1">IFERROR(__xludf.DUMMYFUNCTION("""COMPUTED_VALUE"""),10)</f>
        <v>10</v>
      </c>
      <c r="N346" s="1">
        <f ca="1">IFERROR(__xludf.DUMMYFUNCTION("""COMPUTED_VALUE"""),2675)</f>
        <v>2675</v>
      </c>
      <c r="O346" s="1">
        <f ca="1">IFERROR(__xludf.DUMMYFUNCTION("""COMPUTED_VALUE"""),2567)</f>
        <v>2567</v>
      </c>
      <c r="P346" s="1">
        <f ca="1">IFERROR(__xludf.DUMMYFUNCTION("""COMPUTED_VALUE"""),1410)</f>
        <v>1410</v>
      </c>
      <c r="Q346" s="1">
        <f ca="1">IFERROR(__xludf.DUMMYFUNCTION("""COMPUTED_VALUE"""),944)</f>
        <v>944</v>
      </c>
      <c r="R346" s="1">
        <f ca="1">IFERROR(__xludf.DUMMYFUNCTION("""COMPUTED_VALUE"""),1966)</f>
        <v>1966</v>
      </c>
      <c r="S346" s="1">
        <f ca="1">IFERROR(__xludf.DUMMYFUNCTION("""COMPUTED_VALUE"""),0.48)</f>
        <v>0.48</v>
      </c>
      <c r="T346" s="1">
        <f ca="1">IFERROR(__xludf.DUMMYFUNCTION("""COMPUTED_VALUE"""),262)</f>
        <v>262</v>
      </c>
      <c r="U346" s="1">
        <f ca="1">IFERROR(__xludf.DUMMYFUNCTION("""COMPUTED_VALUE"""),724)</f>
        <v>724</v>
      </c>
      <c r="V346" s="1">
        <f ca="1">IFERROR(__xludf.DUMMYFUNCTION("""COMPUTED_VALUE"""),0.362)</f>
        <v>0.36199999999999999</v>
      </c>
      <c r="W346" s="1">
        <f ca="1">IFERROR(__xludf.DUMMYFUNCTION("""COMPUTED_VALUE"""),525)</f>
        <v>525</v>
      </c>
      <c r="X346" s="1">
        <f ca="1">IFERROR(__xludf.DUMMYFUNCTION("""COMPUTED_VALUE"""),755)</f>
        <v>755</v>
      </c>
      <c r="Y346" s="1">
        <f ca="1">IFERROR(__xludf.DUMMYFUNCTION("""COMPUTED_VALUE"""),0.695)</f>
        <v>0.69499999999999995</v>
      </c>
      <c r="Z346" s="1">
        <f ca="1">IFERROR(__xludf.DUMMYFUNCTION("""COMPUTED_VALUE"""),339)</f>
        <v>339</v>
      </c>
      <c r="AA346" s="1">
        <f ca="1">IFERROR(__xludf.DUMMYFUNCTION("""COMPUTED_VALUE"""),1274)</f>
        <v>1274</v>
      </c>
      <c r="AB346" s="1">
        <f ca="1">IFERROR(__xludf.DUMMYFUNCTION("""COMPUTED_VALUE"""),551)</f>
        <v>551</v>
      </c>
      <c r="AC346" s="1">
        <f ca="1">IFERROR(__xludf.DUMMYFUNCTION("""COMPUTED_VALUE"""),135)</f>
        <v>135</v>
      </c>
      <c r="AD346" s="1">
        <f ca="1">IFERROR(__xludf.DUMMYFUNCTION("""COMPUTED_VALUE"""),92)</f>
        <v>92</v>
      </c>
      <c r="AE346" s="1">
        <f ca="1">IFERROR(__xludf.DUMMYFUNCTION("""COMPUTED_VALUE"""),447)</f>
        <v>447</v>
      </c>
      <c r="AF346" s="1">
        <f ca="1">IFERROR(__xludf.DUMMYFUNCTION("""COMPUTED_VALUE"""),574)</f>
        <v>574</v>
      </c>
    </row>
    <row r="347" spans="1:32" ht="12.5" x14ac:dyDescent="0.25">
      <c r="A347" s="1" t="str">
        <f ca="1">IFERROR(__xludf.DUMMYFUNCTION("""COMPUTED_VALUE"""),"Towson")</f>
        <v>Towson</v>
      </c>
      <c r="B347" s="1">
        <f ca="1">IFERROR(__xludf.DUMMYFUNCTION("""COMPUTED_VALUE"""),33)</f>
        <v>33</v>
      </c>
      <c r="C347" s="1">
        <f ca="1">IFERROR(__xludf.DUMMYFUNCTION("""COMPUTED_VALUE"""),20)</f>
        <v>20</v>
      </c>
      <c r="D347" s="1">
        <f ca="1">IFERROR(__xludf.DUMMYFUNCTION("""COMPUTED_VALUE"""),13)</f>
        <v>13</v>
      </c>
      <c r="E347" s="1">
        <f ca="1">IFERROR(__xludf.DUMMYFUNCTION("""COMPUTED_VALUE"""),0.606)</f>
        <v>0.60599999999999998</v>
      </c>
      <c r="F347" s="1">
        <f ca="1">IFERROR(__xludf.DUMMYFUNCTION("""COMPUTED_VALUE"""),1.84)</f>
        <v>1.84</v>
      </c>
      <c r="G347" s="1">
        <f ca="1">IFERROR(__xludf.DUMMYFUNCTION("""COMPUTED_VALUE"""),-1.28)</f>
        <v>-1.28</v>
      </c>
      <c r="H347" s="1">
        <f ca="1">IFERROR(__xludf.DUMMYFUNCTION("""COMPUTED_VALUE"""),11)</f>
        <v>11</v>
      </c>
      <c r="I347" s="1">
        <f ca="1">IFERROR(__xludf.DUMMYFUNCTION("""COMPUTED_VALUE"""),7)</f>
        <v>7</v>
      </c>
      <c r="J347" s="1">
        <f ca="1">IFERROR(__xludf.DUMMYFUNCTION("""COMPUTED_VALUE"""),12)</f>
        <v>12</v>
      </c>
      <c r="K347" s="1">
        <f ca="1">IFERROR(__xludf.DUMMYFUNCTION("""COMPUTED_VALUE"""),3)</f>
        <v>3</v>
      </c>
      <c r="L347" s="1">
        <f ca="1">IFERROR(__xludf.DUMMYFUNCTION("""COMPUTED_VALUE"""),6)</f>
        <v>6</v>
      </c>
      <c r="M347" s="1">
        <f ca="1">IFERROR(__xludf.DUMMYFUNCTION("""COMPUTED_VALUE"""),8)</f>
        <v>8</v>
      </c>
      <c r="N347" s="1">
        <f ca="1">IFERROR(__xludf.DUMMYFUNCTION("""COMPUTED_VALUE"""),2447)</f>
        <v>2447</v>
      </c>
      <c r="O347" s="1">
        <f ca="1">IFERROR(__xludf.DUMMYFUNCTION("""COMPUTED_VALUE"""),2285)</f>
        <v>2285</v>
      </c>
      <c r="P347" s="1">
        <f ca="1">IFERROR(__xludf.DUMMYFUNCTION("""COMPUTED_VALUE"""),1335)</f>
        <v>1335</v>
      </c>
      <c r="Q347" s="1">
        <f ca="1">IFERROR(__xludf.DUMMYFUNCTION("""COMPUTED_VALUE"""),850)</f>
        <v>850</v>
      </c>
      <c r="R347" s="1">
        <f ca="1">IFERROR(__xludf.DUMMYFUNCTION("""COMPUTED_VALUE"""),1900)</f>
        <v>1900</v>
      </c>
      <c r="S347" s="1">
        <f ca="1">IFERROR(__xludf.DUMMYFUNCTION("""COMPUTED_VALUE"""),0.447)</f>
        <v>0.44700000000000001</v>
      </c>
      <c r="T347" s="1">
        <f ca="1">IFERROR(__xludf.DUMMYFUNCTION("""COMPUTED_VALUE"""),155)</f>
        <v>155</v>
      </c>
      <c r="U347" s="1">
        <f ca="1">IFERROR(__xludf.DUMMYFUNCTION("""COMPUTED_VALUE"""),499)</f>
        <v>499</v>
      </c>
      <c r="V347" s="1">
        <f ca="1">IFERROR(__xludf.DUMMYFUNCTION("""COMPUTED_VALUE"""),0.311)</f>
        <v>0.311</v>
      </c>
      <c r="W347" s="1">
        <f ca="1">IFERROR(__xludf.DUMMYFUNCTION("""COMPUTED_VALUE"""),592)</f>
        <v>592</v>
      </c>
      <c r="X347" s="1">
        <f ca="1">IFERROR(__xludf.DUMMYFUNCTION("""COMPUTED_VALUE"""),868)</f>
        <v>868</v>
      </c>
      <c r="Y347" s="1">
        <f ca="1">IFERROR(__xludf.DUMMYFUNCTION("""COMPUTED_VALUE"""),0.682)</f>
        <v>0.68200000000000005</v>
      </c>
      <c r="Z347" s="1">
        <f ca="1">IFERROR(__xludf.DUMMYFUNCTION("""COMPUTED_VALUE"""),445)</f>
        <v>445</v>
      </c>
      <c r="AA347" s="1">
        <f ca="1">IFERROR(__xludf.DUMMYFUNCTION("""COMPUTED_VALUE"""),1305)</f>
        <v>1305</v>
      </c>
      <c r="AB347" s="1">
        <f ca="1">IFERROR(__xludf.DUMMYFUNCTION("""COMPUTED_VALUE"""),348)</f>
        <v>348</v>
      </c>
      <c r="AC347" s="1">
        <f ca="1">IFERROR(__xludf.DUMMYFUNCTION("""COMPUTED_VALUE"""),226)</f>
        <v>226</v>
      </c>
      <c r="AD347" s="1">
        <f ca="1">IFERROR(__xludf.DUMMYFUNCTION("""COMPUTED_VALUE"""),118)</f>
        <v>118</v>
      </c>
      <c r="AE347" s="1">
        <f ca="1">IFERROR(__xludf.DUMMYFUNCTION("""COMPUTED_VALUE"""),426)</f>
        <v>426</v>
      </c>
      <c r="AF347" s="1">
        <f ca="1">IFERROR(__xludf.DUMMYFUNCTION("""COMPUTED_VALUE"""),686)</f>
        <v>686</v>
      </c>
    </row>
    <row r="348" spans="1:32" ht="12.5" x14ac:dyDescent="0.25">
      <c r="A348" s="1" t="str">
        <f ca="1">IFERROR(__xludf.DUMMYFUNCTION("""COMPUTED_VALUE"""),"TroyNCAA")</f>
        <v>TroyNCAA</v>
      </c>
      <c r="B348" s="1">
        <f ca="1">IFERROR(__xludf.DUMMYFUNCTION("""COMPUTED_VALUE"""),37)</f>
        <v>37</v>
      </c>
      <c r="C348" s="1">
        <f ca="1">IFERROR(__xludf.DUMMYFUNCTION("""COMPUTED_VALUE"""),22)</f>
        <v>22</v>
      </c>
      <c r="D348" s="1">
        <f ca="1">IFERROR(__xludf.DUMMYFUNCTION("""COMPUTED_VALUE"""),15)</f>
        <v>15</v>
      </c>
      <c r="E348" s="1">
        <f ca="1">IFERROR(__xludf.DUMMYFUNCTION("""COMPUTED_VALUE"""),0.595)</f>
        <v>0.59499999999999997</v>
      </c>
      <c r="F348" s="1">
        <f ca="1">IFERROR(__xludf.DUMMYFUNCTION("""COMPUTED_VALUE"""),-0.47)</f>
        <v>-0.47</v>
      </c>
      <c r="G348" s="1">
        <f ca="1">IFERROR(__xludf.DUMMYFUNCTION("""COMPUTED_VALUE"""),-3.36)</f>
        <v>-3.36</v>
      </c>
      <c r="H348" s="1">
        <f ca="1">IFERROR(__xludf.DUMMYFUNCTION("""COMPUTED_VALUE"""),10)</f>
        <v>10</v>
      </c>
      <c r="I348" s="1">
        <f ca="1">IFERROR(__xludf.DUMMYFUNCTION("""COMPUTED_VALUE"""),8)</f>
        <v>8</v>
      </c>
      <c r="J348" s="1">
        <f ca="1">IFERROR(__xludf.DUMMYFUNCTION("""COMPUTED_VALUE"""),10)</f>
        <v>10</v>
      </c>
      <c r="K348" s="1">
        <f ca="1">IFERROR(__xludf.DUMMYFUNCTION("""COMPUTED_VALUE"""),4)</f>
        <v>4</v>
      </c>
      <c r="L348" s="1">
        <f ca="1">IFERROR(__xludf.DUMMYFUNCTION("""COMPUTED_VALUE"""),6)</f>
        <v>6</v>
      </c>
      <c r="M348" s="1">
        <f ca="1">IFERROR(__xludf.DUMMYFUNCTION("""COMPUTED_VALUE"""),10)</f>
        <v>10</v>
      </c>
      <c r="N348" s="1">
        <f ca="1">IFERROR(__xludf.DUMMYFUNCTION("""COMPUTED_VALUE"""),2889)</f>
        <v>2889</v>
      </c>
      <c r="O348" s="1">
        <f ca="1">IFERROR(__xludf.DUMMYFUNCTION("""COMPUTED_VALUE"""),2667)</f>
        <v>2667</v>
      </c>
      <c r="P348" s="1">
        <f ca="1">IFERROR(__xludf.DUMMYFUNCTION("""COMPUTED_VALUE"""),1485)</f>
        <v>1485</v>
      </c>
      <c r="Q348" s="1">
        <f ca="1">IFERROR(__xludf.DUMMYFUNCTION("""COMPUTED_VALUE"""),982)</f>
        <v>982</v>
      </c>
      <c r="R348" s="1">
        <f ca="1">IFERROR(__xludf.DUMMYFUNCTION("""COMPUTED_VALUE"""),2153)</f>
        <v>2153</v>
      </c>
      <c r="S348" s="1">
        <f ca="1">IFERROR(__xludf.DUMMYFUNCTION("""COMPUTED_VALUE"""),0.456)</f>
        <v>0.45600000000000002</v>
      </c>
      <c r="T348" s="1">
        <f ca="1">IFERROR(__xludf.DUMMYFUNCTION("""COMPUTED_VALUE"""),311)</f>
        <v>311</v>
      </c>
      <c r="U348" s="1">
        <f ca="1">IFERROR(__xludf.DUMMYFUNCTION("""COMPUTED_VALUE"""),867)</f>
        <v>867</v>
      </c>
      <c r="V348" s="1">
        <f ca="1">IFERROR(__xludf.DUMMYFUNCTION("""COMPUTED_VALUE"""),0.359)</f>
        <v>0.35899999999999999</v>
      </c>
      <c r="W348" s="1">
        <f ca="1">IFERROR(__xludf.DUMMYFUNCTION("""COMPUTED_VALUE"""),614)</f>
        <v>614</v>
      </c>
      <c r="X348" s="1">
        <f ca="1">IFERROR(__xludf.DUMMYFUNCTION("""COMPUTED_VALUE"""),847)</f>
        <v>847</v>
      </c>
      <c r="Y348" s="1">
        <f ca="1">IFERROR(__xludf.DUMMYFUNCTION("""COMPUTED_VALUE"""),0.725)</f>
        <v>0.72499999999999998</v>
      </c>
      <c r="Z348" s="1">
        <f ca="1">IFERROR(__xludf.DUMMYFUNCTION("""COMPUTED_VALUE"""),409)</f>
        <v>409</v>
      </c>
      <c r="AA348" s="1">
        <f ca="1">IFERROR(__xludf.DUMMYFUNCTION("""COMPUTED_VALUE"""),1362)</f>
        <v>1362</v>
      </c>
      <c r="AB348" s="1">
        <f ca="1">IFERROR(__xludf.DUMMYFUNCTION("""COMPUTED_VALUE"""),484)</f>
        <v>484</v>
      </c>
      <c r="AC348" s="1">
        <f ca="1">IFERROR(__xludf.DUMMYFUNCTION("""COMPUTED_VALUE"""),221)</f>
        <v>221</v>
      </c>
      <c r="AD348" s="1">
        <f ca="1">IFERROR(__xludf.DUMMYFUNCTION("""COMPUTED_VALUE"""),129)</f>
        <v>129</v>
      </c>
      <c r="AE348" s="1">
        <f ca="1">IFERROR(__xludf.DUMMYFUNCTION("""COMPUTED_VALUE"""),462)</f>
        <v>462</v>
      </c>
      <c r="AF348" s="1">
        <f ca="1">IFERROR(__xludf.DUMMYFUNCTION("""COMPUTED_VALUE"""),654)</f>
        <v>654</v>
      </c>
    </row>
    <row r="349" spans="1:32" ht="12.5" x14ac:dyDescent="0.25">
      <c r="A349" s="1" t="str">
        <f ca="1">IFERROR(__xludf.DUMMYFUNCTION("""COMPUTED_VALUE"""),"Tulane")</f>
        <v>Tulane</v>
      </c>
      <c r="B349" s="1">
        <f ca="1">IFERROR(__xludf.DUMMYFUNCTION("""COMPUTED_VALUE"""),31)</f>
        <v>31</v>
      </c>
      <c r="C349" s="1">
        <f ca="1">IFERROR(__xludf.DUMMYFUNCTION("""COMPUTED_VALUE"""),6)</f>
        <v>6</v>
      </c>
      <c r="D349" s="1">
        <f ca="1">IFERROR(__xludf.DUMMYFUNCTION("""COMPUTED_VALUE"""),25)</f>
        <v>25</v>
      </c>
      <c r="E349" s="1">
        <f ca="1">IFERROR(__xludf.DUMMYFUNCTION("""COMPUTED_VALUE"""),0.194)</f>
        <v>0.19400000000000001</v>
      </c>
      <c r="F349" s="1">
        <f ca="1">IFERROR(__xludf.DUMMYFUNCTION("""COMPUTED_VALUE"""),-3.98)</f>
        <v>-3.98</v>
      </c>
      <c r="G349" s="1">
        <f ca="1">IFERROR(__xludf.DUMMYFUNCTION("""COMPUTED_VALUE"""),4.25)</f>
        <v>4.25</v>
      </c>
      <c r="H349" s="1">
        <f ca="1">IFERROR(__xludf.DUMMYFUNCTION("""COMPUTED_VALUE"""),3)</f>
        <v>3</v>
      </c>
      <c r="I349" s="1">
        <f ca="1">IFERROR(__xludf.DUMMYFUNCTION("""COMPUTED_VALUE"""),15)</f>
        <v>15</v>
      </c>
      <c r="J349" s="1">
        <f ca="1">IFERROR(__xludf.DUMMYFUNCTION("""COMPUTED_VALUE"""),4)</f>
        <v>4</v>
      </c>
      <c r="K349" s="1">
        <f ca="1">IFERROR(__xludf.DUMMYFUNCTION("""COMPUTED_VALUE"""),10)</f>
        <v>10</v>
      </c>
      <c r="L349" s="1">
        <f ca="1">IFERROR(__xludf.DUMMYFUNCTION("""COMPUTED_VALUE"""),2)</f>
        <v>2</v>
      </c>
      <c r="M349" s="1">
        <f ca="1">IFERROR(__xludf.DUMMYFUNCTION("""COMPUTED_VALUE"""),10)</f>
        <v>10</v>
      </c>
      <c r="N349" s="1">
        <f ca="1">IFERROR(__xludf.DUMMYFUNCTION("""COMPUTED_VALUE"""),2179)</f>
        <v>2179</v>
      </c>
      <c r="O349" s="1">
        <f ca="1">IFERROR(__xludf.DUMMYFUNCTION("""COMPUTED_VALUE"""),2434)</f>
        <v>2434</v>
      </c>
      <c r="P349" s="1">
        <f ca="1">IFERROR(__xludf.DUMMYFUNCTION("""COMPUTED_VALUE"""),1255)</f>
        <v>1255</v>
      </c>
      <c r="Q349" s="1">
        <f ca="1">IFERROR(__xludf.DUMMYFUNCTION("""COMPUTED_VALUE"""),751)</f>
        <v>751</v>
      </c>
      <c r="R349" s="1">
        <f ca="1">IFERROR(__xludf.DUMMYFUNCTION("""COMPUTED_VALUE"""),1856)</f>
        <v>1856</v>
      </c>
      <c r="S349" s="1">
        <f ca="1">IFERROR(__xludf.DUMMYFUNCTION("""COMPUTED_VALUE"""),0.405)</f>
        <v>0.40500000000000003</v>
      </c>
      <c r="T349" s="1">
        <f ca="1">IFERROR(__xludf.DUMMYFUNCTION("""COMPUTED_VALUE"""),221)</f>
        <v>221</v>
      </c>
      <c r="U349" s="1">
        <f ca="1">IFERROR(__xludf.DUMMYFUNCTION("""COMPUTED_VALUE"""),683)</f>
        <v>683</v>
      </c>
      <c r="V349" s="1">
        <f ca="1">IFERROR(__xludf.DUMMYFUNCTION("""COMPUTED_VALUE"""),0.324)</f>
        <v>0.32400000000000001</v>
      </c>
      <c r="W349" s="1">
        <f ca="1">IFERROR(__xludf.DUMMYFUNCTION("""COMPUTED_VALUE"""),456)</f>
        <v>456</v>
      </c>
      <c r="X349" s="1">
        <f ca="1">IFERROR(__xludf.DUMMYFUNCTION("""COMPUTED_VALUE"""),636)</f>
        <v>636</v>
      </c>
      <c r="Y349" s="1">
        <f ca="1">IFERROR(__xludf.DUMMYFUNCTION("""COMPUTED_VALUE"""),0.717)</f>
        <v>0.71699999999999997</v>
      </c>
      <c r="Z349" s="1">
        <f ca="1">IFERROR(__xludf.DUMMYFUNCTION("""COMPUTED_VALUE"""),349)</f>
        <v>349</v>
      </c>
      <c r="AA349" s="1">
        <f ca="1">IFERROR(__xludf.DUMMYFUNCTION("""COMPUTED_VALUE"""),1062)</f>
        <v>1062</v>
      </c>
      <c r="AB349" s="1">
        <f ca="1">IFERROR(__xludf.DUMMYFUNCTION("""COMPUTED_VALUE"""),398)</f>
        <v>398</v>
      </c>
      <c r="AC349" s="1">
        <f ca="1">IFERROR(__xludf.DUMMYFUNCTION("""COMPUTED_VALUE"""),192)</f>
        <v>192</v>
      </c>
      <c r="AD349" s="1">
        <f ca="1">IFERROR(__xludf.DUMMYFUNCTION("""COMPUTED_VALUE"""),119)</f>
        <v>119</v>
      </c>
      <c r="AE349" s="1">
        <f ca="1">IFERROR(__xludf.DUMMYFUNCTION("""COMPUTED_VALUE"""),420)</f>
        <v>420</v>
      </c>
      <c r="AF349" s="1">
        <f ca="1">IFERROR(__xludf.DUMMYFUNCTION("""COMPUTED_VALUE"""),646)</f>
        <v>646</v>
      </c>
    </row>
    <row r="350" spans="1:32" ht="12.5" x14ac:dyDescent="0.25">
      <c r="A350" s="1" t="str">
        <f ca="1">IFERROR(__xludf.DUMMYFUNCTION("""COMPUTED_VALUE"""),"Tulsa")</f>
        <v>Tulsa</v>
      </c>
      <c r="B350" s="1">
        <f ca="1">IFERROR(__xludf.DUMMYFUNCTION("""COMPUTED_VALUE"""),32)</f>
        <v>32</v>
      </c>
      <c r="C350" s="1">
        <f ca="1">IFERROR(__xludf.DUMMYFUNCTION("""COMPUTED_VALUE"""),15)</f>
        <v>15</v>
      </c>
      <c r="D350" s="1">
        <f ca="1">IFERROR(__xludf.DUMMYFUNCTION("""COMPUTED_VALUE"""),17)</f>
        <v>17</v>
      </c>
      <c r="E350" s="1">
        <f ca="1">IFERROR(__xludf.DUMMYFUNCTION("""COMPUTED_VALUE"""),0.469)</f>
        <v>0.46899999999999997</v>
      </c>
      <c r="F350" s="1">
        <f ca="1">IFERROR(__xludf.DUMMYFUNCTION("""COMPUTED_VALUE"""),2.45)</f>
        <v>2.4500000000000002</v>
      </c>
      <c r="G350" s="1">
        <f ca="1">IFERROR(__xludf.DUMMYFUNCTION("""COMPUTED_VALUE"""),5.29)</f>
        <v>5.29</v>
      </c>
      <c r="H350" s="1">
        <f ca="1">IFERROR(__xludf.DUMMYFUNCTION("""COMPUTED_VALUE"""),8)</f>
        <v>8</v>
      </c>
      <c r="I350" s="1">
        <f ca="1">IFERROR(__xludf.DUMMYFUNCTION("""COMPUTED_VALUE"""),10)</f>
        <v>10</v>
      </c>
      <c r="J350" s="1">
        <f ca="1">IFERROR(__xludf.DUMMYFUNCTION("""COMPUTED_VALUE"""),10)</f>
        <v>10</v>
      </c>
      <c r="K350" s="1">
        <f ca="1">IFERROR(__xludf.DUMMYFUNCTION("""COMPUTED_VALUE"""),5)</f>
        <v>5</v>
      </c>
      <c r="L350" s="1">
        <f ca="1">IFERROR(__xludf.DUMMYFUNCTION("""COMPUTED_VALUE"""),3)</f>
        <v>3</v>
      </c>
      <c r="M350" s="1">
        <f ca="1">IFERROR(__xludf.DUMMYFUNCTION("""COMPUTED_VALUE"""),9)</f>
        <v>9</v>
      </c>
      <c r="N350" s="1">
        <f ca="1">IFERROR(__xludf.DUMMYFUNCTION("""COMPUTED_VALUE"""),2158)</f>
        <v>2158</v>
      </c>
      <c r="O350" s="1">
        <f ca="1">IFERROR(__xludf.DUMMYFUNCTION("""COMPUTED_VALUE"""),2249)</f>
        <v>2249</v>
      </c>
      <c r="P350" s="1">
        <f ca="1">IFERROR(__xludf.DUMMYFUNCTION("""COMPUTED_VALUE"""),1285)</f>
        <v>1285</v>
      </c>
      <c r="Q350" s="1">
        <f ca="1">IFERROR(__xludf.DUMMYFUNCTION("""COMPUTED_VALUE"""),701)</f>
        <v>701</v>
      </c>
      <c r="R350" s="1">
        <f ca="1">IFERROR(__xludf.DUMMYFUNCTION("""COMPUTED_VALUE"""),1673)</f>
        <v>1673</v>
      </c>
      <c r="S350" s="1">
        <f ca="1">IFERROR(__xludf.DUMMYFUNCTION("""COMPUTED_VALUE"""),0.419)</f>
        <v>0.41899999999999998</v>
      </c>
      <c r="T350" s="1">
        <f ca="1">IFERROR(__xludf.DUMMYFUNCTION("""COMPUTED_VALUE"""),234)</f>
        <v>234</v>
      </c>
      <c r="U350" s="1">
        <f ca="1">IFERROR(__xludf.DUMMYFUNCTION("""COMPUTED_VALUE"""),683)</f>
        <v>683</v>
      </c>
      <c r="V350" s="1">
        <f ca="1">IFERROR(__xludf.DUMMYFUNCTION("""COMPUTED_VALUE"""),0.343)</f>
        <v>0.34300000000000003</v>
      </c>
      <c r="W350" s="1">
        <f ca="1">IFERROR(__xludf.DUMMYFUNCTION("""COMPUTED_VALUE"""),522)</f>
        <v>522</v>
      </c>
      <c r="X350" s="1">
        <f ca="1">IFERROR(__xludf.DUMMYFUNCTION("""COMPUTED_VALUE"""),716)</f>
        <v>716</v>
      </c>
      <c r="Y350" s="1">
        <f ca="1">IFERROR(__xludf.DUMMYFUNCTION("""COMPUTED_VALUE"""),0.729)</f>
        <v>0.72899999999999998</v>
      </c>
      <c r="Z350" s="1">
        <f ca="1">IFERROR(__xludf.DUMMYFUNCTION("""COMPUTED_VALUE"""),311)</f>
        <v>311</v>
      </c>
      <c r="AA350" s="1">
        <f ca="1">IFERROR(__xludf.DUMMYFUNCTION("""COMPUTED_VALUE"""),1112)</f>
        <v>1112</v>
      </c>
      <c r="AB350" s="1">
        <f ca="1">IFERROR(__xludf.DUMMYFUNCTION("""COMPUTED_VALUE"""),362)</f>
        <v>362</v>
      </c>
      <c r="AC350" s="1">
        <f ca="1">IFERROR(__xludf.DUMMYFUNCTION("""COMPUTED_VALUE"""),145)</f>
        <v>145</v>
      </c>
      <c r="AD350" s="1">
        <f ca="1">IFERROR(__xludf.DUMMYFUNCTION("""COMPUTED_VALUE"""),80)</f>
        <v>80</v>
      </c>
      <c r="AE350" s="1">
        <f ca="1">IFERROR(__xludf.DUMMYFUNCTION("""COMPUTED_VALUE"""),473)</f>
        <v>473</v>
      </c>
      <c r="AF350" s="1">
        <f ca="1">IFERROR(__xludf.DUMMYFUNCTION("""COMPUTED_VALUE"""),579)</f>
        <v>579</v>
      </c>
    </row>
    <row r="351" spans="1:32" ht="12.5" x14ac:dyDescent="0.25">
      <c r="A351" s="1" t="str">
        <f ca="1">IFERROR(__xludf.DUMMYFUNCTION("""COMPUTED_VALUE"""),"UCLANCAA")</f>
        <v>UCLANCAA</v>
      </c>
      <c r="B351" s="1">
        <f ca="1">IFERROR(__xludf.DUMMYFUNCTION("""COMPUTED_VALUE"""),36)</f>
        <v>36</v>
      </c>
      <c r="C351" s="1">
        <f ca="1">IFERROR(__xludf.DUMMYFUNCTION("""COMPUTED_VALUE"""),31)</f>
        <v>31</v>
      </c>
      <c r="D351" s="1">
        <f ca="1">IFERROR(__xludf.DUMMYFUNCTION("""COMPUTED_VALUE"""),5)</f>
        <v>5</v>
      </c>
      <c r="E351" s="1">
        <f ca="1">IFERROR(__xludf.DUMMYFUNCTION("""COMPUTED_VALUE"""),0.861)</f>
        <v>0.86099999999999999</v>
      </c>
      <c r="F351" s="1">
        <f ca="1">IFERROR(__xludf.DUMMYFUNCTION("""COMPUTED_VALUE"""),20.67)</f>
        <v>20.67</v>
      </c>
      <c r="G351" s="1">
        <f ca="1">IFERROR(__xludf.DUMMYFUNCTION("""COMPUTED_VALUE"""),6.39)</f>
        <v>6.39</v>
      </c>
      <c r="H351" s="1">
        <f ca="1">IFERROR(__xludf.DUMMYFUNCTION("""COMPUTED_VALUE"""),15)</f>
        <v>15</v>
      </c>
      <c r="I351" s="1">
        <f ca="1">IFERROR(__xludf.DUMMYFUNCTION("""COMPUTED_VALUE"""),3)</f>
        <v>3</v>
      </c>
      <c r="J351" s="1">
        <f ca="1">IFERROR(__xludf.DUMMYFUNCTION("""COMPUTED_VALUE"""),16)</f>
        <v>16</v>
      </c>
      <c r="K351" s="1">
        <f ca="1">IFERROR(__xludf.DUMMYFUNCTION("""COMPUTED_VALUE"""),1)</f>
        <v>1</v>
      </c>
      <c r="L351" s="1">
        <f ca="1">IFERROR(__xludf.DUMMYFUNCTION("""COMPUTED_VALUE"""),8)</f>
        <v>8</v>
      </c>
      <c r="M351" s="1">
        <f ca="1">IFERROR(__xludf.DUMMYFUNCTION("""COMPUTED_VALUE"""),2)</f>
        <v>2</v>
      </c>
      <c r="N351" s="1">
        <f ca="1">IFERROR(__xludf.DUMMYFUNCTION("""COMPUTED_VALUE"""),3233)</f>
        <v>3233</v>
      </c>
      <c r="O351" s="1">
        <f ca="1">IFERROR(__xludf.DUMMYFUNCTION("""COMPUTED_VALUE"""),2719)</f>
        <v>2719</v>
      </c>
      <c r="P351" s="1">
        <f ca="1">IFERROR(__xludf.DUMMYFUNCTION("""COMPUTED_VALUE"""),1440)</f>
        <v>1440</v>
      </c>
      <c r="Q351" s="1">
        <f ca="1">IFERROR(__xludf.DUMMYFUNCTION("""COMPUTED_VALUE"""),1210)</f>
        <v>1210</v>
      </c>
      <c r="R351" s="1">
        <f ca="1">IFERROR(__xludf.DUMMYFUNCTION("""COMPUTED_VALUE"""),2320)</f>
        <v>2320</v>
      </c>
      <c r="S351" s="1">
        <f ca="1">IFERROR(__xludf.DUMMYFUNCTION("""COMPUTED_VALUE"""),0.522)</f>
        <v>0.52200000000000002</v>
      </c>
      <c r="T351" s="1">
        <f ca="1">IFERROR(__xludf.DUMMYFUNCTION("""COMPUTED_VALUE"""),354)</f>
        <v>354</v>
      </c>
      <c r="U351" s="1">
        <f ca="1">IFERROR(__xludf.DUMMYFUNCTION("""COMPUTED_VALUE"""),872)</f>
        <v>872</v>
      </c>
      <c r="V351" s="1">
        <f ca="1">IFERROR(__xludf.DUMMYFUNCTION("""COMPUTED_VALUE"""),0.406)</f>
        <v>0.40600000000000003</v>
      </c>
      <c r="W351" s="1">
        <f ca="1">IFERROR(__xludf.DUMMYFUNCTION("""COMPUTED_VALUE"""),459)</f>
        <v>459</v>
      </c>
      <c r="X351" s="1">
        <f ca="1">IFERROR(__xludf.DUMMYFUNCTION("""COMPUTED_VALUE"""),622)</f>
        <v>622</v>
      </c>
      <c r="Y351" s="1">
        <f ca="1">IFERROR(__xludf.DUMMYFUNCTION("""COMPUTED_VALUE"""),0.738)</f>
        <v>0.73799999999999999</v>
      </c>
      <c r="Z351" s="1">
        <f ca="1">IFERROR(__xludf.DUMMYFUNCTION("""COMPUTED_VALUE"""),343)</f>
        <v>343</v>
      </c>
      <c r="AA351" s="1">
        <f ca="1">IFERROR(__xludf.DUMMYFUNCTION("""COMPUTED_VALUE"""),1386)</f>
        <v>1386</v>
      </c>
      <c r="AB351" s="1">
        <f ca="1">IFERROR(__xludf.DUMMYFUNCTION("""COMPUTED_VALUE"""),771)</f>
        <v>771</v>
      </c>
      <c r="AC351" s="1">
        <f ca="1">IFERROR(__xludf.DUMMYFUNCTION("""COMPUTED_VALUE"""),212)</f>
        <v>212</v>
      </c>
      <c r="AD351" s="1">
        <f ca="1">IFERROR(__xludf.DUMMYFUNCTION("""COMPUTED_VALUE"""),191)</f>
        <v>191</v>
      </c>
      <c r="AE351" s="1">
        <f ca="1">IFERROR(__xludf.DUMMYFUNCTION("""COMPUTED_VALUE"""),404)</f>
        <v>404</v>
      </c>
      <c r="AF351" s="1">
        <f ca="1">IFERROR(__xludf.DUMMYFUNCTION("""COMPUTED_VALUE"""),583)</f>
        <v>583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IFERROR(__xludf.DUMMYFUNCTION("""COMPUTED_VALUE"""),"Utah State")</f>
        <v>Utah State</v>
      </c>
      <c r="B354" s="1">
        <f ca="1">IFERROR(__xludf.DUMMYFUNCTION("""COMPUTED_VALUE"""),32)</f>
        <v>32</v>
      </c>
      <c r="C354" s="1">
        <f ca="1">IFERROR(__xludf.DUMMYFUNCTION("""COMPUTED_VALUE"""),15)</f>
        <v>15</v>
      </c>
      <c r="D354" s="1">
        <f ca="1">IFERROR(__xludf.DUMMYFUNCTION("""COMPUTED_VALUE"""),17)</f>
        <v>17</v>
      </c>
      <c r="E354" s="1">
        <f ca="1">IFERROR(__xludf.DUMMYFUNCTION("""COMPUTED_VALUE"""),0.469)</f>
        <v>0.46899999999999997</v>
      </c>
      <c r="F354" s="1">
        <f ca="1">IFERROR(__xludf.DUMMYFUNCTION("""COMPUTED_VALUE"""),2.9)</f>
        <v>2.9</v>
      </c>
      <c r="G354" s="1">
        <f ca="1">IFERROR(__xludf.DUMMYFUNCTION("""COMPUTED_VALUE"""),2.46)</f>
        <v>2.46</v>
      </c>
      <c r="H354" s="1">
        <f ca="1">IFERROR(__xludf.DUMMYFUNCTION("""COMPUTED_VALUE"""),7)</f>
        <v>7</v>
      </c>
      <c r="I354" s="1">
        <f ca="1">IFERROR(__xludf.DUMMYFUNCTION("""COMPUTED_VALUE"""),11)</f>
        <v>11</v>
      </c>
      <c r="J354" s="1">
        <f ca="1">IFERROR(__xludf.DUMMYFUNCTION("""COMPUTED_VALUE"""),11)</f>
        <v>11</v>
      </c>
      <c r="K354" s="1">
        <f ca="1">IFERROR(__xludf.DUMMYFUNCTION("""COMPUTED_VALUE"""),5)</f>
        <v>5</v>
      </c>
      <c r="L354" s="1">
        <f ca="1">IFERROR(__xludf.DUMMYFUNCTION("""COMPUTED_VALUE"""),3)</f>
        <v>3</v>
      </c>
      <c r="M354" s="1">
        <f ca="1">IFERROR(__xludf.DUMMYFUNCTION("""COMPUTED_VALUE"""),8)</f>
        <v>8</v>
      </c>
      <c r="N354" s="1">
        <f ca="1">IFERROR(__xludf.DUMMYFUNCTION("""COMPUTED_VALUE"""),2337)</f>
        <v>2337</v>
      </c>
      <c r="O354" s="1">
        <f ca="1">IFERROR(__xludf.DUMMYFUNCTION("""COMPUTED_VALUE"""),2248)</f>
        <v>2248</v>
      </c>
      <c r="P354" s="1">
        <f ca="1">IFERROR(__xludf.DUMMYFUNCTION("""COMPUTED_VALUE"""),1285)</f>
        <v>1285</v>
      </c>
      <c r="Q354" s="1">
        <f ca="1">IFERROR(__xludf.DUMMYFUNCTION("""COMPUTED_VALUE"""),828)</f>
        <v>828</v>
      </c>
      <c r="R354" s="1">
        <f ca="1">IFERROR(__xludf.DUMMYFUNCTION("""COMPUTED_VALUE"""),1779)</f>
        <v>1779</v>
      </c>
      <c r="S354" s="1">
        <f ca="1">IFERROR(__xludf.DUMMYFUNCTION("""COMPUTED_VALUE"""),0.465)</f>
        <v>0.46500000000000002</v>
      </c>
      <c r="T354" s="1">
        <f ca="1">IFERROR(__xludf.DUMMYFUNCTION("""COMPUTED_VALUE"""),245)</f>
        <v>245</v>
      </c>
      <c r="U354" s="1">
        <f ca="1">IFERROR(__xludf.DUMMYFUNCTION("""COMPUTED_VALUE"""),646)</f>
        <v>646</v>
      </c>
      <c r="V354" s="1">
        <f ca="1">IFERROR(__xludf.DUMMYFUNCTION("""COMPUTED_VALUE"""),0.379)</f>
        <v>0.379</v>
      </c>
      <c r="W354" s="1">
        <f ca="1">IFERROR(__xludf.DUMMYFUNCTION("""COMPUTED_VALUE"""),436)</f>
        <v>436</v>
      </c>
      <c r="X354" s="1">
        <f ca="1">IFERROR(__xludf.DUMMYFUNCTION("""COMPUTED_VALUE"""),624)</f>
        <v>624</v>
      </c>
      <c r="Y354" s="1">
        <f ca="1">IFERROR(__xludf.DUMMYFUNCTION("""COMPUTED_VALUE"""),0.699)</f>
        <v>0.69899999999999995</v>
      </c>
      <c r="Z354" s="1">
        <f ca="1">IFERROR(__xludf.DUMMYFUNCTION("""COMPUTED_VALUE"""),256)</f>
        <v>256</v>
      </c>
      <c r="AA354" s="1">
        <f ca="1">IFERROR(__xludf.DUMMYFUNCTION("""COMPUTED_VALUE"""),1144)</f>
        <v>1144</v>
      </c>
      <c r="AB354" s="1">
        <f ca="1">IFERROR(__xludf.DUMMYFUNCTION("""COMPUTED_VALUE"""),492)</f>
        <v>492</v>
      </c>
      <c r="AC354" s="1">
        <f ca="1">IFERROR(__xludf.DUMMYFUNCTION("""COMPUTED_VALUE"""),159)</f>
        <v>159</v>
      </c>
      <c r="AD354" s="1">
        <f ca="1">IFERROR(__xludf.DUMMYFUNCTION("""COMPUTED_VALUE"""),92)</f>
        <v>92</v>
      </c>
      <c r="AE354" s="1">
        <f ca="1">IFERROR(__xludf.DUMMYFUNCTION("""COMPUTED_VALUE"""),391)</f>
        <v>391</v>
      </c>
      <c r="AF354" s="1">
        <f ca="1">IFERROR(__xludf.DUMMYFUNCTION("""COMPUTED_VALUE"""),605)</f>
        <v>605</v>
      </c>
    </row>
    <row r="355" spans="1:32" ht="12.5" x14ac:dyDescent="0.25">
      <c r="A355" s="1" t="str">
        <f ca="1">IFERROR(__xludf.DUMMYFUNCTION("""COMPUTED_VALUE"""),"Utah Valley")</f>
        <v>Utah Valley</v>
      </c>
      <c r="B355" s="1">
        <f ca="1">IFERROR(__xludf.DUMMYFUNCTION("""COMPUTED_VALUE"""),34)</f>
        <v>34</v>
      </c>
      <c r="C355" s="1">
        <f ca="1">IFERROR(__xludf.DUMMYFUNCTION("""COMPUTED_VALUE"""),17)</f>
        <v>17</v>
      </c>
      <c r="D355" s="1">
        <f ca="1">IFERROR(__xludf.DUMMYFUNCTION("""COMPUTED_VALUE"""),17)</f>
        <v>17</v>
      </c>
      <c r="E355" s="1">
        <f ca="1">IFERROR(__xludf.DUMMYFUNCTION("""COMPUTED_VALUE"""),0.5)</f>
        <v>0.5</v>
      </c>
      <c r="F355" s="1">
        <f ca="1">IFERROR(__xludf.DUMMYFUNCTION("""COMPUTED_VALUE"""),-1.22)</f>
        <v>-1.22</v>
      </c>
      <c r="G355" s="1">
        <f ca="1">IFERROR(__xludf.DUMMYFUNCTION("""COMPUTED_VALUE"""),-2.44)</f>
        <v>-2.44</v>
      </c>
      <c r="H355" s="1">
        <f ca="1">IFERROR(__xludf.DUMMYFUNCTION("""COMPUTED_VALUE"""),6)</f>
        <v>6</v>
      </c>
      <c r="I355" s="1">
        <f ca="1">IFERROR(__xludf.DUMMYFUNCTION("""COMPUTED_VALUE"""),8)</f>
        <v>8</v>
      </c>
      <c r="J355" s="1">
        <f ca="1">IFERROR(__xludf.DUMMYFUNCTION("""COMPUTED_VALUE"""),8)</f>
        <v>8</v>
      </c>
      <c r="K355" s="1">
        <f ca="1">IFERROR(__xludf.DUMMYFUNCTION("""COMPUTED_VALUE"""),5)</f>
        <v>5</v>
      </c>
      <c r="L355" s="1">
        <f ca="1">IFERROR(__xludf.DUMMYFUNCTION("""COMPUTED_VALUE"""),8)</f>
        <v>8</v>
      </c>
      <c r="M355" s="1">
        <f ca="1">IFERROR(__xludf.DUMMYFUNCTION("""COMPUTED_VALUE"""),11)</f>
        <v>11</v>
      </c>
      <c r="N355" s="1">
        <f ca="1">IFERROR(__xludf.DUMMYFUNCTION("""COMPUTED_VALUE"""),2615)</f>
        <v>2615</v>
      </c>
      <c r="O355" s="1">
        <f ca="1">IFERROR(__xludf.DUMMYFUNCTION("""COMPUTED_VALUE"""),2479)</f>
        <v>2479</v>
      </c>
      <c r="P355" s="1">
        <f ca="1">IFERROR(__xludf.DUMMYFUNCTION("""COMPUTED_VALUE"""),1385)</f>
        <v>1385</v>
      </c>
      <c r="Q355" s="1">
        <f ca="1">IFERROR(__xludf.DUMMYFUNCTION("""COMPUTED_VALUE"""),886)</f>
        <v>886</v>
      </c>
      <c r="R355" s="1">
        <f ca="1">IFERROR(__xludf.DUMMYFUNCTION("""COMPUTED_VALUE"""),2028)</f>
        <v>2028</v>
      </c>
      <c r="S355" s="1">
        <f ca="1">IFERROR(__xludf.DUMMYFUNCTION("""COMPUTED_VALUE"""),0.437)</f>
        <v>0.437</v>
      </c>
      <c r="T355" s="1">
        <f ca="1">IFERROR(__xludf.DUMMYFUNCTION("""COMPUTED_VALUE"""),300)</f>
        <v>300</v>
      </c>
      <c r="U355" s="1">
        <f ca="1">IFERROR(__xludf.DUMMYFUNCTION("""COMPUTED_VALUE"""),937)</f>
        <v>937</v>
      </c>
      <c r="V355" s="1">
        <f ca="1">IFERROR(__xludf.DUMMYFUNCTION("""COMPUTED_VALUE"""),0.32)</f>
        <v>0.32</v>
      </c>
      <c r="W355" s="1">
        <f ca="1">IFERROR(__xludf.DUMMYFUNCTION("""COMPUTED_VALUE"""),543)</f>
        <v>543</v>
      </c>
      <c r="X355" s="1">
        <f ca="1">IFERROR(__xludf.DUMMYFUNCTION("""COMPUTED_VALUE"""),767)</f>
        <v>767</v>
      </c>
      <c r="Y355" s="1">
        <f ca="1">IFERROR(__xludf.DUMMYFUNCTION("""COMPUTED_VALUE"""),0.708)</f>
        <v>0.70799999999999996</v>
      </c>
      <c r="Z355" s="1">
        <f ca="1">IFERROR(__xludf.DUMMYFUNCTION("""COMPUTED_VALUE"""),306)</f>
        <v>306</v>
      </c>
      <c r="AA355" s="1">
        <f ca="1">IFERROR(__xludf.DUMMYFUNCTION("""COMPUTED_VALUE"""),1350)</f>
        <v>1350</v>
      </c>
      <c r="AB355" s="1">
        <f ca="1">IFERROR(__xludf.DUMMYFUNCTION("""COMPUTED_VALUE"""),530)</f>
        <v>530</v>
      </c>
      <c r="AC355" s="1">
        <f ca="1">IFERROR(__xludf.DUMMYFUNCTION("""COMPUTED_VALUE"""),216)</f>
        <v>216</v>
      </c>
      <c r="AD355" s="1">
        <f ca="1">IFERROR(__xludf.DUMMYFUNCTION("""COMPUTED_VALUE"""),123)</f>
        <v>123</v>
      </c>
      <c r="AE355" s="1">
        <f ca="1">IFERROR(__xludf.DUMMYFUNCTION("""COMPUTED_VALUE"""),522)</f>
        <v>522</v>
      </c>
      <c r="AF355" s="1">
        <f ca="1">IFERROR(__xludf.DUMMYFUNCTION("""COMPUTED_VALUE"""),667)</f>
        <v>667</v>
      </c>
    </row>
    <row r="356" spans="1:32" ht="12.5" x14ac:dyDescent="0.25">
      <c r="A356" s="1" t="str">
        <f ca="1">IFERROR(__xludf.DUMMYFUNCTION("""COMPUTED_VALUE"""),"Utah")</f>
        <v>Utah</v>
      </c>
      <c r="B356" s="1">
        <f ca="1">IFERROR(__xludf.DUMMYFUNCTION("""COMPUTED_VALUE"""),32)</f>
        <v>32</v>
      </c>
      <c r="C356" s="1">
        <f ca="1">IFERROR(__xludf.DUMMYFUNCTION("""COMPUTED_VALUE"""),20)</f>
        <v>20</v>
      </c>
      <c r="D356" s="1">
        <f ca="1">IFERROR(__xludf.DUMMYFUNCTION("""COMPUTED_VALUE"""),12)</f>
        <v>12</v>
      </c>
      <c r="E356" s="1">
        <f ca="1">IFERROR(__xludf.DUMMYFUNCTION("""COMPUTED_VALUE"""),0.625)</f>
        <v>0.625</v>
      </c>
      <c r="F356" s="1">
        <f ca="1">IFERROR(__xludf.DUMMYFUNCTION("""COMPUTED_VALUE"""),12.45)</f>
        <v>12.45</v>
      </c>
      <c r="G356" s="1">
        <f ca="1">IFERROR(__xludf.DUMMYFUNCTION("""COMPUTED_VALUE"""),4.32)</f>
        <v>4.32</v>
      </c>
      <c r="H356" s="1">
        <f ca="1">IFERROR(__xludf.DUMMYFUNCTION("""COMPUTED_VALUE"""),11)</f>
        <v>11</v>
      </c>
      <c r="I356" s="1">
        <f ca="1">IFERROR(__xludf.DUMMYFUNCTION("""COMPUTED_VALUE"""),7)</f>
        <v>7</v>
      </c>
      <c r="J356" s="1">
        <f ca="1">IFERROR(__xludf.DUMMYFUNCTION("""COMPUTED_VALUE"""),14)</f>
        <v>14</v>
      </c>
      <c r="K356" s="1">
        <f ca="1">IFERROR(__xludf.DUMMYFUNCTION("""COMPUTED_VALUE"""),4)</f>
        <v>4</v>
      </c>
      <c r="L356" s="1">
        <f ca="1">IFERROR(__xludf.DUMMYFUNCTION("""COMPUTED_VALUE"""),5)</f>
        <v>5</v>
      </c>
      <c r="M356" s="1">
        <f ca="1">IFERROR(__xludf.DUMMYFUNCTION("""COMPUTED_VALUE"""),6)</f>
        <v>6</v>
      </c>
      <c r="N356" s="1">
        <f ca="1">IFERROR(__xludf.DUMMYFUNCTION("""COMPUTED_VALUE"""),2511)</f>
        <v>2511</v>
      </c>
      <c r="O356" s="1">
        <f ca="1">IFERROR(__xludf.DUMMYFUNCTION("""COMPUTED_VALUE"""),2180)</f>
        <v>2180</v>
      </c>
      <c r="P356" s="1">
        <f ca="1">IFERROR(__xludf.DUMMYFUNCTION("""COMPUTED_VALUE"""),1290)</f>
        <v>1290</v>
      </c>
      <c r="Q356" s="1">
        <f ca="1">IFERROR(__xludf.DUMMYFUNCTION("""COMPUTED_VALUE"""),936)</f>
        <v>936</v>
      </c>
      <c r="R356" s="1">
        <f ca="1">IFERROR(__xludf.DUMMYFUNCTION("""COMPUTED_VALUE"""),1856)</f>
        <v>1856</v>
      </c>
      <c r="S356" s="1">
        <f ca="1">IFERROR(__xludf.DUMMYFUNCTION("""COMPUTED_VALUE"""),0.504)</f>
        <v>0.504</v>
      </c>
      <c r="T356" s="1">
        <f ca="1">IFERROR(__xludf.DUMMYFUNCTION("""COMPUTED_VALUE"""),215)</f>
        <v>215</v>
      </c>
      <c r="U356" s="1">
        <f ca="1">IFERROR(__xludf.DUMMYFUNCTION("""COMPUTED_VALUE"""),609)</f>
        <v>609</v>
      </c>
      <c r="V356" s="1">
        <f ca="1">IFERROR(__xludf.DUMMYFUNCTION("""COMPUTED_VALUE"""),0.353)</f>
        <v>0.35299999999999998</v>
      </c>
      <c r="W356" s="1">
        <f ca="1">IFERROR(__xludf.DUMMYFUNCTION("""COMPUTED_VALUE"""),424)</f>
        <v>424</v>
      </c>
      <c r="X356" s="1">
        <f ca="1">IFERROR(__xludf.DUMMYFUNCTION("""COMPUTED_VALUE"""),622)</f>
        <v>622</v>
      </c>
      <c r="Y356" s="1">
        <f ca="1">IFERROR(__xludf.DUMMYFUNCTION("""COMPUTED_VALUE"""),0.682)</f>
        <v>0.68200000000000005</v>
      </c>
      <c r="Z356" s="1">
        <f ca="1">IFERROR(__xludf.DUMMYFUNCTION("""COMPUTED_VALUE"""),321)</f>
        <v>321</v>
      </c>
      <c r="AA356" s="1">
        <f ca="1">IFERROR(__xludf.DUMMYFUNCTION("""COMPUTED_VALUE"""),1217)</f>
        <v>1217</v>
      </c>
      <c r="AB356" s="1">
        <f ca="1">IFERROR(__xludf.DUMMYFUNCTION("""COMPUTED_VALUE"""),476)</f>
        <v>476</v>
      </c>
      <c r="AC356" s="1">
        <f ca="1">IFERROR(__xludf.DUMMYFUNCTION("""COMPUTED_VALUE"""),195)</f>
        <v>195</v>
      </c>
      <c r="AD356" s="1">
        <f ca="1">IFERROR(__xludf.DUMMYFUNCTION("""COMPUTED_VALUE"""),113)</f>
        <v>113</v>
      </c>
      <c r="AE356" s="1">
        <f ca="1">IFERROR(__xludf.DUMMYFUNCTION("""COMPUTED_VALUE"""),431)</f>
        <v>431</v>
      </c>
      <c r="AF356" s="1">
        <f ca="1">IFERROR(__xludf.DUMMYFUNCTION("""COMPUTED_VALUE"""),539)</f>
        <v>539</v>
      </c>
    </row>
    <row r="357" spans="1:32" ht="12.5" x14ac:dyDescent="0.25">
      <c r="A357" s="1" t="str">
        <f ca="1">IFERROR(__xludf.DUMMYFUNCTION("""COMPUTED_VALUE"""),"Valparaiso")</f>
        <v>Valparaiso</v>
      </c>
      <c r="B357" s="1">
        <f ca="1">IFERROR(__xludf.DUMMYFUNCTION("""COMPUTED_VALUE"""),33)</f>
        <v>33</v>
      </c>
      <c r="C357" s="1">
        <f ca="1">IFERROR(__xludf.DUMMYFUNCTION("""COMPUTED_VALUE"""),24)</f>
        <v>24</v>
      </c>
      <c r="D357" s="1">
        <f ca="1">IFERROR(__xludf.DUMMYFUNCTION("""COMPUTED_VALUE"""),9)</f>
        <v>9</v>
      </c>
      <c r="E357" s="1">
        <f ca="1">IFERROR(__xludf.DUMMYFUNCTION("""COMPUTED_VALUE"""),0.727)</f>
        <v>0.72699999999999998</v>
      </c>
      <c r="F357" s="1">
        <f ca="1">IFERROR(__xludf.DUMMYFUNCTION("""COMPUTED_VALUE"""),3.94)</f>
        <v>3.94</v>
      </c>
      <c r="G357" s="1">
        <f ca="1">IFERROR(__xludf.DUMMYFUNCTION("""COMPUTED_VALUE"""),-1.59)</f>
        <v>-1.59</v>
      </c>
      <c r="H357" s="1">
        <f ca="1">IFERROR(__xludf.DUMMYFUNCTION("""COMPUTED_VALUE"""),14)</f>
        <v>14</v>
      </c>
      <c r="I357" s="1">
        <f ca="1">IFERROR(__xludf.DUMMYFUNCTION("""COMPUTED_VALUE"""),4)</f>
        <v>4</v>
      </c>
      <c r="J357" s="1">
        <f ca="1">IFERROR(__xludf.DUMMYFUNCTION("""COMPUTED_VALUE"""),15)</f>
        <v>15</v>
      </c>
      <c r="K357" s="1">
        <f ca="1">IFERROR(__xludf.DUMMYFUNCTION("""COMPUTED_VALUE"""),2)</f>
        <v>2</v>
      </c>
      <c r="L357" s="1">
        <f ca="1">IFERROR(__xludf.DUMMYFUNCTION("""COMPUTED_VALUE"""),7)</f>
        <v>7</v>
      </c>
      <c r="M357" s="1">
        <f ca="1">IFERROR(__xludf.DUMMYFUNCTION("""COMPUTED_VALUE"""),6)</f>
        <v>6</v>
      </c>
      <c r="N357" s="1">
        <f ca="1">IFERROR(__xludf.DUMMYFUNCTION("""COMPUTED_VALUE"""),2465)</f>
        <v>2465</v>
      </c>
      <c r="O357" s="1">
        <f ca="1">IFERROR(__xludf.DUMMYFUNCTION("""COMPUTED_VALUE"""),2274)</f>
        <v>2274</v>
      </c>
      <c r="P357" s="1">
        <f ca="1">IFERROR(__xludf.DUMMYFUNCTION("""COMPUTED_VALUE"""),1330)</f>
        <v>1330</v>
      </c>
      <c r="Q357" s="1">
        <f ca="1">IFERROR(__xludf.DUMMYFUNCTION("""COMPUTED_VALUE"""),848)</f>
        <v>848</v>
      </c>
      <c r="R357" s="1">
        <f ca="1">IFERROR(__xludf.DUMMYFUNCTION("""COMPUTED_VALUE"""),1912)</f>
        <v>1912</v>
      </c>
      <c r="S357" s="1">
        <f ca="1">IFERROR(__xludf.DUMMYFUNCTION("""COMPUTED_VALUE"""),0.444)</f>
        <v>0.44400000000000001</v>
      </c>
      <c r="T357" s="1">
        <f ca="1">IFERROR(__xludf.DUMMYFUNCTION("""COMPUTED_VALUE"""),217)</f>
        <v>217</v>
      </c>
      <c r="U357" s="1">
        <f ca="1">IFERROR(__xludf.DUMMYFUNCTION("""COMPUTED_VALUE"""),670)</f>
        <v>670</v>
      </c>
      <c r="V357" s="1">
        <f ca="1">IFERROR(__xludf.DUMMYFUNCTION("""COMPUTED_VALUE"""),0.324)</f>
        <v>0.32400000000000001</v>
      </c>
      <c r="W357" s="1">
        <f ca="1">IFERROR(__xludf.DUMMYFUNCTION("""COMPUTED_VALUE"""),552)</f>
        <v>552</v>
      </c>
      <c r="X357" s="1">
        <f ca="1">IFERROR(__xludf.DUMMYFUNCTION("""COMPUTED_VALUE"""),712)</f>
        <v>712</v>
      </c>
      <c r="Y357" s="1">
        <f ca="1">IFERROR(__xludf.DUMMYFUNCTION("""COMPUTED_VALUE"""),0.775)</f>
        <v>0.77500000000000002</v>
      </c>
      <c r="Z357" s="1">
        <f ca="1">IFERROR(__xludf.DUMMYFUNCTION("""COMPUTED_VALUE"""),351)</f>
        <v>351</v>
      </c>
      <c r="AA357" s="1">
        <f ca="1">IFERROR(__xludf.DUMMYFUNCTION("""COMPUTED_VALUE"""),1251)</f>
        <v>1251</v>
      </c>
      <c r="AB357" s="1">
        <f ca="1">IFERROR(__xludf.DUMMYFUNCTION("""COMPUTED_VALUE"""),422)</f>
        <v>422</v>
      </c>
      <c r="AC357" s="1">
        <f ca="1">IFERROR(__xludf.DUMMYFUNCTION("""COMPUTED_VALUE"""),211)</f>
        <v>211</v>
      </c>
      <c r="AD357" s="1">
        <f ca="1">IFERROR(__xludf.DUMMYFUNCTION("""COMPUTED_VALUE"""),96)</f>
        <v>96</v>
      </c>
      <c r="AE357" s="1">
        <f ca="1">IFERROR(__xludf.DUMMYFUNCTION("""COMPUTED_VALUE"""),425)</f>
        <v>425</v>
      </c>
      <c r="AF357" s="1">
        <f ca="1">IFERROR(__xludf.DUMMYFUNCTION("""COMPUTED_VALUE"""),621)</f>
        <v>621</v>
      </c>
    </row>
    <row r="358" spans="1:32" ht="12.5" x14ac:dyDescent="0.25">
      <c r="A358" s="1" t="str">
        <f ca="1">IFERROR(__xludf.DUMMYFUNCTION("""COMPUTED_VALUE"""),"VanderbiltNCAA")</f>
        <v>VanderbiltNCAA</v>
      </c>
      <c r="B358" s="1">
        <f ca="1">IFERROR(__xludf.DUMMYFUNCTION("""COMPUTED_VALUE"""),35)</f>
        <v>35</v>
      </c>
      <c r="C358" s="1">
        <f ca="1">IFERROR(__xludf.DUMMYFUNCTION("""COMPUTED_VALUE"""),19)</f>
        <v>19</v>
      </c>
      <c r="D358" s="1">
        <f ca="1">IFERROR(__xludf.DUMMYFUNCTION("""COMPUTED_VALUE"""),16)</f>
        <v>16</v>
      </c>
      <c r="E358" s="1">
        <f ca="1">IFERROR(__xludf.DUMMYFUNCTION("""COMPUTED_VALUE"""),0.543)</f>
        <v>0.54300000000000004</v>
      </c>
      <c r="F358" s="1">
        <f ca="1">IFERROR(__xludf.DUMMYFUNCTION("""COMPUTED_VALUE"""),13.69)</f>
        <v>13.69</v>
      </c>
      <c r="G358" s="1">
        <f ca="1">IFERROR(__xludf.DUMMYFUNCTION("""COMPUTED_VALUE"""),10.72)</f>
        <v>10.72</v>
      </c>
      <c r="H358" s="1">
        <f ca="1">IFERROR(__xludf.DUMMYFUNCTION("""COMPUTED_VALUE"""),10)</f>
        <v>10</v>
      </c>
      <c r="I358" s="1">
        <f ca="1">IFERROR(__xludf.DUMMYFUNCTION("""COMPUTED_VALUE"""),8)</f>
        <v>8</v>
      </c>
      <c r="J358" s="1">
        <f ca="1">IFERROR(__xludf.DUMMYFUNCTION("""COMPUTED_VALUE"""),11)</f>
        <v>11</v>
      </c>
      <c r="K358" s="1">
        <f ca="1">IFERROR(__xludf.DUMMYFUNCTION("""COMPUTED_VALUE"""),5)</f>
        <v>5</v>
      </c>
      <c r="L358" s="1">
        <f ca="1">IFERROR(__xludf.DUMMYFUNCTION("""COMPUTED_VALUE"""),5)</f>
        <v>5</v>
      </c>
      <c r="M358" s="1">
        <f ca="1">IFERROR(__xludf.DUMMYFUNCTION("""COMPUTED_VALUE"""),6)</f>
        <v>6</v>
      </c>
      <c r="N358" s="1">
        <f ca="1">IFERROR(__xludf.DUMMYFUNCTION("""COMPUTED_VALUE"""),2489)</f>
        <v>2489</v>
      </c>
      <c r="O358" s="1">
        <f ca="1">IFERROR(__xludf.DUMMYFUNCTION("""COMPUTED_VALUE"""),2385)</f>
        <v>2385</v>
      </c>
      <c r="P358" s="1">
        <f ca="1">IFERROR(__xludf.DUMMYFUNCTION("""COMPUTED_VALUE"""),1405)</f>
        <v>1405</v>
      </c>
      <c r="Q358" s="1">
        <f ca="1">IFERROR(__xludf.DUMMYFUNCTION("""COMPUTED_VALUE"""),815)</f>
        <v>815</v>
      </c>
      <c r="R358" s="1">
        <f ca="1">IFERROR(__xludf.DUMMYFUNCTION("""COMPUTED_VALUE"""),1896)</f>
        <v>1896</v>
      </c>
      <c r="S358" s="1">
        <f ca="1">IFERROR(__xludf.DUMMYFUNCTION("""COMPUTED_VALUE"""),0.43)</f>
        <v>0.43</v>
      </c>
      <c r="T358" s="1">
        <f ca="1">IFERROR(__xludf.DUMMYFUNCTION("""COMPUTED_VALUE"""),346)</f>
        <v>346</v>
      </c>
      <c r="U358" s="1">
        <f ca="1">IFERROR(__xludf.DUMMYFUNCTION("""COMPUTED_VALUE"""),921)</f>
        <v>921</v>
      </c>
      <c r="V358" s="1">
        <f ca="1">IFERROR(__xludf.DUMMYFUNCTION("""COMPUTED_VALUE"""),0.376)</f>
        <v>0.376</v>
      </c>
      <c r="W358" s="1">
        <f ca="1">IFERROR(__xludf.DUMMYFUNCTION("""COMPUTED_VALUE"""),513)</f>
        <v>513</v>
      </c>
      <c r="X358" s="1">
        <f ca="1">IFERROR(__xludf.DUMMYFUNCTION("""COMPUTED_VALUE"""),660)</f>
        <v>660</v>
      </c>
      <c r="Y358" s="1">
        <f ca="1">IFERROR(__xludf.DUMMYFUNCTION("""COMPUTED_VALUE"""),0.777)</f>
        <v>0.77700000000000002</v>
      </c>
      <c r="Z358" s="1">
        <f ca="1">IFERROR(__xludf.DUMMYFUNCTION("""COMPUTED_VALUE"""),286)</f>
        <v>286</v>
      </c>
      <c r="AA358" s="1">
        <f ca="1">IFERROR(__xludf.DUMMYFUNCTION("""COMPUTED_VALUE"""),1208)</f>
        <v>1208</v>
      </c>
      <c r="AB358" s="1">
        <f ca="1">IFERROR(__xludf.DUMMYFUNCTION("""COMPUTED_VALUE"""),450)</f>
        <v>450</v>
      </c>
      <c r="AC358" s="1">
        <f ca="1">IFERROR(__xludf.DUMMYFUNCTION("""COMPUTED_VALUE"""),147)</f>
        <v>147</v>
      </c>
      <c r="AD358" s="1">
        <f ca="1">IFERROR(__xludf.DUMMYFUNCTION("""COMPUTED_VALUE"""),133)</f>
        <v>133</v>
      </c>
      <c r="AE358" s="1">
        <f ca="1">IFERROR(__xludf.DUMMYFUNCTION("""COMPUTED_VALUE"""),430)</f>
        <v>430</v>
      </c>
      <c r="AF358" s="1">
        <f ca="1">IFERROR(__xludf.DUMMYFUNCTION("""COMPUTED_VALUE"""),581)</f>
        <v>581</v>
      </c>
    </row>
    <row r="359" spans="1:32" ht="12.5" x14ac:dyDescent="0.25">
      <c r="A359" s="1" t="str">
        <f ca="1">IFERROR(__xludf.DUMMYFUNCTION("""COMPUTED_VALUE"""),"VermontNCAA")</f>
        <v>VermontNCAA</v>
      </c>
      <c r="B359" s="1">
        <f ca="1">IFERROR(__xludf.DUMMYFUNCTION("""COMPUTED_VALUE"""),35)</f>
        <v>35</v>
      </c>
      <c r="C359" s="1">
        <f ca="1">IFERROR(__xludf.DUMMYFUNCTION("""COMPUTED_VALUE"""),29)</f>
        <v>29</v>
      </c>
      <c r="D359" s="1">
        <f ca="1">IFERROR(__xludf.DUMMYFUNCTION("""COMPUTED_VALUE"""),6)</f>
        <v>6</v>
      </c>
      <c r="E359" s="1">
        <f ca="1">IFERROR(__xludf.DUMMYFUNCTION("""COMPUTED_VALUE"""),0.829)</f>
        <v>0.82899999999999996</v>
      </c>
      <c r="F359" s="1">
        <f ca="1">IFERROR(__xludf.DUMMYFUNCTION("""COMPUTED_VALUE"""),6.67)</f>
        <v>6.67</v>
      </c>
      <c r="G359" s="1">
        <f ca="1">IFERROR(__xludf.DUMMYFUNCTION("""COMPUTED_VALUE"""),-3.27)</f>
        <v>-3.27</v>
      </c>
      <c r="H359" s="1">
        <f ca="1">IFERROR(__xludf.DUMMYFUNCTION("""COMPUTED_VALUE"""),16)</f>
        <v>16</v>
      </c>
      <c r="I359" s="1">
        <f ca="1">IFERROR(__xludf.DUMMYFUNCTION("""COMPUTED_VALUE"""),0)</f>
        <v>0</v>
      </c>
      <c r="J359" s="1">
        <f ca="1">IFERROR(__xludf.DUMMYFUNCTION("""COMPUTED_VALUE"""),16)</f>
        <v>16</v>
      </c>
      <c r="K359" s="1">
        <f ca="1">IFERROR(__xludf.DUMMYFUNCTION("""COMPUTED_VALUE"""),1)</f>
        <v>1</v>
      </c>
      <c r="L359" s="1">
        <f ca="1">IFERROR(__xludf.DUMMYFUNCTION("""COMPUTED_VALUE"""),11)</f>
        <v>11</v>
      </c>
      <c r="M359" s="1">
        <f ca="1">IFERROR(__xludf.DUMMYFUNCTION("""COMPUTED_VALUE"""),3)</f>
        <v>3</v>
      </c>
      <c r="N359" s="1">
        <f ca="1">IFERROR(__xludf.DUMMYFUNCTION("""COMPUTED_VALUE"""),2571)</f>
        <v>2571</v>
      </c>
      <c r="O359" s="1">
        <f ca="1">IFERROR(__xludf.DUMMYFUNCTION("""COMPUTED_VALUE"""),2174)</f>
        <v>2174</v>
      </c>
      <c r="P359" s="1">
        <f ca="1">IFERROR(__xludf.DUMMYFUNCTION("""COMPUTED_VALUE"""),1400)</f>
        <v>1400</v>
      </c>
      <c r="Q359" s="1">
        <f ca="1">IFERROR(__xludf.DUMMYFUNCTION("""COMPUTED_VALUE"""),943)</f>
        <v>943</v>
      </c>
      <c r="R359" s="1">
        <f ca="1">IFERROR(__xludf.DUMMYFUNCTION("""COMPUTED_VALUE"""),1909)</f>
        <v>1909</v>
      </c>
      <c r="S359" s="1">
        <f ca="1">IFERROR(__xludf.DUMMYFUNCTION("""COMPUTED_VALUE"""),0.494)</f>
        <v>0.49399999999999999</v>
      </c>
      <c r="T359" s="1">
        <f ca="1">IFERROR(__xludf.DUMMYFUNCTION("""COMPUTED_VALUE"""),229)</f>
        <v>229</v>
      </c>
      <c r="U359" s="1">
        <f ca="1">IFERROR(__xludf.DUMMYFUNCTION("""COMPUTED_VALUE"""),621)</f>
        <v>621</v>
      </c>
      <c r="V359" s="1">
        <f ca="1">IFERROR(__xludf.DUMMYFUNCTION("""COMPUTED_VALUE"""),0.369)</f>
        <v>0.36899999999999999</v>
      </c>
      <c r="W359" s="1">
        <f ca="1">IFERROR(__xludf.DUMMYFUNCTION("""COMPUTED_VALUE"""),456)</f>
        <v>456</v>
      </c>
      <c r="X359" s="1">
        <f ca="1">IFERROR(__xludf.DUMMYFUNCTION("""COMPUTED_VALUE"""),651)</f>
        <v>651</v>
      </c>
      <c r="Y359" s="1">
        <f ca="1">IFERROR(__xludf.DUMMYFUNCTION("""COMPUTED_VALUE"""),0.7)</f>
        <v>0.7</v>
      </c>
      <c r="Z359" s="1">
        <f ca="1">IFERROR(__xludf.DUMMYFUNCTION("""COMPUTED_VALUE"""),326)</f>
        <v>326</v>
      </c>
      <c r="AA359" s="1">
        <f ca="1">IFERROR(__xludf.DUMMYFUNCTION("""COMPUTED_VALUE"""),1192)</f>
        <v>1192</v>
      </c>
      <c r="AB359" s="1">
        <f ca="1">IFERROR(__xludf.DUMMYFUNCTION("""COMPUTED_VALUE"""),476)</f>
        <v>476</v>
      </c>
      <c r="AC359" s="1">
        <f ca="1">IFERROR(__xludf.DUMMYFUNCTION("""COMPUTED_VALUE"""),199)</f>
        <v>199</v>
      </c>
      <c r="AD359" s="1">
        <f ca="1">IFERROR(__xludf.DUMMYFUNCTION("""COMPUTED_VALUE"""),151)</f>
        <v>151</v>
      </c>
      <c r="AE359" s="1">
        <f ca="1">IFERROR(__xludf.DUMMYFUNCTION("""COMPUTED_VALUE"""),392)</f>
        <v>392</v>
      </c>
      <c r="AF359" s="1">
        <f ca="1">IFERROR(__xludf.DUMMYFUNCTION("""COMPUTED_VALUE"""),555)</f>
        <v>555</v>
      </c>
    </row>
    <row r="360" spans="1:32" ht="12.5" x14ac:dyDescent="0.25">
      <c r="A360" s="1" t="str">
        <f ca="1">IFERROR(__xludf.DUMMYFUNCTION("""COMPUTED_VALUE"""),"VillanovaNCAA")</f>
        <v>VillanovaNCAA</v>
      </c>
      <c r="B360" s="1">
        <f ca="1">IFERROR(__xludf.DUMMYFUNCTION("""COMPUTED_VALUE"""),36)</f>
        <v>36</v>
      </c>
      <c r="C360" s="1">
        <f ca="1">IFERROR(__xludf.DUMMYFUNCTION("""COMPUTED_VALUE"""),32)</f>
        <v>32</v>
      </c>
      <c r="D360" s="1">
        <f ca="1">IFERROR(__xludf.DUMMYFUNCTION("""COMPUTED_VALUE"""),4)</f>
        <v>4</v>
      </c>
      <c r="E360" s="1">
        <f ca="1">IFERROR(__xludf.DUMMYFUNCTION("""COMPUTED_VALUE"""),0.889)</f>
        <v>0.88900000000000001</v>
      </c>
      <c r="F360" s="1">
        <f ca="1">IFERROR(__xludf.DUMMYFUNCTION("""COMPUTED_VALUE"""),23.8)</f>
        <v>23.8</v>
      </c>
      <c r="G360" s="1">
        <f ca="1">IFERROR(__xludf.DUMMYFUNCTION("""COMPUTED_VALUE"""),9.28)</f>
        <v>9.2799999999999994</v>
      </c>
      <c r="H360" s="1">
        <f ca="1">IFERROR(__xludf.DUMMYFUNCTION("""COMPUTED_VALUE"""),15)</f>
        <v>15</v>
      </c>
      <c r="I360" s="1">
        <f ca="1">IFERROR(__xludf.DUMMYFUNCTION("""COMPUTED_VALUE"""),3)</f>
        <v>3</v>
      </c>
      <c r="J360" s="1">
        <f ca="1">IFERROR(__xludf.DUMMYFUNCTION("""COMPUTED_VALUE"""),14)</f>
        <v>14</v>
      </c>
      <c r="K360" s="1">
        <f ca="1">IFERROR(__xludf.DUMMYFUNCTION("""COMPUTED_VALUE"""),1)</f>
        <v>1</v>
      </c>
      <c r="L360" s="1">
        <f ca="1">IFERROR(__xludf.DUMMYFUNCTION("""COMPUTED_VALUE"""),9)</f>
        <v>9</v>
      </c>
      <c r="M360" s="1">
        <f ca="1">IFERROR(__xludf.DUMMYFUNCTION("""COMPUTED_VALUE"""),2)</f>
        <v>2</v>
      </c>
      <c r="N360" s="1">
        <f ca="1">IFERROR(__xludf.DUMMYFUNCTION("""COMPUTED_VALUE"""),2779)</f>
        <v>2779</v>
      </c>
      <c r="O360" s="1">
        <f ca="1">IFERROR(__xludf.DUMMYFUNCTION("""COMPUTED_VALUE"""),2256)</f>
        <v>2256</v>
      </c>
      <c r="P360" s="1">
        <f ca="1">IFERROR(__xludf.DUMMYFUNCTION("""COMPUTED_VALUE"""),1440)</f>
        <v>1440</v>
      </c>
      <c r="Q360" s="1">
        <f ca="1">IFERROR(__xludf.DUMMYFUNCTION("""COMPUTED_VALUE"""),965)</f>
        <v>965</v>
      </c>
      <c r="R360" s="1">
        <f ca="1">IFERROR(__xludf.DUMMYFUNCTION("""COMPUTED_VALUE"""),1948)</f>
        <v>1948</v>
      </c>
      <c r="S360" s="1">
        <f ca="1">IFERROR(__xludf.DUMMYFUNCTION("""COMPUTED_VALUE"""),0.495)</f>
        <v>0.495</v>
      </c>
      <c r="T360" s="1">
        <f ca="1">IFERROR(__xludf.DUMMYFUNCTION("""COMPUTED_VALUE"""),311)</f>
        <v>311</v>
      </c>
      <c r="U360" s="1">
        <f ca="1">IFERROR(__xludf.DUMMYFUNCTION("""COMPUTED_VALUE"""),843)</f>
        <v>843</v>
      </c>
      <c r="V360" s="1">
        <f ca="1">IFERROR(__xludf.DUMMYFUNCTION("""COMPUTED_VALUE"""),0.369)</f>
        <v>0.36899999999999999</v>
      </c>
      <c r="W360" s="1">
        <f ca="1">IFERROR(__xludf.DUMMYFUNCTION("""COMPUTED_VALUE"""),538)</f>
        <v>538</v>
      </c>
      <c r="X360" s="1">
        <f ca="1">IFERROR(__xludf.DUMMYFUNCTION("""COMPUTED_VALUE"""),681)</f>
        <v>681</v>
      </c>
      <c r="Y360" s="1">
        <f ca="1">IFERROR(__xludf.DUMMYFUNCTION("""COMPUTED_VALUE"""),0.79)</f>
        <v>0.79</v>
      </c>
      <c r="Z360" s="1">
        <f ca="1">IFERROR(__xludf.DUMMYFUNCTION("""COMPUTED_VALUE"""),316)</f>
        <v>316</v>
      </c>
      <c r="AA360" s="1">
        <f ca="1">IFERROR(__xludf.DUMMYFUNCTION("""COMPUTED_VALUE"""),1208)</f>
        <v>1208</v>
      </c>
      <c r="AB360" s="1">
        <f ca="1">IFERROR(__xludf.DUMMYFUNCTION("""COMPUTED_VALUE"""),505)</f>
        <v>505</v>
      </c>
      <c r="AC360" s="1">
        <f ca="1">IFERROR(__xludf.DUMMYFUNCTION("""COMPUTED_VALUE"""),259)</f>
        <v>259</v>
      </c>
      <c r="AD360" s="1">
        <f ca="1">IFERROR(__xludf.DUMMYFUNCTION("""COMPUTED_VALUE"""),109)</f>
        <v>109</v>
      </c>
      <c r="AE360" s="1">
        <f ca="1">IFERROR(__xludf.DUMMYFUNCTION("""COMPUTED_VALUE"""),402)</f>
        <v>402</v>
      </c>
      <c r="AF360" s="1">
        <f ca="1">IFERROR(__xludf.DUMMYFUNCTION("""COMPUTED_VALUE"""),515)</f>
        <v>515</v>
      </c>
    </row>
    <row r="361" spans="1:32" ht="12.5" x14ac:dyDescent="0.25">
      <c r="A361" s="1" t="str">
        <f ca="1">IFERROR(__xludf.DUMMYFUNCTION("""COMPUTED_VALUE"""),"Virginia CommonwealthNCAA")</f>
        <v>Virginia CommonwealthNCAA</v>
      </c>
      <c r="B361" s="1">
        <f ca="1">IFERROR(__xludf.DUMMYFUNCTION("""COMPUTED_VALUE"""),35)</f>
        <v>35</v>
      </c>
      <c r="C361" s="1">
        <f ca="1">IFERROR(__xludf.DUMMYFUNCTION("""COMPUTED_VALUE"""),26)</f>
        <v>26</v>
      </c>
      <c r="D361" s="1">
        <f ca="1">IFERROR(__xludf.DUMMYFUNCTION("""COMPUTED_VALUE"""),9)</f>
        <v>9</v>
      </c>
      <c r="E361" s="1">
        <f ca="1">IFERROR(__xludf.DUMMYFUNCTION("""COMPUTED_VALUE"""),0.743)</f>
        <v>0.74299999999999999</v>
      </c>
      <c r="F361" s="1">
        <f ca="1">IFERROR(__xludf.DUMMYFUNCTION("""COMPUTED_VALUE"""),11.57)</f>
        <v>11.57</v>
      </c>
      <c r="G361" s="1">
        <f ca="1">IFERROR(__xludf.DUMMYFUNCTION("""COMPUTED_VALUE"""),3.77)</f>
        <v>3.77</v>
      </c>
      <c r="H361" s="1">
        <f ca="1">IFERROR(__xludf.DUMMYFUNCTION("""COMPUTED_VALUE"""),14)</f>
        <v>14</v>
      </c>
      <c r="I361" s="1">
        <f ca="1">IFERROR(__xludf.DUMMYFUNCTION("""COMPUTED_VALUE"""),4)</f>
        <v>4</v>
      </c>
      <c r="J361" s="1">
        <f ca="1">IFERROR(__xludf.DUMMYFUNCTION("""COMPUTED_VALUE"""),15)</f>
        <v>15</v>
      </c>
      <c r="K361" s="1">
        <f ca="1">IFERROR(__xludf.DUMMYFUNCTION("""COMPUTED_VALUE"""),1)</f>
        <v>1</v>
      </c>
      <c r="L361" s="1">
        <f ca="1">IFERROR(__xludf.DUMMYFUNCTION("""COMPUTED_VALUE"""),7)</f>
        <v>7</v>
      </c>
      <c r="M361" s="1">
        <f ca="1">IFERROR(__xludf.DUMMYFUNCTION("""COMPUTED_VALUE"""),4)</f>
        <v>4</v>
      </c>
      <c r="N361" s="1">
        <f ca="1">IFERROR(__xludf.DUMMYFUNCTION("""COMPUTED_VALUE"""),2616)</f>
        <v>2616</v>
      </c>
      <c r="O361" s="1">
        <f ca="1">IFERROR(__xludf.DUMMYFUNCTION("""COMPUTED_VALUE"""),2343)</f>
        <v>2343</v>
      </c>
      <c r="P361" s="1">
        <f ca="1">IFERROR(__xludf.DUMMYFUNCTION("""COMPUTED_VALUE"""),1420)</f>
        <v>1420</v>
      </c>
      <c r="Q361" s="1">
        <f ca="1">IFERROR(__xludf.DUMMYFUNCTION("""COMPUTED_VALUE"""),945)</f>
        <v>945</v>
      </c>
      <c r="R361" s="1">
        <f ca="1">IFERROR(__xludf.DUMMYFUNCTION("""COMPUTED_VALUE"""),2050)</f>
        <v>2050</v>
      </c>
      <c r="S361" s="1">
        <f ca="1">IFERROR(__xludf.DUMMYFUNCTION("""COMPUTED_VALUE"""),0.461)</f>
        <v>0.46100000000000002</v>
      </c>
      <c r="T361" s="1">
        <f ca="1">IFERROR(__xludf.DUMMYFUNCTION("""COMPUTED_VALUE"""),199)</f>
        <v>199</v>
      </c>
      <c r="U361" s="1">
        <f ca="1">IFERROR(__xludf.DUMMYFUNCTION("""COMPUTED_VALUE"""),602)</f>
        <v>602</v>
      </c>
      <c r="V361" s="1">
        <f ca="1">IFERROR(__xludf.DUMMYFUNCTION("""COMPUTED_VALUE"""),0.331)</f>
        <v>0.33100000000000002</v>
      </c>
      <c r="W361" s="1">
        <f ca="1">IFERROR(__xludf.DUMMYFUNCTION("""COMPUTED_VALUE"""),527)</f>
        <v>527</v>
      </c>
      <c r="X361" s="1">
        <f ca="1">IFERROR(__xludf.DUMMYFUNCTION("""COMPUTED_VALUE"""),747)</f>
        <v>747</v>
      </c>
      <c r="Y361" s="1">
        <f ca="1">IFERROR(__xludf.DUMMYFUNCTION("""COMPUTED_VALUE"""),0.705)</f>
        <v>0.70499999999999996</v>
      </c>
      <c r="Z361" s="1">
        <f ca="1">IFERROR(__xludf.DUMMYFUNCTION("""COMPUTED_VALUE"""),386)</f>
        <v>386</v>
      </c>
      <c r="AA361" s="1">
        <f ca="1">IFERROR(__xludf.DUMMYFUNCTION("""COMPUTED_VALUE"""),1275)</f>
        <v>1275</v>
      </c>
      <c r="AB361" s="1">
        <f ca="1">IFERROR(__xludf.DUMMYFUNCTION("""COMPUTED_VALUE"""),525)</f>
        <v>525</v>
      </c>
      <c r="AC361" s="1">
        <f ca="1">IFERROR(__xludf.DUMMYFUNCTION("""COMPUTED_VALUE"""),263)</f>
        <v>263</v>
      </c>
      <c r="AD361" s="1">
        <f ca="1">IFERROR(__xludf.DUMMYFUNCTION("""COMPUTED_VALUE"""),138)</f>
        <v>138</v>
      </c>
      <c r="AE361" s="1">
        <f ca="1">IFERROR(__xludf.DUMMYFUNCTION("""COMPUTED_VALUE"""),435)</f>
        <v>435</v>
      </c>
      <c r="AF361" s="1">
        <f ca="1">IFERROR(__xludf.DUMMYFUNCTION("""COMPUTED_VALUE"""),728)</f>
        <v>728</v>
      </c>
    </row>
    <row r="362" spans="1:32" ht="12.5" x14ac:dyDescent="0.25">
      <c r="A362" s="1" t="str">
        <f ca="1">IFERROR(__xludf.DUMMYFUNCTION("""COMPUTED_VALUE"""),"VMI")</f>
        <v>VMI</v>
      </c>
      <c r="B362" s="1">
        <f ca="1">IFERROR(__xludf.DUMMYFUNCTION("""COMPUTED_VALUE"""),30)</f>
        <v>30</v>
      </c>
      <c r="C362" s="1">
        <f ca="1">IFERROR(__xludf.DUMMYFUNCTION("""COMPUTED_VALUE"""),6)</f>
        <v>6</v>
      </c>
      <c r="D362" s="1">
        <f ca="1">IFERROR(__xludf.DUMMYFUNCTION("""COMPUTED_VALUE"""),24)</f>
        <v>24</v>
      </c>
      <c r="E362" s="1">
        <f ca="1">IFERROR(__xludf.DUMMYFUNCTION("""COMPUTED_VALUE"""),0.2)</f>
        <v>0.2</v>
      </c>
      <c r="F362" s="1">
        <f ca="1">IFERROR(__xludf.DUMMYFUNCTION("""COMPUTED_VALUE"""),-13.91)</f>
        <v>-13.91</v>
      </c>
      <c r="G362" s="1">
        <f ca="1">IFERROR(__xludf.DUMMYFUNCTION("""COMPUTED_VALUE"""),-1.8)</f>
        <v>-1.8</v>
      </c>
      <c r="H362" s="1">
        <f ca="1">IFERROR(__xludf.DUMMYFUNCTION("""COMPUTED_VALUE"""),3)</f>
        <v>3</v>
      </c>
      <c r="I362" s="1">
        <f ca="1">IFERROR(__xludf.DUMMYFUNCTION("""COMPUTED_VALUE"""),15)</f>
        <v>15</v>
      </c>
      <c r="J362" s="1">
        <f ca="1">IFERROR(__xludf.DUMMYFUNCTION("""COMPUTED_VALUE"""),5)</f>
        <v>5</v>
      </c>
      <c r="K362" s="1">
        <f ca="1">IFERROR(__xludf.DUMMYFUNCTION("""COMPUTED_VALUE"""),9)</f>
        <v>9</v>
      </c>
      <c r="L362" s="1">
        <f ca="1">IFERROR(__xludf.DUMMYFUNCTION("""COMPUTED_VALUE"""),1)</f>
        <v>1</v>
      </c>
      <c r="M362" s="1">
        <f ca="1">IFERROR(__xludf.DUMMYFUNCTION("""COMPUTED_VALUE"""),14)</f>
        <v>14</v>
      </c>
      <c r="N362" s="1">
        <f ca="1">IFERROR(__xludf.DUMMYFUNCTION("""COMPUTED_VALUE"""),2057)</f>
        <v>2057</v>
      </c>
      <c r="O362" s="1">
        <f ca="1">IFERROR(__xludf.DUMMYFUNCTION("""COMPUTED_VALUE"""),2346)</f>
        <v>2346</v>
      </c>
      <c r="P362" s="1">
        <f ca="1">IFERROR(__xludf.DUMMYFUNCTION("""COMPUTED_VALUE"""),1200)</f>
        <v>1200</v>
      </c>
      <c r="Q362" s="1">
        <f ca="1">IFERROR(__xludf.DUMMYFUNCTION("""COMPUTED_VALUE"""),732)</f>
        <v>732</v>
      </c>
      <c r="R362" s="1">
        <f ca="1">IFERROR(__xludf.DUMMYFUNCTION("""COMPUTED_VALUE"""),1778)</f>
        <v>1778</v>
      </c>
      <c r="S362" s="1">
        <f ca="1">IFERROR(__xludf.DUMMYFUNCTION("""COMPUTED_VALUE"""),0.412)</f>
        <v>0.41199999999999998</v>
      </c>
      <c r="T362" s="1">
        <f ca="1">IFERROR(__xludf.DUMMYFUNCTION("""COMPUTED_VALUE"""),248)</f>
        <v>248</v>
      </c>
      <c r="U362" s="1">
        <f ca="1">IFERROR(__xludf.DUMMYFUNCTION("""COMPUTED_VALUE"""),786)</f>
        <v>786</v>
      </c>
      <c r="V362" s="1">
        <f ca="1">IFERROR(__xludf.DUMMYFUNCTION("""COMPUTED_VALUE"""),0.316)</f>
        <v>0.316</v>
      </c>
      <c r="W362" s="1">
        <f ca="1">IFERROR(__xludf.DUMMYFUNCTION("""COMPUTED_VALUE"""),345)</f>
        <v>345</v>
      </c>
      <c r="X362" s="1">
        <f ca="1">IFERROR(__xludf.DUMMYFUNCTION("""COMPUTED_VALUE"""),500)</f>
        <v>500</v>
      </c>
      <c r="Y362" s="1">
        <f ca="1">IFERROR(__xludf.DUMMYFUNCTION("""COMPUTED_VALUE"""),0.69)</f>
        <v>0.69</v>
      </c>
      <c r="Z362" s="1">
        <f ca="1">IFERROR(__xludf.DUMMYFUNCTION("""COMPUTED_VALUE"""),306)</f>
        <v>306</v>
      </c>
      <c r="AA362" s="1">
        <f ca="1">IFERROR(__xludf.DUMMYFUNCTION("""COMPUTED_VALUE"""),992)</f>
        <v>992</v>
      </c>
      <c r="AB362" s="1">
        <f ca="1">IFERROR(__xludf.DUMMYFUNCTION("""COMPUTED_VALUE"""),356)</f>
        <v>356</v>
      </c>
      <c r="AC362" s="1">
        <f ca="1">IFERROR(__xludf.DUMMYFUNCTION("""COMPUTED_VALUE"""),188)</f>
        <v>188</v>
      </c>
      <c r="AD362" s="1">
        <f ca="1">IFERROR(__xludf.DUMMYFUNCTION("""COMPUTED_VALUE"""),114)</f>
        <v>114</v>
      </c>
      <c r="AE362" s="1">
        <f ca="1">IFERROR(__xludf.DUMMYFUNCTION("""COMPUTED_VALUE"""),395)</f>
        <v>395</v>
      </c>
      <c r="AF362" s="1">
        <f ca="1">IFERROR(__xludf.DUMMYFUNCTION("""COMPUTED_VALUE"""),594)</f>
        <v>594</v>
      </c>
    </row>
    <row r="363" spans="1:32" ht="12.5" x14ac:dyDescent="0.25">
      <c r="A363" s="1" t="str">
        <f ca="1">IFERROR(__xludf.DUMMYFUNCTION("""COMPUTED_VALUE"""),"Virginia TechNCAA")</f>
        <v>Virginia TechNCAA</v>
      </c>
      <c r="B363" s="1">
        <f ca="1">IFERROR(__xludf.DUMMYFUNCTION("""COMPUTED_VALUE"""),33)</f>
        <v>33</v>
      </c>
      <c r="C363" s="1">
        <f ca="1">IFERROR(__xludf.DUMMYFUNCTION("""COMPUTED_VALUE"""),22)</f>
        <v>22</v>
      </c>
      <c r="D363" s="1">
        <f ca="1">IFERROR(__xludf.DUMMYFUNCTION("""COMPUTED_VALUE"""),11)</f>
        <v>11</v>
      </c>
      <c r="E363" s="1">
        <f ca="1">IFERROR(__xludf.DUMMYFUNCTION("""COMPUTED_VALUE"""),0.667)</f>
        <v>0.66700000000000004</v>
      </c>
      <c r="F363" s="1">
        <f ca="1">IFERROR(__xludf.DUMMYFUNCTION("""COMPUTED_VALUE"""),12.77)</f>
        <v>12.77</v>
      </c>
      <c r="G363" s="1">
        <f ca="1">IFERROR(__xludf.DUMMYFUNCTION("""COMPUTED_VALUE"""),8.38)</f>
        <v>8.3800000000000008</v>
      </c>
      <c r="H363" s="1">
        <f ca="1">IFERROR(__xludf.DUMMYFUNCTION("""COMPUTED_VALUE"""),10)</f>
        <v>10</v>
      </c>
      <c r="I363" s="1">
        <f ca="1">IFERROR(__xludf.DUMMYFUNCTION("""COMPUTED_VALUE"""),8)</f>
        <v>8</v>
      </c>
      <c r="J363" s="1">
        <f ca="1">IFERROR(__xludf.DUMMYFUNCTION("""COMPUTED_VALUE"""),15)</f>
        <v>15</v>
      </c>
      <c r="K363" s="1">
        <f ca="1">IFERROR(__xludf.DUMMYFUNCTION("""COMPUTED_VALUE"""),2)</f>
        <v>2</v>
      </c>
      <c r="L363" s="1">
        <f ca="1">IFERROR(__xludf.DUMMYFUNCTION("""COMPUTED_VALUE"""),4)</f>
        <v>4</v>
      </c>
      <c r="M363" s="1">
        <f ca="1">IFERROR(__xludf.DUMMYFUNCTION("""COMPUTED_VALUE"""),6)</f>
        <v>6</v>
      </c>
      <c r="N363" s="1">
        <f ca="1">IFERROR(__xludf.DUMMYFUNCTION("""COMPUTED_VALUE"""),2610)</f>
        <v>2610</v>
      </c>
      <c r="O363" s="1">
        <f ca="1">IFERROR(__xludf.DUMMYFUNCTION("""COMPUTED_VALUE"""),2465)</f>
        <v>2465</v>
      </c>
      <c r="P363" s="1">
        <f ca="1">IFERROR(__xludf.DUMMYFUNCTION("""COMPUTED_VALUE"""),1330)</f>
        <v>1330</v>
      </c>
      <c r="Q363" s="1">
        <f ca="1">IFERROR(__xludf.DUMMYFUNCTION("""COMPUTED_VALUE"""),887)</f>
        <v>887</v>
      </c>
      <c r="R363" s="1">
        <f ca="1">IFERROR(__xludf.DUMMYFUNCTION("""COMPUTED_VALUE"""),1813)</f>
        <v>1813</v>
      </c>
      <c r="S363" s="1">
        <f ca="1">IFERROR(__xludf.DUMMYFUNCTION("""COMPUTED_VALUE"""),0.489)</f>
        <v>0.48899999999999999</v>
      </c>
      <c r="T363" s="1">
        <f ca="1">IFERROR(__xludf.DUMMYFUNCTION("""COMPUTED_VALUE"""),290)</f>
        <v>290</v>
      </c>
      <c r="U363" s="1">
        <f ca="1">IFERROR(__xludf.DUMMYFUNCTION("""COMPUTED_VALUE"""),720)</f>
        <v>720</v>
      </c>
      <c r="V363" s="1">
        <f ca="1">IFERROR(__xludf.DUMMYFUNCTION("""COMPUTED_VALUE"""),0.403)</f>
        <v>0.40300000000000002</v>
      </c>
      <c r="W363" s="1">
        <f ca="1">IFERROR(__xludf.DUMMYFUNCTION("""COMPUTED_VALUE"""),546)</f>
        <v>546</v>
      </c>
      <c r="X363" s="1">
        <f ca="1">IFERROR(__xludf.DUMMYFUNCTION("""COMPUTED_VALUE"""),741)</f>
        <v>741</v>
      </c>
      <c r="Y363" s="1">
        <f ca="1">IFERROR(__xludf.DUMMYFUNCTION("""COMPUTED_VALUE"""),0.737)</f>
        <v>0.73699999999999999</v>
      </c>
      <c r="Z363" s="1">
        <f ca="1">IFERROR(__xludf.DUMMYFUNCTION("""COMPUTED_VALUE"""),240)</f>
        <v>240</v>
      </c>
      <c r="AA363" s="1">
        <f ca="1">IFERROR(__xludf.DUMMYFUNCTION("""COMPUTED_VALUE"""),1068)</f>
        <v>1068</v>
      </c>
      <c r="AB363" s="1">
        <f ca="1">IFERROR(__xludf.DUMMYFUNCTION("""COMPUTED_VALUE"""),497)</f>
        <v>497</v>
      </c>
      <c r="AC363" s="1">
        <f ca="1">IFERROR(__xludf.DUMMYFUNCTION("""COMPUTED_VALUE"""),131)</f>
        <v>131</v>
      </c>
      <c r="AD363" s="1">
        <f ca="1">IFERROR(__xludf.DUMMYFUNCTION("""COMPUTED_VALUE"""),91)</f>
        <v>91</v>
      </c>
      <c r="AE363" s="1">
        <f ca="1">IFERROR(__xludf.DUMMYFUNCTION("""COMPUTED_VALUE"""),398)</f>
        <v>398</v>
      </c>
      <c r="AF363" s="1">
        <f ca="1">IFERROR(__xludf.DUMMYFUNCTION("""COMPUTED_VALUE"""),543)</f>
        <v>543</v>
      </c>
    </row>
    <row r="364" spans="1:32" ht="12.5" x14ac:dyDescent="0.25">
      <c r="A364" s="1" t="str">
        <f ca="1">IFERROR(__xludf.DUMMYFUNCTION("""COMPUTED_VALUE"""),"VirginiaNCAA")</f>
        <v>VirginiaNCAA</v>
      </c>
      <c r="B364" s="1">
        <f ca="1">IFERROR(__xludf.DUMMYFUNCTION("""COMPUTED_VALUE"""),34)</f>
        <v>34</v>
      </c>
      <c r="C364" s="1">
        <f ca="1">IFERROR(__xludf.DUMMYFUNCTION("""COMPUTED_VALUE"""),23)</f>
        <v>23</v>
      </c>
      <c r="D364" s="1">
        <f ca="1">IFERROR(__xludf.DUMMYFUNCTION("""COMPUTED_VALUE"""),11)</f>
        <v>11</v>
      </c>
      <c r="E364" s="1">
        <f ca="1">IFERROR(__xludf.DUMMYFUNCTION("""COMPUTED_VALUE"""),0.676)</f>
        <v>0.67600000000000005</v>
      </c>
      <c r="F364" s="1">
        <f ca="1">IFERROR(__xludf.DUMMYFUNCTION("""COMPUTED_VALUE"""),20.63)</f>
        <v>20.63</v>
      </c>
      <c r="G364" s="1">
        <f ca="1">IFERROR(__xludf.DUMMYFUNCTION("""COMPUTED_VALUE"""),10.93)</f>
        <v>10.93</v>
      </c>
      <c r="H364" s="1">
        <f ca="1">IFERROR(__xludf.DUMMYFUNCTION("""COMPUTED_VALUE"""),11)</f>
        <v>11</v>
      </c>
      <c r="I364" s="1">
        <f ca="1">IFERROR(__xludf.DUMMYFUNCTION("""COMPUTED_VALUE"""),7)</f>
        <v>7</v>
      </c>
      <c r="J364" s="1">
        <f ca="1">IFERROR(__xludf.DUMMYFUNCTION("""COMPUTED_VALUE"""),12)</f>
        <v>12</v>
      </c>
      <c r="K364" s="1">
        <f ca="1">IFERROR(__xludf.DUMMYFUNCTION("""COMPUTED_VALUE"""),4)</f>
        <v>4</v>
      </c>
      <c r="L364" s="1">
        <f ca="1">IFERROR(__xludf.DUMMYFUNCTION("""COMPUTED_VALUE"""),7)</f>
        <v>7</v>
      </c>
      <c r="M364" s="1">
        <f ca="1">IFERROR(__xludf.DUMMYFUNCTION("""COMPUTED_VALUE"""),5)</f>
        <v>5</v>
      </c>
      <c r="N364" s="1">
        <f ca="1">IFERROR(__xludf.DUMMYFUNCTION("""COMPUTED_VALUE"""),2246)</f>
        <v>2246</v>
      </c>
      <c r="O364" s="1">
        <f ca="1">IFERROR(__xludf.DUMMYFUNCTION("""COMPUTED_VALUE"""),1916)</f>
        <v>1916</v>
      </c>
      <c r="P364" s="1">
        <f ca="1">IFERROR(__xludf.DUMMYFUNCTION("""COMPUTED_VALUE"""),1380)</f>
        <v>1380</v>
      </c>
      <c r="Q364" s="1">
        <f ca="1">IFERROR(__xludf.DUMMYFUNCTION("""COMPUTED_VALUE"""),839)</f>
        <v>839</v>
      </c>
      <c r="R364" s="1">
        <f ca="1">IFERROR(__xludf.DUMMYFUNCTION("""COMPUTED_VALUE"""),1823)</f>
        <v>1823</v>
      </c>
      <c r="S364" s="1">
        <f ca="1">IFERROR(__xludf.DUMMYFUNCTION("""COMPUTED_VALUE"""),0.46)</f>
        <v>0.46</v>
      </c>
      <c r="T364" s="1">
        <f ca="1">IFERROR(__xludf.DUMMYFUNCTION("""COMPUTED_VALUE"""),232)</f>
        <v>232</v>
      </c>
      <c r="U364" s="1">
        <f ca="1">IFERROR(__xludf.DUMMYFUNCTION("""COMPUTED_VALUE"""),602)</f>
        <v>602</v>
      </c>
      <c r="V364" s="1">
        <f ca="1">IFERROR(__xludf.DUMMYFUNCTION("""COMPUTED_VALUE"""),0.385)</f>
        <v>0.38500000000000001</v>
      </c>
      <c r="W364" s="1">
        <f ca="1">IFERROR(__xludf.DUMMYFUNCTION("""COMPUTED_VALUE"""),336)</f>
        <v>336</v>
      </c>
      <c r="X364" s="1">
        <f ca="1">IFERROR(__xludf.DUMMYFUNCTION("""COMPUTED_VALUE"""),474)</f>
        <v>474</v>
      </c>
      <c r="Y364" s="1">
        <f ca="1">IFERROR(__xludf.DUMMYFUNCTION("""COMPUTED_VALUE"""),0.709)</f>
        <v>0.70899999999999996</v>
      </c>
      <c r="Z364" s="1">
        <f ca="1">IFERROR(__xludf.DUMMYFUNCTION("""COMPUTED_VALUE"""),297)</f>
        <v>297</v>
      </c>
      <c r="AA364" s="1">
        <f ca="1">IFERROR(__xludf.DUMMYFUNCTION("""COMPUTED_VALUE"""),1119)</f>
        <v>1119</v>
      </c>
      <c r="AB364" s="1">
        <f ca="1">IFERROR(__xludf.DUMMYFUNCTION("""COMPUTED_VALUE"""),473)</f>
        <v>473</v>
      </c>
      <c r="AC364" s="1">
        <f ca="1">IFERROR(__xludf.DUMMYFUNCTION("""COMPUTED_VALUE"""),190)</f>
        <v>190</v>
      </c>
      <c r="AD364" s="1">
        <f ca="1">IFERROR(__xludf.DUMMYFUNCTION("""COMPUTED_VALUE"""),138)</f>
        <v>138</v>
      </c>
      <c r="AE364" s="1">
        <f ca="1">IFERROR(__xludf.DUMMYFUNCTION("""COMPUTED_VALUE"""),324)</f>
        <v>324</v>
      </c>
      <c r="AF364" s="1">
        <f ca="1">IFERROR(__xludf.DUMMYFUNCTION("""COMPUTED_VALUE"""),556)</f>
        <v>556</v>
      </c>
    </row>
    <row r="365" spans="1:32" ht="12.5" x14ac:dyDescent="0.25">
      <c r="A365" s="1" t="str">
        <f ca="1">IFERROR(__xludf.DUMMYFUNCTION("""COMPUTED_VALUE"""),"Wagner")</f>
        <v>Wagner</v>
      </c>
      <c r="B365" s="1">
        <f ca="1">IFERROR(__xludf.DUMMYFUNCTION("""COMPUTED_VALUE"""),30)</f>
        <v>30</v>
      </c>
      <c r="C365" s="1">
        <f ca="1">IFERROR(__xludf.DUMMYFUNCTION("""COMPUTED_VALUE"""),16)</f>
        <v>16</v>
      </c>
      <c r="D365" s="1">
        <f ca="1">IFERROR(__xludf.DUMMYFUNCTION("""COMPUTED_VALUE"""),14)</f>
        <v>14</v>
      </c>
      <c r="E365" s="1">
        <f ca="1">IFERROR(__xludf.DUMMYFUNCTION("""COMPUTED_VALUE"""),0.533)</f>
        <v>0.53300000000000003</v>
      </c>
      <c r="F365" s="1">
        <f ca="1">IFERROR(__xludf.DUMMYFUNCTION("""COMPUTED_VALUE"""),-7.13)</f>
        <v>-7.13</v>
      </c>
      <c r="G365" s="1">
        <f ca="1">IFERROR(__xludf.DUMMYFUNCTION("""COMPUTED_VALUE"""),-7.89)</f>
        <v>-7.89</v>
      </c>
      <c r="H365" s="1">
        <f ca="1">IFERROR(__xludf.DUMMYFUNCTION("""COMPUTED_VALUE"""),11)</f>
        <v>11</v>
      </c>
      <c r="I365" s="1">
        <f ca="1">IFERROR(__xludf.DUMMYFUNCTION("""COMPUTED_VALUE"""),7)</f>
        <v>7</v>
      </c>
      <c r="J365" s="1">
        <f ca="1">IFERROR(__xludf.DUMMYFUNCTION("""COMPUTED_VALUE"""),8)</f>
        <v>8</v>
      </c>
      <c r="K365" s="1">
        <f ca="1">IFERROR(__xludf.DUMMYFUNCTION("""COMPUTED_VALUE"""),7)</f>
        <v>7</v>
      </c>
      <c r="L365" s="1">
        <f ca="1">IFERROR(__xludf.DUMMYFUNCTION("""COMPUTED_VALUE"""),8)</f>
        <v>8</v>
      </c>
      <c r="M365" s="1">
        <f ca="1">IFERROR(__xludf.DUMMYFUNCTION("""COMPUTED_VALUE"""),7)</f>
        <v>7</v>
      </c>
      <c r="N365" s="1">
        <f ca="1">IFERROR(__xludf.DUMMYFUNCTION("""COMPUTED_VALUE"""),2047)</f>
        <v>2047</v>
      </c>
      <c r="O365" s="1">
        <f ca="1">IFERROR(__xludf.DUMMYFUNCTION("""COMPUTED_VALUE"""),1973)</f>
        <v>1973</v>
      </c>
      <c r="P365" s="1">
        <f ca="1">IFERROR(__xludf.DUMMYFUNCTION("""COMPUTED_VALUE"""),1215)</f>
        <v>1215</v>
      </c>
      <c r="Q365" s="1">
        <f ca="1">IFERROR(__xludf.DUMMYFUNCTION("""COMPUTED_VALUE"""),727)</f>
        <v>727</v>
      </c>
      <c r="R365" s="1">
        <f ca="1">IFERROR(__xludf.DUMMYFUNCTION("""COMPUTED_VALUE"""),1700)</f>
        <v>1700</v>
      </c>
      <c r="S365" s="1">
        <f ca="1">IFERROR(__xludf.DUMMYFUNCTION("""COMPUTED_VALUE"""),0.428)</f>
        <v>0.42799999999999999</v>
      </c>
      <c r="T365" s="1">
        <f ca="1">IFERROR(__xludf.DUMMYFUNCTION("""COMPUTED_VALUE"""),183)</f>
        <v>183</v>
      </c>
      <c r="U365" s="1">
        <f ca="1">IFERROR(__xludf.DUMMYFUNCTION("""COMPUTED_VALUE"""),552)</f>
        <v>552</v>
      </c>
      <c r="V365" s="1">
        <f ca="1">IFERROR(__xludf.DUMMYFUNCTION("""COMPUTED_VALUE"""),0.332)</f>
        <v>0.33200000000000002</v>
      </c>
      <c r="W365" s="1">
        <f ca="1">IFERROR(__xludf.DUMMYFUNCTION("""COMPUTED_VALUE"""),410)</f>
        <v>410</v>
      </c>
      <c r="X365" s="1">
        <f ca="1">IFERROR(__xludf.DUMMYFUNCTION("""COMPUTED_VALUE"""),593)</f>
        <v>593</v>
      </c>
      <c r="Y365" s="1">
        <f ca="1">IFERROR(__xludf.DUMMYFUNCTION("""COMPUTED_VALUE"""),0.691)</f>
        <v>0.69099999999999995</v>
      </c>
      <c r="Z365" s="1">
        <f ca="1">IFERROR(__xludf.DUMMYFUNCTION("""COMPUTED_VALUE"""),434)</f>
        <v>434</v>
      </c>
      <c r="AA365" s="1">
        <f ca="1">IFERROR(__xludf.DUMMYFUNCTION("""COMPUTED_VALUE"""),1184)</f>
        <v>1184</v>
      </c>
      <c r="AB365" s="1">
        <f ca="1">IFERROR(__xludf.DUMMYFUNCTION("""COMPUTED_VALUE"""),326)</f>
        <v>326</v>
      </c>
      <c r="AC365" s="1">
        <f ca="1">IFERROR(__xludf.DUMMYFUNCTION("""COMPUTED_VALUE"""),146)</f>
        <v>146</v>
      </c>
      <c r="AD365" s="1">
        <f ca="1">IFERROR(__xludf.DUMMYFUNCTION("""COMPUTED_VALUE"""),108)</f>
        <v>108</v>
      </c>
      <c r="AE365" s="1">
        <f ca="1">IFERROR(__xludf.DUMMYFUNCTION("""COMPUTED_VALUE"""),422)</f>
        <v>422</v>
      </c>
      <c r="AF365" s="1">
        <f ca="1">IFERROR(__xludf.DUMMYFUNCTION("""COMPUTED_VALUE"""),616)</f>
        <v>616</v>
      </c>
    </row>
    <row r="366" spans="1:32" ht="12.5" x14ac:dyDescent="0.25">
      <c r="A366" s="1" t="str">
        <f ca="1">IFERROR(__xludf.DUMMYFUNCTION("""COMPUTED_VALUE"""),"Wake ForestNCAA")</f>
        <v>Wake ForestNCAA</v>
      </c>
      <c r="B366" s="1">
        <f ca="1">IFERROR(__xludf.DUMMYFUNCTION("""COMPUTED_VALUE"""),33)</f>
        <v>33</v>
      </c>
      <c r="C366" s="1">
        <f ca="1">IFERROR(__xludf.DUMMYFUNCTION("""COMPUTED_VALUE"""),19)</f>
        <v>19</v>
      </c>
      <c r="D366" s="1">
        <f ca="1">IFERROR(__xludf.DUMMYFUNCTION("""COMPUTED_VALUE"""),14)</f>
        <v>14</v>
      </c>
      <c r="E366" s="1">
        <f ca="1">IFERROR(__xludf.DUMMYFUNCTION("""COMPUTED_VALUE"""),0.576)</f>
        <v>0.57599999999999996</v>
      </c>
      <c r="F366" s="1">
        <f ca="1">IFERROR(__xludf.DUMMYFUNCTION("""COMPUTED_VALUE"""),14.19)</f>
        <v>14.19</v>
      </c>
      <c r="G366" s="1">
        <f ca="1">IFERROR(__xludf.DUMMYFUNCTION("""COMPUTED_VALUE"""),9.8)</f>
        <v>9.8000000000000007</v>
      </c>
      <c r="H366" s="1">
        <f ca="1">IFERROR(__xludf.DUMMYFUNCTION("""COMPUTED_VALUE"""),9)</f>
        <v>9</v>
      </c>
      <c r="I366" s="1">
        <f ca="1">IFERROR(__xludf.DUMMYFUNCTION("""COMPUTED_VALUE"""),9)</f>
        <v>9</v>
      </c>
      <c r="J366" s="1">
        <f ca="1">IFERROR(__xludf.DUMMYFUNCTION("""COMPUTED_VALUE"""),11)</f>
        <v>11</v>
      </c>
      <c r="K366" s="1">
        <f ca="1">IFERROR(__xludf.DUMMYFUNCTION("""COMPUTED_VALUE"""),3)</f>
        <v>3</v>
      </c>
      <c r="L366" s="1">
        <f ca="1">IFERROR(__xludf.DUMMYFUNCTION("""COMPUTED_VALUE"""),5)</f>
        <v>5</v>
      </c>
      <c r="M366" s="1">
        <f ca="1">IFERROR(__xludf.DUMMYFUNCTION("""COMPUTED_VALUE"""),8)</f>
        <v>8</v>
      </c>
      <c r="N366" s="1">
        <f ca="1">IFERROR(__xludf.DUMMYFUNCTION("""COMPUTED_VALUE"""),2733)</f>
        <v>2733</v>
      </c>
      <c r="O366" s="1">
        <f ca="1">IFERROR(__xludf.DUMMYFUNCTION("""COMPUTED_VALUE"""),2588)</f>
        <v>2588</v>
      </c>
      <c r="P366" s="1">
        <f ca="1">IFERROR(__xludf.DUMMYFUNCTION("""COMPUTED_VALUE"""),1320)</f>
        <v>1320</v>
      </c>
      <c r="Q366" s="1">
        <f ca="1">IFERROR(__xludf.DUMMYFUNCTION("""COMPUTED_VALUE"""),923)</f>
        <v>923</v>
      </c>
      <c r="R366" s="1">
        <f ca="1">IFERROR(__xludf.DUMMYFUNCTION("""COMPUTED_VALUE"""),1955)</f>
        <v>1955</v>
      </c>
      <c r="S366" s="1">
        <f ca="1">IFERROR(__xludf.DUMMYFUNCTION("""COMPUTED_VALUE"""),0.472)</f>
        <v>0.47199999999999998</v>
      </c>
      <c r="T366" s="1">
        <f ca="1">IFERROR(__xludf.DUMMYFUNCTION("""COMPUTED_VALUE"""),268)</f>
        <v>268</v>
      </c>
      <c r="U366" s="1">
        <f ca="1">IFERROR(__xludf.DUMMYFUNCTION("""COMPUTED_VALUE"""),697)</f>
        <v>697</v>
      </c>
      <c r="V366" s="1">
        <f ca="1">IFERROR(__xludf.DUMMYFUNCTION("""COMPUTED_VALUE"""),0.385)</f>
        <v>0.38500000000000001</v>
      </c>
      <c r="W366" s="1">
        <f ca="1">IFERROR(__xludf.DUMMYFUNCTION("""COMPUTED_VALUE"""),619)</f>
        <v>619</v>
      </c>
      <c r="X366" s="1">
        <f ca="1">IFERROR(__xludf.DUMMYFUNCTION("""COMPUTED_VALUE"""),795)</f>
        <v>795</v>
      </c>
      <c r="Y366" s="1">
        <f ca="1">IFERROR(__xludf.DUMMYFUNCTION("""COMPUTED_VALUE"""),0.779)</f>
        <v>0.77900000000000003</v>
      </c>
      <c r="Z366" s="1">
        <f ca="1">IFERROR(__xludf.DUMMYFUNCTION("""COMPUTED_VALUE"""),349)</f>
        <v>349</v>
      </c>
      <c r="AA366" s="1">
        <f ca="1">IFERROR(__xludf.DUMMYFUNCTION("""COMPUTED_VALUE"""),1199)</f>
        <v>1199</v>
      </c>
      <c r="AB366" s="1">
        <f ca="1">IFERROR(__xludf.DUMMYFUNCTION("""COMPUTED_VALUE"""),512)</f>
        <v>512</v>
      </c>
      <c r="AC366" s="1">
        <f ca="1">IFERROR(__xludf.DUMMYFUNCTION("""COMPUTED_VALUE"""),183)</f>
        <v>183</v>
      </c>
      <c r="AD366" s="1">
        <f ca="1">IFERROR(__xludf.DUMMYFUNCTION("""COMPUTED_VALUE"""),121)</f>
        <v>121</v>
      </c>
      <c r="AE366" s="1">
        <f ca="1">IFERROR(__xludf.DUMMYFUNCTION("""COMPUTED_VALUE"""),389)</f>
        <v>389</v>
      </c>
      <c r="AF366" s="1">
        <f ca="1">IFERROR(__xludf.DUMMYFUNCTION("""COMPUTED_VALUE"""),668)</f>
        <v>668</v>
      </c>
    </row>
    <row r="367" spans="1:32" ht="12.5" x14ac:dyDescent="0.25">
      <c r="A367" s="1" t="str">
        <f ca="1">IFERROR(__xludf.DUMMYFUNCTION("""COMPUTED_VALUE"""),"Washington State")</f>
        <v>Washington State</v>
      </c>
      <c r="B367" s="1">
        <f ca="1">IFERROR(__xludf.DUMMYFUNCTION("""COMPUTED_VALUE"""),31)</f>
        <v>31</v>
      </c>
      <c r="C367" s="1">
        <f ca="1">IFERROR(__xludf.DUMMYFUNCTION("""COMPUTED_VALUE"""),13)</f>
        <v>13</v>
      </c>
      <c r="D367" s="1">
        <f ca="1">IFERROR(__xludf.DUMMYFUNCTION("""COMPUTED_VALUE"""),18)</f>
        <v>18</v>
      </c>
      <c r="E367" s="1">
        <f ca="1">IFERROR(__xludf.DUMMYFUNCTION("""COMPUTED_VALUE"""),0.419)</f>
        <v>0.41899999999999998</v>
      </c>
      <c r="F367" s="1">
        <f ca="1">IFERROR(__xludf.DUMMYFUNCTION("""COMPUTED_VALUE"""),0.13)</f>
        <v>0.13</v>
      </c>
      <c r="G367" s="1">
        <f ca="1">IFERROR(__xludf.DUMMYFUNCTION("""COMPUTED_VALUE"""),6.87)</f>
        <v>6.87</v>
      </c>
      <c r="H367" s="1">
        <f ca="1">IFERROR(__xludf.DUMMYFUNCTION("""COMPUTED_VALUE"""),6)</f>
        <v>6</v>
      </c>
      <c r="I367" s="1">
        <f ca="1">IFERROR(__xludf.DUMMYFUNCTION("""COMPUTED_VALUE"""),12)</f>
        <v>12</v>
      </c>
      <c r="J367" s="1">
        <f ca="1">IFERROR(__xludf.DUMMYFUNCTION("""COMPUTED_VALUE"""),9)</f>
        <v>9</v>
      </c>
      <c r="K367" s="1">
        <f ca="1">IFERROR(__xludf.DUMMYFUNCTION("""COMPUTED_VALUE"""),7)</f>
        <v>7</v>
      </c>
      <c r="L367" s="1">
        <f ca="1">IFERROR(__xludf.DUMMYFUNCTION("""COMPUTED_VALUE"""),2)</f>
        <v>2</v>
      </c>
      <c r="M367" s="1">
        <f ca="1">IFERROR(__xludf.DUMMYFUNCTION("""COMPUTED_VALUE"""),7)</f>
        <v>7</v>
      </c>
      <c r="N367" s="1">
        <f ca="1">IFERROR(__xludf.DUMMYFUNCTION("""COMPUTED_VALUE"""),2179)</f>
        <v>2179</v>
      </c>
      <c r="O367" s="1">
        <f ca="1">IFERROR(__xludf.DUMMYFUNCTION("""COMPUTED_VALUE"""),2376)</f>
        <v>2376</v>
      </c>
      <c r="P367" s="1">
        <f ca="1">IFERROR(__xludf.DUMMYFUNCTION("""COMPUTED_VALUE"""),1245)</f>
        <v>1245</v>
      </c>
      <c r="Q367" s="1">
        <f ca="1">IFERROR(__xludf.DUMMYFUNCTION("""COMPUTED_VALUE"""),801)</f>
        <v>801</v>
      </c>
      <c r="R367" s="1">
        <f ca="1">IFERROR(__xludf.DUMMYFUNCTION("""COMPUTED_VALUE"""),1739)</f>
        <v>1739</v>
      </c>
      <c r="S367" s="1">
        <f ca="1">IFERROR(__xludf.DUMMYFUNCTION("""COMPUTED_VALUE"""),0.461)</f>
        <v>0.46100000000000002</v>
      </c>
      <c r="T367" s="1">
        <f ca="1">IFERROR(__xludf.DUMMYFUNCTION("""COMPUTED_VALUE"""),209)</f>
        <v>209</v>
      </c>
      <c r="U367" s="1">
        <f ca="1">IFERROR(__xludf.DUMMYFUNCTION("""COMPUTED_VALUE"""),574)</f>
        <v>574</v>
      </c>
      <c r="V367" s="1">
        <f ca="1">IFERROR(__xludf.DUMMYFUNCTION("""COMPUTED_VALUE"""),0.364)</f>
        <v>0.36399999999999999</v>
      </c>
      <c r="W367" s="1">
        <f ca="1">IFERROR(__xludf.DUMMYFUNCTION("""COMPUTED_VALUE"""),368)</f>
        <v>368</v>
      </c>
      <c r="X367" s="1">
        <f ca="1">IFERROR(__xludf.DUMMYFUNCTION("""COMPUTED_VALUE"""),487)</f>
        <v>487</v>
      </c>
      <c r="Y367" s="1">
        <f ca="1">IFERROR(__xludf.DUMMYFUNCTION("""COMPUTED_VALUE"""),0.756)</f>
        <v>0.75600000000000001</v>
      </c>
      <c r="Z367" s="1">
        <f ca="1">IFERROR(__xludf.DUMMYFUNCTION("""COMPUTED_VALUE"""),199)</f>
        <v>199</v>
      </c>
      <c r="AA367" s="1">
        <f ca="1">IFERROR(__xludf.DUMMYFUNCTION("""COMPUTED_VALUE"""),993)</f>
        <v>993</v>
      </c>
      <c r="AB367" s="1">
        <f ca="1">IFERROR(__xludf.DUMMYFUNCTION("""COMPUTED_VALUE"""),453)</f>
        <v>453</v>
      </c>
      <c r="AC367" s="1">
        <f ca="1">IFERROR(__xludf.DUMMYFUNCTION("""COMPUTED_VALUE"""),130)</f>
        <v>130</v>
      </c>
      <c r="AD367" s="1">
        <f ca="1">IFERROR(__xludf.DUMMYFUNCTION("""COMPUTED_VALUE"""),85)</f>
        <v>85</v>
      </c>
      <c r="AE367" s="1">
        <f ca="1">IFERROR(__xludf.DUMMYFUNCTION("""COMPUTED_VALUE"""),389)</f>
        <v>389</v>
      </c>
      <c r="AF367" s="1">
        <f ca="1">IFERROR(__xludf.DUMMYFUNCTION("""COMPUTED_VALUE"""),502)</f>
        <v>502</v>
      </c>
    </row>
    <row r="368" spans="1:32" ht="12.5" x14ac:dyDescent="0.25">
      <c r="A368" s="1" t="str">
        <f ca="1">IFERROR(__xludf.DUMMYFUNCTION("""COMPUTED_VALUE"""),"Washington")</f>
        <v>Washington</v>
      </c>
      <c r="B368" s="1">
        <f ca="1">IFERROR(__xludf.DUMMYFUNCTION("""COMPUTED_VALUE"""),31)</f>
        <v>31</v>
      </c>
      <c r="C368" s="1">
        <f ca="1">IFERROR(__xludf.DUMMYFUNCTION("""COMPUTED_VALUE"""),9)</f>
        <v>9</v>
      </c>
      <c r="D368" s="1">
        <f ca="1">IFERROR(__xludf.DUMMYFUNCTION("""COMPUTED_VALUE"""),22)</f>
        <v>22</v>
      </c>
      <c r="E368" s="1">
        <f ca="1">IFERROR(__xludf.DUMMYFUNCTION("""COMPUTED_VALUE"""),0.29)</f>
        <v>0.28999999999999998</v>
      </c>
      <c r="F368" s="1">
        <f ca="1">IFERROR(__xludf.DUMMYFUNCTION("""COMPUTED_VALUE"""),2.15)</f>
        <v>2.15</v>
      </c>
      <c r="G368" s="1">
        <f ca="1">IFERROR(__xludf.DUMMYFUNCTION("""COMPUTED_VALUE"""),6.82)</f>
        <v>6.82</v>
      </c>
      <c r="H368" s="1">
        <f ca="1">IFERROR(__xludf.DUMMYFUNCTION("""COMPUTED_VALUE"""),2)</f>
        <v>2</v>
      </c>
      <c r="I368" s="1">
        <f ca="1">IFERROR(__xludf.DUMMYFUNCTION("""COMPUTED_VALUE"""),16)</f>
        <v>16</v>
      </c>
      <c r="J368" s="1">
        <f ca="1">IFERROR(__xludf.DUMMYFUNCTION("""COMPUTED_VALUE"""),7)</f>
        <v>7</v>
      </c>
      <c r="K368" s="1">
        <f ca="1">IFERROR(__xludf.DUMMYFUNCTION("""COMPUTED_VALUE"""),9)</f>
        <v>9</v>
      </c>
      <c r="L368" s="1">
        <f ca="1">IFERROR(__xludf.DUMMYFUNCTION("""COMPUTED_VALUE"""),1)</f>
        <v>1</v>
      </c>
      <c r="M368" s="1">
        <f ca="1">IFERROR(__xludf.DUMMYFUNCTION("""COMPUTED_VALUE"""),11)</f>
        <v>11</v>
      </c>
      <c r="N368" s="1">
        <f ca="1">IFERROR(__xludf.DUMMYFUNCTION("""COMPUTED_VALUE"""),2368)</f>
        <v>2368</v>
      </c>
      <c r="O368" s="1">
        <f ca="1">IFERROR(__xludf.DUMMYFUNCTION("""COMPUTED_VALUE"""),2513)</f>
        <v>2513</v>
      </c>
      <c r="P368" s="1">
        <f ca="1">IFERROR(__xludf.DUMMYFUNCTION("""COMPUTED_VALUE"""),1245)</f>
        <v>1245</v>
      </c>
      <c r="Q368" s="1">
        <f ca="1">IFERROR(__xludf.DUMMYFUNCTION("""COMPUTED_VALUE"""),874)</f>
        <v>874</v>
      </c>
      <c r="R368" s="1">
        <f ca="1">IFERROR(__xludf.DUMMYFUNCTION("""COMPUTED_VALUE"""),1949)</f>
        <v>1949</v>
      </c>
      <c r="S368" s="1">
        <f ca="1">IFERROR(__xludf.DUMMYFUNCTION("""COMPUTED_VALUE"""),0.448)</f>
        <v>0.44800000000000001</v>
      </c>
      <c r="T368" s="1">
        <f ca="1">IFERROR(__xludf.DUMMYFUNCTION("""COMPUTED_VALUE"""),226)</f>
        <v>226</v>
      </c>
      <c r="U368" s="1">
        <f ca="1">IFERROR(__xludf.DUMMYFUNCTION("""COMPUTED_VALUE"""),639)</f>
        <v>639</v>
      </c>
      <c r="V368" s="1">
        <f ca="1">IFERROR(__xludf.DUMMYFUNCTION("""COMPUTED_VALUE"""),0.354)</f>
        <v>0.35399999999999998</v>
      </c>
      <c r="W368" s="1">
        <f ca="1">IFERROR(__xludf.DUMMYFUNCTION("""COMPUTED_VALUE"""),394)</f>
        <v>394</v>
      </c>
      <c r="X368" s="1">
        <f ca="1">IFERROR(__xludf.DUMMYFUNCTION("""COMPUTED_VALUE"""),602)</f>
        <v>602</v>
      </c>
      <c r="Y368" s="1">
        <f ca="1">IFERROR(__xludf.DUMMYFUNCTION("""COMPUTED_VALUE"""),0.654)</f>
        <v>0.65400000000000003</v>
      </c>
      <c r="Z368" s="1">
        <f ca="1">IFERROR(__xludf.DUMMYFUNCTION("""COMPUTED_VALUE"""),401)</f>
        <v>401</v>
      </c>
      <c r="AA368" s="1">
        <f ca="1">IFERROR(__xludf.DUMMYFUNCTION("""COMPUTED_VALUE"""),1161)</f>
        <v>1161</v>
      </c>
      <c r="AB368" s="1">
        <f ca="1">IFERROR(__xludf.DUMMYFUNCTION("""COMPUTED_VALUE"""),408)</f>
        <v>408</v>
      </c>
      <c r="AC368" s="1">
        <f ca="1">IFERROR(__xludf.DUMMYFUNCTION("""COMPUTED_VALUE"""),187)</f>
        <v>187</v>
      </c>
      <c r="AD368" s="1">
        <f ca="1">IFERROR(__xludf.DUMMYFUNCTION("""COMPUTED_VALUE"""),171)</f>
        <v>171</v>
      </c>
      <c r="AE368" s="1">
        <f ca="1">IFERROR(__xludf.DUMMYFUNCTION("""COMPUTED_VALUE"""),425)</f>
        <v>425</v>
      </c>
      <c r="AF368" s="1">
        <f ca="1">IFERROR(__xludf.DUMMYFUNCTION("""COMPUTED_VALUE"""),628)</f>
        <v>628</v>
      </c>
    </row>
    <row r="369" spans="1:32" ht="12.5" x14ac:dyDescent="0.25">
      <c r="A369" s="1" t="str">
        <f ca="1">IFERROR(__xludf.DUMMYFUNCTION("""COMPUTED_VALUE"""),"Weber State")</f>
        <v>Weber State</v>
      </c>
      <c r="B369" s="1">
        <f ca="1">IFERROR(__xludf.DUMMYFUNCTION("""COMPUTED_VALUE"""),34)</f>
        <v>34</v>
      </c>
      <c r="C369" s="1">
        <f ca="1">IFERROR(__xludf.DUMMYFUNCTION("""COMPUTED_VALUE"""),20)</f>
        <v>20</v>
      </c>
      <c r="D369" s="1">
        <f ca="1">IFERROR(__xludf.DUMMYFUNCTION("""COMPUTED_VALUE"""),14)</f>
        <v>14</v>
      </c>
      <c r="E369" s="1">
        <f ca="1">IFERROR(__xludf.DUMMYFUNCTION("""COMPUTED_VALUE"""),0.588)</f>
        <v>0.58799999999999997</v>
      </c>
      <c r="F369" s="1">
        <f ca="1">IFERROR(__xludf.DUMMYFUNCTION("""COMPUTED_VALUE"""),-2.32)</f>
        <v>-2.3199999999999998</v>
      </c>
      <c r="G369" s="1">
        <f ca="1">IFERROR(__xludf.DUMMYFUNCTION("""COMPUTED_VALUE"""),-5.13)</f>
        <v>-5.13</v>
      </c>
      <c r="H369" s="1">
        <f ca="1">IFERROR(__xludf.DUMMYFUNCTION("""COMPUTED_VALUE"""),12)</f>
        <v>12</v>
      </c>
      <c r="I369" s="1">
        <f ca="1">IFERROR(__xludf.DUMMYFUNCTION("""COMPUTED_VALUE"""),6)</f>
        <v>6</v>
      </c>
      <c r="J369" s="1">
        <f ca="1">IFERROR(__xludf.DUMMYFUNCTION("""COMPUTED_VALUE"""),10)</f>
        <v>10</v>
      </c>
      <c r="K369" s="1">
        <f ca="1">IFERROR(__xludf.DUMMYFUNCTION("""COMPUTED_VALUE"""),3)</f>
        <v>3</v>
      </c>
      <c r="L369" s="1">
        <f ca="1">IFERROR(__xludf.DUMMYFUNCTION("""COMPUTED_VALUE"""),7)</f>
        <v>7</v>
      </c>
      <c r="M369" s="1">
        <f ca="1">IFERROR(__xludf.DUMMYFUNCTION("""COMPUTED_VALUE"""),8)</f>
        <v>8</v>
      </c>
      <c r="N369" s="1">
        <f ca="1">IFERROR(__xludf.DUMMYFUNCTION("""COMPUTED_VALUE"""),2714)</f>
        <v>2714</v>
      </c>
      <c r="O369" s="1">
        <f ca="1">IFERROR(__xludf.DUMMYFUNCTION("""COMPUTED_VALUE"""),2505)</f>
        <v>2505</v>
      </c>
      <c r="P369" s="1">
        <f ca="1">IFERROR(__xludf.DUMMYFUNCTION("""COMPUTED_VALUE"""),1380)</f>
        <v>1380</v>
      </c>
      <c r="Q369" s="1">
        <f ca="1">IFERROR(__xludf.DUMMYFUNCTION("""COMPUTED_VALUE"""),908)</f>
        <v>908</v>
      </c>
      <c r="R369" s="1">
        <f ca="1">IFERROR(__xludf.DUMMYFUNCTION("""COMPUTED_VALUE"""),1866)</f>
        <v>1866</v>
      </c>
      <c r="S369" s="1">
        <f ca="1">IFERROR(__xludf.DUMMYFUNCTION("""COMPUTED_VALUE"""),0.487)</f>
        <v>0.48699999999999999</v>
      </c>
      <c r="T369" s="1">
        <f ca="1">IFERROR(__xludf.DUMMYFUNCTION("""COMPUTED_VALUE"""),312)</f>
        <v>312</v>
      </c>
      <c r="U369" s="1">
        <f ca="1">IFERROR(__xludf.DUMMYFUNCTION("""COMPUTED_VALUE"""),749)</f>
        <v>749</v>
      </c>
      <c r="V369" s="1">
        <f ca="1">IFERROR(__xludf.DUMMYFUNCTION("""COMPUTED_VALUE"""),0.417)</f>
        <v>0.41699999999999998</v>
      </c>
      <c r="W369" s="1">
        <f ca="1">IFERROR(__xludf.DUMMYFUNCTION("""COMPUTED_VALUE"""),584)</f>
        <v>584</v>
      </c>
      <c r="X369" s="1">
        <f ca="1">IFERROR(__xludf.DUMMYFUNCTION("""COMPUTED_VALUE"""),788)</f>
        <v>788</v>
      </c>
      <c r="Y369" s="1">
        <f ca="1">IFERROR(__xludf.DUMMYFUNCTION("""COMPUTED_VALUE"""),0.741)</f>
        <v>0.74099999999999999</v>
      </c>
      <c r="Z369" s="1">
        <f ca="1">IFERROR(__xludf.DUMMYFUNCTION("""COMPUTED_VALUE"""),243)</f>
        <v>243</v>
      </c>
      <c r="AA369" s="1">
        <f ca="1">IFERROR(__xludf.DUMMYFUNCTION("""COMPUTED_VALUE"""),1103)</f>
        <v>1103</v>
      </c>
      <c r="AB369" s="1">
        <f ca="1">IFERROR(__xludf.DUMMYFUNCTION("""COMPUTED_VALUE"""),443)</f>
        <v>443</v>
      </c>
      <c r="AC369" s="1">
        <f ca="1">IFERROR(__xludf.DUMMYFUNCTION("""COMPUTED_VALUE"""),176)</f>
        <v>176</v>
      </c>
      <c r="AD369" s="1">
        <f ca="1">IFERROR(__xludf.DUMMYFUNCTION("""COMPUTED_VALUE"""),117)</f>
        <v>117</v>
      </c>
      <c r="AE369" s="1">
        <f ca="1">IFERROR(__xludf.DUMMYFUNCTION("""COMPUTED_VALUE"""),380)</f>
        <v>380</v>
      </c>
      <c r="AF369" s="1">
        <f ca="1">IFERROR(__xludf.DUMMYFUNCTION("""COMPUTED_VALUE"""),596)</f>
        <v>596</v>
      </c>
    </row>
    <row r="370" spans="1:32" ht="12.5" x14ac:dyDescent="0.25">
      <c r="A370" s="1" t="str">
        <f ca="1">IFERROR(__xludf.DUMMYFUNCTION("""COMPUTED_VALUE"""),"West VirginiaNCAA")</f>
        <v>West VirginiaNCAA</v>
      </c>
      <c r="B370" s="1">
        <f ca="1">IFERROR(__xludf.DUMMYFUNCTION("""COMPUTED_VALUE"""),37)</f>
        <v>37</v>
      </c>
      <c r="C370" s="1">
        <f ca="1">IFERROR(__xludf.DUMMYFUNCTION("""COMPUTED_VALUE"""),28)</f>
        <v>28</v>
      </c>
      <c r="D370" s="1">
        <f ca="1">IFERROR(__xludf.DUMMYFUNCTION("""COMPUTED_VALUE"""),9)</f>
        <v>9</v>
      </c>
      <c r="E370" s="1">
        <f ca="1">IFERROR(__xludf.DUMMYFUNCTION("""COMPUTED_VALUE"""),0.757)</f>
        <v>0.75700000000000001</v>
      </c>
      <c r="F370" s="1">
        <f ca="1">IFERROR(__xludf.DUMMYFUNCTION("""COMPUTED_VALUE"""),24.45)</f>
        <v>24.45</v>
      </c>
      <c r="G370" s="1">
        <f ca="1">IFERROR(__xludf.DUMMYFUNCTION("""COMPUTED_VALUE"""),9.67)</f>
        <v>9.67</v>
      </c>
      <c r="H370" s="1">
        <f ca="1">IFERROR(__xludf.DUMMYFUNCTION("""COMPUTED_VALUE"""),12)</f>
        <v>12</v>
      </c>
      <c r="I370" s="1">
        <f ca="1">IFERROR(__xludf.DUMMYFUNCTION("""COMPUTED_VALUE"""),6)</f>
        <v>6</v>
      </c>
      <c r="J370" s="1">
        <f ca="1">IFERROR(__xludf.DUMMYFUNCTION("""COMPUTED_VALUE"""),16)</f>
        <v>16</v>
      </c>
      <c r="K370" s="1">
        <f ca="1">IFERROR(__xludf.DUMMYFUNCTION("""COMPUTED_VALUE"""),2)</f>
        <v>2</v>
      </c>
      <c r="L370" s="1">
        <f ca="1">IFERROR(__xludf.DUMMYFUNCTION("""COMPUTED_VALUE"""),6)</f>
        <v>6</v>
      </c>
      <c r="M370" s="1">
        <f ca="1">IFERROR(__xludf.DUMMYFUNCTION("""COMPUTED_VALUE"""),4)</f>
        <v>4</v>
      </c>
      <c r="N370" s="1">
        <f ca="1">IFERROR(__xludf.DUMMYFUNCTION("""COMPUTED_VALUE"""),3014)</f>
        <v>3014</v>
      </c>
      <c r="O370" s="1">
        <f ca="1">IFERROR(__xludf.DUMMYFUNCTION("""COMPUTED_VALUE"""),2467)</f>
        <v>2467</v>
      </c>
      <c r="P370" s="1">
        <f ca="1">IFERROR(__xludf.DUMMYFUNCTION("""COMPUTED_VALUE"""),1505)</f>
        <v>1505</v>
      </c>
      <c r="Q370" s="1">
        <f ca="1">IFERROR(__xludf.DUMMYFUNCTION("""COMPUTED_VALUE"""),1059)</f>
        <v>1059</v>
      </c>
      <c r="R370" s="1">
        <f ca="1">IFERROR(__xludf.DUMMYFUNCTION("""COMPUTED_VALUE"""),2333)</f>
        <v>2333</v>
      </c>
      <c r="S370" s="1">
        <f ca="1">IFERROR(__xludf.DUMMYFUNCTION("""COMPUTED_VALUE"""),0.454)</f>
        <v>0.45400000000000001</v>
      </c>
      <c r="T370" s="1">
        <f ca="1">IFERROR(__xludf.DUMMYFUNCTION("""COMPUTED_VALUE"""),275)</f>
        <v>275</v>
      </c>
      <c r="U370" s="1">
        <f ca="1">IFERROR(__xludf.DUMMYFUNCTION("""COMPUTED_VALUE"""),759)</f>
        <v>759</v>
      </c>
      <c r="V370" s="1">
        <f ca="1">IFERROR(__xludf.DUMMYFUNCTION("""COMPUTED_VALUE"""),0.362)</f>
        <v>0.36199999999999999</v>
      </c>
      <c r="W370" s="1">
        <f ca="1">IFERROR(__xludf.DUMMYFUNCTION("""COMPUTED_VALUE"""),621)</f>
        <v>621</v>
      </c>
      <c r="X370" s="1">
        <f ca="1">IFERROR(__xludf.DUMMYFUNCTION("""COMPUTED_VALUE"""),907)</f>
        <v>907</v>
      </c>
      <c r="Y370" s="1">
        <f ca="1">IFERROR(__xludf.DUMMYFUNCTION("""COMPUTED_VALUE"""),0.685)</f>
        <v>0.68500000000000005</v>
      </c>
      <c r="Z370" s="1">
        <f ca="1">IFERROR(__xludf.DUMMYFUNCTION("""COMPUTED_VALUE"""),534)</f>
        <v>534</v>
      </c>
      <c r="AA370" s="1">
        <f ca="1">IFERROR(__xludf.DUMMYFUNCTION("""COMPUTED_VALUE"""),1387)</f>
        <v>1387</v>
      </c>
      <c r="AB370" s="1">
        <f ca="1">IFERROR(__xludf.DUMMYFUNCTION("""COMPUTED_VALUE"""),607)</f>
        <v>607</v>
      </c>
      <c r="AC370" s="1">
        <f ca="1">IFERROR(__xludf.DUMMYFUNCTION("""COMPUTED_VALUE"""),371)</f>
        <v>371</v>
      </c>
      <c r="AD370" s="1">
        <f ca="1">IFERROR(__xludf.DUMMYFUNCTION("""COMPUTED_VALUE"""),176)</f>
        <v>176</v>
      </c>
      <c r="AE370" s="1">
        <f ca="1">IFERROR(__xludf.DUMMYFUNCTION("""COMPUTED_VALUE"""),455)</f>
        <v>455</v>
      </c>
      <c r="AF370" s="1">
        <f ca="1">IFERROR(__xludf.DUMMYFUNCTION("""COMPUTED_VALUE"""),756)</f>
        <v>756</v>
      </c>
    </row>
    <row r="371" spans="1:32" ht="12.5" x14ac:dyDescent="0.25">
      <c r="A371" s="1" t="str">
        <f ca="1">IFERROR(__xludf.DUMMYFUNCTION("""COMPUTED_VALUE"""),"Western Carolina")</f>
        <v>Western Carolina</v>
      </c>
      <c r="B371" s="1">
        <f ca="1">IFERROR(__xludf.DUMMYFUNCTION("""COMPUTED_VALUE"""),32)</f>
        <v>32</v>
      </c>
      <c r="C371" s="1">
        <f ca="1">IFERROR(__xludf.DUMMYFUNCTION("""COMPUTED_VALUE"""),9)</f>
        <v>9</v>
      </c>
      <c r="D371" s="1">
        <f ca="1">IFERROR(__xludf.DUMMYFUNCTION("""COMPUTED_VALUE"""),23)</f>
        <v>23</v>
      </c>
      <c r="E371" s="1">
        <f ca="1">IFERROR(__xludf.DUMMYFUNCTION("""COMPUTED_VALUE"""),0.281)</f>
        <v>0.28100000000000003</v>
      </c>
      <c r="F371" s="1">
        <f ca="1">IFERROR(__xludf.DUMMYFUNCTION("""COMPUTED_VALUE"""),-15.3)</f>
        <v>-15.3</v>
      </c>
      <c r="G371" s="1">
        <f ca="1">IFERROR(__xludf.DUMMYFUNCTION("""COMPUTED_VALUE"""),-0.7)</f>
        <v>-0.7</v>
      </c>
      <c r="H371" s="1">
        <f ca="1">IFERROR(__xludf.DUMMYFUNCTION("""COMPUTED_VALUE"""),4)</f>
        <v>4</v>
      </c>
      <c r="I371" s="1">
        <f ca="1">IFERROR(__xludf.DUMMYFUNCTION("""COMPUTED_VALUE"""),14)</f>
        <v>14</v>
      </c>
      <c r="J371" s="1">
        <f ca="1">IFERROR(__xludf.DUMMYFUNCTION("""COMPUTED_VALUE"""),6)</f>
        <v>6</v>
      </c>
      <c r="K371" s="1">
        <f ca="1">IFERROR(__xludf.DUMMYFUNCTION("""COMPUTED_VALUE"""),8)</f>
        <v>8</v>
      </c>
      <c r="L371" s="1">
        <f ca="1">IFERROR(__xludf.DUMMYFUNCTION("""COMPUTED_VALUE"""),3)</f>
        <v>3</v>
      </c>
      <c r="M371" s="1">
        <f ca="1">IFERROR(__xludf.DUMMYFUNCTION("""COMPUTED_VALUE"""),13)</f>
        <v>13</v>
      </c>
      <c r="N371" s="1">
        <f ca="1">IFERROR(__xludf.DUMMYFUNCTION("""COMPUTED_VALUE"""),1965)</f>
        <v>1965</v>
      </c>
      <c r="O371" s="1">
        <f ca="1">IFERROR(__xludf.DUMMYFUNCTION("""COMPUTED_VALUE"""),2347)</f>
        <v>2347</v>
      </c>
      <c r="P371" s="1">
        <f ca="1">IFERROR(__xludf.DUMMYFUNCTION("""COMPUTED_VALUE"""),1280)</f>
        <v>1280</v>
      </c>
      <c r="Q371" s="1">
        <f ca="1">IFERROR(__xludf.DUMMYFUNCTION("""COMPUTED_VALUE"""),719)</f>
        <v>719</v>
      </c>
      <c r="R371" s="1">
        <f ca="1">IFERROR(__xludf.DUMMYFUNCTION("""COMPUTED_VALUE"""),1843)</f>
        <v>1843</v>
      </c>
      <c r="S371" s="1">
        <f ca="1">IFERROR(__xludf.DUMMYFUNCTION("""COMPUTED_VALUE"""),0.39)</f>
        <v>0.39</v>
      </c>
      <c r="T371" s="1">
        <f ca="1">IFERROR(__xludf.DUMMYFUNCTION("""COMPUTED_VALUE"""),182)</f>
        <v>182</v>
      </c>
      <c r="U371" s="1">
        <f ca="1">IFERROR(__xludf.DUMMYFUNCTION("""COMPUTED_VALUE"""),592)</f>
        <v>592</v>
      </c>
      <c r="V371" s="1">
        <f ca="1">IFERROR(__xludf.DUMMYFUNCTION("""COMPUTED_VALUE"""),0.307)</f>
        <v>0.307</v>
      </c>
      <c r="W371" s="1">
        <f ca="1">IFERROR(__xludf.DUMMYFUNCTION("""COMPUTED_VALUE"""),345)</f>
        <v>345</v>
      </c>
      <c r="X371" s="1">
        <f ca="1">IFERROR(__xludf.DUMMYFUNCTION("""COMPUTED_VALUE"""),528)</f>
        <v>528</v>
      </c>
      <c r="Y371" s="1">
        <f ca="1">IFERROR(__xludf.DUMMYFUNCTION("""COMPUTED_VALUE"""),0.653)</f>
        <v>0.65300000000000002</v>
      </c>
      <c r="Z371" s="1">
        <f ca="1">IFERROR(__xludf.DUMMYFUNCTION("""COMPUTED_VALUE"""),397)</f>
        <v>397</v>
      </c>
      <c r="AA371" s="1">
        <f ca="1">IFERROR(__xludf.DUMMYFUNCTION("""COMPUTED_VALUE"""),1158)</f>
        <v>1158</v>
      </c>
      <c r="AB371" s="1">
        <f ca="1">IFERROR(__xludf.DUMMYFUNCTION("""COMPUTED_VALUE"""),363)</f>
        <v>363</v>
      </c>
      <c r="AC371" s="1">
        <f ca="1">IFERROR(__xludf.DUMMYFUNCTION("""COMPUTED_VALUE"""),198)</f>
        <v>198</v>
      </c>
      <c r="AD371" s="1">
        <f ca="1">IFERROR(__xludf.DUMMYFUNCTION("""COMPUTED_VALUE"""),75)</f>
        <v>75</v>
      </c>
      <c r="AE371" s="1">
        <f ca="1">IFERROR(__xludf.DUMMYFUNCTION("""COMPUTED_VALUE"""),516)</f>
        <v>516</v>
      </c>
      <c r="AF371" s="1">
        <f ca="1">IFERROR(__xludf.DUMMYFUNCTION("""COMPUTED_VALUE"""),661)</f>
        <v>661</v>
      </c>
    </row>
    <row r="372" spans="1:32" ht="12.5" x14ac:dyDescent="0.25">
      <c r="A372" s="1" t="str">
        <f ca="1">IFERROR(__xludf.DUMMYFUNCTION("""COMPUTED_VALUE"""),"Western Illinois")</f>
        <v>Western Illinois</v>
      </c>
      <c r="B372" s="1">
        <f ca="1">IFERROR(__xludf.DUMMYFUNCTION("""COMPUTED_VALUE"""),28)</f>
        <v>28</v>
      </c>
      <c r="C372" s="1">
        <f ca="1">IFERROR(__xludf.DUMMYFUNCTION("""COMPUTED_VALUE"""),8)</f>
        <v>8</v>
      </c>
      <c r="D372" s="1">
        <f ca="1">IFERROR(__xludf.DUMMYFUNCTION("""COMPUTED_VALUE"""),20)</f>
        <v>20</v>
      </c>
      <c r="E372" s="1">
        <f ca="1">IFERROR(__xludf.DUMMYFUNCTION("""COMPUTED_VALUE"""),0.286)</f>
        <v>0.28599999999999998</v>
      </c>
      <c r="F372" s="1">
        <f ca="1">IFERROR(__xludf.DUMMYFUNCTION("""COMPUTED_VALUE"""),-11)</f>
        <v>-11</v>
      </c>
      <c r="G372" s="1">
        <f ca="1">IFERROR(__xludf.DUMMYFUNCTION("""COMPUTED_VALUE"""),-2.38)</f>
        <v>-2.38</v>
      </c>
      <c r="H372" s="1">
        <f ca="1">IFERROR(__xludf.DUMMYFUNCTION("""COMPUTED_VALUE"""),5)</f>
        <v>5</v>
      </c>
      <c r="I372" s="1">
        <f ca="1">IFERROR(__xludf.DUMMYFUNCTION("""COMPUTED_VALUE"""),11)</f>
        <v>11</v>
      </c>
      <c r="J372" s="1">
        <f ca="1">IFERROR(__xludf.DUMMYFUNCTION("""COMPUTED_VALUE"""),5)</f>
        <v>5</v>
      </c>
      <c r="K372" s="1">
        <f ca="1">IFERROR(__xludf.DUMMYFUNCTION("""COMPUTED_VALUE"""),8)</f>
        <v>8</v>
      </c>
      <c r="L372" s="1">
        <f ca="1">IFERROR(__xludf.DUMMYFUNCTION("""COMPUTED_VALUE"""),3)</f>
        <v>3</v>
      </c>
      <c r="M372" s="1">
        <f ca="1">IFERROR(__xludf.DUMMYFUNCTION("""COMPUTED_VALUE"""),11)</f>
        <v>11</v>
      </c>
      <c r="N372" s="1">
        <f ca="1">IFERROR(__xludf.DUMMYFUNCTION("""COMPUTED_VALUE"""),2012)</f>
        <v>2012</v>
      </c>
      <c r="O372" s="1">
        <f ca="1">IFERROR(__xludf.DUMMYFUNCTION("""COMPUTED_VALUE"""),2151)</f>
        <v>2151</v>
      </c>
      <c r="P372" s="1">
        <f ca="1">IFERROR(__xludf.DUMMYFUNCTION("""COMPUTED_VALUE"""),1145)</f>
        <v>1145</v>
      </c>
      <c r="Q372" s="1">
        <f ca="1">IFERROR(__xludf.DUMMYFUNCTION("""COMPUTED_VALUE"""),711)</f>
        <v>711</v>
      </c>
      <c r="R372" s="1">
        <f ca="1">IFERROR(__xludf.DUMMYFUNCTION("""COMPUTED_VALUE"""),1633)</f>
        <v>1633</v>
      </c>
      <c r="S372" s="1">
        <f ca="1">IFERROR(__xludf.DUMMYFUNCTION("""COMPUTED_VALUE"""),0.435)</f>
        <v>0.435</v>
      </c>
      <c r="T372" s="1">
        <f ca="1">IFERROR(__xludf.DUMMYFUNCTION("""COMPUTED_VALUE"""),254)</f>
        <v>254</v>
      </c>
      <c r="U372" s="1">
        <f ca="1">IFERROR(__xludf.DUMMYFUNCTION("""COMPUTED_VALUE"""),654)</f>
        <v>654</v>
      </c>
      <c r="V372" s="1">
        <f ca="1">IFERROR(__xludf.DUMMYFUNCTION("""COMPUTED_VALUE"""),0.388)</f>
        <v>0.38800000000000001</v>
      </c>
      <c r="W372" s="1">
        <f ca="1">IFERROR(__xludf.DUMMYFUNCTION("""COMPUTED_VALUE"""),336)</f>
        <v>336</v>
      </c>
      <c r="X372" s="1">
        <f ca="1">IFERROR(__xludf.DUMMYFUNCTION("""COMPUTED_VALUE"""),475)</f>
        <v>475</v>
      </c>
      <c r="Y372" s="1">
        <f ca="1">IFERROR(__xludf.DUMMYFUNCTION("""COMPUTED_VALUE"""),0.707)</f>
        <v>0.70699999999999996</v>
      </c>
      <c r="Z372" s="1">
        <f ca="1">IFERROR(__xludf.DUMMYFUNCTION("""COMPUTED_VALUE"""),194)</f>
        <v>194</v>
      </c>
      <c r="AA372" s="1">
        <f ca="1">IFERROR(__xludf.DUMMYFUNCTION("""COMPUTED_VALUE"""),968)</f>
        <v>968</v>
      </c>
      <c r="AB372" s="1">
        <f ca="1">IFERROR(__xludf.DUMMYFUNCTION("""COMPUTED_VALUE"""),375)</f>
        <v>375</v>
      </c>
      <c r="AC372" s="1">
        <f ca="1">IFERROR(__xludf.DUMMYFUNCTION("""COMPUTED_VALUE"""),130)</f>
        <v>130</v>
      </c>
      <c r="AD372" s="1">
        <f ca="1">IFERROR(__xludf.DUMMYFUNCTION("""COMPUTED_VALUE"""),124)</f>
        <v>124</v>
      </c>
      <c r="AE372" s="1">
        <f ca="1">IFERROR(__xludf.DUMMYFUNCTION("""COMPUTED_VALUE"""),358)</f>
        <v>358</v>
      </c>
      <c r="AF372" s="1">
        <f ca="1">IFERROR(__xludf.DUMMYFUNCTION("""COMPUTED_VALUE"""),546)</f>
        <v>546</v>
      </c>
    </row>
    <row r="373" spans="1:32" ht="12.5" x14ac:dyDescent="0.25">
      <c r="A373" s="1" t="str">
        <f ca="1">IFERROR(__xludf.DUMMYFUNCTION("""COMPUTED_VALUE"""),"Western Kentucky")</f>
        <v>Western Kentucky</v>
      </c>
      <c r="B373" s="1">
        <f ca="1">IFERROR(__xludf.DUMMYFUNCTION("""COMPUTED_VALUE"""),32)</f>
        <v>32</v>
      </c>
      <c r="C373" s="1">
        <f ca="1">IFERROR(__xludf.DUMMYFUNCTION("""COMPUTED_VALUE"""),15)</f>
        <v>15</v>
      </c>
      <c r="D373" s="1">
        <f ca="1">IFERROR(__xludf.DUMMYFUNCTION("""COMPUTED_VALUE"""),17)</f>
        <v>17</v>
      </c>
      <c r="E373" s="1">
        <f ca="1">IFERROR(__xludf.DUMMYFUNCTION("""COMPUTED_VALUE"""),0.469)</f>
        <v>0.46899999999999997</v>
      </c>
      <c r="F373" s="1">
        <f ca="1">IFERROR(__xludf.DUMMYFUNCTION("""COMPUTED_VALUE"""),-5.8)</f>
        <v>-5.8</v>
      </c>
      <c r="G373" s="1">
        <f ca="1">IFERROR(__xludf.DUMMYFUNCTION("""COMPUTED_VALUE"""),-2.89)</f>
        <v>-2.89</v>
      </c>
      <c r="H373" s="1">
        <f ca="1">IFERROR(__xludf.DUMMYFUNCTION("""COMPUTED_VALUE"""),9)</f>
        <v>9</v>
      </c>
      <c r="I373" s="1">
        <f ca="1">IFERROR(__xludf.DUMMYFUNCTION("""COMPUTED_VALUE"""),9)</f>
        <v>9</v>
      </c>
      <c r="J373" s="1">
        <f ca="1">IFERROR(__xludf.DUMMYFUNCTION("""COMPUTED_VALUE"""),11)</f>
        <v>11</v>
      </c>
      <c r="K373" s="1">
        <f ca="1">IFERROR(__xludf.DUMMYFUNCTION("""COMPUTED_VALUE"""),3)</f>
        <v>3</v>
      </c>
      <c r="L373" s="1">
        <f ca="1">IFERROR(__xludf.DUMMYFUNCTION("""COMPUTED_VALUE"""),4)</f>
        <v>4</v>
      </c>
      <c r="M373" s="1">
        <f ca="1">IFERROR(__xludf.DUMMYFUNCTION("""COMPUTED_VALUE"""),12)</f>
        <v>12</v>
      </c>
      <c r="N373" s="1">
        <f ca="1">IFERROR(__xludf.DUMMYFUNCTION("""COMPUTED_VALUE"""),2209)</f>
        <v>2209</v>
      </c>
      <c r="O373" s="1">
        <f ca="1">IFERROR(__xludf.DUMMYFUNCTION("""COMPUTED_VALUE"""),2302)</f>
        <v>2302</v>
      </c>
      <c r="P373" s="1">
        <f ca="1">IFERROR(__xludf.DUMMYFUNCTION("""COMPUTED_VALUE"""),1280)</f>
        <v>1280</v>
      </c>
      <c r="Q373" s="1">
        <f ca="1">IFERROR(__xludf.DUMMYFUNCTION("""COMPUTED_VALUE"""),777)</f>
        <v>777</v>
      </c>
      <c r="R373" s="1">
        <f ca="1">IFERROR(__xludf.DUMMYFUNCTION("""COMPUTED_VALUE"""),1767)</f>
        <v>1767</v>
      </c>
      <c r="S373" s="1">
        <f ca="1">IFERROR(__xludf.DUMMYFUNCTION("""COMPUTED_VALUE"""),0.44)</f>
        <v>0.44</v>
      </c>
      <c r="T373" s="1">
        <f ca="1">IFERROR(__xludf.DUMMYFUNCTION("""COMPUTED_VALUE"""),214)</f>
        <v>214</v>
      </c>
      <c r="U373" s="1">
        <f ca="1">IFERROR(__xludf.DUMMYFUNCTION("""COMPUTED_VALUE"""),606)</f>
        <v>606</v>
      </c>
      <c r="V373" s="1">
        <f ca="1">IFERROR(__xludf.DUMMYFUNCTION("""COMPUTED_VALUE"""),0.353)</f>
        <v>0.35299999999999998</v>
      </c>
      <c r="W373" s="1">
        <f ca="1">IFERROR(__xludf.DUMMYFUNCTION("""COMPUTED_VALUE"""),441)</f>
        <v>441</v>
      </c>
      <c r="X373" s="1">
        <f ca="1">IFERROR(__xludf.DUMMYFUNCTION("""COMPUTED_VALUE"""),657)</f>
        <v>657</v>
      </c>
      <c r="Y373" s="1">
        <f ca="1">IFERROR(__xludf.DUMMYFUNCTION("""COMPUTED_VALUE"""),0.671)</f>
        <v>0.67100000000000004</v>
      </c>
      <c r="Z373" s="1">
        <f ca="1">IFERROR(__xludf.DUMMYFUNCTION("""COMPUTED_VALUE"""),302)</f>
        <v>302</v>
      </c>
      <c r="AA373" s="1">
        <f ca="1">IFERROR(__xludf.DUMMYFUNCTION("""COMPUTED_VALUE"""),1119)</f>
        <v>1119</v>
      </c>
      <c r="AB373" s="1">
        <f ca="1">IFERROR(__xludf.DUMMYFUNCTION("""COMPUTED_VALUE"""),397)</f>
        <v>397</v>
      </c>
      <c r="AC373" s="1">
        <f ca="1">IFERROR(__xludf.DUMMYFUNCTION("""COMPUTED_VALUE"""),143)</f>
        <v>143</v>
      </c>
      <c r="AD373" s="1">
        <f ca="1">IFERROR(__xludf.DUMMYFUNCTION("""COMPUTED_VALUE"""),105)</f>
        <v>105</v>
      </c>
      <c r="AE373" s="1">
        <f ca="1">IFERROR(__xludf.DUMMYFUNCTION("""COMPUTED_VALUE"""),388)</f>
        <v>388</v>
      </c>
      <c r="AF373" s="1">
        <f ca="1">IFERROR(__xludf.DUMMYFUNCTION("""COMPUTED_VALUE"""),475)</f>
        <v>475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IFERROR(__xludf.DUMMYFUNCTION("""COMPUTED_VALUE"""),"Western Michigan")</f>
        <v>Western Michigan</v>
      </c>
      <c r="B376" s="1">
        <f ca="1">IFERROR(__xludf.DUMMYFUNCTION("""COMPUTED_VALUE"""),32)</f>
        <v>32</v>
      </c>
      <c r="C376" s="1">
        <f ca="1">IFERROR(__xludf.DUMMYFUNCTION("""COMPUTED_VALUE"""),16)</f>
        <v>16</v>
      </c>
      <c r="D376" s="1">
        <f ca="1">IFERROR(__xludf.DUMMYFUNCTION("""COMPUTED_VALUE"""),16)</f>
        <v>16</v>
      </c>
      <c r="E376" s="1">
        <f ca="1">IFERROR(__xludf.DUMMYFUNCTION("""COMPUTED_VALUE"""),0.5)</f>
        <v>0.5</v>
      </c>
      <c r="F376" s="1">
        <f ca="1">IFERROR(__xludf.DUMMYFUNCTION("""COMPUTED_VALUE"""),-0.78)</f>
        <v>-0.78</v>
      </c>
      <c r="G376" s="1">
        <f ca="1">IFERROR(__xludf.DUMMYFUNCTION("""COMPUTED_VALUE"""),-0.55)</f>
        <v>-0.55000000000000004</v>
      </c>
      <c r="H376" s="1">
        <f ca="1">IFERROR(__xludf.DUMMYFUNCTION("""COMPUTED_VALUE"""),11)</f>
        <v>11</v>
      </c>
      <c r="I376" s="1">
        <f ca="1">IFERROR(__xludf.DUMMYFUNCTION("""COMPUTED_VALUE"""),7)</f>
        <v>7</v>
      </c>
      <c r="J376" s="1">
        <f ca="1">IFERROR(__xludf.DUMMYFUNCTION("""COMPUTED_VALUE"""),13)</f>
        <v>13</v>
      </c>
      <c r="K376" s="1">
        <f ca="1">IFERROR(__xludf.DUMMYFUNCTION("""COMPUTED_VALUE"""),2)</f>
        <v>2</v>
      </c>
      <c r="L376" s="1">
        <f ca="1">IFERROR(__xludf.DUMMYFUNCTION("""COMPUTED_VALUE"""),3)</f>
        <v>3</v>
      </c>
      <c r="M376" s="1">
        <f ca="1">IFERROR(__xludf.DUMMYFUNCTION("""COMPUTED_VALUE"""),9)</f>
        <v>9</v>
      </c>
      <c r="N376" s="1">
        <f ca="1">IFERROR(__xludf.DUMMYFUNCTION("""COMPUTED_VALUE"""),2417)</f>
        <v>2417</v>
      </c>
      <c r="O376" s="1">
        <f ca="1">IFERROR(__xludf.DUMMYFUNCTION("""COMPUTED_VALUE"""),2408)</f>
        <v>2408</v>
      </c>
      <c r="P376" s="1">
        <f ca="1">IFERROR(__xludf.DUMMYFUNCTION("""COMPUTED_VALUE"""),1285)</f>
        <v>1285</v>
      </c>
      <c r="Q376" s="1">
        <f ca="1">IFERROR(__xludf.DUMMYFUNCTION("""COMPUTED_VALUE"""),863)</f>
        <v>863</v>
      </c>
      <c r="R376" s="1">
        <f ca="1">IFERROR(__xludf.DUMMYFUNCTION("""COMPUTED_VALUE"""),1915)</f>
        <v>1915</v>
      </c>
      <c r="S376" s="1">
        <f ca="1">IFERROR(__xludf.DUMMYFUNCTION("""COMPUTED_VALUE"""),0.451)</f>
        <v>0.45100000000000001</v>
      </c>
      <c r="T376" s="1">
        <f ca="1">IFERROR(__xludf.DUMMYFUNCTION("""COMPUTED_VALUE"""),209)</f>
        <v>209</v>
      </c>
      <c r="U376" s="1">
        <f ca="1">IFERROR(__xludf.DUMMYFUNCTION("""COMPUTED_VALUE"""),563)</f>
        <v>563</v>
      </c>
      <c r="V376" s="1">
        <f ca="1">IFERROR(__xludf.DUMMYFUNCTION("""COMPUTED_VALUE"""),0.371)</f>
        <v>0.371</v>
      </c>
      <c r="W376" s="1">
        <f ca="1">IFERROR(__xludf.DUMMYFUNCTION("""COMPUTED_VALUE"""),482)</f>
        <v>482</v>
      </c>
      <c r="X376" s="1">
        <f ca="1">IFERROR(__xludf.DUMMYFUNCTION("""COMPUTED_VALUE"""),685)</f>
        <v>685</v>
      </c>
      <c r="Y376" s="1">
        <f ca="1">IFERROR(__xludf.DUMMYFUNCTION("""COMPUTED_VALUE"""),0.704)</f>
        <v>0.70399999999999996</v>
      </c>
      <c r="Z376" s="1">
        <f ca="1">IFERROR(__xludf.DUMMYFUNCTION("""COMPUTED_VALUE"""),370)</f>
        <v>370</v>
      </c>
      <c r="AA376" s="1">
        <f ca="1">IFERROR(__xludf.DUMMYFUNCTION("""COMPUTED_VALUE"""),1155)</f>
        <v>1155</v>
      </c>
      <c r="AB376" s="1">
        <f ca="1">IFERROR(__xludf.DUMMYFUNCTION("""COMPUTED_VALUE"""),414)</f>
        <v>414</v>
      </c>
      <c r="AC376" s="1">
        <f ca="1">IFERROR(__xludf.DUMMYFUNCTION("""COMPUTED_VALUE"""),183)</f>
        <v>183</v>
      </c>
      <c r="AD376" s="1">
        <f ca="1">IFERROR(__xludf.DUMMYFUNCTION("""COMPUTED_VALUE"""),91)</f>
        <v>91</v>
      </c>
      <c r="AE376" s="1">
        <f ca="1">IFERROR(__xludf.DUMMYFUNCTION("""COMPUTED_VALUE"""),399)</f>
        <v>399</v>
      </c>
      <c r="AF376" s="1">
        <f ca="1">IFERROR(__xludf.DUMMYFUNCTION("""COMPUTED_VALUE"""),600)</f>
        <v>600</v>
      </c>
    </row>
    <row r="377" spans="1:32" ht="12.5" x14ac:dyDescent="0.25">
      <c r="A377" s="1" t="str">
        <f ca="1">IFERROR(__xludf.DUMMYFUNCTION("""COMPUTED_VALUE"""),"Wichita StateNCAA")</f>
        <v>Wichita StateNCAA</v>
      </c>
      <c r="B377" s="1">
        <f ca="1">IFERROR(__xludf.DUMMYFUNCTION("""COMPUTED_VALUE"""),36)</f>
        <v>36</v>
      </c>
      <c r="C377" s="1">
        <f ca="1">IFERROR(__xludf.DUMMYFUNCTION("""COMPUTED_VALUE"""),31)</f>
        <v>31</v>
      </c>
      <c r="D377" s="1">
        <f ca="1">IFERROR(__xludf.DUMMYFUNCTION("""COMPUTED_VALUE"""),5)</f>
        <v>5</v>
      </c>
      <c r="E377" s="1">
        <f ca="1">IFERROR(__xludf.DUMMYFUNCTION("""COMPUTED_VALUE"""),0.861)</f>
        <v>0.86099999999999999</v>
      </c>
      <c r="F377" s="1">
        <f ca="1">IFERROR(__xludf.DUMMYFUNCTION("""COMPUTED_VALUE"""),21.24)</f>
        <v>21.24</v>
      </c>
      <c r="G377" s="1">
        <f ca="1">IFERROR(__xludf.DUMMYFUNCTION("""COMPUTED_VALUE"""),2.96)</f>
        <v>2.96</v>
      </c>
      <c r="H377" s="1">
        <f ca="1">IFERROR(__xludf.DUMMYFUNCTION("""COMPUTED_VALUE"""),17)</f>
        <v>17</v>
      </c>
      <c r="I377" s="1">
        <f ca="1">IFERROR(__xludf.DUMMYFUNCTION("""COMPUTED_VALUE"""),1)</f>
        <v>1</v>
      </c>
      <c r="J377" s="1">
        <f ca="1">IFERROR(__xludf.DUMMYFUNCTION("""COMPUTED_VALUE"""),16)</f>
        <v>16</v>
      </c>
      <c r="K377" s="1">
        <f ca="1">IFERROR(__xludf.DUMMYFUNCTION("""COMPUTED_VALUE"""),1)</f>
        <v>1</v>
      </c>
      <c r="L377" s="1">
        <f ca="1">IFERROR(__xludf.DUMMYFUNCTION("""COMPUTED_VALUE"""),9)</f>
        <v>9</v>
      </c>
      <c r="M377" s="1">
        <f ca="1">IFERROR(__xludf.DUMMYFUNCTION("""COMPUTED_VALUE"""),1)</f>
        <v>1</v>
      </c>
      <c r="N377" s="1">
        <f ca="1">IFERROR(__xludf.DUMMYFUNCTION("""COMPUTED_VALUE"""),2916)</f>
        <v>2916</v>
      </c>
      <c r="O377" s="1">
        <f ca="1">IFERROR(__xludf.DUMMYFUNCTION("""COMPUTED_VALUE"""),2246)</f>
        <v>2246</v>
      </c>
      <c r="P377" s="1">
        <f ca="1">IFERROR(__xludf.DUMMYFUNCTION("""COMPUTED_VALUE"""),1440)</f>
        <v>1440</v>
      </c>
      <c r="Q377" s="1">
        <f ca="1">IFERROR(__xludf.DUMMYFUNCTION("""COMPUTED_VALUE"""),992)</f>
        <v>992</v>
      </c>
      <c r="R377" s="1">
        <f ca="1">IFERROR(__xludf.DUMMYFUNCTION("""COMPUTED_VALUE"""),2114)</f>
        <v>2114</v>
      </c>
      <c r="S377" s="1">
        <f ca="1">IFERROR(__xludf.DUMMYFUNCTION("""COMPUTED_VALUE"""),0.469)</f>
        <v>0.46899999999999997</v>
      </c>
      <c r="T377" s="1">
        <f ca="1">IFERROR(__xludf.DUMMYFUNCTION("""COMPUTED_VALUE"""),310)</f>
        <v>310</v>
      </c>
      <c r="U377" s="1">
        <f ca="1">IFERROR(__xludf.DUMMYFUNCTION("""COMPUTED_VALUE"""),769)</f>
        <v>769</v>
      </c>
      <c r="V377" s="1">
        <f ca="1">IFERROR(__xludf.DUMMYFUNCTION("""COMPUTED_VALUE"""),0.403)</f>
        <v>0.40300000000000002</v>
      </c>
      <c r="W377" s="1">
        <f ca="1">IFERROR(__xludf.DUMMYFUNCTION("""COMPUTED_VALUE"""),622)</f>
        <v>622</v>
      </c>
      <c r="X377" s="1">
        <f ca="1">IFERROR(__xludf.DUMMYFUNCTION("""COMPUTED_VALUE"""),848)</f>
        <v>848</v>
      </c>
      <c r="Y377" s="1">
        <f ca="1">IFERROR(__xludf.DUMMYFUNCTION("""COMPUTED_VALUE"""),0.733)</f>
        <v>0.73299999999999998</v>
      </c>
      <c r="Z377" s="1">
        <f ca="1">IFERROR(__xludf.DUMMYFUNCTION("""COMPUTED_VALUE"""),434)</f>
        <v>434</v>
      </c>
      <c r="AA377" s="1">
        <f ca="1">IFERROR(__xludf.DUMMYFUNCTION("""COMPUTED_VALUE"""),1472)</f>
        <v>1472</v>
      </c>
      <c r="AB377" s="1">
        <f ca="1">IFERROR(__xludf.DUMMYFUNCTION("""COMPUTED_VALUE"""),586)</f>
        <v>586</v>
      </c>
      <c r="AC377" s="1">
        <f ca="1">IFERROR(__xludf.DUMMYFUNCTION("""COMPUTED_VALUE"""),235)</f>
        <v>235</v>
      </c>
      <c r="AD377" s="1">
        <f ca="1">IFERROR(__xludf.DUMMYFUNCTION("""COMPUTED_VALUE"""),140)</f>
        <v>140</v>
      </c>
      <c r="AE377" s="1">
        <f ca="1">IFERROR(__xludf.DUMMYFUNCTION("""COMPUTED_VALUE"""),406)</f>
        <v>406</v>
      </c>
      <c r="AF377" s="1">
        <f ca="1">IFERROR(__xludf.DUMMYFUNCTION("""COMPUTED_VALUE"""),676)</f>
        <v>676</v>
      </c>
    </row>
    <row r="378" spans="1:32" ht="12.5" x14ac:dyDescent="0.25">
      <c r="A378" s="1" t="str">
        <f ca="1">IFERROR(__xludf.DUMMYFUNCTION("""COMPUTED_VALUE"""),"William &amp; Mary")</f>
        <v>William &amp; Mary</v>
      </c>
      <c r="B378" s="1">
        <f ca="1">IFERROR(__xludf.DUMMYFUNCTION("""COMPUTED_VALUE"""),31)</f>
        <v>31</v>
      </c>
      <c r="C378" s="1">
        <f ca="1">IFERROR(__xludf.DUMMYFUNCTION("""COMPUTED_VALUE"""),17)</f>
        <v>17</v>
      </c>
      <c r="D378" s="1">
        <f ca="1">IFERROR(__xludf.DUMMYFUNCTION("""COMPUTED_VALUE"""),14)</f>
        <v>14</v>
      </c>
      <c r="E378" s="1">
        <f ca="1">IFERROR(__xludf.DUMMYFUNCTION("""COMPUTED_VALUE"""),0.548)</f>
        <v>0.54800000000000004</v>
      </c>
      <c r="F378" s="1">
        <f ca="1">IFERROR(__xludf.DUMMYFUNCTION("""COMPUTED_VALUE"""),-0.14)</f>
        <v>-0.14000000000000001</v>
      </c>
      <c r="G378" s="1">
        <f ca="1">IFERROR(__xludf.DUMMYFUNCTION("""COMPUTED_VALUE"""),-0.73)</f>
        <v>-0.73</v>
      </c>
      <c r="H378" s="1">
        <f ca="1">IFERROR(__xludf.DUMMYFUNCTION("""COMPUTED_VALUE"""),10)</f>
        <v>10</v>
      </c>
      <c r="I378" s="1">
        <f ca="1">IFERROR(__xludf.DUMMYFUNCTION("""COMPUTED_VALUE"""),8)</f>
        <v>8</v>
      </c>
      <c r="J378" s="1">
        <f ca="1">IFERROR(__xludf.DUMMYFUNCTION("""COMPUTED_VALUE"""),13)</f>
        <v>13</v>
      </c>
      <c r="K378" s="1">
        <f ca="1">IFERROR(__xludf.DUMMYFUNCTION("""COMPUTED_VALUE"""),1)</f>
        <v>1</v>
      </c>
      <c r="L378" s="1">
        <f ca="1">IFERROR(__xludf.DUMMYFUNCTION("""COMPUTED_VALUE"""),3)</f>
        <v>3</v>
      </c>
      <c r="M378" s="1">
        <f ca="1">IFERROR(__xludf.DUMMYFUNCTION("""COMPUTED_VALUE"""),12)</f>
        <v>12</v>
      </c>
      <c r="N378" s="1">
        <f ca="1">IFERROR(__xludf.DUMMYFUNCTION("""COMPUTED_VALUE"""),2534)</f>
        <v>2534</v>
      </c>
      <c r="O378" s="1">
        <f ca="1">IFERROR(__xludf.DUMMYFUNCTION("""COMPUTED_VALUE"""),2411)</f>
        <v>2411</v>
      </c>
      <c r="P378" s="1">
        <f ca="1">IFERROR(__xludf.DUMMYFUNCTION("""COMPUTED_VALUE"""),1250)</f>
        <v>1250</v>
      </c>
      <c r="Q378" s="1">
        <f ca="1">IFERROR(__xludf.DUMMYFUNCTION("""COMPUTED_VALUE"""),887)</f>
        <v>887</v>
      </c>
      <c r="R378" s="1">
        <f ca="1">IFERROR(__xludf.DUMMYFUNCTION("""COMPUTED_VALUE"""),1808)</f>
        <v>1808</v>
      </c>
      <c r="S378" s="1">
        <f ca="1">IFERROR(__xludf.DUMMYFUNCTION("""COMPUTED_VALUE"""),0.491)</f>
        <v>0.49099999999999999</v>
      </c>
      <c r="T378" s="1">
        <f ca="1">IFERROR(__xludf.DUMMYFUNCTION("""COMPUTED_VALUE"""),283)</f>
        <v>283</v>
      </c>
      <c r="U378" s="1">
        <f ca="1">IFERROR(__xludf.DUMMYFUNCTION("""COMPUTED_VALUE"""),740)</f>
        <v>740</v>
      </c>
      <c r="V378" s="1">
        <f ca="1">IFERROR(__xludf.DUMMYFUNCTION("""COMPUTED_VALUE"""),0.382)</f>
        <v>0.38200000000000001</v>
      </c>
      <c r="W378" s="1">
        <f ca="1">IFERROR(__xludf.DUMMYFUNCTION("""COMPUTED_VALUE"""),477)</f>
        <v>477</v>
      </c>
      <c r="X378" s="1">
        <f ca="1">IFERROR(__xludf.DUMMYFUNCTION("""COMPUTED_VALUE"""),689)</f>
        <v>689</v>
      </c>
      <c r="Y378" s="1">
        <f ca="1">IFERROR(__xludf.DUMMYFUNCTION("""COMPUTED_VALUE"""),0.692)</f>
        <v>0.69199999999999995</v>
      </c>
      <c r="Z378" s="1">
        <f ca="1">IFERROR(__xludf.DUMMYFUNCTION("""COMPUTED_VALUE"""),271)</f>
        <v>271</v>
      </c>
      <c r="AA378" s="1">
        <f ca="1">IFERROR(__xludf.DUMMYFUNCTION("""COMPUTED_VALUE"""),1123)</f>
        <v>1123</v>
      </c>
      <c r="AB378" s="1">
        <f ca="1">IFERROR(__xludf.DUMMYFUNCTION("""COMPUTED_VALUE"""),543)</f>
        <v>543</v>
      </c>
      <c r="AC378" s="1">
        <f ca="1">IFERROR(__xludf.DUMMYFUNCTION("""COMPUTED_VALUE"""),167)</f>
        <v>167</v>
      </c>
      <c r="AD378" s="1">
        <f ca="1">IFERROR(__xludf.DUMMYFUNCTION("""COMPUTED_VALUE"""),152)</f>
        <v>152</v>
      </c>
      <c r="AE378" s="1">
        <f ca="1">IFERROR(__xludf.DUMMYFUNCTION("""COMPUTED_VALUE"""),388)</f>
        <v>388</v>
      </c>
      <c r="AF378" s="1">
        <f ca="1">IFERROR(__xludf.DUMMYFUNCTION("""COMPUTED_VALUE"""),566)</f>
        <v>566</v>
      </c>
    </row>
    <row r="379" spans="1:32" ht="12.5" x14ac:dyDescent="0.25">
      <c r="A379" s="1" t="str">
        <f ca="1">IFERROR(__xludf.DUMMYFUNCTION("""COMPUTED_VALUE"""),"WinthropNCAA")</f>
        <v>WinthropNCAA</v>
      </c>
      <c r="B379" s="1">
        <f ca="1">IFERROR(__xludf.DUMMYFUNCTION("""COMPUTED_VALUE"""),33)</f>
        <v>33</v>
      </c>
      <c r="C379" s="1">
        <f ca="1">IFERROR(__xludf.DUMMYFUNCTION("""COMPUTED_VALUE"""),26)</f>
        <v>26</v>
      </c>
      <c r="D379" s="1">
        <f ca="1">IFERROR(__xludf.DUMMYFUNCTION("""COMPUTED_VALUE"""),7)</f>
        <v>7</v>
      </c>
      <c r="E379" s="1">
        <f ca="1">IFERROR(__xludf.DUMMYFUNCTION("""COMPUTED_VALUE"""),0.788)</f>
        <v>0.78800000000000003</v>
      </c>
      <c r="F379" s="1">
        <f ca="1">IFERROR(__xludf.DUMMYFUNCTION("""COMPUTED_VALUE"""),1.34)</f>
        <v>1.34</v>
      </c>
      <c r="G379" s="1">
        <f ca="1">IFERROR(__xludf.DUMMYFUNCTION("""COMPUTED_VALUE"""),-6.12)</f>
        <v>-6.12</v>
      </c>
      <c r="H379" s="1">
        <f ca="1">IFERROR(__xludf.DUMMYFUNCTION("""COMPUTED_VALUE"""),15)</f>
        <v>15</v>
      </c>
      <c r="I379" s="1">
        <f ca="1">IFERROR(__xludf.DUMMYFUNCTION("""COMPUTED_VALUE"""),3)</f>
        <v>3</v>
      </c>
      <c r="J379" s="1">
        <f ca="1">IFERROR(__xludf.DUMMYFUNCTION("""COMPUTED_VALUE"""),13)</f>
        <v>13</v>
      </c>
      <c r="K379" s="1">
        <f ca="1">IFERROR(__xludf.DUMMYFUNCTION("""COMPUTED_VALUE"""),3)</f>
        <v>3</v>
      </c>
      <c r="L379" s="1">
        <f ca="1">IFERROR(__xludf.DUMMYFUNCTION("""COMPUTED_VALUE"""),12)</f>
        <v>12</v>
      </c>
      <c r="M379" s="1">
        <f ca="1">IFERROR(__xludf.DUMMYFUNCTION("""COMPUTED_VALUE"""),3)</f>
        <v>3</v>
      </c>
      <c r="N379" s="1">
        <f ca="1">IFERROR(__xludf.DUMMYFUNCTION("""COMPUTED_VALUE"""),2615)</f>
        <v>2615</v>
      </c>
      <c r="O379" s="1">
        <f ca="1">IFERROR(__xludf.DUMMYFUNCTION("""COMPUTED_VALUE"""),2322)</f>
        <v>2322</v>
      </c>
      <c r="P379" s="1">
        <f ca="1">IFERROR(__xludf.DUMMYFUNCTION("""COMPUTED_VALUE"""),1350)</f>
        <v>1350</v>
      </c>
      <c r="Q379" s="1">
        <f ca="1">IFERROR(__xludf.DUMMYFUNCTION("""COMPUTED_VALUE"""),891)</f>
        <v>891</v>
      </c>
      <c r="R379" s="1">
        <f ca="1">IFERROR(__xludf.DUMMYFUNCTION("""COMPUTED_VALUE"""),1957)</f>
        <v>1957</v>
      </c>
      <c r="S379" s="1">
        <f ca="1">IFERROR(__xludf.DUMMYFUNCTION("""COMPUTED_VALUE"""),0.455)</f>
        <v>0.45500000000000002</v>
      </c>
      <c r="T379" s="1">
        <f ca="1">IFERROR(__xludf.DUMMYFUNCTION("""COMPUTED_VALUE"""),313)</f>
        <v>313</v>
      </c>
      <c r="U379" s="1">
        <f ca="1">IFERROR(__xludf.DUMMYFUNCTION("""COMPUTED_VALUE"""),839)</f>
        <v>839</v>
      </c>
      <c r="V379" s="1">
        <f ca="1">IFERROR(__xludf.DUMMYFUNCTION("""COMPUTED_VALUE"""),0.373)</f>
        <v>0.373</v>
      </c>
      <c r="W379" s="1">
        <f ca="1">IFERROR(__xludf.DUMMYFUNCTION("""COMPUTED_VALUE"""),520)</f>
        <v>520</v>
      </c>
      <c r="X379" s="1">
        <f ca="1">IFERROR(__xludf.DUMMYFUNCTION("""COMPUTED_VALUE"""),725)</f>
        <v>725</v>
      </c>
      <c r="Y379" s="1">
        <f ca="1">IFERROR(__xludf.DUMMYFUNCTION("""COMPUTED_VALUE"""),0.717)</f>
        <v>0.71699999999999997</v>
      </c>
      <c r="Z379" s="1">
        <f ca="1">IFERROR(__xludf.DUMMYFUNCTION("""COMPUTED_VALUE"""),316)</f>
        <v>316</v>
      </c>
      <c r="AA379" s="1">
        <f ca="1">IFERROR(__xludf.DUMMYFUNCTION("""COMPUTED_VALUE"""),1224)</f>
        <v>1224</v>
      </c>
      <c r="AB379" s="1">
        <f ca="1">IFERROR(__xludf.DUMMYFUNCTION("""COMPUTED_VALUE"""),423)</f>
        <v>423</v>
      </c>
      <c r="AC379" s="1">
        <f ca="1">IFERROR(__xludf.DUMMYFUNCTION("""COMPUTED_VALUE"""),216)</f>
        <v>216</v>
      </c>
      <c r="AD379" s="1">
        <f ca="1">IFERROR(__xludf.DUMMYFUNCTION("""COMPUTED_VALUE"""),169)</f>
        <v>169</v>
      </c>
      <c r="AE379" s="1">
        <f ca="1">IFERROR(__xludf.DUMMYFUNCTION("""COMPUTED_VALUE"""),430)</f>
        <v>430</v>
      </c>
      <c r="AF379" s="1">
        <f ca="1">IFERROR(__xludf.DUMMYFUNCTION("""COMPUTED_VALUE"""),605)</f>
        <v>605</v>
      </c>
    </row>
    <row r="380" spans="1:32" ht="12.5" x14ac:dyDescent="0.25">
      <c r="A380" s="1" t="str">
        <f ca="1">IFERROR(__xludf.DUMMYFUNCTION("""COMPUTED_VALUE"""),"WisconsinNCAA")</f>
        <v>WisconsinNCAA</v>
      </c>
      <c r="B380" s="1">
        <f ca="1">IFERROR(__xludf.DUMMYFUNCTION("""COMPUTED_VALUE"""),37)</f>
        <v>37</v>
      </c>
      <c r="C380" s="1">
        <f ca="1">IFERROR(__xludf.DUMMYFUNCTION("""COMPUTED_VALUE"""),27)</f>
        <v>27</v>
      </c>
      <c r="D380" s="1">
        <f ca="1">IFERROR(__xludf.DUMMYFUNCTION("""COMPUTED_VALUE"""),10)</f>
        <v>10</v>
      </c>
      <c r="E380" s="1">
        <f ca="1">IFERROR(__xludf.DUMMYFUNCTION("""COMPUTED_VALUE"""),0.73)</f>
        <v>0.73</v>
      </c>
      <c r="F380" s="1">
        <f ca="1">IFERROR(__xludf.DUMMYFUNCTION("""COMPUTED_VALUE"""),19.4)</f>
        <v>19.399999999999999</v>
      </c>
      <c r="G380" s="1">
        <f ca="1">IFERROR(__xludf.DUMMYFUNCTION("""COMPUTED_VALUE"""),9.4)</f>
        <v>9.4</v>
      </c>
      <c r="H380" s="1">
        <f ca="1">IFERROR(__xludf.DUMMYFUNCTION("""COMPUTED_VALUE"""),12)</f>
        <v>12</v>
      </c>
      <c r="I380" s="1">
        <f ca="1">IFERROR(__xludf.DUMMYFUNCTION("""COMPUTED_VALUE"""),6)</f>
        <v>6</v>
      </c>
      <c r="J380" s="1">
        <f ca="1">IFERROR(__xludf.DUMMYFUNCTION("""COMPUTED_VALUE"""),15)</f>
        <v>15</v>
      </c>
      <c r="K380" s="1">
        <f ca="1">IFERROR(__xludf.DUMMYFUNCTION("""COMPUTED_VALUE"""),2)</f>
        <v>2</v>
      </c>
      <c r="L380" s="1">
        <f ca="1">IFERROR(__xludf.DUMMYFUNCTION("""COMPUTED_VALUE"""),5)</f>
        <v>5</v>
      </c>
      <c r="M380" s="1">
        <f ca="1">IFERROR(__xludf.DUMMYFUNCTION("""COMPUTED_VALUE"""),5)</f>
        <v>5</v>
      </c>
      <c r="N380" s="1">
        <f ca="1">IFERROR(__xludf.DUMMYFUNCTION("""COMPUTED_VALUE"""),2678)</f>
        <v>2678</v>
      </c>
      <c r="O380" s="1">
        <f ca="1">IFERROR(__xludf.DUMMYFUNCTION("""COMPUTED_VALUE"""),2308)</f>
        <v>2308</v>
      </c>
      <c r="P380" s="1">
        <f ca="1">IFERROR(__xludf.DUMMYFUNCTION("""COMPUTED_VALUE"""),1500)</f>
        <v>1500</v>
      </c>
      <c r="Q380" s="1">
        <f ca="1">IFERROR(__xludf.DUMMYFUNCTION("""COMPUTED_VALUE"""),971)</f>
        <v>971</v>
      </c>
      <c r="R380" s="1">
        <f ca="1">IFERROR(__xludf.DUMMYFUNCTION("""COMPUTED_VALUE"""),2135)</f>
        <v>2135</v>
      </c>
      <c r="S380" s="1">
        <f ca="1">IFERROR(__xludf.DUMMYFUNCTION("""COMPUTED_VALUE"""),0.455)</f>
        <v>0.45500000000000002</v>
      </c>
      <c r="T380" s="1">
        <f ca="1">IFERROR(__xludf.DUMMYFUNCTION("""COMPUTED_VALUE"""),283)</f>
        <v>283</v>
      </c>
      <c r="U380" s="1">
        <f ca="1">IFERROR(__xludf.DUMMYFUNCTION("""COMPUTED_VALUE"""),788)</f>
        <v>788</v>
      </c>
      <c r="V380" s="1">
        <f ca="1">IFERROR(__xludf.DUMMYFUNCTION("""COMPUTED_VALUE"""),0.359)</f>
        <v>0.35899999999999999</v>
      </c>
      <c r="W380" s="1">
        <f ca="1">IFERROR(__xludf.DUMMYFUNCTION("""COMPUTED_VALUE"""),453)</f>
        <v>453</v>
      </c>
      <c r="X380" s="1">
        <f ca="1">IFERROR(__xludf.DUMMYFUNCTION("""COMPUTED_VALUE"""),703)</f>
        <v>703</v>
      </c>
      <c r="Y380" s="1">
        <f ca="1">IFERROR(__xludf.DUMMYFUNCTION("""COMPUTED_VALUE"""),0.644)</f>
        <v>0.64400000000000002</v>
      </c>
      <c r="Z380" s="1">
        <f ca="1">IFERROR(__xludf.DUMMYFUNCTION("""COMPUTED_VALUE"""),460)</f>
        <v>460</v>
      </c>
      <c r="AA380" s="1">
        <f ca="1">IFERROR(__xludf.DUMMYFUNCTION("""COMPUTED_VALUE"""),1377)</f>
        <v>1377</v>
      </c>
      <c r="AB380" s="1">
        <f ca="1">IFERROR(__xludf.DUMMYFUNCTION("""COMPUTED_VALUE"""),504)</f>
        <v>504</v>
      </c>
      <c r="AC380" s="1">
        <f ca="1">IFERROR(__xludf.DUMMYFUNCTION("""COMPUTED_VALUE"""),250)</f>
        <v>250</v>
      </c>
      <c r="AD380" s="1">
        <f ca="1">IFERROR(__xludf.DUMMYFUNCTION("""COMPUTED_VALUE"""),130)</f>
        <v>130</v>
      </c>
      <c r="AE380" s="1">
        <f ca="1">IFERROR(__xludf.DUMMYFUNCTION("""COMPUTED_VALUE"""),411)</f>
        <v>411</v>
      </c>
      <c r="AF380" s="1">
        <f ca="1">IFERROR(__xludf.DUMMYFUNCTION("""COMPUTED_VALUE"""),602)</f>
        <v>602</v>
      </c>
    </row>
    <row r="381" spans="1:32" ht="12.5" x14ac:dyDescent="0.25">
      <c r="A381" s="1" t="str">
        <f ca="1">IFERROR(__xludf.DUMMYFUNCTION("""COMPUTED_VALUE"""),"Wofford")</f>
        <v>Wofford</v>
      </c>
      <c r="B381" s="1">
        <f ca="1">IFERROR(__xludf.DUMMYFUNCTION("""COMPUTED_VALUE"""),33)</f>
        <v>33</v>
      </c>
      <c r="C381" s="1">
        <f ca="1">IFERROR(__xludf.DUMMYFUNCTION("""COMPUTED_VALUE"""),16)</f>
        <v>16</v>
      </c>
      <c r="D381" s="1">
        <f ca="1">IFERROR(__xludf.DUMMYFUNCTION("""COMPUTED_VALUE"""),17)</f>
        <v>17</v>
      </c>
      <c r="E381" s="1">
        <f ca="1">IFERROR(__xludf.DUMMYFUNCTION("""COMPUTED_VALUE"""),0.485)</f>
        <v>0.48499999999999999</v>
      </c>
      <c r="F381" s="1">
        <f ca="1">IFERROR(__xludf.DUMMYFUNCTION("""COMPUTED_VALUE"""),-0.71)</f>
        <v>-0.71</v>
      </c>
      <c r="G381" s="1">
        <f ca="1">IFERROR(__xludf.DUMMYFUNCTION("""COMPUTED_VALUE"""),-1.08)</f>
        <v>-1.08</v>
      </c>
      <c r="H381" s="1">
        <f ca="1">IFERROR(__xludf.DUMMYFUNCTION("""COMPUTED_VALUE"""),10)</f>
        <v>10</v>
      </c>
      <c r="I381" s="1">
        <f ca="1">IFERROR(__xludf.DUMMYFUNCTION("""COMPUTED_VALUE"""),8)</f>
        <v>8</v>
      </c>
      <c r="J381" s="1">
        <f ca="1">IFERROR(__xludf.DUMMYFUNCTION("""COMPUTED_VALUE"""),11)</f>
        <v>11</v>
      </c>
      <c r="K381" s="1">
        <f ca="1">IFERROR(__xludf.DUMMYFUNCTION("""COMPUTED_VALUE"""),2)</f>
        <v>2</v>
      </c>
      <c r="L381" s="1">
        <f ca="1">IFERROR(__xludf.DUMMYFUNCTION("""COMPUTED_VALUE"""),4)</f>
        <v>4</v>
      </c>
      <c r="M381" s="1">
        <f ca="1">IFERROR(__xludf.DUMMYFUNCTION("""COMPUTED_VALUE"""),10)</f>
        <v>10</v>
      </c>
      <c r="N381" s="1">
        <f ca="1">IFERROR(__xludf.DUMMYFUNCTION("""COMPUTED_VALUE"""),2593)</f>
        <v>2593</v>
      </c>
      <c r="O381" s="1">
        <f ca="1">IFERROR(__xludf.DUMMYFUNCTION("""COMPUTED_VALUE"""),2479)</f>
        <v>2479</v>
      </c>
      <c r="P381" s="1">
        <f ca="1">IFERROR(__xludf.DUMMYFUNCTION("""COMPUTED_VALUE"""),1350)</f>
        <v>1350</v>
      </c>
      <c r="Q381" s="1">
        <f ca="1">IFERROR(__xludf.DUMMYFUNCTION("""COMPUTED_VALUE"""),900)</f>
        <v>900</v>
      </c>
      <c r="R381" s="1">
        <f ca="1">IFERROR(__xludf.DUMMYFUNCTION("""COMPUTED_VALUE"""),1926)</f>
        <v>1926</v>
      </c>
      <c r="S381" s="1">
        <f ca="1">IFERROR(__xludf.DUMMYFUNCTION("""COMPUTED_VALUE"""),0.467)</f>
        <v>0.46700000000000003</v>
      </c>
      <c r="T381" s="1">
        <f ca="1">IFERROR(__xludf.DUMMYFUNCTION("""COMPUTED_VALUE"""),311)</f>
        <v>311</v>
      </c>
      <c r="U381" s="1">
        <f ca="1">IFERROR(__xludf.DUMMYFUNCTION("""COMPUTED_VALUE"""),771)</f>
        <v>771</v>
      </c>
      <c r="V381" s="1">
        <f ca="1">IFERROR(__xludf.DUMMYFUNCTION("""COMPUTED_VALUE"""),0.403)</f>
        <v>0.40300000000000002</v>
      </c>
      <c r="W381" s="1">
        <f ca="1">IFERROR(__xludf.DUMMYFUNCTION("""COMPUTED_VALUE"""),482)</f>
        <v>482</v>
      </c>
      <c r="X381" s="1">
        <f ca="1">IFERROR(__xludf.DUMMYFUNCTION("""COMPUTED_VALUE"""),619)</f>
        <v>619</v>
      </c>
      <c r="Y381" s="1">
        <f ca="1">IFERROR(__xludf.DUMMYFUNCTION("""COMPUTED_VALUE"""),0.779)</f>
        <v>0.77900000000000003</v>
      </c>
      <c r="Z381" s="1">
        <f ca="1">IFERROR(__xludf.DUMMYFUNCTION("""COMPUTED_VALUE"""),323)</f>
        <v>323</v>
      </c>
      <c r="AA381" s="1">
        <f ca="1">IFERROR(__xludf.DUMMYFUNCTION("""COMPUTED_VALUE"""),1105)</f>
        <v>1105</v>
      </c>
      <c r="AB381" s="1">
        <f ca="1">IFERROR(__xludf.DUMMYFUNCTION("""COMPUTED_VALUE"""),552)</f>
        <v>552</v>
      </c>
      <c r="AC381" s="1">
        <f ca="1">IFERROR(__xludf.DUMMYFUNCTION("""COMPUTED_VALUE"""),185)</f>
        <v>185</v>
      </c>
      <c r="AD381" s="1">
        <f ca="1">IFERROR(__xludf.DUMMYFUNCTION("""COMPUTED_VALUE"""),71)</f>
        <v>71</v>
      </c>
      <c r="AE381" s="1">
        <f ca="1">IFERROR(__xludf.DUMMYFUNCTION("""COMPUTED_VALUE"""),405)</f>
        <v>405</v>
      </c>
      <c r="AF381" s="1">
        <f ca="1">IFERROR(__xludf.DUMMYFUNCTION("""COMPUTED_VALUE"""),614)</f>
        <v>614</v>
      </c>
    </row>
    <row r="382" spans="1:32" ht="12.5" x14ac:dyDescent="0.25">
      <c r="A382" s="1" t="str">
        <f ca="1">IFERROR(__xludf.DUMMYFUNCTION("""COMPUTED_VALUE"""),"Wright State")</f>
        <v>Wright State</v>
      </c>
      <c r="B382" s="1">
        <f ca="1">IFERROR(__xludf.DUMMYFUNCTION("""COMPUTED_VALUE"""),32)</f>
        <v>32</v>
      </c>
      <c r="C382" s="1">
        <f ca="1">IFERROR(__xludf.DUMMYFUNCTION("""COMPUTED_VALUE"""),20)</f>
        <v>20</v>
      </c>
      <c r="D382" s="1">
        <f ca="1">IFERROR(__xludf.DUMMYFUNCTION("""COMPUTED_VALUE"""),12)</f>
        <v>12</v>
      </c>
      <c r="E382" s="1">
        <f ca="1">IFERROR(__xludf.DUMMYFUNCTION("""COMPUTED_VALUE"""),0.625)</f>
        <v>0.625</v>
      </c>
      <c r="F382" s="1">
        <f ca="1">IFERROR(__xludf.DUMMYFUNCTION("""COMPUTED_VALUE"""),-1.02)</f>
        <v>-1.02</v>
      </c>
      <c r="G382" s="1">
        <f ca="1">IFERROR(__xludf.DUMMYFUNCTION("""COMPUTED_VALUE"""),-2.42)</f>
        <v>-2.42</v>
      </c>
      <c r="H382" s="1">
        <f ca="1">IFERROR(__xludf.DUMMYFUNCTION("""COMPUTED_VALUE"""),11)</f>
        <v>11</v>
      </c>
      <c r="I382" s="1">
        <f ca="1">IFERROR(__xludf.DUMMYFUNCTION("""COMPUTED_VALUE"""),7)</f>
        <v>7</v>
      </c>
      <c r="J382" s="1">
        <f ca="1">IFERROR(__xludf.DUMMYFUNCTION("""COMPUTED_VALUE"""),12)</f>
        <v>12</v>
      </c>
      <c r="K382" s="1">
        <f ca="1">IFERROR(__xludf.DUMMYFUNCTION("""COMPUTED_VALUE"""),4)</f>
        <v>4</v>
      </c>
      <c r="L382" s="1">
        <f ca="1">IFERROR(__xludf.DUMMYFUNCTION("""COMPUTED_VALUE"""),8)</f>
        <v>8</v>
      </c>
      <c r="M382" s="1">
        <f ca="1">IFERROR(__xludf.DUMMYFUNCTION("""COMPUTED_VALUE"""),7)</f>
        <v>7</v>
      </c>
      <c r="N382" s="1">
        <f ca="1">IFERROR(__xludf.DUMMYFUNCTION("""COMPUTED_VALUE"""),2465)</f>
        <v>2465</v>
      </c>
      <c r="O382" s="1">
        <f ca="1">IFERROR(__xludf.DUMMYFUNCTION("""COMPUTED_VALUE"""),2317)</f>
        <v>2317</v>
      </c>
      <c r="P382" s="1">
        <f ca="1">IFERROR(__xludf.DUMMYFUNCTION("""COMPUTED_VALUE"""),1290)</f>
        <v>1290</v>
      </c>
      <c r="Q382" s="1">
        <f ca="1">IFERROR(__xludf.DUMMYFUNCTION("""COMPUTED_VALUE"""),817)</f>
        <v>817</v>
      </c>
      <c r="R382" s="1">
        <f ca="1">IFERROR(__xludf.DUMMYFUNCTION("""COMPUTED_VALUE"""),1819)</f>
        <v>1819</v>
      </c>
      <c r="S382" s="1">
        <f ca="1">IFERROR(__xludf.DUMMYFUNCTION("""COMPUTED_VALUE"""),0.449)</f>
        <v>0.44900000000000001</v>
      </c>
      <c r="T382" s="1">
        <f ca="1">IFERROR(__xludf.DUMMYFUNCTION("""COMPUTED_VALUE"""),285)</f>
        <v>285</v>
      </c>
      <c r="U382" s="1">
        <f ca="1">IFERROR(__xludf.DUMMYFUNCTION("""COMPUTED_VALUE"""),749)</f>
        <v>749</v>
      </c>
      <c r="V382" s="1">
        <f ca="1">IFERROR(__xludf.DUMMYFUNCTION("""COMPUTED_VALUE"""),0.381)</f>
        <v>0.38100000000000001</v>
      </c>
      <c r="W382" s="1">
        <f ca="1">IFERROR(__xludf.DUMMYFUNCTION("""COMPUTED_VALUE"""),546)</f>
        <v>546</v>
      </c>
      <c r="X382" s="1">
        <f ca="1">IFERROR(__xludf.DUMMYFUNCTION("""COMPUTED_VALUE"""),715)</f>
        <v>715</v>
      </c>
      <c r="Y382" s="1">
        <f ca="1">IFERROR(__xludf.DUMMYFUNCTION("""COMPUTED_VALUE"""),0.764)</f>
        <v>0.76400000000000001</v>
      </c>
      <c r="Z382" s="1">
        <f ca="1">IFERROR(__xludf.DUMMYFUNCTION("""COMPUTED_VALUE"""),326)</f>
        <v>326</v>
      </c>
      <c r="AA382" s="1">
        <f ca="1">IFERROR(__xludf.DUMMYFUNCTION("""COMPUTED_VALUE"""),1136)</f>
        <v>1136</v>
      </c>
      <c r="AB382" s="1">
        <f ca="1">IFERROR(__xludf.DUMMYFUNCTION("""COMPUTED_VALUE"""),472)</f>
        <v>472</v>
      </c>
      <c r="AC382" s="1">
        <f ca="1">IFERROR(__xludf.DUMMYFUNCTION("""COMPUTED_VALUE"""),181)</f>
        <v>181</v>
      </c>
      <c r="AD382" s="1">
        <f ca="1">IFERROR(__xludf.DUMMYFUNCTION("""COMPUTED_VALUE"""),75)</f>
        <v>75</v>
      </c>
      <c r="AE382" s="1">
        <f ca="1">IFERROR(__xludf.DUMMYFUNCTION("""COMPUTED_VALUE"""),474)</f>
        <v>474</v>
      </c>
      <c r="AF382" s="1">
        <f ca="1">IFERROR(__xludf.DUMMYFUNCTION("""COMPUTED_VALUE"""),594)</f>
        <v>594</v>
      </c>
    </row>
    <row r="383" spans="1:32" ht="12.5" x14ac:dyDescent="0.25">
      <c r="A383" s="1" t="str">
        <f ca="1">IFERROR(__xludf.DUMMYFUNCTION("""COMPUTED_VALUE"""),"Wyoming")</f>
        <v>Wyoming</v>
      </c>
      <c r="B383" s="1">
        <f ca="1">IFERROR(__xludf.DUMMYFUNCTION("""COMPUTED_VALUE"""),38)</f>
        <v>38</v>
      </c>
      <c r="C383" s="1">
        <f ca="1">IFERROR(__xludf.DUMMYFUNCTION("""COMPUTED_VALUE"""),23)</f>
        <v>23</v>
      </c>
      <c r="D383" s="1">
        <f ca="1">IFERROR(__xludf.DUMMYFUNCTION("""COMPUTED_VALUE"""),15)</f>
        <v>15</v>
      </c>
      <c r="E383" s="1">
        <f ca="1">IFERROR(__xludf.DUMMYFUNCTION("""COMPUTED_VALUE"""),0.605)</f>
        <v>0.60499999999999998</v>
      </c>
      <c r="F383" s="1">
        <f ca="1">IFERROR(__xludf.DUMMYFUNCTION("""COMPUTED_VALUE"""),2.83)</f>
        <v>2.83</v>
      </c>
      <c r="G383" s="1">
        <f ca="1">IFERROR(__xludf.DUMMYFUNCTION("""COMPUTED_VALUE"""),0.55)</f>
        <v>0.55000000000000004</v>
      </c>
      <c r="H383" s="1">
        <f ca="1">IFERROR(__xludf.DUMMYFUNCTION("""COMPUTED_VALUE"""),8)</f>
        <v>8</v>
      </c>
      <c r="I383" s="1">
        <f ca="1">IFERROR(__xludf.DUMMYFUNCTION("""COMPUTED_VALUE"""),10)</f>
        <v>10</v>
      </c>
      <c r="J383" s="1">
        <f ca="1">IFERROR(__xludf.DUMMYFUNCTION("""COMPUTED_VALUE"""),19)</f>
        <v>19</v>
      </c>
      <c r="K383" s="1">
        <f ca="1">IFERROR(__xludf.DUMMYFUNCTION("""COMPUTED_VALUE"""),3)</f>
        <v>3</v>
      </c>
      <c r="L383" s="1">
        <f ca="1">IFERROR(__xludf.DUMMYFUNCTION("""COMPUTED_VALUE"""),3)</f>
        <v>3</v>
      </c>
      <c r="M383" s="1">
        <f ca="1">IFERROR(__xludf.DUMMYFUNCTION("""COMPUTED_VALUE"""),10)</f>
        <v>10</v>
      </c>
      <c r="N383" s="1">
        <f ca="1">IFERROR(__xludf.DUMMYFUNCTION("""COMPUTED_VALUE"""),2961)</f>
        <v>2961</v>
      </c>
      <c r="O383" s="1">
        <f ca="1">IFERROR(__xludf.DUMMYFUNCTION("""COMPUTED_VALUE"""),2833)</f>
        <v>2833</v>
      </c>
      <c r="P383" s="1">
        <f ca="1">IFERROR(__xludf.DUMMYFUNCTION("""COMPUTED_VALUE"""),1545)</f>
        <v>1545</v>
      </c>
      <c r="Q383" s="1">
        <f ca="1">IFERROR(__xludf.DUMMYFUNCTION("""COMPUTED_VALUE"""),986)</f>
        <v>986</v>
      </c>
      <c r="R383" s="1">
        <f ca="1">IFERROR(__xludf.DUMMYFUNCTION("""COMPUTED_VALUE"""),2265)</f>
        <v>2265</v>
      </c>
      <c r="S383" s="1">
        <f ca="1">IFERROR(__xludf.DUMMYFUNCTION("""COMPUTED_VALUE"""),0.435)</f>
        <v>0.435</v>
      </c>
      <c r="T383" s="1">
        <f ca="1">IFERROR(__xludf.DUMMYFUNCTION("""COMPUTED_VALUE"""),369)</f>
        <v>369</v>
      </c>
      <c r="U383" s="1">
        <f ca="1">IFERROR(__xludf.DUMMYFUNCTION("""COMPUTED_VALUE"""),1055)</f>
        <v>1055</v>
      </c>
      <c r="V383" s="1">
        <f ca="1">IFERROR(__xludf.DUMMYFUNCTION("""COMPUTED_VALUE"""),0.35)</f>
        <v>0.35</v>
      </c>
      <c r="W383" s="1">
        <f ca="1">IFERROR(__xludf.DUMMYFUNCTION("""COMPUTED_VALUE"""),620)</f>
        <v>620</v>
      </c>
      <c r="X383" s="1">
        <f ca="1">IFERROR(__xludf.DUMMYFUNCTION("""COMPUTED_VALUE"""),849)</f>
        <v>849</v>
      </c>
      <c r="Y383" s="1">
        <f ca="1">IFERROR(__xludf.DUMMYFUNCTION("""COMPUTED_VALUE"""),0.73)</f>
        <v>0.73</v>
      </c>
      <c r="Z383" s="1">
        <f ca="1">IFERROR(__xludf.DUMMYFUNCTION("""COMPUTED_VALUE"""),322)</f>
        <v>322</v>
      </c>
      <c r="AA383" s="1">
        <f ca="1">IFERROR(__xludf.DUMMYFUNCTION("""COMPUTED_VALUE"""),1446)</f>
        <v>1446</v>
      </c>
      <c r="AB383" s="1">
        <f ca="1">IFERROR(__xludf.DUMMYFUNCTION("""COMPUTED_VALUE"""),561)</f>
        <v>561</v>
      </c>
      <c r="AC383" s="1">
        <f ca="1">IFERROR(__xludf.DUMMYFUNCTION("""COMPUTED_VALUE"""),195)</f>
        <v>195</v>
      </c>
      <c r="AD383" s="1">
        <f ca="1">IFERROR(__xludf.DUMMYFUNCTION("""COMPUTED_VALUE"""),172)</f>
        <v>172</v>
      </c>
      <c r="AE383" s="1">
        <f ca="1">IFERROR(__xludf.DUMMYFUNCTION("""COMPUTED_VALUE"""),502)</f>
        <v>502</v>
      </c>
      <c r="AF383" s="1">
        <f ca="1">IFERROR(__xludf.DUMMYFUNCTION("""COMPUTED_VALUE"""),783)</f>
        <v>783</v>
      </c>
    </row>
    <row r="384" spans="1:32" ht="12.5" x14ac:dyDescent="0.25">
      <c r="A384" s="1" t="str">
        <f ca="1">IFERROR(__xludf.DUMMYFUNCTION("""COMPUTED_VALUE"""),"XavierNCAA")</f>
        <v>XavierNCAA</v>
      </c>
      <c r="B384" s="1">
        <f ca="1">IFERROR(__xludf.DUMMYFUNCTION("""COMPUTED_VALUE"""),38)</f>
        <v>38</v>
      </c>
      <c r="C384" s="1">
        <f ca="1">IFERROR(__xludf.DUMMYFUNCTION("""COMPUTED_VALUE"""),24)</f>
        <v>24</v>
      </c>
      <c r="D384" s="1">
        <f ca="1">IFERROR(__xludf.DUMMYFUNCTION("""COMPUTED_VALUE"""),14)</f>
        <v>14</v>
      </c>
      <c r="E384" s="1">
        <f ca="1">IFERROR(__xludf.DUMMYFUNCTION("""COMPUTED_VALUE"""),0.632)</f>
        <v>0.63200000000000001</v>
      </c>
      <c r="F384" s="1">
        <f ca="1">IFERROR(__xludf.DUMMYFUNCTION("""COMPUTED_VALUE"""),14.8)</f>
        <v>14.8</v>
      </c>
      <c r="G384" s="1">
        <f ca="1">IFERROR(__xludf.DUMMYFUNCTION("""COMPUTED_VALUE"""),11.51)</f>
        <v>11.51</v>
      </c>
      <c r="H384" s="1">
        <f ca="1">IFERROR(__xludf.DUMMYFUNCTION("""COMPUTED_VALUE"""),9)</f>
        <v>9</v>
      </c>
      <c r="I384" s="1">
        <f ca="1">IFERROR(__xludf.DUMMYFUNCTION("""COMPUTED_VALUE"""),9)</f>
        <v>9</v>
      </c>
      <c r="J384" s="1">
        <f ca="1">IFERROR(__xludf.DUMMYFUNCTION("""COMPUTED_VALUE"""),12)</f>
        <v>12</v>
      </c>
      <c r="K384" s="1">
        <f ca="1">IFERROR(__xludf.DUMMYFUNCTION("""COMPUTED_VALUE"""),4)</f>
        <v>4</v>
      </c>
      <c r="L384" s="1">
        <f ca="1">IFERROR(__xludf.DUMMYFUNCTION("""COMPUTED_VALUE"""),4)</f>
        <v>4</v>
      </c>
      <c r="M384" s="1">
        <f ca="1">IFERROR(__xludf.DUMMYFUNCTION("""COMPUTED_VALUE"""),8)</f>
        <v>8</v>
      </c>
      <c r="N384" s="1">
        <f ca="1">IFERROR(__xludf.DUMMYFUNCTION("""COMPUTED_VALUE"""),2836)</f>
        <v>2836</v>
      </c>
      <c r="O384" s="1">
        <f ca="1">IFERROR(__xludf.DUMMYFUNCTION("""COMPUTED_VALUE"""),2711)</f>
        <v>2711</v>
      </c>
      <c r="P384" s="1">
        <f ca="1">IFERROR(__xludf.DUMMYFUNCTION("""COMPUTED_VALUE"""),1525)</f>
        <v>1525</v>
      </c>
      <c r="Q384" s="1">
        <f ca="1">IFERROR(__xludf.DUMMYFUNCTION("""COMPUTED_VALUE"""),981)</f>
        <v>981</v>
      </c>
      <c r="R384" s="1">
        <f ca="1">IFERROR(__xludf.DUMMYFUNCTION("""COMPUTED_VALUE"""),2148)</f>
        <v>2148</v>
      </c>
      <c r="S384" s="1">
        <f ca="1">IFERROR(__xludf.DUMMYFUNCTION("""COMPUTED_VALUE"""),0.457)</f>
        <v>0.45700000000000002</v>
      </c>
      <c r="T384" s="1">
        <f ca="1">IFERROR(__xludf.DUMMYFUNCTION("""COMPUTED_VALUE"""),267)</f>
        <v>267</v>
      </c>
      <c r="U384" s="1">
        <f ca="1">IFERROR(__xludf.DUMMYFUNCTION("""COMPUTED_VALUE"""),775)</f>
        <v>775</v>
      </c>
      <c r="V384" s="1">
        <f ca="1">IFERROR(__xludf.DUMMYFUNCTION("""COMPUTED_VALUE"""),0.345)</f>
        <v>0.34499999999999997</v>
      </c>
      <c r="W384" s="1">
        <f ca="1">IFERROR(__xludf.DUMMYFUNCTION("""COMPUTED_VALUE"""),607)</f>
        <v>607</v>
      </c>
      <c r="X384" s="1">
        <f ca="1">IFERROR(__xludf.DUMMYFUNCTION("""COMPUTED_VALUE"""),882)</f>
        <v>882</v>
      </c>
      <c r="Y384" s="1">
        <f ca="1">IFERROR(__xludf.DUMMYFUNCTION("""COMPUTED_VALUE"""),0.688)</f>
        <v>0.68799999999999994</v>
      </c>
      <c r="Z384" s="1">
        <f ca="1">IFERROR(__xludf.DUMMYFUNCTION("""COMPUTED_VALUE"""),451)</f>
        <v>451</v>
      </c>
      <c r="AA384" s="1">
        <f ca="1">IFERROR(__xludf.DUMMYFUNCTION("""COMPUTED_VALUE"""),1416)</f>
        <v>1416</v>
      </c>
      <c r="AB384" s="1">
        <f ca="1">IFERROR(__xludf.DUMMYFUNCTION("""COMPUTED_VALUE"""),560)</f>
        <v>560</v>
      </c>
      <c r="AC384" s="1">
        <f ca="1">IFERROR(__xludf.DUMMYFUNCTION("""COMPUTED_VALUE"""),228)</f>
        <v>228</v>
      </c>
      <c r="AD384" s="1">
        <f ca="1">IFERROR(__xludf.DUMMYFUNCTION("""COMPUTED_VALUE"""),100)</f>
        <v>100</v>
      </c>
      <c r="AE384" s="1">
        <f ca="1">IFERROR(__xludf.DUMMYFUNCTION("""COMPUTED_VALUE"""),478)</f>
        <v>478</v>
      </c>
      <c r="AF384" s="1">
        <f ca="1">IFERROR(__xludf.DUMMYFUNCTION("""COMPUTED_VALUE"""),711)</f>
        <v>711</v>
      </c>
    </row>
    <row r="385" spans="1:32" ht="12.5" x14ac:dyDescent="0.25">
      <c r="A385" s="1" t="str">
        <f ca="1">IFERROR(__xludf.DUMMYFUNCTION("""COMPUTED_VALUE"""),"Yale")</f>
        <v>Yale</v>
      </c>
      <c r="B385" s="1">
        <f ca="1">IFERROR(__xludf.DUMMYFUNCTION("""COMPUTED_VALUE"""),29)</f>
        <v>29</v>
      </c>
      <c r="C385" s="1">
        <f ca="1">IFERROR(__xludf.DUMMYFUNCTION("""COMPUTED_VALUE"""),18)</f>
        <v>18</v>
      </c>
      <c r="D385" s="1">
        <f ca="1">IFERROR(__xludf.DUMMYFUNCTION("""COMPUTED_VALUE"""),11)</f>
        <v>11</v>
      </c>
      <c r="E385" s="1">
        <f ca="1">IFERROR(__xludf.DUMMYFUNCTION("""COMPUTED_VALUE"""),0.621)</f>
        <v>0.621</v>
      </c>
      <c r="F385" s="1">
        <f ca="1">IFERROR(__xludf.DUMMYFUNCTION("""COMPUTED_VALUE"""),0.21)</f>
        <v>0.21</v>
      </c>
      <c r="G385" s="1">
        <f ca="1">IFERROR(__xludf.DUMMYFUNCTION("""COMPUTED_VALUE"""),-2.19)</f>
        <v>-2.19</v>
      </c>
      <c r="H385" s="1">
        <f ca="1">IFERROR(__xludf.DUMMYFUNCTION("""COMPUTED_VALUE"""),9)</f>
        <v>9</v>
      </c>
      <c r="I385" s="1">
        <f ca="1">IFERROR(__xludf.DUMMYFUNCTION("""COMPUTED_VALUE"""),5)</f>
        <v>5</v>
      </c>
      <c r="J385" s="1">
        <f ca="1">IFERROR(__xludf.DUMMYFUNCTION("""COMPUTED_VALUE"""),10)</f>
        <v>10</v>
      </c>
      <c r="K385" s="1">
        <f ca="1">IFERROR(__xludf.DUMMYFUNCTION("""COMPUTED_VALUE"""),3)</f>
        <v>3</v>
      </c>
      <c r="L385" s="1">
        <f ca="1">IFERROR(__xludf.DUMMYFUNCTION("""COMPUTED_VALUE"""),7)</f>
        <v>7</v>
      </c>
      <c r="M385" s="1">
        <f ca="1">IFERROR(__xludf.DUMMYFUNCTION("""COMPUTED_VALUE"""),7)</f>
        <v>7</v>
      </c>
      <c r="N385" s="1">
        <f ca="1">IFERROR(__xludf.DUMMYFUNCTION("""COMPUTED_VALUE"""),2151)</f>
        <v>2151</v>
      </c>
      <c r="O385" s="1">
        <f ca="1">IFERROR(__xludf.DUMMYFUNCTION("""COMPUTED_VALUE"""),2028)</f>
        <v>2028</v>
      </c>
      <c r="P385" s="1">
        <f ca="1">IFERROR(__xludf.DUMMYFUNCTION("""COMPUTED_VALUE"""),1165)</f>
        <v>1165</v>
      </c>
      <c r="Q385" s="1">
        <f ca="1">IFERROR(__xludf.DUMMYFUNCTION("""COMPUTED_VALUE"""),769)</f>
        <v>769</v>
      </c>
      <c r="R385" s="1">
        <f ca="1">IFERROR(__xludf.DUMMYFUNCTION("""COMPUTED_VALUE"""),1644)</f>
        <v>1644</v>
      </c>
      <c r="S385" s="1">
        <f ca="1">IFERROR(__xludf.DUMMYFUNCTION("""COMPUTED_VALUE"""),0.468)</f>
        <v>0.46800000000000003</v>
      </c>
      <c r="T385" s="1">
        <f ca="1">IFERROR(__xludf.DUMMYFUNCTION("""COMPUTED_VALUE"""),208)</f>
        <v>208</v>
      </c>
      <c r="U385" s="1">
        <f ca="1">IFERROR(__xludf.DUMMYFUNCTION("""COMPUTED_VALUE"""),582)</f>
        <v>582</v>
      </c>
      <c r="V385" s="1">
        <f ca="1">IFERROR(__xludf.DUMMYFUNCTION("""COMPUTED_VALUE"""),0.357)</f>
        <v>0.35699999999999998</v>
      </c>
      <c r="W385" s="1">
        <f ca="1">IFERROR(__xludf.DUMMYFUNCTION("""COMPUTED_VALUE"""),405)</f>
        <v>405</v>
      </c>
      <c r="X385" s="1">
        <f ca="1">IFERROR(__xludf.DUMMYFUNCTION("""COMPUTED_VALUE"""),553)</f>
        <v>553</v>
      </c>
      <c r="Y385" s="1">
        <f ca="1">IFERROR(__xludf.DUMMYFUNCTION("""COMPUTED_VALUE"""),0.732)</f>
        <v>0.73199999999999998</v>
      </c>
      <c r="Z385" s="1">
        <f ca="1">IFERROR(__xludf.DUMMYFUNCTION("""COMPUTED_VALUE"""),301)</f>
        <v>301</v>
      </c>
      <c r="AA385" s="1">
        <f ca="1">IFERROR(__xludf.DUMMYFUNCTION("""COMPUTED_VALUE"""),1056)</f>
        <v>1056</v>
      </c>
      <c r="AB385" s="1">
        <f ca="1">IFERROR(__xludf.DUMMYFUNCTION("""COMPUTED_VALUE"""),452)</f>
        <v>452</v>
      </c>
      <c r="AC385" s="1">
        <f ca="1">IFERROR(__xludf.DUMMYFUNCTION("""COMPUTED_VALUE"""),162)</f>
        <v>162</v>
      </c>
      <c r="AD385" s="1">
        <f ca="1">IFERROR(__xludf.DUMMYFUNCTION("""COMPUTED_VALUE"""),123)</f>
        <v>123</v>
      </c>
      <c r="AE385" s="1">
        <f ca="1">IFERROR(__xludf.DUMMYFUNCTION("""COMPUTED_VALUE"""),377)</f>
        <v>377</v>
      </c>
      <c r="AF385" s="1">
        <f ca="1">IFERROR(__xludf.DUMMYFUNCTION("""COMPUTED_VALUE"""),454)</f>
        <v>454</v>
      </c>
    </row>
    <row r="386" spans="1:32" ht="12.5" x14ac:dyDescent="0.25">
      <c r="A386" s="1" t="str">
        <f ca="1">IFERROR(__xludf.DUMMYFUNCTION("""COMPUTED_VALUE"""),"Youngstown State")</f>
        <v>Youngstown State</v>
      </c>
      <c r="B386" s="1">
        <f ca="1">IFERROR(__xludf.DUMMYFUNCTION("""COMPUTED_VALUE"""),34)</f>
        <v>34</v>
      </c>
      <c r="C386" s="1">
        <f ca="1">IFERROR(__xludf.DUMMYFUNCTION("""COMPUTED_VALUE"""),13)</f>
        <v>13</v>
      </c>
      <c r="D386" s="1">
        <f ca="1">IFERROR(__xludf.DUMMYFUNCTION("""COMPUTED_VALUE"""),21)</f>
        <v>21</v>
      </c>
      <c r="E386" s="1">
        <f ca="1">IFERROR(__xludf.DUMMYFUNCTION("""COMPUTED_VALUE"""),0.382)</f>
        <v>0.38200000000000001</v>
      </c>
      <c r="F386" s="1">
        <f ca="1">IFERROR(__xludf.DUMMYFUNCTION("""COMPUTED_VALUE"""),-9.75)</f>
        <v>-9.75</v>
      </c>
      <c r="G386" s="1">
        <f ca="1">IFERROR(__xludf.DUMMYFUNCTION("""COMPUTED_VALUE"""),-2.56)</f>
        <v>-2.56</v>
      </c>
      <c r="H386" s="1">
        <f ca="1">IFERROR(__xludf.DUMMYFUNCTION("""COMPUTED_VALUE"""),5)</f>
        <v>5</v>
      </c>
      <c r="I386" s="1">
        <f ca="1">IFERROR(__xludf.DUMMYFUNCTION("""COMPUTED_VALUE"""),13)</f>
        <v>13</v>
      </c>
      <c r="J386" s="1">
        <f ca="1">IFERROR(__xludf.DUMMYFUNCTION("""COMPUTED_VALUE"""),7)</f>
        <v>7</v>
      </c>
      <c r="K386" s="1">
        <f ca="1">IFERROR(__xludf.DUMMYFUNCTION("""COMPUTED_VALUE"""),7)</f>
        <v>7</v>
      </c>
      <c r="L386" s="1">
        <f ca="1">IFERROR(__xludf.DUMMYFUNCTION("""COMPUTED_VALUE"""),3)</f>
        <v>3</v>
      </c>
      <c r="M386" s="1">
        <f ca="1">IFERROR(__xludf.DUMMYFUNCTION("""COMPUTED_VALUE"""),12)</f>
        <v>12</v>
      </c>
      <c r="N386" s="1">
        <f ca="1">IFERROR(__xludf.DUMMYFUNCTION("""COMPUTED_VALUE"""),2616)</f>
        <v>2616</v>
      </c>
      <c r="O386" s="1">
        <f ca="1">IFERROR(__xludf.DUMMYFUNCTION("""COMPUTED_VALUE"""),2801)</f>
        <v>2801</v>
      </c>
      <c r="P386" s="1">
        <f ca="1">IFERROR(__xludf.DUMMYFUNCTION("""COMPUTED_VALUE"""),1390)</f>
        <v>1390</v>
      </c>
      <c r="Q386" s="1">
        <f ca="1">IFERROR(__xludf.DUMMYFUNCTION("""COMPUTED_VALUE"""),981)</f>
        <v>981</v>
      </c>
      <c r="R386" s="1">
        <f ca="1">IFERROR(__xludf.DUMMYFUNCTION("""COMPUTED_VALUE"""),2230)</f>
        <v>2230</v>
      </c>
      <c r="S386" s="1">
        <f ca="1">IFERROR(__xludf.DUMMYFUNCTION("""COMPUTED_VALUE"""),0.44)</f>
        <v>0.44</v>
      </c>
      <c r="T386" s="1">
        <f ca="1">IFERROR(__xludf.DUMMYFUNCTION("""COMPUTED_VALUE"""),250)</f>
        <v>250</v>
      </c>
      <c r="U386" s="1">
        <f ca="1">IFERROR(__xludf.DUMMYFUNCTION("""COMPUTED_VALUE"""),750)</f>
        <v>750</v>
      </c>
      <c r="V386" s="1">
        <f ca="1">IFERROR(__xludf.DUMMYFUNCTION("""COMPUTED_VALUE"""),0.333)</f>
        <v>0.33300000000000002</v>
      </c>
      <c r="W386" s="1">
        <f ca="1">IFERROR(__xludf.DUMMYFUNCTION("""COMPUTED_VALUE"""),404)</f>
        <v>404</v>
      </c>
      <c r="X386" s="1">
        <f ca="1">IFERROR(__xludf.DUMMYFUNCTION("""COMPUTED_VALUE"""),601)</f>
        <v>601</v>
      </c>
      <c r="Y386" s="1">
        <f ca="1">IFERROR(__xludf.DUMMYFUNCTION("""COMPUTED_VALUE"""),0.672)</f>
        <v>0.67200000000000004</v>
      </c>
      <c r="Z386" s="1">
        <f ca="1">IFERROR(__xludf.DUMMYFUNCTION("""COMPUTED_VALUE"""),355)</f>
        <v>355</v>
      </c>
      <c r="AA386" s="1">
        <f ca="1">IFERROR(__xludf.DUMMYFUNCTION("""COMPUTED_VALUE"""),1246)</f>
        <v>1246</v>
      </c>
      <c r="AB386" s="1">
        <f ca="1">IFERROR(__xludf.DUMMYFUNCTION("""COMPUTED_VALUE"""),513)</f>
        <v>513</v>
      </c>
      <c r="AC386" s="1">
        <f ca="1">IFERROR(__xludf.DUMMYFUNCTION("""COMPUTED_VALUE"""),187)</f>
        <v>187</v>
      </c>
      <c r="AD386" s="1">
        <f ca="1">IFERROR(__xludf.DUMMYFUNCTION("""COMPUTED_VALUE"""),107)</f>
        <v>107</v>
      </c>
      <c r="AE386" s="1">
        <f ca="1">IFERROR(__xludf.DUMMYFUNCTION("""COMPUTED_VALUE"""),406)</f>
        <v>406</v>
      </c>
      <c r="AF386" s="1">
        <f ca="1">IFERROR(__xludf.DUMMYFUNCTION("""COMPUTED_VALUE"""),566)</f>
        <v>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F386"/>
  <sheetViews>
    <sheetView workbookViewId="0">
      <selection activeCell="P1" sqref="P1:P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IFERROR(__xludf.DUMMYFUNCTION("""COMPUTED_VALUE"""),"Abilene Christian")</f>
        <v>Abilene Christian</v>
      </c>
      <c r="B2" s="1">
        <f ca="1">IFERROR(__xludf.DUMMYFUNCTION("""COMPUTED_VALUE"""),31)</f>
        <v>31</v>
      </c>
      <c r="C2" s="1">
        <f ca="1">IFERROR(__xludf.DUMMYFUNCTION("""COMPUTED_VALUE"""),13)</f>
        <v>13</v>
      </c>
      <c r="D2" s="1">
        <f ca="1">IFERROR(__xludf.DUMMYFUNCTION("""COMPUTED_VALUE"""),18)</f>
        <v>18</v>
      </c>
      <c r="E2" s="1">
        <f ca="1">IFERROR(__xludf.DUMMYFUNCTION("""COMPUTED_VALUE"""),0.419)</f>
        <v>0.41899999999999998</v>
      </c>
      <c r="F2" s="1">
        <f ca="1">IFERROR(__xludf.DUMMYFUNCTION("""COMPUTED_VALUE"""),-13.93)</f>
        <v>-13.93</v>
      </c>
      <c r="G2" s="1">
        <f ca="1">IFERROR(__xludf.DUMMYFUNCTION("""COMPUTED_VALUE"""),-7.53)</f>
        <v>-7.53</v>
      </c>
      <c r="H2" s="1">
        <f ca="1">IFERROR(__xludf.DUMMYFUNCTION("""COMPUTED_VALUE"""),8)</f>
        <v>8</v>
      </c>
      <c r="I2" s="1">
        <f ca="1">IFERROR(__xludf.DUMMYFUNCTION("""COMPUTED_VALUE"""),10)</f>
        <v>10</v>
      </c>
      <c r="J2" s="1">
        <f ca="1">IFERROR(__xludf.DUMMYFUNCTION("""COMPUTED_VALUE"""),10)</f>
        <v>10</v>
      </c>
      <c r="K2" s="1">
        <f ca="1">IFERROR(__xludf.DUMMYFUNCTION("""COMPUTED_VALUE"""),5)</f>
        <v>5</v>
      </c>
      <c r="L2" s="1">
        <f ca="1">IFERROR(__xludf.DUMMYFUNCTION("""COMPUTED_VALUE"""),2)</f>
        <v>2</v>
      </c>
      <c r="M2" s="1">
        <f ca="1">IFERROR(__xludf.DUMMYFUNCTION("""COMPUTED_VALUE"""),12)</f>
        <v>12</v>
      </c>
      <c r="N2" s="1">
        <f ca="1">IFERROR(__xludf.DUMMYFUNCTION("""COMPUTED_VALUE"""),2209)</f>
        <v>2209</v>
      </c>
      <c r="O2" s="1">
        <f ca="1">IFERROR(__xludf.DUMMYFUNCTION("""COMPUTED_VALUE"""),2272)</f>
        <v>2272</v>
      </c>
      <c r="P2" s="1">
        <f ca="1">IFERROR(__xludf.DUMMYFUNCTION("""COMPUTED_VALUE"""),1250)</f>
        <v>1250</v>
      </c>
      <c r="Q2" s="1">
        <f ca="1">IFERROR(__xludf.DUMMYFUNCTION("""COMPUTED_VALUE"""),771)</f>
        <v>771</v>
      </c>
      <c r="R2" s="1">
        <f ca="1">IFERROR(__xludf.DUMMYFUNCTION("""COMPUTED_VALUE"""),1704)</f>
        <v>1704</v>
      </c>
      <c r="S2" s="1">
        <f ca="1">IFERROR(__xludf.DUMMYFUNCTION("""COMPUTED_VALUE"""),0.452)</f>
        <v>0.45200000000000001</v>
      </c>
      <c r="T2" s="1">
        <f ca="1">IFERROR(__xludf.DUMMYFUNCTION("""COMPUTED_VALUE"""),209)</f>
        <v>209</v>
      </c>
      <c r="U2" s="1">
        <f ca="1">IFERROR(__xludf.DUMMYFUNCTION("""COMPUTED_VALUE"""),570)</f>
        <v>570</v>
      </c>
      <c r="V2" s="1">
        <f ca="1">IFERROR(__xludf.DUMMYFUNCTION("""COMPUTED_VALUE"""),0.367)</f>
        <v>0.36699999999999999</v>
      </c>
      <c r="W2" s="1">
        <f ca="1">IFERROR(__xludf.DUMMYFUNCTION("""COMPUTED_VALUE"""),458)</f>
        <v>458</v>
      </c>
      <c r="X2" s="1">
        <f ca="1">IFERROR(__xludf.DUMMYFUNCTION("""COMPUTED_VALUE"""),653)</f>
        <v>653</v>
      </c>
      <c r="Y2" s="1">
        <f ca="1">IFERROR(__xludf.DUMMYFUNCTION("""COMPUTED_VALUE"""),0.701)</f>
        <v>0.70099999999999996</v>
      </c>
      <c r="Z2" s="1">
        <f ca="1">IFERROR(__xludf.DUMMYFUNCTION("""COMPUTED_VALUE"""),269)</f>
        <v>269</v>
      </c>
      <c r="AA2" s="1">
        <f ca="1">IFERROR(__xludf.DUMMYFUNCTION("""COMPUTED_VALUE"""),991)</f>
        <v>991</v>
      </c>
      <c r="AB2" s="1">
        <f ca="1">IFERROR(__xludf.DUMMYFUNCTION("""COMPUTED_VALUE"""),422)</f>
        <v>422</v>
      </c>
      <c r="AC2" s="1">
        <f ca="1">IFERROR(__xludf.DUMMYFUNCTION("""COMPUTED_VALUE"""),233)</f>
        <v>233</v>
      </c>
      <c r="AD2" s="1">
        <f ca="1">IFERROR(__xludf.DUMMYFUNCTION("""COMPUTED_VALUE"""),78)</f>
        <v>78</v>
      </c>
      <c r="AE2" s="1">
        <f ca="1">IFERROR(__xludf.DUMMYFUNCTION("""COMPUTED_VALUE"""),418)</f>
        <v>418</v>
      </c>
      <c r="AF2" s="1">
        <f ca="1">IFERROR(__xludf.DUMMYFUNCTION("""COMPUTED_VALUE"""),681)</f>
        <v>681</v>
      </c>
    </row>
    <row r="3" spans="1:32" ht="15.75" customHeight="1" x14ac:dyDescent="0.25">
      <c r="A3" s="1" t="str">
        <f ca="1">IFERROR(__xludf.DUMMYFUNCTION("""COMPUTED_VALUE"""),"Air Force")</f>
        <v>Air Force</v>
      </c>
      <c r="B3" s="1">
        <f ca="1">IFERROR(__xludf.DUMMYFUNCTION("""COMPUTED_VALUE"""),32)</f>
        <v>32</v>
      </c>
      <c r="C3" s="1">
        <f ca="1">IFERROR(__xludf.DUMMYFUNCTION("""COMPUTED_VALUE"""),14)</f>
        <v>14</v>
      </c>
      <c r="D3" s="1">
        <f ca="1">IFERROR(__xludf.DUMMYFUNCTION("""COMPUTED_VALUE"""),18)</f>
        <v>18</v>
      </c>
      <c r="E3" s="1">
        <f ca="1">IFERROR(__xludf.DUMMYFUNCTION("""COMPUTED_VALUE"""),0.438)</f>
        <v>0.438</v>
      </c>
      <c r="F3" s="1">
        <f ca="1">IFERROR(__xludf.DUMMYFUNCTION("""COMPUTED_VALUE"""),-5.51)</f>
        <v>-5.51</v>
      </c>
      <c r="G3" s="1">
        <f ca="1">IFERROR(__xludf.DUMMYFUNCTION("""COMPUTED_VALUE"""),0.66)</f>
        <v>0.66</v>
      </c>
      <c r="H3" s="1">
        <f ca="1">IFERROR(__xludf.DUMMYFUNCTION("""COMPUTED_VALUE"""),5)</f>
        <v>5</v>
      </c>
      <c r="I3" s="1">
        <f ca="1">IFERROR(__xludf.DUMMYFUNCTION("""COMPUTED_VALUE"""),13)</f>
        <v>13</v>
      </c>
      <c r="J3" s="1">
        <f ca="1">IFERROR(__xludf.DUMMYFUNCTION("""COMPUTED_VALUE"""),12)</f>
        <v>12</v>
      </c>
      <c r="K3" s="1">
        <f ca="1">IFERROR(__xludf.DUMMYFUNCTION("""COMPUTED_VALUE"""),5)</f>
        <v>5</v>
      </c>
      <c r="L3" s="1">
        <f ca="1">IFERROR(__xludf.DUMMYFUNCTION("""COMPUTED_VALUE"""),2)</f>
        <v>2</v>
      </c>
      <c r="M3" s="1">
        <f ca="1">IFERROR(__xludf.DUMMYFUNCTION("""COMPUTED_VALUE"""),13)</f>
        <v>13</v>
      </c>
      <c r="N3" s="1">
        <f ca="1">IFERROR(__xludf.DUMMYFUNCTION("""COMPUTED_VALUE"""),2189)</f>
        <v>2189</v>
      </c>
      <c r="O3" s="1">
        <f ca="1">IFERROR(__xludf.DUMMYFUNCTION("""COMPUTED_VALUE"""),2330)</f>
        <v>2330</v>
      </c>
      <c r="P3" s="1">
        <f ca="1">IFERROR(__xludf.DUMMYFUNCTION("""COMPUTED_VALUE"""),1300)</f>
        <v>1300</v>
      </c>
      <c r="Q3" s="1">
        <f ca="1">IFERROR(__xludf.DUMMYFUNCTION("""COMPUTED_VALUE"""),752)</f>
        <v>752</v>
      </c>
      <c r="R3" s="1">
        <f ca="1">IFERROR(__xludf.DUMMYFUNCTION("""COMPUTED_VALUE"""),1758)</f>
        <v>1758</v>
      </c>
      <c r="S3" s="1">
        <f ca="1">IFERROR(__xludf.DUMMYFUNCTION("""COMPUTED_VALUE"""),0.428)</f>
        <v>0.42799999999999999</v>
      </c>
      <c r="T3" s="1">
        <f ca="1">IFERROR(__xludf.DUMMYFUNCTION("""COMPUTED_VALUE"""),202)</f>
        <v>202</v>
      </c>
      <c r="U3" s="1">
        <f ca="1">IFERROR(__xludf.DUMMYFUNCTION("""COMPUTED_VALUE"""),596)</f>
        <v>596</v>
      </c>
      <c r="V3" s="1">
        <f ca="1">IFERROR(__xludf.DUMMYFUNCTION("""COMPUTED_VALUE"""),0.339)</f>
        <v>0.33900000000000002</v>
      </c>
      <c r="W3" s="1">
        <f ca="1">IFERROR(__xludf.DUMMYFUNCTION("""COMPUTED_VALUE"""),483)</f>
        <v>483</v>
      </c>
      <c r="X3" s="1">
        <f ca="1">IFERROR(__xludf.DUMMYFUNCTION("""COMPUTED_VALUE"""),707)</f>
        <v>707</v>
      </c>
      <c r="Y3" s="1">
        <f ca="1">IFERROR(__xludf.DUMMYFUNCTION("""COMPUTED_VALUE"""),0.683)</f>
        <v>0.68300000000000005</v>
      </c>
      <c r="Z3" s="1">
        <f ca="1">IFERROR(__xludf.DUMMYFUNCTION("""COMPUTED_VALUE"""),285)</f>
        <v>285</v>
      </c>
      <c r="AA3" s="1">
        <f ca="1">IFERROR(__xludf.DUMMYFUNCTION("""COMPUTED_VALUE"""),1107)</f>
        <v>1107</v>
      </c>
      <c r="AB3" s="1">
        <f ca="1">IFERROR(__xludf.DUMMYFUNCTION("""COMPUTED_VALUE"""),420)</f>
        <v>420</v>
      </c>
      <c r="AC3" s="1">
        <f ca="1">IFERROR(__xludf.DUMMYFUNCTION("""COMPUTED_VALUE"""),196)</f>
        <v>196</v>
      </c>
      <c r="AD3" s="1">
        <f ca="1">IFERROR(__xludf.DUMMYFUNCTION("""COMPUTED_VALUE"""),58)</f>
        <v>58</v>
      </c>
      <c r="AE3" s="1">
        <f ca="1">IFERROR(__xludf.DUMMYFUNCTION("""COMPUTED_VALUE"""),423)</f>
        <v>423</v>
      </c>
      <c r="AF3" s="1">
        <f ca="1">IFERROR(__xludf.DUMMYFUNCTION("""COMPUTED_VALUE"""),617)</f>
        <v>617</v>
      </c>
    </row>
    <row r="4" spans="1:32" ht="15.75" customHeight="1" x14ac:dyDescent="0.25">
      <c r="A4" s="1" t="str">
        <f ca="1">IFERROR(__xludf.DUMMYFUNCTION("""COMPUTED_VALUE"""),"Akron")</f>
        <v>Akron</v>
      </c>
      <c r="B4" s="1">
        <f ca="1">IFERROR(__xludf.DUMMYFUNCTION("""COMPUTED_VALUE"""),35)</f>
        <v>35</v>
      </c>
      <c r="C4" s="1">
        <f ca="1">IFERROR(__xludf.DUMMYFUNCTION("""COMPUTED_VALUE"""),26)</f>
        <v>26</v>
      </c>
      <c r="D4" s="1">
        <f ca="1">IFERROR(__xludf.DUMMYFUNCTION("""COMPUTED_VALUE"""),9)</f>
        <v>9</v>
      </c>
      <c r="E4" s="1">
        <f ca="1">IFERROR(__xludf.DUMMYFUNCTION("""COMPUTED_VALUE"""),0.743)</f>
        <v>0.74299999999999999</v>
      </c>
      <c r="F4" s="1">
        <f ca="1">IFERROR(__xludf.DUMMYFUNCTION("""COMPUTED_VALUE"""),5.55)</f>
        <v>5.55</v>
      </c>
      <c r="G4" s="1">
        <f ca="1">IFERROR(__xludf.DUMMYFUNCTION("""COMPUTED_VALUE"""),-1.24)</f>
        <v>-1.24</v>
      </c>
      <c r="H4" s="1">
        <f ca="1">IFERROR(__xludf.DUMMYFUNCTION("""COMPUTED_VALUE"""),13)</f>
        <v>13</v>
      </c>
      <c r="I4" s="1">
        <f ca="1">IFERROR(__xludf.DUMMYFUNCTION("""COMPUTED_VALUE"""),5)</f>
        <v>5</v>
      </c>
      <c r="J4" s="1">
        <f ca="1">IFERROR(__xludf.DUMMYFUNCTION("""COMPUTED_VALUE"""),15)</f>
        <v>15</v>
      </c>
      <c r="K4" s="1">
        <f ca="1">IFERROR(__xludf.DUMMYFUNCTION("""COMPUTED_VALUE"""),0)</f>
        <v>0</v>
      </c>
      <c r="L4" s="1">
        <f ca="1">IFERROR(__xludf.DUMMYFUNCTION("""COMPUTED_VALUE"""),6)</f>
        <v>6</v>
      </c>
      <c r="M4" s="1">
        <f ca="1">IFERROR(__xludf.DUMMYFUNCTION("""COMPUTED_VALUE"""),8)</f>
        <v>8</v>
      </c>
      <c r="N4" s="1">
        <f ca="1">IFERROR(__xludf.DUMMYFUNCTION("""COMPUTED_VALUE"""),2682)</f>
        <v>2682</v>
      </c>
      <c r="O4" s="1">
        <f ca="1">IFERROR(__xludf.DUMMYFUNCTION("""COMPUTED_VALUE"""),2381)</f>
        <v>2381</v>
      </c>
      <c r="P4" s="1">
        <f ca="1">IFERROR(__xludf.DUMMYFUNCTION("""COMPUTED_VALUE"""),1405)</f>
        <v>1405</v>
      </c>
      <c r="Q4" s="1">
        <f ca="1">IFERROR(__xludf.DUMMYFUNCTION("""COMPUTED_VALUE"""),911)</f>
        <v>911</v>
      </c>
      <c r="R4" s="1">
        <f ca="1">IFERROR(__xludf.DUMMYFUNCTION("""COMPUTED_VALUE"""),2111)</f>
        <v>2111</v>
      </c>
      <c r="S4" s="1">
        <f ca="1">IFERROR(__xludf.DUMMYFUNCTION("""COMPUTED_VALUE"""),0.432)</f>
        <v>0.432</v>
      </c>
      <c r="T4" s="1">
        <f ca="1">IFERROR(__xludf.DUMMYFUNCTION("""COMPUTED_VALUE"""),409)</f>
        <v>409</v>
      </c>
      <c r="U4" s="1">
        <f ca="1">IFERROR(__xludf.DUMMYFUNCTION("""COMPUTED_VALUE"""),1069)</f>
        <v>1069</v>
      </c>
      <c r="V4" s="1">
        <f ca="1">IFERROR(__xludf.DUMMYFUNCTION("""COMPUTED_VALUE"""),0.383)</f>
        <v>0.38300000000000001</v>
      </c>
      <c r="W4" s="1">
        <f ca="1">IFERROR(__xludf.DUMMYFUNCTION("""COMPUTED_VALUE"""),451)</f>
        <v>451</v>
      </c>
      <c r="X4" s="1">
        <f ca="1">IFERROR(__xludf.DUMMYFUNCTION("""COMPUTED_VALUE"""),659)</f>
        <v>659</v>
      </c>
      <c r="Y4" s="1">
        <f ca="1">IFERROR(__xludf.DUMMYFUNCTION("""COMPUTED_VALUE"""),0.684)</f>
        <v>0.68400000000000005</v>
      </c>
      <c r="Z4" s="1">
        <f ca="1">IFERROR(__xludf.DUMMYFUNCTION("""COMPUTED_VALUE"""),373)</f>
        <v>373</v>
      </c>
      <c r="AA4" s="1">
        <f ca="1">IFERROR(__xludf.DUMMYFUNCTION("""COMPUTED_VALUE"""),1310)</f>
        <v>1310</v>
      </c>
      <c r="AB4" s="1">
        <f ca="1">IFERROR(__xludf.DUMMYFUNCTION("""COMPUTED_VALUE"""),507)</f>
        <v>507</v>
      </c>
      <c r="AC4" s="1">
        <f ca="1">IFERROR(__xludf.DUMMYFUNCTION("""COMPUTED_VALUE"""),190)</f>
        <v>190</v>
      </c>
      <c r="AD4" s="1">
        <f ca="1">IFERROR(__xludf.DUMMYFUNCTION("""COMPUTED_VALUE"""),137)</f>
        <v>137</v>
      </c>
      <c r="AE4" s="1">
        <f ca="1">IFERROR(__xludf.DUMMYFUNCTION("""COMPUTED_VALUE"""),381)</f>
        <v>381</v>
      </c>
      <c r="AF4" s="1">
        <f ca="1">IFERROR(__xludf.DUMMYFUNCTION("""COMPUTED_VALUE"""),618)</f>
        <v>618</v>
      </c>
    </row>
    <row r="5" spans="1:32" ht="15.75" customHeight="1" x14ac:dyDescent="0.25">
      <c r="A5" s="1" t="str">
        <f ca="1">IFERROR(__xludf.DUMMYFUNCTION("""COMPUTED_VALUE"""),"Alabama A&amp;M")</f>
        <v>Alabama A&amp;M</v>
      </c>
      <c r="B5" s="1">
        <f ca="1">IFERROR(__xludf.DUMMYFUNCTION("""COMPUTED_VALUE"""),29)</f>
        <v>29</v>
      </c>
      <c r="C5" s="1">
        <f ca="1">IFERROR(__xludf.DUMMYFUNCTION("""COMPUTED_VALUE"""),11)</f>
        <v>11</v>
      </c>
      <c r="D5" s="1">
        <f ca="1">IFERROR(__xludf.DUMMYFUNCTION("""COMPUTED_VALUE"""),18)</f>
        <v>18</v>
      </c>
      <c r="E5" s="1">
        <f ca="1">IFERROR(__xludf.DUMMYFUNCTION("""COMPUTED_VALUE"""),0.379)</f>
        <v>0.379</v>
      </c>
      <c r="F5" s="1">
        <f ca="1">IFERROR(__xludf.DUMMYFUNCTION("""COMPUTED_VALUE"""),-13.47)</f>
        <v>-13.47</v>
      </c>
      <c r="G5" s="1">
        <f ca="1">IFERROR(__xludf.DUMMYFUNCTION("""COMPUTED_VALUE"""),-10.75)</f>
        <v>-10.75</v>
      </c>
      <c r="H5" s="1">
        <f ca="1">IFERROR(__xludf.DUMMYFUNCTION("""COMPUTED_VALUE"""),6)</f>
        <v>6</v>
      </c>
      <c r="I5" s="1">
        <f ca="1">IFERROR(__xludf.DUMMYFUNCTION("""COMPUTED_VALUE"""),12)</f>
        <v>12</v>
      </c>
      <c r="J5" s="1">
        <f ca="1">IFERROR(__xludf.DUMMYFUNCTION("""COMPUTED_VALUE"""),6)</f>
        <v>6</v>
      </c>
      <c r="K5" s="1">
        <f ca="1">IFERROR(__xludf.DUMMYFUNCTION("""COMPUTED_VALUE"""),5)</f>
        <v>5</v>
      </c>
      <c r="L5" s="1">
        <f ca="1">IFERROR(__xludf.DUMMYFUNCTION("""COMPUTED_VALUE"""),4)</f>
        <v>4</v>
      </c>
      <c r="M5" s="1">
        <f ca="1">IFERROR(__xludf.DUMMYFUNCTION("""COMPUTED_VALUE"""),12)</f>
        <v>12</v>
      </c>
      <c r="N5" s="1">
        <f ca="1">IFERROR(__xludf.DUMMYFUNCTION("""COMPUTED_VALUE"""),1974)</f>
        <v>1974</v>
      </c>
      <c r="O5" s="1">
        <f ca="1">IFERROR(__xludf.DUMMYFUNCTION("""COMPUTED_VALUE"""),2042)</f>
        <v>2042</v>
      </c>
      <c r="P5" s="1">
        <f ca="1">IFERROR(__xludf.DUMMYFUNCTION("""COMPUTED_VALUE"""),1175)</f>
        <v>1175</v>
      </c>
      <c r="Q5" s="1">
        <f ca="1">IFERROR(__xludf.DUMMYFUNCTION("""COMPUTED_VALUE"""),681)</f>
        <v>681</v>
      </c>
      <c r="R5" s="1">
        <f ca="1">IFERROR(__xludf.DUMMYFUNCTION("""COMPUTED_VALUE"""),1632)</f>
        <v>1632</v>
      </c>
      <c r="S5" s="1">
        <f ca="1">IFERROR(__xludf.DUMMYFUNCTION("""COMPUTED_VALUE"""),0.417)</f>
        <v>0.41699999999999998</v>
      </c>
      <c r="T5" s="1">
        <f ca="1">IFERROR(__xludf.DUMMYFUNCTION("""COMPUTED_VALUE"""),175)</f>
        <v>175</v>
      </c>
      <c r="U5" s="1">
        <f ca="1">IFERROR(__xludf.DUMMYFUNCTION("""COMPUTED_VALUE"""),599)</f>
        <v>599</v>
      </c>
      <c r="V5" s="1">
        <f ca="1">IFERROR(__xludf.DUMMYFUNCTION("""COMPUTED_VALUE"""),0.292)</f>
        <v>0.29199999999999998</v>
      </c>
      <c r="W5" s="1">
        <f ca="1">IFERROR(__xludf.DUMMYFUNCTION("""COMPUTED_VALUE"""),439)</f>
        <v>439</v>
      </c>
      <c r="X5" s="1">
        <f ca="1">IFERROR(__xludf.DUMMYFUNCTION("""COMPUTED_VALUE"""),642)</f>
        <v>642</v>
      </c>
      <c r="Y5" s="1">
        <f ca="1">IFERROR(__xludf.DUMMYFUNCTION("""COMPUTED_VALUE"""),0.684)</f>
        <v>0.68400000000000005</v>
      </c>
      <c r="Z5" s="1">
        <f ca="1">IFERROR(__xludf.DUMMYFUNCTION("""COMPUTED_VALUE"""),330)</f>
        <v>330</v>
      </c>
      <c r="AA5" s="1">
        <f ca="1">IFERROR(__xludf.DUMMYFUNCTION("""COMPUTED_VALUE"""),1000)</f>
        <v>1000</v>
      </c>
      <c r="AB5" s="1">
        <f ca="1">IFERROR(__xludf.DUMMYFUNCTION("""COMPUTED_VALUE"""),366)</f>
        <v>366</v>
      </c>
      <c r="AC5" s="1">
        <f ca="1">IFERROR(__xludf.DUMMYFUNCTION("""COMPUTED_VALUE"""),163)</f>
        <v>163</v>
      </c>
      <c r="AD5" s="1">
        <f ca="1">IFERROR(__xludf.DUMMYFUNCTION("""COMPUTED_VALUE"""),61)</f>
        <v>61</v>
      </c>
      <c r="AE5" s="1">
        <f ca="1">IFERROR(__xludf.DUMMYFUNCTION("""COMPUTED_VALUE"""),340)</f>
        <v>340</v>
      </c>
      <c r="AF5" s="1">
        <f ca="1">IFERROR(__xludf.DUMMYFUNCTION("""COMPUTED_VALUE"""),561)</f>
        <v>561</v>
      </c>
    </row>
    <row r="6" spans="1:32" ht="15.75" customHeight="1" x14ac:dyDescent="0.25">
      <c r="A6" s="1" t="str">
        <f ca="1">IFERROR(__xludf.DUMMYFUNCTION("""COMPUTED_VALUE"""),"Alabama-Birmingham")</f>
        <v>Alabama-Birmingham</v>
      </c>
      <c r="B6" s="1">
        <f ca="1">IFERROR(__xludf.DUMMYFUNCTION("""COMPUTED_VALUE"""),33)</f>
        <v>33</v>
      </c>
      <c r="C6" s="1">
        <f ca="1">IFERROR(__xludf.DUMMYFUNCTION("""COMPUTED_VALUE"""),26)</f>
        <v>26</v>
      </c>
      <c r="D6" s="1">
        <f ca="1">IFERROR(__xludf.DUMMYFUNCTION("""COMPUTED_VALUE"""),7)</f>
        <v>7</v>
      </c>
      <c r="E6" s="1">
        <f ca="1">IFERROR(__xludf.DUMMYFUNCTION("""COMPUTED_VALUE"""),0.788)</f>
        <v>0.78800000000000003</v>
      </c>
      <c r="F6" s="1">
        <f ca="1">IFERROR(__xludf.DUMMYFUNCTION("""COMPUTED_VALUE"""),3.5)</f>
        <v>3.5</v>
      </c>
      <c r="G6" s="1">
        <f ca="1">IFERROR(__xludf.DUMMYFUNCTION("""COMPUTED_VALUE"""),-3.07)</f>
        <v>-3.07</v>
      </c>
      <c r="H6" s="1">
        <f ca="1">IFERROR(__xludf.DUMMYFUNCTION("""COMPUTED_VALUE"""),16)</f>
        <v>16</v>
      </c>
      <c r="I6" s="1">
        <f ca="1">IFERROR(__xludf.DUMMYFUNCTION("""COMPUTED_VALUE"""),2)</f>
        <v>2</v>
      </c>
      <c r="J6" s="1">
        <f ca="1">IFERROR(__xludf.DUMMYFUNCTION("""COMPUTED_VALUE"""),16)</f>
        <v>16</v>
      </c>
      <c r="K6" s="1">
        <f ca="1">IFERROR(__xludf.DUMMYFUNCTION("""COMPUTED_VALUE"""),0)</f>
        <v>0</v>
      </c>
      <c r="L6" s="1">
        <f ca="1">IFERROR(__xludf.DUMMYFUNCTION("""COMPUTED_VALUE"""),10)</f>
        <v>10</v>
      </c>
      <c r="M6" s="1">
        <f ca="1">IFERROR(__xludf.DUMMYFUNCTION("""COMPUTED_VALUE"""),4)</f>
        <v>4</v>
      </c>
      <c r="N6" s="1">
        <f ca="1">IFERROR(__xludf.DUMMYFUNCTION("""COMPUTED_VALUE"""),2606)</f>
        <v>2606</v>
      </c>
      <c r="O6" s="1">
        <f ca="1">IFERROR(__xludf.DUMMYFUNCTION("""COMPUTED_VALUE"""),2323)</f>
        <v>2323</v>
      </c>
      <c r="P6" s="1">
        <f ca="1">IFERROR(__xludf.DUMMYFUNCTION("""COMPUTED_VALUE"""),1340)</f>
        <v>1340</v>
      </c>
      <c r="Q6" s="1">
        <f ca="1">IFERROR(__xludf.DUMMYFUNCTION("""COMPUTED_VALUE"""),942)</f>
        <v>942</v>
      </c>
      <c r="R6" s="1">
        <f ca="1">IFERROR(__xludf.DUMMYFUNCTION("""COMPUTED_VALUE"""),1970)</f>
        <v>1970</v>
      </c>
      <c r="S6" s="1">
        <f ca="1">IFERROR(__xludf.DUMMYFUNCTION("""COMPUTED_VALUE"""),0.478)</f>
        <v>0.47799999999999998</v>
      </c>
      <c r="T6" s="1">
        <f ca="1">IFERROR(__xludf.DUMMYFUNCTION("""COMPUTED_VALUE"""),250)</f>
        <v>250</v>
      </c>
      <c r="U6" s="1">
        <f ca="1">IFERROR(__xludf.DUMMYFUNCTION("""COMPUTED_VALUE"""),671)</f>
        <v>671</v>
      </c>
      <c r="V6" s="1">
        <f ca="1">IFERROR(__xludf.DUMMYFUNCTION("""COMPUTED_VALUE"""),0.373)</f>
        <v>0.373</v>
      </c>
      <c r="W6" s="1">
        <f ca="1">IFERROR(__xludf.DUMMYFUNCTION("""COMPUTED_VALUE"""),472)</f>
        <v>472</v>
      </c>
      <c r="X6" s="1">
        <f ca="1">IFERROR(__xludf.DUMMYFUNCTION("""COMPUTED_VALUE"""),654)</f>
        <v>654</v>
      </c>
      <c r="Y6" s="1">
        <f ca="1">IFERROR(__xludf.DUMMYFUNCTION("""COMPUTED_VALUE"""),0.722)</f>
        <v>0.72199999999999998</v>
      </c>
      <c r="Z6" s="1">
        <f ca="1">IFERROR(__xludf.DUMMYFUNCTION("""COMPUTED_VALUE"""),366)</f>
        <v>366</v>
      </c>
      <c r="AA6" s="1">
        <f ca="1">IFERROR(__xludf.DUMMYFUNCTION("""COMPUTED_VALUE"""),1259)</f>
        <v>1259</v>
      </c>
      <c r="AB6" s="1">
        <f ca="1">IFERROR(__xludf.DUMMYFUNCTION("""COMPUTED_VALUE"""),607)</f>
        <v>607</v>
      </c>
      <c r="AC6" s="1">
        <f ca="1">IFERROR(__xludf.DUMMYFUNCTION("""COMPUTED_VALUE"""),213)</f>
        <v>213</v>
      </c>
      <c r="AD6" s="1">
        <f ca="1">IFERROR(__xludf.DUMMYFUNCTION("""COMPUTED_VALUE"""),201)</f>
        <v>201</v>
      </c>
      <c r="AE6" s="1">
        <f ca="1">IFERROR(__xludf.DUMMYFUNCTION("""COMPUTED_VALUE"""),414)</f>
        <v>414</v>
      </c>
      <c r="AF6" s="1">
        <f ca="1">IFERROR(__xludf.DUMMYFUNCTION("""COMPUTED_VALUE"""),579)</f>
        <v>579</v>
      </c>
    </row>
    <row r="7" spans="1:32" ht="15.75" customHeight="1" x14ac:dyDescent="0.25">
      <c r="A7" s="1" t="str">
        <f ca="1">IFERROR(__xludf.DUMMYFUNCTION("""COMPUTED_VALUE"""),"Alabama State")</f>
        <v>Alabama State</v>
      </c>
      <c r="B7" s="1">
        <f ca="1">IFERROR(__xludf.DUMMYFUNCTION("""COMPUTED_VALUE"""),31)</f>
        <v>31</v>
      </c>
      <c r="C7" s="1">
        <f ca="1">IFERROR(__xludf.DUMMYFUNCTION("""COMPUTED_VALUE"""),14)</f>
        <v>14</v>
      </c>
      <c r="D7" s="1">
        <f ca="1">IFERROR(__xludf.DUMMYFUNCTION("""COMPUTED_VALUE"""),17)</f>
        <v>17</v>
      </c>
      <c r="E7" s="1">
        <f ca="1">IFERROR(__xludf.DUMMYFUNCTION("""COMPUTED_VALUE"""),0.452)</f>
        <v>0.45200000000000001</v>
      </c>
      <c r="F7" s="1">
        <f ca="1">IFERROR(__xludf.DUMMYFUNCTION("""COMPUTED_VALUE"""),-13.11)</f>
        <v>-13.11</v>
      </c>
      <c r="G7" s="1">
        <f ca="1">IFERROR(__xludf.DUMMYFUNCTION("""COMPUTED_VALUE"""),-9.35)</f>
        <v>-9.35</v>
      </c>
      <c r="H7" s="1">
        <f ca="1">IFERROR(__xludf.DUMMYFUNCTION("""COMPUTED_VALUE"""),9)</f>
        <v>9</v>
      </c>
      <c r="I7" s="1">
        <f ca="1">IFERROR(__xludf.DUMMYFUNCTION("""COMPUTED_VALUE"""),9)</f>
        <v>9</v>
      </c>
      <c r="J7" s="1">
        <f ca="1">IFERROR(__xludf.DUMMYFUNCTION("""COMPUTED_VALUE"""),8)</f>
        <v>8</v>
      </c>
      <c r="K7" s="1">
        <f ca="1">IFERROR(__xludf.DUMMYFUNCTION("""COMPUTED_VALUE"""),3)</f>
        <v>3</v>
      </c>
      <c r="L7" s="1">
        <f ca="1">IFERROR(__xludf.DUMMYFUNCTION("""COMPUTED_VALUE"""),5)</f>
        <v>5</v>
      </c>
      <c r="M7" s="1">
        <f ca="1">IFERROR(__xludf.DUMMYFUNCTION("""COMPUTED_VALUE"""),12)</f>
        <v>12</v>
      </c>
      <c r="N7" s="1">
        <f ca="1">IFERROR(__xludf.DUMMYFUNCTION("""COMPUTED_VALUE"""),2217)</f>
        <v>2217</v>
      </c>
      <c r="O7" s="1">
        <f ca="1">IFERROR(__xludf.DUMMYFUNCTION("""COMPUTED_VALUE"""),2308)</f>
        <v>2308</v>
      </c>
      <c r="P7" s="1">
        <f ca="1">IFERROR(__xludf.DUMMYFUNCTION("""COMPUTED_VALUE"""),1260)</f>
        <v>1260</v>
      </c>
      <c r="Q7" s="1">
        <f ca="1">IFERROR(__xludf.DUMMYFUNCTION("""COMPUTED_VALUE"""),788)</f>
        <v>788</v>
      </c>
      <c r="R7" s="1">
        <f ca="1">IFERROR(__xludf.DUMMYFUNCTION("""COMPUTED_VALUE"""),1918)</f>
        <v>1918</v>
      </c>
      <c r="S7" s="1">
        <f ca="1">IFERROR(__xludf.DUMMYFUNCTION("""COMPUTED_VALUE"""),0.411)</f>
        <v>0.41099999999999998</v>
      </c>
      <c r="T7" s="1">
        <f ca="1">IFERROR(__xludf.DUMMYFUNCTION("""COMPUTED_VALUE"""),215)</f>
        <v>215</v>
      </c>
      <c r="U7" s="1">
        <f ca="1">IFERROR(__xludf.DUMMYFUNCTION("""COMPUTED_VALUE"""),647)</f>
        <v>647</v>
      </c>
      <c r="V7" s="1">
        <f ca="1">IFERROR(__xludf.DUMMYFUNCTION("""COMPUTED_VALUE"""),0.332)</f>
        <v>0.33200000000000002</v>
      </c>
      <c r="W7" s="1">
        <f ca="1">IFERROR(__xludf.DUMMYFUNCTION("""COMPUTED_VALUE"""),426)</f>
        <v>426</v>
      </c>
      <c r="X7" s="1">
        <f ca="1">IFERROR(__xludf.DUMMYFUNCTION("""COMPUTED_VALUE"""),623)</f>
        <v>623</v>
      </c>
      <c r="Y7" s="1">
        <f ca="1">IFERROR(__xludf.DUMMYFUNCTION("""COMPUTED_VALUE"""),0.684)</f>
        <v>0.68400000000000005</v>
      </c>
      <c r="Z7" s="1">
        <f ca="1">IFERROR(__xludf.DUMMYFUNCTION("""COMPUTED_VALUE"""),391)</f>
        <v>391</v>
      </c>
      <c r="AA7" s="1">
        <f ca="1">IFERROR(__xludf.DUMMYFUNCTION("""COMPUTED_VALUE"""),1153)</f>
        <v>1153</v>
      </c>
      <c r="AB7" s="1">
        <f ca="1">IFERROR(__xludf.DUMMYFUNCTION("""COMPUTED_VALUE"""),372)</f>
        <v>372</v>
      </c>
      <c r="AC7" s="1">
        <f ca="1">IFERROR(__xludf.DUMMYFUNCTION("""COMPUTED_VALUE"""),181)</f>
        <v>181</v>
      </c>
      <c r="AD7" s="1">
        <f ca="1">IFERROR(__xludf.DUMMYFUNCTION("""COMPUTED_VALUE"""),107)</f>
        <v>107</v>
      </c>
      <c r="AE7" s="1">
        <f ca="1">IFERROR(__xludf.DUMMYFUNCTION("""COMPUTED_VALUE"""),371)</f>
        <v>371</v>
      </c>
      <c r="AF7" s="1">
        <f ca="1">IFERROR(__xludf.DUMMYFUNCTION("""COMPUTED_VALUE"""),646)</f>
        <v>646</v>
      </c>
    </row>
    <row r="8" spans="1:32" ht="15.75" customHeight="1" x14ac:dyDescent="0.25">
      <c r="A8" s="1" t="str">
        <f ca="1">IFERROR(__xludf.DUMMYFUNCTION("""COMPUTED_VALUE"""),"Alabama")</f>
        <v>Alabama</v>
      </c>
      <c r="B8" s="1">
        <f ca="1">IFERROR(__xludf.DUMMYFUNCTION("""COMPUTED_VALUE"""),33)</f>
        <v>33</v>
      </c>
      <c r="C8" s="1">
        <f ca="1">IFERROR(__xludf.DUMMYFUNCTION("""COMPUTED_VALUE"""),18)</f>
        <v>18</v>
      </c>
      <c r="D8" s="1">
        <f ca="1">IFERROR(__xludf.DUMMYFUNCTION("""COMPUTED_VALUE"""),15)</f>
        <v>15</v>
      </c>
      <c r="E8" s="1">
        <f ca="1">IFERROR(__xludf.DUMMYFUNCTION("""COMPUTED_VALUE"""),0.545)</f>
        <v>0.54500000000000004</v>
      </c>
      <c r="F8" s="1">
        <f ca="1">IFERROR(__xludf.DUMMYFUNCTION("""COMPUTED_VALUE"""),7.14)</f>
        <v>7.14</v>
      </c>
      <c r="G8" s="1">
        <f ca="1">IFERROR(__xludf.DUMMYFUNCTION("""COMPUTED_VALUE"""),8.62)</f>
        <v>8.6199999999999992</v>
      </c>
      <c r="H8" s="1">
        <f ca="1">IFERROR(__xludf.DUMMYFUNCTION("""COMPUTED_VALUE"""),8)</f>
        <v>8</v>
      </c>
      <c r="I8" s="1">
        <f ca="1">IFERROR(__xludf.DUMMYFUNCTION("""COMPUTED_VALUE"""),10)</f>
        <v>10</v>
      </c>
      <c r="J8" s="1">
        <f ca="1">IFERROR(__xludf.DUMMYFUNCTION("""COMPUTED_VALUE"""),10)</f>
        <v>10</v>
      </c>
      <c r="K8" s="1">
        <f ca="1">IFERROR(__xludf.DUMMYFUNCTION("""COMPUTED_VALUE"""),4)</f>
        <v>4</v>
      </c>
      <c r="L8" s="1">
        <f ca="1">IFERROR(__xludf.DUMMYFUNCTION("""COMPUTED_VALUE"""),5)</f>
        <v>5</v>
      </c>
      <c r="M8" s="1">
        <f ca="1">IFERROR(__xludf.DUMMYFUNCTION("""COMPUTED_VALUE"""),8)</f>
        <v>8</v>
      </c>
      <c r="N8" s="1">
        <f ca="1">IFERROR(__xludf.DUMMYFUNCTION("""COMPUTED_VALUE"""),2193)</f>
        <v>2193</v>
      </c>
      <c r="O8" s="1">
        <f ca="1">IFERROR(__xludf.DUMMYFUNCTION("""COMPUTED_VALUE"""),2242)</f>
        <v>2242</v>
      </c>
      <c r="P8" s="1">
        <f ca="1">IFERROR(__xludf.DUMMYFUNCTION("""COMPUTED_VALUE"""),1330)</f>
        <v>1330</v>
      </c>
      <c r="Q8" s="1">
        <f ca="1">IFERROR(__xludf.DUMMYFUNCTION("""COMPUTED_VALUE"""),738)</f>
        <v>738</v>
      </c>
      <c r="R8" s="1">
        <f ca="1">IFERROR(__xludf.DUMMYFUNCTION("""COMPUTED_VALUE"""),1750)</f>
        <v>1750</v>
      </c>
      <c r="S8" s="1">
        <f ca="1">IFERROR(__xludf.DUMMYFUNCTION("""COMPUTED_VALUE"""),0.422)</f>
        <v>0.42199999999999999</v>
      </c>
      <c r="T8" s="1">
        <f ca="1">IFERROR(__xludf.DUMMYFUNCTION("""COMPUTED_VALUE"""),259)</f>
        <v>259</v>
      </c>
      <c r="U8" s="1">
        <f ca="1">IFERROR(__xludf.DUMMYFUNCTION("""COMPUTED_VALUE"""),763)</f>
        <v>763</v>
      </c>
      <c r="V8" s="1">
        <f ca="1">IFERROR(__xludf.DUMMYFUNCTION("""COMPUTED_VALUE"""),0.339)</f>
        <v>0.33900000000000002</v>
      </c>
      <c r="W8" s="1">
        <f ca="1">IFERROR(__xludf.DUMMYFUNCTION("""COMPUTED_VALUE"""),458)</f>
        <v>458</v>
      </c>
      <c r="X8" s="1">
        <f ca="1">IFERROR(__xludf.DUMMYFUNCTION("""COMPUTED_VALUE"""),712)</f>
        <v>712</v>
      </c>
      <c r="Y8" s="1">
        <f ca="1">IFERROR(__xludf.DUMMYFUNCTION("""COMPUTED_VALUE"""),0.643)</f>
        <v>0.64300000000000002</v>
      </c>
      <c r="Z8" s="1">
        <f ca="1">IFERROR(__xludf.DUMMYFUNCTION("""COMPUTED_VALUE"""),327)</f>
        <v>327</v>
      </c>
      <c r="AA8" s="1">
        <f ca="1">IFERROR(__xludf.DUMMYFUNCTION("""COMPUTED_VALUE"""),1141)</f>
        <v>1141</v>
      </c>
      <c r="AB8" s="1">
        <f ca="1">IFERROR(__xludf.DUMMYFUNCTION("""COMPUTED_VALUE"""),347)</f>
        <v>347</v>
      </c>
      <c r="AC8" s="1">
        <f ca="1">IFERROR(__xludf.DUMMYFUNCTION("""COMPUTED_VALUE"""),192)</f>
        <v>192</v>
      </c>
      <c r="AD8" s="1">
        <f ca="1">IFERROR(__xludf.DUMMYFUNCTION("""COMPUTED_VALUE"""),175)</f>
        <v>175</v>
      </c>
      <c r="AE8" s="1">
        <f ca="1">IFERROR(__xludf.DUMMYFUNCTION("""COMPUTED_VALUE"""),438)</f>
        <v>438</v>
      </c>
      <c r="AF8" s="1">
        <f ca="1">IFERROR(__xludf.DUMMYFUNCTION("""COMPUTED_VALUE"""),631)</f>
        <v>631</v>
      </c>
    </row>
    <row r="9" spans="1:32" ht="15.75" customHeight="1" x14ac:dyDescent="0.25">
      <c r="A9" s="1" t="str">
        <f ca="1">IFERROR(__xludf.DUMMYFUNCTION("""COMPUTED_VALUE"""),"Albany (NY)")</f>
        <v>Albany (NY)</v>
      </c>
      <c r="B9" s="1">
        <f ca="1">IFERROR(__xludf.DUMMYFUNCTION("""COMPUTED_VALUE"""),33)</f>
        <v>33</v>
      </c>
      <c r="C9" s="1">
        <f ca="1">IFERROR(__xludf.DUMMYFUNCTION("""COMPUTED_VALUE"""),24)</f>
        <v>24</v>
      </c>
      <c r="D9" s="1">
        <f ca="1">IFERROR(__xludf.DUMMYFUNCTION("""COMPUTED_VALUE"""),9)</f>
        <v>9</v>
      </c>
      <c r="E9" s="1">
        <f ca="1">IFERROR(__xludf.DUMMYFUNCTION("""COMPUTED_VALUE"""),0.727)</f>
        <v>0.72699999999999998</v>
      </c>
      <c r="F9" s="1">
        <f ca="1">IFERROR(__xludf.DUMMYFUNCTION("""COMPUTED_VALUE"""),0.93)</f>
        <v>0.93</v>
      </c>
      <c r="G9" s="1">
        <f ca="1">IFERROR(__xludf.DUMMYFUNCTION("""COMPUTED_VALUE"""),-7.57)</f>
        <v>-7.57</v>
      </c>
      <c r="H9" s="1">
        <f ca="1">IFERROR(__xludf.DUMMYFUNCTION("""COMPUTED_VALUE"""),13)</f>
        <v>13</v>
      </c>
      <c r="I9" s="1">
        <f ca="1">IFERROR(__xludf.DUMMYFUNCTION("""COMPUTED_VALUE"""),3)</f>
        <v>3</v>
      </c>
      <c r="J9" s="1">
        <f ca="1">IFERROR(__xludf.DUMMYFUNCTION("""COMPUTED_VALUE"""),14)</f>
        <v>14</v>
      </c>
      <c r="K9" s="1">
        <f ca="1">IFERROR(__xludf.DUMMYFUNCTION("""COMPUTED_VALUE"""),1)</f>
        <v>1</v>
      </c>
      <c r="L9" s="1">
        <f ca="1">IFERROR(__xludf.DUMMYFUNCTION("""COMPUTED_VALUE"""),10)</f>
        <v>10</v>
      </c>
      <c r="M9" s="1">
        <f ca="1">IFERROR(__xludf.DUMMYFUNCTION("""COMPUTED_VALUE"""),8)</f>
        <v>8</v>
      </c>
      <c r="N9" s="1">
        <f ca="1">IFERROR(__xludf.DUMMYFUNCTION("""COMPUTED_VALUE"""),2495)</f>
        <v>2495</v>
      </c>
      <c r="O9" s="1">
        <f ca="1">IFERROR(__xludf.DUMMYFUNCTION("""COMPUTED_VALUE"""),2180)</f>
        <v>2180</v>
      </c>
      <c r="P9" s="1">
        <f ca="1">IFERROR(__xludf.DUMMYFUNCTION("""COMPUTED_VALUE"""),1335)</f>
        <v>1335</v>
      </c>
      <c r="Q9" s="1">
        <f ca="1">IFERROR(__xludf.DUMMYFUNCTION("""COMPUTED_VALUE"""),848)</f>
        <v>848</v>
      </c>
      <c r="R9" s="1">
        <f ca="1">IFERROR(__xludf.DUMMYFUNCTION("""COMPUTED_VALUE"""),1850)</f>
        <v>1850</v>
      </c>
      <c r="S9" s="1">
        <f ca="1">IFERROR(__xludf.DUMMYFUNCTION("""COMPUTED_VALUE"""),0.458)</f>
        <v>0.45800000000000002</v>
      </c>
      <c r="T9" s="1">
        <f ca="1">IFERROR(__xludf.DUMMYFUNCTION("""COMPUTED_VALUE"""),188)</f>
        <v>188</v>
      </c>
      <c r="U9" s="1">
        <f ca="1">IFERROR(__xludf.DUMMYFUNCTION("""COMPUTED_VALUE"""),587)</f>
        <v>587</v>
      </c>
      <c r="V9" s="1">
        <f ca="1">IFERROR(__xludf.DUMMYFUNCTION("""COMPUTED_VALUE"""),0.32)</f>
        <v>0.32</v>
      </c>
      <c r="W9" s="1">
        <f ca="1">IFERROR(__xludf.DUMMYFUNCTION("""COMPUTED_VALUE"""),611)</f>
        <v>611</v>
      </c>
      <c r="X9" s="1">
        <f ca="1">IFERROR(__xludf.DUMMYFUNCTION("""COMPUTED_VALUE"""),814)</f>
        <v>814</v>
      </c>
      <c r="Y9" s="1">
        <f ca="1">IFERROR(__xludf.DUMMYFUNCTION("""COMPUTED_VALUE"""),0.751)</f>
        <v>0.751</v>
      </c>
      <c r="Z9" s="1">
        <f ca="1">IFERROR(__xludf.DUMMYFUNCTION("""COMPUTED_VALUE"""),387)</f>
        <v>387</v>
      </c>
      <c r="AA9" s="1">
        <f ca="1">IFERROR(__xludf.DUMMYFUNCTION("""COMPUTED_VALUE"""),1276)</f>
        <v>1276</v>
      </c>
      <c r="AB9" s="1">
        <f ca="1">IFERROR(__xludf.DUMMYFUNCTION("""COMPUTED_VALUE"""),410)</f>
        <v>410</v>
      </c>
      <c r="AC9" s="1">
        <f ca="1">IFERROR(__xludf.DUMMYFUNCTION("""COMPUTED_VALUE"""),216)</f>
        <v>216</v>
      </c>
      <c r="AD9" s="1">
        <f ca="1">IFERROR(__xludf.DUMMYFUNCTION("""COMPUTED_VALUE"""),52)</f>
        <v>52</v>
      </c>
      <c r="AE9" s="1">
        <f ca="1">IFERROR(__xludf.DUMMYFUNCTION("""COMPUTED_VALUE"""),413)</f>
        <v>413</v>
      </c>
      <c r="AF9" s="1">
        <f ca="1">IFERROR(__xludf.DUMMYFUNCTION("""COMPUTED_VALUE"""),581)</f>
        <v>581</v>
      </c>
    </row>
    <row r="10" spans="1:32" ht="15.75" customHeight="1" x14ac:dyDescent="0.25">
      <c r="A10" s="1" t="str">
        <f ca="1">IFERROR(__xludf.DUMMYFUNCTION("""COMPUTED_VALUE"""),"Alcorn State")</f>
        <v>Alcorn State</v>
      </c>
      <c r="B10" s="1">
        <f ca="1">IFERROR(__xludf.DUMMYFUNCTION("""COMPUTED_VALUE"""),30)</f>
        <v>30</v>
      </c>
      <c r="C10" s="1">
        <f ca="1">IFERROR(__xludf.DUMMYFUNCTION("""COMPUTED_VALUE"""),15)</f>
        <v>15</v>
      </c>
      <c r="D10" s="1">
        <f ca="1">IFERROR(__xludf.DUMMYFUNCTION("""COMPUTED_VALUE"""),15)</f>
        <v>15</v>
      </c>
      <c r="E10" s="1">
        <f ca="1">IFERROR(__xludf.DUMMYFUNCTION("""COMPUTED_VALUE"""),0.5)</f>
        <v>0.5</v>
      </c>
      <c r="F10" s="1">
        <f ca="1">IFERROR(__xludf.DUMMYFUNCTION("""COMPUTED_VALUE"""),-16.01)</f>
        <v>-16.010000000000002</v>
      </c>
      <c r="G10" s="1">
        <f ca="1">IFERROR(__xludf.DUMMYFUNCTION("""COMPUTED_VALUE"""),-9.94)</f>
        <v>-9.94</v>
      </c>
      <c r="H10" s="1">
        <f ca="1">IFERROR(__xludf.DUMMYFUNCTION("""COMPUTED_VALUE"""),13)</f>
        <v>13</v>
      </c>
      <c r="I10" s="1">
        <f ca="1">IFERROR(__xludf.DUMMYFUNCTION("""COMPUTED_VALUE"""),5)</f>
        <v>5</v>
      </c>
      <c r="J10" s="1">
        <f ca="1">IFERROR(__xludf.DUMMYFUNCTION("""COMPUTED_VALUE"""),9)</f>
        <v>9</v>
      </c>
      <c r="K10" s="1">
        <f ca="1">IFERROR(__xludf.DUMMYFUNCTION("""COMPUTED_VALUE"""),2)</f>
        <v>2</v>
      </c>
      <c r="L10" s="1">
        <f ca="1">IFERROR(__xludf.DUMMYFUNCTION("""COMPUTED_VALUE"""),6)</f>
        <v>6</v>
      </c>
      <c r="M10" s="1">
        <f ca="1">IFERROR(__xludf.DUMMYFUNCTION("""COMPUTED_VALUE"""),9)</f>
        <v>9</v>
      </c>
      <c r="N10" s="1">
        <f ca="1">IFERROR(__xludf.DUMMYFUNCTION("""COMPUTED_VALUE"""),2014)</f>
        <v>2014</v>
      </c>
      <c r="O10" s="1">
        <f ca="1">IFERROR(__xludf.DUMMYFUNCTION("""COMPUTED_VALUE"""),2164)</f>
        <v>2164</v>
      </c>
      <c r="P10" s="1">
        <f ca="1">IFERROR(__xludf.DUMMYFUNCTION("""COMPUTED_VALUE"""),1225)</f>
        <v>1225</v>
      </c>
      <c r="Q10" s="1">
        <f ca="1">IFERROR(__xludf.DUMMYFUNCTION("""COMPUTED_VALUE"""),691)</f>
        <v>691</v>
      </c>
      <c r="R10" s="1">
        <f ca="1">IFERROR(__xludf.DUMMYFUNCTION("""COMPUTED_VALUE"""),1692)</f>
        <v>1692</v>
      </c>
      <c r="S10" s="1">
        <f ca="1">IFERROR(__xludf.DUMMYFUNCTION("""COMPUTED_VALUE"""),0.408)</f>
        <v>0.40799999999999997</v>
      </c>
      <c r="T10" s="1">
        <f ca="1">IFERROR(__xludf.DUMMYFUNCTION("""COMPUTED_VALUE"""),174)</f>
        <v>174</v>
      </c>
      <c r="U10" s="1">
        <f ca="1">IFERROR(__xludf.DUMMYFUNCTION("""COMPUTED_VALUE"""),566)</f>
        <v>566</v>
      </c>
      <c r="V10" s="1">
        <f ca="1">IFERROR(__xludf.DUMMYFUNCTION("""COMPUTED_VALUE"""),0.307)</f>
        <v>0.307</v>
      </c>
      <c r="W10" s="1">
        <f ca="1">IFERROR(__xludf.DUMMYFUNCTION("""COMPUTED_VALUE"""),458)</f>
        <v>458</v>
      </c>
      <c r="X10" s="1">
        <f ca="1">IFERROR(__xludf.DUMMYFUNCTION("""COMPUTED_VALUE"""),676)</f>
        <v>676</v>
      </c>
      <c r="Y10" s="1">
        <f ca="1">IFERROR(__xludf.DUMMYFUNCTION("""COMPUTED_VALUE"""),0.678)</f>
        <v>0.67800000000000005</v>
      </c>
      <c r="Z10" s="1">
        <f ca="1">IFERROR(__xludf.DUMMYFUNCTION("""COMPUTED_VALUE"""),384)</f>
        <v>384</v>
      </c>
      <c r="AA10" s="1">
        <f ca="1">IFERROR(__xludf.DUMMYFUNCTION("""COMPUTED_VALUE"""),1072)</f>
        <v>1072</v>
      </c>
      <c r="AB10" s="1">
        <f ca="1">IFERROR(__xludf.DUMMYFUNCTION("""COMPUTED_VALUE"""),272)</f>
        <v>272</v>
      </c>
      <c r="AC10" s="1">
        <f ca="1">IFERROR(__xludf.DUMMYFUNCTION("""COMPUTED_VALUE"""),134)</f>
        <v>134</v>
      </c>
      <c r="AD10" s="1">
        <f ca="1">IFERROR(__xludf.DUMMYFUNCTION("""COMPUTED_VALUE"""),111)</f>
        <v>111</v>
      </c>
      <c r="AE10" s="1">
        <f ca="1">IFERROR(__xludf.DUMMYFUNCTION("""COMPUTED_VALUE"""),429)</f>
        <v>429</v>
      </c>
      <c r="AF10" s="1">
        <f ca="1">IFERROR(__xludf.DUMMYFUNCTION("""COMPUTED_VALUE"""),548)</f>
        <v>548</v>
      </c>
    </row>
    <row r="11" spans="1:32" ht="15.75" customHeight="1" x14ac:dyDescent="0.25">
      <c r="A11" s="1" t="str">
        <f ca="1">IFERROR(__xludf.DUMMYFUNCTION("""COMPUTED_VALUE"""),"American")</f>
        <v>American</v>
      </c>
      <c r="B11" s="1">
        <f ca="1">IFERROR(__xludf.DUMMYFUNCTION("""COMPUTED_VALUE"""),31)</f>
        <v>31</v>
      </c>
      <c r="C11" s="1">
        <f ca="1">IFERROR(__xludf.DUMMYFUNCTION("""COMPUTED_VALUE"""),12)</f>
        <v>12</v>
      </c>
      <c r="D11" s="1">
        <f ca="1">IFERROR(__xludf.DUMMYFUNCTION("""COMPUTED_VALUE"""),19)</f>
        <v>19</v>
      </c>
      <c r="E11" s="1">
        <f ca="1">IFERROR(__xludf.DUMMYFUNCTION("""COMPUTED_VALUE"""),0.387)</f>
        <v>0.38700000000000001</v>
      </c>
      <c r="F11" s="1">
        <f ca="1">IFERROR(__xludf.DUMMYFUNCTION("""COMPUTED_VALUE"""),-14.18)</f>
        <v>-14.18</v>
      </c>
      <c r="G11" s="1">
        <f ca="1">IFERROR(__xludf.DUMMYFUNCTION("""COMPUTED_VALUE"""),-6.08)</f>
        <v>-6.08</v>
      </c>
      <c r="H11" s="1">
        <f ca="1">IFERROR(__xludf.DUMMYFUNCTION("""COMPUTED_VALUE"""),9)</f>
        <v>9</v>
      </c>
      <c r="I11" s="1">
        <f ca="1">IFERROR(__xludf.DUMMYFUNCTION("""COMPUTED_VALUE"""),9)</f>
        <v>9</v>
      </c>
      <c r="J11" s="1">
        <f ca="1">IFERROR(__xludf.DUMMYFUNCTION("""COMPUTED_VALUE"""),5)</f>
        <v>5</v>
      </c>
      <c r="K11" s="1">
        <f ca="1">IFERROR(__xludf.DUMMYFUNCTION("""COMPUTED_VALUE"""),7)</f>
        <v>7</v>
      </c>
      <c r="L11" s="1">
        <f ca="1">IFERROR(__xludf.DUMMYFUNCTION("""COMPUTED_VALUE"""),7)</f>
        <v>7</v>
      </c>
      <c r="M11" s="1">
        <f ca="1">IFERROR(__xludf.DUMMYFUNCTION("""COMPUTED_VALUE"""),12)</f>
        <v>12</v>
      </c>
      <c r="N11" s="1">
        <f ca="1">IFERROR(__xludf.DUMMYFUNCTION("""COMPUTED_VALUE"""),1785)</f>
        <v>1785</v>
      </c>
      <c r="O11" s="1">
        <f ca="1">IFERROR(__xludf.DUMMYFUNCTION("""COMPUTED_VALUE"""),2036)</f>
        <v>2036</v>
      </c>
      <c r="P11" s="1">
        <f ca="1">IFERROR(__xludf.DUMMYFUNCTION("""COMPUTED_VALUE"""),1250)</f>
        <v>1250</v>
      </c>
      <c r="Q11" s="1">
        <f ca="1">IFERROR(__xludf.DUMMYFUNCTION("""COMPUTED_VALUE"""),631)</f>
        <v>631</v>
      </c>
      <c r="R11" s="1">
        <f ca="1">IFERROR(__xludf.DUMMYFUNCTION("""COMPUTED_VALUE"""),1487)</f>
        <v>1487</v>
      </c>
      <c r="S11" s="1">
        <f ca="1">IFERROR(__xludf.DUMMYFUNCTION("""COMPUTED_VALUE"""),0.424)</f>
        <v>0.42399999999999999</v>
      </c>
      <c r="T11" s="1">
        <f ca="1">IFERROR(__xludf.DUMMYFUNCTION("""COMPUTED_VALUE"""),195)</f>
        <v>195</v>
      </c>
      <c r="U11" s="1">
        <f ca="1">IFERROR(__xludf.DUMMYFUNCTION("""COMPUTED_VALUE"""),572)</f>
        <v>572</v>
      </c>
      <c r="V11" s="1">
        <f ca="1">IFERROR(__xludf.DUMMYFUNCTION("""COMPUTED_VALUE"""),0.341)</f>
        <v>0.34100000000000003</v>
      </c>
      <c r="W11" s="1">
        <f ca="1">IFERROR(__xludf.DUMMYFUNCTION("""COMPUTED_VALUE"""),328)</f>
        <v>328</v>
      </c>
      <c r="X11" s="1">
        <f ca="1">IFERROR(__xludf.DUMMYFUNCTION("""COMPUTED_VALUE"""),471)</f>
        <v>471</v>
      </c>
      <c r="Y11" s="1">
        <f ca="1">IFERROR(__xludf.DUMMYFUNCTION("""COMPUTED_VALUE"""),0.696)</f>
        <v>0.69599999999999995</v>
      </c>
      <c r="Z11" s="1">
        <f ca="1">IFERROR(__xludf.DUMMYFUNCTION("""COMPUTED_VALUE"""),218)</f>
        <v>218</v>
      </c>
      <c r="AA11" s="1">
        <f ca="1">IFERROR(__xludf.DUMMYFUNCTION("""COMPUTED_VALUE"""),874)</f>
        <v>874</v>
      </c>
      <c r="AB11" s="1">
        <f ca="1">IFERROR(__xludf.DUMMYFUNCTION("""COMPUTED_VALUE"""),348)</f>
        <v>348</v>
      </c>
      <c r="AC11" s="1">
        <f ca="1">IFERROR(__xludf.DUMMYFUNCTION("""COMPUTED_VALUE"""),176)</f>
        <v>176</v>
      </c>
      <c r="AD11" s="1">
        <f ca="1">IFERROR(__xludf.DUMMYFUNCTION("""COMPUTED_VALUE"""),69)</f>
        <v>69</v>
      </c>
      <c r="AE11" s="1">
        <f ca="1">IFERROR(__xludf.DUMMYFUNCTION("""COMPUTED_VALUE"""),428)</f>
        <v>428</v>
      </c>
      <c r="AF11" s="1">
        <f ca="1">IFERROR(__xludf.DUMMYFUNCTION("""COMPUTED_VALUE"""),566)</f>
        <v>566</v>
      </c>
    </row>
    <row r="12" spans="1:32" ht="15.75" customHeight="1" x14ac:dyDescent="0.25">
      <c r="A12" s="1" t="str">
        <f ca="1">IFERROR(__xludf.DUMMYFUNCTION("""COMPUTED_VALUE"""),"Appalachian State")</f>
        <v>Appalachian State</v>
      </c>
      <c r="B12" s="1">
        <f ca="1">IFERROR(__xludf.DUMMYFUNCTION("""COMPUTED_VALUE"""),31)</f>
        <v>31</v>
      </c>
      <c r="C12" s="1">
        <f ca="1">IFERROR(__xludf.DUMMYFUNCTION("""COMPUTED_VALUE"""),9)</f>
        <v>9</v>
      </c>
      <c r="D12" s="1">
        <f ca="1">IFERROR(__xludf.DUMMYFUNCTION("""COMPUTED_VALUE"""),22)</f>
        <v>22</v>
      </c>
      <c r="E12" s="1">
        <f ca="1">IFERROR(__xludf.DUMMYFUNCTION("""COMPUTED_VALUE"""),0.29)</f>
        <v>0.28999999999999998</v>
      </c>
      <c r="F12" s="1">
        <f ca="1">IFERROR(__xludf.DUMMYFUNCTION("""COMPUTED_VALUE"""),-7.91)</f>
        <v>-7.91</v>
      </c>
      <c r="G12" s="1">
        <f ca="1">IFERROR(__xludf.DUMMYFUNCTION("""COMPUTED_VALUE"""),-1.1)</f>
        <v>-1.1000000000000001</v>
      </c>
      <c r="H12" s="1">
        <f ca="1">IFERROR(__xludf.DUMMYFUNCTION("""COMPUTED_VALUE"""),7)</f>
        <v>7</v>
      </c>
      <c r="I12" s="1">
        <f ca="1">IFERROR(__xludf.DUMMYFUNCTION("""COMPUTED_VALUE"""),13)</f>
        <v>13</v>
      </c>
      <c r="J12" s="1">
        <f ca="1">IFERROR(__xludf.DUMMYFUNCTION("""COMPUTED_VALUE"""),6)</f>
        <v>6</v>
      </c>
      <c r="K12" s="1">
        <f ca="1">IFERROR(__xludf.DUMMYFUNCTION("""COMPUTED_VALUE"""),7)</f>
        <v>7</v>
      </c>
      <c r="L12" s="1">
        <f ca="1">IFERROR(__xludf.DUMMYFUNCTION("""COMPUTED_VALUE"""),2)</f>
        <v>2</v>
      </c>
      <c r="M12" s="1">
        <f ca="1">IFERROR(__xludf.DUMMYFUNCTION("""COMPUTED_VALUE"""),12)</f>
        <v>12</v>
      </c>
      <c r="N12" s="1">
        <f ca="1">IFERROR(__xludf.DUMMYFUNCTION("""COMPUTED_VALUE"""),2187)</f>
        <v>2187</v>
      </c>
      <c r="O12" s="1">
        <f ca="1">IFERROR(__xludf.DUMMYFUNCTION("""COMPUTED_VALUE"""),2398)</f>
        <v>2398</v>
      </c>
      <c r="P12" s="1">
        <f ca="1">IFERROR(__xludf.DUMMYFUNCTION("""COMPUTED_VALUE"""),1240)</f>
        <v>1240</v>
      </c>
      <c r="Q12" s="1">
        <f ca="1">IFERROR(__xludf.DUMMYFUNCTION("""COMPUTED_VALUE"""),719)</f>
        <v>719</v>
      </c>
      <c r="R12" s="1">
        <f ca="1">IFERROR(__xludf.DUMMYFUNCTION("""COMPUTED_VALUE"""),1795)</f>
        <v>1795</v>
      </c>
      <c r="S12" s="1">
        <f ca="1">IFERROR(__xludf.DUMMYFUNCTION("""COMPUTED_VALUE"""),0.401)</f>
        <v>0.40100000000000002</v>
      </c>
      <c r="T12" s="1">
        <f ca="1">IFERROR(__xludf.DUMMYFUNCTION("""COMPUTED_VALUE"""),256)</f>
        <v>256</v>
      </c>
      <c r="U12" s="1">
        <f ca="1">IFERROR(__xludf.DUMMYFUNCTION("""COMPUTED_VALUE"""),720)</f>
        <v>720</v>
      </c>
      <c r="V12" s="1">
        <f ca="1">IFERROR(__xludf.DUMMYFUNCTION("""COMPUTED_VALUE"""),0.356)</f>
        <v>0.35599999999999998</v>
      </c>
      <c r="W12" s="1">
        <f ca="1">IFERROR(__xludf.DUMMYFUNCTION("""COMPUTED_VALUE"""),493)</f>
        <v>493</v>
      </c>
      <c r="X12" s="1">
        <f ca="1">IFERROR(__xludf.DUMMYFUNCTION("""COMPUTED_VALUE"""),701)</f>
        <v>701</v>
      </c>
      <c r="Y12" s="1">
        <f ca="1">IFERROR(__xludf.DUMMYFUNCTION("""COMPUTED_VALUE"""),0.703)</f>
        <v>0.70299999999999996</v>
      </c>
      <c r="Z12" s="1">
        <f ca="1">IFERROR(__xludf.DUMMYFUNCTION("""COMPUTED_VALUE"""),393)</f>
        <v>393</v>
      </c>
      <c r="AA12" s="1">
        <f ca="1">IFERROR(__xludf.DUMMYFUNCTION("""COMPUTED_VALUE"""),1142)</f>
        <v>1142</v>
      </c>
      <c r="AB12" s="1">
        <f ca="1">IFERROR(__xludf.DUMMYFUNCTION("""COMPUTED_VALUE"""),357)</f>
        <v>357</v>
      </c>
      <c r="AC12" s="1">
        <f ca="1">IFERROR(__xludf.DUMMYFUNCTION("""COMPUTED_VALUE"""),127)</f>
        <v>127</v>
      </c>
      <c r="AD12" s="1">
        <f ca="1">IFERROR(__xludf.DUMMYFUNCTION("""COMPUTED_VALUE"""),103)</f>
        <v>103</v>
      </c>
      <c r="AE12" s="1">
        <f ca="1">IFERROR(__xludf.DUMMYFUNCTION("""COMPUTED_VALUE"""),462)</f>
        <v>462</v>
      </c>
      <c r="AF12" s="1">
        <f ca="1">IFERROR(__xludf.DUMMYFUNCTION("""COMPUTED_VALUE"""),666)</f>
        <v>666</v>
      </c>
    </row>
    <row r="13" spans="1:32" ht="15.75" customHeight="1" x14ac:dyDescent="0.25">
      <c r="A13" s="1" t="str">
        <f ca="1">IFERROR(__xludf.DUMMYFUNCTION("""COMPUTED_VALUE"""),"Arizona State")</f>
        <v>Arizona State</v>
      </c>
      <c r="B13" s="1">
        <f ca="1">IFERROR(__xludf.DUMMYFUNCTION("""COMPUTED_VALUE"""),32)</f>
        <v>32</v>
      </c>
      <c r="C13" s="1">
        <f ca="1">IFERROR(__xludf.DUMMYFUNCTION("""COMPUTED_VALUE"""),15)</f>
        <v>15</v>
      </c>
      <c r="D13" s="1">
        <f ca="1">IFERROR(__xludf.DUMMYFUNCTION("""COMPUTED_VALUE"""),17)</f>
        <v>17</v>
      </c>
      <c r="E13" s="1">
        <f ca="1">IFERROR(__xludf.DUMMYFUNCTION("""COMPUTED_VALUE"""),0.469)</f>
        <v>0.46899999999999997</v>
      </c>
      <c r="F13" s="1">
        <f ca="1">IFERROR(__xludf.DUMMYFUNCTION("""COMPUTED_VALUE"""),8.28)</f>
        <v>8.2799999999999994</v>
      </c>
      <c r="G13" s="1">
        <f ca="1">IFERROR(__xludf.DUMMYFUNCTION("""COMPUTED_VALUE"""),8.96)</f>
        <v>8.9600000000000009</v>
      </c>
      <c r="H13" s="1">
        <f ca="1">IFERROR(__xludf.DUMMYFUNCTION("""COMPUTED_VALUE"""),5)</f>
        <v>5</v>
      </c>
      <c r="I13" s="1">
        <f ca="1">IFERROR(__xludf.DUMMYFUNCTION("""COMPUTED_VALUE"""),13)</f>
        <v>13</v>
      </c>
      <c r="J13" s="1">
        <f ca="1">IFERROR(__xludf.DUMMYFUNCTION("""COMPUTED_VALUE"""),11)</f>
        <v>11</v>
      </c>
      <c r="K13" s="1">
        <f ca="1">IFERROR(__xludf.DUMMYFUNCTION("""COMPUTED_VALUE"""),6)</f>
        <v>6</v>
      </c>
      <c r="L13" s="1">
        <f ca="1">IFERROR(__xludf.DUMMYFUNCTION("""COMPUTED_VALUE"""),3)</f>
        <v>3</v>
      </c>
      <c r="M13" s="1">
        <f ca="1">IFERROR(__xludf.DUMMYFUNCTION("""COMPUTED_VALUE"""),9)</f>
        <v>9</v>
      </c>
      <c r="N13" s="1">
        <f ca="1">IFERROR(__xludf.DUMMYFUNCTION("""COMPUTED_VALUE"""),2345)</f>
        <v>2345</v>
      </c>
      <c r="O13" s="1">
        <f ca="1">IFERROR(__xludf.DUMMYFUNCTION("""COMPUTED_VALUE"""),2367)</f>
        <v>2367</v>
      </c>
      <c r="P13" s="1">
        <f ca="1">IFERROR(__xludf.DUMMYFUNCTION("""COMPUTED_VALUE"""),1290)</f>
        <v>1290</v>
      </c>
      <c r="Q13" s="1">
        <f ca="1">IFERROR(__xludf.DUMMYFUNCTION("""COMPUTED_VALUE"""),796)</f>
        <v>796</v>
      </c>
      <c r="R13" s="1">
        <f ca="1">IFERROR(__xludf.DUMMYFUNCTION("""COMPUTED_VALUE"""),1919)</f>
        <v>1919</v>
      </c>
      <c r="S13" s="1">
        <f ca="1">IFERROR(__xludf.DUMMYFUNCTION("""COMPUTED_VALUE"""),0.415)</f>
        <v>0.41499999999999998</v>
      </c>
      <c r="T13" s="1">
        <f ca="1">IFERROR(__xludf.DUMMYFUNCTION("""COMPUTED_VALUE"""),254)</f>
        <v>254</v>
      </c>
      <c r="U13" s="1">
        <f ca="1">IFERROR(__xludf.DUMMYFUNCTION("""COMPUTED_VALUE"""),757)</f>
        <v>757</v>
      </c>
      <c r="V13" s="1">
        <f ca="1">IFERROR(__xludf.DUMMYFUNCTION("""COMPUTED_VALUE"""),0.336)</f>
        <v>0.33600000000000002</v>
      </c>
      <c r="W13" s="1">
        <f ca="1">IFERROR(__xludf.DUMMYFUNCTION("""COMPUTED_VALUE"""),499)</f>
        <v>499</v>
      </c>
      <c r="X13" s="1">
        <f ca="1">IFERROR(__xludf.DUMMYFUNCTION("""COMPUTED_VALUE"""),726)</f>
        <v>726</v>
      </c>
      <c r="Y13" s="1">
        <f ca="1">IFERROR(__xludf.DUMMYFUNCTION("""COMPUTED_VALUE"""),0.687)</f>
        <v>0.68700000000000006</v>
      </c>
      <c r="Z13" s="1">
        <f ca="1">IFERROR(__xludf.DUMMYFUNCTION("""COMPUTED_VALUE"""),394)</f>
        <v>394</v>
      </c>
      <c r="AA13" s="1">
        <f ca="1">IFERROR(__xludf.DUMMYFUNCTION("""COMPUTED_VALUE"""),1177)</f>
        <v>1177</v>
      </c>
      <c r="AB13" s="1">
        <f ca="1">IFERROR(__xludf.DUMMYFUNCTION("""COMPUTED_VALUE"""),405)</f>
        <v>405</v>
      </c>
      <c r="AC13" s="1">
        <f ca="1">IFERROR(__xludf.DUMMYFUNCTION("""COMPUTED_VALUE"""),170)</f>
        <v>170</v>
      </c>
      <c r="AD13" s="1">
        <f ca="1">IFERROR(__xludf.DUMMYFUNCTION("""COMPUTED_VALUE"""),86)</f>
        <v>86</v>
      </c>
      <c r="AE13" s="1">
        <f ca="1">IFERROR(__xludf.DUMMYFUNCTION("""COMPUTED_VALUE"""),384)</f>
        <v>384</v>
      </c>
      <c r="AF13" s="1">
        <f ca="1">IFERROR(__xludf.DUMMYFUNCTION("""COMPUTED_VALUE"""),649)</f>
        <v>649</v>
      </c>
    </row>
    <row r="14" spans="1:32" ht="15.75" customHeight="1" x14ac:dyDescent="0.25">
      <c r="A14" s="1" t="str">
        <f ca="1">IFERROR(__xludf.DUMMYFUNCTION("""COMPUTED_VALUE"""),"ArizonaNCAA")</f>
        <v>ArizonaNCAA</v>
      </c>
      <c r="B14" s="1">
        <f ca="1">IFERROR(__xludf.DUMMYFUNCTION("""COMPUTED_VALUE"""),34)</f>
        <v>34</v>
      </c>
      <c r="C14" s="1">
        <f ca="1">IFERROR(__xludf.DUMMYFUNCTION("""COMPUTED_VALUE"""),25)</f>
        <v>25</v>
      </c>
      <c r="D14" s="1">
        <f ca="1">IFERROR(__xludf.DUMMYFUNCTION("""COMPUTED_VALUE"""),9)</f>
        <v>9</v>
      </c>
      <c r="E14" s="1">
        <f ca="1">IFERROR(__xludf.DUMMYFUNCTION("""COMPUTED_VALUE"""),0.735)</f>
        <v>0.73499999999999999</v>
      </c>
      <c r="F14" s="1">
        <f ca="1">IFERROR(__xludf.DUMMYFUNCTION("""COMPUTED_VALUE"""),18.79)</f>
        <v>18.79</v>
      </c>
      <c r="G14" s="1">
        <f ca="1">IFERROR(__xludf.DUMMYFUNCTION("""COMPUTED_VALUE"""),7.23)</f>
        <v>7.23</v>
      </c>
      <c r="H14" s="1">
        <f ca="1">IFERROR(__xludf.DUMMYFUNCTION("""COMPUTED_VALUE"""),12)</f>
        <v>12</v>
      </c>
      <c r="I14" s="1">
        <f ca="1">IFERROR(__xludf.DUMMYFUNCTION("""COMPUTED_VALUE"""),6)</f>
        <v>6</v>
      </c>
      <c r="J14" s="1">
        <f ca="1">IFERROR(__xludf.DUMMYFUNCTION("""COMPUTED_VALUE"""),17)</f>
        <v>17</v>
      </c>
      <c r="K14" s="1">
        <f ca="1">IFERROR(__xludf.DUMMYFUNCTION("""COMPUTED_VALUE"""),1)</f>
        <v>1</v>
      </c>
      <c r="L14" s="1">
        <f ca="1">IFERROR(__xludf.DUMMYFUNCTION("""COMPUTED_VALUE"""),5)</f>
        <v>5</v>
      </c>
      <c r="M14" s="1">
        <f ca="1">IFERROR(__xludf.DUMMYFUNCTION("""COMPUTED_VALUE"""),5)</f>
        <v>5</v>
      </c>
      <c r="N14" s="1">
        <f ca="1">IFERROR(__xludf.DUMMYFUNCTION("""COMPUTED_VALUE"""),2735)</f>
        <v>2735</v>
      </c>
      <c r="O14" s="1">
        <f ca="1">IFERROR(__xludf.DUMMYFUNCTION("""COMPUTED_VALUE"""),2342)</f>
        <v>2342</v>
      </c>
      <c r="P14" s="1">
        <f ca="1">IFERROR(__xludf.DUMMYFUNCTION("""COMPUTED_VALUE"""),1390)</f>
        <v>1390</v>
      </c>
      <c r="Q14" s="1">
        <f ca="1">IFERROR(__xludf.DUMMYFUNCTION("""COMPUTED_VALUE"""),946)</f>
        <v>946</v>
      </c>
      <c r="R14" s="1">
        <f ca="1">IFERROR(__xludf.DUMMYFUNCTION("""COMPUTED_VALUE"""),1970)</f>
        <v>1970</v>
      </c>
      <c r="S14" s="1">
        <f ca="1">IFERROR(__xludf.DUMMYFUNCTION("""COMPUTED_VALUE"""),0.48)</f>
        <v>0.48</v>
      </c>
      <c r="T14" s="1">
        <f ca="1">IFERROR(__xludf.DUMMYFUNCTION("""COMPUTED_VALUE"""),221)</f>
        <v>221</v>
      </c>
      <c r="U14" s="1">
        <f ca="1">IFERROR(__xludf.DUMMYFUNCTION("""COMPUTED_VALUE"""),580)</f>
        <v>580</v>
      </c>
      <c r="V14" s="1">
        <f ca="1">IFERROR(__xludf.DUMMYFUNCTION("""COMPUTED_VALUE"""),0.381)</f>
        <v>0.38100000000000001</v>
      </c>
      <c r="W14" s="1">
        <f ca="1">IFERROR(__xludf.DUMMYFUNCTION("""COMPUTED_VALUE"""),622)</f>
        <v>622</v>
      </c>
      <c r="X14" s="1">
        <f ca="1">IFERROR(__xludf.DUMMYFUNCTION("""COMPUTED_VALUE"""),863)</f>
        <v>863</v>
      </c>
      <c r="Y14" s="1">
        <f ca="1">IFERROR(__xludf.DUMMYFUNCTION("""COMPUTED_VALUE"""),0.721)</f>
        <v>0.72099999999999997</v>
      </c>
      <c r="Z14" s="1">
        <f ca="1">IFERROR(__xludf.DUMMYFUNCTION("""COMPUTED_VALUE"""),394)</f>
        <v>394</v>
      </c>
      <c r="AA14" s="1">
        <f ca="1">IFERROR(__xludf.DUMMYFUNCTION("""COMPUTED_VALUE"""),1368)</f>
        <v>1368</v>
      </c>
      <c r="AB14" s="1">
        <f ca="1">IFERROR(__xludf.DUMMYFUNCTION("""COMPUTED_VALUE"""),485)</f>
        <v>485</v>
      </c>
      <c r="AC14" s="1">
        <f ca="1">IFERROR(__xludf.DUMMYFUNCTION("""COMPUTED_VALUE"""),164)</f>
        <v>164</v>
      </c>
      <c r="AD14" s="1">
        <f ca="1">IFERROR(__xludf.DUMMYFUNCTION("""COMPUTED_VALUE"""),161)</f>
        <v>161</v>
      </c>
      <c r="AE14" s="1">
        <f ca="1">IFERROR(__xludf.DUMMYFUNCTION("""COMPUTED_VALUE"""),442)</f>
        <v>442</v>
      </c>
      <c r="AF14" s="1">
        <f ca="1">IFERROR(__xludf.DUMMYFUNCTION("""COMPUTED_VALUE"""),621)</f>
        <v>621</v>
      </c>
    </row>
    <row r="15" spans="1:32" ht="15.75" customHeight="1" x14ac:dyDescent="0.25">
      <c r="A15" s="1" t="str">
        <f ca="1">IFERROR(__xludf.DUMMYFUNCTION("""COMPUTED_VALUE"""),"Little RockNCAA")</f>
        <v>Little RockNCAA</v>
      </c>
      <c r="B15" s="1">
        <f ca="1">IFERROR(__xludf.DUMMYFUNCTION("""COMPUTED_VALUE"""),35)</f>
        <v>35</v>
      </c>
      <c r="C15" s="1">
        <f ca="1">IFERROR(__xludf.DUMMYFUNCTION("""COMPUTED_VALUE"""),30)</f>
        <v>30</v>
      </c>
      <c r="D15" s="1">
        <f ca="1">IFERROR(__xludf.DUMMYFUNCTION("""COMPUTED_VALUE"""),5)</f>
        <v>5</v>
      </c>
      <c r="E15" s="1">
        <f ca="1">IFERROR(__xludf.DUMMYFUNCTION("""COMPUTED_VALUE"""),0.857)</f>
        <v>0.85699999999999998</v>
      </c>
      <c r="F15" s="1">
        <f ca="1">IFERROR(__xludf.DUMMYFUNCTION("""COMPUTED_VALUE"""),7.12)</f>
        <v>7.12</v>
      </c>
      <c r="G15" s="1">
        <f ca="1">IFERROR(__xludf.DUMMYFUNCTION("""COMPUTED_VALUE"""),-1.76)</f>
        <v>-1.76</v>
      </c>
      <c r="H15" s="1">
        <f ca="1">IFERROR(__xludf.DUMMYFUNCTION("""COMPUTED_VALUE"""),17)</f>
        <v>17</v>
      </c>
      <c r="I15" s="1">
        <f ca="1">IFERROR(__xludf.DUMMYFUNCTION("""COMPUTED_VALUE"""),3)</f>
        <v>3</v>
      </c>
      <c r="J15" s="1">
        <f ca="1">IFERROR(__xludf.DUMMYFUNCTION("""COMPUTED_VALUE"""),14)</f>
        <v>14</v>
      </c>
      <c r="K15" s="1">
        <f ca="1">IFERROR(__xludf.DUMMYFUNCTION("""COMPUTED_VALUE"""),0)</f>
        <v>0</v>
      </c>
      <c r="L15" s="1">
        <f ca="1">IFERROR(__xludf.DUMMYFUNCTION("""COMPUTED_VALUE"""),12)</f>
        <v>12</v>
      </c>
      <c r="M15" s="1">
        <f ca="1">IFERROR(__xludf.DUMMYFUNCTION("""COMPUTED_VALUE"""),4)</f>
        <v>4</v>
      </c>
      <c r="N15" s="1">
        <f ca="1">IFERROR(__xludf.DUMMYFUNCTION("""COMPUTED_VALUE"""),2487)</f>
        <v>2487</v>
      </c>
      <c r="O15" s="1">
        <f ca="1">IFERROR(__xludf.DUMMYFUNCTION("""COMPUTED_VALUE"""),2129)</f>
        <v>2129</v>
      </c>
      <c r="P15" s="1">
        <f ca="1">IFERROR(__xludf.DUMMYFUNCTION("""COMPUTED_VALUE"""),1415)</f>
        <v>1415</v>
      </c>
      <c r="Q15" s="1">
        <f ca="1">IFERROR(__xludf.DUMMYFUNCTION("""COMPUTED_VALUE"""),886)</f>
        <v>886</v>
      </c>
      <c r="R15" s="1">
        <f ca="1">IFERROR(__xludf.DUMMYFUNCTION("""COMPUTED_VALUE"""),1958)</f>
        <v>1958</v>
      </c>
      <c r="S15" s="1">
        <f ca="1">IFERROR(__xludf.DUMMYFUNCTION("""COMPUTED_VALUE"""),0.453)</f>
        <v>0.45300000000000001</v>
      </c>
      <c r="T15" s="1">
        <f ca="1">IFERROR(__xludf.DUMMYFUNCTION("""COMPUTED_VALUE"""),266)</f>
        <v>266</v>
      </c>
      <c r="U15" s="1">
        <f ca="1">IFERROR(__xludf.DUMMYFUNCTION("""COMPUTED_VALUE"""),693)</f>
        <v>693</v>
      </c>
      <c r="V15" s="1">
        <f ca="1">IFERROR(__xludf.DUMMYFUNCTION("""COMPUTED_VALUE"""),0.384)</f>
        <v>0.38400000000000001</v>
      </c>
      <c r="W15" s="1">
        <f ca="1">IFERROR(__xludf.DUMMYFUNCTION("""COMPUTED_VALUE"""),449)</f>
        <v>449</v>
      </c>
      <c r="X15" s="1">
        <f ca="1">IFERROR(__xludf.DUMMYFUNCTION("""COMPUTED_VALUE"""),616)</f>
        <v>616</v>
      </c>
      <c r="Y15" s="1">
        <f ca="1">IFERROR(__xludf.DUMMYFUNCTION("""COMPUTED_VALUE"""),0.729)</f>
        <v>0.72899999999999998</v>
      </c>
      <c r="Z15" s="1">
        <f ca="1">IFERROR(__xludf.DUMMYFUNCTION("""COMPUTED_VALUE"""),324)</f>
        <v>324</v>
      </c>
      <c r="AA15" s="1">
        <f ca="1">IFERROR(__xludf.DUMMYFUNCTION("""COMPUTED_VALUE"""),1195)</f>
        <v>1195</v>
      </c>
      <c r="AB15" s="1">
        <f ca="1">IFERROR(__xludf.DUMMYFUNCTION("""COMPUTED_VALUE"""),451)</f>
        <v>451</v>
      </c>
      <c r="AC15" s="1">
        <f ca="1">IFERROR(__xludf.DUMMYFUNCTION("""COMPUTED_VALUE"""),230)</f>
        <v>230</v>
      </c>
      <c r="AD15" s="1">
        <f ca="1">IFERROR(__xludf.DUMMYFUNCTION("""COMPUTED_VALUE"""),106)</f>
        <v>106</v>
      </c>
      <c r="AE15" s="1">
        <f ca="1">IFERROR(__xludf.DUMMYFUNCTION("""COMPUTED_VALUE"""),355)</f>
        <v>355</v>
      </c>
      <c r="AF15" s="1">
        <f ca="1">IFERROR(__xludf.DUMMYFUNCTION("""COMPUTED_VALUE"""),640)</f>
        <v>640</v>
      </c>
    </row>
    <row r="16" spans="1:32" ht="15.75" customHeight="1" x14ac:dyDescent="0.25">
      <c r="A16" s="1" t="str">
        <f ca="1">IFERROR(__xludf.DUMMYFUNCTION("""COMPUTED_VALUE"""),"Arkansas-Pine Bluff")</f>
        <v>Arkansas-Pine Bluff</v>
      </c>
      <c r="B16" s="1">
        <f ca="1">IFERROR(__xludf.DUMMYFUNCTION("""COMPUTED_VALUE"""),33)</f>
        <v>33</v>
      </c>
      <c r="C16" s="1">
        <f ca="1">IFERROR(__xludf.DUMMYFUNCTION("""COMPUTED_VALUE"""),8)</f>
        <v>8</v>
      </c>
      <c r="D16" s="1">
        <f ca="1">IFERROR(__xludf.DUMMYFUNCTION("""COMPUTED_VALUE"""),25)</f>
        <v>25</v>
      </c>
      <c r="E16" s="1">
        <f ca="1">IFERROR(__xludf.DUMMYFUNCTION("""COMPUTED_VALUE"""),0.242)</f>
        <v>0.24199999999999999</v>
      </c>
      <c r="F16" s="1">
        <f ca="1">IFERROR(__xludf.DUMMYFUNCTION("""COMPUTED_VALUE"""),-19.31)</f>
        <v>-19.309999999999999</v>
      </c>
      <c r="G16" s="1">
        <f ca="1">IFERROR(__xludf.DUMMYFUNCTION("""COMPUTED_VALUE"""),-5.52)</f>
        <v>-5.52</v>
      </c>
      <c r="H16" s="1">
        <f ca="1">IFERROR(__xludf.DUMMYFUNCTION("""COMPUTED_VALUE"""),6)</f>
        <v>6</v>
      </c>
      <c r="I16" s="1">
        <f ca="1">IFERROR(__xludf.DUMMYFUNCTION("""COMPUTED_VALUE"""),12)</f>
        <v>12</v>
      </c>
      <c r="J16" s="1">
        <f ca="1">IFERROR(__xludf.DUMMYFUNCTION("""COMPUTED_VALUE"""),3)</f>
        <v>3</v>
      </c>
      <c r="K16" s="1">
        <f ca="1">IFERROR(__xludf.DUMMYFUNCTION("""COMPUTED_VALUE"""),6)</f>
        <v>6</v>
      </c>
      <c r="L16" s="1">
        <f ca="1">IFERROR(__xludf.DUMMYFUNCTION("""COMPUTED_VALUE"""),4)</f>
        <v>4</v>
      </c>
      <c r="M16" s="1">
        <f ca="1">IFERROR(__xludf.DUMMYFUNCTION("""COMPUTED_VALUE"""),17)</f>
        <v>17</v>
      </c>
      <c r="N16" s="1">
        <f ca="1">IFERROR(__xludf.DUMMYFUNCTION("""COMPUTED_VALUE"""),1867)</f>
        <v>1867</v>
      </c>
      <c r="O16" s="1">
        <f ca="1">IFERROR(__xludf.DUMMYFUNCTION("""COMPUTED_VALUE"""),2322)</f>
        <v>2322</v>
      </c>
      <c r="P16" s="1">
        <f ca="1">IFERROR(__xludf.DUMMYFUNCTION("""COMPUTED_VALUE"""),1325)</f>
        <v>1325</v>
      </c>
      <c r="Q16" s="1">
        <f ca="1">IFERROR(__xludf.DUMMYFUNCTION("""COMPUTED_VALUE"""),674)</f>
        <v>674</v>
      </c>
      <c r="R16" s="1">
        <f ca="1">IFERROR(__xludf.DUMMYFUNCTION("""COMPUTED_VALUE"""),1722)</f>
        <v>1722</v>
      </c>
      <c r="S16" s="1">
        <f ca="1">IFERROR(__xludf.DUMMYFUNCTION("""COMPUTED_VALUE"""),0.391)</f>
        <v>0.39100000000000001</v>
      </c>
      <c r="T16" s="1">
        <f ca="1">IFERROR(__xludf.DUMMYFUNCTION("""COMPUTED_VALUE"""),202)</f>
        <v>202</v>
      </c>
      <c r="U16" s="1">
        <f ca="1">IFERROR(__xludf.DUMMYFUNCTION("""COMPUTED_VALUE"""),666)</f>
        <v>666</v>
      </c>
      <c r="V16" s="1">
        <f ca="1">IFERROR(__xludf.DUMMYFUNCTION("""COMPUTED_VALUE"""),0.303)</f>
        <v>0.30299999999999999</v>
      </c>
      <c r="W16" s="1">
        <f ca="1">IFERROR(__xludf.DUMMYFUNCTION("""COMPUTED_VALUE"""),317)</f>
        <v>317</v>
      </c>
      <c r="X16" s="1">
        <f ca="1">IFERROR(__xludf.DUMMYFUNCTION("""COMPUTED_VALUE"""),519)</f>
        <v>519</v>
      </c>
      <c r="Y16" s="1">
        <f ca="1">IFERROR(__xludf.DUMMYFUNCTION("""COMPUTED_VALUE"""),0.611)</f>
        <v>0.61099999999999999</v>
      </c>
      <c r="Z16" s="1">
        <f ca="1">IFERROR(__xludf.DUMMYFUNCTION("""COMPUTED_VALUE"""),322)</f>
        <v>322</v>
      </c>
      <c r="AA16" s="1">
        <f ca="1">IFERROR(__xludf.DUMMYFUNCTION("""COMPUTED_VALUE"""),1004)</f>
        <v>1004</v>
      </c>
      <c r="AB16" s="1">
        <f ca="1">IFERROR(__xludf.DUMMYFUNCTION("""COMPUTED_VALUE"""),317)</f>
        <v>317</v>
      </c>
      <c r="AC16" s="1">
        <f ca="1">IFERROR(__xludf.DUMMYFUNCTION("""COMPUTED_VALUE"""),235)</f>
        <v>235</v>
      </c>
      <c r="AD16" s="1">
        <f ca="1">IFERROR(__xludf.DUMMYFUNCTION("""COMPUTED_VALUE"""),123)</f>
        <v>123</v>
      </c>
      <c r="AE16" s="1">
        <f ca="1">IFERROR(__xludf.DUMMYFUNCTION("""COMPUTED_VALUE"""),516)</f>
        <v>516</v>
      </c>
      <c r="AF16" s="1">
        <f ca="1">IFERROR(__xludf.DUMMYFUNCTION("""COMPUTED_VALUE"""),723)</f>
        <v>723</v>
      </c>
    </row>
    <row r="17" spans="1:32" ht="15.75" customHeight="1" x14ac:dyDescent="0.25">
      <c r="A17" s="1" t="str">
        <f ca="1">IFERROR(__xludf.DUMMYFUNCTION("""COMPUTED_VALUE"""),"Arkansas State")</f>
        <v>Arkansas State</v>
      </c>
      <c r="B17" s="1">
        <f ca="1">IFERROR(__xludf.DUMMYFUNCTION("""COMPUTED_VALUE"""),31)</f>
        <v>31</v>
      </c>
      <c r="C17" s="1">
        <f ca="1">IFERROR(__xludf.DUMMYFUNCTION("""COMPUTED_VALUE"""),11)</f>
        <v>11</v>
      </c>
      <c r="D17" s="1">
        <f ca="1">IFERROR(__xludf.DUMMYFUNCTION("""COMPUTED_VALUE"""),20)</f>
        <v>20</v>
      </c>
      <c r="E17" s="1">
        <f ca="1">IFERROR(__xludf.DUMMYFUNCTION("""COMPUTED_VALUE"""),0.355)</f>
        <v>0.35499999999999998</v>
      </c>
      <c r="F17" s="1">
        <f ca="1">IFERROR(__xludf.DUMMYFUNCTION("""COMPUTED_VALUE"""),-7.48)</f>
        <v>-7.48</v>
      </c>
      <c r="G17" s="1">
        <f ca="1">IFERROR(__xludf.DUMMYFUNCTION("""COMPUTED_VALUE"""),-2.37)</f>
        <v>-2.37</v>
      </c>
      <c r="H17" s="1">
        <f ca="1">IFERROR(__xludf.DUMMYFUNCTION("""COMPUTED_VALUE"""),7)</f>
        <v>7</v>
      </c>
      <c r="I17" s="1">
        <f ca="1">IFERROR(__xludf.DUMMYFUNCTION("""COMPUTED_VALUE"""),13)</f>
        <v>13</v>
      </c>
      <c r="J17" s="1">
        <f ca="1">IFERROR(__xludf.DUMMYFUNCTION("""COMPUTED_VALUE"""),9)</f>
        <v>9</v>
      </c>
      <c r="K17" s="1">
        <f ca="1">IFERROR(__xludf.DUMMYFUNCTION("""COMPUTED_VALUE"""),6)</f>
        <v>6</v>
      </c>
      <c r="L17" s="1">
        <f ca="1">IFERROR(__xludf.DUMMYFUNCTION("""COMPUTED_VALUE"""),2)</f>
        <v>2</v>
      </c>
      <c r="M17" s="1">
        <f ca="1">IFERROR(__xludf.DUMMYFUNCTION("""COMPUTED_VALUE"""),14)</f>
        <v>14</v>
      </c>
      <c r="N17" s="1">
        <f ca="1">IFERROR(__xludf.DUMMYFUNCTION("""COMPUTED_VALUE"""),2282)</f>
        <v>2282</v>
      </c>
      <c r="O17" s="1">
        <f ca="1">IFERROR(__xludf.DUMMYFUNCTION("""COMPUTED_VALUE"""),2353)</f>
        <v>2353</v>
      </c>
      <c r="P17" s="1">
        <f ca="1">IFERROR(__xludf.DUMMYFUNCTION("""COMPUTED_VALUE"""),1260)</f>
        <v>1260</v>
      </c>
      <c r="Q17" s="1">
        <f ca="1">IFERROR(__xludf.DUMMYFUNCTION("""COMPUTED_VALUE"""),770)</f>
        <v>770</v>
      </c>
      <c r="R17" s="1">
        <f ca="1">IFERROR(__xludf.DUMMYFUNCTION("""COMPUTED_VALUE"""),1855)</f>
        <v>1855</v>
      </c>
      <c r="S17" s="1">
        <f ca="1">IFERROR(__xludf.DUMMYFUNCTION("""COMPUTED_VALUE"""),0.415)</f>
        <v>0.41499999999999998</v>
      </c>
      <c r="T17" s="1">
        <f ca="1">IFERROR(__xludf.DUMMYFUNCTION("""COMPUTED_VALUE"""),180)</f>
        <v>180</v>
      </c>
      <c r="U17" s="1">
        <f ca="1">IFERROR(__xludf.DUMMYFUNCTION("""COMPUTED_VALUE"""),570)</f>
        <v>570</v>
      </c>
      <c r="V17" s="1">
        <f ca="1">IFERROR(__xludf.DUMMYFUNCTION("""COMPUTED_VALUE"""),0.316)</f>
        <v>0.316</v>
      </c>
      <c r="W17" s="1">
        <f ca="1">IFERROR(__xludf.DUMMYFUNCTION("""COMPUTED_VALUE"""),562)</f>
        <v>562</v>
      </c>
      <c r="X17" s="1">
        <f ca="1">IFERROR(__xludf.DUMMYFUNCTION("""COMPUTED_VALUE"""),766)</f>
        <v>766</v>
      </c>
      <c r="Y17" s="1">
        <f ca="1">IFERROR(__xludf.DUMMYFUNCTION("""COMPUTED_VALUE"""),0.734)</f>
        <v>0.73399999999999999</v>
      </c>
      <c r="Z17" s="1">
        <f ca="1">IFERROR(__xludf.DUMMYFUNCTION("""COMPUTED_VALUE"""),334)</f>
        <v>334</v>
      </c>
      <c r="AA17" s="1">
        <f ca="1">IFERROR(__xludf.DUMMYFUNCTION("""COMPUTED_VALUE"""),1243)</f>
        <v>1243</v>
      </c>
      <c r="AB17" s="1">
        <f ca="1">IFERROR(__xludf.DUMMYFUNCTION("""COMPUTED_VALUE"""),381)</f>
        <v>381</v>
      </c>
      <c r="AC17" s="1">
        <f ca="1">IFERROR(__xludf.DUMMYFUNCTION("""COMPUTED_VALUE"""),157)</f>
        <v>157</v>
      </c>
      <c r="AD17" s="1">
        <f ca="1">IFERROR(__xludf.DUMMYFUNCTION("""COMPUTED_VALUE"""),136)</f>
        <v>136</v>
      </c>
      <c r="AE17" s="1">
        <f ca="1">IFERROR(__xludf.DUMMYFUNCTION("""COMPUTED_VALUE"""),398)</f>
        <v>398</v>
      </c>
      <c r="AF17" s="1">
        <f ca="1">IFERROR(__xludf.DUMMYFUNCTION("""COMPUTED_VALUE"""),613)</f>
        <v>613</v>
      </c>
    </row>
    <row r="18" spans="1:32" ht="15.75" customHeight="1" x14ac:dyDescent="0.25">
      <c r="A18" s="1" t="str">
        <f ca="1">IFERROR(__xludf.DUMMYFUNCTION("""COMPUTED_VALUE"""),"Arkansas")</f>
        <v>Arkansas</v>
      </c>
      <c r="B18" s="1">
        <f ca="1">IFERROR(__xludf.DUMMYFUNCTION("""COMPUTED_VALUE"""),32)</f>
        <v>32</v>
      </c>
      <c r="C18" s="1">
        <f ca="1">IFERROR(__xludf.DUMMYFUNCTION("""COMPUTED_VALUE"""),16)</f>
        <v>16</v>
      </c>
      <c r="D18" s="1">
        <f ca="1">IFERROR(__xludf.DUMMYFUNCTION("""COMPUTED_VALUE"""),16)</f>
        <v>16</v>
      </c>
      <c r="E18" s="1">
        <f ca="1">IFERROR(__xludf.DUMMYFUNCTION("""COMPUTED_VALUE"""),0.5)</f>
        <v>0.5</v>
      </c>
      <c r="F18" s="1">
        <f ca="1">IFERROR(__xludf.DUMMYFUNCTION("""COMPUTED_VALUE"""),10.23)</f>
        <v>10.23</v>
      </c>
      <c r="G18" s="1">
        <f ca="1">IFERROR(__xludf.DUMMYFUNCTION("""COMPUTED_VALUE"""),6.76)</f>
        <v>6.76</v>
      </c>
      <c r="H18" s="1">
        <f ca="1">IFERROR(__xludf.DUMMYFUNCTION("""COMPUTED_VALUE"""),9)</f>
        <v>9</v>
      </c>
      <c r="I18" s="1">
        <f ca="1">IFERROR(__xludf.DUMMYFUNCTION("""COMPUTED_VALUE"""),9)</f>
        <v>9</v>
      </c>
      <c r="J18" s="1">
        <f ca="1">IFERROR(__xludf.DUMMYFUNCTION("""COMPUTED_VALUE"""),13)</f>
        <v>13</v>
      </c>
      <c r="K18" s="1">
        <f ca="1">IFERROR(__xludf.DUMMYFUNCTION("""COMPUTED_VALUE"""),4)</f>
        <v>4</v>
      </c>
      <c r="L18" s="1">
        <f ca="1">IFERROR(__xludf.DUMMYFUNCTION("""COMPUTED_VALUE"""),3)</f>
        <v>3</v>
      </c>
      <c r="M18" s="1">
        <f ca="1">IFERROR(__xludf.DUMMYFUNCTION("""COMPUTED_VALUE"""),8)</f>
        <v>8</v>
      </c>
      <c r="N18" s="1">
        <f ca="1">IFERROR(__xludf.DUMMYFUNCTION("""COMPUTED_VALUE"""),2501)</f>
        <v>2501</v>
      </c>
      <c r="O18" s="1">
        <f ca="1">IFERROR(__xludf.DUMMYFUNCTION("""COMPUTED_VALUE"""),2390)</f>
        <v>2390</v>
      </c>
      <c r="P18" s="1">
        <f ca="1">IFERROR(__xludf.DUMMYFUNCTION("""COMPUTED_VALUE"""),1305)</f>
        <v>1305</v>
      </c>
      <c r="Q18" s="1">
        <f ca="1">IFERROR(__xludf.DUMMYFUNCTION("""COMPUTED_VALUE"""),883)</f>
        <v>883</v>
      </c>
      <c r="R18" s="1">
        <f ca="1">IFERROR(__xludf.DUMMYFUNCTION("""COMPUTED_VALUE"""),1992)</f>
        <v>1992</v>
      </c>
      <c r="S18" s="1">
        <f ca="1">IFERROR(__xludf.DUMMYFUNCTION("""COMPUTED_VALUE"""),0.443)</f>
        <v>0.443</v>
      </c>
      <c r="T18" s="1">
        <f ca="1">IFERROR(__xludf.DUMMYFUNCTION("""COMPUTED_VALUE"""),216)</f>
        <v>216</v>
      </c>
      <c r="U18" s="1">
        <f ca="1">IFERROR(__xludf.DUMMYFUNCTION("""COMPUTED_VALUE"""),544)</f>
        <v>544</v>
      </c>
      <c r="V18" s="1">
        <f ca="1">IFERROR(__xludf.DUMMYFUNCTION("""COMPUTED_VALUE"""),0.397)</f>
        <v>0.39700000000000002</v>
      </c>
      <c r="W18" s="1">
        <f ca="1">IFERROR(__xludf.DUMMYFUNCTION("""COMPUTED_VALUE"""),519)</f>
        <v>519</v>
      </c>
      <c r="X18" s="1">
        <f ca="1">IFERROR(__xludf.DUMMYFUNCTION("""COMPUTED_VALUE"""),748)</f>
        <v>748</v>
      </c>
      <c r="Y18" s="1">
        <f ca="1">IFERROR(__xludf.DUMMYFUNCTION("""COMPUTED_VALUE"""),0.694)</f>
        <v>0.69399999999999995</v>
      </c>
      <c r="Z18" s="1">
        <f ca="1">IFERROR(__xludf.DUMMYFUNCTION("""COMPUTED_VALUE"""),374)</f>
        <v>374</v>
      </c>
      <c r="AA18" s="1">
        <f ca="1">IFERROR(__xludf.DUMMYFUNCTION("""COMPUTED_VALUE"""),1187)</f>
        <v>1187</v>
      </c>
      <c r="AB18" s="1">
        <f ca="1">IFERROR(__xludf.DUMMYFUNCTION("""COMPUTED_VALUE"""),518)</f>
        <v>518</v>
      </c>
      <c r="AC18" s="1">
        <f ca="1">IFERROR(__xludf.DUMMYFUNCTION("""COMPUTED_VALUE"""),233)</f>
        <v>233</v>
      </c>
      <c r="AD18" s="1">
        <f ca="1">IFERROR(__xludf.DUMMYFUNCTION("""COMPUTED_VALUE"""),165)</f>
        <v>165</v>
      </c>
      <c r="AE18" s="1">
        <f ca="1">IFERROR(__xludf.DUMMYFUNCTION("""COMPUTED_VALUE"""),357)</f>
        <v>357</v>
      </c>
      <c r="AF18" s="1">
        <f ca="1">IFERROR(__xludf.DUMMYFUNCTION("""COMPUTED_VALUE"""),687)</f>
        <v>687</v>
      </c>
    </row>
    <row r="19" spans="1:32" ht="12.5" x14ac:dyDescent="0.25">
      <c r="A19" s="1" t="str">
        <f ca="1">IFERROR(__xludf.DUMMYFUNCTION("""COMPUTED_VALUE"""),"Army")</f>
        <v>Army</v>
      </c>
      <c r="B19" s="1">
        <f ca="1">IFERROR(__xludf.DUMMYFUNCTION("""COMPUTED_VALUE"""),33)</f>
        <v>33</v>
      </c>
      <c r="C19" s="1">
        <f ca="1">IFERROR(__xludf.DUMMYFUNCTION("""COMPUTED_VALUE"""),19)</f>
        <v>19</v>
      </c>
      <c r="D19" s="1">
        <f ca="1">IFERROR(__xludf.DUMMYFUNCTION("""COMPUTED_VALUE"""),14)</f>
        <v>14</v>
      </c>
      <c r="E19" s="1">
        <f ca="1">IFERROR(__xludf.DUMMYFUNCTION("""COMPUTED_VALUE"""),0.576)</f>
        <v>0.57599999999999996</v>
      </c>
      <c r="F19" s="1">
        <f ca="1">IFERROR(__xludf.DUMMYFUNCTION("""COMPUTED_VALUE"""),-7.32)</f>
        <v>-7.32</v>
      </c>
      <c r="G19" s="1">
        <f ca="1">IFERROR(__xludf.DUMMYFUNCTION("""COMPUTED_VALUE"""),-8.13)</f>
        <v>-8.1300000000000008</v>
      </c>
      <c r="H19" s="1">
        <f ca="1">IFERROR(__xludf.DUMMYFUNCTION("""COMPUTED_VALUE"""),9)</f>
        <v>9</v>
      </c>
      <c r="I19" s="1">
        <f ca="1">IFERROR(__xludf.DUMMYFUNCTION("""COMPUTED_VALUE"""),9)</f>
        <v>9</v>
      </c>
      <c r="J19" s="1">
        <f ca="1">IFERROR(__xludf.DUMMYFUNCTION("""COMPUTED_VALUE"""),7)</f>
        <v>7</v>
      </c>
      <c r="K19" s="1">
        <f ca="1">IFERROR(__xludf.DUMMYFUNCTION("""COMPUTED_VALUE"""),8)</f>
        <v>8</v>
      </c>
      <c r="L19" s="1">
        <f ca="1">IFERROR(__xludf.DUMMYFUNCTION("""COMPUTED_VALUE"""),11)</f>
        <v>11</v>
      </c>
      <c r="M19" s="1">
        <f ca="1">IFERROR(__xludf.DUMMYFUNCTION("""COMPUTED_VALUE"""),6)</f>
        <v>6</v>
      </c>
      <c r="N19" s="1">
        <f ca="1">IFERROR(__xludf.DUMMYFUNCTION("""COMPUTED_VALUE"""),2539)</f>
        <v>2539</v>
      </c>
      <c r="O19" s="1">
        <f ca="1">IFERROR(__xludf.DUMMYFUNCTION("""COMPUTED_VALUE"""),2474)</f>
        <v>2474</v>
      </c>
      <c r="P19" s="1">
        <f ca="1">IFERROR(__xludf.DUMMYFUNCTION("""COMPUTED_VALUE"""),1350)</f>
        <v>1350</v>
      </c>
      <c r="Q19" s="1">
        <f ca="1">IFERROR(__xludf.DUMMYFUNCTION("""COMPUTED_VALUE"""),895)</f>
        <v>895</v>
      </c>
      <c r="R19" s="1">
        <f ca="1">IFERROR(__xludf.DUMMYFUNCTION("""COMPUTED_VALUE"""),2084)</f>
        <v>2084</v>
      </c>
      <c r="S19" s="1">
        <f ca="1">IFERROR(__xludf.DUMMYFUNCTION("""COMPUTED_VALUE"""),0.429)</f>
        <v>0.42899999999999999</v>
      </c>
      <c r="T19" s="1">
        <f ca="1">IFERROR(__xludf.DUMMYFUNCTION("""COMPUTED_VALUE"""),294)</f>
        <v>294</v>
      </c>
      <c r="U19" s="1">
        <f ca="1">IFERROR(__xludf.DUMMYFUNCTION("""COMPUTED_VALUE"""),877)</f>
        <v>877</v>
      </c>
      <c r="V19" s="1">
        <f ca="1">IFERROR(__xludf.DUMMYFUNCTION("""COMPUTED_VALUE"""),0.335)</f>
        <v>0.33500000000000002</v>
      </c>
      <c r="W19" s="1">
        <f ca="1">IFERROR(__xludf.DUMMYFUNCTION("""COMPUTED_VALUE"""),455)</f>
        <v>455</v>
      </c>
      <c r="X19" s="1">
        <f ca="1">IFERROR(__xludf.DUMMYFUNCTION("""COMPUTED_VALUE"""),656)</f>
        <v>656</v>
      </c>
      <c r="Y19" s="1">
        <f ca="1">IFERROR(__xludf.DUMMYFUNCTION("""COMPUTED_VALUE"""),0.694)</f>
        <v>0.69399999999999995</v>
      </c>
      <c r="Z19" s="1">
        <f ca="1">IFERROR(__xludf.DUMMYFUNCTION("""COMPUTED_VALUE"""),408)</f>
        <v>408</v>
      </c>
      <c r="AA19" s="1">
        <f ca="1">IFERROR(__xludf.DUMMYFUNCTION("""COMPUTED_VALUE"""),1338)</f>
        <v>1338</v>
      </c>
      <c r="AB19" s="1">
        <f ca="1">IFERROR(__xludf.DUMMYFUNCTION("""COMPUTED_VALUE"""),501)</f>
        <v>501</v>
      </c>
      <c r="AC19" s="1">
        <f ca="1">IFERROR(__xludf.DUMMYFUNCTION("""COMPUTED_VALUE"""),163)</f>
        <v>163</v>
      </c>
      <c r="AD19" s="1">
        <f ca="1">IFERROR(__xludf.DUMMYFUNCTION("""COMPUTED_VALUE"""),123)</f>
        <v>123</v>
      </c>
      <c r="AE19" s="1">
        <f ca="1">IFERROR(__xludf.DUMMYFUNCTION("""COMPUTED_VALUE"""),448)</f>
        <v>448</v>
      </c>
      <c r="AF19" s="1">
        <f ca="1">IFERROR(__xludf.DUMMYFUNCTION("""COMPUTED_VALUE"""),628)</f>
        <v>628</v>
      </c>
    </row>
    <row r="20" spans="1:32" ht="12.5" x14ac:dyDescent="0.25">
      <c r="A20" s="1" t="str">
        <f ca="1">IFERROR(__xludf.DUMMYFUNCTION("""COMPUTED_VALUE"""),"Auburn")</f>
        <v>Auburn</v>
      </c>
      <c r="B20" s="1">
        <f ca="1">IFERROR(__xludf.DUMMYFUNCTION("""COMPUTED_VALUE"""),31)</f>
        <v>31</v>
      </c>
      <c r="C20" s="1">
        <f ca="1">IFERROR(__xludf.DUMMYFUNCTION("""COMPUTED_VALUE"""),11)</f>
        <v>11</v>
      </c>
      <c r="D20" s="1">
        <f ca="1">IFERROR(__xludf.DUMMYFUNCTION("""COMPUTED_VALUE"""),20)</f>
        <v>20</v>
      </c>
      <c r="E20" s="1">
        <f ca="1">IFERROR(__xludf.DUMMYFUNCTION("""COMPUTED_VALUE"""),0.355)</f>
        <v>0.35499999999999998</v>
      </c>
      <c r="F20" s="1">
        <f ca="1">IFERROR(__xludf.DUMMYFUNCTION("""COMPUTED_VALUE"""),0.15)</f>
        <v>0.15</v>
      </c>
      <c r="G20" s="1">
        <f ca="1">IFERROR(__xludf.DUMMYFUNCTION("""COMPUTED_VALUE"""),7.54)</f>
        <v>7.54</v>
      </c>
      <c r="H20" s="1">
        <f ca="1">IFERROR(__xludf.DUMMYFUNCTION("""COMPUTED_VALUE"""),5)</f>
        <v>5</v>
      </c>
      <c r="I20" s="1">
        <f ca="1">IFERROR(__xludf.DUMMYFUNCTION("""COMPUTED_VALUE"""),13)</f>
        <v>13</v>
      </c>
      <c r="J20" s="1">
        <f ca="1">IFERROR(__xludf.DUMMYFUNCTION("""COMPUTED_VALUE"""),8)</f>
        <v>8</v>
      </c>
      <c r="K20" s="1">
        <f ca="1">IFERROR(__xludf.DUMMYFUNCTION("""COMPUTED_VALUE"""),7)</f>
        <v>7</v>
      </c>
      <c r="L20" s="1">
        <f ca="1">IFERROR(__xludf.DUMMYFUNCTION("""COMPUTED_VALUE"""),2)</f>
        <v>2</v>
      </c>
      <c r="M20" s="1">
        <f ca="1">IFERROR(__xludf.DUMMYFUNCTION("""COMPUTED_VALUE"""),11)</f>
        <v>11</v>
      </c>
      <c r="N20" s="1">
        <f ca="1">IFERROR(__xludf.DUMMYFUNCTION("""COMPUTED_VALUE"""),2192)</f>
        <v>2192</v>
      </c>
      <c r="O20" s="1">
        <f ca="1">IFERROR(__xludf.DUMMYFUNCTION("""COMPUTED_VALUE"""),2421)</f>
        <v>2421</v>
      </c>
      <c r="P20" s="1">
        <f ca="1">IFERROR(__xludf.DUMMYFUNCTION("""COMPUTED_VALUE"""),1245)</f>
        <v>1245</v>
      </c>
      <c r="Q20" s="1">
        <f ca="1">IFERROR(__xludf.DUMMYFUNCTION("""COMPUTED_VALUE"""),724)</f>
        <v>724</v>
      </c>
      <c r="R20" s="1">
        <f ca="1">IFERROR(__xludf.DUMMYFUNCTION("""COMPUTED_VALUE"""),1820)</f>
        <v>1820</v>
      </c>
      <c r="S20" s="1">
        <f ca="1">IFERROR(__xludf.DUMMYFUNCTION("""COMPUTED_VALUE"""),0.398)</f>
        <v>0.39800000000000002</v>
      </c>
      <c r="T20" s="1">
        <f ca="1">IFERROR(__xludf.DUMMYFUNCTION("""COMPUTED_VALUE"""),272)</f>
        <v>272</v>
      </c>
      <c r="U20" s="1">
        <f ca="1">IFERROR(__xludf.DUMMYFUNCTION("""COMPUTED_VALUE"""),799)</f>
        <v>799</v>
      </c>
      <c r="V20" s="1">
        <f ca="1">IFERROR(__xludf.DUMMYFUNCTION("""COMPUTED_VALUE"""),0.34)</f>
        <v>0.34</v>
      </c>
      <c r="W20" s="1">
        <f ca="1">IFERROR(__xludf.DUMMYFUNCTION("""COMPUTED_VALUE"""),472)</f>
        <v>472</v>
      </c>
      <c r="X20" s="1">
        <f ca="1">IFERROR(__xludf.DUMMYFUNCTION("""COMPUTED_VALUE"""),746)</f>
        <v>746</v>
      </c>
      <c r="Y20" s="1">
        <f ca="1">IFERROR(__xludf.DUMMYFUNCTION("""COMPUTED_VALUE"""),0.633)</f>
        <v>0.63300000000000001</v>
      </c>
      <c r="Z20" s="1">
        <f ca="1">IFERROR(__xludf.DUMMYFUNCTION("""COMPUTED_VALUE"""),346)</f>
        <v>346</v>
      </c>
      <c r="AA20" s="1">
        <f ca="1">IFERROR(__xludf.DUMMYFUNCTION("""COMPUTED_VALUE"""),1134)</f>
        <v>1134</v>
      </c>
      <c r="AB20" s="1">
        <f ca="1">IFERROR(__xludf.DUMMYFUNCTION("""COMPUTED_VALUE"""),352)</f>
        <v>352</v>
      </c>
      <c r="AC20" s="1">
        <f ca="1">IFERROR(__xludf.DUMMYFUNCTION("""COMPUTED_VALUE"""),166)</f>
        <v>166</v>
      </c>
      <c r="AD20" s="1">
        <f ca="1">IFERROR(__xludf.DUMMYFUNCTION("""COMPUTED_VALUE"""),126)</f>
        <v>126</v>
      </c>
      <c r="AE20" s="1">
        <f ca="1">IFERROR(__xludf.DUMMYFUNCTION("""COMPUTED_VALUE"""),428)</f>
        <v>428</v>
      </c>
      <c r="AF20" s="1">
        <f ca="1">IFERROR(__xludf.DUMMYFUNCTION("""COMPUTED_VALUE"""),658)</f>
        <v>658</v>
      </c>
    </row>
    <row r="21" spans="1:32" ht="12.5" x14ac:dyDescent="0.25">
      <c r="A21" s="1" t="str">
        <f ca="1">IFERROR(__xludf.DUMMYFUNCTION("""COMPUTED_VALUE"""),"Austin PeayNCAA")</f>
        <v>Austin PeayNCAA</v>
      </c>
      <c r="B21" s="1">
        <f ca="1">IFERROR(__xludf.DUMMYFUNCTION("""COMPUTED_VALUE"""),36)</f>
        <v>36</v>
      </c>
      <c r="C21" s="1">
        <f ca="1">IFERROR(__xludf.DUMMYFUNCTION("""COMPUTED_VALUE"""),18)</f>
        <v>18</v>
      </c>
      <c r="D21" s="1">
        <f ca="1">IFERROR(__xludf.DUMMYFUNCTION("""COMPUTED_VALUE"""),18)</f>
        <v>18</v>
      </c>
      <c r="E21" s="1">
        <f ca="1">IFERROR(__xludf.DUMMYFUNCTION("""COMPUTED_VALUE"""),0.5)</f>
        <v>0.5</v>
      </c>
      <c r="F21" s="1">
        <f ca="1">IFERROR(__xludf.DUMMYFUNCTION("""COMPUTED_VALUE"""),-6.04)</f>
        <v>-6.04</v>
      </c>
      <c r="G21" s="1">
        <f ca="1">IFERROR(__xludf.DUMMYFUNCTION("""COMPUTED_VALUE"""),-2.98)</f>
        <v>-2.98</v>
      </c>
      <c r="H21" s="1">
        <f ca="1">IFERROR(__xludf.DUMMYFUNCTION("""COMPUTED_VALUE"""),7)</f>
        <v>7</v>
      </c>
      <c r="I21" s="1">
        <f ca="1">IFERROR(__xludf.DUMMYFUNCTION("""COMPUTED_VALUE"""),9)</f>
        <v>9</v>
      </c>
      <c r="J21" s="1">
        <f ca="1">IFERROR(__xludf.DUMMYFUNCTION("""COMPUTED_VALUE"""),7)</f>
        <v>7</v>
      </c>
      <c r="K21" s="1">
        <f ca="1">IFERROR(__xludf.DUMMYFUNCTION("""COMPUTED_VALUE"""),7)</f>
        <v>7</v>
      </c>
      <c r="L21" s="1">
        <f ca="1">IFERROR(__xludf.DUMMYFUNCTION("""COMPUTED_VALUE"""),7)</f>
        <v>7</v>
      </c>
      <c r="M21" s="1">
        <f ca="1">IFERROR(__xludf.DUMMYFUNCTION("""COMPUTED_VALUE"""),9)</f>
        <v>9</v>
      </c>
      <c r="N21" s="1">
        <f ca="1">IFERROR(__xludf.DUMMYFUNCTION("""COMPUTED_VALUE"""),2740)</f>
        <v>2740</v>
      </c>
      <c r="O21" s="1">
        <f ca="1">IFERROR(__xludf.DUMMYFUNCTION("""COMPUTED_VALUE"""),2765)</f>
        <v>2765</v>
      </c>
      <c r="P21" s="1">
        <f ca="1">IFERROR(__xludf.DUMMYFUNCTION("""COMPUTED_VALUE"""),1460)</f>
        <v>1460</v>
      </c>
      <c r="Q21" s="1">
        <f ca="1">IFERROR(__xludf.DUMMYFUNCTION("""COMPUTED_VALUE"""),945)</f>
        <v>945</v>
      </c>
      <c r="R21" s="1">
        <f ca="1">IFERROR(__xludf.DUMMYFUNCTION("""COMPUTED_VALUE"""),2049)</f>
        <v>2049</v>
      </c>
      <c r="S21" s="1">
        <f ca="1">IFERROR(__xludf.DUMMYFUNCTION("""COMPUTED_VALUE"""),0.461)</f>
        <v>0.46100000000000002</v>
      </c>
      <c r="T21" s="1">
        <f ca="1">IFERROR(__xludf.DUMMYFUNCTION("""COMPUTED_VALUE"""),223)</f>
        <v>223</v>
      </c>
      <c r="U21" s="1">
        <f ca="1">IFERROR(__xludf.DUMMYFUNCTION("""COMPUTED_VALUE"""),645)</f>
        <v>645</v>
      </c>
      <c r="V21" s="1">
        <f ca="1">IFERROR(__xludf.DUMMYFUNCTION("""COMPUTED_VALUE"""),0.346)</f>
        <v>0.34599999999999997</v>
      </c>
      <c r="W21" s="1">
        <f ca="1">IFERROR(__xludf.DUMMYFUNCTION("""COMPUTED_VALUE"""),627)</f>
        <v>627</v>
      </c>
      <c r="X21" s="1">
        <f ca="1">IFERROR(__xludf.DUMMYFUNCTION("""COMPUTED_VALUE"""),936)</f>
        <v>936</v>
      </c>
      <c r="Y21" s="1">
        <f ca="1">IFERROR(__xludf.DUMMYFUNCTION("""COMPUTED_VALUE"""),0.67)</f>
        <v>0.67</v>
      </c>
      <c r="Z21" s="1">
        <f ca="1">IFERROR(__xludf.DUMMYFUNCTION("""COMPUTED_VALUE"""),422)</f>
        <v>422</v>
      </c>
      <c r="AA21" s="1">
        <f ca="1">IFERROR(__xludf.DUMMYFUNCTION("""COMPUTED_VALUE"""),1326)</f>
        <v>1326</v>
      </c>
      <c r="AB21" s="1">
        <f ca="1">IFERROR(__xludf.DUMMYFUNCTION("""COMPUTED_VALUE"""),479)</f>
        <v>479</v>
      </c>
      <c r="AC21" s="1">
        <f ca="1">IFERROR(__xludf.DUMMYFUNCTION("""COMPUTED_VALUE"""),250)</f>
        <v>250</v>
      </c>
      <c r="AD21" s="1">
        <f ca="1">IFERROR(__xludf.DUMMYFUNCTION("""COMPUTED_VALUE"""),101)</f>
        <v>101</v>
      </c>
      <c r="AE21" s="1">
        <f ca="1">IFERROR(__xludf.DUMMYFUNCTION("""COMPUTED_VALUE"""),502)</f>
        <v>502</v>
      </c>
      <c r="AF21" s="1">
        <f ca="1">IFERROR(__xludf.DUMMYFUNCTION("""COMPUTED_VALUE"""),633)</f>
        <v>633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IFERROR(__xludf.DUMMYFUNCTION("""COMPUTED_VALUE"""),"Ball State")</f>
        <v>Ball State</v>
      </c>
      <c r="B24" s="1">
        <f ca="1">IFERROR(__xludf.DUMMYFUNCTION("""COMPUTED_VALUE"""),35)</f>
        <v>35</v>
      </c>
      <c r="C24" s="1">
        <f ca="1">IFERROR(__xludf.DUMMYFUNCTION("""COMPUTED_VALUE"""),21)</f>
        <v>21</v>
      </c>
      <c r="D24" s="1">
        <f ca="1">IFERROR(__xludf.DUMMYFUNCTION("""COMPUTED_VALUE"""),14)</f>
        <v>14</v>
      </c>
      <c r="E24" s="1">
        <f ca="1">IFERROR(__xludf.DUMMYFUNCTION("""COMPUTED_VALUE"""),0.6)</f>
        <v>0.6</v>
      </c>
      <c r="F24" s="1">
        <f ca="1">IFERROR(__xludf.DUMMYFUNCTION("""COMPUTED_VALUE"""),0.11)</f>
        <v>0.11</v>
      </c>
      <c r="G24" s="1">
        <f ca="1">IFERROR(__xludf.DUMMYFUNCTION("""COMPUTED_VALUE"""),-2.98)</f>
        <v>-2.98</v>
      </c>
      <c r="H24" s="1">
        <f ca="1">IFERROR(__xludf.DUMMYFUNCTION("""COMPUTED_VALUE"""),10)</f>
        <v>10</v>
      </c>
      <c r="I24" s="1">
        <f ca="1">IFERROR(__xludf.DUMMYFUNCTION("""COMPUTED_VALUE"""),8)</f>
        <v>8</v>
      </c>
      <c r="J24" s="1">
        <f ca="1">IFERROR(__xludf.DUMMYFUNCTION("""COMPUTED_VALUE"""),13)</f>
        <v>13</v>
      </c>
      <c r="K24" s="1">
        <f ca="1">IFERROR(__xludf.DUMMYFUNCTION("""COMPUTED_VALUE"""),6)</f>
        <v>6</v>
      </c>
      <c r="L24" s="1">
        <f ca="1">IFERROR(__xludf.DUMMYFUNCTION("""COMPUTED_VALUE"""),6)</f>
        <v>6</v>
      </c>
      <c r="M24" s="1">
        <f ca="1">IFERROR(__xludf.DUMMYFUNCTION("""COMPUTED_VALUE"""),8)</f>
        <v>8</v>
      </c>
      <c r="N24" s="1">
        <f ca="1">IFERROR(__xludf.DUMMYFUNCTION("""COMPUTED_VALUE"""),2479)</f>
        <v>2479</v>
      </c>
      <c r="O24" s="1">
        <f ca="1">IFERROR(__xludf.DUMMYFUNCTION("""COMPUTED_VALUE"""),2338)</f>
        <v>2338</v>
      </c>
      <c r="P24" s="1">
        <f ca="1">IFERROR(__xludf.DUMMYFUNCTION("""COMPUTED_VALUE"""),1430)</f>
        <v>1430</v>
      </c>
      <c r="Q24" s="1">
        <f ca="1">IFERROR(__xludf.DUMMYFUNCTION("""COMPUTED_VALUE"""),855)</f>
        <v>855</v>
      </c>
      <c r="R24" s="1">
        <f ca="1">IFERROR(__xludf.DUMMYFUNCTION("""COMPUTED_VALUE"""),1919)</f>
        <v>1919</v>
      </c>
      <c r="S24" s="1">
        <f ca="1">IFERROR(__xludf.DUMMYFUNCTION("""COMPUTED_VALUE"""),0.446)</f>
        <v>0.44600000000000001</v>
      </c>
      <c r="T24" s="1">
        <f ca="1">IFERROR(__xludf.DUMMYFUNCTION("""COMPUTED_VALUE"""),305)</f>
        <v>305</v>
      </c>
      <c r="U24" s="1">
        <f ca="1">IFERROR(__xludf.DUMMYFUNCTION("""COMPUTED_VALUE"""),818)</f>
        <v>818</v>
      </c>
      <c r="V24" s="1">
        <f ca="1">IFERROR(__xludf.DUMMYFUNCTION("""COMPUTED_VALUE"""),0.373)</f>
        <v>0.373</v>
      </c>
      <c r="W24" s="1">
        <f ca="1">IFERROR(__xludf.DUMMYFUNCTION("""COMPUTED_VALUE"""),464)</f>
        <v>464</v>
      </c>
      <c r="X24" s="1">
        <f ca="1">IFERROR(__xludf.DUMMYFUNCTION("""COMPUTED_VALUE"""),670)</f>
        <v>670</v>
      </c>
      <c r="Y24" s="1">
        <f ca="1">IFERROR(__xludf.DUMMYFUNCTION("""COMPUTED_VALUE"""),0.693)</f>
        <v>0.69299999999999995</v>
      </c>
      <c r="Z24" s="1">
        <f ca="1">IFERROR(__xludf.DUMMYFUNCTION("""COMPUTED_VALUE"""),330)</f>
        <v>330</v>
      </c>
      <c r="AA24" s="1">
        <f ca="1">IFERROR(__xludf.DUMMYFUNCTION("""COMPUTED_VALUE"""),1275)</f>
        <v>1275</v>
      </c>
      <c r="AB24" s="1">
        <f ca="1">IFERROR(__xludf.DUMMYFUNCTION("""COMPUTED_VALUE"""),512)</f>
        <v>512</v>
      </c>
      <c r="AC24" s="1">
        <f ca="1">IFERROR(__xludf.DUMMYFUNCTION("""COMPUTED_VALUE"""),191)</f>
        <v>191</v>
      </c>
      <c r="AD24" s="1">
        <f ca="1">IFERROR(__xludf.DUMMYFUNCTION("""COMPUTED_VALUE"""),126)</f>
        <v>126</v>
      </c>
      <c r="AE24" s="1">
        <f ca="1">IFERROR(__xludf.DUMMYFUNCTION("""COMPUTED_VALUE"""),465)</f>
        <v>465</v>
      </c>
      <c r="AF24" s="1">
        <f ca="1">IFERROR(__xludf.DUMMYFUNCTION("""COMPUTED_VALUE"""),665)</f>
        <v>665</v>
      </c>
    </row>
    <row r="25" spans="1:32" ht="12.5" x14ac:dyDescent="0.25">
      <c r="A25" s="1" t="str">
        <f ca="1">IFERROR(__xludf.DUMMYFUNCTION("""COMPUTED_VALUE"""),"BaylorNCAA")</f>
        <v>BaylorNCAA</v>
      </c>
      <c r="B25" s="1">
        <f ca="1">IFERROR(__xludf.DUMMYFUNCTION("""COMPUTED_VALUE"""),34)</f>
        <v>34</v>
      </c>
      <c r="C25" s="1">
        <f ca="1">IFERROR(__xludf.DUMMYFUNCTION("""COMPUTED_VALUE"""),22)</f>
        <v>22</v>
      </c>
      <c r="D25" s="1">
        <f ca="1">IFERROR(__xludf.DUMMYFUNCTION("""COMPUTED_VALUE"""),12)</f>
        <v>12</v>
      </c>
      <c r="E25" s="1">
        <f ca="1">IFERROR(__xludf.DUMMYFUNCTION("""COMPUTED_VALUE"""),0.647)</f>
        <v>0.64700000000000002</v>
      </c>
      <c r="F25" s="1">
        <f ca="1">IFERROR(__xludf.DUMMYFUNCTION("""COMPUTED_VALUE"""),16.13)</f>
        <v>16.13</v>
      </c>
      <c r="G25" s="1">
        <f ca="1">IFERROR(__xludf.DUMMYFUNCTION("""COMPUTED_VALUE"""),9.76)</f>
        <v>9.76</v>
      </c>
      <c r="H25" s="1">
        <f ca="1">IFERROR(__xludf.DUMMYFUNCTION("""COMPUTED_VALUE"""),10)</f>
        <v>10</v>
      </c>
      <c r="I25" s="1">
        <f ca="1">IFERROR(__xludf.DUMMYFUNCTION("""COMPUTED_VALUE"""),8)</f>
        <v>8</v>
      </c>
      <c r="J25" s="1">
        <f ca="1">IFERROR(__xludf.DUMMYFUNCTION("""COMPUTED_VALUE"""),15)</f>
        <v>15</v>
      </c>
      <c r="K25" s="1">
        <f ca="1">IFERROR(__xludf.DUMMYFUNCTION("""COMPUTED_VALUE"""),5)</f>
        <v>5</v>
      </c>
      <c r="L25" s="1">
        <f ca="1">IFERROR(__xludf.DUMMYFUNCTION("""COMPUTED_VALUE"""),6)</f>
        <v>6</v>
      </c>
      <c r="M25" s="1">
        <f ca="1">IFERROR(__xludf.DUMMYFUNCTION("""COMPUTED_VALUE"""),5)</f>
        <v>5</v>
      </c>
      <c r="N25" s="1">
        <f ca="1">IFERROR(__xludf.DUMMYFUNCTION("""COMPUTED_VALUE"""),2621)</f>
        <v>2621</v>
      </c>
      <c r="O25" s="1">
        <f ca="1">IFERROR(__xludf.DUMMYFUNCTION("""COMPUTED_VALUE"""),2366)</f>
        <v>2366</v>
      </c>
      <c r="P25" s="1">
        <f ca="1">IFERROR(__xludf.DUMMYFUNCTION("""COMPUTED_VALUE"""),1375)</f>
        <v>1375</v>
      </c>
      <c r="Q25" s="1">
        <f ca="1">IFERROR(__xludf.DUMMYFUNCTION("""COMPUTED_VALUE"""),933)</f>
        <v>933</v>
      </c>
      <c r="R25" s="1">
        <f ca="1">IFERROR(__xludf.DUMMYFUNCTION("""COMPUTED_VALUE"""),2003)</f>
        <v>2003</v>
      </c>
      <c r="S25" s="1">
        <f ca="1">IFERROR(__xludf.DUMMYFUNCTION("""COMPUTED_VALUE"""),0.466)</f>
        <v>0.46600000000000003</v>
      </c>
      <c r="T25" s="1">
        <f ca="1">IFERROR(__xludf.DUMMYFUNCTION("""COMPUTED_VALUE"""),210)</f>
        <v>210</v>
      </c>
      <c r="U25" s="1">
        <f ca="1">IFERROR(__xludf.DUMMYFUNCTION("""COMPUTED_VALUE"""),572)</f>
        <v>572</v>
      </c>
      <c r="V25" s="1">
        <f ca="1">IFERROR(__xludf.DUMMYFUNCTION("""COMPUTED_VALUE"""),0.367)</f>
        <v>0.36699999999999999</v>
      </c>
      <c r="W25" s="1">
        <f ca="1">IFERROR(__xludf.DUMMYFUNCTION("""COMPUTED_VALUE"""),545)</f>
        <v>545</v>
      </c>
      <c r="X25" s="1">
        <f ca="1">IFERROR(__xludf.DUMMYFUNCTION("""COMPUTED_VALUE"""),752)</f>
        <v>752</v>
      </c>
      <c r="Y25" s="1">
        <f ca="1">IFERROR(__xludf.DUMMYFUNCTION("""COMPUTED_VALUE"""),0.725)</f>
        <v>0.72499999999999998</v>
      </c>
      <c r="Z25" s="1">
        <f ca="1">IFERROR(__xludf.DUMMYFUNCTION("""COMPUTED_VALUE"""),467)</f>
        <v>467</v>
      </c>
      <c r="AA25" s="1">
        <f ca="1">IFERROR(__xludf.DUMMYFUNCTION("""COMPUTED_VALUE"""),1267)</f>
        <v>1267</v>
      </c>
      <c r="AB25" s="1">
        <f ca="1">IFERROR(__xludf.DUMMYFUNCTION("""COMPUTED_VALUE"""),603)</f>
        <v>603</v>
      </c>
      <c r="AC25" s="1">
        <f ca="1">IFERROR(__xludf.DUMMYFUNCTION("""COMPUTED_VALUE"""),269)</f>
        <v>269</v>
      </c>
      <c r="AD25" s="1">
        <f ca="1">IFERROR(__xludf.DUMMYFUNCTION("""COMPUTED_VALUE"""),135)</f>
        <v>135</v>
      </c>
      <c r="AE25" s="1">
        <f ca="1">IFERROR(__xludf.DUMMYFUNCTION("""COMPUTED_VALUE"""),432)</f>
        <v>432</v>
      </c>
      <c r="AF25" s="1">
        <f ca="1">IFERROR(__xludf.DUMMYFUNCTION("""COMPUTED_VALUE"""),660)</f>
        <v>660</v>
      </c>
    </row>
    <row r="26" spans="1:32" ht="12.5" x14ac:dyDescent="0.25">
      <c r="A26" s="1" t="str">
        <f ca="1">IFERROR(__xludf.DUMMYFUNCTION("""COMPUTED_VALUE"""),"Belmont")</f>
        <v>Belmont</v>
      </c>
      <c r="B26" s="1">
        <f ca="1">IFERROR(__xludf.DUMMYFUNCTION("""COMPUTED_VALUE"""),32)</f>
        <v>32</v>
      </c>
      <c r="C26" s="1">
        <f ca="1">IFERROR(__xludf.DUMMYFUNCTION("""COMPUTED_VALUE"""),20)</f>
        <v>20</v>
      </c>
      <c r="D26" s="1">
        <f ca="1">IFERROR(__xludf.DUMMYFUNCTION("""COMPUTED_VALUE"""),12)</f>
        <v>12</v>
      </c>
      <c r="E26" s="1">
        <f ca="1">IFERROR(__xludf.DUMMYFUNCTION("""COMPUTED_VALUE"""),0.625)</f>
        <v>0.625</v>
      </c>
      <c r="F26" s="1">
        <f ca="1">IFERROR(__xludf.DUMMYFUNCTION("""COMPUTED_VALUE"""),1.19)</f>
        <v>1.19</v>
      </c>
      <c r="G26" s="1">
        <f ca="1">IFERROR(__xludf.DUMMYFUNCTION("""COMPUTED_VALUE"""),-2.1)</f>
        <v>-2.1</v>
      </c>
      <c r="H26" s="1">
        <f ca="1">IFERROR(__xludf.DUMMYFUNCTION("""COMPUTED_VALUE"""),12)</f>
        <v>12</v>
      </c>
      <c r="I26" s="1">
        <f ca="1">IFERROR(__xludf.DUMMYFUNCTION("""COMPUTED_VALUE"""),4)</f>
        <v>4</v>
      </c>
      <c r="J26" s="1">
        <f ca="1">IFERROR(__xludf.DUMMYFUNCTION("""COMPUTED_VALUE"""),11)</f>
        <v>11</v>
      </c>
      <c r="K26" s="1">
        <f ca="1">IFERROR(__xludf.DUMMYFUNCTION("""COMPUTED_VALUE"""),1)</f>
        <v>1</v>
      </c>
      <c r="L26" s="1">
        <f ca="1">IFERROR(__xludf.DUMMYFUNCTION("""COMPUTED_VALUE"""),8)</f>
        <v>8</v>
      </c>
      <c r="M26" s="1">
        <f ca="1">IFERROR(__xludf.DUMMYFUNCTION("""COMPUTED_VALUE"""),10)</f>
        <v>10</v>
      </c>
      <c r="N26" s="1">
        <f ca="1">IFERROR(__xludf.DUMMYFUNCTION("""COMPUTED_VALUE"""),2638)</f>
        <v>2638</v>
      </c>
      <c r="O26" s="1">
        <f ca="1">IFERROR(__xludf.DUMMYFUNCTION("""COMPUTED_VALUE"""),2510)</f>
        <v>2510</v>
      </c>
      <c r="P26" s="1">
        <f ca="1">IFERROR(__xludf.DUMMYFUNCTION("""COMPUTED_VALUE"""),1285)</f>
        <v>1285</v>
      </c>
      <c r="Q26" s="1">
        <f ca="1">IFERROR(__xludf.DUMMYFUNCTION("""COMPUTED_VALUE"""),914)</f>
        <v>914</v>
      </c>
      <c r="R26" s="1">
        <f ca="1">IFERROR(__xludf.DUMMYFUNCTION("""COMPUTED_VALUE"""),1849)</f>
        <v>1849</v>
      </c>
      <c r="S26" s="1">
        <f ca="1">IFERROR(__xludf.DUMMYFUNCTION("""COMPUTED_VALUE"""),0.494)</f>
        <v>0.49399999999999999</v>
      </c>
      <c r="T26" s="1">
        <f ca="1">IFERROR(__xludf.DUMMYFUNCTION("""COMPUTED_VALUE"""),338)</f>
        <v>338</v>
      </c>
      <c r="U26" s="1">
        <f ca="1">IFERROR(__xludf.DUMMYFUNCTION("""COMPUTED_VALUE"""),931)</f>
        <v>931</v>
      </c>
      <c r="V26" s="1">
        <f ca="1">IFERROR(__xludf.DUMMYFUNCTION("""COMPUTED_VALUE"""),0.363)</f>
        <v>0.36299999999999999</v>
      </c>
      <c r="W26" s="1">
        <f ca="1">IFERROR(__xludf.DUMMYFUNCTION("""COMPUTED_VALUE"""),472)</f>
        <v>472</v>
      </c>
      <c r="X26" s="1">
        <f ca="1">IFERROR(__xludf.DUMMYFUNCTION("""COMPUTED_VALUE"""),650)</f>
        <v>650</v>
      </c>
      <c r="Y26" s="1">
        <f ca="1">IFERROR(__xludf.DUMMYFUNCTION("""COMPUTED_VALUE"""),0.726)</f>
        <v>0.72599999999999998</v>
      </c>
      <c r="Z26" s="1">
        <f ca="1">IFERROR(__xludf.DUMMYFUNCTION("""COMPUTED_VALUE"""),271)</f>
        <v>271</v>
      </c>
      <c r="AA26" s="1">
        <f ca="1">IFERROR(__xludf.DUMMYFUNCTION("""COMPUTED_VALUE"""),1105)</f>
        <v>1105</v>
      </c>
      <c r="AB26" s="1">
        <f ca="1">IFERROR(__xludf.DUMMYFUNCTION("""COMPUTED_VALUE"""),544)</f>
        <v>544</v>
      </c>
      <c r="AC26" s="1">
        <f ca="1">IFERROR(__xludf.DUMMYFUNCTION("""COMPUTED_VALUE"""),145)</f>
        <v>145</v>
      </c>
      <c r="AD26" s="1">
        <f ca="1">IFERROR(__xludf.DUMMYFUNCTION("""COMPUTED_VALUE"""),81)</f>
        <v>81</v>
      </c>
      <c r="AE26" s="1">
        <f ca="1">IFERROR(__xludf.DUMMYFUNCTION("""COMPUTED_VALUE"""),450)</f>
        <v>450</v>
      </c>
      <c r="AF26" s="1">
        <f ca="1">IFERROR(__xludf.DUMMYFUNCTION("""COMPUTED_VALUE"""),639)</f>
        <v>639</v>
      </c>
    </row>
    <row r="27" spans="1:32" ht="12.5" x14ac:dyDescent="0.25">
      <c r="A27" s="1" t="str">
        <f ca="1">IFERROR(__xludf.DUMMYFUNCTION("""COMPUTED_VALUE"""),"Bethune-Cookman")</f>
        <v>Bethune-Cookman</v>
      </c>
      <c r="B27" s="1">
        <f ca="1">IFERROR(__xludf.DUMMYFUNCTION("""COMPUTED_VALUE"""),32)</f>
        <v>32</v>
      </c>
      <c r="C27" s="1">
        <f ca="1">IFERROR(__xludf.DUMMYFUNCTION("""COMPUTED_VALUE"""),14)</f>
        <v>14</v>
      </c>
      <c r="D27" s="1">
        <f ca="1">IFERROR(__xludf.DUMMYFUNCTION("""COMPUTED_VALUE"""),18)</f>
        <v>18</v>
      </c>
      <c r="E27" s="1">
        <f ca="1">IFERROR(__xludf.DUMMYFUNCTION("""COMPUTED_VALUE"""),0.438)</f>
        <v>0.438</v>
      </c>
      <c r="F27" s="1">
        <f ca="1">IFERROR(__xludf.DUMMYFUNCTION("""COMPUTED_VALUE"""),-14.35)</f>
        <v>-14.35</v>
      </c>
      <c r="G27" s="1">
        <f ca="1">IFERROR(__xludf.DUMMYFUNCTION("""COMPUTED_VALUE"""),-9.18)</f>
        <v>-9.18</v>
      </c>
      <c r="H27" s="1">
        <f ca="1">IFERROR(__xludf.DUMMYFUNCTION("""COMPUTED_VALUE"""),10)</f>
        <v>10</v>
      </c>
      <c r="I27" s="1">
        <f ca="1">IFERROR(__xludf.DUMMYFUNCTION("""COMPUTED_VALUE"""),6)</f>
        <v>6</v>
      </c>
      <c r="J27" s="1">
        <f ca="1">IFERROR(__xludf.DUMMYFUNCTION("""COMPUTED_VALUE"""),9)</f>
        <v>9</v>
      </c>
      <c r="K27" s="1">
        <f ca="1">IFERROR(__xludf.DUMMYFUNCTION("""COMPUTED_VALUE"""),2)</f>
        <v>2</v>
      </c>
      <c r="L27" s="1">
        <f ca="1">IFERROR(__xludf.DUMMYFUNCTION("""COMPUTED_VALUE"""),5)</f>
        <v>5</v>
      </c>
      <c r="M27" s="1">
        <f ca="1">IFERROR(__xludf.DUMMYFUNCTION("""COMPUTED_VALUE"""),13)</f>
        <v>13</v>
      </c>
      <c r="N27" s="1">
        <f ca="1">IFERROR(__xludf.DUMMYFUNCTION("""COMPUTED_VALUE"""),2258)</f>
        <v>2258</v>
      </c>
      <c r="O27" s="1">
        <f ca="1">IFERROR(__xludf.DUMMYFUNCTION("""COMPUTED_VALUE"""),2330)</f>
        <v>2330</v>
      </c>
      <c r="P27" s="1">
        <f ca="1">IFERROR(__xludf.DUMMYFUNCTION("""COMPUTED_VALUE"""),1295)</f>
        <v>1295</v>
      </c>
      <c r="Q27" s="1">
        <f ca="1">IFERROR(__xludf.DUMMYFUNCTION("""COMPUTED_VALUE"""),799)</f>
        <v>799</v>
      </c>
      <c r="R27" s="1">
        <f ca="1">IFERROR(__xludf.DUMMYFUNCTION("""COMPUTED_VALUE"""),1932)</f>
        <v>1932</v>
      </c>
      <c r="S27" s="1">
        <f ca="1">IFERROR(__xludf.DUMMYFUNCTION("""COMPUTED_VALUE"""),0.414)</f>
        <v>0.41399999999999998</v>
      </c>
      <c r="T27" s="1">
        <f ca="1">IFERROR(__xludf.DUMMYFUNCTION("""COMPUTED_VALUE"""),249)</f>
        <v>249</v>
      </c>
      <c r="U27" s="1">
        <f ca="1">IFERROR(__xludf.DUMMYFUNCTION("""COMPUTED_VALUE"""),787)</f>
        <v>787</v>
      </c>
      <c r="V27" s="1">
        <f ca="1">IFERROR(__xludf.DUMMYFUNCTION("""COMPUTED_VALUE"""),0.316)</f>
        <v>0.316</v>
      </c>
      <c r="W27" s="1">
        <f ca="1">IFERROR(__xludf.DUMMYFUNCTION("""COMPUTED_VALUE"""),411)</f>
        <v>411</v>
      </c>
      <c r="X27" s="1">
        <f ca="1">IFERROR(__xludf.DUMMYFUNCTION("""COMPUTED_VALUE"""),597)</f>
        <v>597</v>
      </c>
      <c r="Y27" s="1">
        <f ca="1">IFERROR(__xludf.DUMMYFUNCTION("""COMPUTED_VALUE"""),0.688)</f>
        <v>0.68799999999999994</v>
      </c>
      <c r="Z27" s="1">
        <f ca="1">IFERROR(__xludf.DUMMYFUNCTION("""COMPUTED_VALUE"""),407)</f>
        <v>407</v>
      </c>
      <c r="AA27" s="1">
        <f ca="1">IFERROR(__xludf.DUMMYFUNCTION("""COMPUTED_VALUE"""),1186)</f>
        <v>1186</v>
      </c>
      <c r="AB27" s="1">
        <f ca="1">IFERROR(__xludf.DUMMYFUNCTION("""COMPUTED_VALUE"""),371)</f>
        <v>371</v>
      </c>
      <c r="AC27" s="1">
        <f ca="1">IFERROR(__xludf.DUMMYFUNCTION("""COMPUTED_VALUE"""),197)</f>
        <v>197</v>
      </c>
      <c r="AD27" s="1">
        <f ca="1">IFERROR(__xludf.DUMMYFUNCTION("""COMPUTED_VALUE"""),191)</f>
        <v>191</v>
      </c>
      <c r="AE27" s="1">
        <f ca="1">IFERROR(__xludf.DUMMYFUNCTION("""COMPUTED_VALUE"""),415)</f>
        <v>415</v>
      </c>
      <c r="AF27" s="1">
        <f ca="1">IFERROR(__xludf.DUMMYFUNCTION("""COMPUTED_VALUE"""),601)</f>
        <v>601</v>
      </c>
    </row>
    <row r="28" spans="1:32" ht="12.5" x14ac:dyDescent="0.25">
      <c r="A28" s="1" t="str">
        <f ca="1">IFERROR(__xludf.DUMMYFUNCTION("""COMPUTED_VALUE"""),"Binghamton")</f>
        <v>Binghamton</v>
      </c>
      <c r="B28" s="1">
        <f ca="1">IFERROR(__xludf.DUMMYFUNCTION("""COMPUTED_VALUE"""),30)</f>
        <v>30</v>
      </c>
      <c r="C28" s="1">
        <f ca="1">IFERROR(__xludf.DUMMYFUNCTION("""COMPUTED_VALUE"""),8)</f>
        <v>8</v>
      </c>
      <c r="D28" s="1">
        <f ca="1">IFERROR(__xludf.DUMMYFUNCTION("""COMPUTED_VALUE"""),22)</f>
        <v>22</v>
      </c>
      <c r="E28" s="1">
        <f ca="1">IFERROR(__xludf.DUMMYFUNCTION("""COMPUTED_VALUE"""),0.267)</f>
        <v>0.26700000000000002</v>
      </c>
      <c r="F28" s="1">
        <f ca="1">IFERROR(__xludf.DUMMYFUNCTION("""COMPUTED_VALUE"""),-14.08)</f>
        <v>-14.08</v>
      </c>
      <c r="G28" s="1">
        <f ca="1">IFERROR(__xludf.DUMMYFUNCTION("""COMPUTED_VALUE"""),-6.35)</f>
        <v>-6.35</v>
      </c>
      <c r="H28" s="1">
        <f ca="1">IFERROR(__xludf.DUMMYFUNCTION("""COMPUTED_VALUE"""),5)</f>
        <v>5</v>
      </c>
      <c r="I28" s="1">
        <f ca="1">IFERROR(__xludf.DUMMYFUNCTION("""COMPUTED_VALUE"""),11)</f>
        <v>11</v>
      </c>
      <c r="J28" s="1">
        <f ca="1">IFERROR(__xludf.DUMMYFUNCTION("""COMPUTED_VALUE"""),5)</f>
        <v>5</v>
      </c>
      <c r="K28" s="1">
        <f ca="1">IFERROR(__xludf.DUMMYFUNCTION("""COMPUTED_VALUE"""),9)</f>
        <v>9</v>
      </c>
      <c r="L28" s="1">
        <f ca="1">IFERROR(__xludf.DUMMYFUNCTION("""COMPUTED_VALUE"""),3)</f>
        <v>3</v>
      </c>
      <c r="M28" s="1">
        <f ca="1">IFERROR(__xludf.DUMMYFUNCTION("""COMPUTED_VALUE"""),13)</f>
        <v>13</v>
      </c>
      <c r="N28" s="1">
        <f ca="1">IFERROR(__xludf.DUMMYFUNCTION("""COMPUTED_VALUE"""),1827)</f>
        <v>1827</v>
      </c>
      <c r="O28" s="1">
        <f ca="1">IFERROR(__xludf.DUMMYFUNCTION("""COMPUTED_VALUE"""),2059)</f>
        <v>2059</v>
      </c>
      <c r="P28" s="1">
        <f ca="1">IFERROR(__xludf.DUMMYFUNCTION("""COMPUTED_VALUE"""),1205)</f>
        <v>1205</v>
      </c>
      <c r="Q28" s="1">
        <f ca="1">IFERROR(__xludf.DUMMYFUNCTION("""COMPUTED_VALUE"""),629)</f>
        <v>629</v>
      </c>
      <c r="R28" s="1">
        <f ca="1">IFERROR(__xludf.DUMMYFUNCTION("""COMPUTED_VALUE"""),1614)</f>
        <v>1614</v>
      </c>
      <c r="S28" s="1">
        <f ca="1">IFERROR(__xludf.DUMMYFUNCTION("""COMPUTED_VALUE"""),0.39)</f>
        <v>0.39</v>
      </c>
      <c r="T28" s="1">
        <f ca="1">IFERROR(__xludf.DUMMYFUNCTION("""COMPUTED_VALUE"""),171)</f>
        <v>171</v>
      </c>
      <c r="U28" s="1">
        <f ca="1">IFERROR(__xludf.DUMMYFUNCTION("""COMPUTED_VALUE"""),599)</f>
        <v>599</v>
      </c>
      <c r="V28" s="1">
        <f ca="1">IFERROR(__xludf.DUMMYFUNCTION("""COMPUTED_VALUE"""),0.285)</f>
        <v>0.28499999999999998</v>
      </c>
      <c r="W28" s="1">
        <f ca="1">IFERROR(__xludf.DUMMYFUNCTION("""COMPUTED_VALUE"""),398)</f>
        <v>398</v>
      </c>
      <c r="X28" s="1">
        <f ca="1">IFERROR(__xludf.DUMMYFUNCTION("""COMPUTED_VALUE"""),584)</f>
        <v>584</v>
      </c>
      <c r="Y28" s="1">
        <f ca="1">IFERROR(__xludf.DUMMYFUNCTION("""COMPUTED_VALUE"""),0.682)</f>
        <v>0.68200000000000005</v>
      </c>
      <c r="Z28" s="1">
        <f ca="1">IFERROR(__xludf.DUMMYFUNCTION("""COMPUTED_VALUE"""),273)</f>
        <v>273</v>
      </c>
      <c r="AA28" s="1">
        <f ca="1">IFERROR(__xludf.DUMMYFUNCTION("""COMPUTED_VALUE"""),1023)</f>
        <v>1023</v>
      </c>
      <c r="AB28" s="1">
        <f ca="1">IFERROR(__xludf.DUMMYFUNCTION("""COMPUTED_VALUE"""),333)</f>
        <v>333</v>
      </c>
      <c r="AC28" s="1">
        <f ca="1">IFERROR(__xludf.DUMMYFUNCTION("""COMPUTED_VALUE"""),161)</f>
        <v>161</v>
      </c>
      <c r="AD28" s="1">
        <f ca="1">IFERROR(__xludf.DUMMYFUNCTION("""COMPUTED_VALUE"""),68)</f>
        <v>68</v>
      </c>
      <c r="AE28" s="1">
        <f ca="1">IFERROR(__xludf.DUMMYFUNCTION("""COMPUTED_VALUE"""),419)</f>
        <v>419</v>
      </c>
      <c r="AF28" s="1">
        <f ca="1">IFERROR(__xludf.DUMMYFUNCTION("""COMPUTED_VALUE"""),558)</f>
        <v>558</v>
      </c>
    </row>
    <row r="29" spans="1:32" ht="12.5" x14ac:dyDescent="0.25">
      <c r="A29" s="1" t="str">
        <f ca="1">IFERROR(__xludf.DUMMYFUNCTION("""COMPUTED_VALUE"""),"Boise State")</f>
        <v>Boise State</v>
      </c>
      <c r="B29" s="1">
        <f ca="1">IFERROR(__xludf.DUMMYFUNCTION("""COMPUTED_VALUE"""),32)</f>
        <v>32</v>
      </c>
      <c r="C29" s="1">
        <f ca="1">IFERROR(__xludf.DUMMYFUNCTION("""COMPUTED_VALUE"""),20)</f>
        <v>20</v>
      </c>
      <c r="D29" s="1">
        <f ca="1">IFERROR(__xludf.DUMMYFUNCTION("""COMPUTED_VALUE"""),12)</f>
        <v>12</v>
      </c>
      <c r="E29" s="1">
        <f ca="1">IFERROR(__xludf.DUMMYFUNCTION("""COMPUTED_VALUE"""),0.625)</f>
        <v>0.625</v>
      </c>
      <c r="F29" s="1">
        <f ca="1">IFERROR(__xludf.DUMMYFUNCTION("""COMPUTED_VALUE"""),7.23)</f>
        <v>7.23</v>
      </c>
      <c r="G29" s="1">
        <f ca="1">IFERROR(__xludf.DUMMYFUNCTION("""COMPUTED_VALUE"""),3.13)</f>
        <v>3.13</v>
      </c>
      <c r="H29" s="1">
        <f ca="1">IFERROR(__xludf.DUMMYFUNCTION("""COMPUTED_VALUE"""),11)</f>
        <v>11</v>
      </c>
      <c r="I29" s="1">
        <f ca="1">IFERROR(__xludf.DUMMYFUNCTION("""COMPUTED_VALUE"""),7)</f>
        <v>7</v>
      </c>
      <c r="J29" s="1">
        <f ca="1">IFERROR(__xludf.DUMMYFUNCTION("""COMPUTED_VALUE"""),14)</f>
        <v>14</v>
      </c>
      <c r="K29" s="1">
        <f ca="1">IFERROR(__xludf.DUMMYFUNCTION("""COMPUTED_VALUE"""),2)</f>
        <v>2</v>
      </c>
      <c r="L29" s="1">
        <f ca="1">IFERROR(__xludf.DUMMYFUNCTION("""COMPUTED_VALUE"""),5)</f>
        <v>5</v>
      </c>
      <c r="M29" s="1">
        <f ca="1">IFERROR(__xludf.DUMMYFUNCTION("""COMPUTED_VALUE"""),7)</f>
        <v>7</v>
      </c>
      <c r="N29" s="1">
        <f ca="1">IFERROR(__xludf.DUMMYFUNCTION("""COMPUTED_VALUE"""),2480)</f>
        <v>2480</v>
      </c>
      <c r="O29" s="1">
        <f ca="1">IFERROR(__xludf.DUMMYFUNCTION("""COMPUTED_VALUE"""),2246)</f>
        <v>2246</v>
      </c>
      <c r="P29" s="1">
        <f ca="1">IFERROR(__xludf.DUMMYFUNCTION("""COMPUTED_VALUE"""),1290)</f>
        <v>1290</v>
      </c>
      <c r="Q29" s="1">
        <f ca="1">IFERROR(__xludf.DUMMYFUNCTION("""COMPUTED_VALUE"""),842)</f>
        <v>842</v>
      </c>
      <c r="R29" s="1">
        <f ca="1">IFERROR(__xludf.DUMMYFUNCTION("""COMPUTED_VALUE"""),1859)</f>
        <v>1859</v>
      </c>
      <c r="S29" s="1">
        <f ca="1">IFERROR(__xludf.DUMMYFUNCTION("""COMPUTED_VALUE"""),0.453)</f>
        <v>0.45300000000000001</v>
      </c>
      <c r="T29" s="1">
        <f ca="1">IFERROR(__xludf.DUMMYFUNCTION("""COMPUTED_VALUE"""),261)</f>
        <v>261</v>
      </c>
      <c r="U29" s="1">
        <f ca="1">IFERROR(__xludf.DUMMYFUNCTION("""COMPUTED_VALUE"""),788)</f>
        <v>788</v>
      </c>
      <c r="V29" s="1">
        <f ca="1">IFERROR(__xludf.DUMMYFUNCTION("""COMPUTED_VALUE"""),0.331)</f>
        <v>0.33100000000000002</v>
      </c>
      <c r="W29" s="1">
        <f ca="1">IFERROR(__xludf.DUMMYFUNCTION("""COMPUTED_VALUE"""),535)</f>
        <v>535</v>
      </c>
      <c r="X29" s="1">
        <f ca="1">IFERROR(__xludf.DUMMYFUNCTION("""COMPUTED_VALUE"""),755)</f>
        <v>755</v>
      </c>
      <c r="Y29" s="1">
        <f ca="1">IFERROR(__xludf.DUMMYFUNCTION("""COMPUTED_VALUE"""),0.709)</f>
        <v>0.70899999999999996</v>
      </c>
      <c r="Z29" s="1">
        <f ca="1">IFERROR(__xludf.DUMMYFUNCTION("""COMPUTED_VALUE"""),315)</f>
        <v>315</v>
      </c>
      <c r="AA29" s="1">
        <f ca="1">IFERROR(__xludf.DUMMYFUNCTION("""COMPUTED_VALUE"""),1110)</f>
        <v>1110</v>
      </c>
      <c r="AB29" s="1">
        <f ca="1">IFERROR(__xludf.DUMMYFUNCTION("""COMPUTED_VALUE"""),430)</f>
        <v>430</v>
      </c>
      <c r="AC29" s="1">
        <f ca="1">IFERROR(__xludf.DUMMYFUNCTION("""COMPUTED_VALUE"""),209)</f>
        <v>209</v>
      </c>
      <c r="AD29" s="1">
        <f ca="1">IFERROR(__xludf.DUMMYFUNCTION("""COMPUTED_VALUE"""),64)</f>
        <v>64</v>
      </c>
      <c r="AE29" s="1">
        <f ca="1">IFERROR(__xludf.DUMMYFUNCTION("""COMPUTED_VALUE"""),372)</f>
        <v>372</v>
      </c>
      <c r="AF29" s="1">
        <f ca="1">IFERROR(__xludf.DUMMYFUNCTION("""COMPUTED_VALUE"""),622)</f>
        <v>622</v>
      </c>
    </row>
    <row r="30" spans="1:32" ht="12.5" x14ac:dyDescent="0.25">
      <c r="A30" s="1" t="str">
        <f ca="1">IFERROR(__xludf.DUMMYFUNCTION("""COMPUTED_VALUE"""),"Boston College")</f>
        <v>Boston College</v>
      </c>
      <c r="B30" s="1">
        <f ca="1">IFERROR(__xludf.DUMMYFUNCTION("""COMPUTED_VALUE"""),32)</f>
        <v>32</v>
      </c>
      <c r="C30" s="1">
        <f ca="1">IFERROR(__xludf.DUMMYFUNCTION("""COMPUTED_VALUE"""),7)</f>
        <v>7</v>
      </c>
      <c r="D30" s="1">
        <f ca="1">IFERROR(__xludf.DUMMYFUNCTION("""COMPUTED_VALUE"""),25)</f>
        <v>25</v>
      </c>
      <c r="E30" s="1">
        <f ca="1">IFERROR(__xludf.DUMMYFUNCTION("""COMPUTED_VALUE"""),0.219)</f>
        <v>0.219</v>
      </c>
      <c r="F30" s="1">
        <f ca="1">IFERROR(__xludf.DUMMYFUNCTION("""COMPUTED_VALUE"""),-1.61)</f>
        <v>-1.61</v>
      </c>
      <c r="G30" s="1">
        <f ca="1">IFERROR(__xludf.DUMMYFUNCTION("""COMPUTED_VALUE"""),7.67)</f>
        <v>7.67</v>
      </c>
      <c r="H30" s="1">
        <f ca="1">IFERROR(__xludf.DUMMYFUNCTION("""COMPUTED_VALUE"""),0)</f>
        <v>0</v>
      </c>
      <c r="I30" s="1">
        <f ca="1">IFERROR(__xludf.DUMMYFUNCTION("""COMPUTED_VALUE"""),18)</f>
        <v>18</v>
      </c>
      <c r="J30" s="1">
        <f ca="1">IFERROR(__xludf.DUMMYFUNCTION("""COMPUTED_VALUE"""),6)</f>
        <v>6</v>
      </c>
      <c r="K30" s="1">
        <f ca="1">IFERROR(__xludf.DUMMYFUNCTION("""COMPUTED_VALUE"""),11)</f>
        <v>11</v>
      </c>
      <c r="L30" s="1">
        <f ca="1">IFERROR(__xludf.DUMMYFUNCTION("""COMPUTED_VALUE"""),0)</f>
        <v>0</v>
      </c>
      <c r="M30" s="1">
        <f ca="1">IFERROR(__xludf.DUMMYFUNCTION("""COMPUTED_VALUE"""),10)</f>
        <v>10</v>
      </c>
      <c r="N30" s="1">
        <f ca="1">IFERROR(__xludf.DUMMYFUNCTION("""COMPUTED_VALUE"""),1959)</f>
        <v>1959</v>
      </c>
      <c r="O30" s="1">
        <f ca="1">IFERROR(__xludf.DUMMYFUNCTION("""COMPUTED_VALUE"""),2256)</f>
        <v>2256</v>
      </c>
      <c r="P30" s="1">
        <f ca="1">IFERROR(__xludf.DUMMYFUNCTION("""COMPUTED_VALUE"""),1285)</f>
        <v>1285</v>
      </c>
      <c r="Q30" s="1">
        <f ca="1">IFERROR(__xludf.DUMMYFUNCTION("""COMPUTED_VALUE"""),717)</f>
        <v>717</v>
      </c>
      <c r="R30" s="1">
        <f ca="1">IFERROR(__xludf.DUMMYFUNCTION("""COMPUTED_VALUE"""),1752)</f>
        <v>1752</v>
      </c>
      <c r="S30" s="1">
        <f ca="1">IFERROR(__xludf.DUMMYFUNCTION("""COMPUTED_VALUE"""),0.409)</f>
        <v>0.40899999999999997</v>
      </c>
      <c r="T30" s="1">
        <f ca="1">IFERROR(__xludf.DUMMYFUNCTION("""COMPUTED_VALUE"""),230)</f>
        <v>230</v>
      </c>
      <c r="U30" s="1">
        <f ca="1">IFERROR(__xludf.DUMMYFUNCTION("""COMPUTED_VALUE"""),708)</f>
        <v>708</v>
      </c>
      <c r="V30" s="1">
        <f ca="1">IFERROR(__xludf.DUMMYFUNCTION("""COMPUTED_VALUE"""),0.325)</f>
        <v>0.32500000000000001</v>
      </c>
      <c r="W30" s="1">
        <f ca="1">IFERROR(__xludf.DUMMYFUNCTION("""COMPUTED_VALUE"""),295)</f>
        <v>295</v>
      </c>
      <c r="X30" s="1">
        <f ca="1">IFERROR(__xludf.DUMMYFUNCTION("""COMPUTED_VALUE"""),453)</f>
        <v>453</v>
      </c>
      <c r="Y30" s="1">
        <f ca="1">IFERROR(__xludf.DUMMYFUNCTION("""COMPUTED_VALUE"""),0.651)</f>
        <v>0.65100000000000002</v>
      </c>
      <c r="Z30" s="1">
        <f ca="1">IFERROR(__xludf.DUMMYFUNCTION("""COMPUTED_VALUE"""),243)</f>
        <v>243</v>
      </c>
      <c r="AA30" s="1">
        <f ca="1">IFERROR(__xludf.DUMMYFUNCTION("""COMPUTED_VALUE"""),993)</f>
        <v>993</v>
      </c>
      <c r="AB30" s="1">
        <f ca="1">IFERROR(__xludf.DUMMYFUNCTION("""COMPUTED_VALUE"""),410)</f>
        <v>410</v>
      </c>
      <c r="AC30" s="1">
        <f ca="1">IFERROR(__xludf.DUMMYFUNCTION("""COMPUTED_VALUE"""),181)</f>
        <v>181</v>
      </c>
      <c r="AD30" s="1">
        <f ca="1">IFERROR(__xludf.DUMMYFUNCTION("""COMPUTED_VALUE"""),93)</f>
        <v>93</v>
      </c>
      <c r="AE30" s="1">
        <f ca="1">IFERROR(__xludf.DUMMYFUNCTION("""COMPUTED_VALUE"""),431)</f>
        <v>431</v>
      </c>
      <c r="AF30" s="1">
        <f ca="1">IFERROR(__xludf.DUMMYFUNCTION("""COMPUTED_VALUE"""),576)</f>
        <v>576</v>
      </c>
    </row>
    <row r="31" spans="1:32" ht="12.5" x14ac:dyDescent="0.25">
      <c r="A31" s="1" t="str">
        <f ca="1">IFERROR(__xludf.DUMMYFUNCTION("""COMPUTED_VALUE"""),"Boston University")</f>
        <v>Boston University</v>
      </c>
      <c r="B31" s="1">
        <f ca="1">IFERROR(__xludf.DUMMYFUNCTION("""COMPUTED_VALUE"""),34)</f>
        <v>34</v>
      </c>
      <c r="C31" s="1">
        <f ca="1">IFERROR(__xludf.DUMMYFUNCTION("""COMPUTED_VALUE"""),19)</f>
        <v>19</v>
      </c>
      <c r="D31" s="1">
        <f ca="1">IFERROR(__xludf.DUMMYFUNCTION("""COMPUTED_VALUE"""),15)</f>
        <v>15</v>
      </c>
      <c r="E31" s="1">
        <f ca="1">IFERROR(__xludf.DUMMYFUNCTION("""COMPUTED_VALUE"""),0.559)</f>
        <v>0.55900000000000005</v>
      </c>
      <c r="F31" s="1">
        <f ca="1">IFERROR(__xludf.DUMMYFUNCTION("""COMPUTED_VALUE"""),-6.79)</f>
        <v>-6.79</v>
      </c>
      <c r="G31" s="1">
        <f ca="1">IFERROR(__xludf.DUMMYFUNCTION("""COMPUTED_VALUE"""),-6.37)</f>
        <v>-6.37</v>
      </c>
      <c r="H31" s="1">
        <f ca="1">IFERROR(__xludf.DUMMYFUNCTION("""COMPUTED_VALUE"""),11)</f>
        <v>11</v>
      </c>
      <c r="I31" s="1">
        <f ca="1">IFERROR(__xludf.DUMMYFUNCTION("""COMPUTED_VALUE"""),7)</f>
        <v>7</v>
      </c>
      <c r="J31" s="1">
        <f ca="1">IFERROR(__xludf.DUMMYFUNCTION("""COMPUTED_VALUE"""),9)</f>
        <v>9</v>
      </c>
      <c r="K31" s="1">
        <f ca="1">IFERROR(__xludf.DUMMYFUNCTION("""COMPUTED_VALUE"""),6)</f>
        <v>6</v>
      </c>
      <c r="L31" s="1">
        <f ca="1">IFERROR(__xludf.DUMMYFUNCTION("""COMPUTED_VALUE"""),10)</f>
        <v>10</v>
      </c>
      <c r="M31" s="1">
        <f ca="1">IFERROR(__xludf.DUMMYFUNCTION("""COMPUTED_VALUE"""),9)</f>
        <v>9</v>
      </c>
      <c r="N31" s="1">
        <f ca="1">IFERROR(__xludf.DUMMYFUNCTION("""COMPUTED_VALUE"""),2483)</f>
        <v>2483</v>
      </c>
      <c r="O31" s="1">
        <f ca="1">IFERROR(__xludf.DUMMYFUNCTION("""COMPUTED_VALUE"""),2464)</f>
        <v>2464</v>
      </c>
      <c r="P31" s="1">
        <f ca="1">IFERROR(__xludf.DUMMYFUNCTION("""COMPUTED_VALUE"""),1375)</f>
        <v>1375</v>
      </c>
      <c r="Q31" s="1">
        <f ca="1">IFERROR(__xludf.DUMMYFUNCTION("""COMPUTED_VALUE"""),859)</f>
        <v>859</v>
      </c>
      <c r="R31" s="1">
        <f ca="1">IFERROR(__xludf.DUMMYFUNCTION("""COMPUTED_VALUE"""),1893)</f>
        <v>1893</v>
      </c>
      <c r="S31" s="1">
        <f ca="1">IFERROR(__xludf.DUMMYFUNCTION("""COMPUTED_VALUE"""),0.454)</f>
        <v>0.45400000000000001</v>
      </c>
      <c r="T31" s="1">
        <f ca="1">IFERROR(__xludf.DUMMYFUNCTION("""COMPUTED_VALUE"""),272)</f>
        <v>272</v>
      </c>
      <c r="U31" s="1">
        <f ca="1">IFERROR(__xludf.DUMMYFUNCTION("""COMPUTED_VALUE"""),748)</f>
        <v>748</v>
      </c>
      <c r="V31" s="1">
        <f ca="1">IFERROR(__xludf.DUMMYFUNCTION("""COMPUTED_VALUE"""),0.364)</f>
        <v>0.36399999999999999</v>
      </c>
      <c r="W31" s="1">
        <f ca="1">IFERROR(__xludf.DUMMYFUNCTION("""COMPUTED_VALUE"""),493)</f>
        <v>493</v>
      </c>
      <c r="X31" s="1">
        <f ca="1">IFERROR(__xludf.DUMMYFUNCTION("""COMPUTED_VALUE"""),688)</f>
        <v>688</v>
      </c>
      <c r="Y31" s="1">
        <f ca="1">IFERROR(__xludf.DUMMYFUNCTION("""COMPUTED_VALUE"""),0.717)</f>
        <v>0.71699999999999997</v>
      </c>
      <c r="Z31" s="1">
        <f ca="1">IFERROR(__xludf.DUMMYFUNCTION("""COMPUTED_VALUE"""),311)</f>
        <v>311</v>
      </c>
      <c r="AA31" s="1">
        <f ca="1">IFERROR(__xludf.DUMMYFUNCTION("""COMPUTED_VALUE"""),1216)</f>
        <v>1216</v>
      </c>
      <c r="AB31" s="1">
        <f ca="1">IFERROR(__xludf.DUMMYFUNCTION("""COMPUTED_VALUE"""),456)</f>
        <v>456</v>
      </c>
      <c r="AC31" s="1">
        <f ca="1">IFERROR(__xludf.DUMMYFUNCTION("""COMPUTED_VALUE"""),204)</f>
        <v>204</v>
      </c>
      <c r="AD31" s="1">
        <f ca="1">IFERROR(__xludf.DUMMYFUNCTION("""COMPUTED_VALUE"""),129)</f>
        <v>129</v>
      </c>
      <c r="AE31" s="1">
        <f ca="1">IFERROR(__xludf.DUMMYFUNCTION("""COMPUTED_VALUE"""),468)</f>
        <v>468</v>
      </c>
      <c r="AF31" s="1">
        <f ca="1">IFERROR(__xludf.DUMMYFUNCTION("""COMPUTED_VALUE"""),641)</f>
        <v>641</v>
      </c>
    </row>
    <row r="32" spans="1:32" ht="12.5" x14ac:dyDescent="0.25">
      <c r="A32" s="1" t="str">
        <f ca="1">IFERROR(__xludf.DUMMYFUNCTION("""COMPUTED_VALUE"""),"Bowling Green State")</f>
        <v>Bowling Green State</v>
      </c>
      <c r="B32" s="1">
        <f ca="1">IFERROR(__xludf.DUMMYFUNCTION("""COMPUTED_VALUE"""),34)</f>
        <v>34</v>
      </c>
      <c r="C32" s="1">
        <f ca="1">IFERROR(__xludf.DUMMYFUNCTION("""COMPUTED_VALUE"""),16)</f>
        <v>16</v>
      </c>
      <c r="D32" s="1">
        <f ca="1">IFERROR(__xludf.DUMMYFUNCTION("""COMPUTED_VALUE"""),18)</f>
        <v>18</v>
      </c>
      <c r="E32" s="1">
        <f ca="1">IFERROR(__xludf.DUMMYFUNCTION("""COMPUTED_VALUE"""),0.471)</f>
        <v>0.47099999999999997</v>
      </c>
      <c r="F32" s="1">
        <f ca="1">IFERROR(__xludf.DUMMYFUNCTION("""COMPUTED_VALUE"""),-5.88)</f>
        <v>-5.88</v>
      </c>
      <c r="G32" s="1">
        <f ca="1">IFERROR(__xludf.DUMMYFUNCTION("""COMPUTED_VALUE"""),-1.85)</f>
        <v>-1.85</v>
      </c>
      <c r="H32" s="1">
        <f ca="1">IFERROR(__xludf.DUMMYFUNCTION("""COMPUTED_VALUE"""),5)</f>
        <v>5</v>
      </c>
      <c r="I32" s="1">
        <f ca="1">IFERROR(__xludf.DUMMYFUNCTION("""COMPUTED_VALUE"""),13)</f>
        <v>13</v>
      </c>
      <c r="J32" s="1">
        <f ca="1">IFERROR(__xludf.DUMMYFUNCTION("""COMPUTED_VALUE"""),7)</f>
        <v>7</v>
      </c>
      <c r="K32" s="1">
        <f ca="1">IFERROR(__xludf.DUMMYFUNCTION("""COMPUTED_VALUE"""),8)</f>
        <v>8</v>
      </c>
      <c r="L32" s="1">
        <f ca="1">IFERROR(__xludf.DUMMYFUNCTION("""COMPUTED_VALUE"""),7)</f>
        <v>7</v>
      </c>
      <c r="M32" s="1">
        <f ca="1">IFERROR(__xludf.DUMMYFUNCTION("""COMPUTED_VALUE"""),8)</f>
        <v>8</v>
      </c>
      <c r="N32" s="1">
        <f ca="1">IFERROR(__xludf.DUMMYFUNCTION("""COMPUTED_VALUE"""),2400)</f>
        <v>2400</v>
      </c>
      <c r="O32" s="1">
        <f ca="1">IFERROR(__xludf.DUMMYFUNCTION("""COMPUTED_VALUE"""),2457)</f>
        <v>2457</v>
      </c>
      <c r="P32" s="1">
        <f ca="1">IFERROR(__xludf.DUMMYFUNCTION("""COMPUTED_VALUE"""),1360)</f>
        <v>1360</v>
      </c>
      <c r="Q32" s="1">
        <f ca="1">IFERROR(__xludf.DUMMYFUNCTION("""COMPUTED_VALUE"""),849)</f>
        <v>849</v>
      </c>
      <c r="R32" s="1">
        <f ca="1">IFERROR(__xludf.DUMMYFUNCTION("""COMPUTED_VALUE"""),1913)</f>
        <v>1913</v>
      </c>
      <c r="S32" s="1">
        <f ca="1">IFERROR(__xludf.DUMMYFUNCTION("""COMPUTED_VALUE"""),0.444)</f>
        <v>0.44400000000000001</v>
      </c>
      <c r="T32" s="1">
        <f ca="1">IFERROR(__xludf.DUMMYFUNCTION("""COMPUTED_VALUE"""),203)</f>
        <v>203</v>
      </c>
      <c r="U32" s="1">
        <f ca="1">IFERROR(__xludf.DUMMYFUNCTION("""COMPUTED_VALUE"""),563)</f>
        <v>563</v>
      </c>
      <c r="V32" s="1">
        <f ca="1">IFERROR(__xludf.DUMMYFUNCTION("""COMPUTED_VALUE"""),0.361)</f>
        <v>0.36099999999999999</v>
      </c>
      <c r="W32" s="1">
        <f ca="1">IFERROR(__xludf.DUMMYFUNCTION("""COMPUTED_VALUE"""),499)</f>
        <v>499</v>
      </c>
      <c r="X32" s="1">
        <f ca="1">IFERROR(__xludf.DUMMYFUNCTION("""COMPUTED_VALUE"""),761)</f>
        <v>761</v>
      </c>
      <c r="Y32" s="1">
        <f ca="1">IFERROR(__xludf.DUMMYFUNCTION("""COMPUTED_VALUE"""),0.656)</f>
        <v>0.65600000000000003</v>
      </c>
      <c r="Z32" s="1">
        <f ca="1">IFERROR(__xludf.DUMMYFUNCTION("""COMPUTED_VALUE"""),345)</f>
        <v>345</v>
      </c>
      <c r="AA32" s="1">
        <f ca="1">IFERROR(__xludf.DUMMYFUNCTION("""COMPUTED_VALUE"""),1238)</f>
        <v>1238</v>
      </c>
      <c r="AB32" s="1">
        <f ca="1">IFERROR(__xludf.DUMMYFUNCTION("""COMPUTED_VALUE"""),398)</f>
        <v>398</v>
      </c>
      <c r="AC32" s="1">
        <f ca="1">IFERROR(__xludf.DUMMYFUNCTION("""COMPUTED_VALUE"""),209)</f>
        <v>209</v>
      </c>
      <c r="AD32" s="1">
        <f ca="1">IFERROR(__xludf.DUMMYFUNCTION("""COMPUTED_VALUE"""),113)</f>
        <v>113</v>
      </c>
      <c r="AE32" s="1">
        <f ca="1">IFERROR(__xludf.DUMMYFUNCTION("""COMPUTED_VALUE"""),430)</f>
        <v>430</v>
      </c>
      <c r="AF32" s="1">
        <f ca="1">IFERROR(__xludf.DUMMYFUNCTION("""COMPUTED_VALUE"""),655)</f>
        <v>655</v>
      </c>
    </row>
    <row r="33" spans="1:32" ht="12.5" x14ac:dyDescent="0.25">
      <c r="A33" s="1" t="str">
        <f ca="1">IFERROR(__xludf.DUMMYFUNCTION("""COMPUTED_VALUE"""),"Bradley")</f>
        <v>Bradley</v>
      </c>
      <c r="B33" s="1">
        <f ca="1">IFERROR(__xludf.DUMMYFUNCTION("""COMPUTED_VALUE"""),32)</f>
        <v>32</v>
      </c>
      <c r="C33" s="1">
        <f ca="1">IFERROR(__xludf.DUMMYFUNCTION("""COMPUTED_VALUE"""),5)</f>
        <v>5</v>
      </c>
      <c r="D33" s="1">
        <f ca="1">IFERROR(__xludf.DUMMYFUNCTION("""COMPUTED_VALUE"""),27)</f>
        <v>27</v>
      </c>
      <c r="E33" s="1">
        <f ca="1">IFERROR(__xludf.DUMMYFUNCTION("""COMPUTED_VALUE"""),0.156)</f>
        <v>0.156</v>
      </c>
      <c r="F33" s="1">
        <f ca="1">IFERROR(__xludf.DUMMYFUNCTION("""COMPUTED_VALUE"""),-10.91)</f>
        <v>-10.91</v>
      </c>
      <c r="G33" s="1">
        <f ca="1">IFERROR(__xludf.DUMMYFUNCTION("""COMPUTED_VALUE"""),3.7)</f>
        <v>3.7</v>
      </c>
      <c r="H33" s="1">
        <f ca="1">IFERROR(__xludf.DUMMYFUNCTION("""COMPUTED_VALUE"""),3)</f>
        <v>3</v>
      </c>
      <c r="I33" s="1">
        <f ca="1">IFERROR(__xludf.DUMMYFUNCTION("""COMPUTED_VALUE"""),15)</f>
        <v>15</v>
      </c>
      <c r="J33" s="1">
        <f ca="1">IFERROR(__xludf.DUMMYFUNCTION("""COMPUTED_VALUE"""),4)</f>
        <v>4</v>
      </c>
      <c r="K33" s="1">
        <f ca="1">IFERROR(__xludf.DUMMYFUNCTION("""COMPUTED_VALUE"""),11)</f>
        <v>11</v>
      </c>
      <c r="L33" s="1">
        <f ca="1">IFERROR(__xludf.DUMMYFUNCTION("""COMPUTED_VALUE"""),1)</f>
        <v>1</v>
      </c>
      <c r="M33" s="1">
        <f ca="1">IFERROR(__xludf.DUMMYFUNCTION("""COMPUTED_VALUE"""),12)</f>
        <v>12</v>
      </c>
      <c r="N33" s="1">
        <f ca="1">IFERROR(__xludf.DUMMYFUNCTION("""COMPUTED_VALUE"""),1793)</f>
        <v>1793</v>
      </c>
      <c r="O33" s="1">
        <f ca="1">IFERROR(__xludf.DUMMYFUNCTION("""COMPUTED_VALUE"""),2238)</f>
        <v>2238</v>
      </c>
      <c r="P33" s="1">
        <f ca="1">IFERROR(__xludf.DUMMYFUNCTION("""COMPUTED_VALUE"""),1290)</f>
        <v>1290</v>
      </c>
      <c r="Q33" s="1">
        <f ca="1">IFERROR(__xludf.DUMMYFUNCTION("""COMPUTED_VALUE"""),606)</f>
        <v>606</v>
      </c>
      <c r="R33" s="1">
        <f ca="1">IFERROR(__xludf.DUMMYFUNCTION("""COMPUTED_VALUE"""),1596)</f>
        <v>1596</v>
      </c>
      <c r="S33" s="1">
        <f ca="1">IFERROR(__xludf.DUMMYFUNCTION("""COMPUTED_VALUE"""),0.38)</f>
        <v>0.38</v>
      </c>
      <c r="T33" s="1">
        <f ca="1">IFERROR(__xludf.DUMMYFUNCTION("""COMPUTED_VALUE"""),165)</f>
        <v>165</v>
      </c>
      <c r="U33" s="1">
        <f ca="1">IFERROR(__xludf.DUMMYFUNCTION("""COMPUTED_VALUE"""),590)</f>
        <v>590</v>
      </c>
      <c r="V33" s="1">
        <f ca="1">IFERROR(__xludf.DUMMYFUNCTION("""COMPUTED_VALUE"""),0.28)</f>
        <v>0.28000000000000003</v>
      </c>
      <c r="W33" s="1">
        <f ca="1">IFERROR(__xludf.DUMMYFUNCTION("""COMPUTED_VALUE"""),416)</f>
        <v>416</v>
      </c>
      <c r="X33" s="1">
        <f ca="1">IFERROR(__xludf.DUMMYFUNCTION("""COMPUTED_VALUE"""),628)</f>
        <v>628</v>
      </c>
      <c r="Y33" s="1">
        <f ca="1">IFERROR(__xludf.DUMMYFUNCTION("""COMPUTED_VALUE"""),0.662)</f>
        <v>0.66200000000000003</v>
      </c>
      <c r="Z33" s="1">
        <f ca="1">IFERROR(__xludf.DUMMYFUNCTION("""COMPUTED_VALUE"""),276)</f>
        <v>276</v>
      </c>
      <c r="AA33" s="1">
        <f ca="1">IFERROR(__xludf.DUMMYFUNCTION("""COMPUTED_VALUE"""),1083)</f>
        <v>1083</v>
      </c>
      <c r="AB33" s="1">
        <f ca="1">IFERROR(__xludf.DUMMYFUNCTION("""COMPUTED_VALUE"""),292)</f>
        <v>292</v>
      </c>
      <c r="AC33" s="1">
        <f ca="1">IFERROR(__xludf.DUMMYFUNCTION("""COMPUTED_VALUE"""),142)</f>
        <v>142</v>
      </c>
      <c r="AD33" s="1">
        <f ca="1">IFERROR(__xludf.DUMMYFUNCTION("""COMPUTED_VALUE"""),87)</f>
        <v>87</v>
      </c>
      <c r="AE33" s="1">
        <f ca="1">IFERROR(__xludf.DUMMYFUNCTION("""COMPUTED_VALUE"""),548)</f>
        <v>548</v>
      </c>
      <c r="AF33" s="1">
        <f ca="1">IFERROR(__xludf.DUMMYFUNCTION("""COMPUTED_VALUE"""),744)</f>
        <v>744</v>
      </c>
    </row>
    <row r="34" spans="1:32" ht="12.5" x14ac:dyDescent="0.25">
      <c r="A34" s="1" t="str">
        <f ca="1">IFERROR(__xludf.DUMMYFUNCTION("""COMPUTED_VALUE"""),"Brigham Young")</f>
        <v>Brigham Young</v>
      </c>
      <c r="B34" s="1">
        <f ca="1">IFERROR(__xludf.DUMMYFUNCTION("""COMPUTED_VALUE"""),37)</f>
        <v>37</v>
      </c>
      <c r="C34" s="1">
        <f ca="1">IFERROR(__xludf.DUMMYFUNCTION("""COMPUTED_VALUE"""),26)</f>
        <v>26</v>
      </c>
      <c r="D34" s="1">
        <f ca="1">IFERROR(__xludf.DUMMYFUNCTION("""COMPUTED_VALUE"""),11)</f>
        <v>11</v>
      </c>
      <c r="E34" s="1">
        <f ca="1">IFERROR(__xludf.DUMMYFUNCTION("""COMPUTED_VALUE"""),0.703)</f>
        <v>0.70299999999999996</v>
      </c>
      <c r="F34" s="1">
        <f ca="1">IFERROR(__xludf.DUMMYFUNCTION("""COMPUTED_VALUE"""),12.36)</f>
        <v>12.36</v>
      </c>
      <c r="G34" s="1">
        <f ca="1">IFERROR(__xludf.DUMMYFUNCTION("""COMPUTED_VALUE"""),2.36)</f>
        <v>2.36</v>
      </c>
      <c r="H34" s="1">
        <f ca="1">IFERROR(__xludf.DUMMYFUNCTION("""COMPUTED_VALUE"""),13)</f>
        <v>13</v>
      </c>
      <c r="I34" s="1">
        <f ca="1">IFERROR(__xludf.DUMMYFUNCTION("""COMPUTED_VALUE"""),5)</f>
        <v>5</v>
      </c>
      <c r="J34" s="1">
        <f ca="1">IFERROR(__xludf.DUMMYFUNCTION("""COMPUTED_VALUE"""),17)</f>
        <v>17</v>
      </c>
      <c r="K34" s="1">
        <f ca="1">IFERROR(__xludf.DUMMYFUNCTION("""COMPUTED_VALUE"""),2)</f>
        <v>2</v>
      </c>
      <c r="L34" s="1">
        <f ca="1">IFERROR(__xludf.DUMMYFUNCTION("""COMPUTED_VALUE"""),6)</f>
        <v>6</v>
      </c>
      <c r="M34" s="1">
        <f ca="1">IFERROR(__xludf.DUMMYFUNCTION("""COMPUTED_VALUE"""),6)</f>
        <v>6</v>
      </c>
      <c r="N34" s="1">
        <f ca="1">IFERROR(__xludf.DUMMYFUNCTION("""COMPUTED_VALUE"""),3093)</f>
        <v>3093</v>
      </c>
      <c r="O34" s="1">
        <f ca="1">IFERROR(__xludf.DUMMYFUNCTION("""COMPUTED_VALUE"""),2692)</f>
        <v>2692</v>
      </c>
      <c r="P34" s="1">
        <f ca="1">IFERROR(__xludf.DUMMYFUNCTION("""COMPUTED_VALUE"""),1485)</f>
        <v>1485</v>
      </c>
      <c r="Q34" s="1">
        <f ca="1">IFERROR(__xludf.DUMMYFUNCTION("""COMPUTED_VALUE"""),1096)</f>
        <v>1096</v>
      </c>
      <c r="R34" s="1">
        <f ca="1">IFERROR(__xludf.DUMMYFUNCTION("""COMPUTED_VALUE"""),2369)</f>
        <v>2369</v>
      </c>
      <c r="S34" s="1">
        <f ca="1">IFERROR(__xludf.DUMMYFUNCTION("""COMPUTED_VALUE"""),0.463)</f>
        <v>0.46300000000000002</v>
      </c>
      <c r="T34" s="1">
        <f ca="1">IFERROR(__xludf.DUMMYFUNCTION("""COMPUTED_VALUE"""),330)</f>
        <v>330</v>
      </c>
      <c r="U34" s="1">
        <f ca="1">IFERROR(__xludf.DUMMYFUNCTION("""COMPUTED_VALUE"""),863)</f>
        <v>863</v>
      </c>
      <c r="V34" s="1">
        <f ca="1">IFERROR(__xludf.DUMMYFUNCTION("""COMPUTED_VALUE"""),0.382)</f>
        <v>0.38200000000000001</v>
      </c>
      <c r="W34" s="1">
        <f ca="1">IFERROR(__xludf.DUMMYFUNCTION("""COMPUTED_VALUE"""),571)</f>
        <v>571</v>
      </c>
      <c r="X34" s="1">
        <f ca="1">IFERROR(__xludf.DUMMYFUNCTION("""COMPUTED_VALUE"""),827)</f>
        <v>827</v>
      </c>
      <c r="Y34" s="1">
        <f ca="1">IFERROR(__xludf.DUMMYFUNCTION("""COMPUTED_VALUE"""),0.69)</f>
        <v>0.69</v>
      </c>
      <c r="Z34" s="1">
        <f ca="1">IFERROR(__xludf.DUMMYFUNCTION("""COMPUTED_VALUE"""),441)</f>
        <v>441</v>
      </c>
      <c r="AA34" s="1">
        <f ca="1">IFERROR(__xludf.DUMMYFUNCTION("""COMPUTED_VALUE"""),1514)</f>
        <v>1514</v>
      </c>
      <c r="AB34" s="1">
        <f ca="1">IFERROR(__xludf.DUMMYFUNCTION("""COMPUTED_VALUE"""),611)</f>
        <v>611</v>
      </c>
      <c r="AC34" s="1">
        <f ca="1">IFERROR(__xludf.DUMMYFUNCTION("""COMPUTED_VALUE"""),256)</f>
        <v>256</v>
      </c>
      <c r="AD34" s="1">
        <f ca="1">IFERROR(__xludf.DUMMYFUNCTION("""COMPUTED_VALUE"""),161)</f>
        <v>161</v>
      </c>
      <c r="AE34" s="1">
        <f ca="1">IFERROR(__xludf.DUMMYFUNCTION("""COMPUTED_VALUE"""),434)</f>
        <v>434</v>
      </c>
      <c r="AF34" s="1">
        <f ca="1">IFERROR(__xludf.DUMMYFUNCTION("""COMPUTED_VALUE"""),690)</f>
        <v>690</v>
      </c>
    </row>
    <row r="35" spans="1:32" ht="12.5" x14ac:dyDescent="0.25">
      <c r="A35" s="1" t="str">
        <f ca="1">IFERROR(__xludf.DUMMYFUNCTION("""COMPUTED_VALUE"""),"Brown")</f>
        <v>Brown</v>
      </c>
      <c r="B35" s="1">
        <f ca="1">IFERROR(__xludf.DUMMYFUNCTION("""COMPUTED_VALUE"""),28)</f>
        <v>28</v>
      </c>
      <c r="C35" s="1">
        <f ca="1">IFERROR(__xludf.DUMMYFUNCTION("""COMPUTED_VALUE"""),8)</f>
        <v>8</v>
      </c>
      <c r="D35" s="1">
        <f ca="1">IFERROR(__xludf.DUMMYFUNCTION("""COMPUTED_VALUE"""),20)</f>
        <v>20</v>
      </c>
      <c r="E35" s="1">
        <f ca="1">IFERROR(__xludf.DUMMYFUNCTION("""COMPUTED_VALUE"""),0.286)</f>
        <v>0.28599999999999998</v>
      </c>
      <c r="F35" s="1">
        <f ca="1">IFERROR(__xludf.DUMMYFUNCTION("""COMPUTED_VALUE"""),-8.05)</f>
        <v>-8.0500000000000007</v>
      </c>
      <c r="G35" s="1">
        <f ca="1">IFERROR(__xludf.DUMMYFUNCTION("""COMPUTED_VALUE"""),-2.82)</f>
        <v>-2.82</v>
      </c>
      <c r="H35" s="1">
        <f ca="1">IFERROR(__xludf.DUMMYFUNCTION("""COMPUTED_VALUE"""),3)</f>
        <v>3</v>
      </c>
      <c r="I35" s="1">
        <f ca="1">IFERROR(__xludf.DUMMYFUNCTION("""COMPUTED_VALUE"""),11)</f>
        <v>11</v>
      </c>
      <c r="J35" s="1">
        <f ca="1">IFERROR(__xludf.DUMMYFUNCTION("""COMPUTED_VALUE"""),7)</f>
        <v>7</v>
      </c>
      <c r="K35" s="1">
        <f ca="1">IFERROR(__xludf.DUMMYFUNCTION("""COMPUTED_VALUE"""),6)</f>
        <v>6</v>
      </c>
      <c r="L35" s="1">
        <f ca="1">IFERROR(__xludf.DUMMYFUNCTION("""COMPUTED_VALUE"""),1)</f>
        <v>1</v>
      </c>
      <c r="M35" s="1">
        <f ca="1">IFERROR(__xludf.DUMMYFUNCTION("""COMPUTED_VALUE"""),13)</f>
        <v>13</v>
      </c>
      <c r="N35" s="1">
        <f ca="1">IFERROR(__xludf.DUMMYFUNCTION("""COMPUTED_VALUE"""),2040)</f>
        <v>2040</v>
      </c>
      <c r="O35" s="1">
        <f ca="1">IFERROR(__xludf.DUMMYFUNCTION("""COMPUTED_VALUE"""),2155)</f>
        <v>2155</v>
      </c>
      <c r="P35" s="1">
        <f ca="1">IFERROR(__xludf.DUMMYFUNCTION("""COMPUTED_VALUE"""),1140)</f>
        <v>1140</v>
      </c>
      <c r="Q35" s="1">
        <f ca="1">IFERROR(__xludf.DUMMYFUNCTION("""COMPUTED_VALUE"""),697)</f>
        <v>697</v>
      </c>
      <c r="R35" s="1">
        <f ca="1">IFERROR(__xludf.DUMMYFUNCTION("""COMPUTED_VALUE"""),1625)</f>
        <v>1625</v>
      </c>
      <c r="S35" s="1">
        <f ca="1">IFERROR(__xludf.DUMMYFUNCTION("""COMPUTED_VALUE"""),0.429)</f>
        <v>0.42899999999999999</v>
      </c>
      <c r="T35" s="1">
        <f ca="1">IFERROR(__xludf.DUMMYFUNCTION("""COMPUTED_VALUE"""),225)</f>
        <v>225</v>
      </c>
      <c r="U35" s="1">
        <f ca="1">IFERROR(__xludf.DUMMYFUNCTION("""COMPUTED_VALUE"""),639)</f>
        <v>639</v>
      </c>
      <c r="V35" s="1">
        <f ca="1">IFERROR(__xludf.DUMMYFUNCTION("""COMPUTED_VALUE"""),0.352)</f>
        <v>0.35199999999999998</v>
      </c>
      <c r="W35" s="1">
        <f ca="1">IFERROR(__xludf.DUMMYFUNCTION("""COMPUTED_VALUE"""),421)</f>
        <v>421</v>
      </c>
      <c r="X35" s="1">
        <f ca="1">IFERROR(__xludf.DUMMYFUNCTION("""COMPUTED_VALUE"""),600)</f>
        <v>600</v>
      </c>
      <c r="Y35" s="1">
        <f ca="1">IFERROR(__xludf.DUMMYFUNCTION("""COMPUTED_VALUE"""),0.702)</f>
        <v>0.70199999999999996</v>
      </c>
      <c r="Z35" s="1">
        <f ca="1">IFERROR(__xludf.DUMMYFUNCTION("""COMPUTED_VALUE"""),272)</f>
        <v>272</v>
      </c>
      <c r="AA35" s="1">
        <f ca="1">IFERROR(__xludf.DUMMYFUNCTION("""COMPUTED_VALUE"""),1019)</f>
        <v>1019</v>
      </c>
      <c r="AB35" s="1">
        <f ca="1">IFERROR(__xludf.DUMMYFUNCTION("""COMPUTED_VALUE"""),414)</f>
        <v>414</v>
      </c>
      <c r="AC35" s="1">
        <f ca="1">IFERROR(__xludf.DUMMYFUNCTION("""COMPUTED_VALUE"""),150)</f>
        <v>150</v>
      </c>
      <c r="AD35" s="1">
        <f ca="1">IFERROR(__xludf.DUMMYFUNCTION("""COMPUTED_VALUE"""),114)</f>
        <v>114</v>
      </c>
      <c r="AE35" s="1">
        <f ca="1">IFERROR(__xludf.DUMMYFUNCTION("""COMPUTED_VALUE"""),376)</f>
        <v>376</v>
      </c>
      <c r="AF35" s="1">
        <f ca="1">IFERROR(__xludf.DUMMYFUNCTION("""COMPUTED_VALUE"""),543)</f>
        <v>543</v>
      </c>
    </row>
    <row r="36" spans="1:32" ht="12.5" x14ac:dyDescent="0.25">
      <c r="A36" s="1" t="str">
        <f ca="1">IFERROR(__xludf.DUMMYFUNCTION("""COMPUTED_VALUE"""),"Bryant")</f>
        <v>Bryant</v>
      </c>
      <c r="B36" s="1">
        <f ca="1">IFERROR(__xludf.DUMMYFUNCTION("""COMPUTED_VALUE"""),31)</f>
        <v>31</v>
      </c>
      <c r="C36" s="1">
        <f ca="1">IFERROR(__xludf.DUMMYFUNCTION("""COMPUTED_VALUE"""),8)</f>
        <v>8</v>
      </c>
      <c r="D36" s="1">
        <f ca="1">IFERROR(__xludf.DUMMYFUNCTION("""COMPUTED_VALUE"""),23)</f>
        <v>23</v>
      </c>
      <c r="E36" s="1">
        <f ca="1">IFERROR(__xludf.DUMMYFUNCTION("""COMPUTED_VALUE"""),0.258)</f>
        <v>0.25800000000000001</v>
      </c>
      <c r="F36" s="1">
        <f ca="1">IFERROR(__xludf.DUMMYFUNCTION("""COMPUTED_VALUE"""),-18.58)</f>
        <v>-18.579999999999998</v>
      </c>
      <c r="G36" s="1">
        <f ca="1">IFERROR(__xludf.DUMMYFUNCTION("""COMPUTED_VALUE"""),-6.71)</f>
        <v>-6.71</v>
      </c>
      <c r="H36" s="1">
        <f ca="1">IFERROR(__xludf.DUMMYFUNCTION("""COMPUTED_VALUE"""),5)</f>
        <v>5</v>
      </c>
      <c r="I36" s="1">
        <f ca="1">IFERROR(__xludf.DUMMYFUNCTION("""COMPUTED_VALUE"""),13)</f>
        <v>13</v>
      </c>
      <c r="J36" s="1">
        <f ca="1">IFERROR(__xludf.DUMMYFUNCTION("""COMPUTED_VALUE"""),4)</f>
        <v>4</v>
      </c>
      <c r="K36" s="1">
        <f ca="1">IFERROR(__xludf.DUMMYFUNCTION("""COMPUTED_VALUE"""),10)</f>
        <v>10</v>
      </c>
      <c r="L36" s="1">
        <f ca="1">IFERROR(__xludf.DUMMYFUNCTION("""COMPUTED_VALUE"""),4)</f>
        <v>4</v>
      </c>
      <c r="M36" s="1">
        <f ca="1">IFERROR(__xludf.DUMMYFUNCTION("""COMPUTED_VALUE"""),13)</f>
        <v>13</v>
      </c>
      <c r="N36" s="1">
        <f ca="1">IFERROR(__xludf.DUMMYFUNCTION("""COMPUTED_VALUE"""),2018)</f>
        <v>2018</v>
      </c>
      <c r="O36" s="1">
        <f ca="1">IFERROR(__xludf.DUMMYFUNCTION("""COMPUTED_VALUE"""),2361)</f>
        <v>2361</v>
      </c>
      <c r="P36" s="1">
        <f ca="1">IFERROR(__xludf.DUMMYFUNCTION("""COMPUTED_VALUE"""),1250)</f>
        <v>1250</v>
      </c>
      <c r="Q36" s="1">
        <f ca="1">IFERROR(__xludf.DUMMYFUNCTION("""COMPUTED_VALUE"""),755)</f>
        <v>755</v>
      </c>
      <c r="R36" s="1">
        <f ca="1">IFERROR(__xludf.DUMMYFUNCTION("""COMPUTED_VALUE"""),1798)</f>
        <v>1798</v>
      </c>
      <c r="S36" s="1">
        <f ca="1">IFERROR(__xludf.DUMMYFUNCTION("""COMPUTED_VALUE"""),0.42)</f>
        <v>0.42</v>
      </c>
      <c r="T36" s="1">
        <f ca="1">IFERROR(__xludf.DUMMYFUNCTION("""COMPUTED_VALUE"""),198)</f>
        <v>198</v>
      </c>
      <c r="U36" s="1">
        <f ca="1">IFERROR(__xludf.DUMMYFUNCTION("""COMPUTED_VALUE"""),615)</f>
        <v>615</v>
      </c>
      <c r="V36" s="1">
        <f ca="1">IFERROR(__xludf.DUMMYFUNCTION("""COMPUTED_VALUE"""),0.322)</f>
        <v>0.32200000000000001</v>
      </c>
      <c r="W36" s="1">
        <f ca="1">IFERROR(__xludf.DUMMYFUNCTION("""COMPUTED_VALUE"""),310)</f>
        <v>310</v>
      </c>
      <c r="X36" s="1">
        <f ca="1">IFERROR(__xludf.DUMMYFUNCTION("""COMPUTED_VALUE"""),482)</f>
        <v>482</v>
      </c>
      <c r="Y36" s="1">
        <f ca="1">IFERROR(__xludf.DUMMYFUNCTION("""COMPUTED_VALUE"""),0.643)</f>
        <v>0.64300000000000002</v>
      </c>
      <c r="Z36" s="1">
        <f ca="1">IFERROR(__xludf.DUMMYFUNCTION("""COMPUTED_VALUE"""),300)</f>
        <v>300</v>
      </c>
      <c r="AA36" s="1">
        <f ca="1">IFERROR(__xludf.DUMMYFUNCTION("""COMPUTED_VALUE"""),1048)</f>
        <v>1048</v>
      </c>
      <c r="AB36" s="1">
        <f ca="1">IFERROR(__xludf.DUMMYFUNCTION("""COMPUTED_VALUE"""),415)</f>
        <v>415</v>
      </c>
      <c r="AC36" s="1">
        <f ca="1">IFERROR(__xludf.DUMMYFUNCTION("""COMPUTED_VALUE"""),176)</f>
        <v>176</v>
      </c>
      <c r="AD36" s="1">
        <f ca="1">IFERROR(__xludf.DUMMYFUNCTION("""COMPUTED_VALUE"""),83)</f>
        <v>83</v>
      </c>
      <c r="AE36" s="1">
        <f ca="1">IFERROR(__xludf.DUMMYFUNCTION("""COMPUTED_VALUE"""),420)</f>
        <v>420</v>
      </c>
      <c r="AF36" s="1">
        <f ca="1">IFERROR(__xludf.DUMMYFUNCTION("""COMPUTED_VALUE"""),591)</f>
        <v>591</v>
      </c>
    </row>
    <row r="37" spans="1:32" ht="12.5" x14ac:dyDescent="0.25">
      <c r="A37" s="1" t="str">
        <f ca="1">IFERROR(__xludf.DUMMYFUNCTION("""COMPUTED_VALUE"""),"Bucknell")</f>
        <v>Bucknell</v>
      </c>
      <c r="B37" s="1">
        <f ca="1">IFERROR(__xludf.DUMMYFUNCTION("""COMPUTED_VALUE"""),31)</f>
        <v>31</v>
      </c>
      <c r="C37" s="1">
        <f ca="1">IFERROR(__xludf.DUMMYFUNCTION("""COMPUTED_VALUE"""),17)</f>
        <v>17</v>
      </c>
      <c r="D37" s="1">
        <f ca="1">IFERROR(__xludf.DUMMYFUNCTION("""COMPUTED_VALUE"""),14)</f>
        <v>14</v>
      </c>
      <c r="E37" s="1">
        <f ca="1">IFERROR(__xludf.DUMMYFUNCTION("""COMPUTED_VALUE"""),0.548)</f>
        <v>0.54800000000000004</v>
      </c>
      <c r="F37" s="1">
        <f ca="1">IFERROR(__xludf.DUMMYFUNCTION("""COMPUTED_VALUE"""),-2.09)</f>
        <v>-2.09</v>
      </c>
      <c r="G37" s="1">
        <f ca="1">IFERROR(__xludf.DUMMYFUNCTION("""COMPUTED_VALUE"""),-5.89)</f>
        <v>-5.89</v>
      </c>
      <c r="H37" s="1">
        <f ca="1">IFERROR(__xludf.DUMMYFUNCTION("""COMPUTED_VALUE"""),14)</f>
        <v>14</v>
      </c>
      <c r="I37" s="1">
        <f ca="1">IFERROR(__xludf.DUMMYFUNCTION("""COMPUTED_VALUE"""),4)</f>
        <v>4</v>
      </c>
      <c r="J37" s="1">
        <f ca="1">IFERROR(__xludf.DUMMYFUNCTION("""COMPUTED_VALUE"""),8)</f>
        <v>8</v>
      </c>
      <c r="K37" s="1">
        <f ca="1">IFERROR(__xludf.DUMMYFUNCTION("""COMPUTED_VALUE"""),7)</f>
        <v>7</v>
      </c>
      <c r="L37" s="1">
        <f ca="1">IFERROR(__xludf.DUMMYFUNCTION("""COMPUTED_VALUE"""),9)</f>
        <v>9</v>
      </c>
      <c r="M37" s="1">
        <f ca="1">IFERROR(__xludf.DUMMYFUNCTION("""COMPUTED_VALUE"""),7)</f>
        <v>7</v>
      </c>
      <c r="N37" s="1">
        <f ca="1">IFERROR(__xludf.DUMMYFUNCTION("""COMPUTED_VALUE"""),2448)</f>
        <v>2448</v>
      </c>
      <c r="O37" s="1">
        <f ca="1">IFERROR(__xludf.DUMMYFUNCTION("""COMPUTED_VALUE"""),2288)</f>
        <v>2288</v>
      </c>
      <c r="P37" s="1">
        <f ca="1">IFERROR(__xludf.DUMMYFUNCTION("""COMPUTED_VALUE"""),1265)</f>
        <v>1265</v>
      </c>
      <c r="Q37" s="1">
        <f ca="1">IFERROR(__xludf.DUMMYFUNCTION("""COMPUTED_VALUE"""),831)</f>
        <v>831</v>
      </c>
      <c r="R37" s="1">
        <f ca="1">IFERROR(__xludf.DUMMYFUNCTION("""COMPUTED_VALUE"""),1788)</f>
        <v>1788</v>
      </c>
      <c r="S37" s="1">
        <f ca="1">IFERROR(__xludf.DUMMYFUNCTION("""COMPUTED_VALUE"""),0.465)</f>
        <v>0.46500000000000002</v>
      </c>
      <c r="T37" s="1">
        <f ca="1">IFERROR(__xludf.DUMMYFUNCTION("""COMPUTED_VALUE"""),233)</f>
        <v>233</v>
      </c>
      <c r="U37" s="1">
        <f ca="1">IFERROR(__xludf.DUMMYFUNCTION("""COMPUTED_VALUE"""),639)</f>
        <v>639</v>
      </c>
      <c r="V37" s="1">
        <f ca="1">IFERROR(__xludf.DUMMYFUNCTION("""COMPUTED_VALUE"""),0.365)</f>
        <v>0.36499999999999999</v>
      </c>
      <c r="W37" s="1">
        <f ca="1">IFERROR(__xludf.DUMMYFUNCTION("""COMPUTED_VALUE"""),553)</f>
        <v>553</v>
      </c>
      <c r="X37" s="1">
        <f ca="1">IFERROR(__xludf.DUMMYFUNCTION("""COMPUTED_VALUE"""),774)</f>
        <v>774</v>
      </c>
      <c r="Y37" s="1">
        <f ca="1">IFERROR(__xludf.DUMMYFUNCTION("""COMPUTED_VALUE"""),0.714)</f>
        <v>0.71399999999999997</v>
      </c>
      <c r="Z37" s="1">
        <f ca="1">IFERROR(__xludf.DUMMYFUNCTION("""COMPUTED_VALUE"""),317)</f>
        <v>317</v>
      </c>
      <c r="AA37" s="1">
        <f ca="1">IFERROR(__xludf.DUMMYFUNCTION("""COMPUTED_VALUE"""),1137)</f>
        <v>1137</v>
      </c>
      <c r="AB37" s="1">
        <f ca="1">IFERROR(__xludf.DUMMYFUNCTION("""COMPUTED_VALUE"""),489)</f>
        <v>489</v>
      </c>
      <c r="AC37" s="1">
        <f ca="1">IFERROR(__xludf.DUMMYFUNCTION("""COMPUTED_VALUE"""),204)</f>
        <v>204</v>
      </c>
      <c r="AD37" s="1">
        <f ca="1">IFERROR(__xludf.DUMMYFUNCTION("""COMPUTED_VALUE"""),100)</f>
        <v>100</v>
      </c>
      <c r="AE37" s="1">
        <f ca="1">IFERROR(__xludf.DUMMYFUNCTION("""COMPUTED_VALUE"""),423)</f>
        <v>423</v>
      </c>
      <c r="AF37" s="1">
        <f ca="1">IFERROR(__xludf.DUMMYFUNCTION("""COMPUTED_VALUE"""),657)</f>
        <v>657</v>
      </c>
    </row>
    <row r="38" spans="1:32" ht="12.5" x14ac:dyDescent="0.25">
      <c r="A38" s="1" t="str">
        <f ca="1">IFERROR(__xludf.DUMMYFUNCTION("""COMPUTED_VALUE"""),"BuffaloNCAA")</f>
        <v>BuffaloNCAA</v>
      </c>
      <c r="B38" s="1">
        <f ca="1">IFERROR(__xludf.DUMMYFUNCTION("""COMPUTED_VALUE"""),35)</f>
        <v>35</v>
      </c>
      <c r="C38" s="1">
        <f ca="1">IFERROR(__xludf.DUMMYFUNCTION("""COMPUTED_VALUE"""),20)</f>
        <v>20</v>
      </c>
      <c r="D38" s="1">
        <f ca="1">IFERROR(__xludf.DUMMYFUNCTION("""COMPUTED_VALUE"""),15)</f>
        <v>15</v>
      </c>
      <c r="E38" s="1">
        <f ca="1">IFERROR(__xludf.DUMMYFUNCTION("""COMPUTED_VALUE"""),0.571)</f>
        <v>0.57099999999999995</v>
      </c>
      <c r="F38" s="1">
        <f ca="1">IFERROR(__xludf.DUMMYFUNCTION("""COMPUTED_VALUE"""),1.34)</f>
        <v>1.34</v>
      </c>
      <c r="G38" s="1">
        <f ca="1">IFERROR(__xludf.DUMMYFUNCTION("""COMPUTED_VALUE"""),0.9)</f>
        <v>0.9</v>
      </c>
      <c r="H38" s="1">
        <f ca="1">IFERROR(__xludf.DUMMYFUNCTION("""COMPUTED_VALUE"""),10)</f>
        <v>10</v>
      </c>
      <c r="I38" s="1">
        <f ca="1">IFERROR(__xludf.DUMMYFUNCTION("""COMPUTED_VALUE"""),8)</f>
        <v>8</v>
      </c>
      <c r="J38" s="1">
        <f ca="1">IFERROR(__xludf.DUMMYFUNCTION("""COMPUTED_VALUE"""),10)</f>
        <v>10</v>
      </c>
      <c r="K38" s="1">
        <f ca="1">IFERROR(__xludf.DUMMYFUNCTION("""COMPUTED_VALUE"""),5)</f>
        <v>5</v>
      </c>
      <c r="L38" s="1">
        <f ca="1">IFERROR(__xludf.DUMMYFUNCTION("""COMPUTED_VALUE"""),5)</f>
        <v>5</v>
      </c>
      <c r="M38" s="1">
        <f ca="1">IFERROR(__xludf.DUMMYFUNCTION("""COMPUTED_VALUE"""),9)</f>
        <v>9</v>
      </c>
      <c r="N38" s="1">
        <f ca="1">IFERROR(__xludf.DUMMYFUNCTION("""COMPUTED_VALUE"""),2709)</f>
        <v>2709</v>
      </c>
      <c r="O38" s="1">
        <f ca="1">IFERROR(__xludf.DUMMYFUNCTION("""COMPUTED_VALUE"""),2634)</f>
        <v>2634</v>
      </c>
      <c r="P38" s="1">
        <f ca="1">IFERROR(__xludf.DUMMYFUNCTION("""COMPUTED_VALUE"""),1410)</f>
        <v>1410</v>
      </c>
      <c r="Q38" s="1">
        <f ca="1">IFERROR(__xludf.DUMMYFUNCTION("""COMPUTED_VALUE"""),915)</f>
        <v>915</v>
      </c>
      <c r="R38" s="1">
        <f ca="1">IFERROR(__xludf.DUMMYFUNCTION("""COMPUTED_VALUE"""),2096)</f>
        <v>2096</v>
      </c>
      <c r="S38" s="1">
        <f ca="1">IFERROR(__xludf.DUMMYFUNCTION("""COMPUTED_VALUE"""),0.437)</f>
        <v>0.437</v>
      </c>
      <c r="T38" s="1">
        <f ca="1">IFERROR(__xludf.DUMMYFUNCTION("""COMPUTED_VALUE"""),263)</f>
        <v>263</v>
      </c>
      <c r="U38" s="1">
        <f ca="1">IFERROR(__xludf.DUMMYFUNCTION("""COMPUTED_VALUE"""),776)</f>
        <v>776</v>
      </c>
      <c r="V38" s="1">
        <f ca="1">IFERROR(__xludf.DUMMYFUNCTION("""COMPUTED_VALUE"""),0.339)</f>
        <v>0.33900000000000002</v>
      </c>
      <c r="W38" s="1">
        <f ca="1">IFERROR(__xludf.DUMMYFUNCTION("""COMPUTED_VALUE"""),616)</f>
        <v>616</v>
      </c>
      <c r="X38" s="1">
        <f ca="1">IFERROR(__xludf.DUMMYFUNCTION("""COMPUTED_VALUE"""),867)</f>
        <v>867</v>
      </c>
      <c r="Y38" s="1">
        <f ca="1">IFERROR(__xludf.DUMMYFUNCTION("""COMPUTED_VALUE"""),0.71)</f>
        <v>0.71</v>
      </c>
      <c r="Z38" s="1">
        <f ca="1">IFERROR(__xludf.DUMMYFUNCTION("""COMPUTED_VALUE"""),425)</f>
        <v>425</v>
      </c>
      <c r="AA38" s="1">
        <f ca="1">IFERROR(__xludf.DUMMYFUNCTION("""COMPUTED_VALUE"""),1363)</f>
        <v>1363</v>
      </c>
      <c r="AB38" s="1">
        <f ca="1">IFERROR(__xludf.DUMMYFUNCTION("""COMPUTED_VALUE"""),441)</f>
        <v>441</v>
      </c>
      <c r="AC38" s="1">
        <f ca="1">IFERROR(__xludf.DUMMYFUNCTION("""COMPUTED_VALUE"""),240)</f>
        <v>240</v>
      </c>
      <c r="AD38" s="1">
        <f ca="1">IFERROR(__xludf.DUMMYFUNCTION("""COMPUTED_VALUE"""),124)</f>
        <v>124</v>
      </c>
      <c r="AE38" s="1">
        <f ca="1">IFERROR(__xludf.DUMMYFUNCTION("""COMPUTED_VALUE"""),475)</f>
        <v>475</v>
      </c>
      <c r="AF38" s="1">
        <f ca="1">IFERROR(__xludf.DUMMYFUNCTION("""COMPUTED_VALUE"""),748)</f>
        <v>748</v>
      </c>
    </row>
    <row r="39" spans="1:32" ht="12.5" x14ac:dyDescent="0.25">
      <c r="A39" s="1" t="str">
        <f ca="1">IFERROR(__xludf.DUMMYFUNCTION("""COMPUTED_VALUE"""),"ButlerNCAA")</f>
        <v>ButlerNCAA</v>
      </c>
      <c r="B39" s="1">
        <f ca="1">IFERROR(__xludf.DUMMYFUNCTION("""COMPUTED_VALUE"""),33)</f>
        <v>33</v>
      </c>
      <c r="C39" s="1">
        <f ca="1">IFERROR(__xludf.DUMMYFUNCTION("""COMPUTED_VALUE"""),22)</f>
        <v>22</v>
      </c>
      <c r="D39" s="1">
        <f ca="1">IFERROR(__xludf.DUMMYFUNCTION("""COMPUTED_VALUE"""),11)</f>
        <v>11</v>
      </c>
      <c r="E39" s="1">
        <f ca="1">IFERROR(__xludf.DUMMYFUNCTION("""COMPUTED_VALUE"""),0.667)</f>
        <v>0.66700000000000004</v>
      </c>
      <c r="F39" s="1">
        <f ca="1">IFERROR(__xludf.DUMMYFUNCTION("""COMPUTED_VALUE"""),16.46)</f>
        <v>16.46</v>
      </c>
      <c r="G39" s="1">
        <f ca="1">IFERROR(__xludf.DUMMYFUNCTION("""COMPUTED_VALUE"""),7.55)</f>
        <v>7.55</v>
      </c>
      <c r="H39" s="1">
        <f ca="1">IFERROR(__xludf.DUMMYFUNCTION("""COMPUTED_VALUE"""),10)</f>
        <v>10</v>
      </c>
      <c r="I39" s="1">
        <f ca="1">IFERROR(__xludf.DUMMYFUNCTION("""COMPUTED_VALUE"""),8)</f>
        <v>8</v>
      </c>
      <c r="J39" s="1">
        <f ca="1">IFERROR(__xludf.DUMMYFUNCTION("""COMPUTED_VALUE"""),13)</f>
        <v>13</v>
      </c>
      <c r="K39" s="1">
        <f ca="1">IFERROR(__xludf.DUMMYFUNCTION("""COMPUTED_VALUE"""),3)</f>
        <v>3</v>
      </c>
      <c r="L39" s="1">
        <f ca="1">IFERROR(__xludf.DUMMYFUNCTION("""COMPUTED_VALUE"""),5)</f>
        <v>5</v>
      </c>
      <c r="M39" s="1">
        <f ca="1">IFERROR(__xludf.DUMMYFUNCTION("""COMPUTED_VALUE"""),5)</f>
        <v>5</v>
      </c>
      <c r="N39" s="1">
        <f ca="1">IFERROR(__xludf.DUMMYFUNCTION("""COMPUTED_VALUE"""),2638)</f>
        <v>2638</v>
      </c>
      <c r="O39" s="1">
        <f ca="1">IFERROR(__xludf.DUMMYFUNCTION("""COMPUTED_VALUE"""),2344)</f>
        <v>2344</v>
      </c>
      <c r="P39" s="1">
        <f ca="1">IFERROR(__xludf.DUMMYFUNCTION("""COMPUTED_VALUE"""),1325)</f>
        <v>1325</v>
      </c>
      <c r="Q39" s="1">
        <f ca="1">IFERROR(__xludf.DUMMYFUNCTION("""COMPUTED_VALUE"""),918)</f>
        <v>918</v>
      </c>
      <c r="R39" s="1">
        <f ca="1">IFERROR(__xludf.DUMMYFUNCTION("""COMPUTED_VALUE"""),1969)</f>
        <v>1969</v>
      </c>
      <c r="S39" s="1">
        <f ca="1">IFERROR(__xludf.DUMMYFUNCTION("""COMPUTED_VALUE"""),0.466)</f>
        <v>0.46600000000000003</v>
      </c>
      <c r="T39" s="1">
        <f ca="1">IFERROR(__xludf.DUMMYFUNCTION("""COMPUTED_VALUE"""),236)</f>
        <v>236</v>
      </c>
      <c r="U39" s="1">
        <f ca="1">IFERROR(__xludf.DUMMYFUNCTION("""COMPUTED_VALUE"""),601)</f>
        <v>601</v>
      </c>
      <c r="V39" s="1">
        <f ca="1">IFERROR(__xludf.DUMMYFUNCTION("""COMPUTED_VALUE"""),0.393)</f>
        <v>0.39300000000000002</v>
      </c>
      <c r="W39" s="1">
        <f ca="1">IFERROR(__xludf.DUMMYFUNCTION("""COMPUTED_VALUE"""),566)</f>
        <v>566</v>
      </c>
      <c r="X39" s="1">
        <f ca="1">IFERROR(__xludf.DUMMYFUNCTION("""COMPUTED_VALUE"""),774)</f>
        <v>774</v>
      </c>
      <c r="Y39" s="1">
        <f ca="1">IFERROR(__xludf.DUMMYFUNCTION("""COMPUTED_VALUE"""),0.731)</f>
        <v>0.73099999999999998</v>
      </c>
      <c r="Z39" s="1">
        <f ca="1">IFERROR(__xludf.DUMMYFUNCTION("""COMPUTED_VALUE"""),366)</f>
        <v>366</v>
      </c>
      <c r="AA39" s="1">
        <f ca="1">IFERROR(__xludf.DUMMYFUNCTION("""COMPUTED_VALUE"""),1188)</f>
        <v>1188</v>
      </c>
      <c r="AB39" s="1">
        <f ca="1">IFERROR(__xludf.DUMMYFUNCTION("""COMPUTED_VALUE"""),468)</f>
        <v>468</v>
      </c>
      <c r="AC39" s="1">
        <f ca="1">IFERROR(__xludf.DUMMYFUNCTION("""COMPUTED_VALUE"""),227)</f>
        <v>227</v>
      </c>
      <c r="AD39" s="1">
        <f ca="1">IFERROR(__xludf.DUMMYFUNCTION("""COMPUTED_VALUE"""),107)</f>
        <v>107</v>
      </c>
      <c r="AE39" s="1">
        <f ca="1">IFERROR(__xludf.DUMMYFUNCTION("""COMPUTED_VALUE"""),335)</f>
        <v>335</v>
      </c>
      <c r="AF39" s="1">
        <f ca="1">IFERROR(__xludf.DUMMYFUNCTION("""COMPUTED_VALUE"""),646)</f>
        <v>646</v>
      </c>
    </row>
    <row r="40" spans="1:32" ht="12.5" x14ac:dyDescent="0.25">
      <c r="A40" s="1" t="str">
        <f ca="1">IFERROR(__xludf.DUMMYFUNCTION("""COMPUTED_VALUE"""),"Cal Poly")</f>
        <v>Cal Poly</v>
      </c>
      <c r="B40" s="1">
        <f ca="1">IFERROR(__xludf.DUMMYFUNCTION("""COMPUTED_VALUE"""),30)</f>
        <v>30</v>
      </c>
      <c r="C40" s="1">
        <f ca="1">IFERROR(__xludf.DUMMYFUNCTION("""COMPUTED_VALUE"""),10)</f>
        <v>10</v>
      </c>
      <c r="D40" s="1">
        <f ca="1">IFERROR(__xludf.DUMMYFUNCTION("""COMPUTED_VALUE"""),20)</f>
        <v>20</v>
      </c>
      <c r="E40" s="1">
        <f ca="1">IFERROR(__xludf.DUMMYFUNCTION("""COMPUTED_VALUE"""),0.333)</f>
        <v>0.33300000000000002</v>
      </c>
      <c r="F40" s="1">
        <f ca="1">IFERROR(__xludf.DUMMYFUNCTION("""COMPUTED_VALUE"""),-3.49)</f>
        <v>-3.49</v>
      </c>
      <c r="G40" s="1">
        <f ca="1">IFERROR(__xludf.DUMMYFUNCTION("""COMPUTED_VALUE"""),0.9)</f>
        <v>0.9</v>
      </c>
      <c r="H40" s="1">
        <f ca="1">IFERROR(__xludf.DUMMYFUNCTION("""COMPUTED_VALUE"""),4)</f>
        <v>4</v>
      </c>
      <c r="I40" s="1">
        <f ca="1">IFERROR(__xludf.DUMMYFUNCTION("""COMPUTED_VALUE"""),12)</f>
        <v>12</v>
      </c>
      <c r="J40" s="1">
        <f ca="1">IFERROR(__xludf.DUMMYFUNCTION("""COMPUTED_VALUE"""),5)</f>
        <v>5</v>
      </c>
      <c r="K40" s="1">
        <f ca="1">IFERROR(__xludf.DUMMYFUNCTION("""COMPUTED_VALUE"""),7)</f>
        <v>7</v>
      </c>
      <c r="L40" s="1">
        <f ca="1">IFERROR(__xludf.DUMMYFUNCTION("""COMPUTED_VALUE"""),3)</f>
        <v>3</v>
      </c>
      <c r="M40" s="1">
        <f ca="1">IFERROR(__xludf.DUMMYFUNCTION("""COMPUTED_VALUE"""),12)</f>
        <v>12</v>
      </c>
      <c r="N40" s="1">
        <f ca="1">IFERROR(__xludf.DUMMYFUNCTION("""COMPUTED_VALUE"""),2171)</f>
        <v>2171</v>
      </c>
      <c r="O40" s="1">
        <f ca="1">IFERROR(__xludf.DUMMYFUNCTION("""COMPUTED_VALUE"""),2255)</f>
        <v>2255</v>
      </c>
      <c r="P40" s="1">
        <f ca="1">IFERROR(__xludf.DUMMYFUNCTION("""COMPUTED_VALUE"""),1220)</f>
        <v>1220</v>
      </c>
      <c r="Q40" s="1">
        <f ca="1">IFERROR(__xludf.DUMMYFUNCTION("""COMPUTED_VALUE"""),755)</f>
        <v>755</v>
      </c>
      <c r="R40" s="1">
        <f ca="1">IFERROR(__xludf.DUMMYFUNCTION("""COMPUTED_VALUE"""),1812)</f>
        <v>1812</v>
      </c>
      <c r="S40" s="1">
        <f ca="1">IFERROR(__xludf.DUMMYFUNCTION("""COMPUTED_VALUE"""),0.417)</f>
        <v>0.41699999999999998</v>
      </c>
      <c r="T40" s="1">
        <f ca="1">IFERROR(__xludf.DUMMYFUNCTION("""COMPUTED_VALUE"""),238)</f>
        <v>238</v>
      </c>
      <c r="U40" s="1">
        <f ca="1">IFERROR(__xludf.DUMMYFUNCTION("""COMPUTED_VALUE"""),681)</f>
        <v>681</v>
      </c>
      <c r="V40" s="1">
        <f ca="1">IFERROR(__xludf.DUMMYFUNCTION("""COMPUTED_VALUE"""),0.349)</f>
        <v>0.34899999999999998</v>
      </c>
      <c r="W40" s="1">
        <f ca="1">IFERROR(__xludf.DUMMYFUNCTION("""COMPUTED_VALUE"""),423)</f>
        <v>423</v>
      </c>
      <c r="X40" s="1">
        <f ca="1">IFERROR(__xludf.DUMMYFUNCTION("""COMPUTED_VALUE"""),626)</f>
        <v>626</v>
      </c>
      <c r="Y40" s="1">
        <f ca="1">IFERROR(__xludf.DUMMYFUNCTION("""COMPUTED_VALUE"""),0.676)</f>
        <v>0.67600000000000005</v>
      </c>
      <c r="Z40" s="1">
        <f ca="1">IFERROR(__xludf.DUMMYFUNCTION("""COMPUTED_VALUE"""),351)</f>
        <v>351</v>
      </c>
      <c r="AA40" s="1">
        <f ca="1">IFERROR(__xludf.DUMMYFUNCTION("""COMPUTED_VALUE"""),1095)</f>
        <v>1095</v>
      </c>
      <c r="AB40" s="1">
        <f ca="1">IFERROR(__xludf.DUMMYFUNCTION("""COMPUTED_VALUE"""),425)</f>
        <v>425</v>
      </c>
      <c r="AC40" s="1">
        <f ca="1">IFERROR(__xludf.DUMMYFUNCTION("""COMPUTED_VALUE"""),163)</f>
        <v>163</v>
      </c>
      <c r="AD40" s="1">
        <f ca="1">IFERROR(__xludf.DUMMYFUNCTION("""COMPUTED_VALUE"""),96)</f>
        <v>96</v>
      </c>
      <c r="AE40" s="1">
        <f ca="1">IFERROR(__xludf.DUMMYFUNCTION("""COMPUTED_VALUE"""),308)</f>
        <v>308</v>
      </c>
      <c r="AF40" s="1">
        <f ca="1">IFERROR(__xludf.DUMMYFUNCTION("""COMPUTED_VALUE"""),602)</f>
        <v>602</v>
      </c>
    </row>
    <row r="41" spans="1:32" ht="12.5" x14ac:dyDescent="0.25">
      <c r="A41" s="1" t="str">
        <f ca="1">IFERROR(__xludf.DUMMYFUNCTION("""COMPUTED_VALUE"""),"Cal State BakersfieldNCAA")</f>
        <v>Cal State BakersfieldNCAA</v>
      </c>
      <c r="B41" s="1">
        <f ca="1">IFERROR(__xludf.DUMMYFUNCTION("""COMPUTED_VALUE"""),33)</f>
        <v>33</v>
      </c>
      <c r="C41" s="1">
        <f ca="1">IFERROR(__xludf.DUMMYFUNCTION("""COMPUTED_VALUE"""),24)</f>
        <v>24</v>
      </c>
      <c r="D41" s="1">
        <f ca="1">IFERROR(__xludf.DUMMYFUNCTION("""COMPUTED_VALUE"""),9)</f>
        <v>9</v>
      </c>
      <c r="E41" s="1">
        <f ca="1">IFERROR(__xludf.DUMMYFUNCTION("""COMPUTED_VALUE"""),0.727)</f>
        <v>0.72699999999999998</v>
      </c>
      <c r="F41" s="1">
        <f ca="1">IFERROR(__xludf.DUMMYFUNCTION("""COMPUTED_VALUE"""),2.58)</f>
        <v>2.58</v>
      </c>
      <c r="G41" s="1">
        <f ca="1">IFERROR(__xludf.DUMMYFUNCTION("""COMPUTED_VALUE"""),-5.15)</f>
        <v>-5.15</v>
      </c>
      <c r="H41" s="1">
        <f ca="1">IFERROR(__xludf.DUMMYFUNCTION("""COMPUTED_VALUE"""),11)</f>
        <v>11</v>
      </c>
      <c r="I41" s="1">
        <f ca="1">IFERROR(__xludf.DUMMYFUNCTION("""COMPUTED_VALUE"""),3)</f>
        <v>3</v>
      </c>
      <c r="J41" s="1">
        <f ca="1">IFERROR(__xludf.DUMMYFUNCTION("""COMPUTED_VALUE"""),14)</f>
        <v>14</v>
      </c>
      <c r="K41" s="1">
        <f ca="1">IFERROR(__xludf.DUMMYFUNCTION("""COMPUTED_VALUE"""),1)</f>
        <v>1</v>
      </c>
      <c r="L41" s="1">
        <f ca="1">IFERROR(__xludf.DUMMYFUNCTION("""COMPUTED_VALUE"""),7)</f>
        <v>7</v>
      </c>
      <c r="M41" s="1">
        <f ca="1">IFERROR(__xludf.DUMMYFUNCTION("""COMPUTED_VALUE"""),7)</f>
        <v>7</v>
      </c>
      <c r="N41" s="1">
        <f ca="1">IFERROR(__xludf.DUMMYFUNCTION("""COMPUTED_VALUE"""),2405)</f>
        <v>2405</v>
      </c>
      <c r="O41" s="1">
        <f ca="1">IFERROR(__xludf.DUMMYFUNCTION("""COMPUTED_VALUE"""),2104)</f>
        <v>2104</v>
      </c>
      <c r="P41" s="1">
        <f ca="1">IFERROR(__xludf.DUMMYFUNCTION("""COMPUTED_VALUE"""),1330)</f>
        <v>1330</v>
      </c>
      <c r="Q41" s="1">
        <f ca="1">IFERROR(__xludf.DUMMYFUNCTION("""COMPUTED_VALUE"""),875)</f>
        <v>875</v>
      </c>
      <c r="R41" s="1">
        <f ca="1">IFERROR(__xludf.DUMMYFUNCTION("""COMPUTED_VALUE"""),1939)</f>
        <v>1939</v>
      </c>
      <c r="S41" s="1">
        <f ca="1">IFERROR(__xludf.DUMMYFUNCTION("""COMPUTED_VALUE"""),0.451)</f>
        <v>0.45100000000000001</v>
      </c>
      <c r="T41" s="1">
        <f ca="1">IFERROR(__xludf.DUMMYFUNCTION("""COMPUTED_VALUE"""),179)</f>
        <v>179</v>
      </c>
      <c r="U41" s="1">
        <f ca="1">IFERROR(__xludf.DUMMYFUNCTION("""COMPUTED_VALUE"""),524)</f>
        <v>524</v>
      </c>
      <c r="V41" s="1">
        <f ca="1">IFERROR(__xludf.DUMMYFUNCTION("""COMPUTED_VALUE"""),0.342)</f>
        <v>0.34200000000000003</v>
      </c>
      <c r="W41" s="1">
        <f ca="1">IFERROR(__xludf.DUMMYFUNCTION("""COMPUTED_VALUE"""),476)</f>
        <v>476</v>
      </c>
      <c r="X41" s="1">
        <f ca="1">IFERROR(__xludf.DUMMYFUNCTION("""COMPUTED_VALUE"""),726)</f>
        <v>726</v>
      </c>
      <c r="Y41" s="1">
        <f ca="1">IFERROR(__xludf.DUMMYFUNCTION("""COMPUTED_VALUE"""),0.656)</f>
        <v>0.65600000000000003</v>
      </c>
      <c r="Z41" s="1">
        <f ca="1">IFERROR(__xludf.DUMMYFUNCTION("""COMPUTED_VALUE"""),414)</f>
        <v>414</v>
      </c>
      <c r="AA41" s="1">
        <f ca="1">IFERROR(__xludf.DUMMYFUNCTION("""COMPUTED_VALUE"""),1263)</f>
        <v>1263</v>
      </c>
      <c r="AB41" s="1">
        <f ca="1">IFERROR(__xludf.DUMMYFUNCTION("""COMPUTED_VALUE"""),516)</f>
        <v>516</v>
      </c>
      <c r="AC41" s="1">
        <f ca="1">IFERROR(__xludf.DUMMYFUNCTION("""COMPUTED_VALUE"""),263)</f>
        <v>263</v>
      </c>
      <c r="AD41" s="1">
        <f ca="1">IFERROR(__xludf.DUMMYFUNCTION("""COMPUTED_VALUE"""),165)</f>
        <v>165</v>
      </c>
      <c r="AE41" s="1">
        <f ca="1">IFERROR(__xludf.DUMMYFUNCTION("""COMPUTED_VALUE"""),405)</f>
        <v>405</v>
      </c>
      <c r="AF41" s="1">
        <f ca="1">IFERROR(__xludf.DUMMYFUNCTION("""COMPUTED_VALUE"""),707)</f>
        <v>707</v>
      </c>
    </row>
    <row r="42" spans="1:32" ht="12.5" x14ac:dyDescent="0.25">
      <c r="A42" s="1" t="str">
        <f ca="1">IFERROR(__xludf.DUMMYFUNCTION("""COMPUTED_VALUE"""),"Cal State Fullerton")</f>
        <v>Cal State Fullerton</v>
      </c>
      <c r="B42" s="1">
        <f ca="1">IFERROR(__xludf.DUMMYFUNCTION("""COMPUTED_VALUE"""),30)</f>
        <v>30</v>
      </c>
      <c r="C42" s="1">
        <f ca="1">IFERROR(__xludf.DUMMYFUNCTION("""COMPUTED_VALUE"""),10)</f>
        <v>10</v>
      </c>
      <c r="D42" s="1">
        <f ca="1">IFERROR(__xludf.DUMMYFUNCTION("""COMPUTED_VALUE"""),20)</f>
        <v>20</v>
      </c>
      <c r="E42" s="1">
        <f ca="1">IFERROR(__xludf.DUMMYFUNCTION("""COMPUTED_VALUE"""),0.333)</f>
        <v>0.33300000000000002</v>
      </c>
      <c r="F42" s="1">
        <f ca="1">IFERROR(__xludf.DUMMYFUNCTION("""COMPUTED_VALUE"""),-7.12)</f>
        <v>-7.12</v>
      </c>
      <c r="G42" s="1">
        <f ca="1">IFERROR(__xludf.DUMMYFUNCTION("""COMPUTED_VALUE"""),-0.76)</f>
        <v>-0.76</v>
      </c>
      <c r="H42" s="1">
        <f ca="1">IFERROR(__xludf.DUMMYFUNCTION("""COMPUTED_VALUE"""),3)</f>
        <v>3</v>
      </c>
      <c r="I42" s="1">
        <f ca="1">IFERROR(__xludf.DUMMYFUNCTION("""COMPUTED_VALUE"""),13)</f>
        <v>13</v>
      </c>
      <c r="J42" s="1">
        <f ca="1">IFERROR(__xludf.DUMMYFUNCTION("""COMPUTED_VALUE"""),5)</f>
        <v>5</v>
      </c>
      <c r="K42" s="1">
        <f ca="1">IFERROR(__xludf.DUMMYFUNCTION("""COMPUTED_VALUE"""),8)</f>
        <v>8</v>
      </c>
      <c r="L42" s="1">
        <f ca="1">IFERROR(__xludf.DUMMYFUNCTION("""COMPUTED_VALUE"""),5)</f>
        <v>5</v>
      </c>
      <c r="M42" s="1">
        <f ca="1">IFERROR(__xludf.DUMMYFUNCTION("""COMPUTED_VALUE"""),9)</f>
        <v>9</v>
      </c>
      <c r="N42" s="1">
        <f ca="1">IFERROR(__xludf.DUMMYFUNCTION("""COMPUTED_VALUE"""),2104)</f>
        <v>2104</v>
      </c>
      <c r="O42" s="1">
        <f ca="1">IFERROR(__xludf.DUMMYFUNCTION("""COMPUTED_VALUE"""),2227)</f>
        <v>2227</v>
      </c>
      <c r="P42" s="1">
        <f ca="1">IFERROR(__xludf.DUMMYFUNCTION("""COMPUTED_VALUE"""),1205)</f>
        <v>1205</v>
      </c>
      <c r="Q42" s="1">
        <f ca="1">IFERROR(__xludf.DUMMYFUNCTION("""COMPUTED_VALUE"""),698)</f>
        <v>698</v>
      </c>
      <c r="R42" s="1">
        <f ca="1">IFERROR(__xludf.DUMMYFUNCTION("""COMPUTED_VALUE"""),1703)</f>
        <v>1703</v>
      </c>
      <c r="S42" s="1">
        <f ca="1">IFERROR(__xludf.DUMMYFUNCTION("""COMPUTED_VALUE"""),0.41)</f>
        <v>0.41</v>
      </c>
      <c r="T42" s="1">
        <f ca="1">IFERROR(__xludf.DUMMYFUNCTION("""COMPUTED_VALUE"""),193)</f>
        <v>193</v>
      </c>
      <c r="U42" s="1">
        <f ca="1">IFERROR(__xludf.DUMMYFUNCTION("""COMPUTED_VALUE"""),582)</f>
        <v>582</v>
      </c>
      <c r="V42" s="1">
        <f ca="1">IFERROR(__xludf.DUMMYFUNCTION("""COMPUTED_VALUE"""),0.332)</f>
        <v>0.33200000000000002</v>
      </c>
      <c r="W42" s="1">
        <f ca="1">IFERROR(__xludf.DUMMYFUNCTION("""COMPUTED_VALUE"""),515)</f>
        <v>515</v>
      </c>
      <c r="X42" s="1">
        <f ca="1">IFERROR(__xludf.DUMMYFUNCTION("""COMPUTED_VALUE"""),743)</f>
        <v>743</v>
      </c>
      <c r="Y42" s="1">
        <f ca="1">IFERROR(__xludf.DUMMYFUNCTION("""COMPUTED_VALUE"""),0.693)</f>
        <v>0.69299999999999995</v>
      </c>
      <c r="Z42" s="1">
        <f ca="1">IFERROR(__xludf.DUMMYFUNCTION("""COMPUTED_VALUE"""),335)</f>
        <v>335</v>
      </c>
      <c r="AA42" s="1">
        <f ca="1">IFERROR(__xludf.DUMMYFUNCTION("""COMPUTED_VALUE"""),1116)</f>
        <v>1116</v>
      </c>
      <c r="AB42" s="1">
        <f ca="1">IFERROR(__xludf.DUMMYFUNCTION("""COMPUTED_VALUE"""),304)</f>
        <v>304</v>
      </c>
      <c r="AC42" s="1">
        <f ca="1">IFERROR(__xludf.DUMMYFUNCTION("""COMPUTED_VALUE"""),147)</f>
        <v>147</v>
      </c>
      <c r="AD42" s="1">
        <f ca="1">IFERROR(__xludf.DUMMYFUNCTION("""COMPUTED_VALUE"""),48)</f>
        <v>48</v>
      </c>
      <c r="AE42" s="1">
        <f ca="1">IFERROR(__xludf.DUMMYFUNCTION("""COMPUTED_VALUE"""),393)</f>
        <v>393</v>
      </c>
      <c r="AF42" s="1">
        <f ca="1">IFERROR(__xludf.DUMMYFUNCTION("""COMPUTED_VALUE"""),610)</f>
        <v>610</v>
      </c>
    </row>
    <row r="43" spans="1:32" ht="12.5" x14ac:dyDescent="0.25">
      <c r="A43" s="1" t="str">
        <f ca="1">IFERROR(__xludf.DUMMYFUNCTION("""COMPUTED_VALUE"""),"Cal State Northridge")</f>
        <v>Cal State Northridge</v>
      </c>
      <c r="B43" s="1">
        <f ca="1">IFERROR(__xludf.DUMMYFUNCTION("""COMPUTED_VALUE"""),30)</f>
        <v>30</v>
      </c>
      <c r="C43" s="1">
        <f ca="1">IFERROR(__xludf.DUMMYFUNCTION("""COMPUTED_VALUE"""),10)</f>
        <v>10</v>
      </c>
      <c r="D43" s="1">
        <f ca="1">IFERROR(__xludf.DUMMYFUNCTION("""COMPUTED_VALUE"""),20)</f>
        <v>20</v>
      </c>
      <c r="E43" s="1">
        <f ca="1">IFERROR(__xludf.DUMMYFUNCTION("""COMPUTED_VALUE"""),0.333)</f>
        <v>0.33300000000000002</v>
      </c>
      <c r="F43" s="1">
        <f ca="1">IFERROR(__xludf.DUMMYFUNCTION("""COMPUTED_VALUE"""),-6.85)</f>
        <v>-6.85</v>
      </c>
      <c r="G43" s="1">
        <f ca="1">IFERROR(__xludf.DUMMYFUNCTION("""COMPUTED_VALUE"""),-0.85)</f>
        <v>-0.85</v>
      </c>
      <c r="H43" s="1">
        <f ca="1">IFERROR(__xludf.DUMMYFUNCTION("""COMPUTED_VALUE"""),5)</f>
        <v>5</v>
      </c>
      <c r="I43" s="1">
        <f ca="1">IFERROR(__xludf.DUMMYFUNCTION("""COMPUTED_VALUE"""),11)</f>
        <v>11</v>
      </c>
      <c r="J43" s="1">
        <f ca="1">IFERROR(__xludf.DUMMYFUNCTION("""COMPUTED_VALUE"""),5)</f>
        <v>5</v>
      </c>
      <c r="K43" s="1">
        <f ca="1">IFERROR(__xludf.DUMMYFUNCTION("""COMPUTED_VALUE"""),7)</f>
        <v>7</v>
      </c>
      <c r="L43" s="1">
        <f ca="1">IFERROR(__xludf.DUMMYFUNCTION("""COMPUTED_VALUE"""),4)</f>
        <v>4</v>
      </c>
      <c r="M43" s="1">
        <f ca="1">IFERROR(__xludf.DUMMYFUNCTION("""COMPUTED_VALUE"""),12)</f>
        <v>12</v>
      </c>
      <c r="N43" s="1">
        <f ca="1">IFERROR(__xludf.DUMMYFUNCTION("""COMPUTED_VALUE"""),2143)</f>
        <v>2143</v>
      </c>
      <c r="O43" s="1">
        <f ca="1">IFERROR(__xludf.DUMMYFUNCTION("""COMPUTED_VALUE"""),2261)</f>
        <v>2261</v>
      </c>
      <c r="P43" s="1">
        <f ca="1">IFERROR(__xludf.DUMMYFUNCTION("""COMPUTED_VALUE"""),1225)</f>
        <v>1225</v>
      </c>
      <c r="Q43" s="1">
        <f ca="1">IFERROR(__xludf.DUMMYFUNCTION("""COMPUTED_VALUE"""),745)</f>
        <v>745</v>
      </c>
      <c r="R43" s="1">
        <f ca="1">IFERROR(__xludf.DUMMYFUNCTION("""COMPUTED_VALUE"""),1723)</f>
        <v>1723</v>
      </c>
      <c r="S43" s="1">
        <f ca="1">IFERROR(__xludf.DUMMYFUNCTION("""COMPUTED_VALUE"""),0.432)</f>
        <v>0.432</v>
      </c>
      <c r="T43" s="1">
        <f ca="1">IFERROR(__xludf.DUMMYFUNCTION("""COMPUTED_VALUE"""),126)</f>
        <v>126</v>
      </c>
      <c r="U43" s="1">
        <f ca="1">IFERROR(__xludf.DUMMYFUNCTION("""COMPUTED_VALUE"""),425)</f>
        <v>425</v>
      </c>
      <c r="V43" s="1">
        <f ca="1">IFERROR(__xludf.DUMMYFUNCTION("""COMPUTED_VALUE"""),0.296)</f>
        <v>0.29599999999999999</v>
      </c>
      <c r="W43" s="1">
        <f ca="1">IFERROR(__xludf.DUMMYFUNCTION("""COMPUTED_VALUE"""),527)</f>
        <v>527</v>
      </c>
      <c r="X43" s="1">
        <f ca="1">IFERROR(__xludf.DUMMYFUNCTION("""COMPUTED_VALUE"""),735)</f>
        <v>735</v>
      </c>
      <c r="Y43" s="1">
        <f ca="1">IFERROR(__xludf.DUMMYFUNCTION("""COMPUTED_VALUE"""),0.717)</f>
        <v>0.71699999999999997</v>
      </c>
      <c r="Z43" s="1">
        <f ca="1">IFERROR(__xludf.DUMMYFUNCTION("""COMPUTED_VALUE"""),303)</f>
        <v>303</v>
      </c>
      <c r="AA43" s="1">
        <f ca="1">IFERROR(__xludf.DUMMYFUNCTION("""COMPUTED_VALUE"""),1086)</f>
        <v>1086</v>
      </c>
      <c r="AB43" s="1">
        <f ca="1">IFERROR(__xludf.DUMMYFUNCTION("""COMPUTED_VALUE"""),423)</f>
        <v>423</v>
      </c>
      <c r="AC43" s="1">
        <f ca="1">IFERROR(__xludf.DUMMYFUNCTION("""COMPUTED_VALUE"""),203)</f>
        <v>203</v>
      </c>
      <c r="AD43" s="1">
        <f ca="1">IFERROR(__xludf.DUMMYFUNCTION("""COMPUTED_VALUE"""),96)</f>
        <v>96</v>
      </c>
      <c r="AE43" s="1">
        <f ca="1">IFERROR(__xludf.DUMMYFUNCTION("""COMPUTED_VALUE"""),420)</f>
        <v>420</v>
      </c>
      <c r="AF43" s="1">
        <f ca="1">IFERROR(__xludf.DUMMYFUNCTION("""COMPUTED_VALUE"""),604)</f>
        <v>604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IFERROR(__xludf.DUMMYFUNCTION("""COMPUTED_VALUE"""),"UC-Davis")</f>
        <v>UC-Davis</v>
      </c>
      <c r="B46" s="1">
        <f ca="1">IFERROR(__xludf.DUMMYFUNCTION("""COMPUTED_VALUE"""),30)</f>
        <v>30</v>
      </c>
      <c r="C46" s="1">
        <f ca="1">IFERROR(__xludf.DUMMYFUNCTION("""COMPUTED_VALUE"""),11)</f>
        <v>11</v>
      </c>
      <c r="D46" s="1">
        <f ca="1">IFERROR(__xludf.DUMMYFUNCTION("""COMPUTED_VALUE"""),19)</f>
        <v>19</v>
      </c>
      <c r="E46" s="1">
        <f ca="1">IFERROR(__xludf.DUMMYFUNCTION("""COMPUTED_VALUE"""),0.367)</f>
        <v>0.36699999999999999</v>
      </c>
      <c r="F46" s="1">
        <f ca="1">IFERROR(__xludf.DUMMYFUNCTION("""COMPUTED_VALUE"""),-5.58)</f>
        <v>-5.58</v>
      </c>
      <c r="G46" s="1">
        <f ca="1">IFERROR(__xludf.DUMMYFUNCTION("""COMPUTED_VALUE"""),-1.26)</f>
        <v>-1.26</v>
      </c>
      <c r="H46" s="1">
        <f ca="1">IFERROR(__xludf.DUMMYFUNCTION("""COMPUTED_VALUE"""),6)</f>
        <v>6</v>
      </c>
      <c r="I46" s="1">
        <f ca="1">IFERROR(__xludf.DUMMYFUNCTION("""COMPUTED_VALUE"""),10)</f>
        <v>10</v>
      </c>
      <c r="J46" s="1">
        <f ca="1">IFERROR(__xludf.DUMMYFUNCTION("""COMPUTED_VALUE"""),8)</f>
        <v>8</v>
      </c>
      <c r="K46" s="1">
        <f ca="1">IFERROR(__xludf.DUMMYFUNCTION("""COMPUTED_VALUE"""),7)</f>
        <v>7</v>
      </c>
      <c r="L46" s="1">
        <f ca="1">IFERROR(__xludf.DUMMYFUNCTION("""COMPUTED_VALUE"""),3)</f>
        <v>3</v>
      </c>
      <c r="M46" s="1">
        <f ca="1">IFERROR(__xludf.DUMMYFUNCTION("""COMPUTED_VALUE"""),11)</f>
        <v>11</v>
      </c>
      <c r="N46" s="1">
        <f ca="1">IFERROR(__xludf.DUMMYFUNCTION("""COMPUTED_VALUE"""),1914)</f>
        <v>1914</v>
      </c>
      <c r="O46" s="1">
        <f ca="1">IFERROR(__xludf.DUMMYFUNCTION("""COMPUTED_VALUE"""),1980)</f>
        <v>1980</v>
      </c>
      <c r="P46" s="1">
        <f ca="1">IFERROR(__xludf.DUMMYFUNCTION("""COMPUTED_VALUE"""),1225)</f>
        <v>1225</v>
      </c>
      <c r="Q46" s="1">
        <f ca="1">IFERROR(__xludf.DUMMYFUNCTION("""COMPUTED_VALUE"""),697)</f>
        <v>697</v>
      </c>
      <c r="R46" s="1">
        <f ca="1">IFERROR(__xludf.DUMMYFUNCTION("""COMPUTED_VALUE"""),1608)</f>
        <v>1608</v>
      </c>
      <c r="S46" s="1">
        <f ca="1">IFERROR(__xludf.DUMMYFUNCTION("""COMPUTED_VALUE"""),0.433)</f>
        <v>0.433</v>
      </c>
      <c r="T46" s="1">
        <f ca="1">IFERROR(__xludf.DUMMYFUNCTION("""COMPUTED_VALUE"""),164)</f>
        <v>164</v>
      </c>
      <c r="U46" s="1">
        <f ca="1">IFERROR(__xludf.DUMMYFUNCTION("""COMPUTED_VALUE"""),463)</f>
        <v>463</v>
      </c>
      <c r="V46" s="1">
        <f ca="1">IFERROR(__xludf.DUMMYFUNCTION("""COMPUTED_VALUE"""),0.354)</f>
        <v>0.35399999999999998</v>
      </c>
      <c r="W46" s="1">
        <f ca="1">IFERROR(__xludf.DUMMYFUNCTION("""COMPUTED_VALUE"""),356)</f>
        <v>356</v>
      </c>
      <c r="X46" s="1">
        <f ca="1">IFERROR(__xludf.DUMMYFUNCTION("""COMPUTED_VALUE"""),557)</f>
        <v>557</v>
      </c>
      <c r="Y46" s="1">
        <f ca="1">IFERROR(__xludf.DUMMYFUNCTION("""COMPUTED_VALUE"""),0.639)</f>
        <v>0.63900000000000001</v>
      </c>
      <c r="Z46" s="1">
        <f ca="1">IFERROR(__xludf.DUMMYFUNCTION("""COMPUTED_VALUE"""),256)</f>
        <v>256</v>
      </c>
      <c r="AA46" s="1">
        <f ca="1">IFERROR(__xludf.DUMMYFUNCTION("""COMPUTED_VALUE"""),1033)</f>
        <v>1033</v>
      </c>
      <c r="AB46" s="1">
        <f ca="1">IFERROR(__xludf.DUMMYFUNCTION("""COMPUTED_VALUE"""),342)</f>
        <v>342</v>
      </c>
      <c r="AC46" s="1">
        <f ca="1">IFERROR(__xludf.DUMMYFUNCTION("""COMPUTED_VALUE"""),186)</f>
        <v>186</v>
      </c>
      <c r="AD46" s="1">
        <f ca="1">IFERROR(__xludf.DUMMYFUNCTION("""COMPUTED_VALUE"""),49)</f>
        <v>49</v>
      </c>
      <c r="AE46" s="1">
        <f ca="1">IFERROR(__xludf.DUMMYFUNCTION("""COMPUTED_VALUE"""),427)</f>
        <v>427</v>
      </c>
      <c r="AF46" s="1">
        <f ca="1">IFERROR(__xludf.DUMMYFUNCTION("""COMPUTED_VALUE"""),531)</f>
        <v>531</v>
      </c>
    </row>
    <row r="47" spans="1:32" ht="12.5" x14ac:dyDescent="0.25">
      <c r="A47" s="1" t="str">
        <f ca="1">IFERROR(__xludf.DUMMYFUNCTION("""COMPUTED_VALUE"""),"UC-Irvine")</f>
        <v>UC-Irvine</v>
      </c>
      <c r="B47" s="1">
        <f ca="1">IFERROR(__xludf.DUMMYFUNCTION("""COMPUTED_VALUE"""),38)</f>
        <v>38</v>
      </c>
      <c r="C47" s="1">
        <f ca="1">IFERROR(__xludf.DUMMYFUNCTION("""COMPUTED_VALUE"""),28)</f>
        <v>28</v>
      </c>
      <c r="D47" s="1">
        <f ca="1">IFERROR(__xludf.DUMMYFUNCTION("""COMPUTED_VALUE"""),10)</f>
        <v>10</v>
      </c>
      <c r="E47" s="1">
        <f ca="1">IFERROR(__xludf.DUMMYFUNCTION("""COMPUTED_VALUE"""),0.737)</f>
        <v>0.73699999999999999</v>
      </c>
      <c r="F47" s="1">
        <f ca="1">IFERROR(__xludf.DUMMYFUNCTION("""COMPUTED_VALUE"""),5.33)</f>
        <v>5.33</v>
      </c>
      <c r="G47" s="1">
        <f ca="1">IFERROR(__xludf.DUMMYFUNCTION("""COMPUTED_VALUE"""),0.77)</f>
        <v>0.77</v>
      </c>
      <c r="H47" s="1">
        <f ca="1">IFERROR(__xludf.DUMMYFUNCTION("""COMPUTED_VALUE"""),13)</f>
        <v>13</v>
      </c>
      <c r="I47" s="1">
        <f ca="1">IFERROR(__xludf.DUMMYFUNCTION("""COMPUTED_VALUE"""),3)</f>
        <v>3</v>
      </c>
      <c r="J47" s="1">
        <f ca="1">IFERROR(__xludf.DUMMYFUNCTION("""COMPUTED_VALUE"""),11)</f>
        <v>11</v>
      </c>
      <c r="K47" s="1">
        <f ca="1">IFERROR(__xludf.DUMMYFUNCTION("""COMPUTED_VALUE"""),2)</f>
        <v>2</v>
      </c>
      <c r="L47" s="1">
        <f ca="1">IFERROR(__xludf.DUMMYFUNCTION("""COMPUTED_VALUE"""),13)</f>
        <v>13</v>
      </c>
      <c r="M47" s="1">
        <f ca="1">IFERROR(__xludf.DUMMYFUNCTION("""COMPUTED_VALUE"""),5)</f>
        <v>5</v>
      </c>
      <c r="N47" s="1">
        <f ca="1">IFERROR(__xludf.DUMMYFUNCTION("""COMPUTED_VALUE"""),2706)</f>
        <v>2706</v>
      </c>
      <c r="O47" s="1">
        <f ca="1">IFERROR(__xludf.DUMMYFUNCTION("""COMPUTED_VALUE"""),2512)</f>
        <v>2512</v>
      </c>
      <c r="P47" s="1">
        <f ca="1">IFERROR(__xludf.DUMMYFUNCTION("""COMPUTED_VALUE"""),1535)</f>
        <v>1535</v>
      </c>
      <c r="Q47" s="1">
        <f ca="1">IFERROR(__xludf.DUMMYFUNCTION("""COMPUTED_VALUE"""),977)</f>
        <v>977</v>
      </c>
      <c r="R47" s="1">
        <f ca="1">IFERROR(__xludf.DUMMYFUNCTION("""COMPUTED_VALUE"""),2128)</f>
        <v>2128</v>
      </c>
      <c r="S47" s="1">
        <f ca="1">IFERROR(__xludf.DUMMYFUNCTION("""COMPUTED_VALUE"""),0.459)</f>
        <v>0.45900000000000002</v>
      </c>
      <c r="T47" s="1">
        <f ca="1">IFERROR(__xludf.DUMMYFUNCTION("""COMPUTED_VALUE"""),241)</f>
        <v>241</v>
      </c>
      <c r="U47" s="1">
        <f ca="1">IFERROR(__xludf.DUMMYFUNCTION("""COMPUTED_VALUE"""),652)</f>
        <v>652</v>
      </c>
      <c r="V47" s="1">
        <f ca="1">IFERROR(__xludf.DUMMYFUNCTION("""COMPUTED_VALUE"""),0.37)</f>
        <v>0.37</v>
      </c>
      <c r="W47" s="1">
        <f ca="1">IFERROR(__xludf.DUMMYFUNCTION("""COMPUTED_VALUE"""),511)</f>
        <v>511</v>
      </c>
      <c r="X47" s="1">
        <f ca="1">IFERROR(__xludf.DUMMYFUNCTION("""COMPUTED_VALUE"""),752)</f>
        <v>752</v>
      </c>
      <c r="Y47" s="1">
        <f ca="1">IFERROR(__xludf.DUMMYFUNCTION("""COMPUTED_VALUE"""),0.68)</f>
        <v>0.68</v>
      </c>
      <c r="Z47" s="1">
        <f ca="1">IFERROR(__xludf.DUMMYFUNCTION("""COMPUTED_VALUE"""),370)</f>
        <v>370</v>
      </c>
      <c r="AA47" s="1">
        <f ca="1">IFERROR(__xludf.DUMMYFUNCTION("""COMPUTED_VALUE"""),1416)</f>
        <v>1416</v>
      </c>
      <c r="AB47" s="1">
        <f ca="1">IFERROR(__xludf.DUMMYFUNCTION("""COMPUTED_VALUE"""),568)</f>
        <v>568</v>
      </c>
      <c r="AC47" s="1">
        <f ca="1">IFERROR(__xludf.DUMMYFUNCTION("""COMPUTED_VALUE"""),217)</f>
        <v>217</v>
      </c>
      <c r="AD47" s="1">
        <f ca="1">IFERROR(__xludf.DUMMYFUNCTION("""COMPUTED_VALUE"""),198)</f>
        <v>198</v>
      </c>
      <c r="AE47" s="1">
        <f ca="1">IFERROR(__xludf.DUMMYFUNCTION("""COMPUTED_VALUE"""),471)</f>
        <v>471</v>
      </c>
      <c r="AF47" s="1">
        <f ca="1">IFERROR(__xludf.DUMMYFUNCTION("""COMPUTED_VALUE"""),706)</f>
        <v>706</v>
      </c>
    </row>
    <row r="48" spans="1:32" ht="12.5" x14ac:dyDescent="0.25">
      <c r="A48" s="1" t="str">
        <f ca="1">IFERROR(__xludf.DUMMYFUNCTION("""COMPUTED_VALUE"""),"UC-Riverside")</f>
        <v>UC-Riverside</v>
      </c>
      <c r="B48" s="1">
        <f ca="1">IFERROR(__xludf.DUMMYFUNCTION("""COMPUTED_VALUE"""),33)</f>
        <v>33</v>
      </c>
      <c r="C48" s="1">
        <f ca="1">IFERROR(__xludf.DUMMYFUNCTION("""COMPUTED_VALUE"""),14)</f>
        <v>14</v>
      </c>
      <c r="D48" s="1">
        <f ca="1">IFERROR(__xludf.DUMMYFUNCTION("""COMPUTED_VALUE"""),19)</f>
        <v>19</v>
      </c>
      <c r="E48" s="1">
        <f ca="1">IFERROR(__xludf.DUMMYFUNCTION("""COMPUTED_VALUE"""),0.424)</f>
        <v>0.42399999999999999</v>
      </c>
      <c r="F48" s="1">
        <f ca="1">IFERROR(__xludf.DUMMYFUNCTION("""COMPUTED_VALUE"""),-5.66)</f>
        <v>-5.66</v>
      </c>
      <c r="G48" s="1">
        <f ca="1">IFERROR(__xludf.DUMMYFUNCTION("""COMPUTED_VALUE"""),-3.08)</f>
        <v>-3.08</v>
      </c>
      <c r="H48" s="1">
        <f ca="1">IFERROR(__xludf.DUMMYFUNCTION("""COMPUTED_VALUE"""),5)</f>
        <v>5</v>
      </c>
      <c r="I48" s="1">
        <f ca="1">IFERROR(__xludf.DUMMYFUNCTION("""COMPUTED_VALUE"""),11)</f>
        <v>11</v>
      </c>
      <c r="J48" s="1">
        <f ca="1">IFERROR(__xludf.DUMMYFUNCTION("""COMPUTED_VALUE"""),7)</f>
        <v>7</v>
      </c>
      <c r="K48" s="1">
        <f ca="1">IFERROR(__xludf.DUMMYFUNCTION("""COMPUTED_VALUE"""),9)</f>
        <v>9</v>
      </c>
      <c r="L48" s="1">
        <f ca="1">IFERROR(__xludf.DUMMYFUNCTION("""COMPUTED_VALUE"""),7)</f>
        <v>7</v>
      </c>
      <c r="M48" s="1">
        <f ca="1">IFERROR(__xludf.DUMMYFUNCTION("""COMPUTED_VALUE"""),9)</f>
        <v>9</v>
      </c>
      <c r="N48" s="1">
        <f ca="1">IFERROR(__xludf.DUMMYFUNCTION("""COMPUTED_VALUE"""),2299)</f>
        <v>2299</v>
      </c>
      <c r="O48" s="1">
        <f ca="1">IFERROR(__xludf.DUMMYFUNCTION("""COMPUTED_VALUE"""),2300)</f>
        <v>2300</v>
      </c>
      <c r="P48" s="1">
        <f ca="1">IFERROR(__xludf.DUMMYFUNCTION("""COMPUTED_VALUE"""),1320)</f>
        <v>1320</v>
      </c>
      <c r="Q48" s="1">
        <f ca="1">IFERROR(__xludf.DUMMYFUNCTION("""COMPUTED_VALUE"""),788)</f>
        <v>788</v>
      </c>
      <c r="R48" s="1">
        <f ca="1">IFERROR(__xludf.DUMMYFUNCTION("""COMPUTED_VALUE"""),1839)</f>
        <v>1839</v>
      </c>
      <c r="S48" s="1">
        <f ca="1">IFERROR(__xludf.DUMMYFUNCTION("""COMPUTED_VALUE"""),0.428)</f>
        <v>0.42799999999999999</v>
      </c>
      <c r="T48" s="1">
        <f ca="1">IFERROR(__xludf.DUMMYFUNCTION("""COMPUTED_VALUE"""),252)</f>
        <v>252</v>
      </c>
      <c r="U48" s="1">
        <f ca="1">IFERROR(__xludf.DUMMYFUNCTION("""COMPUTED_VALUE"""),716)</f>
        <v>716</v>
      </c>
      <c r="V48" s="1">
        <f ca="1">IFERROR(__xludf.DUMMYFUNCTION("""COMPUTED_VALUE"""),0.352)</f>
        <v>0.35199999999999998</v>
      </c>
      <c r="W48" s="1">
        <f ca="1">IFERROR(__xludf.DUMMYFUNCTION("""COMPUTED_VALUE"""),471)</f>
        <v>471</v>
      </c>
      <c r="X48" s="1">
        <f ca="1">IFERROR(__xludf.DUMMYFUNCTION("""COMPUTED_VALUE"""),670)</f>
        <v>670</v>
      </c>
      <c r="Y48" s="1">
        <f ca="1">IFERROR(__xludf.DUMMYFUNCTION("""COMPUTED_VALUE"""),0.703)</f>
        <v>0.70299999999999996</v>
      </c>
      <c r="Z48" s="1">
        <f ca="1">IFERROR(__xludf.DUMMYFUNCTION("""COMPUTED_VALUE"""),328)</f>
        <v>328</v>
      </c>
      <c r="AA48" s="1">
        <f ca="1">IFERROR(__xludf.DUMMYFUNCTION("""COMPUTED_VALUE"""),1164)</f>
        <v>1164</v>
      </c>
      <c r="AB48" s="1">
        <f ca="1">IFERROR(__xludf.DUMMYFUNCTION("""COMPUTED_VALUE"""),410)</f>
        <v>410</v>
      </c>
      <c r="AC48" s="1">
        <f ca="1">IFERROR(__xludf.DUMMYFUNCTION("""COMPUTED_VALUE"""),170)</f>
        <v>170</v>
      </c>
      <c r="AD48" s="1">
        <f ca="1">IFERROR(__xludf.DUMMYFUNCTION("""COMPUTED_VALUE"""),101)</f>
        <v>101</v>
      </c>
      <c r="AE48" s="1">
        <f ca="1">IFERROR(__xludf.DUMMYFUNCTION("""COMPUTED_VALUE"""),433)</f>
        <v>433</v>
      </c>
      <c r="AF48" s="1">
        <f ca="1">IFERROR(__xludf.DUMMYFUNCTION("""COMPUTED_VALUE"""),654)</f>
        <v>654</v>
      </c>
    </row>
    <row r="49" spans="1:32" ht="12.5" x14ac:dyDescent="0.25">
      <c r="A49" s="1" t="str">
        <f ca="1">IFERROR(__xludf.DUMMYFUNCTION("""COMPUTED_VALUE"""),"UC-Santa Barbara")</f>
        <v>UC-Santa Barbara</v>
      </c>
      <c r="B49" s="1">
        <f ca="1">IFERROR(__xludf.DUMMYFUNCTION("""COMPUTED_VALUE"""),33)</f>
        <v>33</v>
      </c>
      <c r="C49" s="1">
        <f ca="1">IFERROR(__xludf.DUMMYFUNCTION("""COMPUTED_VALUE"""),19)</f>
        <v>19</v>
      </c>
      <c r="D49" s="1">
        <f ca="1">IFERROR(__xludf.DUMMYFUNCTION("""COMPUTED_VALUE"""),14)</f>
        <v>14</v>
      </c>
      <c r="E49" s="1">
        <f ca="1">IFERROR(__xludf.DUMMYFUNCTION("""COMPUTED_VALUE"""),0.576)</f>
        <v>0.57599999999999996</v>
      </c>
      <c r="F49" s="1">
        <f ca="1">IFERROR(__xludf.DUMMYFUNCTION("""COMPUTED_VALUE"""),3.79)</f>
        <v>3.79</v>
      </c>
      <c r="G49" s="1">
        <f ca="1">IFERROR(__xludf.DUMMYFUNCTION("""COMPUTED_VALUE"""),1.44)</f>
        <v>1.44</v>
      </c>
      <c r="H49" s="1">
        <f ca="1">IFERROR(__xludf.DUMMYFUNCTION("""COMPUTED_VALUE"""),11)</f>
        <v>11</v>
      </c>
      <c r="I49" s="1">
        <f ca="1">IFERROR(__xludf.DUMMYFUNCTION("""COMPUTED_VALUE"""),5)</f>
        <v>5</v>
      </c>
      <c r="J49" s="1">
        <f ca="1">IFERROR(__xludf.DUMMYFUNCTION("""COMPUTED_VALUE"""),6)</f>
        <v>6</v>
      </c>
      <c r="K49" s="1">
        <f ca="1">IFERROR(__xludf.DUMMYFUNCTION("""COMPUTED_VALUE"""),5)</f>
        <v>5</v>
      </c>
      <c r="L49" s="1">
        <f ca="1">IFERROR(__xludf.DUMMYFUNCTION("""COMPUTED_VALUE"""),10)</f>
        <v>10</v>
      </c>
      <c r="M49" s="1">
        <f ca="1">IFERROR(__xludf.DUMMYFUNCTION("""COMPUTED_VALUE"""),6)</f>
        <v>6</v>
      </c>
      <c r="N49" s="1">
        <f ca="1">IFERROR(__xludf.DUMMYFUNCTION("""COMPUTED_VALUE"""),2335)</f>
        <v>2335</v>
      </c>
      <c r="O49" s="1">
        <f ca="1">IFERROR(__xludf.DUMMYFUNCTION("""COMPUTED_VALUE"""),2219)</f>
        <v>2219</v>
      </c>
      <c r="P49" s="1">
        <f ca="1">IFERROR(__xludf.DUMMYFUNCTION("""COMPUTED_VALUE"""),1325)</f>
        <v>1325</v>
      </c>
      <c r="Q49" s="1">
        <f ca="1">IFERROR(__xludf.DUMMYFUNCTION("""COMPUTED_VALUE"""),859)</f>
        <v>859</v>
      </c>
      <c r="R49" s="1">
        <f ca="1">IFERROR(__xludf.DUMMYFUNCTION("""COMPUTED_VALUE"""),1944)</f>
        <v>1944</v>
      </c>
      <c r="S49" s="1">
        <f ca="1">IFERROR(__xludf.DUMMYFUNCTION("""COMPUTED_VALUE"""),0.442)</f>
        <v>0.442</v>
      </c>
      <c r="T49" s="1">
        <f ca="1">IFERROR(__xludf.DUMMYFUNCTION("""COMPUTED_VALUE"""),251)</f>
        <v>251</v>
      </c>
      <c r="U49" s="1">
        <f ca="1">IFERROR(__xludf.DUMMYFUNCTION("""COMPUTED_VALUE"""),697)</f>
        <v>697</v>
      </c>
      <c r="V49" s="1">
        <f ca="1">IFERROR(__xludf.DUMMYFUNCTION("""COMPUTED_VALUE"""),0.36)</f>
        <v>0.36</v>
      </c>
      <c r="W49" s="1">
        <f ca="1">IFERROR(__xludf.DUMMYFUNCTION("""COMPUTED_VALUE"""),366)</f>
        <v>366</v>
      </c>
      <c r="X49" s="1">
        <f ca="1">IFERROR(__xludf.DUMMYFUNCTION("""COMPUTED_VALUE"""),522)</f>
        <v>522</v>
      </c>
      <c r="Y49" s="1">
        <f ca="1">IFERROR(__xludf.DUMMYFUNCTION("""COMPUTED_VALUE"""),0.701)</f>
        <v>0.70099999999999996</v>
      </c>
      <c r="Z49" s="1">
        <f ca="1">IFERROR(__xludf.DUMMYFUNCTION("""COMPUTED_VALUE"""),345)</f>
        <v>345</v>
      </c>
      <c r="AA49" s="1">
        <f ca="1">IFERROR(__xludf.DUMMYFUNCTION("""COMPUTED_VALUE"""),1235)</f>
        <v>1235</v>
      </c>
      <c r="AB49" s="1">
        <f ca="1">IFERROR(__xludf.DUMMYFUNCTION("""COMPUTED_VALUE"""),496)</f>
        <v>496</v>
      </c>
      <c r="AC49" s="1">
        <f ca="1">IFERROR(__xludf.DUMMYFUNCTION("""COMPUTED_VALUE"""),195)</f>
        <v>195</v>
      </c>
      <c r="AD49" s="1">
        <f ca="1">IFERROR(__xludf.DUMMYFUNCTION("""COMPUTED_VALUE"""),98)</f>
        <v>98</v>
      </c>
      <c r="AE49" s="1">
        <f ca="1">IFERROR(__xludf.DUMMYFUNCTION("""COMPUTED_VALUE"""),419)</f>
        <v>419</v>
      </c>
      <c r="AF49" s="1">
        <f ca="1">IFERROR(__xludf.DUMMYFUNCTION("""COMPUTED_VALUE"""),647)</f>
        <v>647</v>
      </c>
    </row>
    <row r="50" spans="1:32" ht="12.5" x14ac:dyDescent="0.25">
      <c r="A50" s="1" t="str">
        <f ca="1">IFERROR(__xludf.DUMMYFUNCTION("""COMPUTED_VALUE"""),"University of CaliforniaNCAA")</f>
        <v>University of CaliforniaNCAA</v>
      </c>
      <c r="B50" s="1">
        <f ca="1">IFERROR(__xludf.DUMMYFUNCTION("""COMPUTED_VALUE"""),34)</f>
        <v>34</v>
      </c>
      <c r="C50" s="1">
        <f ca="1">IFERROR(__xludf.DUMMYFUNCTION("""COMPUTED_VALUE"""),23)</f>
        <v>23</v>
      </c>
      <c r="D50" s="1">
        <f ca="1">IFERROR(__xludf.DUMMYFUNCTION("""COMPUTED_VALUE"""),11)</f>
        <v>11</v>
      </c>
      <c r="E50" s="1">
        <f ca="1">IFERROR(__xludf.DUMMYFUNCTION("""COMPUTED_VALUE"""),0.676)</f>
        <v>0.67600000000000005</v>
      </c>
      <c r="F50" s="1">
        <f ca="1">IFERROR(__xludf.DUMMYFUNCTION("""COMPUTED_VALUE"""),15.39)</f>
        <v>15.39</v>
      </c>
      <c r="G50" s="1">
        <f ca="1">IFERROR(__xludf.DUMMYFUNCTION("""COMPUTED_VALUE"""),7.87)</f>
        <v>7.87</v>
      </c>
      <c r="H50" s="1">
        <f ca="1">IFERROR(__xludf.DUMMYFUNCTION("""COMPUTED_VALUE"""),12)</f>
        <v>12</v>
      </c>
      <c r="I50" s="1">
        <f ca="1">IFERROR(__xludf.DUMMYFUNCTION("""COMPUTED_VALUE"""),6)</f>
        <v>6</v>
      </c>
      <c r="J50" s="1">
        <f ca="1">IFERROR(__xludf.DUMMYFUNCTION("""COMPUTED_VALUE"""),18)</f>
        <v>18</v>
      </c>
      <c r="K50" s="1">
        <f ca="1">IFERROR(__xludf.DUMMYFUNCTION("""COMPUTED_VALUE"""),0)</f>
        <v>0</v>
      </c>
      <c r="L50" s="1">
        <f ca="1">IFERROR(__xludf.DUMMYFUNCTION("""COMPUTED_VALUE"""),4)</f>
        <v>4</v>
      </c>
      <c r="M50" s="1">
        <f ca="1">IFERROR(__xludf.DUMMYFUNCTION("""COMPUTED_VALUE"""),7)</f>
        <v>7</v>
      </c>
      <c r="N50" s="1">
        <f ca="1">IFERROR(__xludf.DUMMYFUNCTION("""COMPUTED_VALUE"""),2545)</f>
        <v>2545</v>
      </c>
      <c r="O50" s="1">
        <f ca="1">IFERROR(__xludf.DUMMYFUNCTION("""COMPUTED_VALUE"""),2289)</f>
        <v>2289</v>
      </c>
      <c r="P50" s="1">
        <f ca="1">IFERROR(__xludf.DUMMYFUNCTION("""COMPUTED_VALUE"""),1375)</f>
        <v>1375</v>
      </c>
      <c r="Q50" s="1">
        <f ca="1">IFERROR(__xludf.DUMMYFUNCTION("""COMPUTED_VALUE"""),890)</f>
        <v>890</v>
      </c>
      <c r="R50" s="1">
        <f ca="1">IFERROR(__xludf.DUMMYFUNCTION("""COMPUTED_VALUE"""),1931)</f>
        <v>1931</v>
      </c>
      <c r="S50" s="1">
        <f ca="1">IFERROR(__xludf.DUMMYFUNCTION("""COMPUTED_VALUE"""),0.461)</f>
        <v>0.46100000000000002</v>
      </c>
      <c r="T50" s="1">
        <f ca="1">IFERROR(__xludf.DUMMYFUNCTION("""COMPUTED_VALUE"""),236)</f>
        <v>236</v>
      </c>
      <c r="U50" s="1">
        <f ca="1">IFERROR(__xludf.DUMMYFUNCTION("""COMPUTED_VALUE"""),651)</f>
        <v>651</v>
      </c>
      <c r="V50" s="1">
        <f ca="1">IFERROR(__xludf.DUMMYFUNCTION("""COMPUTED_VALUE"""),0.363)</f>
        <v>0.36299999999999999</v>
      </c>
      <c r="W50" s="1">
        <f ca="1">IFERROR(__xludf.DUMMYFUNCTION("""COMPUTED_VALUE"""),529)</f>
        <v>529</v>
      </c>
      <c r="X50" s="1">
        <f ca="1">IFERROR(__xludf.DUMMYFUNCTION("""COMPUTED_VALUE"""),806)</f>
        <v>806</v>
      </c>
      <c r="Y50" s="1">
        <f ca="1">IFERROR(__xludf.DUMMYFUNCTION("""COMPUTED_VALUE"""),0.656)</f>
        <v>0.65600000000000003</v>
      </c>
      <c r="Z50" s="1">
        <f ca="1">IFERROR(__xludf.DUMMYFUNCTION("""COMPUTED_VALUE"""),386)</f>
        <v>386</v>
      </c>
      <c r="AA50" s="1">
        <f ca="1">IFERROR(__xludf.DUMMYFUNCTION("""COMPUTED_VALUE"""),1349)</f>
        <v>1349</v>
      </c>
      <c r="AB50" s="1">
        <f ca="1">IFERROR(__xludf.DUMMYFUNCTION("""COMPUTED_VALUE"""),430)</f>
        <v>430</v>
      </c>
      <c r="AC50" s="1">
        <f ca="1">IFERROR(__xludf.DUMMYFUNCTION("""COMPUTED_VALUE"""),139)</f>
        <v>139</v>
      </c>
      <c r="AD50" s="1">
        <f ca="1">IFERROR(__xludf.DUMMYFUNCTION("""COMPUTED_VALUE"""),159)</f>
        <v>159</v>
      </c>
      <c r="AE50" s="1">
        <f ca="1">IFERROR(__xludf.DUMMYFUNCTION("""COMPUTED_VALUE"""),419)</f>
        <v>419</v>
      </c>
      <c r="AF50" s="1">
        <f ca="1">IFERROR(__xludf.DUMMYFUNCTION("""COMPUTED_VALUE"""),706)</f>
        <v>706</v>
      </c>
    </row>
    <row r="51" spans="1:32" ht="12.5" x14ac:dyDescent="0.25">
      <c r="A51" s="1" t="str">
        <f ca="1">IFERROR(__xludf.DUMMYFUNCTION("""COMPUTED_VALUE"""),"Campbell")</f>
        <v>Campbell</v>
      </c>
      <c r="B51" s="1">
        <f ca="1">IFERROR(__xludf.DUMMYFUNCTION("""COMPUTED_VALUE"""),30)</f>
        <v>30</v>
      </c>
      <c r="C51" s="1">
        <f ca="1">IFERROR(__xludf.DUMMYFUNCTION("""COMPUTED_VALUE"""),12)</f>
        <v>12</v>
      </c>
      <c r="D51" s="1">
        <f ca="1">IFERROR(__xludf.DUMMYFUNCTION("""COMPUTED_VALUE"""),18)</f>
        <v>18</v>
      </c>
      <c r="E51" s="1">
        <f ca="1">IFERROR(__xludf.DUMMYFUNCTION("""COMPUTED_VALUE"""),0.4)</f>
        <v>0.4</v>
      </c>
      <c r="F51" s="1">
        <f ca="1">IFERROR(__xludf.DUMMYFUNCTION("""COMPUTED_VALUE"""),-11.07)</f>
        <v>-11.07</v>
      </c>
      <c r="G51" s="1">
        <f ca="1">IFERROR(__xludf.DUMMYFUNCTION("""COMPUTED_VALUE"""),-6.67)</f>
        <v>-6.67</v>
      </c>
      <c r="H51" s="1">
        <f ca="1">IFERROR(__xludf.DUMMYFUNCTION("""COMPUTED_VALUE"""),5)</f>
        <v>5</v>
      </c>
      <c r="I51" s="1">
        <f ca="1">IFERROR(__xludf.DUMMYFUNCTION("""COMPUTED_VALUE"""),13)</f>
        <v>13</v>
      </c>
      <c r="J51" s="1">
        <f ca="1">IFERROR(__xludf.DUMMYFUNCTION("""COMPUTED_VALUE"""),7)</f>
        <v>7</v>
      </c>
      <c r="K51" s="1">
        <f ca="1">IFERROR(__xludf.DUMMYFUNCTION("""COMPUTED_VALUE"""),9)</f>
        <v>9</v>
      </c>
      <c r="L51" s="1">
        <f ca="1">IFERROR(__xludf.DUMMYFUNCTION("""COMPUTED_VALUE"""),5)</f>
        <v>5</v>
      </c>
      <c r="M51" s="1">
        <f ca="1">IFERROR(__xludf.DUMMYFUNCTION("""COMPUTED_VALUE"""),8)</f>
        <v>8</v>
      </c>
      <c r="N51" s="1">
        <f ca="1">IFERROR(__xludf.DUMMYFUNCTION("""COMPUTED_VALUE"""),2207)</f>
        <v>2207</v>
      </c>
      <c r="O51" s="1">
        <f ca="1">IFERROR(__xludf.DUMMYFUNCTION("""COMPUTED_VALUE"""),2203)</f>
        <v>2203</v>
      </c>
      <c r="P51" s="1">
        <f ca="1">IFERROR(__xludf.DUMMYFUNCTION("""COMPUTED_VALUE"""),1205)</f>
        <v>1205</v>
      </c>
      <c r="Q51" s="1">
        <f ca="1">IFERROR(__xludf.DUMMYFUNCTION("""COMPUTED_VALUE"""),744)</f>
        <v>744</v>
      </c>
      <c r="R51" s="1">
        <f ca="1">IFERROR(__xludf.DUMMYFUNCTION("""COMPUTED_VALUE"""),1671)</f>
        <v>1671</v>
      </c>
      <c r="S51" s="1">
        <f ca="1">IFERROR(__xludf.DUMMYFUNCTION("""COMPUTED_VALUE"""),0.445)</f>
        <v>0.44500000000000001</v>
      </c>
      <c r="T51" s="1">
        <f ca="1">IFERROR(__xludf.DUMMYFUNCTION("""COMPUTED_VALUE"""),224)</f>
        <v>224</v>
      </c>
      <c r="U51" s="1">
        <f ca="1">IFERROR(__xludf.DUMMYFUNCTION("""COMPUTED_VALUE"""),675)</f>
        <v>675</v>
      </c>
      <c r="V51" s="1">
        <f ca="1">IFERROR(__xludf.DUMMYFUNCTION("""COMPUTED_VALUE"""),0.332)</f>
        <v>0.33200000000000002</v>
      </c>
      <c r="W51" s="1">
        <f ca="1">IFERROR(__xludf.DUMMYFUNCTION("""COMPUTED_VALUE"""),495)</f>
        <v>495</v>
      </c>
      <c r="X51" s="1">
        <f ca="1">IFERROR(__xludf.DUMMYFUNCTION("""COMPUTED_VALUE"""),690)</f>
        <v>690</v>
      </c>
      <c r="Y51" s="1">
        <f ca="1">IFERROR(__xludf.DUMMYFUNCTION("""COMPUTED_VALUE"""),0.717)</f>
        <v>0.71699999999999997</v>
      </c>
      <c r="Z51" s="1">
        <f ca="1">IFERROR(__xludf.DUMMYFUNCTION("""COMPUTED_VALUE"""),242)</f>
        <v>242</v>
      </c>
      <c r="AA51" s="1">
        <f ca="1">IFERROR(__xludf.DUMMYFUNCTION("""COMPUTED_VALUE"""),967)</f>
        <v>967</v>
      </c>
      <c r="AB51" s="1">
        <f ca="1">IFERROR(__xludf.DUMMYFUNCTION("""COMPUTED_VALUE"""),345)</f>
        <v>345</v>
      </c>
      <c r="AC51" s="1">
        <f ca="1">IFERROR(__xludf.DUMMYFUNCTION("""COMPUTED_VALUE"""),214)</f>
        <v>214</v>
      </c>
      <c r="AD51" s="1">
        <f ca="1">IFERROR(__xludf.DUMMYFUNCTION("""COMPUTED_VALUE"""),72)</f>
        <v>72</v>
      </c>
      <c r="AE51" s="1">
        <f ca="1">IFERROR(__xludf.DUMMYFUNCTION("""COMPUTED_VALUE"""),353)</f>
        <v>353</v>
      </c>
      <c r="AF51" s="1">
        <f ca="1">IFERROR(__xludf.DUMMYFUNCTION("""COMPUTED_VALUE"""),582)</f>
        <v>582</v>
      </c>
    </row>
    <row r="52" spans="1:32" ht="12.5" x14ac:dyDescent="0.25">
      <c r="A52" s="1" t="str">
        <f ca="1">IFERROR(__xludf.DUMMYFUNCTION("""COMPUTED_VALUE"""),"Canisius")</f>
        <v>Canisius</v>
      </c>
      <c r="B52" s="1">
        <f ca="1">IFERROR(__xludf.DUMMYFUNCTION("""COMPUTED_VALUE"""),33)</f>
        <v>33</v>
      </c>
      <c r="C52" s="1">
        <f ca="1">IFERROR(__xludf.DUMMYFUNCTION("""COMPUTED_VALUE"""),14)</f>
        <v>14</v>
      </c>
      <c r="D52" s="1">
        <f ca="1">IFERROR(__xludf.DUMMYFUNCTION("""COMPUTED_VALUE"""),19)</f>
        <v>19</v>
      </c>
      <c r="E52" s="1">
        <f ca="1">IFERROR(__xludf.DUMMYFUNCTION("""COMPUTED_VALUE"""),0.424)</f>
        <v>0.42399999999999999</v>
      </c>
      <c r="F52" s="1">
        <f ca="1">IFERROR(__xludf.DUMMYFUNCTION("""COMPUTED_VALUE"""),-5.62)</f>
        <v>-5.62</v>
      </c>
      <c r="G52" s="1">
        <f ca="1">IFERROR(__xludf.DUMMYFUNCTION("""COMPUTED_VALUE"""),-3.77)</f>
        <v>-3.77</v>
      </c>
      <c r="H52" s="1">
        <f ca="1">IFERROR(__xludf.DUMMYFUNCTION("""COMPUTED_VALUE"""),8)</f>
        <v>8</v>
      </c>
      <c r="I52" s="1">
        <f ca="1">IFERROR(__xludf.DUMMYFUNCTION("""COMPUTED_VALUE"""),12)</f>
        <v>12</v>
      </c>
      <c r="J52" s="1">
        <f ca="1">IFERROR(__xludf.DUMMYFUNCTION("""COMPUTED_VALUE"""),7)</f>
        <v>7</v>
      </c>
      <c r="K52" s="1">
        <f ca="1">IFERROR(__xludf.DUMMYFUNCTION("""COMPUTED_VALUE"""),7)</f>
        <v>7</v>
      </c>
      <c r="L52" s="1">
        <f ca="1">IFERROR(__xludf.DUMMYFUNCTION("""COMPUTED_VALUE"""),4)</f>
        <v>4</v>
      </c>
      <c r="M52" s="1">
        <f ca="1">IFERROR(__xludf.DUMMYFUNCTION("""COMPUTED_VALUE"""),11)</f>
        <v>11</v>
      </c>
      <c r="N52" s="1">
        <f ca="1">IFERROR(__xludf.DUMMYFUNCTION("""COMPUTED_VALUE"""),2526)</f>
        <v>2526</v>
      </c>
      <c r="O52" s="1">
        <f ca="1">IFERROR(__xludf.DUMMYFUNCTION("""COMPUTED_VALUE"""),2587)</f>
        <v>2587</v>
      </c>
      <c r="P52" s="1">
        <f ca="1">IFERROR(__xludf.DUMMYFUNCTION("""COMPUTED_VALUE"""),1355)</f>
        <v>1355</v>
      </c>
      <c r="Q52" s="1">
        <f ca="1">IFERROR(__xludf.DUMMYFUNCTION("""COMPUTED_VALUE"""),845)</f>
        <v>845</v>
      </c>
      <c r="R52" s="1">
        <f ca="1">IFERROR(__xludf.DUMMYFUNCTION("""COMPUTED_VALUE"""),2014)</f>
        <v>2014</v>
      </c>
      <c r="S52" s="1">
        <f ca="1">IFERROR(__xludf.DUMMYFUNCTION("""COMPUTED_VALUE"""),0.42)</f>
        <v>0.42</v>
      </c>
      <c r="T52" s="1">
        <f ca="1">IFERROR(__xludf.DUMMYFUNCTION("""COMPUTED_VALUE"""),285)</f>
        <v>285</v>
      </c>
      <c r="U52" s="1">
        <f ca="1">IFERROR(__xludf.DUMMYFUNCTION("""COMPUTED_VALUE"""),836)</f>
        <v>836</v>
      </c>
      <c r="V52" s="1">
        <f ca="1">IFERROR(__xludf.DUMMYFUNCTION("""COMPUTED_VALUE"""),0.341)</f>
        <v>0.34100000000000003</v>
      </c>
      <c r="W52" s="1">
        <f ca="1">IFERROR(__xludf.DUMMYFUNCTION("""COMPUTED_VALUE"""),551)</f>
        <v>551</v>
      </c>
      <c r="X52" s="1">
        <f ca="1">IFERROR(__xludf.DUMMYFUNCTION("""COMPUTED_VALUE"""),744)</f>
        <v>744</v>
      </c>
      <c r="Y52" s="1">
        <f ca="1">IFERROR(__xludf.DUMMYFUNCTION("""COMPUTED_VALUE"""),0.741)</f>
        <v>0.74099999999999999</v>
      </c>
      <c r="Z52" s="1">
        <f ca="1">IFERROR(__xludf.DUMMYFUNCTION("""COMPUTED_VALUE"""),393)</f>
        <v>393</v>
      </c>
      <c r="AA52" s="1">
        <f ca="1">IFERROR(__xludf.DUMMYFUNCTION("""COMPUTED_VALUE"""),1116)</f>
        <v>1116</v>
      </c>
      <c r="AB52" s="1">
        <f ca="1">IFERROR(__xludf.DUMMYFUNCTION("""COMPUTED_VALUE"""),466)</f>
        <v>466</v>
      </c>
      <c r="AC52" s="1">
        <f ca="1">IFERROR(__xludf.DUMMYFUNCTION("""COMPUTED_VALUE"""),199)</f>
        <v>199</v>
      </c>
      <c r="AD52" s="1">
        <f ca="1">IFERROR(__xludf.DUMMYFUNCTION("""COMPUTED_VALUE"""),88)</f>
        <v>88</v>
      </c>
      <c r="AE52" s="1">
        <f ca="1">IFERROR(__xludf.DUMMYFUNCTION("""COMPUTED_VALUE"""),370)</f>
        <v>370</v>
      </c>
      <c r="AF52" s="1">
        <f ca="1">IFERROR(__xludf.DUMMYFUNCTION("""COMPUTED_VALUE"""),640)</f>
        <v>640</v>
      </c>
    </row>
    <row r="53" spans="1:32" ht="12.5" x14ac:dyDescent="0.25">
      <c r="A53" s="1" t="str">
        <f ca="1">IFERROR(__xludf.DUMMYFUNCTION("""COMPUTED_VALUE"""),"Central Arkansas")</f>
        <v>Central Arkansas</v>
      </c>
      <c r="B53" s="1">
        <f ca="1">IFERROR(__xludf.DUMMYFUNCTION("""COMPUTED_VALUE"""),28)</f>
        <v>28</v>
      </c>
      <c r="C53" s="1">
        <f ca="1">IFERROR(__xludf.DUMMYFUNCTION("""COMPUTED_VALUE"""),7)</f>
        <v>7</v>
      </c>
      <c r="D53" s="1">
        <f ca="1">IFERROR(__xludf.DUMMYFUNCTION("""COMPUTED_VALUE"""),21)</f>
        <v>21</v>
      </c>
      <c r="E53" s="1">
        <f ca="1">IFERROR(__xludf.DUMMYFUNCTION("""COMPUTED_VALUE"""),0.25)</f>
        <v>0.25</v>
      </c>
      <c r="F53" s="1">
        <f ca="1">IFERROR(__xludf.DUMMYFUNCTION("""COMPUTED_VALUE"""),-15.17)</f>
        <v>-15.17</v>
      </c>
      <c r="G53" s="1">
        <f ca="1">IFERROR(__xludf.DUMMYFUNCTION("""COMPUTED_VALUE"""),-6.81)</f>
        <v>-6.81</v>
      </c>
      <c r="H53" s="1">
        <f ca="1">IFERROR(__xludf.DUMMYFUNCTION("""COMPUTED_VALUE"""),6)</f>
        <v>6</v>
      </c>
      <c r="I53" s="1">
        <f ca="1">IFERROR(__xludf.DUMMYFUNCTION("""COMPUTED_VALUE"""),12)</f>
        <v>12</v>
      </c>
      <c r="J53" s="1">
        <f ca="1">IFERROR(__xludf.DUMMYFUNCTION("""COMPUTED_VALUE"""),4)</f>
        <v>4</v>
      </c>
      <c r="K53" s="1">
        <f ca="1">IFERROR(__xludf.DUMMYFUNCTION("""COMPUTED_VALUE"""),6)</f>
        <v>6</v>
      </c>
      <c r="L53" s="1">
        <f ca="1">IFERROR(__xludf.DUMMYFUNCTION("""COMPUTED_VALUE"""),2)</f>
        <v>2</v>
      </c>
      <c r="M53" s="1">
        <f ca="1">IFERROR(__xludf.DUMMYFUNCTION("""COMPUTED_VALUE"""),14)</f>
        <v>14</v>
      </c>
      <c r="N53" s="1">
        <f ca="1">IFERROR(__xludf.DUMMYFUNCTION("""COMPUTED_VALUE"""),2110)</f>
        <v>2110</v>
      </c>
      <c r="O53" s="1">
        <f ca="1">IFERROR(__xludf.DUMMYFUNCTION("""COMPUTED_VALUE"""),2344)</f>
        <v>2344</v>
      </c>
      <c r="P53" s="1">
        <f ca="1">IFERROR(__xludf.DUMMYFUNCTION("""COMPUTED_VALUE"""),1120)</f>
        <v>1120</v>
      </c>
      <c r="Q53" s="1">
        <f ca="1">IFERROR(__xludf.DUMMYFUNCTION("""COMPUTED_VALUE"""),734)</f>
        <v>734</v>
      </c>
      <c r="R53" s="1">
        <f ca="1">IFERROR(__xludf.DUMMYFUNCTION("""COMPUTED_VALUE"""),1656)</f>
        <v>1656</v>
      </c>
      <c r="S53" s="1">
        <f ca="1">IFERROR(__xludf.DUMMYFUNCTION("""COMPUTED_VALUE"""),0.443)</f>
        <v>0.443</v>
      </c>
      <c r="T53" s="1">
        <f ca="1">IFERROR(__xludf.DUMMYFUNCTION("""COMPUTED_VALUE"""),185)</f>
        <v>185</v>
      </c>
      <c r="U53" s="1">
        <f ca="1">IFERROR(__xludf.DUMMYFUNCTION("""COMPUTED_VALUE"""),497)</f>
        <v>497</v>
      </c>
      <c r="V53" s="1">
        <f ca="1">IFERROR(__xludf.DUMMYFUNCTION("""COMPUTED_VALUE"""),0.372)</f>
        <v>0.372</v>
      </c>
      <c r="W53" s="1">
        <f ca="1">IFERROR(__xludf.DUMMYFUNCTION("""COMPUTED_VALUE"""),457)</f>
        <v>457</v>
      </c>
      <c r="X53" s="1">
        <f ca="1">IFERROR(__xludf.DUMMYFUNCTION("""COMPUTED_VALUE"""),694)</f>
        <v>694</v>
      </c>
      <c r="Y53" s="1">
        <f ca="1">IFERROR(__xludf.DUMMYFUNCTION("""COMPUTED_VALUE"""),0.659)</f>
        <v>0.65900000000000003</v>
      </c>
      <c r="Z53" s="1">
        <f ca="1">IFERROR(__xludf.DUMMYFUNCTION("""COMPUTED_VALUE"""),331)</f>
        <v>331</v>
      </c>
      <c r="AA53" s="1">
        <f ca="1">IFERROR(__xludf.DUMMYFUNCTION("""COMPUTED_VALUE"""),1044)</f>
        <v>1044</v>
      </c>
      <c r="AB53" s="1">
        <f ca="1">IFERROR(__xludf.DUMMYFUNCTION("""COMPUTED_VALUE"""),370)</f>
        <v>370</v>
      </c>
      <c r="AC53" s="1">
        <f ca="1">IFERROR(__xludf.DUMMYFUNCTION("""COMPUTED_VALUE"""),152)</f>
        <v>152</v>
      </c>
      <c r="AD53" s="1">
        <f ca="1">IFERROR(__xludf.DUMMYFUNCTION("""COMPUTED_VALUE"""),104)</f>
        <v>104</v>
      </c>
      <c r="AE53" s="1">
        <f ca="1">IFERROR(__xludf.DUMMYFUNCTION("""COMPUTED_VALUE"""),407)</f>
        <v>407</v>
      </c>
      <c r="AF53" s="1">
        <f ca="1">IFERROR(__xludf.DUMMYFUNCTION("""COMPUTED_VALUE"""),575)</f>
        <v>575</v>
      </c>
    </row>
    <row r="54" spans="1:32" ht="12.5" x14ac:dyDescent="0.25">
      <c r="A54" s="1" t="str">
        <f ca="1">IFERROR(__xludf.DUMMYFUNCTION("""COMPUTED_VALUE"""),"Central Connecticut State")</f>
        <v>Central Connecticut State</v>
      </c>
      <c r="B54" s="1">
        <f ca="1">IFERROR(__xludf.DUMMYFUNCTION("""COMPUTED_VALUE"""),29)</f>
        <v>29</v>
      </c>
      <c r="C54" s="1">
        <f ca="1">IFERROR(__xludf.DUMMYFUNCTION("""COMPUTED_VALUE"""),4)</f>
        <v>4</v>
      </c>
      <c r="D54" s="1">
        <f ca="1">IFERROR(__xludf.DUMMYFUNCTION("""COMPUTED_VALUE"""),25)</f>
        <v>25</v>
      </c>
      <c r="E54" s="1">
        <f ca="1">IFERROR(__xludf.DUMMYFUNCTION("""COMPUTED_VALUE"""),0.138)</f>
        <v>0.13800000000000001</v>
      </c>
      <c r="F54" s="1">
        <f ca="1">IFERROR(__xludf.DUMMYFUNCTION("""COMPUTED_VALUE"""),-22.35)</f>
        <v>-22.35</v>
      </c>
      <c r="G54" s="1">
        <f ca="1">IFERROR(__xludf.DUMMYFUNCTION("""COMPUTED_VALUE"""),-9.24)</f>
        <v>-9.24</v>
      </c>
      <c r="H54" s="1">
        <f ca="1">IFERROR(__xludf.DUMMYFUNCTION("""COMPUTED_VALUE"""),3)</f>
        <v>3</v>
      </c>
      <c r="I54" s="1">
        <f ca="1">IFERROR(__xludf.DUMMYFUNCTION("""COMPUTED_VALUE"""),15)</f>
        <v>15</v>
      </c>
      <c r="J54" s="1">
        <f ca="1">IFERROR(__xludf.DUMMYFUNCTION("""COMPUTED_VALUE"""),3)</f>
        <v>3</v>
      </c>
      <c r="K54" s="1">
        <f ca="1">IFERROR(__xludf.DUMMYFUNCTION("""COMPUTED_VALUE"""),11)</f>
        <v>11</v>
      </c>
      <c r="L54" s="1">
        <f ca="1">IFERROR(__xludf.DUMMYFUNCTION("""COMPUTED_VALUE"""),1)</f>
        <v>1</v>
      </c>
      <c r="M54" s="1">
        <f ca="1">IFERROR(__xludf.DUMMYFUNCTION("""COMPUTED_VALUE"""),14)</f>
        <v>14</v>
      </c>
      <c r="N54" s="1">
        <f ca="1">IFERROR(__xludf.DUMMYFUNCTION("""COMPUTED_VALUE"""),1888)</f>
        <v>1888</v>
      </c>
      <c r="O54" s="1">
        <f ca="1">IFERROR(__xludf.DUMMYFUNCTION("""COMPUTED_VALUE"""),2268)</f>
        <v>2268</v>
      </c>
      <c r="P54" s="1">
        <f ca="1">IFERROR(__xludf.DUMMYFUNCTION("""COMPUTED_VALUE"""),1175)</f>
        <v>1175</v>
      </c>
      <c r="Q54" s="1">
        <f ca="1">IFERROR(__xludf.DUMMYFUNCTION("""COMPUTED_VALUE"""),682)</f>
        <v>682</v>
      </c>
      <c r="R54" s="1">
        <f ca="1">IFERROR(__xludf.DUMMYFUNCTION("""COMPUTED_VALUE"""),1704)</f>
        <v>1704</v>
      </c>
      <c r="S54" s="1">
        <f ca="1">IFERROR(__xludf.DUMMYFUNCTION("""COMPUTED_VALUE"""),0.4)</f>
        <v>0.4</v>
      </c>
      <c r="T54" s="1">
        <f ca="1">IFERROR(__xludf.DUMMYFUNCTION("""COMPUTED_VALUE"""),164)</f>
        <v>164</v>
      </c>
      <c r="U54" s="1">
        <f ca="1">IFERROR(__xludf.DUMMYFUNCTION("""COMPUTED_VALUE"""),480)</f>
        <v>480</v>
      </c>
      <c r="V54" s="1">
        <f ca="1">IFERROR(__xludf.DUMMYFUNCTION("""COMPUTED_VALUE"""),0.342)</f>
        <v>0.34200000000000003</v>
      </c>
      <c r="W54" s="1">
        <f ca="1">IFERROR(__xludf.DUMMYFUNCTION("""COMPUTED_VALUE"""),360)</f>
        <v>360</v>
      </c>
      <c r="X54" s="1">
        <f ca="1">IFERROR(__xludf.DUMMYFUNCTION("""COMPUTED_VALUE"""),530)</f>
        <v>530</v>
      </c>
      <c r="Y54" s="1">
        <f ca="1">IFERROR(__xludf.DUMMYFUNCTION("""COMPUTED_VALUE"""),0.679)</f>
        <v>0.67900000000000005</v>
      </c>
      <c r="Z54" s="1">
        <f ca="1">IFERROR(__xludf.DUMMYFUNCTION("""COMPUTED_VALUE"""),335)</f>
        <v>335</v>
      </c>
      <c r="AA54" s="1">
        <f ca="1">IFERROR(__xludf.DUMMYFUNCTION("""COMPUTED_VALUE"""),1046)</f>
        <v>1046</v>
      </c>
      <c r="AB54" s="1">
        <f ca="1">IFERROR(__xludf.DUMMYFUNCTION("""COMPUTED_VALUE"""),341)</f>
        <v>341</v>
      </c>
      <c r="AC54" s="1">
        <f ca="1">IFERROR(__xludf.DUMMYFUNCTION("""COMPUTED_VALUE"""),127)</f>
        <v>127</v>
      </c>
      <c r="AD54" s="1">
        <f ca="1">IFERROR(__xludf.DUMMYFUNCTION("""COMPUTED_VALUE"""),107)</f>
        <v>107</v>
      </c>
      <c r="AE54" s="1">
        <f ca="1">IFERROR(__xludf.DUMMYFUNCTION("""COMPUTED_VALUE"""),402)</f>
        <v>402</v>
      </c>
      <c r="AF54" s="1">
        <f ca="1">IFERROR(__xludf.DUMMYFUNCTION("""COMPUTED_VALUE"""),505)</f>
        <v>505</v>
      </c>
    </row>
    <row r="55" spans="1:32" ht="12.5" x14ac:dyDescent="0.25">
      <c r="A55" s="1" t="str">
        <f ca="1">IFERROR(__xludf.DUMMYFUNCTION("""COMPUTED_VALUE"""),"Central Florida")</f>
        <v>Central Florida</v>
      </c>
      <c r="B55" s="1">
        <f ca="1">IFERROR(__xludf.DUMMYFUNCTION("""COMPUTED_VALUE"""),30)</f>
        <v>30</v>
      </c>
      <c r="C55" s="1">
        <f ca="1">IFERROR(__xludf.DUMMYFUNCTION("""COMPUTED_VALUE"""),12)</f>
        <v>12</v>
      </c>
      <c r="D55" s="1">
        <f ca="1">IFERROR(__xludf.DUMMYFUNCTION("""COMPUTED_VALUE"""),18)</f>
        <v>18</v>
      </c>
      <c r="E55" s="1">
        <f ca="1">IFERROR(__xludf.DUMMYFUNCTION("""COMPUTED_VALUE"""),0.4)</f>
        <v>0.4</v>
      </c>
      <c r="F55" s="1">
        <f ca="1">IFERROR(__xludf.DUMMYFUNCTION("""COMPUTED_VALUE"""),0.18)</f>
        <v>0.18</v>
      </c>
      <c r="G55" s="1">
        <f ca="1">IFERROR(__xludf.DUMMYFUNCTION("""COMPUTED_VALUE"""),3.01)</f>
        <v>3.01</v>
      </c>
      <c r="H55" s="1">
        <f ca="1">IFERROR(__xludf.DUMMYFUNCTION("""COMPUTED_VALUE"""),6)</f>
        <v>6</v>
      </c>
      <c r="I55" s="1">
        <f ca="1">IFERROR(__xludf.DUMMYFUNCTION("""COMPUTED_VALUE"""),12)</f>
        <v>12</v>
      </c>
      <c r="J55" s="1">
        <f ca="1">IFERROR(__xludf.DUMMYFUNCTION("""COMPUTED_VALUE"""),8)</f>
        <v>8</v>
      </c>
      <c r="K55" s="1">
        <f ca="1">IFERROR(__xludf.DUMMYFUNCTION("""COMPUTED_VALUE"""),8)</f>
        <v>8</v>
      </c>
      <c r="L55" s="1">
        <f ca="1">IFERROR(__xludf.DUMMYFUNCTION("""COMPUTED_VALUE"""),4)</f>
        <v>4</v>
      </c>
      <c r="M55" s="1">
        <f ca="1">IFERROR(__xludf.DUMMYFUNCTION("""COMPUTED_VALUE"""),9)</f>
        <v>9</v>
      </c>
      <c r="N55" s="1">
        <f ca="1">IFERROR(__xludf.DUMMYFUNCTION("""COMPUTED_VALUE"""),2062)</f>
        <v>2062</v>
      </c>
      <c r="O55" s="1">
        <f ca="1">IFERROR(__xludf.DUMMYFUNCTION("""COMPUTED_VALUE"""),2147)</f>
        <v>2147</v>
      </c>
      <c r="P55" s="1">
        <f ca="1">IFERROR(__xludf.DUMMYFUNCTION("""COMPUTED_VALUE"""),1210)</f>
        <v>1210</v>
      </c>
      <c r="Q55" s="1">
        <f ca="1">IFERROR(__xludf.DUMMYFUNCTION("""COMPUTED_VALUE"""),715)</f>
        <v>715</v>
      </c>
      <c r="R55" s="1">
        <f ca="1">IFERROR(__xludf.DUMMYFUNCTION("""COMPUTED_VALUE"""),1663)</f>
        <v>1663</v>
      </c>
      <c r="S55" s="1">
        <f ca="1">IFERROR(__xludf.DUMMYFUNCTION("""COMPUTED_VALUE"""),0.43)</f>
        <v>0.43</v>
      </c>
      <c r="T55" s="1">
        <f ca="1">IFERROR(__xludf.DUMMYFUNCTION("""COMPUTED_VALUE"""),207)</f>
        <v>207</v>
      </c>
      <c r="U55" s="1">
        <f ca="1">IFERROR(__xludf.DUMMYFUNCTION("""COMPUTED_VALUE"""),650)</f>
        <v>650</v>
      </c>
      <c r="V55" s="1">
        <f ca="1">IFERROR(__xludf.DUMMYFUNCTION("""COMPUTED_VALUE"""),0.318)</f>
        <v>0.318</v>
      </c>
      <c r="W55" s="1">
        <f ca="1">IFERROR(__xludf.DUMMYFUNCTION("""COMPUTED_VALUE"""),425)</f>
        <v>425</v>
      </c>
      <c r="X55" s="1">
        <f ca="1">IFERROR(__xludf.DUMMYFUNCTION("""COMPUTED_VALUE"""),619)</f>
        <v>619</v>
      </c>
      <c r="Y55" s="1">
        <f ca="1">IFERROR(__xludf.DUMMYFUNCTION("""COMPUTED_VALUE"""),0.687)</f>
        <v>0.68700000000000006</v>
      </c>
      <c r="Z55" s="1">
        <f ca="1">IFERROR(__xludf.DUMMYFUNCTION("""COMPUTED_VALUE"""),329)</f>
        <v>329</v>
      </c>
      <c r="AA55" s="1">
        <f ca="1">IFERROR(__xludf.DUMMYFUNCTION("""COMPUTED_VALUE"""),1166)</f>
        <v>1166</v>
      </c>
      <c r="AB55" s="1">
        <f ca="1">IFERROR(__xludf.DUMMYFUNCTION("""COMPUTED_VALUE"""),379)</f>
        <v>379</v>
      </c>
      <c r="AC55" s="1">
        <f ca="1">IFERROR(__xludf.DUMMYFUNCTION("""COMPUTED_VALUE"""),137)</f>
        <v>137</v>
      </c>
      <c r="AD55" s="1">
        <f ca="1">IFERROR(__xludf.DUMMYFUNCTION("""COMPUTED_VALUE"""),139)</f>
        <v>139</v>
      </c>
      <c r="AE55" s="1">
        <f ca="1">IFERROR(__xludf.DUMMYFUNCTION("""COMPUTED_VALUE"""),440)</f>
        <v>440</v>
      </c>
      <c r="AF55" s="1">
        <f ca="1">IFERROR(__xludf.DUMMYFUNCTION("""COMPUTED_VALUE"""),467)</f>
        <v>467</v>
      </c>
    </row>
    <row r="56" spans="1:32" ht="12.5" x14ac:dyDescent="0.25">
      <c r="A56" s="1" t="str">
        <f ca="1">IFERROR(__xludf.DUMMYFUNCTION("""COMPUTED_VALUE"""),"Central Michigan")</f>
        <v>Central Michigan</v>
      </c>
      <c r="B56" s="1">
        <f ca="1">IFERROR(__xludf.DUMMYFUNCTION("""COMPUTED_VALUE"""),33)</f>
        <v>33</v>
      </c>
      <c r="C56" s="1">
        <f ca="1">IFERROR(__xludf.DUMMYFUNCTION("""COMPUTED_VALUE"""),17)</f>
        <v>17</v>
      </c>
      <c r="D56" s="1">
        <f ca="1">IFERROR(__xludf.DUMMYFUNCTION("""COMPUTED_VALUE"""),16)</f>
        <v>16</v>
      </c>
      <c r="E56" s="1">
        <f ca="1">IFERROR(__xludf.DUMMYFUNCTION("""COMPUTED_VALUE"""),0.515)</f>
        <v>0.51500000000000001</v>
      </c>
      <c r="F56" s="1">
        <f ca="1">IFERROR(__xludf.DUMMYFUNCTION("""COMPUTED_VALUE"""),-0.67)</f>
        <v>-0.67</v>
      </c>
      <c r="G56" s="1">
        <f ca="1">IFERROR(__xludf.DUMMYFUNCTION("""COMPUTED_VALUE"""),-1.3)</f>
        <v>-1.3</v>
      </c>
      <c r="H56" s="1">
        <f ca="1">IFERROR(__xludf.DUMMYFUNCTION("""COMPUTED_VALUE"""),10)</f>
        <v>10</v>
      </c>
      <c r="I56" s="1">
        <f ca="1">IFERROR(__xludf.DUMMYFUNCTION("""COMPUTED_VALUE"""),8)</f>
        <v>8</v>
      </c>
      <c r="J56" s="1">
        <f ca="1">IFERROR(__xludf.DUMMYFUNCTION("""COMPUTED_VALUE"""),13)</f>
        <v>13</v>
      </c>
      <c r="K56" s="1">
        <f ca="1">IFERROR(__xludf.DUMMYFUNCTION("""COMPUTED_VALUE"""),4)</f>
        <v>4</v>
      </c>
      <c r="L56" s="1">
        <f ca="1">IFERROR(__xludf.DUMMYFUNCTION("""COMPUTED_VALUE"""),4)</f>
        <v>4</v>
      </c>
      <c r="M56" s="1">
        <f ca="1">IFERROR(__xludf.DUMMYFUNCTION("""COMPUTED_VALUE"""),8)</f>
        <v>8</v>
      </c>
      <c r="N56" s="1">
        <f ca="1">IFERROR(__xludf.DUMMYFUNCTION("""COMPUTED_VALUE"""),2495)</f>
        <v>2495</v>
      </c>
      <c r="O56" s="1">
        <f ca="1">IFERROR(__xludf.DUMMYFUNCTION("""COMPUTED_VALUE"""),2401)</f>
        <v>2401</v>
      </c>
      <c r="P56" s="1">
        <f ca="1">IFERROR(__xludf.DUMMYFUNCTION("""COMPUTED_VALUE"""),1325)</f>
        <v>1325</v>
      </c>
      <c r="Q56" s="1">
        <f ca="1">IFERROR(__xludf.DUMMYFUNCTION("""COMPUTED_VALUE"""),867)</f>
        <v>867</v>
      </c>
      <c r="R56" s="1">
        <f ca="1">IFERROR(__xludf.DUMMYFUNCTION("""COMPUTED_VALUE"""),1964)</f>
        <v>1964</v>
      </c>
      <c r="S56" s="1">
        <f ca="1">IFERROR(__xludf.DUMMYFUNCTION("""COMPUTED_VALUE"""),0.441)</f>
        <v>0.441</v>
      </c>
      <c r="T56" s="1">
        <f ca="1">IFERROR(__xludf.DUMMYFUNCTION("""COMPUTED_VALUE"""),324)</f>
        <v>324</v>
      </c>
      <c r="U56" s="1">
        <f ca="1">IFERROR(__xludf.DUMMYFUNCTION("""COMPUTED_VALUE"""),917)</f>
        <v>917</v>
      </c>
      <c r="V56" s="1">
        <f ca="1">IFERROR(__xludf.DUMMYFUNCTION("""COMPUTED_VALUE"""),0.353)</f>
        <v>0.35299999999999998</v>
      </c>
      <c r="W56" s="1">
        <f ca="1">IFERROR(__xludf.DUMMYFUNCTION("""COMPUTED_VALUE"""),437)</f>
        <v>437</v>
      </c>
      <c r="X56" s="1">
        <f ca="1">IFERROR(__xludf.DUMMYFUNCTION("""COMPUTED_VALUE"""),608)</f>
        <v>608</v>
      </c>
      <c r="Y56" s="1">
        <f ca="1">IFERROR(__xludf.DUMMYFUNCTION("""COMPUTED_VALUE"""),0.719)</f>
        <v>0.71899999999999997</v>
      </c>
      <c r="Z56" s="1">
        <f ca="1">IFERROR(__xludf.DUMMYFUNCTION("""COMPUTED_VALUE"""),325)</f>
        <v>325</v>
      </c>
      <c r="AA56" s="1">
        <f ca="1">IFERROR(__xludf.DUMMYFUNCTION("""COMPUTED_VALUE"""),1152)</f>
        <v>1152</v>
      </c>
      <c r="AB56" s="1">
        <f ca="1">IFERROR(__xludf.DUMMYFUNCTION("""COMPUTED_VALUE"""),441)</f>
        <v>441</v>
      </c>
      <c r="AC56" s="1">
        <f ca="1">IFERROR(__xludf.DUMMYFUNCTION("""COMPUTED_VALUE"""),155)</f>
        <v>155</v>
      </c>
      <c r="AD56" s="1">
        <f ca="1">IFERROR(__xludf.DUMMYFUNCTION("""COMPUTED_VALUE"""),90)</f>
        <v>90</v>
      </c>
      <c r="AE56" s="1">
        <f ca="1">IFERROR(__xludf.DUMMYFUNCTION("""COMPUTED_VALUE"""),303)</f>
        <v>303</v>
      </c>
      <c r="AF56" s="1">
        <f ca="1">IFERROR(__xludf.DUMMYFUNCTION("""COMPUTED_VALUE"""),608)</f>
        <v>608</v>
      </c>
    </row>
    <row r="57" spans="1:32" ht="12.5" x14ac:dyDescent="0.25">
      <c r="A57" s="1" t="str">
        <f ca="1">IFERROR(__xludf.DUMMYFUNCTION("""COMPUTED_VALUE"""),"Charleston Southern")</f>
        <v>Charleston Southern</v>
      </c>
      <c r="B57" s="1">
        <f ca="1">IFERROR(__xludf.DUMMYFUNCTION("""COMPUTED_VALUE"""),30)</f>
        <v>30</v>
      </c>
      <c r="C57" s="1">
        <f ca="1">IFERROR(__xludf.DUMMYFUNCTION("""COMPUTED_VALUE"""),9)</f>
        <v>9</v>
      </c>
      <c r="D57" s="1">
        <f ca="1">IFERROR(__xludf.DUMMYFUNCTION("""COMPUTED_VALUE"""),21)</f>
        <v>21</v>
      </c>
      <c r="E57" s="1">
        <f ca="1">IFERROR(__xludf.DUMMYFUNCTION("""COMPUTED_VALUE"""),0.3)</f>
        <v>0.3</v>
      </c>
      <c r="F57" s="1">
        <f ca="1">IFERROR(__xludf.DUMMYFUNCTION("""COMPUTED_VALUE"""),-10.92)</f>
        <v>-10.92</v>
      </c>
      <c r="G57" s="1">
        <f ca="1">IFERROR(__xludf.DUMMYFUNCTION("""COMPUTED_VALUE"""),-2.59)</f>
        <v>-2.59</v>
      </c>
      <c r="H57" s="1">
        <f ca="1">IFERROR(__xludf.DUMMYFUNCTION("""COMPUTED_VALUE"""),5)</f>
        <v>5</v>
      </c>
      <c r="I57" s="1">
        <f ca="1">IFERROR(__xludf.DUMMYFUNCTION("""COMPUTED_VALUE"""),13)</f>
        <v>13</v>
      </c>
      <c r="J57" s="1">
        <f ca="1">IFERROR(__xludf.DUMMYFUNCTION("""COMPUTED_VALUE"""),6)</f>
        <v>6</v>
      </c>
      <c r="K57" s="1">
        <f ca="1">IFERROR(__xludf.DUMMYFUNCTION("""COMPUTED_VALUE"""),8)</f>
        <v>8</v>
      </c>
      <c r="L57" s="1">
        <f ca="1">IFERROR(__xludf.DUMMYFUNCTION("""COMPUTED_VALUE"""),3)</f>
        <v>3</v>
      </c>
      <c r="M57" s="1">
        <f ca="1">IFERROR(__xludf.DUMMYFUNCTION("""COMPUTED_VALUE"""),12)</f>
        <v>12</v>
      </c>
      <c r="N57" s="1">
        <f ca="1">IFERROR(__xludf.DUMMYFUNCTION("""COMPUTED_VALUE"""),2146)</f>
        <v>2146</v>
      </c>
      <c r="O57" s="1">
        <f ca="1">IFERROR(__xludf.DUMMYFUNCTION("""COMPUTED_VALUE"""),2253)</f>
        <v>2253</v>
      </c>
      <c r="P57" s="1">
        <f ca="1">IFERROR(__xludf.DUMMYFUNCTION("""COMPUTED_VALUE"""),1210)</f>
        <v>1210</v>
      </c>
      <c r="Q57" s="1">
        <f ca="1">IFERROR(__xludf.DUMMYFUNCTION("""COMPUTED_VALUE"""),774)</f>
        <v>774</v>
      </c>
      <c r="R57" s="1">
        <f ca="1">IFERROR(__xludf.DUMMYFUNCTION("""COMPUTED_VALUE"""),1808)</f>
        <v>1808</v>
      </c>
      <c r="S57" s="1">
        <f ca="1">IFERROR(__xludf.DUMMYFUNCTION("""COMPUTED_VALUE"""),0.428)</f>
        <v>0.42799999999999999</v>
      </c>
      <c r="T57" s="1">
        <f ca="1">IFERROR(__xludf.DUMMYFUNCTION("""COMPUTED_VALUE"""),280)</f>
        <v>280</v>
      </c>
      <c r="U57" s="1">
        <f ca="1">IFERROR(__xludf.DUMMYFUNCTION("""COMPUTED_VALUE"""),810)</f>
        <v>810</v>
      </c>
      <c r="V57" s="1">
        <f ca="1">IFERROR(__xludf.DUMMYFUNCTION("""COMPUTED_VALUE"""),0.346)</f>
        <v>0.34599999999999997</v>
      </c>
      <c r="W57" s="1">
        <f ca="1">IFERROR(__xludf.DUMMYFUNCTION("""COMPUTED_VALUE"""),318)</f>
        <v>318</v>
      </c>
      <c r="X57" s="1">
        <f ca="1">IFERROR(__xludf.DUMMYFUNCTION("""COMPUTED_VALUE"""),512)</f>
        <v>512</v>
      </c>
      <c r="Y57" s="1">
        <f ca="1">IFERROR(__xludf.DUMMYFUNCTION("""COMPUTED_VALUE"""),0.621)</f>
        <v>0.621</v>
      </c>
      <c r="Z57" s="1">
        <f ca="1">IFERROR(__xludf.DUMMYFUNCTION("""COMPUTED_VALUE"""),308)</f>
        <v>308</v>
      </c>
      <c r="AA57" s="1">
        <f ca="1">IFERROR(__xludf.DUMMYFUNCTION("""COMPUTED_VALUE"""),1053)</f>
        <v>1053</v>
      </c>
      <c r="AB57" s="1">
        <f ca="1">IFERROR(__xludf.DUMMYFUNCTION("""COMPUTED_VALUE"""),379)</f>
        <v>379</v>
      </c>
      <c r="AC57" s="1">
        <f ca="1">IFERROR(__xludf.DUMMYFUNCTION("""COMPUTED_VALUE"""),153)</f>
        <v>153</v>
      </c>
      <c r="AD57" s="1">
        <f ca="1">IFERROR(__xludf.DUMMYFUNCTION("""COMPUTED_VALUE"""),63)</f>
        <v>63</v>
      </c>
      <c r="AE57" s="1">
        <f ca="1">IFERROR(__xludf.DUMMYFUNCTION("""COMPUTED_VALUE"""),378)</f>
        <v>378</v>
      </c>
      <c r="AF57" s="1">
        <f ca="1">IFERROR(__xludf.DUMMYFUNCTION("""COMPUTED_VALUE"""),576)</f>
        <v>576</v>
      </c>
    </row>
    <row r="58" spans="1:32" ht="12.5" x14ac:dyDescent="0.25">
      <c r="A58" s="1" t="str">
        <f ca="1">IFERROR(__xludf.DUMMYFUNCTION("""COMPUTED_VALUE"""),"Charlotte")</f>
        <v>Charlotte</v>
      </c>
      <c r="B58" s="1">
        <f ca="1">IFERROR(__xludf.DUMMYFUNCTION("""COMPUTED_VALUE"""),33)</f>
        <v>33</v>
      </c>
      <c r="C58" s="1">
        <f ca="1">IFERROR(__xludf.DUMMYFUNCTION("""COMPUTED_VALUE"""),14)</f>
        <v>14</v>
      </c>
      <c r="D58" s="1">
        <f ca="1">IFERROR(__xludf.DUMMYFUNCTION("""COMPUTED_VALUE"""),19)</f>
        <v>19</v>
      </c>
      <c r="E58" s="1">
        <f ca="1">IFERROR(__xludf.DUMMYFUNCTION("""COMPUTED_VALUE"""),0.424)</f>
        <v>0.42399999999999999</v>
      </c>
      <c r="F58" s="1">
        <f ca="1">IFERROR(__xludf.DUMMYFUNCTION("""COMPUTED_VALUE"""),-3.14)</f>
        <v>-3.14</v>
      </c>
      <c r="G58" s="1">
        <f ca="1">IFERROR(__xludf.DUMMYFUNCTION("""COMPUTED_VALUE"""),-1.72)</f>
        <v>-1.72</v>
      </c>
      <c r="H58" s="1">
        <f ca="1">IFERROR(__xludf.DUMMYFUNCTION("""COMPUTED_VALUE"""),9)</f>
        <v>9</v>
      </c>
      <c r="I58" s="1">
        <f ca="1">IFERROR(__xludf.DUMMYFUNCTION("""COMPUTED_VALUE"""),9)</f>
        <v>9</v>
      </c>
      <c r="J58" s="1">
        <f ca="1">IFERROR(__xludf.DUMMYFUNCTION("""COMPUTED_VALUE"""),8)</f>
        <v>8</v>
      </c>
      <c r="K58" s="1">
        <f ca="1">IFERROR(__xludf.DUMMYFUNCTION("""COMPUTED_VALUE"""),7)</f>
        <v>7</v>
      </c>
      <c r="L58" s="1">
        <f ca="1">IFERROR(__xludf.DUMMYFUNCTION("""COMPUTED_VALUE"""),5)</f>
        <v>5</v>
      </c>
      <c r="M58" s="1">
        <f ca="1">IFERROR(__xludf.DUMMYFUNCTION("""COMPUTED_VALUE"""),8)</f>
        <v>8</v>
      </c>
      <c r="N58" s="1">
        <f ca="1">IFERROR(__xludf.DUMMYFUNCTION("""COMPUTED_VALUE"""),2584)</f>
        <v>2584</v>
      </c>
      <c r="O58" s="1">
        <f ca="1">IFERROR(__xludf.DUMMYFUNCTION("""COMPUTED_VALUE"""),2631)</f>
        <v>2631</v>
      </c>
      <c r="P58" s="1">
        <f ca="1">IFERROR(__xludf.DUMMYFUNCTION("""COMPUTED_VALUE"""),1340)</f>
        <v>1340</v>
      </c>
      <c r="Q58" s="1">
        <f ca="1">IFERROR(__xludf.DUMMYFUNCTION("""COMPUTED_VALUE"""),920)</f>
        <v>920</v>
      </c>
      <c r="R58" s="1">
        <f ca="1">IFERROR(__xludf.DUMMYFUNCTION("""COMPUTED_VALUE"""),2066)</f>
        <v>2066</v>
      </c>
      <c r="S58" s="1">
        <f ca="1">IFERROR(__xludf.DUMMYFUNCTION("""COMPUTED_VALUE"""),0.445)</f>
        <v>0.44500000000000001</v>
      </c>
      <c r="T58" s="1">
        <f ca="1">IFERROR(__xludf.DUMMYFUNCTION("""COMPUTED_VALUE"""),266)</f>
        <v>266</v>
      </c>
      <c r="U58" s="1">
        <f ca="1">IFERROR(__xludf.DUMMYFUNCTION("""COMPUTED_VALUE"""),696)</f>
        <v>696</v>
      </c>
      <c r="V58" s="1">
        <f ca="1">IFERROR(__xludf.DUMMYFUNCTION("""COMPUTED_VALUE"""),0.382)</f>
        <v>0.38200000000000001</v>
      </c>
      <c r="W58" s="1">
        <f ca="1">IFERROR(__xludf.DUMMYFUNCTION("""COMPUTED_VALUE"""),478)</f>
        <v>478</v>
      </c>
      <c r="X58" s="1">
        <f ca="1">IFERROR(__xludf.DUMMYFUNCTION("""COMPUTED_VALUE"""),685)</f>
        <v>685</v>
      </c>
      <c r="Y58" s="1">
        <f ca="1">IFERROR(__xludf.DUMMYFUNCTION("""COMPUTED_VALUE"""),0.698)</f>
        <v>0.69799999999999995</v>
      </c>
      <c r="Z58" s="1">
        <f ca="1">IFERROR(__xludf.DUMMYFUNCTION("""COMPUTED_VALUE"""),374)</f>
        <v>374</v>
      </c>
      <c r="AA58" s="1">
        <f ca="1">IFERROR(__xludf.DUMMYFUNCTION("""COMPUTED_VALUE"""),1196)</f>
        <v>1196</v>
      </c>
      <c r="AB58" s="1">
        <f ca="1">IFERROR(__xludf.DUMMYFUNCTION("""COMPUTED_VALUE"""),481)</f>
        <v>481</v>
      </c>
      <c r="AC58" s="1">
        <f ca="1">IFERROR(__xludf.DUMMYFUNCTION("""COMPUTED_VALUE"""),204)</f>
        <v>204</v>
      </c>
      <c r="AD58" s="1">
        <f ca="1">IFERROR(__xludf.DUMMYFUNCTION("""COMPUTED_VALUE"""),73)</f>
        <v>73</v>
      </c>
      <c r="AE58" s="1">
        <f ca="1">IFERROR(__xludf.DUMMYFUNCTION("""COMPUTED_VALUE"""),396)</f>
        <v>396</v>
      </c>
      <c r="AF58" s="1">
        <f ca="1">IFERROR(__xludf.DUMMYFUNCTION("""COMPUTED_VALUE"""),588)</f>
        <v>588</v>
      </c>
    </row>
    <row r="59" spans="1:32" ht="12.5" x14ac:dyDescent="0.25">
      <c r="A59" s="1" t="str">
        <f ca="1">IFERROR(__xludf.DUMMYFUNCTION("""COMPUTED_VALUE"""),"ChattanoogaNCAA")</f>
        <v>ChattanoogaNCAA</v>
      </c>
      <c r="B59" s="1">
        <f ca="1">IFERROR(__xludf.DUMMYFUNCTION("""COMPUTED_VALUE"""),35)</f>
        <v>35</v>
      </c>
      <c r="C59" s="1">
        <f ca="1">IFERROR(__xludf.DUMMYFUNCTION("""COMPUTED_VALUE"""),29)</f>
        <v>29</v>
      </c>
      <c r="D59" s="1">
        <f ca="1">IFERROR(__xludf.DUMMYFUNCTION("""COMPUTED_VALUE"""),6)</f>
        <v>6</v>
      </c>
      <c r="E59" s="1">
        <f ca="1">IFERROR(__xludf.DUMMYFUNCTION("""COMPUTED_VALUE"""),0.829)</f>
        <v>0.82899999999999996</v>
      </c>
      <c r="F59" s="1">
        <f ca="1">IFERROR(__xludf.DUMMYFUNCTION("""COMPUTED_VALUE"""),3.24)</f>
        <v>3.24</v>
      </c>
      <c r="G59" s="1">
        <f ca="1">IFERROR(__xludf.DUMMYFUNCTION("""COMPUTED_VALUE"""),-3.46)</f>
        <v>-3.46</v>
      </c>
      <c r="H59" s="1">
        <f ca="1">IFERROR(__xludf.DUMMYFUNCTION("""COMPUTED_VALUE"""),15)</f>
        <v>15</v>
      </c>
      <c r="I59" s="1">
        <f ca="1">IFERROR(__xludf.DUMMYFUNCTION("""COMPUTED_VALUE"""),3)</f>
        <v>3</v>
      </c>
      <c r="J59" s="1">
        <f ca="1">IFERROR(__xludf.DUMMYFUNCTION("""COMPUTED_VALUE"""),13)</f>
        <v>13</v>
      </c>
      <c r="K59" s="1">
        <f ca="1">IFERROR(__xludf.DUMMYFUNCTION("""COMPUTED_VALUE"""),1)</f>
        <v>1</v>
      </c>
      <c r="L59" s="1">
        <f ca="1">IFERROR(__xludf.DUMMYFUNCTION("""COMPUTED_VALUE"""),10)</f>
        <v>10</v>
      </c>
      <c r="M59" s="1">
        <f ca="1">IFERROR(__xludf.DUMMYFUNCTION("""COMPUTED_VALUE"""),4)</f>
        <v>4</v>
      </c>
      <c r="N59" s="1">
        <f ca="1">IFERROR(__xludf.DUMMYFUNCTION("""COMPUTED_VALUE"""),2652)</f>
        <v>2652</v>
      </c>
      <c r="O59" s="1">
        <f ca="1">IFERROR(__xludf.DUMMYFUNCTION("""COMPUTED_VALUE"""),2364)</f>
        <v>2364</v>
      </c>
      <c r="P59" s="1">
        <f ca="1">IFERROR(__xludf.DUMMYFUNCTION("""COMPUTED_VALUE"""),1410)</f>
        <v>1410</v>
      </c>
      <c r="Q59" s="1">
        <f ca="1">IFERROR(__xludf.DUMMYFUNCTION("""COMPUTED_VALUE"""),897)</f>
        <v>897</v>
      </c>
      <c r="R59" s="1">
        <f ca="1">IFERROR(__xludf.DUMMYFUNCTION("""COMPUTED_VALUE"""),1963)</f>
        <v>1963</v>
      </c>
      <c r="S59" s="1">
        <f ca="1">IFERROR(__xludf.DUMMYFUNCTION("""COMPUTED_VALUE"""),0.457)</f>
        <v>0.45700000000000002</v>
      </c>
      <c r="T59" s="1">
        <f ca="1">IFERROR(__xludf.DUMMYFUNCTION("""COMPUTED_VALUE"""),262)</f>
        <v>262</v>
      </c>
      <c r="U59" s="1">
        <f ca="1">IFERROR(__xludf.DUMMYFUNCTION("""COMPUTED_VALUE"""),729)</f>
        <v>729</v>
      </c>
      <c r="V59" s="1">
        <f ca="1">IFERROR(__xludf.DUMMYFUNCTION("""COMPUTED_VALUE"""),0.359)</f>
        <v>0.35899999999999999</v>
      </c>
      <c r="W59" s="1">
        <f ca="1">IFERROR(__xludf.DUMMYFUNCTION("""COMPUTED_VALUE"""),596)</f>
        <v>596</v>
      </c>
      <c r="X59" s="1">
        <f ca="1">IFERROR(__xludf.DUMMYFUNCTION("""COMPUTED_VALUE"""),811)</f>
        <v>811</v>
      </c>
      <c r="Y59" s="1">
        <f ca="1">IFERROR(__xludf.DUMMYFUNCTION("""COMPUTED_VALUE"""),0.735)</f>
        <v>0.73499999999999999</v>
      </c>
      <c r="Z59" s="1">
        <f ca="1">IFERROR(__xludf.DUMMYFUNCTION("""COMPUTED_VALUE"""),381)</f>
        <v>381</v>
      </c>
      <c r="AA59" s="1">
        <f ca="1">IFERROR(__xludf.DUMMYFUNCTION("""COMPUTED_VALUE"""),1241)</f>
        <v>1241</v>
      </c>
      <c r="AB59" s="1">
        <f ca="1">IFERROR(__xludf.DUMMYFUNCTION("""COMPUTED_VALUE"""),504)</f>
        <v>504</v>
      </c>
      <c r="AC59" s="1">
        <f ca="1">IFERROR(__xludf.DUMMYFUNCTION("""COMPUTED_VALUE"""),272)</f>
        <v>272</v>
      </c>
      <c r="AD59" s="1">
        <f ca="1">IFERROR(__xludf.DUMMYFUNCTION("""COMPUTED_VALUE"""),165)</f>
        <v>165</v>
      </c>
      <c r="AE59" s="1">
        <f ca="1">IFERROR(__xludf.DUMMYFUNCTION("""COMPUTED_VALUE"""),437)</f>
        <v>437</v>
      </c>
      <c r="AF59" s="1">
        <f ca="1">IFERROR(__xludf.DUMMYFUNCTION("""COMPUTED_VALUE"""),596)</f>
        <v>596</v>
      </c>
    </row>
    <row r="60" spans="1:32" ht="12.5" x14ac:dyDescent="0.25">
      <c r="A60" s="1" t="str">
        <f ca="1">IFERROR(__xludf.DUMMYFUNCTION("""COMPUTED_VALUE"""),"Chicago State")</f>
        <v>Chicago State</v>
      </c>
      <c r="B60" s="1">
        <f ca="1">IFERROR(__xludf.DUMMYFUNCTION("""COMPUTED_VALUE"""),32)</f>
        <v>32</v>
      </c>
      <c r="C60" s="1">
        <f ca="1">IFERROR(__xludf.DUMMYFUNCTION("""COMPUTED_VALUE"""),4)</f>
        <v>4</v>
      </c>
      <c r="D60" s="1">
        <f ca="1">IFERROR(__xludf.DUMMYFUNCTION("""COMPUTED_VALUE"""),28)</f>
        <v>28</v>
      </c>
      <c r="E60" s="1">
        <f ca="1">IFERROR(__xludf.DUMMYFUNCTION("""COMPUTED_VALUE"""),0.125)</f>
        <v>0.125</v>
      </c>
      <c r="F60" s="1">
        <f ca="1">IFERROR(__xludf.DUMMYFUNCTION("""COMPUTED_VALUE"""),-17.52)</f>
        <v>-17.52</v>
      </c>
      <c r="G60" s="1">
        <f ca="1">IFERROR(__xludf.DUMMYFUNCTION("""COMPUTED_VALUE"""),-1.38)</f>
        <v>-1.38</v>
      </c>
      <c r="H60" s="1">
        <f ca="1">IFERROR(__xludf.DUMMYFUNCTION("""COMPUTED_VALUE"""),0)</f>
        <v>0</v>
      </c>
      <c r="I60" s="1">
        <f ca="1">IFERROR(__xludf.DUMMYFUNCTION("""COMPUTED_VALUE"""),14)</f>
        <v>14</v>
      </c>
      <c r="J60" s="1">
        <f ca="1">IFERROR(__xludf.DUMMYFUNCTION("""COMPUTED_VALUE"""),4)</f>
        <v>4</v>
      </c>
      <c r="K60" s="1">
        <f ca="1">IFERROR(__xludf.DUMMYFUNCTION("""COMPUTED_VALUE"""),9)</f>
        <v>9</v>
      </c>
      <c r="L60" s="1">
        <f ca="1">IFERROR(__xludf.DUMMYFUNCTION("""COMPUTED_VALUE"""),0)</f>
        <v>0</v>
      </c>
      <c r="M60" s="1">
        <f ca="1">IFERROR(__xludf.DUMMYFUNCTION("""COMPUTED_VALUE"""),15)</f>
        <v>15</v>
      </c>
      <c r="N60" s="1">
        <f ca="1">IFERROR(__xludf.DUMMYFUNCTION("""COMPUTED_VALUE"""),2140)</f>
        <v>2140</v>
      </c>
      <c r="O60" s="1">
        <f ca="1">IFERROR(__xludf.DUMMYFUNCTION("""COMPUTED_VALUE"""),2478)</f>
        <v>2478</v>
      </c>
      <c r="P60" s="1">
        <f ca="1">IFERROR(__xludf.DUMMYFUNCTION("""COMPUTED_VALUE"""),1280)</f>
        <v>1280</v>
      </c>
      <c r="Q60" s="1">
        <f ca="1">IFERROR(__xludf.DUMMYFUNCTION("""COMPUTED_VALUE"""),764)</f>
        <v>764</v>
      </c>
      <c r="R60" s="1">
        <f ca="1">IFERROR(__xludf.DUMMYFUNCTION("""COMPUTED_VALUE"""),1995)</f>
        <v>1995</v>
      </c>
      <c r="S60" s="1">
        <f ca="1">IFERROR(__xludf.DUMMYFUNCTION("""COMPUTED_VALUE"""),0.383)</f>
        <v>0.38300000000000001</v>
      </c>
      <c r="T60" s="1">
        <f ca="1">IFERROR(__xludf.DUMMYFUNCTION("""COMPUTED_VALUE"""),228)</f>
        <v>228</v>
      </c>
      <c r="U60" s="1">
        <f ca="1">IFERROR(__xludf.DUMMYFUNCTION("""COMPUTED_VALUE"""),750)</f>
        <v>750</v>
      </c>
      <c r="V60" s="1">
        <f ca="1">IFERROR(__xludf.DUMMYFUNCTION("""COMPUTED_VALUE"""),0.304)</f>
        <v>0.30399999999999999</v>
      </c>
      <c r="W60" s="1">
        <f ca="1">IFERROR(__xludf.DUMMYFUNCTION("""COMPUTED_VALUE"""),384)</f>
        <v>384</v>
      </c>
      <c r="X60" s="1">
        <f ca="1">IFERROR(__xludf.DUMMYFUNCTION("""COMPUTED_VALUE"""),573)</f>
        <v>573</v>
      </c>
      <c r="Y60" s="1">
        <f ca="1">IFERROR(__xludf.DUMMYFUNCTION("""COMPUTED_VALUE"""),0.67)</f>
        <v>0.67</v>
      </c>
      <c r="Z60" s="1">
        <f ca="1">IFERROR(__xludf.DUMMYFUNCTION("""COMPUTED_VALUE"""),414)</f>
        <v>414</v>
      </c>
      <c r="AA60" s="1">
        <f ca="1">IFERROR(__xludf.DUMMYFUNCTION("""COMPUTED_VALUE"""),1172)</f>
        <v>1172</v>
      </c>
      <c r="AB60" s="1">
        <f ca="1">IFERROR(__xludf.DUMMYFUNCTION("""COMPUTED_VALUE"""),375)</f>
        <v>375</v>
      </c>
      <c r="AC60" s="1">
        <f ca="1">IFERROR(__xludf.DUMMYFUNCTION("""COMPUTED_VALUE"""),246)</f>
        <v>246</v>
      </c>
      <c r="AD60" s="1">
        <f ca="1">IFERROR(__xludf.DUMMYFUNCTION("""COMPUTED_VALUE"""),98)</f>
        <v>98</v>
      </c>
      <c r="AE60" s="1">
        <f ca="1">IFERROR(__xludf.DUMMYFUNCTION("""COMPUTED_VALUE"""),458)</f>
        <v>458</v>
      </c>
      <c r="AF60" s="1">
        <f ca="1">IFERROR(__xludf.DUMMYFUNCTION("""COMPUTED_VALUE"""),697)</f>
        <v>697</v>
      </c>
    </row>
    <row r="61" spans="1:32" ht="12.5" x14ac:dyDescent="0.25">
      <c r="A61" s="1" t="str">
        <f ca="1">IFERROR(__xludf.DUMMYFUNCTION("""COMPUTED_VALUE"""),"CincinnatiNCAA")</f>
        <v>CincinnatiNCAA</v>
      </c>
      <c r="B61" s="1">
        <f ca="1">IFERROR(__xludf.DUMMYFUNCTION("""COMPUTED_VALUE"""),33)</f>
        <v>33</v>
      </c>
      <c r="C61" s="1">
        <f ca="1">IFERROR(__xludf.DUMMYFUNCTION("""COMPUTED_VALUE"""),22)</f>
        <v>22</v>
      </c>
      <c r="D61" s="1">
        <f ca="1">IFERROR(__xludf.DUMMYFUNCTION("""COMPUTED_VALUE"""),11)</f>
        <v>11</v>
      </c>
      <c r="E61" s="1">
        <f ca="1">IFERROR(__xludf.DUMMYFUNCTION("""COMPUTED_VALUE"""),0.667)</f>
        <v>0.66700000000000004</v>
      </c>
      <c r="F61" s="1">
        <f ca="1">IFERROR(__xludf.DUMMYFUNCTION("""COMPUTED_VALUE"""),15.19)</f>
        <v>15.19</v>
      </c>
      <c r="G61" s="1">
        <f ca="1">IFERROR(__xludf.DUMMYFUNCTION("""COMPUTED_VALUE"""),5.25)</f>
        <v>5.25</v>
      </c>
      <c r="H61" s="1">
        <f ca="1">IFERROR(__xludf.DUMMYFUNCTION("""COMPUTED_VALUE"""),12)</f>
        <v>12</v>
      </c>
      <c r="I61" s="1">
        <f ca="1">IFERROR(__xludf.DUMMYFUNCTION("""COMPUTED_VALUE"""),6)</f>
        <v>6</v>
      </c>
      <c r="J61" s="1">
        <f ca="1">IFERROR(__xludf.DUMMYFUNCTION("""COMPUTED_VALUE"""),14)</f>
        <v>14</v>
      </c>
      <c r="K61" s="1">
        <f ca="1">IFERROR(__xludf.DUMMYFUNCTION("""COMPUTED_VALUE"""),3)</f>
        <v>3</v>
      </c>
      <c r="L61" s="1">
        <f ca="1">IFERROR(__xludf.DUMMYFUNCTION("""COMPUTED_VALUE"""),6)</f>
        <v>6</v>
      </c>
      <c r="M61" s="1">
        <f ca="1">IFERROR(__xludf.DUMMYFUNCTION("""COMPUTED_VALUE"""),6)</f>
        <v>6</v>
      </c>
      <c r="N61" s="1">
        <f ca="1">IFERROR(__xludf.DUMMYFUNCTION("""COMPUTED_VALUE"""),2418)</f>
        <v>2418</v>
      </c>
      <c r="O61" s="1">
        <f ca="1">IFERROR(__xludf.DUMMYFUNCTION("""COMPUTED_VALUE"""),2090)</f>
        <v>2090</v>
      </c>
      <c r="P61" s="1">
        <f ca="1">IFERROR(__xludf.DUMMYFUNCTION("""COMPUTED_VALUE"""),1355)</f>
        <v>1355</v>
      </c>
      <c r="Q61" s="1">
        <f ca="1">IFERROR(__xludf.DUMMYFUNCTION("""COMPUTED_VALUE"""),851)</f>
        <v>851</v>
      </c>
      <c r="R61" s="1">
        <f ca="1">IFERROR(__xludf.DUMMYFUNCTION("""COMPUTED_VALUE"""),1980)</f>
        <v>1980</v>
      </c>
      <c r="S61" s="1">
        <f ca="1">IFERROR(__xludf.DUMMYFUNCTION("""COMPUTED_VALUE"""),0.43)</f>
        <v>0.43</v>
      </c>
      <c r="T61" s="1">
        <f ca="1">IFERROR(__xludf.DUMMYFUNCTION("""COMPUTED_VALUE"""),252)</f>
        <v>252</v>
      </c>
      <c r="U61" s="1">
        <f ca="1">IFERROR(__xludf.DUMMYFUNCTION("""COMPUTED_VALUE"""),725)</f>
        <v>725</v>
      </c>
      <c r="V61" s="1">
        <f ca="1">IFERROR(__xludf.DUMMYFUNCTION("""COMPUTED_VALUE"""),0.348)</f>
        <v>0.34799999999999998</v>
      </c>
      <c r="W61" s="1">
        <f ca="1">IFERROR(__xludf.DUMMYFUNCTION("""COMPUTED_VALUE"""),464)</f>
        <v>464</v>
      </c>
      <c r="X61" s="1">
        <f ca="1">IFERROR(__xludf.DUMMYFUNCTION("""COMPUTED_VALUE"""),658)</f>
        <v>658</v>
      </c>
      <c r="Y61" s="1">
        <f ca="1">IFERROR(__xludf.DUMMYFUNCTION("""COMPUTED_VALUE"""),0.705)</f>
        <v>0.70499999999999996</v>
      </c>
      <c r="Z61" s="1">
        <f ca="1">IFERROR(__xludf.DUMMYFUNCTION("""COMPUTED_VALUE"""),441)</f>
        <v>441</v>
      </c>
      <c r="AA61" s="1">
        <f ca="1">IFERROR(__xludf.DUMMYFUNCTION("""COMPUTED_VALUE"""),1291)</f>
        <v>1291</v>
      </c>
      <c r="AB61" s="1">
        <f ca="1">IFERROR(__xludf.DUMMYFUNCTION("""COMPUTED_VALUE"""),508)</f>
        <v>508</v>
      </c>
      <c r="AC61" s="1">
        <f ca="1">IFERROR(__xludf.DUMMYFUNCTION("""COMPUTED_VALUE"""),257)</f>
        <v>257</v>
      </c>
      <c r="AD61" s="1">
        <f ca="1">IFERROR(__xludf.DUMMYFUNCTION("""COMPUTED_VALUE"""),192)</f>
        <v>192</v>
      </c>
      <c r="AE61" s="1">
        <f ca="1">IFERROR(__xludf.DUMMYFUNCTION("""COMPUTED_VALUE"""),363)</f>
        <v>363</v>
      </c>
      <c r="AF61" s="1">
        <f ca="1">IFERROR(__xludf.DUMMYFUNCTION("""COMPUTED_VALUE"""),513)</f>
        <v>513</v>
      </c>
    </row>
    <row r="62" spans="1:32" ht="12.5" x14ac:dyDescent="0.25">
      <c r="A62" s="1" t="str">
        <f ca="1">IFERROR(__xludf.DUMMYFUNCTION("""COMPUTED_VALUE"""),"Citadel")</f>
        <v>Citadel</v>
      </c>
      <c r="B62" s="1">
        <f ca="1">IFERROR(__xludf.DUMMYFUNCTION("""COMPUTED_VALUE"""),32)</f>
        <v>32</v>
      </c>
      <c r="C62" s="1">
        <f ca="1">IFERROR(__xludf.DUMMYFUNCTION("""COMPUTED_VALUE"""),10)</f>
        <v>10</v>
      </c>
      <c r="D62" s="1">
        <f ca="1">IFERROR(__xludf.DUMMYFUNCTION("""COMPUTED_VALUE"""),22)</f>
        <v>22</v>
      </c>
      <c r="E62" s="1">
        <f ca="1">IFERROR(__xludf.DUMMYFUNCTION("""COMPUTED_VALUE"""),0.313)</f>
        <v>0.313</v>
      </c>
      <c r="F62" s="1">
        <f ca="1">IFERROR(__xludf.DUMMYFUNCTION("""COMPUTED_VALUE"""),-15.95)</f>
        <v>-15.95</v>
      </c>
      <c r="G62" s="1">
        <f ca="1">IFERROR(__xludf.DUMMYFUNCTION("""COMPUTED_VALUE"""),-4.75)</f>
        <v>-4.75</v>
      </c>
      <c r="H62" s="1">
        <f ca="1">IFERROR(__xludf.DUMMYFUNCTION("""COMPUTED_VALUE"""),3)</f>
        <v>3</v>
      </c>
      <c r="I62" s="1">
        <f ca="1">IFERROR(__xludf.DUMMYFUNCTION("""COMPUTED_VALUE"""),15)</f>
        <v>15</v>
      </c>
      <c r="J62" s="1">
        <f ca="1">IFERROR(__xludf.DUMMYFUNCTION("""COMPUTED_VALUE"""),6)</f>
        <v>6</v>
      </c>
      <c r="K62" s="1">
        <f ca="1">IFERROR(__xludf.DUMMYFUNCTION("""COMPUTED_VALUE"""),8)</f>
        <v>8</v>
      </c>
      <c r="L62" s="1">
        <f ca="1">IFERROR(__xludf.DUMMYFUNCTION("""COMPUTED_VALUE"""),3)</f>
        <v>3</v>
      </c>
      <c r="M62" s="1">
        <f ca="1">IFERROR(__xludf.DUMMYFUNCTION("""COMPUTED_VALUE"""),13)</f>
        <v>13</v>
      </c>
      <c r="N62" s="1">
        <f ca="1">IFERROR(__xludf.DUMMYFUNCTION("""COMPUTED_VALUE"""),2753)</f>
        <v>2753</v>
      </c>
      <c r="O62" s="1">
        <f ca="1">IFERROR(__xludf.DUMMYFUNCTION("""COMPUTED_VALUE"""),2962)</f>
        <v>2962</v>
      </c>
      <c r="P62" s="1">
        <f ca="1">IFERROR(__xludf.DUMMYFUNCTION("""COMPUTED_VALUE"""),1285)</f>
        <v>1285</v>
      </c>
      <c r="Q62" s="1">
        <f ca="1">IFERROR(__xludf.DUMMYFUNCTION("""COMPUTED_VALUE"""),938)</f>
        <v>938</v>
      </c>
      <c r="R62" s="1">
        <f ca="1">IFERROR(__xludf.DUMMYFUNCTION("""COMPUTED_VALUE"""),2242)</f>
        <v>2242</v>
      </c>
      <c r="S62" s="1">
        <f ca="1">IFERROR(__xludf.DUMMYFUNCTION("""COMPUTED_VALUE"""),0.418)</f>
        <v>0.41799999999999998</v>
      </c>
      <c r="T62" s="1">
        <f ca="1">IFERROR(__xludf.DUMMYFUNCTION("""COMPUTED_VALUE"""),363)</f>
        <v>363</v>
      </c>
      <c r="U62" s="1">
        <f ca="1">IFERROR(__xludf.DUMMYFUNCTION("""COMPUTED_VALUE"""),1121)</f>
        <v>1121</v>
      </c>
      <c r="V62" s="1">
        <f ca="1">IFERROR(__xludf.DUMMYFUNCTION("""COMPUTED_VALUE"""),0.324)</f>
        <v>0.32400000000000001</v>
      </c>
      <c r="W62" s="1">
        <f ca="1">IFERROR(__xludf.DUMMYFUNCTION("""COMPUTED_VALUE"""),514)</f>
        <v>514</v>
      </c>
      <c r="X62" s="1">
        <f ca="1">IFERROR(__xludf.DUMMYFUNCTION("""COMPUTED_VALUE"""),704)</f>
        <v>704</v>
      </c>
      <c r="Y62" s="1">
        <f ca="1">IFERROR(__xludf.DUMMYFUNCTION("""COMPUTED_VALUE"""),0.73)</f>
        <v>0.73</v>
      </c>
      <c r="Z62" s="1">
        <f ca="1">IFERROR(__xludf.DUMMYFUNCTION("""COMPUTED_VALUE"""),404)</f>
        <v>404</v>
      </c>
      <c r="AA62" s="1">
        <f ca="1">IFERROR(__xludf.DUMMYFUNCTION("""COMPUTED_VALUE"""),1148)</f>
        <v>1148</v>
      </c>
      <c r="AB62" s="1">
        <f ca="1">IFERROR(__xludf.DUMMYFUNCTION("""COMPUTED_VALUE"""),489)</f>
        <v>489</v>
      </c>
      <c r="AC62" s="1">
        <f ca="1">IFERROR(__xludf.DUMMYFUNCTION("""COMPUTED_VALUE"""),281)</f>
        <v>281</v>
      </c>
      <c r="AD62" s="1">
        <f ca="1">IFERROR(__xludf.DUMMYFUNCTION("""COMPUTED_VALUE"""),99)</f>
        <v>99</v>
      </c>
      <c r="AE62" s="1">
        <f ca="1">IFERROR(__xludf.DUMMYFUNCTION("""COMPUTED_VALUE"""),441)</f>
        <v>441</v>
      </c>
      <c r="AF62" s="1">
        <f ca="1">IFERROR(__xludf.DUMMYFUNCTION("""COMPUTED_VALUE"""),770)</f>
        <v>770</v>
      </c>
    </row>
    <row r="63" spans="1:32" ht="12.5" x14ac:dyDescent="0.25">
      <c r="A63" s="1" t="str">
        <f ca="1">IFERROR(__xludf.DUMMYFUNCTION("""COMPUTED_VALUE"""),"Clemson")</f>
        <v>Clemson</v>
      </c>
      <c r="B63" s="1">
        <f ca="1">IFERROR(__xludf.DUMMYFUNCTION("""COMPUTED_VALUE"""),31)</f>
        <v>31</v>
      </c>
      <c r="C63" s="1">
        <f ca="1">IFERROR(__xludf.DUMMYFUNCTION("""COMPUTED_VALUE"""),17)</f>
        <v>17</v>
      </c>
      <c r="D63" s="1">
        <f ca="1">IFERROR(__xludf.DUMMYFUNCTION("""COMPUTED_VALUE"""),14)</f>
        <v>14</v>
      </c>
      <c r="E63" s="1">
        <f ca="1">IFERROR(__xludf.DUMMYFUNCTION("""COMPUTED_VALUE"""),0.548)</f>
        <v>0.54800000000000004</v>
      </c>
      <c r="F63" s="1">
        <f ca="1">IFERROR(__xludf.DUMMYFUNCTION("""COMPUTED_VALUE"""),12.03)</f>
        <v>12.03</v>
      </c>
      <c r="G63" s="1">
        <f ca="1">IFERROR(__xludf.DUMMYFUNCTION("""COMPUTED_VALUE"""),6.87)</f>
        <v>6.87</v>
      </c>
      <c r="H63" s="1">
        <f ca="1">IFERROR(__xludf.DUMMYFUNCTION("""COMPUTED_VALUE"""),10)</f>
        <v>10</v>
      </c>
      <c r="I63" s="1">
        <f ca="1">IFERROR(__xludf.DUMMYFUNCTION("""COMPUTED_VALUE"""),8)</f>
        <v>8</v>
      </c>
      <c r="J63" s="1">
        <f ca="1">IFERROR(__xludf.DUMMYFUNCTION("""COMPUTED_VALUE"""),13)</f>
        <v>13</v>
      </c>
      <c r="K63" s="1">
        <f ca="1">IFERROR(__xludf.DUMMYFUNCTION("""COMPUTED_VALUE"""),4)</f>
        <v>4</v>
      </c>
      <c r="L63" s="1">
        <f ca="1">IFERROR(__xludf.DUMMYFUNCTION("""COMPUTED_VALUE"""),3)</f>
        <v>3</v>
      </c>
      <c r="M63" s="1">
        <f ca="1">IFERROR(__xludf.DUMMYFUNCTION("""COMPUTED_VALUE"""),8)</f>
        <v>8</v>
      </c>
      <c r="N63" s="1">
        <f ca="1">IFERROR(__xludf.DUMMYFUNCTION("""COMPUTED_VALUE"""),2159)</f>
        <v>2159</v>
      </c>
      <c r="O63" s="1">
        <f ca="1">IFERROR(__xludf.DUMMYFUNCTION("""COMPUTED_VALUE"""),1999)</f>
        <v>1999</v>
      </c>
      <c r="P63" s="1">
        <f ca="1">IFERROR(__xludf.DUMMYFUNCTION("""COMPUTED_VALUE"""),1250)</f>
        <v>1250</v>
      </c>
      <c r="Q63" s="1">
        <f ca="1">IFERROR(__xludf.DUMMYFUNCTION("""COMPUTED_VALUE"""),753)</f>
        <v>753</v>
      </c>
      <c r="R63" s="1">
        <f ca="1">IFERROR(__xludf.DUMMYFUNCTION("""COMPUTED_VALUE"""),1725)</f>
        <v>1725</v>
      </c>
      <c r="S63" s="1">
        <f ca="1">IFERROR(__xludf.DUMMYFUNCTION("""COMPUTED_VALUE"""),0.437)</f>
        <v>0.437</v>
      </c>
      <c r="T63" s="1">
        <f ca="1">IFERROR(__xludf.DUMMYFUNCTION("""COMPUTED_VALUE"""),238)</f>
        <v>238</v>
      </c>
      <c r="U63" s="1">
        <f ca="1">IFERROR(__xludf.DUMMYFUNCTION("""COMPUTED_VALUE"""),678)</f>
        <v>678</v>
      </c>
      <c r="V63" s="1">
        <f ca="1">IFERROR(__xludf.DUMMYFUNCTION("""COMPUTED_VALUE"""),0.351)</f>
        <v>0.35099999999999998</v>
      </c>
      <c r="W63" s="1">
        <f ca="1">IFERROR(__xludf.DUMMYFUNCTION("""COMPUTED_VALUE"""),415)</f>
        <v>415</v>
      </c>
      <c r="X63" s="1">
        <f ca="1">IFERROR(__xludf.DUMMYFUNCTION("""COMPUTED_VALUE"""),574)</f>
        <v>574</v>
      </c>
      <c r="Y63" s="1">
        <f ca="1">IFERROR(__xludf.DUMMYFUNCTION("""COMPUTED_VALUE"""),0.723)</f>
        <v>0.72299999999999998</v>
      </c>
      <c r="Z63" s="1">
        <f ca="1">IFERROR(__xludf.DUMMYFUNCTION("""COMPUTED_VALUE"""),320)</f>
        <v>320</v>
      </c>
      <c r="AA63" s="1">
        <f ca="1">IFERROR(__xludf.DUMMYFUNCTION("""COMPUTED_VALUE"""),1076)</f>
        <v>1076</v>
      </c>
      <c r="AB63" s="1">
        <f ca="1">IFERROR(__xludf.DUMMYFUNCTION("""COMPUTED_VALUE"""),411)</f>
        <v>411</v>
      </c>
      <c r="AC63" s="1">
        <f ca="1">IFERROR(__xludf.DUMMYFUNCTION("""COMPUTED_VALUE"""),179)</f>
        <v>179</v>
      </c>
      <c r="AD63" s="1">
        <f ca="1">IFERROR(__xludf.DUMMYFUNCTION("""COMPUTED_VALUE"""),162)</f>
        <v>162</v>
      </c>
      <c r="AE63" s="1">
        <f ca="1">IFERROR(__xludf.DUMMYFUNCTION("""COMPUTED_VALUE"""),315)</f>
        <v>315</v>
      </c>
      <c r="AF63" s="1">
        <f ca="1">IFERROR(__xludf.DUMMYFUNCTION("""COMPUTED_VALUE"""),511)</f>
        <v>511</v>
      </c>
    </row>
    <row r="64" spans="1:32" ht="12.5" x14ac:dyDescent="0.25">
      <c r="A64" s="1" t="str">
        <f ca="1">IFERROR(__xludf.DUMMYFUNCTION("""COMPUTED_VALUE"""),"Cleveland State")</f>
        <v>Cleveland State</v>
      </c>
      <c r="B64" s="1">
        <f ca="1">IFERROR(__xludf.DUMMYFUNCTION("""COMPUTED_VALUE"""),32)</f>
        <v>32</v>
      </c>
      <c r="C64" s="1">
        <f ca="1">IFERROR(__xludf.DUMMYFUNCTION("""COMPUTED_VALUE"""),9)</f>
        <v>9</v>
      </c>
      <c r="D64" s="1">
        <f ca="1">IFERROR(__xludf.DUMMYFUNCTION("""COMPUTED_VALUE"""),23)</f>
        <v>23</v>
      </c>
      <c r="E64" s="1">
        <f ca="1">IFERROR(__xludf.DUMMYFUNCTION("""COMPUTED_VALUE"""),0.281)</f>
        <v>0.28100000000000003</v>
      </c>
      <c r="F64" s="1">
        <f ca="1">IFERROR(__xludf.DUMMYFUNCTION("""COMPUTED_VALUE"""),-9.17)</f>
        <v>-9.17</v>
      </c>
      <c r="G64" s="1">
        <f ca="1">IFERROR(__xludf.DUMMYFUNCTION("""COMPUTED_VALUE"""),0.09)</f>
        <v>0.09</v>
      </c>
      <c r="H64" s="1">
        <f ca="1">IFERROR(__xludf.DUMMYFUNCTION("""COMPUTED_VALUE"""),4)</f>
        <v>4</v>
      </c>
      <c r="I64" s="1">
        <f ca="1">IFERROR(__xludf.DUMMYFUNCTION("""COMPUTED_VALUE"""),14)</f>
        <v>14</v>
      </c>
      <c r="J64" s="1">
        <f ca="1">IFERROR(__xludf.DUMMYFUNCTION("""COMPUTED_VALUE"""),5)</f>
        <v>5</v>
      </c>
      <c r="K64" s="1">
        <f ca="1">IFERROR(__xludf.DUMMYFUNCTION("""COMPUTED_VALUE"""),9)</f>
        <v>9</v>
      </c>
      <c r="L64" s="1">
        <f ca="1">IFERROR(__xludf.DUMMYFUNCTION("""COMPUTED_VALUE"""),3)</f>
        <v>3</v>
      </c>
      <c r="M64" s="1">
        <f ca="1">IFERROR(__xludf.DUMMYFUNCTION("""COMPUTED_VALUE"""),10)</f>
        <v>10</v>
      </c>
      <c r="N64" s="1">
        <f ca="1">IFERROR(__xludf.DUMMYFUNCTION("""COMPUTED_VALUE"""),1947)</f>
        <v>1947</v>
      </c>
      <c r="O64" s="1">
        <f ca="1">IFERROR(__xludf.DUMMYFUNCTION("""COMPUTED_VALUE"""),2169)</f>
        <v>2169</v>
      </c>
      <c r="P64" s="1">
        <f ca="1">IFERROR(__xludf.DUMMYFUNCTION("""COMPUTED_VALUE"""),1285)</f>
        <v>1285</v>
      </c>
      <c r="Q64" s="1">
        <f ca="1">IFERROR(__xludf.DUMMYFUNCTION("""COMPUTED_VALUE"""),704)</f>
        <v>704</v>
      </c>
      <c r="R64" s="1">
        <f ca="1">IFERROR(__xludf.DUMMYFUNCTION("""COMPUTED_VALUE"""),1746)</f>
        <v>1746</v>
      </c>
      <c r="S64" s="1">
        <f ca="1">IFERROR(__xludf.DUMMYFUNCTION("""COMPUTED_VALUE"""),0.403)</f>
        <v>0.40300000000000002</v>
      </c>
      <c r="T64" s="1">
        <f ca="1">IFERROR(__xludf.DUMMYFUNCTION("""COMPUTED_VALUE"""),174)</f>
        <v>174</v>
      </c>
      <c r="U64" s="1">
        <f ca="1">IFERROR(__xludf.DUMMYFUNCTION("""COMPUTED_VALUE"""),537)</f>
        <v>537</v>
      </c>
      <c r="V64" s="1">
        <f ca="1">IFERROR(__xludf.DUMMYFUNCTION("""COMPUTED_VALUE"""),0.324)</f>
        <v>0.32400000000000001</v>
      </c>
      <c r="W64" s="1">
        <f ca="1">IFERROR(__xludf.DUMMYFUNCTION("""COMPUTED_VALUE"""),365)</f>
        <v>365</v>
      </c>
      <c r="X64" s="1">
        <f ca="1">IFERROR(__xludf.DUMMYFUNCTION("""COMPUTED_VALUE"""),538)</f>
        <v>538</v>
      </c>
      <c r="Y64" s="1">
        <f ca="1">IFERROR(__xludf.DUMMYFUNCTION("""COMPUTED_VALUE"""),0.678)</f>
        <v>0.67800000000000005</v>
      </c>
      <c r="Z64" s="1">
        <f ca="1">IFERROR(__xludf.DUMMYFUNCTION("""COMPUTED_VALUE"""),338)</f>
        <v>338</v>
      </c>
      <c r="AA64" s="1">
        <f ca="1">IFERROR(__xludf.DUMMYFUNCTION("""COMPUTED_VALUE"""),1061)</f>
        <v>1061</v>
      </c>
      <c r="AB64" s="1">
        <f ca="1">IFERROR(__xludf.DUMMYFUNCTION("""COMPUTED_VALUE"""),327)</f>
        <v>327</v>
      </c>
      <c r="AC64" s="1">
        <f ca="1">IFERROR(__xludf.DUMMYFUNCTION("""COMPUTED_VALUE"""),196)</f>
        <v>196</v>
      </c>
      <c r="AD64" s="1">
        <f ca="1">IFERROR(__xludf.DUMMYFUNCTION("""COMPUTED_VALUE"""),87)</f>
        <v>87</v>
      </c>
      <c r="AE64" s="1">
        <f ca="1">IFERROR(__xludf.DUMMYFUNCTION("""COMPUTED_VALUE"""),459)</f>
        <v>459</v>
      </c>
      <c r="AF64" s="1">
        <f ca="1">IFERROR(__xludf.DUMMYFUNCTION("""COMPUTED_VALUE"""),670)</f>
        <v>670</v>
      </c>
    </row>
    <row r="65" spans="1:32" ht="12.5" x14ac:dyDescent="0.25">
      <c r="A65" s="1" t="str">
        <f ca="1">IFERROR(__xludf.DUMMYFUNCTION("""COMPUTED_VALUE"""),"Coastal Carolina")</f>
        <v>Coastal Carolina</v>
      </c>
      <c r="B65" s="1">
        <f ca="1">IFERROR(__xludf.DUMMYFUNCTION("""COMPUTED_VALUE"""),33)</f>
        <v>33</v>
      </c>
      <c r="C65" s="1">
        <f ca="1">IFERROR(__xludf.DUMMYFUNCTION("""COMPUTED_VALUE"""),21)</f>
        <v>21</v>
      </c>
      <c r="D65" s="1">
        <f ca="1">IFERROR(__xludf.DUMMYFUNCTION("""COMPUTED_VALUE"""),12)</f>
        <v>12</v>
      </c>
      <c r="E65" s="1">
        <f ca="1">IFERROR(__xludf.DUMMYFUNCTION("""COMPUTED_VALUE"""),0.636)</f>
        <v>0.63600000000000001</v>
      </c>
      <c r="F65" s="1">
        <f ca="1">IFERROR(__xludf.DUMMYFUNCTION("""COMPUTED_VALUE"""),-1.85)</f>
        <v>-1.85</v>
      </c>
      <c r="G65" s="1">
        <f ca="1">IFERROR(__xludf.DUMMYFUNCTION("""COMPUTED_VALUE"""),-4.22)</f>
        <v>-4.22</v>
      </c>
      <c r="H65" s="1">
        <f ca="1">IFERROR(__xludf.DUMMYFUNCTION("""COMPUTED_VALUE"""),12)</f>
        <v>12</v>
      </c>
      <c r="I65" s="1">
        <f ca="1">IFERROR(__xludf.DUMMYFUNCTION("""COMPUTED_VALUE"""),6)</f>
        <v>6</v>
      </c>
      <c r="J65" s="1">
        <f ca="1">IFERROR(__xludf.DUMMYFUNCTION("""COMPUTED_VALUE"""),14)</f>
        <v>14</v>
      </c>
      <c r="K65" s="1">
        <f ca="1">IFERROR(__xludf.DUMMYFUNCTION("""COMPUTED_VALUE"""),4)</f>
        <v>4</v>
      </c>
      <c r="L65" s="1">
        <f ca="1">IFERROR(__xludf.DUMMYFUNCTION("""COMPUTED_VALUE"""),7)</f>
        <v>7</v>
      </c>
      <c r="M65" s="1">
        <f ca="1">IFERROR(__xludf.DUMMYFUNCTION("""COMPUTED_VALUE"""),5)</f>
        <v>5</v>
      </c>
      <c r="N65" s="1">
        <f ca="1">IFERROR(__xludf.DUMMYFUNCTION("""COMPUTED_VALUE"""),2410)</f>
        <v>2410</v>
      </c>
      <c r="O65" s="1">
        <f ca="1">IFERROR(__xludf.DUMMYFUNCTION("""COMPUTED_VALUE"""),2196)</f>
        <v>2196</v>
      </c>
      <c r="P65" s="1">
        <f ca="1">IFERROR(__xludf.DUMMYFUNCTION("""COMPUTED_VALUE"""),1325)</f>
        <v>1325</v>
      </c>
      <c r="Q65" s="1">
        <f ca="1">IFERROR(__xludf.DUMMYFUNCTION("""COMPUTED_VALUE"""),854)</f>
        <v>854</v>
      </c>
      <c r="R65" s="1">
        <f ca="1">IFERROR(__xludf.DUMMYFUNCTION("""COMPUTED_VALUE"""),1909)</f>
        <v>1909</v>
      </c>
      <c r="S65" s="1">
        <f ca="1">IFERROR(__xludf.DUMMYFUNCTION("""COMPUTED_VALUE"""),0.447)</f>
        <v>0.44700000000000001</v>
      </c>
      <c r="T65" s="1">
        <f ca="1">IFERROR(__xludf.DUMMYFUNCTION("""COMPUTED_VALUE"""),244)</f>
        <v>244</v>
      </c>
      <c r="U65" s="1">
        <f ca="1">IFERROR(__xludf.DUMMYFUNCTION("""COMPUTED_VALUE"""),716)</f>
        <v>716</v>
      </c>
      <c r="V65" s="1">
        <f ca="1">IFERROR(__xludf.DUMMYFUNCTION("""COMPUTED_VALUE"""),0.341)</f>
        <v>0.34100000000000003</v>
      </c>
      <c r="W65" s="1">
        <f ca="1">IFERROR(__xludf.DUMMYFUNCTION("""COMPUTED_VALUE"""),458)</f>
        <v>458</v>
      </c>
      <c r="X65" s="1">
        <f ca="1">IFERROR(__xludf.DUMMYFUNCTION("""COMPUTED_VALUE"""),689)</f>
        <v>689</v>
      </c>
      <c r="Y65" s="1">
        <f ca="1">IFERROR(__xludf.DUMMYFUNCTION("""COMPUTED_VALUE"""),0.665)</f>
        <v>0.66500000000000004</v>
      </c>
      <c r="Z65" s="1">
        <f ca="1">IFERROR(__xludf.DUMMYFUNCTION("""COMPUTED_VALUE"""),377)</f>
        <v>377</v>
      </c>
      <c r="AA65" s="1">
        <f ca="1">IFERROR(__xludf.DUMMYFUNCTION("""COMPUTED_VALUE"""),1299)</f>
        <v>1299</v>
      </c>
      <c r="AB65" s="1">
        <f ca="1">IFERROR(__xludf.DUMMYFUNCTION("""COMPUTED_VALUE"""),396)</f>
        <v>396</v>
      </c>
      <c r="AC65" s="1">
        <f ca="1">IFERROR(__xludf.DUMMYFUNCTION("""COMPUTED_VALUE"""),195)</f>
        <v>195</v>
      </c>
      <c r="AD65" s="1">
        <f ca="1">IFERROR(__xludf.DUMMYFUNCTION("""COMPUTED_VALUE"""),113)</f>
        <v>113</v>
      </c>
      <c r="AE65" s="1">
        <f ca="1">IFERROR(__xludf.DUMMYFUNCTION("""COMPUTED_VALUE"""),406)</f>
        <v>406</v>
      </c>
      <c r="AF65" s="1">
        <f ca="1">IFERROR(__xludf.DUMMYFUNCTION("""COMPUTED_VALUE"""),568)</f>
        <v>568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IFERROR(__xludf.DUMMYFUNCTION("""COMPUTED_VALUE"""),"Colgate")</f>
        <v>Colgate</v>
      </c>
      <c r="B68" s="1">
        <f ca="1">IFERROR(__xludf.DUMMYFUNCTION("""COMPUTED_VALUE"""),30)</f>
        <v>30</v>
      </c>
      <c r="C68" s="1">
        <f ca="1">IFERROR(__xludf.DUMMYFUNCTION("""COMPUTED_VALUE"""),13)</f>
        <v>13</v>
      </c>
      <c r="D68" s="1">
        <f ca="1">IFERROR(__xludf.DUMMYFUNCTION("""COMPUTED_VALUE"""),17)</f>
        <v>17</v>
      </c>
      <c r="E68" s="1">
        <f ca="1">IFERROR(__xludf.DUMMYFUNCTION("""COMPUTED_VALUE"""),0.433)</f>
        <v>0.433</v>
      </c>
      <c r="F68" s="1">
        <f ca="1">IFERROR(__xludf.DUMMYFUNCTION("""COMPUTED_VALUE"""),-8.61)</f>
        <v>-8.61</v>
      </c>
      <c r="G68" s="1">
        <f ca="1">IFERROR(__xludf.DUMMYFUNCTION("""COMPUTED_VALUE"""),-6.06)</f>
        <v>-6.06</v>
      </c>
      <c r="H68" s="1">
        <f ca="1">IFERROR(__xludf.DUMMYFUNCTION("""COMPUTED_VALUE"""),9)</f>
        <v>9</v>
      </c>
      <c r="I68" s="1">
        <f ca="1">IFERROR(__xludf.DUMMYFUNCTION("""COMPUTED_VALUE"""),9)</f>
        <v>9</v>
      </c>
      <c r="J68" s="1">
        <f ca="1">IFERROR(__xludf.DUMMYFUNCTION("""COMPUTED_VALUE"""),8)</f>
        <v>8</v>
      </c>
      <c r="K68" s="1">
        <f ca="1">IFERROR(__xludf.DUMMYFUNCTION("""COMPUTED_VALUE"""),4)</f>
        <v>4</v>
      </c>
      <c r="L68" s="1">
        <f ca="1">IFERROR(__xludf.DUMMYFUNCTION("""COMPUTED_VALUE"""),5)</f>
        <v>5</v>
      </c>
      <c r="M68" s="1">
        <f ca="1">IFERROR(__xludf.DUMMYFUNCTION("""COMPUTED_VALUE"""),13)</f>
        <v>13</v>
      </c>
      <c r="N68" s="1">
        <f ca="1">IFERROR(__xludf.DUMMYFUNCTION("""COMPUTED_VALUE"""),2093)</f>
        <v>2093</v>
      </c>
      <c r="O68" s="1">
        <f ca="1">IFERROR(__xludf.DUMMYFUNCTION("""COMPUTED_VALUE"""),2145)</f>
        <v>2145</v>
      </c>
      <c r="P68" s="1">
        <f ca="1">IFERROR(__xludf.DUMMYFUNCTION("""COMPUTED_VALUE"""),1220)</f>
        <v>1220</v>
      </c>
      <c r="Q68" s="1">
        <f ca="1">IFERROR(__xludf.DUMMYFUNCTION("""COMPUTED_VALUE"""),747)</f>
        <v>747</v>
      </c>
      <c r="R68" s="1">
        <f ca="1">IFERROR(__xludf.DUMMYFUNCTION("""COMPUTED_VALUE"""),1673)</f>
        <v>1673</v>
      </c>
      <c r="S68" s="1">
        <f ca="1">IFERROR(__xludf.DUMMYFUNCTION("""COMPUTED_VALUE"""),0.447)</f>
        <v>0.44700000000000001</v>
      </c>
      <c r="T68" s="1">
        <f ca="1">IFERROR(__xludf.DUMMYFUNCTION("""COMPUTED_VALUE"""),267)</f>
        <v>267</v>
      </c>
      <c r="U68" s="1">
        <f ca="1">IFERROR(__xludf.DUMMYFUNCTION("""COMPUTED_VALUE"""),718)</f>
        <v>718</v>
      </c>
      <c r="V68" s="1">
        <f ca="1">IFERROR(__xludf.DUMMYFUNCTION("""COMPUTED_VALUE"""),0.372)</f>
        <v>0.372</v>
      </c>
      <c r="W68" s="1">
        <f ca="1">IFERROR(__xludf.DUMMYFUNCTION("""COMPUTED_VALUE"""),332)</f>
        <v>332</v>
      </c>
      <c r="X68" s="1">
        <f ca="1">IFERROR(__xludf.DUMMYFUNCTION("""COMPUTED_VALUE"""),488)</f>
        <v>488</v>
      </c>
      <c r="Y68" s="1">
        <f ca="1">IFERROR(__xludf.DUMMYFUNCTION("""COMPUTED_VALUE"""),0.68)</f>
        <v>0.68</v>
      </c>
      <c r="Z68" s="1">
        <f ca="1">IFERROR(__xludf.DUMMYFUNCTION("""COMPUTED_VALUE"""),280)</f>
        <v>280</v>
      </c>
      <c r="AA68" s="1">
        <f ca="1">IFERROR(__xludf.DUMMYFUNCTION("""COMPUTED_VALUE"""),951)</f>
        <v>951</v>
      </c>
      <c r="AB68" s="1">
        <f ca="1">IFERROR(__xludf.DUMMYFUNCTION("""COMPUTED_VALUE"""),398)</f>
        <v>398</v>
      </c>
      <c r="AC68" s="1">
        <f ca="1">IFERROR(__xludf.DUMMYFUNCTION("""COMPUTED_VALUE"""),184)</f>
        <v>184</v>
      </c>
      <c r="AD68" s="1">
        <f ca="1">IFERROR(__xludf.DUMMYFUNCTION("""COMPUTED_VALUE"""),72)</f>
        <v>72</v>
      </c>
      <c r="AE68" s="1">
        <f ca="1">IFERROR(__xludf.DUMMYFUNCTION("""COMPUTED_VALUE"""),365)</f>
        <v>365</v>
      </c>
      <c r="AF68" s="1">
        <f ca="1">IFERROR(__xludf.DUMMYFUNCTION("""COMPUTED_VALUE"""),583)</f>
        <v>583</v>
      </c>
    </row>
    <row r="69" spans="1:32" ht="12.5" x14ac:dyDescent="0.25">
      <c r="A69" s="1" t="str">
        <f ca="1">IFERROR(__xludf.DUMMYFUNCTION("""COMPUTED_VALUE"""),"College of Charleston")</f>
        <v>College of Charleston</v>
      </c>
      <c r="B69" s="1">
        <f ca="1">IFERROR(__xludf.DUMMYFUNCTION("""COMPUTED_VALUE"""),31)</f>
        <v>31</v>
      </c>
      <c r="C69" s="1">
        <f ca="1">IFERROR(__xludf.DUMMYFUNCTION("""COMPUTED_VALUE"""),17)</f>
        <v>17</v>
      </c>
      <c r="D69" s="1">
        <f ca="1">IFERROR(__xludf.DUMMYFUNCTION("""COMPUTED_VALUE"""),14)</f>
        <v>14</v>
      </c>
      <c r="E69" s="1">
        <f ca="1">IFERROR(__xludf.DUMMYFUNCTION("""COMPUTED_VALUE"""),0.548)</f>
        <v>0.54800000000000004</v>
      </c>
      <c r="F69" s="1">
        <f ca="1">IFERROR(__xludf.DUMMYFUNCTION("""COMPUTED_VALUE"""),2.37)</f>
        <v>2.37</v>
      </c>
      <c r="G69" s="1">
        <f ca="1">IFERROR(__xludf.DUMMYFUNCTION("""COMPUTED_VALUE"""),0.04)</f>
        <v>0.04</v>
      </c>
      <c r="H69" s="1">
        <f ca="1">IFERROR(__xludf.DUMMYFUNCTION("""COMPUTED_VALUE"""),8)</f>
        <v>8</v>
      </c>
      <c r="I69" s="1">
        <f ca="1">IFERROR(__xludf.DUMMYFUNCTION("""COMPUTED_VALUE"""),10)</f>
        <v>10</v>
      </c>
      <c r="J69" s="1">
        <f ca="1">IFERROR(__xludf.DUMMYFUNCTION("""COMPUTED_VALUE"""),10)</f>
        <v>10</v>
      </c>
      <c r="K69" s="1">
        <f ca="1">IFERROR(__xludf.DUMMYFUNCTION("""COMPUTED_VALUE"""),5)</f>
        <v>5</v>
      </c>
      <c r="L69" s="1">
        <f ca="1">IFERROR(__xludf.DUMMYFUNCTION("""COMPUTED_VALUE"""),6)</f>
        <v>6</v>
      </c>
      <c r="M69" s="1">
        <f ca="1">IFERROR(__xludf.DUMMYFUNCTION("""COMPUTED_VALUE"""),8)</f>
        <v>8</v>
      </c>
      <c r="N69" s="1">
        <f ca="1">IFERROR(__xludf.DUMMYFUNCTION("""COMPUTED_VALUE"""),2028)</f>
        <v>2028</v>
      </c>
      <c r="O69" s="1">
        <f ca="1">IFERROR(__xludf.DUMMYFUNCTION("""COMPUTED_VALUE"""),1921)</f>
        <v>1921</v>
      </c>
      <c r="P69" s="1">
        <f ca="1">IFERROR(__xludf.DUMMYFUNCTION("""COMPUTED_VALUE"""),1250)</f>
        <v>1250</v>
      </c>
      <c r="Q69" s="1">
        <f ca="1">IFERROR(__xludf.DUMMYFUNCTION("""COMPUTED_VALUE"""),722)</f>
        <v>722</v>
      </c>
      <c r="R69" s="1">
        <f ca="1">IFERROR(__xludf.DUMMYFUNCTION("""COMPUTED_VALUE"""),1718)</f>
        <v>1718</v>
      </c>
      <c r="S69" s="1">
        <f ca="1">IFERROR(__xludf.DUMMYFUNCTION("""COMPUTED_VALUE"""),0.42)</f>
        <v>0.42</v>
      </c>
      <c r="T69" s="1">
        <f ca="1">IFERROR(__xludf.DUMMYFUNCTION("""COMPUTED_VALUE"""),206)</f>
        <v>206</v>
      </c>
      <c r="U69" s="1">
        <f ca="1">IFERROR(__xludf.DUMMYFUNCTION("""COMPUTED_VALUE"""),595)</f>
        <v>595</v>
      </c>
      <c r="V69" s="1">
        <f ca="1">IFERROR(__xludf.DUMMYFUNCTION("""COMPUTED_VALUE"""),0.346)</f>
        <v>0.34599999999999997</v>
      </c>
      <c r="W69" s="1">
        <f ca="1">IFERROR(__xludf.DUMMYFUNCTION("""COMPUTED_VALUE"""),378)</f>
        <v>378</v>
      </c>
      <c r="X69" s="1">
        <f ca="1">IFERROR(__xludf.DUMMYFUNCTION("""COMPUTED_VALUE"""),567)</f>
        <v>567</v>
      </c>
      <c r="Y69" s="1">
        <f ca="1">IFERROR(__xludf.DUMMYFUNCTION("""COMPUTED_VALUE"""),0.667)</f>
        <v>0.66700000000000004</v>
      </c>
      <c r="Z69" s="1">
        <f ca="1">IFERROR(__xludf.DUMMYFUNCTION("""COMPUTED_VALUE"""),335)</f>
        <v>335</v>
      </c>
      <c r="AA69" s="1">
        <f ca="1">IFERROR(__xludf.DUMMYFUNCTION("""COMPUTED_VALUE"""),1090)</f>
        <v>1090</v>
      </c>
      <c r="AB69" s="1">
        <f ca="1">IFERROR(__xludf.DUMMYFUNCTION("""COMPUTED_VALUE"""),361)</f>
        <v>361</v>
      </c>
      <c r="AC69" s="1">
        <f ca="1">IFERROR(__xludf.DUMMYFUNCTION("""COMPUTED_VALUE"""),222)</f>
        <v>222</v>
      </c>
      <c r="AD69" s="1">
        <f ca="1">IFERROR(__xludf.DUMMYFUNCTION("""COMPUTED_VALUE"""),75)</f>
        <v>75</v>
      </c>
      <c r="AE69" s="1">
        <f ca="1">IFERROR(__xludf.DUMMYFUNCTION("""COMPUTED_VALUE"""),393)</f>
        <v>393</v>
      </c>
      <c r="AF69" s="1">
        <f ca="1">IFERROR(__xludf.DUMMYFUNCTION("""COMPUTED_VALUE"""),620)</f>
        <v>620</v>
      </c>
    </row>
    <row r="70" spans="1:32" ht="12.5" x14ac:dyDescent="0.25">
      <c r="A70" s="1" t="str">
        <f ca="1">IFERROR(__xludf.DUMMYFUNCTION("""COMPUTED_VALUE"""),"Colorado State")</f>
        <v>Colorado State</v>
      </c>
      <c r="B70" s="1">
        <f ca="1">IFERROR(__xludf.DUMMYFUNCTION("""COMPUTED_VALUE"""),34)</f>
        <v>34</v>
      </c>
      <c r="C70" s="1">
        <f ca="1">IFERROR(__xludf.DUMMYFUNCTION("""COMPUTED_VALUE"""),18)</f>
        <v>18</v>
      </c>
      <c r="D70" s="1">
        <f ca="1">IFERROR(__xludf.DUMMYFUNCTION("""COMPUTED_VALUE"""),16)</f>
        <v>16</v>
      </c>
      <c r="E70" s="1">
        <f ca="1">IFERROR(__xludf.DUMMYFUNCTION("""COMPUTED_VALUE"""),0.529)</f>
        <v>0.52900000000000003</v>
      </c>
      <c r="F70" s="1">
        <f ca="1">IFERROR(__xludf.DUMMYFUNCTION("""COMPUTED_VALUE"""),2.31)</f>
        <v>2.31</v>
      </c>
      <c r="G70" s="1">
        <f ca="1">IFERROR(__xludf.DUMMYFUNCTION("""COMPUTED_VALUE"""),1.53)</f>
        <v>1.53</v>
      </c>
      <c r="H70" s="1">
        <f ca="1">IFERROR(__xludf.DUMMYFUNCTION("""COMPUTED_VALUE"""),8)</f>
        <v>8</v>
      </c>
      <c r="I70" s="1">
        <f ca="1">IFERROR(__xludf.DUMMYFUNCTION("""COMPUTED_VALUE"""),10)</f>
        <v>10</v>
      </c>
      <c r="J70" s="1">
        <f ca="1">IFERROR(__xludf.DUMMYFUNCTION("""COMPUTED_VALUE"""),12)</f>
        <v>12</v>
      </c>
      <c r="K70" s="1">
        <f ca="1">IFERROR(__xludf.DUMMYFUNCTION("""COMPUTED_VALUE"""),5)</f>
        <v>5</v>
      </c>
      <c r="L70" s="1">
        <f ca="1">IFERROR(__xludf.DUMMYFUNCTION("""COMPUTED_VALUE"""),3)</f>
        <v>3</v>
      </c>
      <c r="M70" s="1">
        <f ca="1">IFERROR(__xludf.DUMMYFUNCTION("""COMPUTED_VALUE"""),8)</f>
        <v>8</v>
      </c>
      <c r="N70" s="1">
        <f ca="1">IFERROR(__xludf.DUMMYFUNCTION("""COMPUTED_VALUE"""),2700)</f>
        <v>2700</v>
      </c>
      <c r="O70" s="1">
        <f ca="1">IFERROR(__xludf.DUMMYFUNCTION("""COMPUTED_VALUE"""),2626)</f>
        <v>2626</v>
      </c>
      <c r="P70" s="1">
        <f ca="1">IFERROR(__xludf.DUMMYFUNCTION("""COMPUTED_VALUE"""),1400)</f>
        <v>1400</v>
      </c>
      <c r="Q70" s="1">
        <f ca="1">IFERROR(__xludf.DUMMYFUNCTION("""COMPUTED_VALUE"""),878)</f>
        <v>878</v>
      </c>
      <c r="R70" s="1">
        <f ca="1">IFERROR(__xludf.DUMMYFUNCTION("""COMPUTED_VALUE"""),2067)</f>
        <v>2067</v>
      </c>
      <c r="S70" s="1">
        <f ca="1">IFERROR(__xludf.DUMMYFUNCTION("""COMPUTED_VALUE"""),0.425)</f>
        <v>0.42499999999999999</v>
      </c>
      <c r="T70" s="1">
        <f ca="1">IFERROR(__xludf.DUMMYFUNCTION("""COMPUTED_VALUE"""),326)</f>
        <v>326</v>
      </c>
      <c r="U70" s="1">
        <f ca="1">IFERROR(__xludf.DUMMYFUNCTION("""COMPUTED_VALUE"""),896)</f>
        <v>896</v>
      </c>
      <c r="V70" s="1">
        <f ca="1">IFERROR(__xludf.DUMMYFUNCTION("""COMPUTED_VALUE"""),0.364)</f>
        <v>0.36399999999999999</v>
      </c>
      <c r="W70" s="1">
        <f ca="1">IFERROR(__xludf.DUMMYFUNCTION("""COMPUTED_VALUE"""),618)</f>
        <v>618</v>
      </c>
      <c r="X70" s="1">
        <f ca="1">IFERROR(__xludf.DUMMYFUNCTION("""COMPUTED_VALUE"""),861)</f>
        <v>861</v>
      </c>
      <c r="Y70" s="1">
        <f ca="1">IFERROR(__xludf.DUMMYFUNCTION("""COMPUTED_VALUE"""),0.718)</f>
        <v>0.71799999999999997</v>
      </c>
      <c r="Z70" s="1">
        <f ca="1">IFERROR(__xludf.DUMMYFUNCTION("""COMPUTED_VALUE"""),442)</f>
        <v>442</v>
      </c>
      <c r="AA70" s="1">
        <f ca="1">IFERROR(__xludf.DUMMYFUNCTION("""COMPUTED_VALUE"""),1359)</f>
        <v>1359</v>
      </c>
      <c r="AB70" s="1">
        <f ca="1">IFERROR(__xludf.DUMMYFUNCTION("""COMPUTED_VALUE"""),455)</f>
        <v>455</v>
      </c>
      <c r="AC70" s="1">
        <f ca="1">IFERROR(__xludf.DUMMYFUNCTION("""COMPUTED_VALUE"""),131)</f>
        <v>131</v>
      </c>
      <c r="AD70" s="1">
        <f ca="1">IFERROR(__xludf.DUMMYFUNCTION("""COMPUTED_VALUE"""),77)</f>
        <v>77</v>
      </c>
      <c r="AE70" s="1">
        <f ca="1">IFERROR(__xludf.DUMMYFUNCTION("""COMPUTED_VALUE"""),395)</f>
        <v>395</v>
      </c>
      <c r="AF70" s="1">
        <f ca="1">IFERROR(__xludf.DUMMYFUNCTION("""COMPUTED_VALUE"""),657)</f>
        <v>657</v>
      </c>
    </row>
    <row r="71" spans="1:32" ht="12.5" x14ac:dyDescent="0.25">
      <c r="A71" s="1" t="str">
        <f ca="1">IFERROR(__xludf.DUMMYFUNCTION("""COMPUTED_VALUE"""),"ColoradoNCAA")</f>
        <v>ColoradoNCAA</v>
      </c>
      <c r="B71" s="1">
        <f ca="1">IFERROR(__xludf.DUMMYFUNCTION("""COMPUTED_VALUE"""),34)</f>
        <v>34</v>
      </c>
      <c r="C71" s="1">
        <f ca="1">IFERROR(__xludf.DUMMYFUNCTION("""COMPUTED_VALUE"""),22)</f>
        <v>22</v>
      </c>
      <c r="D71" s="1">
        <f ca="1">IFERROR(__xludf.DUMMYFUNCTION("""COMPUTED_VALUE"""),12)</f>
        <v>12</v>
      </c>
      <c r="E71" s="1">
        <f ca="1">IFERROR(__xludf.DUMMYFUNCTION("""COMPUTED_VALUE"""),0.647)</f>
        <v>0.64700000000000002</v>
      </c>
      <c r="F71" s="1">
        <f ca="1">IFERROR(__xludf.DUMMYFUNCTION("""COMPUTED_VALUE"""),12.04)</f>
        <v>12.04</v>
      </c>
      <c r="G71" s="1">
        <f ca="1">IFERROR(__xludf.DUMMYFUNCTION("""COMPUTED_VALUE"""),7.64)</f>
        <v>7.64</v>
      </c>
      <c r="H71" s="1">
        <f ca="1">IFERROR(__xludf.DUMMYFUNCTION("""COMPUTED_VALUE"""),10)</f>
        <v>10</v>
      </c>
      <c r="I71" s="1">
        <f ca="1">IFERROR(__xludf.DUMMYFUNCTION("""COMPUTED_VALUE"""),8)</f>
        <v>8</v>
      </c>
      <c r="J71" s="1">
        <f ca="1">IFERROR(__xludf.DUMMYFUNCTION("""COMPUTED_VALUE"""),16)</f>
        <v>16</v>
      </c>
      <c r="K71" s="1">
        <f ca="1">IFERROR(__xludf.DUMMYFUNCTION("""COMPUTED_VALUE"""),1)</f>
        <v>1</v>
      </c>
      <c r="L71" s="1">
        <f ca="1">IFERROR(__xludf.DUMMYFUNCTION("""COMPUTED_VALUE"""),4)</f>
        <v>4</v>
      </c>
      <c r="M71" s="1">
        <f ca="1">IFERROR(__xludf.DUMMYFUNCTION("""COMPUTED_VALUE"""),7)</f>
        <v>7</v>
      </c>
      <c r="N71" s="1">
        <f ca="1">IFERROR(__xludf.DUMMYFUNCTION("""COMPUTED_VALUE"""),2576)</f>
        <v>2576</v>
      </c>
      <c r="O71" s="1">
        <f ca="1">IFERROR(__xludf.DUMMYFUNCTION("""COMPUTED_VALUE"""),2407)</f>
        <v>2407</v>
      </c>
      <c r="P71" s="1">
        <f ca="1">IFERROR(__xludf.DUMMYFUNCTION("""COMPUTED_VALUE"""),1370)</f>
        <v>1370</v>
      </c>
      <c r="Q71" s="1">
        <f ca="1">IFERROR(__xludf.DUMMYFUNCTION("""COMPUTED_VALUE"""),865)</f>
        <v>865</v>
      </c>
      <c r="R71" s="1">
        <f ca="1">IFERROR(__xludf.DUMMYFUNCTION("""COMPUTED_VALUE"""),2029)</f>
        <v>2029</v>
      </c>
      <c r="S71" s="1">
        <f ca="1">IFERROR(__xludf.DUMMYFUNCTION("""COMPUTED_VALUE"""),0.426)</f>
        <v>0.42599999999999999</v>
      </c>
      <c r="T71" s="1">
        <f ca="1">IFERROR(__xludf.DUMMYFUNCTION("""COMPUTED_VALUE"""),252)</f>
        <v>252</v>
      </c>
      <c r="U71" s="1">
        <f ca="1">IFERROR(__xludf.DUMMYFUNCTION("""COMPUTED_VALUE"""),647)</f>
        <v>647</v>
      </c>
      <c r="V71" s="1">
        <f ca="1">IFERROR(__xludf.DUMMYFUNCTION("""COMPUTED_VALUE"""),0.389)</f>
        <v>0.38900000000000001</v>
      </c>
      <c r="W71" s="1">
        <f ca="1">IFERROR(__xludf.DUMMYFUNCTION("""COMPUTED_VALUE"""),594)</f>
        <v>594</v>
      </c>
      <c r="X71" s="1">
        <f ca="1">IFERROR(__xludf.DUMMYFUNCTION("""COMPUTED_VALUE"""),808)</f>
        <v>808</v>
      </c>
      <c r="Y71" s="1">
        <f ca="1">IFERROR(__xludf.DUMMYFUNCTION("""COMPUTED_VALUE"""),0.735)</f>
        <v>0.73499999999999999</v>
      </c>
      <c r="Z71" s="1">
        <f ca="1">IFERROR(__xludf.DUMMYFUNCTION("""COMPUTED_VALUE"""),446)</f>
        <v>446</v>
      </c>
      <c r="AA71" s="1">
        <f ca="1">IFERROR(__xludf.DUMMYFUNCTION("""COMPUTED_VALUE"""),1434)</f>
        <v>1434</v>
      </c>
      <c r="AB71" s="1">
        <f ca="1">IFERROR(__xludf.DUMMYFUNCTION("""COMPUTED_VALUE"""),461)</f>
        <v>461</v>
      </c>
      <c r="AC71" s="1">
        <f ca="1">IFERROR(__xludf.DUMMYFUNCTION("""COMPUTED_VALUE"""),177)</f>
        <v>177</v>
      </c>
      <c r="AD71" s="1">
        <f ca="1">IFERROR(__xludf.DUMMYFUNCTION("""COMPUTED_VALUE"""),167)</f>
        <v>167</v>
      </c>
      <c r="AE71" s="1">
        <f ca="1">IFERROR(__xludf.DUMMYFUNCTION("""COMPUTED_VALUE"""),454)</f>
        <v>454</v>
      </c>
      <c r="AF71" s="1">
        <f ca="1">IFERROR(__xludf.DUMMYFUNCTION("""COMPUTED_VALUE"""),638)</f>
        <v>638</v>
      </c>
    </row>
    <row r="72" spans="1:32" ht="12.5" x14ac:dyDescent="0.25">
      <c r="A72" s="1" t="str">
        <f ca="1">IFERROR(__xludf.DUMMYFUNCTION("""COMPUTED_VALUE"""),"Columbia")</f>
        <v>Columbia</v>
      </c>
      <c r="B72" s="1">
        <f ca="1">IFERROR(__xludf.DUMMYFUNCTION("""COMPUTED_VALUE"""),35)</f>
        <v>35</v>
      </c>
      <c r="C72" s="1">
        <f ca="1">IFERROR(__xludf.DUMMYFUNCTION("""COMPUTED_VALUE"""),25)</f>
        <v>25</v>
      </c>
      <c r="D72" s="1">
        <f ca="1">IFERROR(__xludf.DUMMYFUNCTION("""COMPUTED_VALUE"""),10)</f>
        <v>10</v>
      </c>
      <c r="E72" s="1">
        <f ca="1">IFERROR(__xludf.DUMMYFUNCTION("""COMPUTED_VALUE"""),0.714)</f>
        <v>0.71399999999999997</v>
      </c>
      <c r="F72" s="1">
        <f ca="1">IFERROR(__xludf.DUMMYFUNCTION("""COMPUTED_VALUE"""),3.45)</f>
        <v>3.45</v>
      </c>
      <c r="G72" s="1">
        <f ca="1">IFERROR(__xludf.DUMMYFUNCTION("""COMPUTED_VALUE"""),-2.55)</f>
        <v>-2.5499999999999998</v>
      </c>
      <c r="H72" s="1">
        <f ca="1">IFERROR(__xludf.DUMMYFUNCTION("""COMPUTED_VALUE"""),10)</f>
        <v>10</v>
      </c>
      <c r="I72" s="1">
        <f ca="1">IFERROR(__xludf.DUMMYFUNCTION("""COMPUTED_VALUE"""),4)</f>
        <v>4</v>
      </c>
      <c r="J72" s="1">
        <f ca="1">IFERROR(__xludf.DUMMYFUNCTION("""COMPUTED_VALUE"""),18)</f>
        <v>18</v>
      </c>
      <c r="K72" s="1">
        <f ca="1">IFERROR(__xludf.DUMMYFUNCTION("""COMPUTED_VALUE"""),4)</f>
        <v>4</v>
      </c>
      <c r="L72" s="1">
        <f ca="1">IFERROR(__xludf.DUMMYFUNCTION("""COMPUTED_VALUE"""),7)</f>
        <v>7</v>
      </c>
      <c r="M72" s="1">
        <f ca="1">IFERROR(__xludf.DUMMYFUNCTION("""COMPUTED_VALUE"""),6)</f>
        <v>6</v>
      </c>
      <c r="N72" s="1">
        <f ca="1">IFERROR(__xludf.DUMMYFUNCTION("""COMPUTED_VALUE"""),2670)</f>
        <v>2670</v>
      </c>
      <c r="O72" s="1">
        <f ca="1">IFERROR(__xludf.DUMMYFUNCTION("""COMPUTED_VALUE"""),2399)</f>
        <v>2399</v>
      </c>
      <c r="P72" s="1">
        <f ca="1">IFERROR(__xludf.DUMMYFUNCTION("""COMPUTED_VALUE"""),1415)</f>
        <v>1415</v>
      </c>
      <c r="Q72" s="1">
        <f ca="1">IFERROR(__xludf.DUMMYFUNCTION("""COMPUTED_VALUE"""),899)</f>
        <v>899</v>
      </c>
      <c r="R72" s="1">
        <f ca="1">IFERROR(__xludf.DUMMYFUNCTION("""COMPUTED_VALUE"""),1986)</f>
        <v>1986</v>
      </c>
      <c r="S72" s="1">
        <f ca="1">IFERROR(__xludf.DUMMYFUNCTION("""COMPUTED_VALUE"""),0.453)</f>
        <v>0.45300000000000001</v>
      </c>
      <c r="T72" s="1">
        <f ca="1">IFERROR(__xludf.DUMMYFUNCTION("""COMPUTED_VALUE"""),336)</f>
        <v>336</v>
      </c>
      <c r="U72" s="1">
        <f ca="1">IFERROR(__xludf.DUMMYFUNCTION("""COMPUTED_VALUE"""),893)</f>
        <v>893</v>
      </c>
      <c r="V72" s="1">
        <f ca="1">IFERROR(__xludf.DUMMYFUNCTION("""COMPUTED_VALUE"""),0.376)</f>
        <v>0.376</v>
      </c>
      <c r="W72" s="1">
        <f ca="1">IFERROR(__xludf.DUMMYFUNCTION("""COMPUTED_VALUE"""),536)</f>
        <v>536</v>
      </c>
      <c r="X72" s="1">
        <f ca="1">IFERROR(__xludf.DUMMYFUNCTION("""COMPUTED_VALUE"""),745)</f>
        <v>745</v>
      </c>
      <c r="Y72" s="1">
        <f ca="1">IFERROR(__xludf.DUMMYFUNCTION("""COMPUTED_VALUE"""),0.719)</f>
        <v>0.71899999999999997</v>
      </c>
      <c r="Z72" s="1">
        <f ca="1">IFERROR(__xludf.DUMMYFUNCTION("""COMPUTED_VALUE"""),366)</f>
        <v>366</v>
      </c>
      <c r="AA72" s="1">
        <f ca="1">IFERROR(__xludf.DUMMYFUNCTION("""COMPUTED_VALUE"""),1240)</f>
        <v>1240</v>
      </c>
      <c r="AB72" s="1">
        <f ca="1">IFERROR(__xludf.DUMMYFUNCTION("""COMPUTED_VALUE"""),518)</f>
        <v>518</v>
      </c>
      <c r="AC72" s="1">
        <f ca="1">IFERROR(__xludf.DUMMYFUNCTION("""COMPUTED_VALUE"""),220)</f>
        <v>220</v>
      </c>
      <c r="AD72" s="1">
        <f ca="1">IFERROR(__xludf.DUMMYFUNCTION("""COMPUTED_VALUE"""),121)</f>
        <v>121</v>
      </c>
      <c r="AE72" s="1">
        <f ca="1">IFERROR(__xludf.DUMMYFUNCTION("""COMPUTED_VALUE"""),379)</f>
        <v>379</v>
      </c>
      <c r="AF72" s="1">
        <f ca="1">IFERROR(__xludf.DUMMYFUNCTION("""COMPUTED_VALUE"""),649)</f>
        <v>649</v>
      </c>
    </row>
    <row r="73" spans="1:32" ht="12.5" x14ac:dyDescent="0.25">
      <c r="A73" s="1" t="str">
        <f ca="1">IFERROR(__xludf.DUMMYFUNCTION("""COMPUTED_VALUE"""),"ConnecticutNCAA")</f>
        <v>ConnecticutNCAA</v>
      </c>
      <c r="B73" s="1">
        <f ca="1">IFERROR(__xludf.DUMMYFUNCTION("""COMPUTED_VALUE"""),36)</f>
        <v>36</v>
      </c>
      <c r="C73" s="1">
        <f ca="1">IFERROR(__xludf.DUMMYFUNCTION("""COMPUTED_VALUE"""),25)</f>
        <v>25</v>
      </c>
      <c r="D73" s="1">
        <f ca="1">IFERROR(__xludf.DUMMYFUNCTION("""COMPUTED_VALUE"""),11)</f>
        <v>11</v>
      </c>
      <c r="E73" s="1">
        <f ca="1">IFERROR(__xludf.DUMMYFUNCTION("""COMPUTED_VALUE"""),0.694)</f>
        <v>0.69399999999999995</v>
      </c>
      <c r="F73" s="1">
        <f ca="1">IFERROR(__xludf.DUMMYFUNCTION("""COMPUTED_VALUE"""),15.89)</f>
        <v>15.89</v>
      </c>
      <c r="G73" s="1">
        <f ca="1">IFERROR(__xludf.DUMMYFUNCTION("""COMPUTED_VALUE"""),6.28)</f>
        <v>6.28</v>
      </c>
      <c r="H73" s="1">
        <f ca="1">IFERROR(__xludf.DUMMYFUNCTION("""COMPUTED_VALUE"""),11)</f>
        <v>11</v>
      </c>
      <c r="I73" s="1">
        <f ca="1">IFERROR(__xludf.DUMMYFUNCTION("""COMPUTED_VALUE"""),7)</f>
        <v>7</v>
      </c>
      <c r="J73" s="1">
        <f ca="1">IFERROR(__xludf.DUMMYFUNCTION("""COMPUTED_VALUE"""),14)</f>
        <v>14</v>
      </c>
      <c r="K73" s="1">
        <f ca="1">IFERROR(__xludf.DUMMYFUNCTION("""COMPUTED_VALUE"""),3)</f>
        <v>3</v>
      </c>
      <c r="L73" s="1">
        <f ca="1">IFERROR(__xludf.DUMMYFUNCTION("""COMPUTED_VALUE"""),6)</f>
        <v>6</v>
      </c>
      <c r="M73" s="1">
        <f ca="1">IFERROR(__xludf.DUMMYFUNCTION("""COMPUTED_VALUE"""),4)</f>
        <v>4</v>
      </c>
      <c r="N73" s="1">
        <f ca="1">IFERROR(__xludf.DUMMYFUNCTION("""COMPUTED_VALUE"""),2631)</f>
        <v>2631</v>
      </c>
      <c r="O73" s="1">
        <f ca="1">IFERROR(__xludf.DUMMYFUNCTION("""COMPUTED_VALUE"""),2285)</f>
        <v>2285</v>
      </c>
      <c r="P73" s="1">
        <f ca="1">IFERROR(__xludf.DUMMYFUNCTION("""COMPUTED_VALUE"""),1460)</f>
        <v>1460</v>
      </c>
      <c r="Q73" s="1">
        <f ca="1">IFERROR(__xludf.DUMMYFUNCTION("""COMPUTED_VALUE"""),944)</f>
        <v>944</v>
      </c>
      <c r="R73" s="1">
        <f ca="1">IFERROR(__xludf.DUMMYFUNCTION("""COMPUTED_VALUE"""),2078)</f>
        <v>2078</v>
      </c>
      <c r="S73" s="1">
        <f ca="1">IFERROR(__xludf.DUMMYFUNCTION("""COMPUTED_VALUE"""),0.454)</f>
        <v>0.45400000000000001</v>
      </c>
      <c r="T73" s="1">
        <f ca="1">IFERROR(__xludf.DUMMYFUNCTION("""COMPUTED_VALUE"""),255)</f>
        <v>255</v>
      </c>
      <c r="U73" s="1">
        <f ca="1">IFERROR(__xludf.DUMMYFUNCTION("""COMPUTED_VALUE"""),699)</f>
        <v>699</v>
      </c>
      <c r="V73" s="1">
        <f ca="1">IFERROR(__xludf.DUMMYFUNCTION("""COMPUTED_VALUE"""),0.365)</f>
        <v>0.36499999999999999</v>
      </c>
      <c r="W73" s="1">
        <f ca="1">IFERROR(__xludf.DUMMYFUNCTION("""COMPUTED_VALUE"""),488)</f>
        <v>488</v>
      </c>
      <c r="X73" s="1">
        <f ca="1">IFERROR(__xludf.DUMMYFUNCTION("""COMPUTED_VALUE"""),615)</f>
        <v>615</v>
      </c>
      <c r="Y73" s="1">
        <f ca="1">IFERROR(__xludf.DUMMYFUNCTION("""COMPUTED_VALUE"""),0.793)</f>
        <v>0.79300000000000004</v>
      </c>
      <c r="Z73" s="1">
        <f ca="1">IFERROR(__xludf.DUMMYFUNCTION("""COMPUTED_VALUE"""),338)</f>
        <v>338</v>
      </c>
      <c r="AA73" s="1">
        <f ca="1">IFERROR(__xludf.DUMMYFUNCTION("""COMPUTED_VALUE"""),1300)</f>
        <v>1300</v>
      </c>
      <c r="AB73" s="1">
        <f ca="1">IFERROR(__xludf.DUMMYFUNCTION("""COMPUTED_VALUE"""),489)</f>
        <v>489</v>
      </c>
      <c r="AC73" s="1">
        <f ca="1">IFERROR(__xludf.DUMMYFUNCTION("""COMPUTED_VALUE"""),210)</f>
        <v>210</v>
      </c>
      <c r="AD73" s="1">
        <f ca="1">IFERROR(__xludf.DUMMYFUNCTION("""COMPUTED_VALUE"""),182)</f>
        <v>182</v>
      </c>
      <c r="AE73" s="1">
        <f ca="1">IFERROR(__xludf.DUMMYFUNCTION("""COMPUTED_VALUE"""),385)</f>
        <v>385</v>
      </c>
      <c r="AF73" s="1">
        <f ca="1">IFERROR(__xludf.DUMMYFUNCTION("""COMPUTED_VALUE"""),657)</f>
        <v>657</v>
      </c>
    </row>
    <row r="74" spans="1:32" ht="12.5" x14ac:dyDescent="0.25">
      <c r="A74" s="1" t="str">
        <f ca="1">IFERROR(__xludf.DUMMYFUNCTION("""COMPUTED_VALUE"""),"Coppin State")</f>
        <v>Coppin State</v>
      </c>
      <c r="B74" s="1">
        <f ca="1">IFERROR(__xludf.DUMMYFUNCTION("""COMPUTED_VALUE"""),31)</f>
        <v>31</v>
      </c>
      <c r="C74" s="1">
        <f ca="1">IFERROR(__xludf.DUMMYFUNCTION("""COMPUTED_VALUE"""),9)</f>
        <v>9</v>
      </c>
      <c r="D74" s="1">
        <f ca="1">IFERROR(__xludf.DUMMYFUNCTION("""COMPUTED_VALUE"""),22)</f>
        <v>22</v>
      </c>
      <c r="E74" s="1">
        <f ca="1">IFERROR(__xludf.DUMMYFUNCTION("""COMPUTED_VALUE"""),0.29)</f>
        <v>0.28999999999999998</v>
      </c>
      <c r="F74" s="1">
        <f ca="1">IFERROR(__xludf.DUMMYFUNCTION("""COMPUTED_VALUE"""),-15.75)</f>
        <v>-15.75</v>
      </c>
      <c r="G74" s="1">
        <f ca="1">IFERROR(__xludf.DUMMYFUNCTION("""COMPUTED_VALUE"""),-6.06)</f>
        <v>-6.06</v>
      </c>
      <c r="H74" s="1">
        <f ca="1">IFERROR(__xludf.DUMMYFUNCTION("""COMPUTED_VALUE"""),6)</f>
        <v>6</v>
      </c>
      <c r="I74" s="1">
        <f ca="1">IFERROR(__xludf.DUMMYFUNCTION("""COMPUTED_VALUE"""),10)</f>
        <v>10</v>
      </c>
      <c r="J74" s="1">
        <f ca="1">IFERROR(__xludf.DUMMYFUNCTION("""COMPUTED_VALUE"""),5)</f>
        <v>5</v>
      </c>
      <c r="K74" s="1">
        <f ca="1">IFERROR(__xludf.DUMMYFUNCTION("""COMPUTED_VALUE"""),7)</f>
        <v>7</v>
      </c>
      <c r="L74" s="1">
        <f ca="1">IFERROR(__xludf.DUMMYFUNCTION("""COMPUTED_VALUE"""),3)</f>
        <v>3</v>
      </c>
      <c r="M74" s="1">
        <f ca="1">IFERROR(__xludf.DUMMYFUNCTION("""COMPUTED_VALUE"""),14)</f>
        <v>14</v>
      </c>
      <c r="N74" s="1">
        <f ca="1">IFERROR(__xludf.DUMMYFUNCTION("""COMPUTED_VALUE"""),2240)</f>
        <v>2240</v>
      </c>
      <c r="O74" s="1">
        <f ca="1">IFERROR(__xludf.DUMMYFUNCTION("""COMPUTED_VALUE"""),2497)</f>
        <v>2497</v>
      </c>
      <c r="P74" s="1">
        <f ca="1">IFERROR(__xludf.DUMMYFUNCTION("""COMPUTED_VALUE"""),1280)</f>
        <v>1280</v>
      </c>
      <c r="Q74" s="1">
        <f ca="1">IFERROR(__xludf.DUMMYFUNCTION("""COMPUTED_VALUE"""),741)</f>
        <v>741</v>
      </c>
      <c r="R74" s="1">
        <f ca="1">IFERROR(__xludf.DUMMYFUNCTION("""COMPUTED_VALUE"""),1933)</f>
        <v>1933</v>
      </c>
      <c r="S74" s="1">
        <f ca="1">IFERROR(__xludf.DUMMYFUNCTION("""COMPUTED_VALUE"""),0.383)</f>
        <v>0.38300000000000001</v>
      </c>
      <c r="T74" s="1">
        <f ca="1">IFERROR(__xludf.DUMMYFUNCTION("""COMPUTED_VALUE"""),238)</f>
        <v>238</v>
      </c>
      <c r="U74" s="1">
        <f ca="1">IFERROR(__xludf.DUMMYFUNCTION("""COMPUTED_VALUE"""),715)</f>
        <v>715</v>
      </c>
      <c r="V74" s="1">
        <f ca="1">IFERROR(__xludf.DUMMYFUNCTION("""COMPUTED_VALUE"""),0.333)</f>
        <v>0.33300000000000002</v>
      </c>
      <c r="W74" s="1">
        <f ca="1">IFERROR(__xludf.DUMMYFUNCTION("""COMPUTED_VALUE"""),520)</f>
        <v>520</v>
      </c>
      <c r="X74" s="1">
        <f ca="1">IFERROR(__xludf.DUMMYFUNCTION("""COMPUTED_VALUE"""),737)</f>
        <v>737</v>
      </c>
      <c r="Y74" s="1">
        <f ca="1">IFERROR(__xludf.DUMMYFUNCTION("""COMPUTED_VALUE"""),0.706)</f>
        <v>0.70599999999999996</v>
      </c>
      <c r="Z74" s="1">
        <f ca="1">IFERROR(__xludf.DUMMYFUNCTION("""COMPUTED_VALUE"""),406)</f>
        <v>406</v>
      </c>
      <c r="AA74" s="1">
        <f ca="1">IFERROR(__xludf.DUMMYFUNCTION("""COMPUTED_VALUE"""),1144)</f>
        <v>1144</v>
      </c>
      <c r="AB74" s="1">
        <f ca="1">IFERROR(__xludf.DUMMYFUNCTION("""COMPUTED_VALUE"""),348)</f>
        <v>348</v>
      </c>
      <c r="AC74" s="1">
        <f ca="1">IFERROR(__xludf.DUMMYFUNCTION("""COMPUTED_VALUE"""),174)</f>
        <v>174</v>
      </c>
      <c r="AD74" s="1">
        <f ca="1">IFERROR(__xludf.DUMMYFUNCTION("""COMPUTED_VALUE"""),91)</f>
        <v>91</v>
      </c>
      <c r="AE74" s="1">
        <f ca="1">IFERROR(__xludf.DUMMYFUNCTION("""COMPUTED_VALUE"""),408)</f>
        <v>408</v>
      </c>
      <c r="AF74" s="1">
        <f ca="1">IFERROR(__xludf.DUMMYFUNCTION("""COMPUTED_VALUE"""),666)</f>
        <v>666</v>
      </c>
    </row>
    <row r="75" spans="1:32" ht="12.5" x14ac:dyDescent="0.25">
      <c r="A75" s="1" t="str">
        <f ca="1">IFERROR(__xludf.DUMMYFUNCTION("""COMPUTED_VALUE"""),"Cornell")</f>
        <v>Cornell</v>
      </c>
      <c r="B75" s="1">
        <f ca="1">IFERROR(__xludf.DUMMYFUNCTION("""COMPUTED_VALUE"""),28)</f>
        <v>28</v>
      </c>
      <c r="C75" s="1">
        <f ca="1">IFERROR(__xludf.DUMMYFUNCTION("""COMPUTED_VALUE"""),10)</f>
        <v>10</v>
      </c>
      <c r="D75" s="1">
        <f ca="1">IFERROR(__xludf.DUMMYFUNCTION("""COMPUTED_VALUE"""),18)</f>
        <v>18</v>
      </c>
      <c r="E75" s="1">
        <f ca="1">IFERROR(__xludf.DUMMYFUNCTION("""COMPUTED_VALUE"""),0.357)</f>
        <v>0.35699999999999998</v>
      </c>
      <c r="F75" s="1">
        <f ca="1">IFERROR(__xludf.DUMMYFUNCTION("""COMPUTED_VALUE"""),-9.55)</f>
        <v>-9.5500000000000007</v>
      </c>
      <c r="G75" s="1">
        <f ca="1">IFERROR(__xludf.DUMMYFUNCTION("""COMPUTED_VALUE"""),-1.04)</f>
        <v>-1.04</v>
      </c>
      <c r="H75" s="1">
        <f ca="1">IFERROR(__xludf.DUMMYFUNCTION("""COMPUTED_VALUE"""),3)</f>
        <v>3</v>
      </c>
      <c r="I75" s="1">
        <f ca="1">IFERROR(__xludf.DUMMYFUNCTION("""COMPUTED_VALUE"""),11)</f>
        <v>11</v>
      </c>
      <c r="J75" s="1">
        <f ca="1">IFERROR(__xludf.DUMMYFUNCTION("""COMPUTED_VALUE"""),5)</f>
        <v>5</v>
      </c>
      <c r="K75" s="1">
        <f ca="1">IFERROR(__xludf.DUMMYFUNCTION("""COMPUTED_VALUE"""),8)</f>
        <v>8</v>
      </c>
      <c r="L75" s="1">
        <f ca="1">IFERROR(__xludf.DUMMYFUNCTION("""COMPUTED_VALUE"""),5)</f>
        <v>5</v>
      </c>
      <c r="M75" s="1">
        <f ca="1">IFERROR(__xludf.DUMMYFUNCTION("""COMPUTED_VALUE"""),10)</f>
        <v>10</v>
      </c>
      <c r="N75" s="1">
        <f ca="1">IFERROR(__xludf.DUMMYFUNCTION("""COMPUTED_VALUE"""),1992)</f>
        <v>1992</v>
      </c>
      <c r="O75" s="1">
        <f ca="1">IFERROR(__xludf.DUMMYFUNCTION("""COMPUTED_VALUE"""),2193)</f>
        <v>2193</v>
      </c>
      <c r="P75" s="1">
        <f ca="1">IFERROR(__xludf.DUMMYFUNCTION("""COMPUTED_VALUE"""),1130)</f>
        <v>1130</v>
      </c>
      <c r="Q75" s="1">
        <f ca="1">IFERROR(__xludf.DUMMYFUNCTION("""COMPUTED_VALUE"""),703)</f>
        <v>703</v>
      </c>
      <c r="R75" s="1">
        <f ca="1">IFERROR(__xludf.DUMMYFUNCTION("""COMPUTED_VALUE"""),1674)</f>
        <v>1674</v>
      </c>
      <c r="S75" s="1">
        <f ca="1">IFERROR(__xludf.DUMMYFUNCTION("""COMPUTED_VALUE"""),0.42)</f>
        <v>0.42</v>
      </c>
      <c r="T75" s="1">
        <f ca="1">IFERROR(__xludf.DUMMYFUNCTION("""COMPUTED_VALUE"""),233)</f>
        <v>233</v>
      </c>
      <c r="U75" s="1">
        <f ca="1">IFERROR(__xludf.DUMMYFUNCTION("""COMPUTED_VALUE"""),682)</f>
        <v>682</v>
      </c>
      <c r="V75" s="1">
        <f ca="1">IFERROR(__xludf.DUMMYFUNCTION("""COMPUTED_VALUE"""),0.342)</f>
        <v>0.34200000000000003</v>
      </c>
      <c r="W75" s="1">
        <f ca="1">IFERROR(__xludf.DUMMYFUNCTION("""COMPUTED_VALUE"""),353)</f>
        <v>353</v>
      </c>
      <c r="X75" s="1">
        <f ca="1">IFERROR(__xludf.DUMMYFUNCTION("""COMPUTED_VALUE"""),542)</f>
        <v>542</v>
      </c>
      <c r="Y75" s="1">
        <f ca="1">IFERROR(__xludf.DUMMYFUNCTION("""COMPUTED_VALUE"""),0.651)</f>
        <v>0.65100000000000002</v>
      </c>
      <c r="Z75" s="1">
        <f ca="1">IFERROR(__xludf.DUMMYFUNCTION("""COMPUTED_VALUE"""),244)</f>
        <v>244</v>
      </c>
      <c r="AA75" s="1">
        <f ca="1">IFERROR(__xludf.DUMMYFUNCTION("""COMPUTED_VALUE"""),910)</f>
        <v>910</v>
      </c>
      <c r="AB75" s="1">
        <f ca="1">IFERROR(__xludf.DUMMYFUNCTION("""COMPUTED_VALUE"""),302)</f>
        <v>302</v>
      </c>
      <c r="AC75" s="1">
        <f ca="1">IFERROR(__xludf.DUMMYFUNCTION("""COMPUTED_VALUE"""),217)</f>
        <v>217</v>
      </c>
      <c r="AD75" s="1">
        <f ca="1">IFERROR(__xludf.DUMMYFUNCTION("""COMPUTED_VALUE"""),107)</f>
        <v>107</v>
      </c>
      <c r="AE75" s="1">
        <f ca="1">IFERROR(__xludf.DUMMYFUNCTION("""COMPUTED_VALUE"""),372)</f>
        <v>372</v>
      </c>
      <c r="AF75" s="1">
        <f ca="1">IFERROR(__xludf.DUMMYFUNCTION("""COMPUTED_VALUE"""),563)</f>
        <v>563</v>
      </c>
    </row>
    <row r="76" spans="1:32" ht="12.5" x14ac:dyDescent="0.25">
      <c r="A76" s="1" t="str">
        <f ca="1">IFERROR(__xludf.DUMMYFUNCTION("""COMPUTED_VALUE"""),"Creighton")</f>
        <v>Creighton</v>
      </c>
      <c r="B76" s="1">
        <f ca="1">IFERROR(__xludf.DUMMYFUNCTION("""COMPUTED_VALUE"""),35)</f>
        <v>35</v>
      </c>
      <c r="C76" s="1">
        <f ca="1">IFERROR(__xludf.DUMMYFUNCTION("""COMPUTED_VALUE"""),20)</f>
        <v>20</v>
      </c>
      <c r="D76" s="1">
        <f ca="1">IFERROR(__xludf.DUMMYFUNCTION("""COMPUTED_VALUE"""),15)</f>
        <v>15</v>
      </c>
      <c r="E76" s="1">
        <f ca="1">IFERROR(__xludf.DUMMYFUNCTION("""COMPUTED_VALUE"""),0.571)</f>
        <v>0.57099999999999995</v>
      </c>
      <c r="F76" s="1">
        <f ca="1">IFERROR(__xludf.DUMMYFUNCTION("""COMPUTED_VALUE"""),13.69)</f>
        <v>13.69</v>
      </c>
      <c r="G76" s="1">
        <f ca="1">IFERROR(__xludf.DUMMYFUNCTION("""COMPUTED_VALUE"""),6.44)</f>
        <v>6.44</v>
      </c>
      <c r="H76" s="1">
        <f ca="1">IFERROR(__xludf.DUMMYFUNCTION("""COMPUTED_VALUE"""),9)</f>
        <v>9</v>
      </c>
      <c r="I76" s="1">
        <f ca="1">IFERROR(__xludf.DUMMYFUNCTION("""COMPUTED_VALUE"""),9)</f>
        <v>9</v>
      </c>
      <c r="J76" s="1">
        <f ca="1">IFERROR(__xludf.DUMMYFUNCTION("""COMPUTED_VALUE"""),14)</f>
        <v>14</v>
      </c>
      <c r="K76" s="1">
        <f ca="1">IFERROR(__xludf.DUMMYFUNCTION("""COMPUTED_VALUE"""),5)</f>
        <v>5</v>
      </c>
      <c r="L76" s="1">
        <f ca="1">IFERROR(__xludf.DUMMYFUNCTION("""COMPUTED_VALUE"""),4)</f>
        <v>4</v>
      </c>
      <c r="M76" s="1">
        <f ca="1">IFERROR(__xludf.DUMMYFUNCTION("""COMPUTED_VALUE"""),9)</f>
        <v>9</v>
      </c>
      <c r="N76" s="1">
        <f ca="1">IFERROR(__xludf.DUMMYFUNCTION("""COMPUTED_VALUE"""),2787)</f>
        <v>2787</v>
      </c>
      <c r="O76" s="1">
        <f ca="1">IFERROR(__xludf.DUMMYFUNCTION("""COMPUTED_VALUE"""),2533)</f>
        <v>2533</v>
      </c>
      <c r="P76" s="1">
        <f ca="1">IFERROR(__xludf.DUMMYFUNCTION("""COMPUTED_VALUE"""),1400)</f>
        <v>1400</v>
      </c>
      <c r="Q76" s="1">
        <f ca="1">IFERROR(__xludf.DUMMYFUNCTION("""COMPUTED_VALUE"""),979)</f>
        <v>979</v>
      </c>
      <c r="R76" s="1">
        <f ca="1">IFERROR(__xludf.DUMMYFUNCTION("""COMPUTED_VALUE"""),2081)</f>
        <v>2081</v>
      </c>
      <c r="S76" s="1">
        <f ca="1">IFERROR(__xludf.DUMMYFUNCTION("""COMPUTED_VALUE"""),0.47)</f>
        <v>0.47</v>
      </c>
      <c r="T76" s="1">
        <f ca="1">IFERROR(__xludf.DUMMYFUNCTION("""COMPUTED_VALUE"""),283)</f>
        <v>283</v>
      </c>
      <c r="U76" s="1">
        <f ca="1">IFERROR(__xludf.DUMMYFUNCTION("""COMPUTED_VALUE"""),804)</f>
        <v>804</v>
      </c>
      <c r="V76" s="1">
        <f ca="1">IFERROR(__xludf.DUMMYFUNCTION("""COMPUTED_VALUE"""),0.352)</f>
        <v>0.35199999999999998</v>
      </c>
      <c r="W76" s="1">
        <f ca="1">IFERROR(__xludf.DUMMYFUNCTION("""COMPUTED_VALUE"""),546)</f>
        <v>546</v>
      </c>
      <c r="X76" s="1">
        <f ca="1">IFERROR(__xludf.DUMMYFUNCTION("""COMPUTED_VALUE"""),780)</f>
        <v>780</v>
      </c>
      <c r="Y76" s="1">
        <f ca="1">IFERROR(__xludf.DUMMYFUNCTION("""COMPUTED_VALUE"""),0.7)</f>
        <v>0.7</v>
      </c>
      <c r="Z76" s="1">
        <f ca="1">IFERROR(__xludf.DUMMYFUNCTION("""COMPUTED_VALUE"""),334)</f>
        <v>334</v>
      </c>
      <c r="AA76" s="1">
        <f ca="1">IFERROR(__xludf.DUMMYFUNCTION("""COMPUTED_VALUE"""),1299)</f>
        <v>1299</v>
      </c>
      <c r="AB76" s="1">
        <f ca="1">IFERROR(__xludf.DUMMYFUNCTION("""COMPUTED_VALUE"""),537)</f>
        <v>537</v>
      </c>
      <c r="AC76" s="1">
        <f ca="1">IFERROR(__xludf.DUMMYFUNCTION("""COMPUTED_VALUE"""),211)</f>
        <v>211</v>
      </c>
      <c r="AD76" s="1">
        <f ca="1">IFERROR(__xludf.DUMMYFUNCTION("""COMPUTED_VALUE"""),108)</f>
        <v>108</v>
      </c>
      <c r="AE76" s="1">
        <f ca="1">IFERROR(__xludf.DUMMYFUNCTION("""COMPUTED_VALUE"""),406)</f>
        <v>406</v>
      </c>
      <c r="AF76" s="1">
        <f ca="1">IFERROR(__xludf.DUMMYFUNCTION("""COMPUTED_VALUE"""),661)</f>
        <v>661</v>
      </c>
    </row>
    <row r="77" spans="1:32" ht="12.5" x14ac:dyDescent="0.25">
      <c r="A77" s="1" t="str">
        <f ca="1">IFERROR(__xludf.DUMMYFUNCTION("""COMPUTED_VALUE"""),"Dartmouth")</f>
        <v>Dartmouth</v>
      </c>
      <c r="B77" s="1">
        <f ca="1">IFERROR(__xludf.DUMMYFUNCTION("""COMPUTED_VALUE"""),28)</f>
        <v>28</v>
      </c>
      <c r="C77" s="1">
        <f ca="1">IFERROR(__xludf.DUMMYFUNCTION("""COMPUTED_VALUE"""),10)</f>
        <v>10</v>
      </c>
      <c r="D77" s="1">
        <f ca="1">IFERROR(__xludf.DUMMYFUNCTION("""COMPUTED_VALUE"""),18)</f>
        <v>18</v>
      </c>
      <c r="E77" s="1">
        <f ca="1">IFERROR(__xludf.DUMMYFUNCTION("""COMPUTED_VALUE"""),0.357)</f>
        <v>0.35699999999999998</v>
      </c>
      <c r="F77" s="1">
        <f ca="1">IFERROR(__xludf.DUMMYFUNCTION("""COMPUTED_VALUE"""),-5.58)</f>
        <v>-5.58</v>
      </c>
      <c r="G77" s="1">
        <f ca="1">IFERROR(__xludf.DUMMYFUNCTION("""COMPUTED_VALUE"""),-3.29)</f>
        <v>-3.29</v>
      </c>
      <c r="H77" s="1">
        <f ca="1">IFERROR(__xludf.DUMMYFUNCTION("""COMPUTED_VALUE"""),4)</f>
        <v>4</v>
      </c>
      <c r="I77" s="1">
        <f ca="1">IFERROR(__xludf.DUMMYFUNCTION("""COMPUTED_VALUE"""),10)</f>
        <v>10</v>
      </c>
      <c r="J77" s="1">
        <f ca="1">IFERROR(__xludf.DUMMYFUNCTION("""COMPUTED_VALUE"""),8)</f>
        <v>8</v>
      </c>
      <c r="K77" s="1">
        <f ca="1">IFERROR(__xludf.DUMMYFUNCTION("""COMPUTED_VALUE"""),6)</f>
        <v>6</v>
      </c>
      <c r="L77" s="1">
        <f ca="1">IFERROR(__xludf.DUMMYFUNCTION("""COMPUTED_VALUE"""),2)</f>
        <v>2</v>
      </c>
      <c r="M77" s="1">
        <f ca="1">IFERROR(__xludf.DUMMYFUNCTION("""COMPUTED_VALUE"""),12)</f>
        <v>12</v>
      </c>
      <c r="N77" s="1">
        <f ca="1">IFERROR(__xludf.DUMMYFUNCTION("""COMPUTED_VALUE"""),1992)</f>
        <v>1992</v>
      </c>
      <c r="O77" s="1">
        <f ca="1">IFERROR(__xludf.DUMMYFUNCTION("""COMPUTED_VALUE"""),1989)</f>
        <v>1989</v>
      </c>
      <c r="P77" s="1">
        <f ca="1">IFERROR(__xludf.DUMMYFUNCTION("""COMPUTED_VALUE"""),1130)</f>
        <v>1130</v>
      </c>
      <c r="Q77" s="1">
        <f ca="1">IFERROR(__xludf.DUMMYFUNCTION("""COMPUTED_VALUE"""),700)</f>
        <v>700</v>
      </c>
      <c r="R77" s="1">
        <f ca="1">IFERROR(__xludf.DUMMYFUNCTION("""COMPUTED_VALUE"""),1606)</f>
        <v>1606</v>
      </c>
      <c r="S77" s="1">
        <f ca="1">IFERROR(__xludf.DUMMYFUNCTION("""COMPUTED_VALUE"""),0.436)</f>
        <v>0.436</v>
      </c>
      <c r="T77" s="1">
        <f ca="1">IFERROR(__xludf.DUMMYFUNCTION("""COMPUTED_VALUE"""),156)</f>
        <v>156</v>
      </c>
      <c r="U77" s="1">
        <f ca="1">IFERROR(__xludf.DUMMYFUNCTION("""COMPUTED_VALUE"""),458)</f>
        <v>458</v>
      </c>
      <c r="V77" s="1">
        <f ca="1">IFERROR(__xludf.DUMMYFUNCTION("""COMPUTED_VALUE"""),0.341)</f>
        <v>0.34100000000000003</v>
      </c>
      <c r="W77" s="1">
        <f ca="1">IFERROR(__xludf.DUMMYFUNCTION("""COMPUTED_VALUE"""),436)</f>
        <v>436</v>
      </c>
      <c r="X77" s="1">
        <f ca="1">IFERROR(__xludf.DUMMYFUNCTION("""COMPUTED_VALUE"""),603)</f>
        <v>603</v>
      </c>
      <c r="Y77" s="1">
        <f ca="1">IFERROR(__xludf.DUMMYFUNCTION("""COMPUTED_VALUE"""),0.723)</f>
        <v>0.72299999999999998</v>
      </c>
      <c r="Z77" s="1">
        <f ca="1">IFERROR(__xludf.DUMMYFUNCTION("""COMPUTED_VALUE"""),335)</f>
        <v>335</v>
      </c>
      <c r="AA77" s="1">
        <f ca="1">IFERROR(__xludf.DUMMYFUNCTION("""COMPUTED_VALUE"""),1005)</f>
        <v>1005</v>
      </c>
      <c r="AB77" s="1">
        <f ca="1">IFERROR(__xludf.DUMMYFUNCTION("""COMPUTED_VALUE"""),367)</f>
        <v>367</v>
      </c>
      <c r="AC77" s="1">
        <f ca="1">IFERROR(__xludf.DUMMYFUNCTION("""COMPUTED_VALUE"""),192)</f>
        <v>192</v>
      </c>
      <c r="AD77" s="1">
        <f ca="1">IFERROR(__xludf.DUMMYFUNCTION("""COMPUTED_VALUE"""),48)</f>
        <v>48</v>
      </c>
      <c r="AE77" s="1">
        <f ca="1">IFERROR(__xludf.DUMMYFUNCTION("""COMPUTED_VALUE"""),401)</f>
        <v>401</v>
      </c>
      <c r="AF77" s="1">
        <f ca="1">IFERROR(__xludf.DUMMYFUNCTION("""COMPUTED_VALUE"""),569)</f>
        <v>569</v>
      </c>
    </row>
    <row r="78" spans="1:32" ht="12.5" x14ac:dyDescent="0.25">
      <c r="A78" s="1" t="str">
        <f ca="1">IFERROR(__xludf.DUMMYFUNCTION("""COMPUTED_VALUE"""),"Davidson")</f>
        <v>Davidson</v>
      </c>
      <c r="B78" s="1">
        <f ca="1">IFERROR(__xludf.DUMMYFUNCTION("""COMPUTED_VALUE"""),33)</f>
        <v>33</v>
      </c>
      <c r="C78" s="1">
        <f ca="1">IFERROR(__xludf.DUMMYFUNCTION("""COMPUTED_VALUE"""),20)</f>
        <v>20</v>
      </c>
      <c r="D78" s="1">
        <f ca="1">IFERROR(__xludf.DUMMYFUNCTION("""COMPUTED_VALUE"""),13)</f>
        <v>13</v>
      </c>
      <c r="E78" s="1">
        <f ca="1">IFERROR(__xludf.DUMMYFUNCTION("""COMPUTED_VALUE"""),0.606)</f>
        <v>0.60599999999999998</v>
      </c>
      <c r="F78" s="1">
        <f ca="1">IFERROR(__xludf.DUMMYFUNCTION("""COMPUTED_VALUE"""),5.74)</f>
        <v>5.74</v>
      </c>
      <c r="G78" s="1">
        <f ca="1">IFERROR(__xludf.DUMMYFUNCTION("""COMPUTED_VALUE"""),5.14)</f>
        <v>5.14</v>
      </c>
      <c r="H78" s="1">
        <f ca="1">IFERROR(__xludf.DUMMYFUNCTION("""COMPUTED_VALUE"""),10)</f>
        <v>10</v>
      </c>
      <c r="I78" s="1">
        <f ca="1">IFERROR(__xludf.DUMMYFUNCTION("""COMPUTED_VALUE"""),8)</f>
        <v>8</v>
      </c>
      <c r="J78" s="1">
        <f ca="1">IFERROR(__xludf.DUMMYFUNCTION("""COMPUTED_VALUE"""),15)</f>
        <v>15</v>
      </c>
      <c r="K78" s="1">
        <f ca="1">IFERROR(__xludf.DUMMYFUNCTION("""COMPUTED_VALUE"""),1)</f>
        <v>1</v>
      </c>
      <c r="L78" s="1">
        <f ca="1">IFERROR(__xludf.DUMMYFUNCTION("""COMPUTED_VALUE"""),3)</f>
        <v>3</v>
      </c>
      <c r="M78" s="1">
        <f ca="1">IFERROR(__xludf.DUMMYFUNCTION("""COMPUTED_VALUE"""),10)</f>
        <v>10</v>
      </c>
      <c r="N78" s="1">
        <f ca="1">IFERROR(__xludf.DUMMYFUNCTION("""COMPUTED_VALUE"""),2608)</f>
        <v>2608</v>
      </c>
      <c r="O78" s="1">
        <f ca="1">IFERROR(__xludf.DUMMYFUNCTION("""COMPUTED_VALUE"""),2576)</f>
        <v>2576</v>
      </c>
      <c r="P78" s="1">
        <f ca="1">IFERROR(__xludf.DUMMYFUNCTION("""COMPUTED_VALUE"""),1325)</f>
        <v>1325</v>
      </c>
      <c r="Q78" s="1">
        <f ca="1">IFERROR(__xludf.DUMMYFUNCTION("""COMPUTED_VALUE"""),894)</f>
        <v>894</v>
      </c>
      <c r="R78" s="1">
        <f ca="1">IFERROR(__xludf.DUMMYFUNCTION("""COMPUTED_VALUE"""),2022)</f>
        <v>2022</v>
      </c>
      <c r="S78" s="1">
        <f ca="1">IFERROR(__xludf.DUMMYFUNCTION("""COMPUTED_VALUE"""),0.442)</f>
        <v>0.442</v>
      </c>
      <c r="T78" s="1">
        <f ca="1">IFERROR(__xludf.DUMMYFUNCTION("""COMPUTED_VALUE"""),317)</f>
        <v>317</v>
      </c>
      <c r="U78" s="1">
        <f ca="1">IFERROR(__xludf.DUMMYFUNCTION("""COMPUTED_VALUE"""),892)</f>
        <v>892</v>
      </c>
      <c r="V78" s="1">
        <f ca="1">IFERROR(__xludf.DUMMYFUNCTION("""COMPUTED_VALUE"""),0.355)</f>
        <v>0.35499999999999998</v>
      </c>
      <c r="W78" s="1">
        <f ca="1">IFERROR(__xludf.DUMMYFUNCTION("""COMPUTED_VALUE"""),503)</f>
        <v>503</v>
      </c>
      <c r="X78" s="1">
        <f ca="1">IFERROR(__xludf.DUMMYFUNCTION("""COMPUTED_VALUE"""),661)</f>
        <v>661</v>
      </c>
      <c r="Y78" s="1">
        <f ca="1">IFERROR(__xludf.DUMMYFUNCTION("""COMPUTED_VALUE"""),0.761)</f>
        <v>0.76100000000000001</v>
      </c>
      <c r="Z78" s="1">
        <f ca="1">IFERROR(__xludf.DUMMYFUNCTION("""COMPUTED_VALUE"""),312)</f>
        <v>312</v>
      </c>
      <c r="AA78" s="1">
        <f ca="1">IFERROR(__xludf.DUMMYFUNCTION("""COMPUTED_VALUE"""),1154)</f>
        <v>1154</v>
      </c>
      <c r="AB78" s="1">
        <f ca="1">IFERROR(__xludf.DUMMYFUNCTION("""COMPUTED_VALUE"""),497)</f>
        <v>497</v>
      </c>
      <c r="AC78" s="1">
        <f ca="1">IFERROR(__xludf.DUMMYFUNCTION("""COMPUTED_VALUE"""),154)</f>
        <v>154</v>
      </c>
      <c r="AD78" s="1">
        <f ca="1">IFERROR(__xludf.DUMMYFUNCTION("""COMPUTED_VALUE"""),102)</f>
        <v>102</v>
      </c>
      <c r="AE78" s="1">
        <f ca="1">IFERROR(__xludf.DUMMYFUNCTION("""COMPUTED_VALUE"""),335)</f>
        <v>335</v>
      </c>
      <c r="AF78" s="1">
        <f ca="1">IFERROR(__xludf.DUMMYFUNCTION("""COMPUTED_VALUE"""),567)</f>
        <v>567</v>
      </c>
    </row>
    <row r="79" spans="1:32" ht="12.5" x14ac:dyDescent="0.25">
      <c r="A79" s="1" t="str">
        <f ca="1">IFERROR(__xludf.DUMMYFUNCTION("""COMPUTED_VALUE"""),"DaytonNCAA")</f>
        <v>DaytonNCAA</v>
      </c>
      <c r="B79" s="1">
        <f ca="1">IFERROR(__xludf.DUMMYFUNCTION("""COMPUTED_VALUE"""),33)</f>
        <v>33</v>
      </c>
      <c r="C79" s="1">
        <f ca="1">IFERROR(__xludf.DUMMYFUNCTION("""COMPUTED_VALUE"""),25)</f>
        <v>25</v>
      </c>
      <c r="D79" s="1">
        <f ca="1">IFERROR(__xludf.DUMMYFUNCTION("""COMPUTED_VALUE"""),8)</f>
        <v>8</v>
      </c>
      <c r="E79" s="1">
        <f ca="1">IFERROR(__xludf.DUMMYFUNCTION("""COMPUTED_VALUE"""),0.758)</f>
        <v>0.75800000000000001</v>
      </c>
      <c r="F79" s="1">
        <f ca="1">IFERROR(__xludf.DUMMYFUNCTION("""COMPUTED_VALUE"""),11.34)</f>
        <v>11.34</v>
      </c>
      <c r="G79" s="1">
        <f ca="1">IFERROR(__xludf.DUMMYFUNCTION("""COMPUTED_VALUE"""),4.76)</f>
        <v>4.76</v>
      </c>
      <c r="H79" s="1">
        <f ca="1">IFERROR(__xludf.DUMMYFUNCTION("""COMPUTED_VALUE"""),14)</f>
        <v>14</v>
      </c>
      <c r="I79" s="1">
        <f ca="1">IFERROR(__xludf.DUMMYFUNCTION("""COMPUTED_VALUE"""),4)</f>
        <v>4</v>
      </c>
      <c r="J79" s="1">
        <f ca="1">IFERROR(__xludf.DUMMYFUNCTION("""COMPUTED_VALUE"""),14)</f>
        <v>14</v>
      </c>
      <c r="K79" s="1">
        <f ca="1">IFERROR(__xludf.DUMMYFUNCTION("""COMPUTED_VALUE"""),3)</f>
        <v>3</v>
      </c>
      <c r="L79" s="1">
        <f ca="1">IFERROR(__xludf.DUMMYFUNCTION("""COMPUTED_VALUE"""),8)</f>
        <v>8</v>
      </c>
      <c r="M79" s="1">
        <f ca="1">IFERROR(__xludf.DUMMYFUNCTION("""COMPUTED_VALUE"""),2)</f>
        <v>2</v>
      </c>
      <c r="N79" s="1">
        <f ca="1">IFERROR(__xludf.DUMMYFUNCTION("""COMPUTED_VALUE"""),2393)</f>
        <v>2393</v>
      </c>
      <c r="O79" s="1">
        <f ca="1">IFERROR(__xludf.DUMMYFUNCTION("""COMPUTED_VALUE"""),2176)</f>
        <v>2176</v>
      </c>
      <c r="P79" s="1">
        <f ca="1">IFERROR(__xludf.DUMMYFUNCTION("""COMPUTED_VALUE"""),1335)</f>
        <v>1335</v>
      </c>
      <c r="Q79" s="1">
        <f ca="1">IFERROR(__xludf.DUMMYFUNCTION("""COMPUTED_VALUE"""),836)</f>
        <v>836</v>
      </c>
      <c r="R79" s="1">
        <f ca="1">IFERROR(__xludf.DUMMYFUNCTION("""COMPUTED_VALUE"""),1836)</f>
        <v>1836</v>
      </c>
      <c r="S79" s="1">
        <f ca="1">IFERROR(__xludf.DUMMYFUNCTION("""COMPUTED_VALUE"""),0.455)</f>
        <v>0.45500000000000002</v>
      </c>
      <c r="T79" s="1">
        <f ca="1">IFERROR(__xludf.DUMMYFUNCTION("""COMPUTED_VALUE"""),221)</f>
        <v>221</v>
      </c>
      <c r="U79" s="1">
        <f ca="1">IFERROR(__xludf.DUMMYFUNCTION("""COMPUTED_VALUE"""),643)</f>
        <v>643</v>
      </c>
      <c r="V79" s="1">
        <f ca="1">IFERROR(__xludf.DUMMYFUNCTION("""COMPUTED_VALUE"""),0.344)</f>
        <v>0.34399999999999997</v>
      </c>
      <c r="W79" s="1">
        <f ca="1">IFERROR(__xludf.DUMMYFUNCTION("""COMPUTED_VALUE"""),500)</f>
        <v>500</v>
      </c>
      <c r="X79" s="1">
        <f ca="1">IFERROR(__xludf.DUMMYFUNCTION("""COMPUTED_VALUE"""),749)</f>
        <v>749</v>
      </c>
      <c r="Y79" s="1">
        <f ca="1">IFERROR(__xludf.DUMMYFUNCTION("""COMPUTED_VALUE"""),0.668)</f>
        <v>0.66800000000000004</v>
      </c>
      <c r="Z79" s="1">
        <f ca="1">IFERROR(__xludf.DUMMYFUNCTION("""COMPUTED_VALUE"""),327)</f>
        <v>327</v>
      </c>
      <c r="AA79" s="1">
        <f ca="1">IFERROR(__xludf.DUMMYFUNCTION("""COMPUTED_VALUE"""),1265)</f>
        <v>1265</v>
      </c>
      <c r="AB79" s="1">
        <f ca="1">IFERROR(__xludf.DUMMYFUNCTION("""COMPUTED_VALUE"""),480)</f>
        <v>480</v>
      </c>
      <c r="AC79" s="1">
        <f ca="1">IFERROR(__xludf.DUMMYFUNCTION("""COMPUTED_VALUE"""),196)</f>
        <v>196</v>
      </c>
      <c r="AD79" s="1">
        <f ca="1">IFERROR(__xludf.DUMMYFUNCTION("""COMPUTED_VALUE"""),145)</f>
        <v>145</v>
      </c>
      <c r="AE79" s="1">
        <f ca="1">IFERROR(__xludf.DUMMYFUNCTION("""COMPUTED_VALUE"""),427)</f>
        <v>427</v>
      </c>
      <c r="AF79" s="1">
        <f ca="1">IFERROR(__xludf.DUMMYFUNCTION("""COMPUTED_VALUE"""),626)</f>
        <v>626</v>
      </c>
    </row>
    <row r="80" spans="1:32" ht="12.5" x14ac:dyDescent="0.25">
      <c r="A80" s="1" t="str">
        <f ca="1">IFERROR(__xludf.DUMMYFUNCTION("""COMPUTED_VALUE"""),"Delaware State")</f>
        <v>Delaware State</v>
      </c>
      <c r="B80" s="1">
        <f ca="1">IFERROR(__xludf.DUMMYFUNCTION("""COMPUTED_VALUE"""),32)</f>
        <v>32</v>
      </c>
      <c r="C80" s="1">
        <f ca="1">IFERROR(__xludf.DUMMYFUNCTION("""COMPUTED_VALUE"""),7)</f>
        <v>7</v>
      </c>
      <c r="D80" s="1">
        <f ca="1">IFERROR(__xludf.DUMMYFUNCTION("""COMPUTED_VALUE"""),25)</f>
        <v>25</v>
      </c>
      <c r="E80" s="1">
        <f ca="1">IFERROR(__xludf.DUMMYFUNCTION("""COMPUTED_VALUE"""),0.219)</f>
        <v>0.219</v>
      </c>
      <c r="F80" s="1">
        <f ca="1">IFERROR(__xludf.DUMMYFUNCTION("""COMPUTED_VALUE"""),-20.88)</f>
        <v>-20.88</v>
      </c>
      <c r="G80" s="1">
        <f ca="1">IFERROR(__xludf.DUMMYFUNCTION("""COMPUTED_VALUE"""),-6.85)</f>
        <v>-6.85</v>
      </c>
      <c r="H80" s="1">
        <f ca="1">IFERROR(__xludf.DUMMYFUNCTION("""COMPUTED_VALUE"""),5)</f>
        <v>5</v>
      </c>
      <c r="I80" s="1">
        <f ca="1">IFERROR(__xludf.DUMMYFUNCTION("""COMPUTED_VALUE"""),11)</f>
        <v>11</v>
      </c>
      <c r="J80" s="1">
        <f ca="1">IFERROR(__xludf.DUMMYFUNCTION("""COMPUTED_VALUE"""),6)</f>
        <v>6</v>
      </c>
      <c r="K80" s="1">
        <f ca="1">IFERROR(__xludf.DUMMYFUNCTION("""COMPUTED_VALUE"""),7)</f>
        <v>7</v>
      </c>
      <c r="L80" s="1">
        <f ca="1">IFERROR(__xludf.DUMMYFUNCTION("""COMPUTED_VALUE"""),1)</f>
        <v>1</v>
      </c>
      <c r="M80" s="1">
        <f ca="1">IFERROR(__xludf.DUMMYFUNCTION("""COMPUTED_VALUE"""),17)</f>
        <v>17</v>
      </c>
      <c r="N80" s="1">
        <f ca="1">IFERROR(__xludf.DUMMYFUNCTION("""COMPUTED_VALUE"""),1980)</f>
        <v>1980</v>
      </c>
      <c r="O80" s="1">
        <f ca="1">IFERROR(__xludf.DUMMYFUNCTION("""COMPUTED_VALUE"""),2336)</f>
        <v>2336</v>
      </c>
      <c r="P80" s="1">
        <f ca="1">IFERROR(__xludf.DUMMYFUNCTION("""COMPUTED_VALUE"""),1290)</f>
        <v>1290</v>
      </c>
      <c r="Q80" s="1">
        <f ca="1">IFERROR(__xludf.DUMMYFUNCTION("""COMPUTED_VALUE"""),710)</f>
        <v>710</v>
      </c>
      <c r="R80" s="1">
        <f ca="1">IFERROR(__xludf.DUMMYFUNCTION("""COMPUTED_VALUE"""),1815)</f>
        <v>1815</v>
      </c>
      <c r="S80" s="1">
        <f ca="1">IFERROR(__xludf.DUMMYFUNCTION("""COMPUTED_VALUE"""),0.391)</f>
        <v>0.39100000000000001</v>
      </c>
      <c r="T80" s="1">
        <f ca="1">IFERROR(__xludf.DUMMYFUNCTION("""COMPUTED_VALUE"""),230)</f>
        <v>230</v>
      </c>
      <c r="U80" s="1">
        <f ca="1">IFERROR(__xludf.DUMMYFUNCTION("""COMPUTED_VALUE"""),698)</f>
        <v>698</v>
      </c>
      <c r="V80" s="1">
        <f ca="1">IFERROR(__xludf.DUMMYFUNCTION("""COMPUTED_VALUE"""),0.33)</f>
        <v>0.33</v>
      </c>
      <c r="W80" s="1">
        <f ca="1">IFERROR(__xludf.DUMMYFUNCTION("""COMPUTED_VALUE"""),330)</f>
        <v>330</v>
      </c>
      <c r="X80" s="1">
        <f ca="1">IFERROR(__xludf.DUMMYFUNCTION("""COMPUTED_VALUE"""),536)</f>
        <v>536</v>
      </c>
      <c r="Y80" s="1">
        <f ca="1">IFERROR(__xludf.DUMMYFUNCTION("""COMPUTED_VALUE"""),0.616)</f>
        <v>0.61599999999999999</v>
      </c>
      <c r="Z80" s="1">
        <f ca="1">IFERROR(__xludf.DUMMYFUNCTION("""COMPUTED_VALUE"""),340)</f>
        <v>340</v>
      </c>
      <c r="AA80" s="1">
        <f ca="1">IFERROR(__xludf.DUMMYFUNCTION("""COMPUTED_VALUE"""),1064)</f>
        <v>1064</v>
      </c>
      <c r="AB80" s="1">
        <f ca="1">IFERROR(__xludf.DUMMYFUNCTION("""COMPUTED_VALUE"""),367)</f>
        <v>367</v>
      </c>
      <c r="AC80" s="1">
        <f ca="1">IFERROR(__xludf.DUMMYFUNCTION("""COMPUTED_VALUE"""),173)</f>
        <v>173</v>
      </c>
      <c r="AD80" s="1">
        <f ca="1">IFERROR(__xludf.DUMMYFUNCTION("""COMPUTED_VALUE"""),93)</f>
        <v>93</v>
      </c>
      <c r="AE80" s="1">
        <f ca="1">IFERROR(__xludf.DUMMYFUNCTION("""COMPUTED_VALUE"""),446)</f>
        <v>446</v>
      </c>
      <c r="AF80" s="1">
        <f ca="1">IFERROR(__xludf.DUMMYFUNCTION("""COMPUTED_VALUE"""),635)</f>
        <v>635</v>
      </c>
    </row>
    <row r="81" spans="1:32" ht="12.5" x14ac:dyDescent="0.25">
      <c r="A81" s="1" t="str">
        <f ca="1">IFERROR(__xludf.DUMMYFUNCTION("""COMPUTED_VALUE"""),"Delaware")</f>
        <v>Delaware</v>
      </c>
      <c r="B81" s="1">
        <f ca="1">IFERROR(__xludf.DUMMYFUNCTION("""COMPUTED_VALUE"""),30)</f>
        <v>30</v>
      </c>
      <c r="C81" s="1">
        <f ca="1">IFERROR(__xludf.DUMMYFUNCTION("""COMPUTED_VALUE"""),7)</f>
        <v>7</v>
      </c>
      <c r="D81" s="1">
        <f ca="1">IFERROR(__xludf.DUMMYFUNCTION("""COMPUTED_VALUE"""),23)</f>
        <v>23</v>
      </c>
      <c r="E81" s="1">
        <f ca="1">IFERROR(__xludf.DUMMYFUNCTION("""COMPUTED_VALUE"""),0.233)</f>
        <v>0.23300000000000001</v>
      </c>
      <c r="F81" s="1">
        <f ca="1">IFERROR(__xludf.DUMMYFUNCTION("""COMPUTED_VALUE"""),-8.62)</f>
        <v>-8.6199999999999992</v>
      </c>
      <c r="G81" s="1">
        <f ca="1">IFERROR(__xludf.DUMMYFUNCTION("""COMPUTED_VALUE"""),0.85)</f>
        <v>0.85</v>
      </c>
      <c r="H81" s="1">
        <f ca="1">IFERROR(__xludf.DUMMYFUNCTION("""COMPUTED_VALUE"""),2)</f>
        <v>2</v>
      </c>
      <c r="I81" s="1">
        <f ca="1">IFERROR(__xludf.DUMMYFUNCTION("""COMPUTED_VALUE"""),16)</f>
        <v>16</v>
      </c>
      <c r="J81" s="1">
        <f ca="1">IFERROR(__xludf.DUMMYFUNCTION("""COMPUTED_VALUE"""),5)</f>
        <v>5</v>
      </c>
      <c r="K81" s="1">
        <f ca="1">IFERROR(__xludf.DUMMYFUNCTION("""COMPUTED_VALUE"""),7)</f>
        <v>7</v>
      </c>
      <c r="L81" s="1">
        <f ca="1">IFERROR(__xludf.DUMMYFUNCTION("""COMPUTED_VALUE"""),2)</f>
        <v>2</v>
      </c>
      <c r="M81" s="1">
        <f ca="1">IFERROR(__xludf.DUMMYFUNCTION("""COMPUTED_VALUE"""),15)</f>
        <v>15</v>
      </c>
      <c r="N81" s="1">
        <f ca="1">IFERROR(__xludf.DUMMYFUNCTION("""COMPUTED_VALUE"""),1986)</f>
        <v>1986</v>
      </c>
      <c r="O81" s="1">
        <f ca="1">IFERROR(__xludf.DUMMYFUNCTION("""COMPUTED_VALUE"""),2270)</f>
        <v>2270</v>
      </c>
      <c r="P81" s="1">
        <f ca="1">IFERROR(__xludf.DUMMYFUNCTION("""COMPUTED_VALUE"""),1205)</f>
        <v>1205</v>
      </c>
      <c r="Q81" s="1">
        <f ca="1">IFERROR(__xludf.DUMMYFUNCTION("""COMPUTED_VALUE"""),669)</f>
        <v>669</v>
      </c>
      <c r="R81" s="1">
        <f ca="1">IFERROR(__xludf.DUMMYFUNCTION("""COMPUTED_VALUE"""),1663)</f>
        <v>1663</v>
      </c>
      <c r="S81" s="1">
        <f ca="1">IFERROR(__xludf.DUMMYFUNCTION("""COMPUTED_VALUE"""),0.402)</f>
        <v>0.40200000000000002</v>
      </c>
      <c r="T81" s="1">
        <f ca="1">IFERROR(__xludf.DUMMYFUNCTION("""COMPUTED_VALUE"""),168)</f>
        <v>168</v>
      </c>
      <c r="U81" s="1">
        <f ca="1">IFERROR(__xludf.DUMMYFUNCTION("""COMPUTED_VALUE"""),517)</f>
        <v>517</v>
      </c>
      <c r="V81" s="1">
        <f ca="1">IFERROR(__xludf.DUMMYFUNCTION("""COMPUTED_VALUE"""),0.325)</f>
        <v>0.32500000000000001</v>
      </c>
      <c r="W81" s="1">
        <f ca="1">IFERROR(__xludf.DUMMYFUNCTION("""COMPUTED_VALUE"""),480)</f>
        <v>480</v>
      </c>
      <c r="X81" s="1">
        <f ca="1">IFERROR(__xludf.DUMMYFUNCTION("""COMPUTED_VALUE"""),701)</f>
        <v>701</v>
      </c>
      <c r="Y81" s="1">
        <f ca="1">IFERROR(__xludf.DUMMYFUNCTION("""COMPUTED_VALUE"""),0.685)</f>
        <v>0.68500000000000005</v>
      </c>
      <c r="Z81" s="1">
        <f ca="1">IFERROR(__xludf.DUMMYFUNCTION("""COMPUTED_VALUE"""),330)</f>
        <v>330</v>
      </c>
      <c r="AA81" s="1">
        <f ca="1">IFERROR(__xludf.DUMMYFUNCTION("""COMPUTED_VALUE"""),1132)</f>
        <v>1132</v>
      </c>
      <c r="AB81" s="1">
        <f ca="1">IFERROR(__xludf.DUMMYFUNCTION("""COMPUTED_VALUE"""),319)</f>
        <v>319</v>
      </c>
      <c r="AC81" s="1">
        <f ca="1">IFERROR(__xludf.DUMMYFUNCTION("""COMPUTED_VALUE"""),108)</f>
        <v>108</v>
      </c>
      <c r="AD81" s="1">
        <f ca="1">IFERROR(__xludf.DUMMYFUNCTION("""COMPUTED_VALUE"""),87)</f>
        <v>87</v>
      </c>
      <c r="AE81" s="1">
        <f ca="1">IFERROR(__xludf.DUMMYFUNCTION("""COMPUTED_VALUE"""),360)</f>
        <v>360</v>
      </c>
      <c r="AF81" s="1">
        <f ca="1">IFERROR(__xludf.DUMMYFUNCTION("""COMPUTED_VALUE"""),535)</f>
        <v>535</v>
      </c>
    </row>
    <row r="82" spans="1:32" ht="12.5" x14ac:dyDescent="0.25">
      <c r="A82" s="1" t="str">
        <f ca="1">IFERROR(__xludf.DUMMYFUNCTION("""COMPUTED_VALUE"""),"Denver")</f>
        <v>Denver</v>
      </c>
      <c r="B82" s="1">
        <f ca="1">IFERROR(__xludf.DUMMYFUNCTION("""COMPUTED_VALUE"""),31)</f>
        <v>31</v>
      </c>
      <c r="C82" s="1">
        <f ca="1">IFERROR(__xludf.DUMMYFUNCTION("""COMPUTED_VALUE"""),16)</f>
        <v>16</v>
      </c>
      <c r="D82" s="1">
        <f ca="1">IFERROR(__xludf.DUMMYFUNCTION("""COMPUTED_VALUE"""),15)</f>
        <v>15</v>
      </c>
      <c r="E82" s="1">
        <f ca="1">IFERROR(__xludf.DUMMYFUNCTION("""COMPUTED_VALUE"""),0.516)</f>
        <v>0.51600000000000001</v>
      </c>
      <c r="F82" s="1">
        <f ca="1">IFERROR(__xludf.DUMMYFUNCTION("""COMPUTED_VALUE"""),-3.34)</f>
        <v>-3.34</v>
      </c>
      <c r="G82" s="1">
        <f ca="1">IFERROR(__xludf.DUMMYFUNCTION("""COMPUTED_VALUE"""),-3.24)</f>
        <v>-3.24</v>
      </c>
      <c r="H82" s="1">
        <f ca="1">IFERROR(__xludf.DUMMYFUNCTION("""COMPUTED_VALUE"""),7)</f>
        <v>7</v>
      </c>
      <c r="I82" s="1">
        <f ca="1">IFERROR(__xludf.DUMMYFUNCTION("""COMPUTED_VALUE"""),9)</f>
        <v>9</v>
      </c>
      <c r="J82" s="1">
        <f ca="1">IFERROR(__xludf.DUMMYFUNCTION("""COMPUTED_VALUE"""),8)</f>
        <v>8</v>
      </c>
      <c r="K82" s="1">
        <f ca="1">IFERROR(__xludf.DUMMYFUNCTION("""COMPUTED_VALUE"""),7)</f>
        <v>7</v>
      </c>
      <c r="L82" s="1">
        <f ca="1">IFERROR(__xludf.DUMMYFUNCTION("""COMPUTED_VALUE"""),6)</f>
        <v>6</v>
      </c>
      <c r="M82" s="1">
        <f ca="1">IFERROR(__xludf.DUMMYFUNCTION("""COMPUTED_VALUE"""),6)</f>
        <v>6</v>
      </c>
      <c r="N82" s="1">
        <f ca="1">IFERROR(__xludf.DUMMYFUNCTION("""COMPUTED_VALUE"""),2021)</f>
        <v>2021</v>
      </c>
      <c r="O82" s="1">
        <f ca="1">IFERROR(__xludf.DUMMYFUNCTION("""COMPUTED_VALUE"""),2024)</f>
        <v>2024</v>
      </c>
      <c r="P82" s="1">
        <f ca="1">IFERROR(__xludf.DUMMYFUNCTION("""COMPUTED_VALUE"""),1240)</f>
        <v>1240</v>
      </c>
      <c r="Q82" s="1">
        <f ca="1">IFERROR(__xludf.DUMMYFUNCTION("""COMPUTED_VALUE"""),689)</f>
        <v>689</v>
      </c>
      <c r="R82" s="1">
        <f ca="1">IFERROR(__xludf.DUMMYFUNCTION("""COMPUTED_VALUE"""),1449)</f>
        <v>1449</v>
      </c>
      <c r="S82" s="1">
        <f ca="1">IFERROR(__xludf.DUMMYFUNCTION("""COMPUTED_VALUE"""),0.476)</f>
        <v>0.47599999999999998</v>
      </c>
      <c r="T82" s="1">
        <f ca="1">IFERROR(__xludf.DUMMYFUNCTION("""COMPUTED_VALUE"""),235)</f>
        <v>235</v>
      </c>
      <c r="U82" s="1">
        <f ca="1">IFERROR(__xludf.DUMMYFUNCTION("""COMPUTED_VALUE"""),613)</f>
        <v>613</v>
      </c>
      <c r="V82" s="1">
        <f ca="1">IFERROR(__xludf.DUMMYFUNCTION("""COMPUTED_VALUE"""),0.383)</f>
        <v>0.38300000000000001</v>
      </c>
      <c r="W82" s="1">
        <f ca="1">IFERROR(__xludf.DUMMYFUNCTION("""COMPUTED_VALUE"""),408)</f>
        <v>408</v>
      </c>
      <c r="X82" s="1">
        <f ca="1">IFERROR(__xludf.DUMMYFUNCTION("""COMPUTED_VALUE"""),530)</f>
        <v>530</v>
      </c>
      <c r="Y82" s="1">
        <f ca="1">IFERROR(__xludf.DUMMYFUNCTION("""COMPUTED_VALUE"""),0.77)</f>
        <v>0.77</v>
      </c>
      <c r="Z82" s="1">
        <f ca="1">IFERROR(__xludf.DUMMYFUNCTION("""COMPUTED_VALUE"""),168)</f>
        <v>168</v>
      </c>
      <c r="AA82" s="1">
        <f ca="1">IFERROR(__xludf.DUMMYFUNCTION("""COMPUTED_VALUE"""),781)</f>
        <v>781</v>
      </c>
      <c r="AB82" s="1">
        <f ca="1">IFERROR(__xludf.DUMMYFUNCTION("""COMPUTED_VALUE"""),443)</f>
        <v>443</v>
      </c>
      <c r="AC82" s="1">
        <f ca="1">IFERROR(__xludf.DUMMYFUNCTION("""COMPUTED_VALUE"""),198)</f>
        <v>198</v>
      </c>
      <c r="AD82" s="1">
        <f ca="1">IFERROR(__xludf.DUMMYFUNCTION("""COMPUTED_VALUE"""),71)</f>
        <v>71</v>
      </c>
      <c r="AE82" s="1">
        <f ca="1">IFERROR(__xludf.DUMMYFUNCTION("""COMPUTED_VALUE"""),404)</f>
        <v>404</v>
      </c>
      <c r="AF82" s="1">
        <f ca="1">IFERROR(__xludf.DUMMYFUNCTION("""COMPUTED_VALUE"""),593)</f>
        <v>593</v>
      </c>
    </row>
    <row r="83" spans="1:32" ht="12.5" x14ac:dyDescent="0.25">
      <c r="A83" s="1" t="str">
        <f ca="1">IFERROR(__xludf.DUMMYFUNCTION("""COMPUTED_VALUE"""),"DePaul")</f>
        <v>DePaul</v>
      </c>
      <c r="B83" s="1">
        <f ca="1">IFERROR(__xludf.DUMMYFUNCTION("""COMPUTED_VALUE"""),31)</f>
        <v>31</v>
      </c>
      <c r="C83" s="1">
        <f ca="1">IFERROR(__xludf.DUMMYFUNCTION("""COMPUTED_VALUE"""),9)</f>
        <v>9</v>
      </c>
      <c r="D83" s="1">
        <f ca="1">IFERROR(__xludf.DUMMYFUNCTION("""COMPUTED_VALUE"""),22)</f>
        <v>22</v>
      </c>
      <c r="E83" s="1">
        <f ca="1">IFERROR(__xludf.DUMMYFUNCTION("""COMPUTED_VALUE"""),0.29)</f>
        <v>0.28999999999999998</v>
      </c>
      <c r="F83" s="1">
        <f ca="1">IFERROR(__xludf.DUMMYFUNCTION("""COMPUTED_VALUE"""),0.83)</f>
        <v>0.83</v>
      </c>
      <c r="G83" s="1">
        <f ca="1">IFERROR(__xludf.DUMMYFUNCTION("""COMPUTED_VALUE"""),8.34)</f>
        <v>8.34</v>
      </c>
      <c r="H83" s="1">
        <f ca="1">IFERROR(__xludf.DUMMYFUNCTION("""COMPUTED_VALUE"""),3)</f>
        <v>3</v>
      </c>
      <c r="I83" s="1">
        <f ca="1">IFERROR(__xludf.DUMMYFUNCTION("""COMPUTED_VALUE"""),15)</f>
        <v>15</v>
      </c>
      <c r="J83" s="1">
        <f ca="1">IFERROR(__xludf.DUMMYFUNCTION("""COMPUTED_VALUE"""),5)</f>
        <v>5</v>
      </c>
      <c r="K83" s="1">
        <f ca="1">IFERROR(__xludf.DUMMYFUNCTION("""COMPUTED_VALUE"""),9)</f>
        <v>9</v>
      </c>
      <c r="L83" s="1">
        <f ca="1">IFERROR(__xludf.DUMMYFUNCTION("""COMPUTED_VALUE"""),3)</f>
        <v>3</v>
      </c>
      <c r="M83" s="1">
        <f ca="1">IFERROR(__xludf.DUMMYFUNCTION("""COMPUTED_VALUE"""),10)</f>
        <v>10</v>
      </c>
      <c r="N83" s="1">
        <f ca="1">IFERROR(__xludf.DUMMYFUNCTION("""COMPUTED_VALUE"""),2092)</f>
        <v>2092</v>
      </c>
      <c r="O83" s="1">
        <f ca="1">IFERROR(__xludf.DUMMYFUNCTION("""COMPUTED_VALUE"""),2325)</f>
        <v>2325</v>
      </c>
      <c r="P83" s="1">
        <f ca="1">IFERROR(__xludf.DUMMYFUNCTION("""COMPUTED_VALUE"""),1245)</f>
        <v>1245</v>
      </c>
      <c r="Q83" s="1">
        <f ca="1">IFERROR(__xludf.DUMMYFUNCTION("""COMPUTED_VALUE"""),752)</f>
        <v>752</v>
      </c>
      <c r="R83" s="1">
        <f ca="1">IFERROR(__xludf.DUMMYFUNCTION("""COMPUTED_VALUE"""),1691)</f>
        <v>1691</v>
      </c>
      <c r="S83" s="1">
        <f ca="1">IFERROR(__xludf.DUMMYFUNCTION("""COMPUTED_VALUE"""),0.445)</f>
        <v>0.44500000000000001</v>
      </c>
      <c r="T83" s="1">
        <f ca="1">IFERROR(__xludf.DUMMYFUNCTION("""COMPUTED_VALUE"""),168)</f>
        <v>168</v>
      </c>
      <c r="U83" s="1">
        <f ca="1">IFERROR(__xludf.DUMMYFUNCTION("""COMPUTED_VALUE"""),490)</f>
        <v>490</v>
      </c>
      <c r="V83" s="1">
        <f ca="1">IFERROR(__xludf.DUMMYFUNCTION("""COMPUTED_VALUE"""),0.343)</f>
        <v>0.34300000000000003</v>
      </c>
      <c r="W83" s="1">
        <f ca="1">IFERROR(__xludf.DUMMYFUNCTION("""COMPUTED_VALUE"""),420)</f>
        <v>420</v>
      </c>
      <c r="X83" s="1">
        <f ca="1">IFERROR(__xludf.DUMMYFUNCTION("""COMPUTED_VALUE"""),618)</f>
        <v>618</v>
      </c>
      <c r="Y83" s="1">
        <f ca="1">IFERROR(__xludf.DUMMYFUNCTION("""COMPUTED_VALUE"""),0.68)</f>
        <v>0.68</v>
      </c>
      <c r="Z83" s="1">
        <f ca="1">IFERROR(__xludf.DUMMYFUNCTION("""COMPUTED_VALUE"""),317)</f>
        <v>317</v>
      </c>
      <c r="AA83" s="1">
        <f ca="1">IFERROR(__xludf.DUMMYFUNCTION("""COMPUTED_VALUE"""),1059)</f>
        <v>1059</v>
      </c>
      <c r="AB83" s="1">
        <f ca="1">IFERROR(__xludf.DUMMYFUNCTION("""COMPUTED_VALUE"""),366)</f>
        <v>366</v>
      </c>
      <c r="AC83" s="1">
        <f ca="1">IFERROR(__xludf.DUMMYFUNCTION("""COMPUTED_VALUE"""),150)</f>
        <v>150</v>
      </c>
      <c r="AD83" s="1">
        <f ca="1">IFERROR(__xludf.DUMMYFUNCTION("""COMPUTED_VALUE"""),95)</f>
        <v>95</v>
      </c>
      <c r="AE83" s="1">
        <f ca="1">IFERROR(__xludf.DUMMYFUNCTION("""COMPUTED_VALUE"""),458)</f>
        <v>458</v>
      </c>
      <c r="AF83" s="1">
        <f ca="1">IFERROR(__xludf.DUMMYFUNCTION("""COMPUTED_VALUE"""),687)</f>
        <v>687</v>
      </c>
    </row>
    <row r="84" spans="1:32" ht="12.5" x14ac:dyDescent="0.25">
      <c r="A84" s="1" t="str">
        <f ca="1">IFERROR(__xludf.DUMMYFUNCTION("""COMPUTED_VALUE"""),"Detroit Mercy")</f>
        <v>Detroit Mercy</v>
      </c>
      <c r="B84" s="1">
        <f ca="1">IFERROR(__xludf.DUMMYFUNCTION("""COMPUTED_VALUE"""),31)</f>
        <v>31</v>
      </c>
      <c r="C84" s="1">
        <f ca="1">IFERROR(__xludf.DUMMYFUNCTION("""COMPUTED_VALUE"""),16)</f>
        <v>16</v>
      </c>
      <c r="D84" s="1">
        <f ca="1">IFERROR(__xludf.DUMMYFUNCTION("""COMPUTED_VALUE"""),15)</f>
        <v>15</v>
      </c>
      <c r="E84" s="1">
        <f ca="1">IFERROR(__xludf.DUMMYFUNCTION("""COMPUTED_VALUE"""),0.516)</f>
        <v>0.51600000000000001</v>
      </c>
      <c r="F84" s="1">
        <f ca="1">IFERROR(__xludf.DUMMYFUNCTION("""COMPUTED_VALUE"""),-2.44)</f>
        <v>-2.44</v>
      </c>
      <c r="G84" s="1">
        <f ca="1">IFERROR(__xludf.DUMMYFUNCTION("""COMPUTED_VALUE"""),-0.82)</f>
        <v>-0.82</v>
      </c>
      <c r="H84" s="1">
        <f ca="1">IFERROR(__xludf.DUMMYFUNCTION("""COMPUTED_VALUE"""),9)</f>
        <v>9</v>
      </c>
      <c r="I84" s="1">
        <f ca="1">IFERROR(__xludf.DUMMYFUNCTION("""COMPUTED_VALUE"""),9)</f>
        <v>9</v>
      </c>
      <c r="J84" s="1">
        <f ca="1">IFERROR(__xludf.DUMMYFUNCTION("""COMPUTED_VALUE"""),11)</f>
        <v>11</v>
      </c>
      <c r="K84" s="1">
        <f ca="1">IFERROR(__xludf.DUMMYFUNCTION("""COMPUTED_VALUE"""),4)</f>
        <v>4</v>
      </c>
      <c r="L84" s="1">
        <f ca="1">IFERROR(__xludf.DUMMYFUNCTION("""COMPUTED_VALUE"""),4)</f>
        <v>4</v>
      </c>
      <c r="M84" s="1">
        <f ca="1">IFERROR(__xludf.DUMMYFUNCTION("""COMPUTED_VALUE"""),10)</f>
        <v>10</v>
      </c>
      <c r="N84" s="1">
        <f ca="1">IFERROR(__xludf.DUMMYFUNCTION("""COMPUTED_VALUE"""),2595)</f>
        <v>2595</v>
      </c>
      <c r="O84" s="1">
        <f ca="1">IFERROR(__xludf.DUMMYFUNCTION("""COMPUTED_VALUE"""),2567)</f>
        <v>2567</v>
      </c>
      <c r="P84" s="1">
        <f ca="1">IFERROR(__xludf.DUMMYFUNCTION("""COMPUTED_VALUE"""),1245)</f>
        <v>1245</v>
      </c>
      <c r="Q84" s="1">
        <f ca="1">IFERROR(__xludf.DUMMYFUNCTION("""COMPUTED_VALUE"""),898)</f>
        <v>898</v>
      </c>
      <c r="R84" s="1">
        <f ca="1">IFERROR(__xludf.DUMMYFUNCTION("""COMPUTED_VALUE"""),1929)</f>
        <v>1929</v>
      </c>
      <c r="S84" s="1">
        <f ca="1">IFERROR(__xludf.DUMMYFUNCTION("""COMPUTED_VALUE"""),0.466)</f>
        <v>0.46600000000000003</v>
      </c>
      <c r="T84" s="1">
        <f ca="1">IFERROR(__xludf.DUMMYFUNCTION("""COMPUTED_VALUE"""),244)</f>
        <v>244</v>
      </c>
      <c r="U84" s="1">
        <f ca="1">IFERROR(__xludf.DUMMYFUNCTION("""COMPUTED_VALUE"""),651)</f>
        <v>651</v>
      </c>
      <c r="V84" s="1">
        <f ca="1">IFERROR(__xludf.DUMMYFUNCTION("""COMPUTED_VALUE"""),0.375)</f>
        <v>0.375</v>
      </c>
      <c r="W84" s="1">
        <f ca="1">IFERROR(__xludf.DUMMYFUNCTION("""COMPUTED_VALUE"""),555)</f>
        <v>555</v>
      </c>
      <c r="X84" s="1">
        <f ca="1">IFERROR(__xludf.DUMMYFUNCTION("""COMPUTED_VALUE"""),795)</f>
        <v>795</v>
      </c>
      <c r="Y84" s="1">
        <f ca="1">IFERROR(__xludf.DUMMYFUNCTION("""COMPUTED_VALUE"""),0.698)</f>
        <v>0.69799999999999995</v>
      </c>
      <c r="Z84" s="1">
        <f ca="1">IFERROR(__xludf.DUMMYFUNCTION("""COMPUTED_VALUE"""),373)</f>
        <v>373</v>
      </c>
      <c r="AA84" s="1">
        <f ca="1">IFERROR(__xludf.DUMMYFUNCTION("""COMPUTED_VALUE"""),1169)</f>
        <v>1169</v>
      </c>
      <c r="AB84" s="1">
        <f ca="1">IFERROR(__xludf.DUMMYFUNCTION("""COMPUTED_VALUE"""),409)</f>
        <v>409</v>
      </c>
      <c r="AC84" s="1">
        <f ca="1">IFERROR(__xludf.DUMMYFUNCTION("""COMPUTED_VALUE"""),213)</f>
        <v>213</v>
      </c>
      <c r="AD84" s="1">
        <f ca="1">IFERROR(__xludf.DUMMYFUNCTION("""COMPUTED_VALUE"""),133)</f>
        <v>133</v>
      </c>
      <c r="AE84" s="1">
        <f ca="1">IFERROR(__xludf.DUMMYFUNCTION("""COMPUTED_VALUE"""),422)</f>
        <v>422</v>
      </c>
      <c r="AF84" s="1">
        <f ca="1">IFERROR(__xludf.DUMMYFUNCTION("""COMPUTED_VALUE"""),706)</f>
        <v>706</v>
      </c>
    </row>
    <row r="85" spans="1:32" ht="12.5" x14ac:dyDescent="0.25">
      <c r="A85" s="1" t="str">
        <f ca="1">IFERROR(__xludf.DUMMYFUNCTION("""COMPUTED_VALUE"""),"Drake")</f>
        <v>Drake</v>
      </c>
      <c r="B85" s="1">
        <f ca="1">IFERROR(__xludf.DUMMYFUNCTION("""COMPUTED_VALUE"""),31)</f>
        <v>31</v>
      </c>
      <c r="C85" s="1">
        <f ca="1">IFERROR(__xludf.DUMMYFUNCTION("""COMPUTED_VALUE"""),7)</f>
        <v>7</v>
      </c>
      <c r="D85" s="1">
        <f ca="1">IFERROR(__xludf.DUMMYFUNCTION("""COMPUTED_VALUE"""),24)</f>
        <v>24</v>
      </c>
      <c r="E85" s="1">
        <f ca="1">IFERROR(__xludf.DUMMYFUNCTION("""COMPUTED_VALUE"""),0.226)</f>
        <v>0.22600000000000001</v>
      </c>
      <c r="F85" s="1">
        <f ca="1">IFERROR(__xludf.DUMMYFUNCTION("""COMPUTED_VALUE"""),-5.15)</f>
        <v>-5.15</v>
      </c>
      <c r="G85" s="1">
        <f ca="1">IFERROR(__xludf.DUMMYFUNCTION("""COMPUTED_VALUE"""),0.92)</f>
        <v>0.92</v>
      </c>
      <c r="H85" s="1">
        <f ca="1">IFERROR(__xludf.DUMMYFUNCTION("""COMPUTED_VALUE"""),2)</f>
        <v>2</v>
      </c>
      <c r="I85" s="1">
        <f ca="1">IFERROR(__xludf.DUMMYFUNCTION("""COMPUTED_VALUE"""),16)</f>
        <v>16</v>
      </c>
      <c r="J85" s="1">
        <f ca="1">IFERROR(__xludf.DUMMYFUNCTION("""COMPUTED_VALUE"""),5)</f>
        <v>5</v>
      </c>
      <c r="K85" s="1">
        <f ca="1">IFERROR(__xludf.DUMMYFUNCTION("""COMPUTED_VALUE"""),9)</f>
        <v>9</v>
      </c>
      <c r="L85" s="1">
        <f ca="1">IFERROR(__xludf.DUMMYFUNCTION("""COMPUTED_VALUE"""),0)</f>
        <v>0</v>
      </c>
      <c r="M85" s="1">
        <f ca="1">IFERROR(__xludf.DUMMYFUNCTION("""COMPUTED_VALUE"""),12)</f>
        <v>12</v>
      </c>
      <c r="N85" s="1">
        <f ca="1">IFERROR(__xludf.DUMMYFUNCTION("""COMPUTED_VALUE"""),2093)</f>
        <v>2093</v>
      </c>
      <c r="O85" s="1">
        <f ca="1">IFERROR(__xludf.DUMMYFUNCTION("""COMPUTED_VALUE"""),2230)</f>
        <v>2230</v>
      </c>
      <c r="P85" s="1">
        <f ca="1">IFERROR(__xludf.DUMMYFUNCTION("""COMPUTED_VALUE"""),1255)</f>
        <v>1255</v>
      </c>
      <c r="Q85" s="1">
        <f ca="1">IFERROR(__xludf.DUMMYFUNCTION("""COMPUTED_VALUE"""),736)</f>
        <v>736</v>
      </c>
      <c r="R85" s="1">
        <f ca="1">IFERROR(__xludf.DUMMYFUNCTION("""COMPUTED_VALUE"""),1639)</f>
        <v>1639</v>
      </c>
      <c r="S85" s="1">
        <f ca="1">IFERROR(__xludf.DUMMYFUNCTION("""COMPUTED_VALUE"""),0.449)</f>
        <v>0.44900000000000001</v>
      </c>
      <c r="T85" s="1">
        <f ca="1">IFERROR(__xludf.DUMMYFUNCTION("""COMPUTED_VALUE"""),215)</f>
        <v>215</v>
      </c>
      <c r="U85" s="1">
        <f ca="1">IFERROR(__xludf.DUMMYFUNCTION("""COMPUTED_VALUE"""),559)</f>
        <v>559</v>
      </c>
      <c r="V85" s="1">
        <f ca="1">IFERROR(__xludf.DUMMYFUNCTION("""COMPUTED_VALUE"""),0.385)</f>
        <v>0.38500000000000001</v>
      </c>
      <c r="W85" s="1">
        <f ca="1">IFERROR(__xludf.DUMMYFUNCTION("""COMPUTED_VALUE"""),406)</f>
        <v>406</v>
      </c>
      <c r="X85" s="1">
        <f ca="1">IFERROR(__xludf.DUMMYFUNCTION("""COMPUTED_VALUE"""),562)</f>
        <v>562</v>
      </c>
      <c r="Y85" s="1">
        <f ca="1">IFERROR(__xludf.DUMMYFUNCTION("""COMPUTED_VALUE"""),0.722)</f>
        <v>0.72199999999999998</v>
      </c>
      <c r="Z85" s="1">
        <f ca="1">IFERROR(__xludf.DUMMYFUNCTION("""COMPUTED_VALUE"""),253)</f>
        <v>253</v>
      </c>
      <c r="AA85" s="1">
        <f ca="1">IFERROR(__xludf.DUMMYFUNCTION("""COMPUTED_VALUE"""),1043)</f>
        <v>1043</v>
      </c>
      <c r="AB85" s="1">
        <f ca="1">IFERROR(__xludf.DUMMYFUNCTION("""COMPUTED_VALUE"""),378)</f>
        <v>378</v>
      </c>
      <c r="AC85" s="1">
        <f ca="1">IFERROR(__xludf.DUMMYFUNCTION("""COMPUTED_VALUE"""),116)</f>
        <v>116</v>
      </c>
      <c r="AD85" s="1">
        <f ca="1">IFERROR(__xludf.DUMMYFUNCTION("""COMPUTED_VALUE"""),65)</f>
        <v>65</v>
      </c>
      <c r="AE85" s="1">
        <f ca="1">IFERROR(__xludf.DUMMYFUNCTION("""COMPUTED_VALUE"""),421)</f>
        <v>421</v>
      </c>
      <c r="AF85" s="1">
        <f ca="1">IFERROR(__xludf.DUMMYFUNCTION("""COMPUTED_VALUE"""),559)</f>
        <v>559</v>
      </c>
    </row>
    <row r="86" spans="1:32" ht="12.5" x14ac:dyDescent="0.25">
      <c r="A86" s="1" t="str">
        <f ca="1">IFERROR(__xludf.DUMMYFUNCTION("""COMPUTED_VALUE"""),"Drexel")</f>
        <v>Drexel</v>
      </c>
      <c r="B86" s="1">
        <f ca="1">IFERROR(__xludf.DUMMYFUNCTION("""COMPUTED_VALUE"""),31)</f>
        <v>31</v>
      </c>
      <c r="C86" s="1">
        <f ca="1">IFERROR(__xludf.DUMMYFUNCTION("""COMPUTED_VALUE"""),6)</f>
        <v>6</v>
      </c>
      <c r="D86" s="1">
        <f ca="1">IFERROR(__xludf.DUMMYFUNCTION("""COMPUTED_VALUE"""),25)</f>
        <v>25</v>
      </c>
      <c r="E86" s="1">
        <f ca="1">IFERROR(__xludf.DUMMYFUNCTION("""COMPUTED_VALUE"""),0.194)</f>
        <v>0.19400000000000001</v>
      </c>
      <c r="F86" s="1">
        <f ca="1">IFERROR(__xludf.DUMMYFUNCTION("""COMPUTED_VALUE"""),-5.42)</f>
        <v>-5.42</v>
      </c>
      <c r="G86" s="1">
        <f ca="1">IFERROR(__xludf.DUMMYFUNCTION("""COMPUTED_VALUE"""),1.88)</f>
        <v>1.88</v>
      </c>
      <c r="H86" s="1">
        <f ca="1">IFERROR(__xludf.DUMMYFUNCTION("""COMPUTED_VALUE"""),3)</f>
        <v>3</v>
      </c>
      <c r="I86" s="1">
        <f ca="1">IFERROR(__xludf.DUMMYFUNCTION("""COMPUTED_VALUE"""),15)</f>
        <v>15</v>
      </c>
      <c r="J86" s="1">
        <f ca="1">IFERROR(__xludf.DUMMYFUNCTION("""COMPUTED_VALUE"""),3)</f>
        <v>3</v>
      </c>
      <c r="K86" s="1">
        <f ca="1">IFERROR(__xludf.DUMMYFUNCTION("""COMPUTED_VALUE"""),9)</f>
        <v>9</v>
      </c>
      <c r="L86" s="1">
        <f ca="1">IFERROR(__xludf.DUMMYFUNCTION("""COMPUTED_VALUE"""),2)</f>
        <v>2</v>
      </c>
      <c r="M86" s="1">
        <f ca="1">IFERROR(__xludf.DUMMYFUNCTION("""COMPUTED_VALUE"""),12)</f>
        <v>12</v>
      </c>
      <c r="N86" s="1">
        <f ca="1">IFERROR(__xludf.DUMMYFUNCTION("""COMPUTED_VALUE"""),1958)</f>
        <v>1958</v>
      </c>
      <c r="O86" s="1">
        <f ca="1">IFERROR(__xludf.DUMMYFUNCTION("""COMPUTED_VALUE"""),2183)</f>
        <v>2183</v>
      </c>
      <c r="P86" s="1">
        <f ca="1">IFERROR(__xludf.DUMMYFUNCTION("""COMPUTED_VALUE"""),1245)</f>
        <v>1245</v>
      </c>
      <c r="Q86" s="1">
        <f ca="1">IFERROR(__xludf.DUMMYFUNCTION("""COMPUTED_VALUE"""),677)</f>
        <v>677</v>
      </c>
      <c r="R86" s="1">
        <f ca="1">IFERROR(__xludf.DUMMYFUNCTION("""COMPUTED_VALUE"""),1721)</f>
        <v>1721</v>
      </c>
      <c r="S86" s="1">
        <f ca="1">IFERROR(__xludf.DUMMYFUNCTION("""COMPUTED_VALUE"""),0.393)</f>
        <v>0.39300000000000002</v>
      </c>
      <c r="T86" s="1">
        <f ca="1">IFERROR(__xludf.DUMMYFUNCTION("""COMPUTED_VALUE"""),170)</f>
        <v>170</v>
      </c>
      <c r="U86" s="1">
        <f ca="1">IFERROR(__xludf.DUMMYFUNCTION("""COMPUTED_VALUE"""),517)</f>
        <v>517</v>
      </c>
      <c r="V86" s="1">
        <f ca="1">IFERROR(__xludf.DUMMYFUNCTION("""COMPUTED_VALUE"""),0.329)</f>
        <v>0.32900000000000001</v>
      </c>
      <c r="W86" s="1">
        <f ca="1">IFERROR(__xludf.DUMMYFUNCTION("""COMPUTED_VALUE"""),434)</f>
        <v>434</v>
      </c>
      <c r="X86" s="1">
        <f ca="1">IFERROR(__xludf.DUMMYFUNCTION("""COMPUTED_VALUE"""),634)</f>
        <v>634</v>
      </c>
      <c r="Y86" s="1">
        <f ca="1">IFERROR(__xludf.DUMMYFUNCTION("""COMPUTED_VALUE"""),0.685)</f>
        <v>0.68500000000000005</v>
      </c>
      <c r="Z86" s="1">
        <f ca="1">IFERROR(__xludf.DUMMYFUNCTION("""COMPUTED_VALUE"""),324)</f>
        <v>324</v>
      </c>
      <c r="AA86" s="1">
        <f ca="1">IFERROR(__xludf.DUMMYFUNCTION("""COMPUTED_VALUE"""),1022)</f>
        <v>1022</v>
      </c>
      <c r="AB86" s="1">
        <f ca="1">IFERROR(__xludf.DUMMYFUNCTION("""COMPUTED_VALUE"""),384)</f>
        <v>384</v>
      </c>
      <c r="AC86" s="1">
        <f ca="1">IFERROR(__xludf.DUMMYFUNCTION("""COMPUTED_VALUE"""),141)</f>
        <v>141</v>
      </c>
      <c r="AD86" s="1">
        <f ca="1">IFERROR(__xludf.DUMMYFUNCTION("""COMPUTED_VALUE"""),108)</f>
        <v>108</v>
      </c>
      <c r="AE86" s="1">
        <f ca="1">IFERROR(__xludf.DUMMYFUNCTION("""COMPUTED_VALUE"""),345)</f>
        <v>345</v>
      </c>
      <c r="AF86" s="1">
        <f ca="1">IFERROR(__xludf.DUMMYFUNCTION("""COMPUTED_VALUE"""),676)</f>
        <v>676</v>
      </c>
    </row>
    <row r="87" spans="1:32" ht="12.5" x14ac:dyDescent="0.25">
      <c r="A87" s="1" t="str">
        <f ca="1">IFERROR(__xludf.DUMMYFUNCTION("""COMPUTED_VALUE"""),"DukeNCAA")</f>
        <v>DukeNCAA</v>
      </c>
      <c r="B87" s="1">
        <f ca="1">IFERROR(__xludf.DUMMYFUNCTION("""COMPUTED_VALUE"""),36)</f>
        <v>36</v>
      </c>
      <c r="C87" s="1">
        <f ca="1">IFERROR(__xludf.DUMMYFUNCTION("""COMPUTED_VALUE"""),25)</f>
        <v>25</v>
      </c>
      <c r="D87" s="1">
        <f ca="1">IFERROR(__xludf.DUMMYFUNCTION("""COMPUTED_VALUE"""),11)</f>
        <v>11</v>
      </c>
      <c r="E87" s="1">
        <f ca="1">IFERROR(__xludf.DUMMYFUNCTION("""COMPUTED_VALUE"""),0.694)</f>
        <v>0.69399999999999995</v>
      </c>
      <c r="F87" s="1">
        <f ca="1">IFERROR(__xludf.DUMMYFUNCTION("""COMPUTED_VALUE"""),19.23)</f>
        <v>19.23</v>
      </c>
      <c r="G87" s="1">
        <f ca="1">IFERROR(__xludf.DUMMYFUNCTION("""COMPUTED_VALUE"""),10.59)</f>
        <v>10.59</v>
      </c>
      <c r="H87" s="1">
        <f ca="1">IFERROR(__xludf.DUMMYFUNCTION("""COMPUTED_VALUE"""),11)</f>
        <v>11</v>
      </c>
      <c r="I87" s="1">
        <f ca="1">IFERROR(__xludf.DUMMYFUNCTION("""COMPUTED_VALUE"""),7)</f>
        <v>7</v>
      </c>
      <c r="J87" s="1">
        <f ca="1">IFERROR(__xludf.DUMMYFUNCTION("""COMPUTED_VALUE"""),15)</f>
        <v>15</v>
      </c>
      <c r="K87" s="1">
        <f ca="1">IFERROR(__xludf.DUMMYFUNCTION("""COMPUTED_VALUE"""),3)</f>
        <v>3</v>
      </c>
      <c r="L87" s="1">
        <f ca="1">IFERROR(__xludf.DUMMYFUNCTION("""COMPUTED_VALUE"""),5)</f>
        <v>5</v>
      </c>
      <c r="M87" s="1">
        <f ca="1">IFERROR(__xludf.DUMMYFUNCTION("""COMPUTED_VALUE"""),4)</f>
        <v>4</v>
      </c>
      <c r="N87" s="1">
        <f ca="1">IFERROR(__xludf.DUMMYFUNCTION("""COMPUTED_VALUE"""),2920)</f>
        <v>2920</v>
      </c>
      <c r="O87" s="1">
        <f ca="1">IFERROR(__xludf.DUMMYFUNCTION("""COMPUTED_VALUE"""),2609)</f>
        <v>2609</v>
      </c>
      <c r="P87" s="1">
        <f ca="1">IFERROR(__xludf.DUMMYFUNCTION("""COMPUTED_VALUE"""),1450)</f>
        <v>1450</v>
      </c>
      <c r="Q87" s="1">
        <f ca="1">IFERROR(__xludf.DUMMYFUNCTION("""COMPUTED_VALUE"""),983)</f>
        <v>983</v>
      </c>
      <c r="R87" s="1">
        <f ca="1">IFERROR(__xludf.DUMMYFUNCTION("""COMPUTED_VALUE"""),2136)</f>
        <v>2136</v>
      </c>
      <c r="S87" s="1">
        <f ca="1">IFERROR(__xludf.DUMMYFUNCTION("""COMPUTED_VALUE"""),0.46)</f>
        <v>0.46</v>
      </c>
      <c r="T87" s="1">
        <f ca="1">IFERROR(__xludf.DUMMYFUNCTION("""COMPUTED_VALUE"""),328)</f>
        <v>328</v>
      </c>
      <c r="U87" s="1">
        <f ca="1">IFERROR(__xludf.DUMMYFUNCTION("""COMPUTED_VALUE"""),851)</f>
        <v>851</v>
      </c>
      <c r="V87" s="1">
        <f ca="1">IFERROR(__xludf.DUMMYFUNCTION("""COMPUTED_VALUE"""),0.385)</f>
        <v>0.38500000000000001</v>
      </c>
      <c r="W87" s="1">
        <f ca="1">IFERROR(__xludf.DUMMYFUNCTION("""COMPUTED_VALUE"""),626)</f>
        <v>626</v>
      </c>
      <c r="X87" s="1">
        <f ca="1">IFERROR(__xludf.DUMMYFUNCTION("""COMPUTED_VALUE"""),866)</f>
        <v>866</v>
      </c>
      <c r="Y87" s="1">
        <f ca="1">IFERROR(__xludf.DUMMYFUNCTION("""COMPUTED_VALUE"""),0.723)</f>
        <v>0.72299999999999998</v>
      </c>
      <c r="Z87" s="1">
        <f ca="1">IFERROR(__xludf.DUMMYFUNCTION("""COMPUTED_VALUE"""),426)</f>
        <v>426</v>
      </c>
      <c r="AA87" s="1">
        <f ca="1">IFERROR(__xludf.DUMMYFUNCTION("""COMPUTED_VALUE"""),1296)</f>
        <v>1296</v>
      </c>
      <c r="AB87" s="1">
        <f ca="1">IFERROR(__xludf.DUMMYFUNCTION("""COMPUTED_VALUE"""),478)</f>
        <v>478</v>
      </c>
      <c r="AC87" s="1">
        <f ca="1">IFERROR(__xludf.DUMMYFUNCTION("""COMPUTED_VALUE"""),226)</f>
        <v>226</v>
      </c>
      <c r="AD87" s="1">
        <f ca="1">IFERROR(__xludf.DUMMYFUNCTION("""COMPUTED_VALUE"""),154)</f>
        <v>154</v>
      </c>
      <c r="AE87" s="1">
        <f ca="1">IFERROR(__xludf.DUMMYFUNCTION("""COMPUTED_VALUE"""),354)</f>
        <v>354</v>
      </c>
      <c r="AF87" s="1">
        <f ca="1">IFERROR(__xludf.DUMMYFUNCTION("""COMPUTED_VALUE"""),603)</f>
        <v>603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IFERROR(__xludf.DUMMYFUNCTION("""COMPUTED_VALUE"""),"Duquesne")</f>
        <v>Duquesne</v>
      </c>
      <c r="B90" s="1">
        <f ca="1">IFERROR(__xludf.DUMMYFUNCTION("""COMPUTED_VALUE"""),34)</f>
        <v>34</v>
      </c>
      <c r="C90" s="1">
        <f ca="1">IFERROR(__xludf.DUMMYFUNCTION("""COMPUTED_VALUE"""),17)</f>
        <v>17</v>
      </c>
      <c r="D90" s="1">
        <f ca="1">IFERROR(__xludf.DUMMYFUNCTION("""COMPUTED_VALUE"""),17)</f>
        <v>17</v>
      </c>
      <c r="E90" s="1">
        <f ca="1">IFERROR(__xludf.DUMMYFUNCTION("""COMPUTED_VALUE"""),0.5)</f>
        <v>0.5</v>
      </c>
      <c r="F90" s="1">
        <f ca="1">IFERROR(__xludf.DUMMYFUNCTION("""COMPUTED_VALUE"""),1.41)</f>
        <v>1.41</v>
      </c>
      <c r="G90" s="1">
        <f ca="1">IFERROR(__xludf.DUMMYFUNCTION("""COMPUTED_VALUE"""),1.35)</f>
        <v>1.35</v>
      </c>
      <c r="H90" s="1">
        <f ca="1">IFERROR(__xludf.DUMMYFUNCTION("""COMPUTED_VALUE"""),6)</f>
        <v>6</v>
      </c>
      <c r="I90" s="1">
        <f ca="1">IFERROR(__xludf.DUMMYFUNCTION("""COMPUTED_VALUE"""),12)</f>
        <v>12</v>
      </c>
      <c r="J90" s="1">
        <f ca="1">IFERROR(__xludf.DUMMYFUNCTION("""COMPUTED_VALUE"""),10)</f>
        <v>10</v>
      </c>
      <c r="K90" s="1">
        <f ca="1">IFERROR(__xludf.DUMMYFUNCTION("""COMPUTED_VALUE"""),6)</f>
        <v>6</v>
      </c>
      <c r="L90" s="1">
        <f ca="1">IFERROR(__xludf.DUMMYFUNCTION("""COMPUTED_VALUE"""),4)</f>
        <v>4</v>
      </c>
      <c r="M90" s="1">
        <f ca="1">IFERROR(__xludf.DUMMYFUNCTION("""COMPUTED_VALUE"""),8)</f>
        <v>8</v>
      </c>
      <c r="N90" s="1">
        <f ca="1">IFERROR(__xludf.DUMMYFUNCTION("""COMPUTED_VALUE"""),2704)</f>
        <v>2704</v>
      </c>
      <c r="O90" s="1">
        <f ca="1">IFERROR(__xludf.DUMMYFUNCTION("""COMPUTED_VALUE"""),2677)</f>
        <v>2677</v>
      </c>
      <c r="P90" s="1">
        <f ca="1">IFERROR(__xludf.DUMMYFUNCTION("""COMPUTED_VALUE"""),1370)</f>
        <v>1370</v>
      </c>
      <c r="Q90" s="1">
        <f ca="1">IFERROR(__xludf.DUMMYFUNCTION("""COMPUTED_VALUE"""),950)</f>
        <v>950</v>
      </c>
      <c r="R90" s="1">
        <f ca="1">IFERROR(__xludf.DUMMYFUNCTION("""COMPUTED_VALUE"""),2056)</f>
        <v>2056</v>
      </c>
      <c r="S90" s="1">
        <f ca="1">IFERROR(__xludf.DUMMYFUNCTION("""COMPUTED_VALUE"""),0.462)</f>
        <v>0.46200000000000002</v>
      </c>
      <c r="T90" s="1">
        <f ca="1">IFERROR(__xludf.DUMMYFUNCTION("""COMPUTED_VALUE"""),322)</f>
        <v>322</v>
      </c>
      <c r="U90" s="1">
        <f ca="1">IFERROR(__xludf.DUMMYFUNCTION("""COMPUTED_VALUE"""),883)</f>
        <v>883</v>
      </c>
      <c r="V90" s="1">
        <f ca="1">IFERROR(__xludf.DUMMYFUNCTION("""COMPUTED_VALUE"""),0.365)</f>
        <v>0.36499999999999999</v>
      </c>
      <c r="W90" s="1">
        <f ca="1">IFERROR(__xludf.DUMMYFUNCTION("""COMPUTED_VALUE"""),482)</f>
        <v>482</v>
      </c>
      <c r="X90" s="1">
        <f ca="1">IFERROR(__xludf.DUMMYFUNCTION("""COMPUTED_VALUE"""),698)</f>
        <v>698</v>
      </c>
      <c r="Y90" s="1">
        <f ca="1">IFERROR(__xludf.DUMMYFUNCTION("""COMPUTED_VALUE"""),0.691)</f>
        <v>0.69099999999999995</v>
      </c>
      <c r="Z90" s="1">
        <f ca="1">IFERROR(__xludf.DUMMYFUNCTION("""COMPUTED_VALUE"""),347)</f>
        <v>347</v>
      </c>
      <c r="AA90" s="1">
        <f ca="1">IFERROR(__xludf.DUMMYFUNCTION("""COMPUTED_VALUE"""),1332)</f>
        <v>1332</v>
      </c>
      <c r="AB90" s="1">
        <f ca="1">IFERROR(__xludf.DUMMYFUNCTION("""COMPUTED_VALUE"""),531)</f>
        <v>531</v>
      </c>
      <c r="AC90" s="1">
        <f ca="1">IFERROR(__xludf.DUMMYFUNCTION("""COMPUTED_VALUE"""),159)</f>
        <v>159</v>
      </c>
      <c r="AD90" s="1">
        <f ca="1">IFERROR(__xludf.DUMMYFUNCTION("""COMPUTED_VALUE"""),128)</f>
        <v>128</v>
      </c>
      <c r="AE90" s="1">
        <f ca="1">IFERROR(__xludf.DUMMYFUNCTION("""COMPUTED_VALUE"""),473)</f>
        <v>473</v>
      </c>
      <c r="AF90" s="1">
        <f ca="1">IFERROR(__xludf.DUMMYFUNCTION("""COMPUTED_VALUE"""),689)</f>
        <v>689</v>
      </c>
    </row>
    <row r="91" spans="1:32" ht="12.5" x14ac:dyDescent="0.25">
      <c r="A91" s="1" t="str">
        <f ca="1">IFERROR(__xludf.DUMMYFUNCTION("""COMPUTED_VALUE"""),"East Carolina")</f>
        <v>East Carolina</v>
      </c>
      <c r="B91" s="1">
        <f ca="1">IFERROR(__xludf.DUMMYFUNCTION("""COMPUTED_VALUE"""),32)</f>
        <v>32</v>
      </c>
      <c r="C91" s="1">
        <f ca="1">IFERROR(__xludf.DUMMYFUNCTION("""COMPUTED_VALUE"""),12)</f>
        <v>12</v>
      </c>
      <c r="D91" s="1">
        <f ca="1">IFERROR(__xludf.DUMMYFUNCTION("""COMPUTED_VALUE"""),20)</f>
        <v>20</v>
      </c>
      <c r="E91" s="1">
        <f ca="1">IFERROR(__xludf.DUMMYFUNCTION("""COMPUTED_VALUE"""),0.375)</f>
        <v>0.375</v>
      </c>
      <c r="F91" s="1">
        <f ca="1">IFERROR(__xludf.DUMMYFUNCTION("""COMPUTED_VALUE"""),-0.38)</f>
        <v>-0.38</v>
      </c>
      <c r="G91" s="1">
        <f ca="1">IFERROR(__xludf.DUMMYFUNCTION("""COMPUTED_VALUE"""),3.22)</f>
        <v>3.22</v>
      </c>
      <c r="H91" s="1">
        <f ca="1">IFERROR(__xludf.DUMMYFUNCTION("""COMPUTED_VALUE"""),4)</f>
        <v>4</v>
      </c>
      <c r="I91" s="1">
        <f ca="1">IFERROR(__xludf.DUMMYFUNCTION("""COMPUTED_VALUE"""),14)</f>
        <v>14</v>
      </c>
      <c r="J91" s="1">
        <f ca="1">IFERROR(__xludf.DUMMYFUNCTION("""COMPUTED_VALUE"""),8)</f>
        <v>8</v>
      </c>
      <c r="K91" s="1">
        <f ca="1">IFERROR(__xludf.DUMMYFUNCTION("""COMPUTED_VALUE"""),8)</f>
        <v>8</v>
      </c>
      <c r="L91" s="1">
        <f ca="1">IFERROR(__xludf.DUMMYFUNCTION("""COMPUTED_VALUE"""),3)</f>
        <v>3</v>
      </c>
      <c r="M91" s="1">
        <f ca="1">IFERROR(__xludf.DUMMYFUNCTION("""COMPUTED_VALUE"""),10)</f>
        <v>10</v>
      </c>
      <c r="N91" s="1">
        <f ca="1">IFERROR(__xludf.DUMMYFUNCTION("""COMPUTED_VALUE"""),2186)</f>
        <v>2186</v>
      </c>
      <c r="O91" s="1">
        <f ca="1">IFERROR(__xludf.DUMMYFUNCTION("""COMPUTED_VALUE"""),2301)</f>
        <v>2301</v>
      </c>
      <c r="P91" s="1">
        <f ca="1">IFERROR(__xludf.DUMMYFUNCTION("""COMPUTED_VALUE"""),1305)</f>
        <v>1305</v>
      </c>
      <c r="Q91" s="1">
        <f ca="1">IFERROR(__xludf.DUMMYFUNCTION("""COMPUTED_VALUE"""),761)</f>
        <v>761</v>
      </c>
      <c r="R91" s="1">
        <f ca="1">IFERROR(__xludf.DUMMYFUNCTION("""COMPUTED_VALUE"""),1790)</f>
        <v>1790</v>
      </c>
      <c r="S91" s="1">
        <f ca="1">IFERROR(__xludf.DUMMYFUNCTION("""COMPUTED_VALUE"""),0.425)</f>
        <v>0.42499999999999999</v>
      </c>
      <c r="T91" s="1">
        <f ca="1">IFERROR(__xludf.DUMMYFUNCTION("""COMPUTED_VALUE"""),232)</f>
        <v>232</v>
      </c>
      <c r="U91" s="1">
        <f ca="1">IFERROR(__xludf.DUMMYFUNCTION("""COMPUTED_VALUE"""),683)</f>
        <v>683</v>
      </c>
      <c r="V91" s="1">
        <f ca="1">IFERROR(__xludf.DUMMYFUNCTION("""COMPUTED_VALUE"""),0.34)</f>
        <v>0.34</v>
      </c>
      <c r="W91" s="1">
        <f ca="1">IFERROR(__xludf.DUMMYFUNCTION("""COMPUTED_VALUE"""),432)</f>
        <v>432</v>
      </c>
      <c r="X91" s="1">
        <f ca="1">IFERROR(__xludf.DUMMYFUNCTION("""COMPUTED_VALUE"""),620)</f>
        <v>620</v>
      </c>
      <c r="Y91" s="1">
        <f ca="1">IFERROR(__xludf.DUMMYFUNCTION("""COMPUTED_VALUE"""),0.697)</f>
        <v>0.69699999999999995</v>
      </c>
      <c r="Z91" s="1">
        <f ca="1">IFERROR(__xludf.DUMMYFUNCTION("""COMPUTED_VALUE"""),320)</f>
        <v>320</v>
      </c>
      <c r="AA91" s="1">
        <f ca="1">IFERROR(__xludf.DUMMYFUNCTION("""COMPUTED_VALUE"""),1093)</f>
        <v>1093</v>
      </c>
      <c r="AB91" s="1">
        <f ca="1">IFERROR(__xludf.DUMMYFUNCTION("""COMPUTED_VALUE"""),486)</f>
        <v>486</v>
      </c>
      <c r="AC91" s="1">
        <f ca="1">IFERROR(__xludf.DUMMYFUNCTION("""COMPUTED_VALUE"""),183)</f>
        <v>183</v>
      </c>
      <c r="AD91" s="1">
        <f ca="1">IFERROR(__xludf.DUMMYFUNCTION("""COMPUTED_VALUE"""),64)</f>
        <v>64</v>
      </c>
      <c r="AE91" s="1">
        <f ca="1">IFERROR(__xludf.DUMMYFUNCTION("""COMPUTED_VALUE"""),424)</f>
        <v>424</v>
      </c>
      <c r="AF91" s="1">
        <f ca="1">IFERROR(__xludf.DUMMYFUNCTION("""COMPUTED_VALUE"""),536)</f>
        <v>536</v>
      </c>
    </row>
    <row r="92" spans="1:32" ht="12.5" x14ac:dyDescent="0.25">
      <c r="A92" s="1" t="str">
        <f ca="1">IFERROR(__xludf.DUMMYFUNCTION("""COMPUTED_VALUE"""),"East Tennessee State")</f>
        <v>East Tennessee State</v>
      </c>
      <c r="B92" s="1">
        <f ca="1">IFERROR(__xludf.DUMMYFUNCTION("""COMPUTED_VALUE"""),36)</f>
        <v>36</v>
      </c>
      <c r="C92" s="1">
        <f ca="1">IFERROR(__xludf.DUMMYFUNCTION("""COMPUTED_VALUE"""),24)</f>
        <v>24</v>
      </c>
      <c r="D92" s="1">
        <f ca="1">IFERROR(__xludf.DUMMYFUNCTION("""COMPUTED_VALUE"""),12)</f>
        <v>12</v>
      </c>
      <c r="E92" s="1">
        <f ca="1">IFERROR(__xludf.DUMMYFUNCTION("""COMPUTED_VALUE"""),0.667)</f>
        <v>0.66700000000000004</v>
      </c>
      <c r="F92" s="1">
        <f ca="1">IFERROR(__xludf.DUMMYFUNCTION("""COMPUTED_VALUE"""),-1.49)</f>
        <v>-1.49</v>
      </c>
      <c r="G92" s="1">
        <f ca="1">IFERROR(__xludf.DUMMYFUNCTION("""COMPUTED_VALUE"""),-2.29)</f>
        <v>-2.29</v>
      </c>
      <c r="H92" s="1">
        <f ca="1">IFERROR(__xludf.DUMMYFUNCTION("""COMPUTED_VALUE"""),14)</f>
        <v>14</v>
      </c>
      <c r="I92" s="1">
        <f ca="1">IFERROR(__xludf.DUMMYFUNCTION("""COMPUTED_VALUE"""),4)</f>
        <v>4</v>
      </c>
      <c r="J92" s="1">
        <f ca="1">IFERROR(__xludf.DUMMYFUNCTION("""COMPUTED_VALUE"""),13)</f>
        <v>13</v>
      </c>
      <c r="K92" s="1">
        <f ca="1">IFERROR(__xludf.DUMMYFUNCTION("""COMPUTED_VALUE"""),2)</f>
        <v>2</v>
      </c>
      <c r="L92" s="1">
        <f ca="1">IFERROR(__xludf.DUMMYFUNCTION("""COMPUTED_VALUE"""),8)</f>
        <v>8</v>
      </c>
      <c r="M92" s="1">
        <f ca="1">IFERROR(__xludf.DUMMYFUNCTION("""COMPUTED_VALUE"""),8)</f>
        <v>8</v>
      </c>
      <c r="N92" s="1">
        <f ca="1">IFERROR(__xludf.DUMMYFUNCTION("""COMPUTED_VALUE"""),2813)</f>
        <v>2813</v>
      </c>
      <c r="O92" s="1">
        <f ca="1">IFERROR(__xludf.DUMMYFUNCTION("""COMPUTED_VALUE"""),2687)</f>
        <v>2687</v>
      </c>
      <c r="P92" s="1">
        <f ca="1">IFERROR(__xludf.DUMMYFUNCTION("""COMPUTED_VALUE"""),1455)</f>
        <v>1455</v>
      </c>
      <c r="Q92" s="1">
        <f ca="1">IFERROR(__xludf.DUMMYFUNCTION("""COMPUTED_VALUE"""),984)</f>
        <v>984</v>
      </c>
      <c r="R92" s="1">
        <f ca="1">IFERROR(__xludf.DUMMYFUNCTION("""COMPUTED_VALUE"""),2135)</f>
        <v>2135</v>
      </c>
      <c r="S92" s="1">
        <f ca="1">IFERROR(__xludf.DUMMYFUNCTION("""COMPUTED_VALUE"""),0.461)</f>
        <v>0.46100000000000002</v>
      </c>
      <c r="T92" s="1">
        <f ca="1">IFERROR(__xludf.DUMMYFUNCTION("""COMPUTED_VALUE"""),295)</f>
        <v>295</v>
      </c>
      <c r="U92" s="1">
        <f ca="1">IFERROR(__xludf.DUMMYFUNCTION("""COMPUTED_VALUE"""),779)</f>
        <v>779</v>
      </c>
      <c r="V92" s="1">
        <f ca="1">IFERROR(__xludf.DUMMYFUNCTION("""COMPUTED_VALUE"""),0.379)</f>
        <v>0.379</v>
      </c>
      <c r="W92" s="1">
        <f ca="1">IFERROR(__xludf.DUMMYFUNCTION("""COMPUTED_VALUE"""),550)</f>
        <v>550</v>
      </c>
      <c r="X92" s="1">
        <f ca="1">IFERROR(__xludf.DUMMYFUNCTION("""COMPUTED_VALUE"""),774)</f>
        <v>774</v>
      </c>
      <c r="Y92" s="1">
        <f ca="1">IFERROR(__xludf.DUMMYFUNCTION("""COMPUTED_VALUE"""),0.711)</f>
        <v>0.71099999999999997</v>
      </c>
      <c r="Z92" s="1">
        <f ca="1">IFERROR(__xludf.DUMMYFUNCTION("""COMPUTED_VALUE"""),376)</f>
        <v>376</v>
      </c>
      <c r="AA92" s="1">
        <f ca="1">IFERROR(__xludf.DUMMYFUNCTION("""COMPUTED_VALUE"""),1300)</f>
        <v>1300</v>
      </c>
      <c r="AB92" s="1">
        <f ca="1">IFERROR(__xludf.DUMMYFUNCTION("""COMPUTED_VALUE"""),447)</f>
        <v>447</v>
      </c>
      <c r="AC92" s="1">
        <f ca="1">IFERROR(__xludf.DUMMYFUNCTION("""COMPUTED_VALUE"""),240)</f>
        <v>240</v>
      </c>
      <c r="AD92" s="1">
        <f ca="1">IFERROR(__xludf.DUMMYFUNCTION("""COMPUTED_VALUE"""),136)</f>
        <v>136</v>
      </c>
      <c r="AE92" s="1">
        <f ca="1">IFERROR(__xludf.DUMMYFUNCTION("""COMPUTED_VALUE"""),462)</f>
        <v>462</v>
      </c>
      <c r="AF92" s="1">
        <f ca="1">IFERROR(__xludf.DUMMYFUNCTION("""COMPUTED_VALUE"""),724)</f>
        <v>724</v>
      </c>
    </row>
    <row r="93" spans="1:32" ht="12.5" x14ac:dyDescent="0.25">
      <c r="A93" s="1" t="str">
        <f ca="1">IFERROR(__xludf.DUMMYFUNCTION("""COMPUTED_VALUE"""),"Eastern Illinois")</f>
        <v>Eastern Illinois</v>
      </c>
      <c r="B93" s="1">
        <f ca="1">IFERROR(__xludf.DUMMYFUNCTION("""COMPUTED_VALUE"""),30)</f>
        <v>30</v>
      </c>
      <c r="C93" s="1">
        <f ca="1">IFERROR(__xludf.DUMMYFUNCTION("""COMPUTED_VALUE"""),13)</f>
        <v>13</v>
      </c>
      <c r="D93" s="1">
        <f ca="1">IFERROR(__xludf.DUMMYFUNCTION("""COMPUTED_VALUE"""),17)</f>
        <v>17</v>
      </c>
      <c r="E93" s="1">
        <f ca="1">IFERROR(__xludf.DUMMYFUNCTION("""COMPUTED_VALUE"""),0.433)</f>
        <v>0.433</v>
      </c>
      <c r="F93" s="1">
        <f ca="1">IFERROR(__xludf.DUMMYFUNCTION("""COMPUTED_VALUE"""),-8.35)</f>
        <v>-8.35</v>
      </c>
      <c r="G93" s="1">
        <f ca="1">IFERROR(__xludf.DUMMYFUNCTION("""COMPUTED_VALUE"""),-3.52)</f>
        <v>-3.52</v>
      </c>
      <c r="H93" s="1">
        <f ca="1">IFERROR(__xludf.DUMMYFUNCTION("""COMPUTED_VALUE"""),9)</f>
        <v>9</v>
      </c>
      <c r="I93" s="1">
        <f ca="1">IFERROR(__xludf.DUMMYFUNCTION("""COMPUTED_VALUE"""),7)</f>
        <v>7</v>
      </c>
      <c r="J93" s="1">
        <f ca="1">IFERROR(__xludf.DUMMYFUNCTION("""COMPUTED_VALUE"""),9)</f>
        <v>9</v>
      </c>
      <c r="K93" s="1">
        <f ca="1">IFERROR(__xludf.DUMMYFUNCTION("""COMPUTED_VALUE"""),5)</f>
        <v>5</v>
      </c>
      <c r="L93" s="1">
        <f ca="1">IFERROR(__xludf.DUMMYFUNCTION("""COMPUTED_VALUE"""),4)</f>
        <v>4</v>
      </c>
      <c r="M93" s="1">
        <f ca="1">IFERROR(__xludf.DUMMYFUNCTION("""COMPUTED_VALUE"""),9)</f>
        <v>9</v>
      </c>
      <c r="N93" s="1">
        <f ca="1">IFERROR(__xludf.DUMMYFUNCTION("""COMPUTED_VALUE"""),2145)</f>
        <v>2145</v>
      </c>
      <c r="O93" s="1">
        <f ca="1">IFERROR(__xludf.DUMMYFUNCTION("""COMPUTED_VALUE"""),2213)</f>
        <v>2213</v>
      </c>
      <c r="P93" s="1">
        <f ca="1">IFERROR(__xludf.DUMMYFUNCTION("""COMPUTED_VALUE"""),1220)</f>
        <v>1220</v>
      </c>
      <c r="Q93" s="1">
        <f ca="1">IFERROR(__xludf.DUMMYFUNCTION("""COMPUTED_VALUE"""),764)</f>
        <v>764</v>
      </c>
      <c r="R93" s="1">
        <f ca="1">IFERROR(__xludf.DUMMYFUNCTION("""COMPUTED_VALUE"""),1737)</f>
        <v>1737</v>
      </c>
      <c r="S93" s="1">
        <f ca="1">IFERROR(__xludf.DUMMYFUNCTION("""COMPUTED_VALUE"""),0.44)</f>
        <v>0.44</v>
      </c>
      <c r="T93" s="1">
        <f ca="1">IFERROR(__xludf.DUMMYFUNCTION("""COMPUTED_VALUE"""),232)</f>
        <v>232</v>
      </c>
      <c r="U93" s="1">
        <f ca="1">IFERROR(__xludf.DUMMYFUNCTION("""COMPUTED_VALUE"""),664)</f>
        <v>664</v>
      </c>
      <c r="V93" s="1">
        <f ca="1">IFERROR(__xludf.DUMMYFUNCTION("""COMPUTED_VALUE"""),0.349)</f>
        <v>0.34899999999999998</v>
      </c>
      <c r="W93" s="1">
        <f ca="1">IFERROR(__xludf.DUMMYFUNCTION("""COMPUTED_VALUE"""),385)</f>
        <v>385</v>
      </c>
      <c r="X93" s="1">
        <f ca="1">IFERROR(__xludf.DUMMYFUNCTION("""COMPUTED_VALUE"""),587)</f>
        <v>587</v>
      </c>
      <c r="Y93" s="1">
        <f ca="1">IFERROR(__xludf.DUMMYFUNCTION("""COMPUTED_VALUE"""),0.656)</f>
        <v>0.65600000000000003</v>
      </c>
      <c r="Z93" s="1">
        <f ca="1">IFERROR(__xludf.DUMMYFUNCTION("""COMPUTED_VALUE"""),299)</f>
        <v>299</v>
      </c>
      <c r="AA93" s="1">
        <f ca="1">IFERROR(__xludf.DUMMYFUNCTION("""COMPUTED_VALUE"""),1002)</f>
        <v>1002</v>
      </c>
      <c r="AB93" s="1">
        <f ca="1">IFERROR(__xludf.DUMMYFUNCTION("""COMPUTED_VALUE"""),417)</f>
        <v>417</v>
      </c>
      <c r="AC93" s="1">
        <f ca="1">IFERROR(__xludf.DUMMYFUNCTION("""COMPUTED_VALUE"""),177)</f>
        <v>177</v>
      </c>
      <c r="AD93" s="1">
        <f ca="1">IFERROR(__xludf.DUMMYFUNCTION("""COMPUTED_VALUE"""),68)</f>
        <v>68</v>
      </c>
      <c r="AE93" s="1">
        <f ca="1">IFERROR(__xludf.DUMMYFUNCTION("""COMPUTED_VALUE"""),364)</f>
        <v>364</v>
      </c>
      <c r="AF93" s="1">
        <f ca="1">IFERROR(__xludf.DUMMYFUNCTION("""COMPUTED_VALUE"""),583)</f>
        <v>583</v>
      </c>
    </row>
    <row r="94" spans="1:32" ht="12.5" x14ac:dyDescent="0.25">
      <c r="A94" s="1" t="str">
        <f ca="1">IFERROR(__xludf.DUMMYFUNCTION("""COMPUTED_VALUE"""),"Eastern Kentucky")</f>
        <v>Eastern Kentucky</v>
      </c>
      <c r="B94" s="1">
        <f ca="1">IFERROR(__xludf.DUMMYFUNCTION("""COMPUTED_VALUE"""),31)</f>
        <v>31</v>
      </c>
      <c r="C94" s="1">
        <f ca="1">IFERROR(__xludf.DUMMYFUNCTION("""COMPUTED_VALUE"""),15)</f>
        <v>15</v>
      </c>
      <c r="D94" s="1">
        <f ca="1">IFERROR(__xludf.DUMMYFUNCTION("""COMPUTED_VALUE"""),16)</f>
        <v>16</v>
      </c>
      <c r="E94" s="1">
        <f ca="1">IFERROR(__xludf.DUMMYFUNCTION("""COMPUTED_VALUE"""),0.484)</f>
        <v>0.48399999999999999</v>
      </c>
      <c r="F94" s="1">
        <f ca="1">IFERROR(__xludf.DUMMYFUNCTION("""COMPUTED_VALUE"""),-3.53)</f>
        <v>-3.53</v>
      </c>
      <c r="G94" s="1">
        <f ca="1">IFERROR(__xludf.DUMMYFUNCTION("""COMPUTED_VALUE"""),-3.86)</f>
        <v>-3.86</v>
      </c>
      <c r="H94" s="1">
        <f ca="1">IFERROR(__xludf.DUMMYFUNCTION("""COMPUTED_VALUE"""),6)</f>
        <v>6</v>
      </c>
      <c r="I94" s="1">
        <f ca="1">IFERROR(__xludf.DUMMYFUNCTION("""COMPUTED_VALUE"""),10)</f>
        <v>10</v>
      </c>
      <c r="J94" s="1">
        <f ca="1">IFERROR(__xludf.DUMMYFUNCTION("""COMPUTED_VALUE"""),10)</f>
        <v>10</v>
      </c>
      <c r="K94" s="1">
        <f ca="1">IFERROR(__xludf.DUMMYFUNCTION("""COMPUTED_VALUE"""),6)</f>
        <v>6</v>
      </c>
      <c r="L94" s="1">
        <f ca="1">IFERROR(__xludf.DUMMYFUNCTION("""COMPUTED_VALUE"""),5)</f>
        <v>5</v>
      </c>
      <c r="M94" s="1">
        <f ca="1">IFERROR(__xludf.DUMMYFUNCTION("""COMPUTED_VALUE"""),10)</f>
        <v>10</v>
      </c>
      <c r="N94" s="1">
        <f ca="1">IFERROR(__xludf.DUMMYFUNCTION("""COMPUTED_VALUE"""),2497)</f>
        <v>2497</v>
      </c>
      <c r="O94" s="1">
        <f ca="1">IFERROR(__xludf.DUMMYFUNCTION("""COMPUTED_VALUE"""),2453)</f>
        <v>2453</v>
      </c>
      <c r="P94" s="1">
        <f ca="1">IFERROR(__xludf.DUMMYFUNCTION("""COMPUTED_VALUE"""),1240)</f>
        <v>1240</v>
      </c>
      <c r="Q94" s="1">
        <f ca="1">IFERROR(__xludf.DUMMYFUNCTION("""COMPUTED_VALUE"""),864)</f>
        <v>864</v>
      </c>
      <c r="R94" s="1">
        <f ca="1">IFERROR(__xludf.DUMMYFUNCTION("""COMPUTED_VALUE"""),1760)</f>
        <v>1760</v>
      </c>
      <c r="S94" s="1">
        <f ca="1">IFERROR(__xludf.DUMMYFUNCTION("""COMPUTED_VALUE"""),0.491)</f>
        <v>0.49099999999999999</v>
      </c>
      <c r="T94" s="1">
        <f ca="1">IFERROR(__xludf.DUMMYFUNCTION("""COMPUTED_VALUE"""),258)</f>
        <v>258</v>
      </c>
      <c r="U94" s="1">
        <f ca="1">IFERROR(__xludf.DUMMYFUNCTION("""COMPUTED_VALUE"""),653)</f>
        <v>653</v>
      </c>
      <c r="V94" s="1">
        <f ca="1">IFERROR(__xludf.DUMMYFUNCTION("""COMPUTED_VALUE"""),0.395)</f>
        <v>0.39500000000000002</v>
      </c>
      <c r="W94" s="1">
        <f ca="1">IFERROR(__xludf.DUMMYFUNCTION("""COMPUTED_VALUE"""),511)</f>
        <v>511</v>
      </c>
      <c r="X94" s="1">
        <f ca="1">IFERROR(__xludf.DUMMYFUNCTION("""COMPUTED_VALUE"""),700)</f>
        <v>700</v>
      </c>
      <c r="Y94" s="1">
        <f ca="1">IFERROR(__xludf.DUMMYFUNCTION("""COMPUTED_VALUE"""),0.73)</f>
        <v>0.73</v>
      </c>
      <c r="Z94" s="1">
        <f ca="1">IFERROR(__xludf.DUMMYFUNCTION("""COMPUTED_VALUE"""),274)</f>
        <v>274</v>
      </c>
      <c r="AA94" s="1">
        <f ca="1">IFERROR(__xludf.DUMMYFUNCTION("""COMPUTED_VALUE"""),1004)</f>
        <v>1004</v>
      </c>
      <c r="AB94" s="1">
        <f ca="1">IFERROR(__xludf.DUMMYFUNCTION("""COMPUTED_VALUE"""),495)</f>
        <v>495</v>
      </c>
      <c r="AC94" s="1">
        <f ca="1">IFERROR(__xludf.DUMMYFUNCTION("""COMPUTED_VALUE"""),218)</f>
        <v>218</v>
      </c>
      <c r="AD94" s="1">
        <f ca="1">IFERROR(__xludf.DUMMYFUNCTION("""COMPUTED_VALUE"""),95)</f>
        <v>95</v>
      </c>
      <c r="AE94" s="1">
        <f ca="1">IFERROR(__xludf.DUMMYFUNCTION("""COMPUTED_VALUE"""),457)</f>
        <v>457</v>
      </c>
      <c r="AF94" s="1">
        <f ca="1">IFERROR(__xludf.DUMMYFUNCTION("""COMPUTED_VALUE"""),665)</f>
        <v>665</v>
      </c>
    </row>
    <row r="95" spans="1:32" ht="12.5" x14ac:dyDescent="0.25">
      <c r="A95" s="1" t="str">
        <f ca="1">IFERROR(__xludf.DUMMYFUNCTION("""COMPUTED_VALUE"""),"Eastern Michigan")</f>
        <v>Eastern Michigan</v>
      </c>
      <c r="B95" s="1">
        <f ca="1">IFERROR(__xludf.DUMMYFUNCTION("""COMPUTED_VALUE"""),33)</f>
        <v>33</v>
      </c>
      <c r="C95" s="1">
        <f ca="1">IFERROR(__xludf.DUMMYFUNCTION("""COMPUTED_VALUE"""),18)</f>
        <v>18</v>
      </c>
      <c r="D95" s="1">
        <f ca="1">IFERROR(__xludf.DUMMYFUNCTION("""COMPUTED_VALUE"""),15)</f>
        <v>15</v>
      </c>
      <c r="E95" s="1">
        <f ca="1">IFERROR(__xludf.DUMMYFUNCTION("""COMPUTED_VALUE"""),0.545)</f>
        <v>0.54500000000000004</v>
      </c>
      <c r="F95" s="1">
        <f ca="1">IFERROR(__xludf.DUMMYFUNCTION("""COMPUTED_VALUE"""),-0.14)</f>
        <v>-0.14000000000000001</v>
      </c>
      <c r="G95" s="1">
        <f ca="1">IFERROR(__xludf.DUMMYFUNCTION("""COMPUTED_VALUE"""),1.24)</f>
        <v>1.24</v>
      </c>
      <c r="H95" s="1">
        <f ca="1">IFERROR(__xludf.DUMMYFUNCTION("""COMPUTED_VALUE"""),9)</f>
        <v>9</v>
      </c>
      <c r="I95" s="1">
        <f ca="1">IFERROR(__xludf.DUMMYFUNCTION("""COMPUTED_VALUE"""),9)</f>
        <v>9</v>
      </c>
      <c r="J95" s="1">
        <f ca="1">IFERROR(__xludf.DUMMYFUNCTION("""COMPUTED_VALUE"""),14)</f>
        <v>14</v>
      </c>
      <c r="K95" s="1">
        <f ca="1">IFERROR(__xludf.DUMMYFUNCTION("""COMPUTED_VALUE"""),3)</f>
        <v>3</v>
      </c>
      <c r="L95" s="1">
        <f ca="1">IFERROR(__xludf.DUMMYFUNCTION("""COMPUTED_VALUE"""),4)</f>
        <v>4</v>
      </c>
      <c r="M95" s="1">
        <f ca="1">IFERROR(__xludf.DUMMYFUNCTION("""COMPUTED_VALUE"""),11)</f>
        <v>11</v>
      </c>
      <c r="N95" s="1">
        <f ca="1">IFERROR(__xludf.DUMMYFUNCTION("""COMPUTED_VALUE"""),2553)</f>
        <v>2553</v>
      </c>
      <c r="O95" s="1">
        <f ca="1">IFERROR(__xludf.DUMMYFUNCTION("""COMPUTED_VALUE"""),2460)</f>
        <v>2460</v>
      </c>
      <c r="P95" s="1">
        <f ca="1">IFERROR(__xludf.DUMMYFUNCTION("""COMPUTED_VALUE"""),1330)</f>
        <v>1330</v>
      </c>
      <c r="Q95" s="1">
        <f ca="1">IFERROR(__xludf.DUMMYFUNCTION("""COMPUTED_VALUE"""),875)</f>
        <v>875</v>
      </c>
      <c r="R95" s="1">
        <f ca="1">IFERROR(__xludf.DUMMYFUNCTION("""COMPUTED_VALUE"""),1961)</f>
        <v>1961</v>
      </c>
      <c r="S95" s="1">
        <f ca="1">IFERROR(__xludf.DUMMYFUNCTION("""COMPUTED_VALUE"""),0.446)</f>
        <v>0.44600000000000001</v>
      </c>
      <c r="T95" s="1">
        <f ca="1">IFERROR(__xludf.DUMMYFUNCTION("""COMPUTED_VALUE"""),187)</f>
        <v>187</v>
      </c>
      <c r="U95" s="1">
        <f ca="1">IFERROR(__xludf.DUMMYFUNCTION("""COMPUTED_VALUE"""),602)</f>
        <v>602</v>
      </c>
      <c r="V95" s="1">
        <f ca="1">IFERROR(__xludf.DUMMYFUNCTION("""COMPUTED_VALUE"""),0.311)</f>
        <v>0.311</v>
      </c>
      <c r="W95" s="1">
        <f ca="1">IFERROR(__xludf.DUMMYFUNCTION("""COMPUTED_VALUE"""),616)</f>
        <v>616</v>
      </c>
      <c r="X95" s="1">
        <f ca="1">IFERROR(__xludf.DUMMYFUNCTION("""COMPUTED_VALUE"""),854)</f>
        <v>854</v>
      </c>
      <c r="Y95" s="1">
        <f ca="1">IFERROR(__xludf.DUMMYFUNCTION("""COMPUTED_VALUE"""),0.721)</f>
        <v>0.72099999999999997</v>
      </c>
      <c r="Z95" s="1">
        <f ca="1">IFERROR(__xludf.DUMMYFUNCTION("""COMPUTED_VALUE"""),387)</f>
        <v>387</v>
      </c>
      <c r="AA95" s="1">
        <f ca="1">IFERROR(__xludf.DUMMYFUNCTION("""COMPUTED_VALUE"""),1194)</f>
        <v>1194</v>
      </c>
      <c r="AB95" s="1">
        <f ca="1">IFERROR(__xludf.DUMMYFUNCTION("""COMPUTED_VALUE"""),379)</f>
        <v>379</v>
      </c>
      <c r="AC95" s="1">
        <f ca="1">IFERROR(__xludf.DUMMYFUNCTION("""COMPUTED_VALUE"""),312)</f>
        <v>312</v>
      </c>
      <c r="AD95" s="1">
        <f ca="1">IFERROR(__xludf.DUMMYFUNCTION("""COMPUTED_VALUE"""),122)</f>
        <v>122</v>
      </c>
      <c r="AE95" s="1">
        <f ca="1">IFERROR(__xludf.DUMMYFUNCTION("""COMPUTED_VALUE"""),425)</f>
        <v>425</v>
      </c>
      <c r="AF95" s="1">
        <f ca="1">IFERROR(__xludf.DUMMYFUNCTION("""COMPUTED_VALUE"""),674)</f>
        <v>674</v>
      </c>
    </row>
    <row r="96" spans="1:32" ht="12.5" x14ac:dyDescent="0.25">
      <c r="A96" s="1" t="str">
        <f ca="1">IFERROR(__xludf.DUMMYFUNCTION("""COMPUTED_VALUE"""),"Eastern Washington")</f>
        <v>Eastern Washington</v>
      </c>
      <c r="B96" s="1">
        <f ca="1">IFERROR(__xludf.DUMMYFUNCTION("""COMPUTED_VALUE"""),34)</f>
        <v>34</v>
      </c>
      <c r="C96" s="1">
        <f ca="1">IFERROR(__xludf.DUMMYFUNCTION("""COMPUTED_VALUE"""),18)</f>
        <v>18</v>
      </c>
      <c r="D96" s="1">
        <f ca="1">IFERROR(__xludf.DUMMYFUNCTION("""COMPUTED_VALUE"""),16)</f>
        <v>16</v>
      </c>
      <c r="E96" s="1">
        <f ca="1">IFERROR(__xludf.DUMMYFUNCTION("""COMPUTED_VALUE"""),0.529)</f>
        <v>0.52900000000000003</v>
      </c>
      <c r="F96" s="1">
        <f ca="1">IFERROR(__xludf.DUMMYFUNCTION("""COMPUTED_VALUE"""),-4.47)</f>
        <v>-4.47</v>
      </c>
      <c r="G96" s="1">
        <f ca="1">IFERROR(__xludf.DUMMYFUNCTION("""COMPUTED_VALUE"""),-6.03)</f>
        <v>-6.03</v>
      </c>
      <c r="H96" s="1">
        <f ca="1">IFERROR(__xludf.DUMMYFUNCTION("""COMPUTED_VALUE"""),10)</f>
        <v>10</v>
      </c>
      <c r="I96" s="1">
        <f ca="1">IFERROR(__xludf.DUMMYFUNCTION("""COMPUTED_VALUE"""),8)</f>
        <v>8</v>
      </c>
      <c r="J96" s="1">
        <f ca="1">IFERROR(__xludf.DUMMYFUNCTION("""COMPUTED_VALUE"""),11)</f>
        <v>11</v>
      </c>
      <c r="K96" s="1">
        <f ca="1">IFERROR(__xludf.DUMMYFUNCTION("""COMPUTED_VALUE"""),2)</f>
        <v>2</v>
      </c>
      <c r="L96" s="1">
        <f ca="1">IFERROR(__xludf.DUMMYFUNCTION("""COMPUTED_VALUE"""),5)</f>
        <v>5</v>
      </c>
      <c r="M96" s="1">
        <f ca="1">IFERROR(__xludf.DUMMYFUNCTION("""COMPUTED_VALUE"""),12)</f>
        <v>12</v>
      </c>
      <c r="N96" s="1">
        <f ca="1">IFERROR(__xludf.DUMMYFUNCTION("""COMPUTED_VALUE"""),2769)</f>
        <v>2769</v>
      </c>
      <c r="O96" s="1">
        <f ca="1">IFERROR(__xludf.DUMMYFUNCTION("""COMPUTED_VALUE"""),2617)</f>
        <v>2617</v>
      </c>
      <c r="P96" s="1">
        <f ca="1">IFERROR(__xludf.DUMMYFUNCTION("""COMPUTED_VALUE"""),1360)</f>
        <v>1360</v>
      </c>
      <c r="Q96" s="1">
        <f ca="1">IFERROR(__xludf.DUMMYFUNCTION("""COMPUTED_VALUE"""),961)</f>
        <v>961</v>
      </c>
      <c r="R96" s="1">
        <f ca="1">IFERROR(__xludf.DUMMYFUNCTION("""COMPUTED_VALUE"""),1989)</f>
        <v>1989</v>
      </c>
      <c r="S96" s="1">
        <f ca="1">IFERROR(__xludf.DUMMYFUNCTION("""COMPUTED_VALUE"""),0.483)</f>
        <v>0.48299999999999998</v>
      </c>
      <c r="T96" s="1">
        <f ca="1">IFERROR(__xludf.DUMMYFUNCTION("""COMPUTED_VALUE"""),356)</f>
        <v>356</v>
      </c>
      <c r="U96" s="1">
        <f ca="1">IFERROR(__xludf.DUMMYFUNCTION("""COMPUTED_VALUE"""),924)</f>
        <v>924</v>
      </c>
      <c r="V96" s="1">
        <f ca="1">IFERROR(__xludf.DUMMYFUNCTION("""COMPUTED_VALUE"""),0.385)</f>
        <v>0.38500000000000001</v>
      </c>
      <c r="W96" s="1">
        <f ca="1">IFERROR(__xludf.DUMMYFUNCTION("""COMPUTED_VALUE"""),491)</f>
        <v>491</v>
      </c>
      <c r="X96" s="1">
        <f ca="1">IFERROR(__xludf.DUMMYFUNCTION("""COMPUTED_VALUE"""),719)</f>
        <v>719</v>
      </c>
      <c r="Y96" s="1">
        <f ca="1">IFERROR(__xludf.DUMMYFUNCTION("""COMPUTED_VALUE"""),0.683)</f>
        <v>0.68300000000000005</v>
      </c>
      <c r="Z96" s="1">
        <f ca="1">IFERROR(__xludf.DUMMYFUNCTION("""COMPUTED_VALUE"""),319)</f>
        <v>319</v>
      </c>
      <c r="AA96" s="1">
        <f ca="1">IFERROR(__xludf.DUMMYFUNCTION("""COMPUTED_VALUE"""),1133)</f>
        <v>1133</v>
      </c>
      <c r="AB96" s="1">
        <f ca="1">IFERROR(__xludf.DUMMYFUNCTION("""COMPUTED_VALUE"""),449)</f>
        <v>449</v>
      </c>
      <c r="AC96" s="1">
        <f ca="1">IFERROR(__xludf.DUMMYFUNCTION("""COMPUTED_VALUE"""),202)</f>
        <v>202</v>
      </c>
      <c r="AD96" s="1">
        <f ca="1">IFERROR(__xludf.DUMMYFUNCTION("""COMPUTED_VALUE"""),129)</f>
        <v>129</v>
      </c>
      <c r="AE96" s="1">
        <f ca="1">IFERROR(__xludf.DUMMYFUNCTION("""COMPUTED_VALUE"""),381)</f>
        <v>381</v>
      </c>
      <c r="AF96" s="1">
        <f ca="1">IFERROR(__xludf.DUMMYFUNCTION("""COMPUTED_VALUE"""),658)</f>
        <v>658</v>
      </c>
    </row>
    <row r="97" spans="1:32" ht="12.5" x14ac:dyDescent="0.25">
      <c r="A97" s="1" t="str">
        <f ca="1">IFERROR(__xludf.DUMMYFUNCTION("""COMPUTED_VALUE"""),"Elon")</f>
        <v>Elon</v>
      </c>
      <c r="B97" s="1">
        <f ca="1">IFERROR(__xludf.DUMMYFUNCTION("""COMPUTED_VALUE"""),32)</f>
        <v>32</v>
      </c>
      <c r="C97" s="1">
        <f ca="1">IFERROR(__xludf.DUMMYFUNCTION("""COMPUTED_VALUE"""),16)</f>
        <v>16</v>
      </c>
      <c r="D97" s="1">
        <f ca="1">IFERROR(__xludf.DUMMYFUNCTION("""COMPUTED_VALUE"""),16)</f>
        <v>16</v>
      </c>
      <c r="E97" s="1">
        <f ca="1">IFERROR(__xludf.DUMMYFUNCTION("""COMPUTED_VALUE"""),0.5)</f>
        <v>0.5</v>
      </c>
      <c r="F97" s="1">
        <f ca="1">IFERROR(__xludf.DUMMYFUNCTION("""COMPUTED_VALUE"""),-0.67)</f>
        <v>-0.67</v>
      </c>
      <c r="G97" s="1">
        <f ca="1">IFERROR(__xludf.DUMMYFUNCTION("""COMPUTED_VALUE"""),0.66)</f>
        <v>0.66</v>
      </c>
      <c r="H97" s="1">
        <f ca="1">IFERROR(__xludf.DUMMYFUNCTION("""COMPUTED_VALUE"""),7)</f>
        <v>7</v>
      </c>
      <c r="I97" s="1">
        <f ca="1">IFERROR(__xludf.DUMMYFUNCTION("""COMPUTED_VALUE"""),11)</f>
        <v>11</v>
      </c>
      <c r="J97" s="1">
        <f ca="1">IFERROR(__xludf.DUMMYFUNCTION("""COMPUTED_VALUE"""),8)</f>
        <v>8</v>
      </c>
      <c r="K97" s="1">
        <f ca="1">IFERROR(__xludf.DUMMYFUNCTION("""COMPUTED_VALUE"""),8)</f>
        <v>8</v>
      </c>
      <c r="L97" s="1">
        <f ca="1">IFERROR(__xludf.DUMMYFUNCTION("""COMPUTED_VALUE"""),8)</f>
        <v>8</v>
      </c>
      <c r="M97" s="1">
        <f ca="1">IFERROR(__xludf.DUMMYFUNCTION("""COMPUTED_VALUE"""),7)</f>
        <v>7</v>
      </c>
      <c r="N97" s="1">
        <f ca="1">IFERROR(__xludf.DUMMYFUNCTION("""COMPUTED_VALUE"""),2429)</f>
        <v>2429</v>
      </c>
      <c r="O97" s="1">
        <f ca="1">IFERROR(__xludf.DUMMYFUNCTION("""COMPUTED_VALUE"""),2413)</f>
        <v>2413</v>
      </c>
      <c r="P97" s="1">
        <f ca="1">IFERROR(__xludf.DUMMYFUNCTION("""COMPUTED_VALUE"""),1285)</f>
        <v>1285</v>
      </c>
      <c r="Q97" s="1">
        <f ca="1">IFERROR(__xludf.DUMMYFUNCTION("""COMPUTED_VALUE"""),865)</f>
        <v>865</v>
      </c>
      <c r="R97" s="1">
        <f ca="1">IFERROR(__xludf.DUMMYFUNCTION("""COMPUTED_VALUE"""),1942)</f>
        <v>1942</v>
      </c>
      <c r="S97" s="1">
        <f ca="1">IFERROR(__xludf.DUMMYFUNCTION("""COMPUTED_VALUE"""),0.445)</f>
        <v>0.44500000000000001</v>
      </c>
      <c r="T97" s="1">
        <f ca="1">IFERROR(__xludf.DUMMYFUNCTION("""COMPUTED_VALUE"""),303)</f>
        <v>303</v>
      </c>
      <c r="U97" s="1">
        <f ca="1">IFERROR(__xludf.DUMMYFUNCTION("""COMPUTED_VALUE"""),885)</f>
        <v>885</v>
      </c>
      <c r="V97" s="1">
        <f ca="1">IFERROR(__xludf.DUMMYFUNCTION("""COMPUTED_VALUE"""),0.342)</f>
        <v>0.34200000000000003</v>
      </c>
      <c r="W97" s="1">
        <f ca="1">IFERROR(__xludf.DUMMYFUNCTION("""COMPUTED_VALUE"""),396)</f>
        <v>396</v>
      </c>
      <c r="X97" s="1">
        <f ca="1">IFERROR(__xludf.DUMMYFUNCTION("""COMPUTED_VALUE"""),599)</f>
        <v>599</v>
      </c>
      <c r="Y97" s="1">
        <f ca="1">IFERROR(__xludf.DUMMYFUNCTION("""COMPUTED_VALUE"""),0.661)</f>
        <v>0.66100000000000003</v>
      </c>
      <c r="Z97" s="1">
        <f ca="1">IFERROR(__xludf.DUMMYFUNCTION("""COMPUTED_VALUE"""),335)</f>
        <v>335</v>
      </c>
      <c r="AA97" s="1">
        <f ca="1">IFERROR(__xludf.DUMMYFUNCTION("""COMPUTED_VALUE"""),1185)</f>
        <v>1185</v>
      </c>
      <c r="AB97" s="1">
        <f ca="1">IFERROR(__xludf.DUMMYFUNCTION("""COMPUTED_VALUE"""),488)</f>
        <v>488</v>
      </c>
      <c r="AC97" s="1">
        <f ca="1">IFERROR(__xludf.DUMMYFUNCTION("""COMPUTED_VALUE"""),176)</f>
        <v>176</v>
      </c>
      <c r="AD97" s="1">
        <f ca="1">IFERROR(__xludf.DUMMYFUNCTION("""COMPUTED_VALUE"""),72)</f>
        <v>72</v>
      </c>
      <c r="AE97" s="1">
        <f ca="1">IFERROR(__xludf.DUMMYFUNCTION("""COMPUTED_VALUE"""),411)</f>
        <v>411</v>
      </c>
      <c r="AF97" s="1">
        <f ca="1">IFERROR(__xludf.DUMMYFUNCTION("""COMPUTED_VALUE"""),607)</f>
        <v>607</v>
      </c>
    </row>
    <row r="98" spans="1:32" ht="12.5" x14ac:dyDescent="0.25">
      <c r="A98" s="1" t="str">
        <f ca="1">IFERROR(__xludf.DUMMYFUNCTION("""COMPUTED_VALUE"""),"Evansville")</f>
        <v>Evansville</v>
      </c>
      <c r="B98" s="1">
        <f ca="1">IFERROR(__xludf.DUMMYFUNCTION("""COMPUTED_VALUE"""),34)</f>
        <v>34</v>
      </c>
      <c r="C98" s="1">
        <f ca="1">IFERROR(__xludf.DUMMYFUNCTION("""COMPUTED_VALUE"""),25)</f>
        <v>25</v>
      </c>
      <c r="D98" s="1">
        <f ca="1">IFERROR(__xludf.DUMMYFUNCTION("""COMPUTED_VALUE"""),9)</f>
        <v>9</v>
      </c>
      <c r="E98" s="1">
        <f ca="1">IFERROR(__xludf.DUMMYFUNCTION("""COMPUTED_VALUE"""),0.735)</f>
        <v>0.73499999999999999</v>
      </c>
      <c r="F98" s="1">
        <f ca="1">IFERROR(__xludf.DUMMYFUNCTION("""COMPUTED_VALUE"""),8.1)</f>
        <v>8.1</v>
      </c>
      <c r="G98" s="1">
        <f ca="1">IFERROR(__xludf.DUMMYFUNCTION("""COMPUTED_VALUE"""),-0.39)</f>
        <v>-0.39</v>
      </c>
      <c r="H98" s="1">
        <f ca="1">IFERROR(__xludf.DUMMYFUNCTION("""COMPUTED_VALUE"""),12)</f>
        <v>12</v>
      </c>
      <c r="I98" s="1">
        <f ca="1">IFERROR(__xludf.DUMMYFUNCTION("""COMPUTED_VALUE"""),6)</f>
        <v>6</v>
      </c>
      <c r="J98" s="1">
        <f ca="1">IFERROR(__xludf.DUMMYFUNCTION("""COMPUTED_VALUE"""),13)</f>
        <v>13</v>
      </c>
      <c r="K98" s="1">
        <f ca="1">IFERROR(__xludf.DUMMYFUNCTION("""COMPUTED_VALUE"""),3)</f>
        <v>3</v>
      </c>
      <c r="L98" s="1">
        <f ca="1">IFERROR(__xludf.DUMMYFUNCTION("""COMPUTED_VALUE"""),8)</f>
        <v>8</v>
      </c>
      <c r="M98" s="1">
        <f ca="1">IFERROR(__xludf.DUMMYFUNCTION("""COMPUTED_VALUE"""),4)</f>
        <v>4</v>
      </c>
      <c r="N98" s="1">
        <f ca="1">IFERROR(__xludf.DUMMYFUNCTION("""COMPUTED_VALUE"""),2526)</f>
        <v>2526</v>
      </c>
      <c r="O98" s="1">
        <f ca="1">IFERROR(__xludf.DUMMYFUNCTION("""COMPUTED_VALUE"""),2221)</f>
        <v>2221</v>
      </c>
      <c r="P98" s="1">
        <f ca="1">IFERROR(__xludf.DUMMYFUNCTION("""COMPUTED_VALUE"""),1370)</f>
        <v>1370</v>
      </c>
      <c r="Q98" s="1">
        <f ca="1">IFERROR(__xludf.DUMMYFUNCTION("""COMPUTED_VALUE"""),879)</f>
        <v>879</v>
      </c>
      <c r="R98" s="1">
        <f ca="1">IFERROR(__xludf.DUMMYFUNCTION("""COMPUTED_VALUE"""),1795)</f>
        <v>1795</v>
      </c>
      <c r="S98" s="1">
        <f ca="1">IFERROR(__xludf.DUMMYFUNCTION("""COMPUTED_VALUE"""),0.49)</f>
        <v>0.49</v>
      </c>
      <c r="T98" s="1">
        <f ca="1">IFERROR(__xludf.DUMMYFUNCTION("""COMPUTED_VALUE"""),158)</f>
        <v>158</v>
      </c>
      <c r="U98" s="1">
        <f ca="1">IFERROR(__xludf.DUMMYFUNCTION("""COMPUTED_VALUE"""),448)</f>
        <v>448</v>
      </c>
      <c r="V98" s="1">
        <f ca="1">IFERROR(__xludf.DUMMYFUNCTION("""COMPUTED_VALUE"""),0.353)</f>
        <v>0.35299999999999998</v>
      </c>
      <c r="W98" s="1">
        <f ca="1">IFERROR(__xludf.DUMMYFUNCTION("""COMPUTED_VALUE"""),610)</f>
        <v>610</v>
      </c>
      <c r="X98" s="1">
        <f ca="1">IFERROR(__xludf.DUMMYFUNCTION("""COMPUTED_VALUE"""),843)</f>
        <v>843</v>
      </c>
      <c r="Y98" s="1">
        <f ca="1">IFERROR(__xludf.DUMMYFUNCTION("""COMPUTED_VALUE"""),0.724)</f>
        <v>0.72399999999999998</v>
      </c>
      <c r="Z98" s="1">
        <f ca="1">IFERROR(__xludf.DUMMYFUNCTION("""COMPUTED_VALUE"""),260)</f>
        <v>260</v>
      </c>
      <c r="AA98" s="1">
        <f ca="1">IFERROR(__xludf.DUMMYFUNCTION("""COMPUTED_VALUE"""),1202)</f>
        <v>1202</v>
      </c>
      <c r="AB98" s="1">
        <f ca="1">IFERROR(__xludf.DUMMYFUNCTION("""COMPUTED_VALUE"""),595)</f>
        <v>595</v>
      </c>
      <c r="AC98" s="1">
        <f ca="1">IFERROR(__xludf.DUMMYFUNCTION("""COMPUTED_VALUE"""),178)</f>
        <v>178</v>
      </c>
      <c r="AD98" s="1">
        <f ca="1">IFERROR(__xludf.DUMMYFUNCTION("""COMPUTED_VALUE"""),147)</f>
        <v>147</v>
      </c>
      <c r="AE98" s="1">
        <f ca="1">IFERROR(__xludf.DUMMYFUNCTION("""COMPUTED_VALUE"""),426)</f>
        <v>426</v>
      </c>
      <c r="AF98" s="1">
        <f ca="1">IFERROR(__xludf.DUMMYFUNCTION("""COMPUTED_VALUE"""),601)</f>
        <v>601</v>
      </c>
    </row>
    <row r="99" spans="1:32" ht="12.5" x14ac:dyDescent="0.25">
      <c r="A99" s="1" t="str">
        <f ca="1">IFERROR(__xludf.DUMMYFUNCTION("""COMPUTED_VALUE"""),"Fairfield")</f>
        <v>Fairfield</v>
      </c>
      <c r="B99" s="1">
        <f ca="1">IFERROR(__xludf.DUMMYFUNCTION("""COMPUTED_VALUE"""),33)</f>
        <v>33</v>
      </c>
      <c r="C99" s="1">
        <f ca="1">IFERROR(__xludf.DUMMYFUNCTION("""COMPUTED_VALUE"""),19)</f>
        <v>19</v>
      </c>
      <c r="D99" s="1">
        <f ca="1">IFERROR(__xludf.DUMMYFUNCTION("""COMPUTED_VALUE"""),14)</f>
        <v>14</v>
      </c>
      <c r="E99" s="1">
        <f ca="1">IFERROR(__xludf.DUMMYFUNCTION("""COMPUTED_VALUE"""),0.576)</f>
        <v>0.57599999999999996</v>
      </c>
      <c r="F99" s="1">
        <f ca="1">IFERROR(__xludf.DUMMYFUNCTION("""COMPUTED_VALUE"""),-3.84)</f>
        <v>-3.84</v>
      </c>
      <c r="G99" s="1">
        <f ca="1">IFERROR(__xludf.DUMMYFUNCTION("""COMPUTED_VALUE"""),-3.14)</f>
        <v>-3.14</v>
      </c>
      <c r="H99" s="1">
        <f ca="1">IFERROR(__xludf.DUMMYFUNCTION("""COMPUTED_VALUE"""),12)</f>
        <v>12</v>
      </c>
      <c r="I99" s="1">
        <f ca="1">IFERROR(__xludf.DUMMYFUNCTION("""COMPUTED_VALUE"""),8)</f>
        <v>8</v>
      </c>
      <c r="J99" s="1">
        <f ca="1">IFERROR(__xludf.DUMMYFUNCTION("""COMPUTED_VALUE"""),11)</f>
        <v>11</v>
      </c>
      <c r="K99" s="1">
        <f ca="1">IFERROR(__xludf.DUMMYFUNCTION("""COMPUTED_VALUE"""),5)</f>
        <v>5</v>
      </c>
      <c r="L99" s="1">
        <f ca="1">IFERROR(__xludf.DUMMYFUNCTION("""COMPUTED_VALUE"""),7)</f>
        <v>7</v>
      </c>
      <c r="M99" s="1">
        <f ca="1">IFERROR(__xludf.DUMMYFUNCTION("""COMPUTED_VALUE"""),7)</f>
        <v>7</v>
      </c>
      <c r="N99" s="1">
        <f ca="1">IFERROR(__xludf.DUMMYFUNCTION("""COMPUTED_VALUE"""),2522)</f>
        <v>2522</v>
      </c>
      <c r="O99" s="1">
        <f ca="1">IFERROR(__xludf.DUMMYFUNCTION("""COMPUTED_VALUE"""),2545)</f>
        <v>2545</v>
      </c>
      <c r="P99" s="1">
        <f ca="1">IFERROR(__xludf.DUMMYFUNCTION("""COMPUTED_VALUE"""),1345)</f>
        <v>1345</v>
      </c>
      <c r="Q99" s="1">
        <f ca="1">IFERROR(__xludf.DUMMYFUNCTION("""COMPUTED_VALUE"""),875)</f>
        <v>875</v>
      </c>
      <c r="R99" s="1">
        <f ca="1">IFERROR(__xludf.DUMMYFUNCTION("""COMPUTED_VALUE"""),1991)</f>
        <v>1991</v>
      </c>
      <c r="S99" s="1">
        <f ca="1">IFERROR(__xludf.DUMMYFUNCTION("""COMPUTED_VALUE"""),0.439)</f>
        <v>0.439</v>
      </c>
      <c r="T99" s="1">
        <f ca="1">IFERROR(__xludf.DUMMYFUNCTION("""COMPUTED_VALUE"""),293)</f>
        <v>293</v>
      </c>
      <c r="U99" s="1">
        <f ca="1">IFERROR(__xludf.DUMMYFUNCTION("""COMPUTED_VALUE"""),827)</f>
        <v>827</v>
      </c>
      <c r="V99" s="1">
        <f ca="1">IFERROR(__xludf.DUMMYFUNCTION("""COMPUTED_VALUE"""),0.354)</f>
        <v>0.35399999999999998</v>
      </c>
      <c r="W99" s="1">
        <f ca="1">IFERROR(__xludf.DUMMYFUNCTION("""COMPUTED_VALUE"""),479)</f>
        <v>479</v>
      </c>
      <c r="X99" s="1">
        <f ca="1">IFERROR(__xludf.DUMMYFUNCTION("""COMPUTED_VALUE"""),650)</f>
        <v>650</v>
      </c>
      <c r="Y99" s="1">
        <f ca="1">IFERROR(__xludf.DUMMYFUNCTION("""COMPUTED_VALUE"""),0.737)</f>
        <v>0.73699999999999999</v>
      </c>
      <c r="Z99" s="1">
        <f ca="1">IFERROR(__xludf.DUMMYFUNCTION("""COMPUTED_VALUE"""),298)</f>
        <v>298</v>
      </c>
      <c r="AA99" s="1">
        <f ca="1">IFERROR(__xludf.DUMMYFUNCTION("""COMPUTED_VALUE"""),1146)</f>
        <v>1146</v>
      </c>
      <c r="AB99" s="1">
        <f ca="1">IFERROR(__xludf.DUMMYFUNCTION("""COMPUTED_VALUE"""),503)</f>
        <v>503</v>
      </c>
      <c r="AC99" s="1">
        <f ca="1">IFERROR(__xludf.DUMMYFUNCTION("""COMPUTED_VALUE"""),213)</f>
        <v>213</v>
      </c>
      <c r="AD99" s="1">
        <f ca="1">IFERROR(__xludf.DUMMYFUNCTION("""COMPUTED_VALUE"""),135)</f>
        <v>135</v>
      </c>
      <c r="AE99" s="1">
        <f ca="1">IFERROR(__xludf.DUMMYFUNCTION("""COMPUTED_VALUE"""),427)</f>
        <v>427</v>
      </c>
      <c r="AF99" s="1">
        <f ca="1">IFERROR(__xludf.DUMMYFUNCTION("""COMPUTED_VALUE"""),633)</f>
        <v>633</v>
      </c>
    </row>
    <row r="100" spans="1:32" ht="12.5" x14ac:dyDescent="0.25">
      <c r="A100" s="1" t="str">
        <f ca="1">IFERROR(__xludf.DUMMYFUNCTION("""COMPUTED_VALUE"""),"Fairleigh DickinsonNCAA")</f>
        <v>Fairleigh DickinsonNCAA</v>
      </c>
      <c r="B100" s="1">
        <f ca="1">IFERROR(__xludf.DUMMYFUNCTION("""COMPUTED_VALUE"""),33)</f>
        <v>33</v>
      </c>
      <c r="C100" s="1">
        <f ca="1">IFERROR(__xludf.DUMMYFUNCTION("""COMPUTED_VALUE"""),18)</f>
        <v>18</v>
      </c>
      <c r="D100" s="1">
        <f ca="1">IFERROR(__xludf.DUMMYFUNCTION("""COMPUTED_VALUE"""),15)</f>
        <v>15</v>
      </c>
      <c r="E100" s="1">
        <f ca="1">IFERROR(__xludf.DUMMYFUNCTION("""COMPUTED_VALUE"""),0.545)</f>
        <v>0.54500000000000004</v>
      </c>
      <c r="F100" s="1">
        <f ca="1">IFERROR(__xludf.DUMMYFUNCTION("""COMPUTED_VALUE"""),-10.9)</f>
        <v>-10.9</v>
      </c>
      <c r="G100" s="1">
        <f ca="1">IFERROR(__xludf.DUMMYFUNCTION("""COMPUTED_VALUE"""),-8.31)</f>
        <v>-8.31</v>
      </c>
      <c r="H100" s="1">
        <f ca="1">IFERROR(__xludf.DUMMYFUNCTION("""COMPUTED_VALUE"""),11)</f>
        <v>11</v>
      </c>
      <c r="I100" s="1">
        <f ca="1">IFERROR(__xludf.DUMMYFUNCTION("""COMPUTED_VALUE"""),7)</f>
        <v>7</v>
      </c>
      <c r="J100" s="1">
        <f ca="1">IFERROR(__xludf.DUMMYFUNCTION("""COMPUTED_VALUE"""),9)</f>
        <v>9</v>
      </c>
      <c r="K100" s="1">
        <f ca="1">IFERROR(__xludf.DUMMYFUNCTION("""COMPUTED_VALUE"""),6)</f>
        <v>6</v>
      </c>
      <c r="L100" s="1">
        <f ca="1">IFERROR(__xludf.DUMMYFUNCTION("""COMPUTED_VALUE"""),9)</f>
        <v>9</v>
      </c>
      <c r="M100" s="1">
        <f ca="1">IFERROR(__xludf.DUMMYFUNCTION("""COMPUTED_VALUE"""),8)</f>
        <v>8</v>
      </c>
      <c r="N100" s="1">
        <f ca="1">IFERROR(__xludf.DUMMYFUNCTION("""COMPUTED_VALUE"""),2558)</f>
        <v>2558</v>
      </c>
      <c r="O100" s="1">
        <f ca="1">IFERROR(__xludf.DUMMYFUNCTION("""COMPUTED_VALUE"""),2600)</f>
        <v>2600</v>
      </c>
      <c r="P100" s="1">
        <f ca="1">IFERROR(__xludf.DUMMYFUNCTION("""COMPUTED_VALUE"""),1335)</f>
        <v>1335</v>
      </c>
      <c r="Q100" s="1">
        <f ca="1">IFERROR(__xludf.DUMMYFUNCTION("""COMPUTED_VALUE"""),929)</f>
        <v>929</v>
      </c>
      <c r="R100" s="1">
        <f ca="1">IFERROR(__xludf.DUMMYFUNCTION("""COMPUTED_VALUE"""),2029)</f>
        <v>2029</v>
      </c>
      <c r="S100" s="1">
        <f ca="1">IFERROR(__xludf.DUMMYFUNCTION("""COMPUTED_VALUE"""),0.458)</f>
        <v>0.45800000000000002</v>
      </c>
      <c r="T100" s="1">
        <f ca="1">IFERROR(__xludf.DUMMYFUNCTION("""COMPUTED_VALUE"""),238)</f>
        <v>238</v>
      </c>
      <c r="U100" s="1">
        <f ca="1">IFERROR(__xludf.DUMMYFUNCTION("""COMPUTED_VALUE"""),657)</f>
        <v>657</v>
      </c>
      <c r="V100" s="1">
        <f ca="1">IFERROR(__xludf.DUMMYFUNCTION("""COMPUTED_VALUE"""),0.362)</f>
        <v>0.36199999999999999</v>
      </c>
      <c r="W100" s="1">
        <f ca="1">IFERROR(__xludf.DUMMYFUNCTION("""COMPUTED_VALUE"""),462)</f>
        <v>462</v>
      </c>
      <c r="X100" s="1">
        <f ca="1">IFERROR(__xludf.DUMMYFUNCTION("""COMPUTED_VALUE"""),663)</f>
        <v>663</v>
      </c>
      <c r="Y100" s="1">
        <f ca="1">IFERROR(__xludf.DUMMYFUNCTION("""COMPUTED_VALUE"""),0.697)</f>
        <v>0.69699999999999995</v>
      </c>
      <c r="Z100" s="1">
        <f ca="1">IFERROR(__xludf.DUMMYFUNCTION("""COMPUTED_VALUE"""),348)</f>
        <v>348</v>
      </c>
      <c r="AA100" s="1">
        <f ca="1">IFERROR(__xludf.DUMMYFUNCTION("""COMPUTED_VALUE"""),1108)</f>
        <v>1108</v>
      </c>
      <c r="AB100" s="1">
        <f ca="1">IFERROR(__xludf.DUMMYFUNCTION("""COMPUTED_VALUE"""),472)</f>
        <v>472</v>
      </c>
      <c r="AC100" s="1">
        <f ca="1">IFERROR(__xludf.DUMMYFUNCTION("""COMPUTED_VALUE"""),250)</f>
        <v>250</v>
      </c>
      <c r="AD100" s="1">
        <f ca="1">IFERROR(__xludf.DUMMYFUNCTION("""COMPUTED_VALUE"""),87)</f>
        <v>87</v>
      </c>
      <c r="AE100" s="1">
        <f ca="1">IFERROR(__xludf.DUMMYFUNCTION("""COMPUTED_VALUE"""),423)</f>
        <v>423</v>
      </c>
      <c r="AF100" s="1">
        <f ca="1">IFERROR(__xludf.DUMMYFUNCTION("""COMPUTED_VALUE"""),720)</f>
        <v>720</v>
      </c>
    </row>
    <row r="101" spans="1:32" ht="12.5" x14ac:dyDescent="0.25">
      <c r="A101" s="1" t="str">
        <f ca="1">IFERROR(__xludf.DUMMYFUNCTION("""COMPUTED_VALUE"""),"Florida A&amp;M")</f>
        <v>Florida A&amp;M</v>
      </c>
      <c r="B101" s="1">
        <f ca="1">IFERROR(__xludf.DUMMYFUNCTION("""COMPUTED_VALUE"""),29)</f>
        <v>29</v>
      </c>
      <c r="C101" s="1">
        <f ca="1">IFERROR(__xludf.DUMMYFUNCTION("""COMPUTED_VALUE"""),8)</f>
        <v>8</v>
      </c>
      <c r="D101" s="1">
        <f ca="1">IFERROR(__xludf.DUMMYFUNCTION("""COMPUTED_VALUE"""),21)</f>
        <v>21</v>
      </c>
      <c r="E101" s="1">
        <f ca="1">IFERROR(__xludf.DUMMYFUNCTION("""COMPUTED_VALUE"""),0.276)</f>
        <v>0.27600000000000002</v>
      </c>
      <c r="F101" s="1">
        <f ca="1">IFERROR(__xludf.DUMMYFUNCTION("""COMPUTED_VALUE"""),-21.74)</f>
        <v>-21.74</v>
      </c>
      <c r="G101" s="1">
        <f ca="1">IFERROR(__xludf.DUMMYFUNCTION("""COMPUTED_VALUE"""),-10.67)</f>
        <v>-10.67</v>
      </c>
      <c r="H101" s="1">
        <f ca="1">IFERROR(__xludf.DUMMYFUNCTION("""COMPUTED_VALUE"""),4)</f>
        <v>4</v>
      </c>
      <c r="I101" s="1">
        <f ca="1">IFERROR(__xludf.DUMMYFUNCTION("""COMPUTED_VALUE"""),12)</f>
        <v>12</v>
      </c>
      <c r="J101" s="1">
        <f ca="1">IFERROR(__xludf.DUMMYFUNCTION("""COMPUTED_VALUE"""),6)</f>
        <v>6</v>
      </c>
      <c r="K101" s="1">
        <f ca="1">IFERROR(__xludf.DUMMYFUNCTION("""COMPUTED_VALUE"""),6)</f>
        <v>6</v>
      </c>
      <c r="L101" s="1">
        <f ca="1">IFERROR(__xludf.DUMMYFUNCTION("""COMPUTED_VALUE"""),1)</f>
        <v>1</v>
      </c>
      <c r="M101" s="1">
        <f ca="1">IFERROR(__xludf.DUMMYFUNCTION("""COMPUTED_VALUE"""),14)</f>
        <v>14</v>
      </c>
      <c r="N101" s="1">
        <f ca="1">IFERROR(__xludf.DUMMYFUNCTION("""COMPUTED_VALUE"""),1863)</f>
        <v>1863</v>
      </c>
      <c r="O101" s="1">
        <f ca="1">IFERROR(__xludf.DUMMYFUNCTION("""COMPUTED_VALUE"""),2128)</f>
        <v>2128</v>
      </c>
      <c r="P101" s="1">
        <f ca="1">IFERROR(__xludf.DUMMYFUNCTION("""COMPUTED_VALUE"""),1190)</f>
        <v>1190</v>
      </c>
      <c r="Q101" s="1">
        <f ca="1">IFERROR(__xludf.DUMMYFUNCTION("""COMPUTED_VALUE"""),644)</f>
        <v>644</v>
      </c>
      <c r="R101" s="1">
        <f ca="1">IFERROR(__xludf.DUMMYFUNCTION("""COMPUTED_VALUE"""),1606)</f>
        <v>1606</v>
      </c>
      <c r="S101" s="1">
        <f ca="1">IFERROR(__xludf.DUMMYFUNCTION("""COMPUTED_VALUE"""),0.401)</f>
        <v>0.40100000000000002</v>
      </c>
      <c r="T101" s="1">
        <f ca="1">IFERROR(__xludf.DUMMYFUNCTION("""COMPUTED_VALUE"""),168)</f>
        <v>168</v>
      </c>
      <c r="U101" s="1">
        <f ca="1">IFERROR(__xludf.DUMMYFUNCTION("""COMPUTED_VALUE"""),555)</f>
        <v>555</v>
      </c>
      <c r="V101" s="1">
        <f ca="1">IFERROR(__xludf.DUMMYFUNCTION("""COMPUTED_VALUE"""),0.303)</f>
        <v>0.30299999999999999</v>
      </c>
      <c r="W101" s="1">
        <f ca="1">IFERROR(__xludf.DUMMYFUNCTION("""COMPUTED_VALUE"""),407)</f>
        <v>407</v>
      </c>
      <c r="X101" s="1">
        <f ca="1">IFERROR(__xludf.DUMMYFUNCTION("""COMPUTED_VALUE"""),691)</f>
        <v>691</v>
      </c>
      <c r="Y101" s="1">
        <f ca="1">IFERROR(__xludf.DUMMYFUNCTION("""COMPUTED_VALUE"""),0.589)</f>
        <v>0.58899999999999997</v>
      </c>
      <c r="Z101" s="1">
        <f ca="1">IFERROR(__xludf.DUMMYFUNCTION("""COMPUTED_VALUE"""),293)</f>
        <v>293</v>
      </c>
      <c r="AA101" s="1">
        <f ca="1">IFERROR(__xludf.DUMMYFUNCTION("""COMPUTED_VALUE"""),1010)</f>
        <v>1010</v>
      </c>
      <c r="AB101" s="1">
        <f ca="1">IFERROR(__xludf.DUMMYFUNCTION("""COMPUTED_VALUE"""),319)</f>
        <v>319</v>
      </c>
      <c r="AC101" s="1">
        <f ca="1">IFERROR(__xludf.DUMMYFUNCTION("""COMPUTED_VALUE"""),192)</f>
        <v>192</v>
      </c>
      <c r="AD101" s="1">
        <f ca="1">IFERROR(__xludf.DUMMYFUNCTION("""COMPUTED_VALUE"""),65)</f>
        <v>65</v>
      </c>
      <c r="AE101" s="1">
        <f ca="1">IFERROR(__xludf.DUMMYFUNCTION("""COMPUTED_VALUE"""),466)</f>
        <v>466</v>
      </c>
      <c r="AF101" s="1">
        <f ca="1">IFERROR(__xludf.DUMMYFUNCTION("""COMPUTED_VALUE"""),566)</f>
        <v>566</v>
      </c>
    </row>
    <row r="102" spans="1:32" ht="12.5" x14ac:dyDescent="0.25">
      <c r="A102" s="1" t="str">
        <f ca="1">IFERROR(__xludf.DUMMYFUNCTION("""COMPUTED_VALUE"""),"Florida Atlantic")</f>
        <v>Florida Atlantic</v>
      </c>
      <c r="B102" s="1">
        <f ca="1">IFERROR(__xludf.DUMMYFUNCTION("""COMPUTED_VALUE"""),33)</f>
        <v>33</v>
      </c>
      <c r="C102" s="1">
        <f ca="1">IFERROR(__xludf.DUMMYFUNCTION("""COMPUTED_VALUE"""),8)</f>
        <v>8</v>
      </c>
      <c r="D102" s="1">
        <f ca="1">IFERROR(__xludf.DUMMYFUNCTION("""COMPUTED_VALUE"""),25)</f>
        <v>25</v>
      </c>
      <c r="E102" s="1">
        <f ca="1">IFERROR(__xludf.DUMMYFUNCTION("""COMPUTED_VALUE"""),0.242)</f>
        <v>0.24199999999999999</v>
      </c>
      <c r="F102" s="1">
        <f ca="1">IFERROR(__xludf.DUMMYFUNCTION("""COMPUTED_VALUE"""),-10.3)</f>
        <v>-10.3</v>
      </c>
      <c r="G102" s="1">
        <f ca="1">IFERROR(__xludf.DUMMYFUNCTION("""COMPUTED_VALUE"""),-1.72)</f>
        <v>-1.72</v>
      </c>
      <c r="H102" s="1">
        <f ca="1">IFERROR(__xludf.DUMMYFUNCTION("""COMPUTED_VALUE"""),5)</f>
        <v>5</v>
      </c>
      <c r="I102" s="1">
        <f ca="1">IFERROR(__xludf.DUMMYFUNCTION("""COMPUTED_VALUE"""),13)</f>
        <v>13</v>
      </c>
      <c r="J102" s="1">
        <f ca="1">IFERROR(__xludf.DUMMYFUNCTION("""COMPUTED_VALUE"""),5)</f>
        <v>5</v>
      </c>
      <c r="K102" s="1">
        <f ca="1">IFERROR(__xludf.DUMMYFUNCTION("""COMPUTED_VALUE"""),7)</f>
        <v>7</v>
      </c>
      <c r="L102" s="1">
        <f ca="1">IFERROR(__xludf.DUMMYFUNCTION("""COMPUTED_VALUE"""),2)</f>
        <v>2</v>
      </c>
      <c r="M102" s="1">
        <f ca="1">IFERROR(__xludf.DUMMYFUNCTION("""COMPUTED_VALUE"""),14)</f>
        <v>14</v>
      </c>
      <c r="N102" s="1">
        <f ca="1">IFERROR(__xludf.DUMMYFUNCTION("""COMPUTED_VALUE"""),2189)</f>
        <v>2189</v>
      </c>
      <c r="O102" s="1">
        <f ca="1">IFERROR(__xludf.DUMMYFUNCTION("""COMPUTED_VALUE"""),2445)</f>
        <v>2445</v>
      </c>
      <c r="P102" s="1">
        <f ca="1">IFERROR(__xludf.DUMMYFUNCTION("""COMPUTED_VALUE"""),1325)</f>
        <v>1325</v>
      </c>
      <c r="Q102" s="1">
        <f ca="1">IFERROR(__xludf.DUMMYFUNCTION("""COMPUTED_VALUE"""),752)</f>
        <v>752</v>
      </c>
      <c r="R102" s="1">
        <f ca="1">IFERROR(__xludf.DUMMYFUNCTION("""COMPUTED_VALUE"""),1847)</f>
        <v>1847</v>
      </c>
      <c r="S102" s="1">
        <f ca="1">IFERROR(__xludf.DUMMYFUNCTION("""COMPUTED_VALUE"""),0.407)</f>
        <v>0.40699999999999997</v>
      </c>
      <c r="T102" s="1">
        <f ca="1">IFERROR(__xludf.DUMMYFUNCTION("""COMPUTED_VALUE"""),229)</f>
        <v>229</v>
      </c>
      <c r="U102" s="1">
        <f ca="1">IFERROR(__xludf.DUMMYFUNCTION("""COMPUTED_VALUE"""),678)</f>
        <v>678</v>
      </c>
      <c r="V102" s="1">
        <f ca="1">IFERROR(__xludf.DUMMYFUNCTION("""COMPUTED_VALUE"""),0.338)</f>
        <v>0.33800000000000002</v>
      </c>
      <c r="W102" s="1">
        <f ca="1">IFERROR(__xludf.DUMMYFUNCTION("""COMPUTED_VALUE"""),456)</f>
        <v>456</v>
      </c>
      <c r="X102" s="1">
        <f ca="1">IFERROR(__xludf.DUMMYFUNCTION("""COMPUTED_VALUE"""),624)</f>
        <v>624</v>
      </c>
      <c r="Y102" s="1">
        <f ca="1">IFERROR(__xludf.DUMMYFUNCTION("""COMPUTED_VALUE"""),0.731)</f>
        <v>0.73099999999999998</v>
      </c>
      <c r="Z102" s="1">
        <f ca="1">IFERROR(__xludf.DUMMYFUNCTION("""COMPUTED_VALUE"""),282)</f>
        <v>282</v>
      </c>
      <c r="AA102" s="1">
        <f ca="1">IFERROR(__xludf.DUMMYFUNCTION("""COMPUTED_VALUE"""),1071)</f>
        <v>1071</v>
      </c>
      <c r="AB102" s="1">
        <f ca="1">IFERROR(__xludf.DUMMYFUNCTION("""COMPUTED_VALUE"""),385)</f>
        <v>385</v>
      </c>
      <c r="AC102" s="1">
        <f ca="1">IFERROR(__xludf.DUMMYFUNCTION("""COMPUTED_VALUE"""),175)</f>
        <v>175</v>
      </c>
      <c r="AD102" s="1">
        <f ca="1">IFERROR(__xludf.DUMMYFUNCTION("""COMPUTED_VALUE"""),140)</f>
        <v>140</v>
      </c>
      <c r="AE102" s="1">
        <f ca="1">IFERROR(__xludf.DUMMYFUNCTION("""COMPUTED_VALUE"""),402)</f>
        <v>402</v>
      </c>
      <c r="AF102" s="1">
        <f ca="1">IFERROR(__xludf.DUMMYFUNCTION("""COMPUTED_VALUE"""),631)</f>
        <v>631</v>
      </c>
    </row>
    <row r="103" spans="1:32" ht="12.5" x14ac:dyDescent="0.25">
      <c r="A103" s="1" t="str">
        <f ca="1">IFERROR(__xludf.DUMMYFUNCTION("""COMPUTED_VALUE"""),"Florida Gulf CoastNCAA")</f>
        <v>Florida Gulf CoastNCAA</v>
      </c>
      <c r="B103" s="1">
        <f ca="1">IFERROR(__xludf.DUMMYFUNCTION("""COMPUTED_VALUE"""),35)</f>
        <v>35</v>
      </c>
      <c r="C103" s="1">
        <f ca="1">IFERROR(__xludf.DUMMYFUNCTION("""COMPUTED_VALUE"""),21)</f>
        <v>21</v>
      </c>
      <c r="D103" s="1">
        <f ca="1">IFERROR(__xludf.DUMMYFUNCTION("""COMPUTED_VALUE"""),14)</f>
        <v>14</v>
      </c>
      <c r="E103" s="1">
        <f ca="1">IFERROR(__xludf.DUMMYFUNCTION("""COMPUTED_VALUE"""),0.6)</f>
        <v>0.6</v>
      </c>
      <c r="F103" s="1">
        <f ca="1">IFERROR(__xludf.DUMMYFUNCTION("""COMPUTED_VALUE"""),-0.79)</f>
        <v>-0.79</v>
      </c>
      <c r="G103" s="1">
        <f ca="1">IFERROR(__xludf.DUMMYFUNCTION("""COMPUTED_VALUE"""),-3.82)</f>
        <v>-3.82</v>
      </c>
      <c r="H103" s="1">
        <f ca="1">IFERROR(__xludf.DUMMYFUNCTION("""COMPUTED_VALUE"""),8)</f>
        <v>8</v>
      </c>
      <c r="I103" s="1">
        <f ca="1">IFERROR(__xludf.DUMMYFUNCTION("""COMPUTED_VALUE"""),6)</f>
        <v>6</v>
      </c>
      <c r="J103" s="1">
        <f ca="1">IFERROR(__xludf.DUMMYFUNCTION("""COMPUTED_VALUE"""),16)</f>
        <v>16</v>
      </c>
      <c r="K103" s="1">
        <f ca="1">IFERROR(__xludf.DUMMYFUNCTION("""COMPUTED_VALUE"""),4)</f>
        <v>4</v>
      </c>
      <c r="L103" s="1">
        <f ca="1">IFERROR(__xludf.DUMMYFUNCTION("""COMPUTED_VALUE"""),4)</f>
        <v>4</v>
      </c>
      <c r="M103" s="1">
        <f ca="1">IFERROR(__xludf.DUMMYFUNCTION("""COMPUTED_VALUE"""),8)</f>
        <v>8</v>
      </c>
      <c r="N103" s="1">
        <f ca="1">IFERROR(__xludf.DUMMYFUNCTION("""COMPUTED_VALUE"""),2703)</f>
        <v>2703</v>
      </c>
      <c r="O103" s="1">
        <f ca="1">IFERROR(__xludf.DUMMYFUNCTION("""COMPUTED_VALUE"""),2473)</f>
        <v>2473</v>
      </c>
      <c r="P103" s="1">
        <f ca="1">IFERROR(__xludf.DUMMYFUNCTION("""COMPUTED_VALUE"""),1435)</f>
        <v>1435</v>
      </c>
      <c r="Q103" s="1">
        <f ca="1">IFERROR(__xludf.DUMMYFUNCTION("""COMPUTED_VALUE"""),1008)</f>
        <v>1008</v>
      </c>
      <c r="R103" s="1">
        <f ca="1">IFERROR(__xludf.DUMMYFUNCTION("""COMPUTED_VALUE"""),2106)</f>
        <v>2106</v>
      </c>
      <c r="S103" s="1">
        <f ca="1">IFERROR(__xludf.DUMMYFUNCTION("""COMPUTED_VALUE"""),0.479)</f>
        <v>0.47899999999999998</v>
      </c>
      <c r="T103" s="1">
        <f ca="1">IFERROR(__xludf.DUMMYFUNCTION("""COMPUTED_VALUE"""),186)</f>
        <v>186</v>
      </c>
      <c r="U103" s="1">
        <f ca="1">IFERROR(__xludf.DUMMYFUNCTION("""COMPUTED_VALUE"""),527)</f>
        <v>527</v>
      </c>
      <c r="V103" s="1">
        <f ca="1">IFERROR(__xludf.DUMMYFUNCTION("""COMPUTED_VALUE"""),0.353)</f>
        <v>0.35299999999999998</v>
      </c>
      <c r="W103" s="1">
        <f ca="1">IFERROR(__xludf.DUMMYFUNCTION("""COMPUTED_VALUE"""),501)</f>
        <v>501</v>
      </c>
      <c r="X103" s="1">
        <f ca="1">IFERROR(__xludf.DUMMYFUNCTION("""COMPUTED_VALUE"""),778)</f>
        <v>778</v>
      </c>
      <c r="Y103" s="1">
        <f ca="1">IFERROR(__xludf.DUMMYFUNCTION("""COMPUTED_VALUE"""),0.644)</f>
        <v>0.64400000000000002</v>
      </c>
      <c r="Z103" s="1">
        <f ca="1">IFERROR(__xludf.DUMMYFUNCTION("""COMPUTED_VALUE"""),417)</f>
        <v>417</v>
      </c>
      <c r="AA103" s="1">
        <f ca="1">IFERROR(__xludf.DUMMYFUNCTION("""COMPUTED_VALUE"""),1422)</f>
        <v>1422</v>
      </c>
      <c r="AB103" s="1">
        <f ca="1">IFERROR(__xludf.DUMMYFUNCTION("""COMPUTED_VALUE"""),483)</f>
        <v>483</v>
      </c>
      <c r="AC103" s="1">
        <f ca="1">IFERROR(__xludf.DUMMYFUNCTION("""COMPUTED_VALUE"""),230)</f>
        <v>230</v>
      </c>
      <c r="AD103" s="1">
        <f ca="1">IFERROR(__xludf.DUMMYFUNCTION("""COMPUTED_VALUE"""),141)</f>
        <v>141</v>
      </c>
      <c r="AE103" s="1">
        <f ca="1">IFERROR(__xludf.DUMMYFUNCTION("""COMPUTED_VALUE"""),438)</f>
        <v>438</v>
      </c>
      <c r="AF103" s="1">
        <f ca="1">IFERROR(__xludf.DUMMYFUNCTION("""COMPUTED_VALUE"""),674)</f>
        <v>674</v>
      </c>
    </row>
    <row r="104" spans="1:32" ht="12.5" x14ac:dyDescent="0.25">
      <c r="A104" s="1" t="str">
        <f ca="1">IFERROR(__xludf.DUMMYFUNCTION("""COMPUTED_VALUE"""),"Florida International")</f>
        <v>Florida International</v>
      </c>
      <c r="B104" s="1">
        <f ca="1">IFERROR(__xludf.DUMMYFUNCTION("""COMPUTED_VALUE"""),32)</f>
        <v>32</v>
      </c>
      <c r="C104" s="1">
        <f ca="1">IFERROR(__xludf.DUMMYFUNCTION("""COMPUTED_VALUE"""),13)</f>
        <v>13</v>
      </c>
      <c r="D104" s="1">
        <f ca="1">IFERROR(__xludf.DUMMYFUNCTION("""COMPUTED_VALUE"""),19)</f>
        <v>19</v>
      </c>
      <c r="E104" s="1">
        <f ca="1">IFERROR(__xludf.DUMMYFUNCTION("""COMPUTED_VALUE"""),0.406)</f>
        <v>0.40600000000000003</v>
      </c>
      <c r="F104" s="1">
        <f ca="1">IFERROR(__xludf.DUMMYFUNCTION("""COMPUTED_VALUE"""),-5.25)</f>
        <v>-5.25</v>
      </c>
      <c r="G104" s="1">
        <f ca="1">IFERROR(__xludf.DUMMYFUNCTION("""COMPUTED_VALUE"""),-4.81)</f>
        <v>-4.8099999999999996</v>
      </c>
      <c r="H104" s="1">
        <f ca="1">IFERROR(__xludf.DUMMYFUNCTION("""COMPUTED_VALUE"""),7)</f>
        <v>7</v>
      </c>
      <c r="I104" s="1">
        <f ca="1">IFERROR(__xludf.DUMMYFUNCTION("""COMPUTED_VALUE"""),11)</f>
        <v>11</v>
      </c>
      <c r="J104" s="1">
        <f ca="1">IFERROR(__xludf.DUMMYFUNCTION("""COMPUTED_VALUE"""),7)</f>
        <v>7</v>
      </c>
      <c r="K104" s="1">
        <f ca="1">IFERROR(__xludf.DUMMYFUNCTION("""COMPUTED_VALUE"""),9)</f>
        <v>9</v>
      </c>
      <c r="L104" s="1">
        <f ca="1">IFERROR(__xludf.DUMMYFUNCTION("""COMPUTED_VALUE"""),5)</f>
        <v>5</v>
      </c>
      <c r="M104" s="1">
        <f ca="1">IFERROR(__xludf.DUMMYFUNCTION("""COMPUTED_VALUE"""),8)</f>
        <v>8</v>
      </c>
      <c r="N104" s="1">
        <f ca="1">IFERROR(__xludf.DUMMYFUNCTION("""COMPUTED_VALUE"""),2277)</f>
        <v>2277</v>
      </c>
      <c r="O104" s="1">
        <f ca="1">IFERROR(__xludf.DUMMYFUNCTION("""COMPUTED_VALUE"""),2242)</f>
        <v>2242</v>
      </c>
      <c r="P104" s="1">
        <f ca="1">IFERROR(__xludf.DUMMYFUNCTION("""COMPUTED_VALUE"""),1300)</f>
        <v>1300</v>
      </c>
      <c r="Q104" s="1">
        <f ca="1">IFERROR(__xludf.DUMMYFUNCTION("""COMPUTED_VALUE"""),834)</f>
        <v>834</v>
      </c>
      <c r="R104" s="1">
        <f ca="1">IFERROR(__xludf.DUMMYFUNCTION("""COMPUTED_VALUE"""),1779)</f>
        <v>1779</v>
      </c>
      <c r="S104" s="1">
        <f ca="1">IFERROR(__xludf.DUMMYFUNCTION("""COMPUTED_VALUE"""),0.469)</f>
        <v>0.46899999999999997</v>
      </c>
      <c r="T104" s="1">
        <f ca="1">IFERROR(__xludf.DUMMYFUNCTION("""COMPUTED_VALUE"""),181)</f>
        <v>181</v>
      </c>
      <c r="U104" s="1">
        <f ca="1">IFERROR(__xludf.DUMMYFUNCTION("""COMPUTED_VALUE"""),499)</f>
        <v>499</v>
      </c>
      <c r="V104" s="1">
        <f ca="1">IFERROR(__xludf.DUMMYFUNCTION("""COMPUTED_VALUE"""),0.363)</f>
        <v>0.36299999999999999</v>
      </c>
      <c r="W104" s="1">
        <f ca="1">IFERROR(__xludf.DUMMYFUNCTION("""COMPUTED_VALUE"""),428)</f>
        <v>428</v>
      </c>
      <c r="X104" s="1">
        <f ca="1">IFERROR(__xludf.DUMMYFUNCTION("""COMPUTED_VALUE"""),645)</f>
        <v>645</v>
      </c>
      <c r="Y104" s="1">
        <f ca="1">IFERROR(__xludf.DUMMYFUNCTION("""COMPUTED_VALUE"""),0.664)</f>
        <v>0.66400000000000003</v>
      </c>
      <c r="Z104" s="1">
        <f ca="1">IFERROR(__xludf.DUMMYFUNCTION("""COMPUTED_VALUE"""),328)</f>
        <v>328</v>
      </c>
      <c r="AA104" s="1">
        <f ca="1">IFERROR(__xludf.DUMMYFUNCTION("""COMPUTED_VALUE"""),1196)</f>
        <v>1196</v>
      </c>
      <c r="AB104" s="1">
        <f ca="1">IFERROR(__xludf.DUMMYFUNCTION("""COMPUTED_VALUE"""),391)</f>
        <v>391</v>
      </c>
      <c r="AC104" s="1">
        <f ca="1">IFERROR(__xludf.DUMMYFUNCTION("""COMPUTED_VALUE"""),162)</f>
        <v>162</v>
      </c>
      <c r="AD104" s="1">
        <f ca="1">IFERROR(__xludf.DUMMYFUNCTION("""COMPUTED_VALUE"""),148)</f>
        <v>148</v>
      </c>
      <c r="AE104" s="1">
        <f ca="1">IFERROR(__xludf.DUMMYFUNCTION("""COMPUTED_VALUE"""),414)</f>
        <v>414</v>
      </c>
      <c r="AF104" s="1">
        <f ca="1">IFERROR(__xludf.DUMMYFUNCTION("""COMPUTED_VALUE"""),598)</f>
        <v>598</v>
      </c>
    </row>
    <row r="105" spans="1:32" ht="12.5" x14ac:dyDescent="0.25">
      <c r="A105" s="1" t="str">
        <f ca="1">IFERROR(__xludf.DUMMYFUNCTION("""COMPUTED_VALUE"""),"Florida State")</f>
        <v>Florida State</v>
      </c>
      <c r="B105" s="1">
        <f ca="1">IFERROR(__xludf.DUMMYFUNCTION("""COMPUTED_VALUE"""),34)</f>
        <v>34</v>
      </c>
      <c r="C105" s="1">
        <f ca="1">IFERROR(__xludf.DUMMYFUNCTION("""COMPUTED_VALUE"""),20)</f>
        <v>20</v>
      </c>
      <c r="D105" s="1">
        <f ca="1">IFERROR(__xludf.DUMMYFUNCTION("""COMPUTED_VALUE"""),14)</f>
        <v>14</v>
      </c>
      <c r="E105" s="1">
        <f ca="1">IFERROR(__xludf.DUMMYFUNCTION("""COMPUTED_VALUE"""),0.588)</f>
        <v>0.58799999999999997</v>
      </c>
      <c r="F105" s="1">
        <f ca="1">IFERROR(__xludf.DUMMYFUNCTION("""COMPUTED_VALUE"""),12.16)</f>
        <v>12.16</v>
      </c>
      <c r="G105" s="1">
        <f ca="1">IFERROR(__xludf.DUMMYFUNCTION("""COMPUTED_VALUE"""),8.16)</f>
        <v>8.16</v>
      </c>
      <c r="H105" s="1">
        <f ca="1">IFERROR(__xludf.DUMMYFUNCTION("""COMPUTED_VALUE"""),8)</f>
        <v>8</v>
      </c>
      <c r="I105" s="1">
        <f ca="1">IFERROR(__xludf.DUMMYFUNCTION("""COMPUTED_VALUE"""),10)</f>
        <v>10</v>
      </c>
      <c r="J105" s="1">
        <f ca="1">IFERROR(__xludf.DUMMYFUNCTION("""COMPUTED_VALUE"""),11)</f>
        <v>11</v>
      </c>
      <c r="K105" s="1">
        <f ca="1">IFERROR(__xludf.DUMMYFUNCTION("""COMPUTED_VALUE"""),4)</f>
        <v>4</v>
      </c>
      <c r="L105" s="1">
        <f ca="1">IFERROR(__xludf.DUMMYFUNCTION("""COMPUTED_VALUE"""),4)</f>
        <v>4</v>
      </c>
      <c r="M105" s="1">
        <f ca="1">IFERROR(__xludf.DUMMYFUNCTION("""COMPUTED_VALUE"""),8)</f>
        <v>8</v>
      </c>
      <c r="N105" s="1">
        <f ca="1">IFERROR(__xludf.DUMMYFUNCTION("""COMPUTED_VALUE"""),2652)</f>
        <v>2652</v>
      </c>
      <c r="O105" s="1">
        <f ca="1">IFERROR(__xludf.DUMMYFUNCTION("""COMPUTED_VALUE"""),2516)</f>
        <v>2516</v>
      </c>
      <c r="P105" s="1">
        <f ca="1">IFERROR(__xludf.DUMMYFUNCTION("""COMPUTED_VALUE"""),1365)</f>
        <v>1365</v>
      </c>
      <c r="Q105" s="1">
        <f ca="1">IFERROR(__xludf.DUMMYFUNCTION("""COMPUTED_VALUE"""),948)</f>
        <v>948</v>
      </c>
      <c r="R105" s="1">
        <f ca="1">IFERROR(__xludf.DUMMYFUNCTION("""COMPUTED_VALUE"""),2042)</f>
        <v>2042</v>
      </c>
      <c r="S105" s="1">
        <f ca="1">IFERROR(__xludf.DUMMYFUNCTION("""COMPUTED_VALUE"""),0.464)</f>
        <v>0.46400000000000002</v>
      </c>
      <c r="T105" s="1">
        <f ca="1">IFERROR(__xludf.DUMMYFUNCTION("""COMPUTED_VALUE"""),220)</f>
        <v>220</v>
      </c>
      <c r="U105" s="1">
        <f ca="1">IFERROR(__xludf.DUMMYFUNCTION("""COMPUTED_VALUE"""),645)</f>
        <v>645</v>
      </c>
      <c r="V105" s="1">
        <f ca="1">IFERROR(__xludf.DUMMYFUNCTION("""COMPUTED_VALUE"""),0.341)</f>
        <v>0.34100000000000003</v>
      </c>
      <c r="W105" s="1">
        <f ca="1">IFERROR(__xludf.DUMMYFUNCTION("""COMPUTED_VALUE"""),536)</f>
        <v>536</v>
      </c>
      <c r="X105" s="1">
        <f ca="1">IFERROR(__xludf.DUMMYFUNCTION("""COMPUTED_VALUE"""),771)</f>
        <v>771</v>
      </c>
      <c r="Y105" s="1">
        <f ca="1">IFERROR(__xludf.DUMMYFUNCTION("""COMPUTED_VALUE"""),0.695)</f>
        <v>0.69499999999999995</v>
      </c>
      <c r="Z105" s="1">
        <f ca="1">IFERROR(__xludf.DUMMYFUNCTION("""COMPUTED_VALUE"""),389)</f>
        <v>389</v>
      </c>
      <c r="AA105" s="1">
        <f ca="1">IFERROR(__xludf.DUMMYFUNCTION("""COMPUTED_VALUE"""),1257)</f>
        <v>1257</v>
      </c>
      <c r="AB105" s="1">
        <f ca="1">IFERROR(__xludf.DUMMYFUNCTION("""COMPUTED_VALUE"""),453)</f>
        <v>453</v>
      </c>
      <c r="AC105" s="1">
        <f ca="1">IFERROR(__xludf.DUMMYFUNCTION("""COMPUTED_VALUE"""),243)</f>
        <v>243</v>
      </c>
      <c r="AD105" s="1">
        <f ca="1">IFERROR(__xludf.DUMMYFUNCTION("""COMPUTED_VALUE"""),139)</f>
        <v>139</v>
      </c>
      <c r="AE105" s="1">
        <f ca="1">IFERROR(__xludf.DUMMYFUNCTION("""COMPUTED_VALUE"""),441)</f>
        <v>441</v>
      </c>
      <c r="AF105" s="1">
        <f ca="1">IFERROR(__xludf.DUMMYFUNCTION("""COMPUTED_VALUE"""),656)</f>
        <v>656</v>
      </c>
    </row>
    <row r="106" spans="1:32" ht="12.5" x14ac:dyDescent="0.25">
      <c r="A106" s="1" t="str">
        <f ca="1">IFERROR(__xludf.DUMMYFUNCTION("""COMPUTED_VALUE"""),"Florida")</f>
        <v>Florida</v>
      </c>
      <c r="B106" s="1">
        <f ca="1">IFERROR(__xludf.DUMMYFUNCTION("""COMPUTED_VALUE"""),36)</f>
        <v>36</v>
      </c>
      <c r="C106" s="1">
        <f ca="1">IFERROR(__xludf.DUMMYFUNCTION("""COMPUTED_VALUE"""),21)</f>
        <v>21</v>
      </c>
      <c r="D106" s="1">
        <f ca="1">IFERROR(__xludf.DUMMYFUNCTION("""COMPUTED_VALUE"""),15)</f>
        <v>15</v>
      </c>
      <c r="E106" s="1">
        <f ca="1">IFERROR(__xludf.DUMMYFUNCTION("""COMPUTED_VALUE"""),0.583)</f>
        <v>0.58299999999999996</v>
      </c>
      <c r="F106" s="1">
        <f ca="1">IFERROR(__xludf.DUMMYFUNCTION("""COMPUTED_VALUE"""),14.69)</f>
        <v>14.69</v>
      </c>
      <c r="G106" s="1">
        <f ca="1">IFERROR(__xludf.DUMMYFUNCTION("""COMPUTED_VALUE"""),9.19)</f>
        <v>9.19</v>
      </c>
      <c r="H106" s="1">
        <f ca="1">IFERROR(__xludf.DUMMYFUNCTION("""COMPUTED_VALUE"""),9)</f>
        <v>9</v>
      </c>
      <c r="I106" s="1">
        <f ca="1">IFERROR(__xludf.DUMMYFUNCTION("""COMPUTED_VALUE"""),9)</f>
        <v>9</v>
      </c>
      <c r="J106" s="1">
        <f ca="1">IFERROR(__xludf.DUMMYFUNCTION("""COMPUTED_VALUE"""),12)</f>
        <v>12</v>
      </c>
      <c r="K106" s="1">
        <f ca="1">IFERROR(__xludf.DUMMYFUNCTION("""COMPUTED_VALUE"""),4)</f>
        <v>4</v>
      </c>
      <c r="L106" s="1">
        <f ca="1">IFERROR(__xludf.DUMMYFUNCTION("""COMPUTED_VALUE"""),6)</f>
        <v>6</v>
      </c>
      <c r="M106" s="1">
        <f ca="1">IFERROR(__xludf.DUMMYFUNCTION("""COMPUTED_VALUE"""),9)</f>
        <v>9</v>
      </c>
      <c r="N106" s="1">
        <f ca="1">IFERROR(__xludf.DUMMYFUNCTION("""COMPUTED_VALUE"""),2677)</f>
        <v>2677</v>
      </c>
      <c r="O106" s="1">
        <f ca="1">IFERROR(__xludf.DUMMYFUNCTION("""COMPUTED_VALUE"""),2479)</f>
        <v>2479</v>
      </c>
      <c r="P106" s="1">
        <f ca="1">IFERROR(__xludf.DUMMYFUNCTION("""COMPUTED_VALUE"""),1445)</f>
        <v>1445</v>
      </c>
      <c r="Q106" s="1">
        <f ca="1">IFERROR(__xludf.DUMMYFUNCTION("""COMPUTED_VALUE"""),930)</f>
        <v>930</v>
      </c>
      <c r="R106" s="1">
        <f ca="1">IFERROR(__xludf.DUMMYFUNCTION("""COMPUTED_VALUE"""),2186)</f>
        <v>2186</v>
      </c>
      <c r="S106" s="1">
        <f ca="1">IFERROR(__xludf.DUMMYFUNCTION("""COMPUTED_VALUE"""),0.425)</f>
        <v>0.42499999999999999</v>
      </c>
      <c r="T106" s="1">
        <f ca="1">IFERROR(__xludf.DUMMYFUNCTION("""COMPUTED_VALUE"""),258)</f>
        <v>258</v>
      </c>
      <c r="U106" s="1">
        <f ca="1">IFERROR(__xludf.DUMMYFUNCTION("""COMPUTED_VALUE"""),810)</f>
        <v>810</v>
      </c>
      <c r="V106" s="1">
        <f ca="1">IFERROR(__xludf.DUMMYFUNCTION("""COMPUTED_VALUE"""),0.319)</f>
        <v>0.31900000000000001</v>
      </c>
      <c r="W106" s="1">
        <f ca="1">IFERROR(__xludf.DUMMYFUNCTION("""COMPUTED_VALUE"""),559)</f>
        <v>559</v>
      </c>
      <c r="X106" s="1">
        <f ca="1">IFERROR(__xludf.DUMMYFUNCTION("""COMPUTED_VALUE"""),863)</f>
        <v>863</v>
      </c>
      <c r="Y106" s="1">
        <f ca="1">IFERROR(__xludf.DUMMYFUNCTION("""COMPUTED_VALUE"""),0.648)</f>
        <v>0.64800000000000002</v>
      </c>
      <c r="Z106" s="1">
        <f ca="1">IFERROR(__xludf.DUMMYFUNCTION("""COMPUTED_VALUE"""),470)</f>
        <v>470</v>
      </c>
      <c r="AA106" s="1">
        <f ca="1">IFERROR(__xludf.DUMMYFUNCTION("""COMPUTED_VALUE"""),1436)</f>
        <v>1436</v>
      </c>
      <c r="AB106" s="1">
        <f ca="1">IFERROR(__xludf.DUMMYFUNCTION("""COMPUTED_VALUE"""),480)</f>
        <v>480</v>
      </c>
      <c r="AC106" s="1">
        <f ca="1">IFERROR(__xludf.DUMMYFUNCTION("""COMPUTED_VALUE"""),235)</f>
        <v>235</v>
      </c>
      <c r="AD106" s="1">
        <f ca="1">IFERROR(__xludf.DUMMYFUNCTION("""COMPUTED_VALUE"""),152)</f>
        <v>152</v>
      </c>
      <c r="AE106" s="1">
        <f ca="1">IFERROR(__xludf.DUMMYFUNCTION("""COMPUTED_VALUE"""),405)</f>
        <v>405</v>
      </c>
      <c r="AF106" s="1">
        <f ca="1">IFERROR(__xludf.DUMMYFUNCTION("""COMPUTED_VALUE"""),700)</f>
        <v>700</v>
      </c>
    </row>
    <row r="107" spans="1:32" ht="12.5" x14ac:dyDescent="0.25">
      <c r="A107" s="1" t="str">
        <f ca="1">IFERROR(__xludf.DUMMYFUNCTION("""COMPUTED_VALUE"""),"Fordham")</f>
        <v>Fordham</v>
      </c>
      <c r="B107" s="1">
        <f ca="1">IFERROR(__xludf.DUMMYFUNCTION("""COMPUTED_VALUE"""),31)</f>
        <v>31</v>
      </c>
      <c r="C107" s="1">
        <f ca="1">IFERROR(__xludf.DUMMYFUNCTION("""COMPUTED_VALUE"""),17)</f>
        <v>17</v>
      </c>
      <c r="D107" s="1">
        <f ca="1">IFERROR(__xludf.DUMMYFUNCTION("""COMPUTED_VALUE"""),14)</f>
        <v>14</v>
      </c>
      <c r="E107" s="1">
        <f ca="1">IFERROR(__xludf.DUMMYFUNCTION("""COMPUTED_VALUE"""),0.548)</f>
        <v>0.54800000000000004</v>
      </c>
      <c r="F107" s="1">
        <f ca="1">IFERROR(__xludf.DUMMYFUNCTION("""COMPUTED_VALUE"""),1.87)</f>
        <v>1.87</v>
      </c>
      <c r="G107" s="1">
        <f ca="1">IFERROR(__xludf.DUMMYFUNCTION("""COMPUTED_VALUE"""),-0.09)</f>
        <v>-0.09</v>
      </c>
      <c r="H107" s="1">
        <f ca="1">IFERROR(__xludf.DUMMYFUNCTION("""COMPUTED_VALUE"""),8)</f>
        <v>8</v>
      </c>
      <c r="I107" s="1">
        <f ca="1">IFERROR(__xludf.DUMMYFUNCTION("""COMPUTED_VALUE"""),10)</f>
        <v>10</v>
      </c>
      <c r="J107" s="1">
        <f ca="1">IFERROR(__xludf.DUMMYFUNCTION("""COMPUTED_VALUE"""),14)</f>
        <v>14</v>
      </c>
      <c r="K107" s="1">
        <f ca="1">IFERROR(__xludf.DUMMYFUNCTION("""COMPUTED_VALUE"""),5)</f>
        <v>5</v>
      </c>
      <c r="L107" s="1">
        <f ca="1">IFERROR(__xludf.DUMMYFUNCTION("""COMPUTED_VALUE"""),3)</f>
        <v>3</v>
      </c>
      <c r="M107" s="1">
        <f ca="1">IFERROR(__xludf.DUMMYFUNCTION("""COMPUTED_VALUE"""),7)</f>
        <v>7</v>
      </c>
      <c r="N107" s="1">
        <f ca="1">IFERROR(__xludf.DUMMYFUNCTION("""COMPUTED_VALUE"""),2206)</f>
        <v>2206</v>
      </c>
      <c r="O107" s="1">
        <f ca="1">IFERROR(__xludf.DUMMYFUNCTION("""COMPUTED_VALUE"""),2128)</f>
        <v>2128</v>
      </c>
      <c r="P107" s="1">
        <f ca="1">IFERROR(__xludf.DUMMYFUNCTION("""COMPUTED_VALUE"""),1255)</f>
        <v>1255</v>
      </c>
      <c r="Q107" s="1">
        <f ca="1">IFERROR(__xludf.DUMMYFUNCTION("""COMPUTED_VALUE"""),782)</f>
        <v>782</v>
      </c>
      <c r="R107" s="1">
        <f ca="1">IFERROR(__xludf.DUMMYFUNCTION("""COMPUTED_VALUE"""),1744)</f>
        <v>1744</v>
      </c>
      <c r="S107" s="1">
        <f ca="1">IFERROR(__xludf.DUMMYFUNCTION("""COMPUTED_VALUE"""),0.448)</f>
        <v>0.44800000000000001</v>
      </c>
      <c r="T107" s="1">
        <f ca="1">IFERROR(__xludf.DUMMYFUNCTION("""COMPUTED_VALUE"""),243)</f>
        <v>243</v>
      </c>
      <c r="U107" s="1">
        <f ca="1">IFERROR(__xludf.DUMMYFUNCTION("""COMPUTED_VALUE"""),702)</f>
        <v>702</v>
      </c>
      <c r="V107" s="1">
        <f ca="1">IFERROR(__xludf.DUMMYFUNCTION("""COMPUTED_VALUE"""),0.346)</f>
        <v>0.34599999999999997</v>
      </c>
      <c r="W107" s="1">
        <f ca="1">IFERROR(__xludf.DUMMYFUNCTION("""COMPUTED_VALUE"""),399)</f>
        <v>399</v>
      </c>
      <c r="X107" s="1">
        <f ca="1">IFERROR(__xludf.DUMMYFUNCTION("""COMPUTED_VALUE"""),586)</f>
        <v>586</v>
      </c>
      <c r="Y107" s="1">
        <f ca="1">IFERROR(__xludf.DUMMYFUNCTION("""COMPUTED_VALUE"""),0.681)</f>
        <v>0.68100000000000005</v>
      </c>
      <c r="Z107" s="1">
        <f ca="1">IFERROR(__xludf.DUMMYFUNCTION("""COMPUTED_VALUE"""),320)</f>
        <v>320</v>
      </c>
      <c r="AA107" s="1">
        <f ca="1">IFERROR(__xludf.DUMMYFUNCTION("""COMPUTED_VALUE"""),1060)</f>
        <v>1060</v>
      </c>
      <c r="AB107" s="1">
        <f ca="1">IFERROR(__xludf.DUMMYFUNCTION("""COMPUTED_VALUE"""),488)</f>
        <v>488</v>
      </c>
      <c r="AC107" s="1">
        <f ca="1">IFERROR(__xludf.DUMMYFUNCTION("""COMPUTED_VALUE"""),263)</f>
        <v>263</v>
      </c>
      <c r="AD107" s="1">
        <f ca="1">IFERROR(__xludf.DUMMYFUNCTION("""COMPUTED_VALUE"""),121)</f>
        <v>121</v>
      </c>
      <c r="AE107" s="1">
        <f ca="1">IFERROR(__xludf.DUMMYFUNCTION("""COMPUTED_VALUE"""),438)</f>
        <v>438</v>
      </c>
      <c r="AF107" s="1">
        <f ca="1">IFERROR(__xludf.DUMMYFUNCTION("""COMPUTED_VALUE"""),610)</f>
        <v>610</v>
      </c>
    </row>
    <row r="108" spans="1:32" ht="12.5" x14ac:dyDescent="0.25">
      <c r="A108" s="1" t="str">
        <f ca="1">IFERROR(__xludf.DUMMYFUNCTION("""COMPUTED_VALUE"""),"Fresno StateNCAA")</f>
        <v>Fresno StateNCAA</v>
      </c>
      <c r="B108" s="1">
        <f ca="1">IFERROR(__xludf.DUMMYFUNCTION("""COMPUTED_VALUE"""),35)</f>
        <v>35</v>
      </c>
      <c r="C108" s="1">
        <f ca="1">IFERROR(__xludf.DUMMYFUNCTION("""COMPUTED_VALUE"""),25)</f>
        <v>25</v>
      </c>
      <c r="D108" s="1">
        <f ca="1">IFERROR(__xludf.DUMMYFUNCTION("""COMPUTED_VALUE"""),10)</f>
        <v>10</v>
      </c>
      <c r="E108" s="1">
        <f ca="1">IFERROR(__xludf.DUMMYFUNCTION("""COMPUTED_VALUE"""),0.714)</f>
        <v>0.71399999999999997</v>
      </c>
      <c r="F108" s="1">
        <f ca="1">IFERROR(__xludf.DUMMYFUNCTION("""COMPUTED_VALUE"""),5.27)</f>
        <v>5.27</v>
      </c>
      <c r="G108" s="1">
        <f ca="1">IFERROR(__xludf.DUMMYFUNCTION("""COMPUTED_VALUE"""),2.24)</f>
        <v>2.2400000000000002</v>
      </c>
      <c r="H108" s="1">
        <f ca="1">IFERROR(__xludf.DUMMYFUNCTION("""COMPUTED_VALUE"""),13)</f>
        <v>13</v>
      </c>
      <c r="I108" s="1">
        <f ca="1">IFERROR(__xludf.DUMMYFUNCTION("""COMPUTED_VALUE"""),5)</f>
        <v>5</v>
      </c>
      <c r="J108" s="1">
        <f ca="1">IFERROR(__xludf.DUMMYFUNCTION("""COMPUTED_VALUE"""),16)</f>
        <v>16</v>
      </c>
      <c r="K108" s="1">
        <f ca="1">IFERROR(__xludf.DUMMYFUNCTION("""COMPUTED_VALUE"""),2)</f>
        <v>2</v>
      </c>
      <c r="L108" s="1">
        <f ca="1">IFERROR(__xludf.DUMMYFUNCTION("""COMPUTED_VALUE"""),6)</f>
        <v>6</v>
      </c>
      <c r="M108" s="1">
        <f ca="1">IFERROR(__xludf.DUMMYFUNCTION("""COMPUTED_VALUE"""),7)</f>
        <v>7</v>
      </c>
      <c r="N108" s="1">
        <f ca="1">IFERROR(__xludf.DUMMYFUNCTION("""COMPUTED_VALUE"""),2630)</f>
        <v>2630</v>
      </c>
      <c r="O108" s="1">
        <f ca="1">IFERROR(__xludf.DUMMYFUNCTION("""COMPUTED_VALUE"""),2475)</f>
        <v>2475</v>
      </c>
      <c r="P108" s="1">
        <f ca="1">IFERROR(__xludf.DUMMYFUNCTION("""COMPUTED_VALUE"""),1420)</f>
        <v>1420</v>
      </c>
      <c r="Q108" s="1">
        <f ca="1">IFERROR(__xludf.DUMMYFUNCTION("""COMPUTED_VALUE"""),926)</f>
        <v>926</v>
      </c>
      <c r="R108" s="1">
        <f ca="1">IFERROR(__xludf.DUMMYFUNCTION("""COMPUTED_VALUE"""),2126)</f>
        <v>2126</v>
      </c>
      <c r="S108" s="1">
        <f ca="1">IFERROR(__xludf.DUMMYFUNCTION("""COMPUTED_VALUE"""),0.436)</f>
        <v>0.436</v>
      </c>
      <c r="T108" s="1">
        <f ca="1">IFERROR(__xludf.DUMMYFUNCTION("""COMPUTED_VALUE"""),219)</f>
        <v>219</v>
      </c>
      <c r="U108" s="1">
        <f ca="1">IFERROR(__xludf.DUMMYFUNCTION("""COMPUTED_VALUE"""),638)</f>
        <v>638</v>
      </c>
      <c r="V108" s="1">
        <f ca="1">IFERROR(__xludf.DUMMYFUNCTION("""COMPUTED_VALUE"""),0.343)</f>
        <v>0.34300000000000003</v>
      </c>
      <c r="W108" s="1">
        <f ca="1">IFERROR(__xludf.DUMMYFUNCTION("""COMPUTED_VALUE"""),559)</f>
        <v>559</v>
      </c>
      <c r="X108" s="1">
        <f ca="1">IFERROR(__xludf.DUMMYFUNCTION("""COMPUTED_VALUE"""),805)</f>
        <v>805</v>
      </c>
      <c r="Y108" s="1">
        <f ca="1">IFERROR(__xludf.DUMMYFUNCTION("""COMPUTED_VALUE"""),0.694)</f>
        <v>0.69399999999999995</v>
      </c>
      <c r="Z108" s="1">
        <f ca="1">IFERROR(__xludf.DUMMYFUNCTION("""COMPUTED_VALUE"""),409)</f>
        <v>409</v>
      </c>
      <c r="AA108" s="1">
        <f ca="1">IFERROR(__xludf.DUMMYFUNCTION("""COMPUTED_VALUE"""),1293)</f>
        <v>1293</v>
      </c>
      <c r="AB108" s="1">
        <f ca="1">IFERROR(__xludf.DUMMYFUNCTION("""COMPUTED_VALUE"""),466)</f>
        <v>466</v>
      </c>
      <c r="AC108" s="1">
        <f ca="1">IFERROR(__xludf.DUMMYFUNCTION("""COMPUTED_VALUE"""),295)</f>
        <v>295</v>
      </c>
      <c r="AD108" s="1">
        <f ca="1">IFERROR(__xludf.DUMMYFUNCTION("""COMPUTED_VALUE"""),138)</f>
        <v>138</v>
      </c>
      <c r="AE108" s="1">
        <f ca="1">IFERROR(__xludf.DUMMYFUNCTION("""COMPUTED_VALUE"""),378)</f>
        <v>378</v>
      </c>
      <c r="AF108" s="1">
        <f ca="1">IFERROR(__xludf.DUMMYFUNCTION("""COMPUTED_VALUE"""),764)</f>
        <v>764</v>
      </c>
    </row>
    <row r="109" spans="1:32" ht="12.5" x14ac:dyDescent="0.25">
      <c r="A109" s="1" t="str">
        <f ca="1">IFERROR(__xludf.DUMMYFUNCTION("""COMPUTED_VALUE"""),"Furman")</f>
        <v>Furman</v>
      </c>
      <c r="B109" s="1">
        <f ca="1">IFERROR(__xludf.DUMMYFUNCTION("""COMPUTED_VALUE"""),35)</f>
        <v>35</v>
      </c>
      <c r="C109" s="1">
        <f ca="1">IFERROR(__xludf.DUMMYFUNCTION("""COMPUTED_VALUE"""),19)</f>
        <v>19</v>
      </c>
      <c r="D109" s="1">
        <f ca="1">IFERROR(__xludf.DUMMYFUNCTION("""COMPUTED_VALUE"""),16)</f>
        <v>16</v>
      </c>
      <c r="E109" s="1">
        <f ca="1">IFERROR(__xludf.DUMMYFUNCTION("""COMPUTED_VALUE"""),0.543)</f>
        <v>0.54300000000000004</v>
      </c>
      <c r="F109" s="1">
        <f ca="1">IFERROR(__xludf.DUMMYFUNCTION("""COMPUTED_VALUE"""),-2.83)</f>
        <v>-2.83</v>
      </c>
      <c r="G109" s="1">
        <f ca="1">IFERROR(__xludf.DUMMYFUNCTION("""COMPUTED_VALUE"""),-4.2)</f>
        <v>-4.2</v>
      </c>
      <c r="H109" s="1">
        <f ca="1">IFERROR(__xludf.DUMMYFUNCTION("""COMPUTED_VALUE"""),11)</f>
        <v>11</v>
      </c>
      <c r="I109" s="1">
        <f ca="1">IFERROR(__xludf.DUMMYFUNCTION("""COMPUTED_VALUE"""),7)</f>
        <v>7</v>
      </c>
      <c r="J109" s="1">
        <f ca="1">IFERROR(__xludf.DUMMYFUNCTION("""COMPUTED_VALUE"""),14)</f>
        <v>14</v>
      </c>
      <c r="K109" s="1">
        <f ca="1">IFERROR(__xludf.DUMMYFUNCTION("""COMPUTED_VALUE"""),2)</f>
        <v>2</v>
      </c>
      <c r="L109" s="1">
        <f ca="1">IFERROR(__xludf.DUMMYFUNCTION("""COMPUTED_VALUE"""),3)</f>
        <v>3</v>
      </c>
      <c r="M109" s="1">
        <f ca="1">IFERROR(__xludf.DUMMYFUNCTION("""COMPUTED_VALUE"""),12)</f>
        <v>12</v>
      </c>
      <c r="N109" s="1">
        <f ca="1">IFERROR(__xludf.DUMMYFUNCTION("""COMPUTED_VALUE"""),2487)</f>
        <v>2487</v>
      </c>
      <c r="O109" s="1">
        <f ca="1">IFERROR(__xludf.DUMMYFUNCTION("""COMPUTED_VALUE"""),2333)</f>
        <v>2333</v>
      </c>
      <c r="P109" s="1">
        <f ca="1">IFERROR(__xludf.DUMMYFUNCTION("""COMPUTED_VALUE"""),1400)</f>
        <v>1400</v>
      </c>
      <c r="Q109" s="1">
        <f ca="1">IFERROR(__xludf.DUMMYFUNCTION("""COMPUTED_VALUE"""),847)</f>
        <v>847</v>
      </c>
      <c r="R109" s="1">
        <f ca="1">IFERROR(__xludf.DUMMYFUNCTION("""COMPUTED_VALUE"""),1865)</f>
        <v>1865</v>
      </c>
      <c r="S109" s="1">
        <f ca="1">IFERROR(__xludf.DUMMYFUNCTION("""COMPUTED_VALUE"""),0.454)</f>
        <v>0.45400000000000001</v>
      </c>
      <c r="T109" s="1">
        <f ca="1">IFERROR(__xludf.DUMMYFUNCTION("""COMPUTED_VALUE"""),253)</f>
        <v>253</v>
      </c>
      <c r="U109" s="1">
        <f ca="1">IFERROR(__xludf.DUMMYFUNCTION("""COMPUTED_VALUE"""),785)</f>
        <v>785</v>
      </c>
      <c r="V109" s="1">
        <f ca="1">IFERROR(__xludf.DUMMYFUNCTION("""COMPUTED_VALUE"""),0.322)</f>
        <v>0.32200000000000001</v>
      </c>
      <c r="W109" s="1">
        <f ca="1">IFERROR(__xludf.DUMMYFUNCTION("""COMPUTED_VALUE"""),540)</f>
        <v>540</v>
      </c>
      <c r="X109" s="1">
        <f ca="1">IFERROR(__xludf.DUMMYFUNCTION("""COMPUTED_VALUE"""),777)</f>
        <v>777</v>
      </c>
      <c r="Y109" s="1">
        <f ca="1">IFERROR(__xludf.DUMMYFUNCTION("""COMPUTED_VALUE"""),0.695)</f>
        <v>0.69499999999999995</v>
      </c>
      <c r="Z109" s="1">
        <f ca="1">IFERROR(__xludf.DUMMYFUNCTION("""COMPUTED_VALUE"""),387)</f>
        <v>387</v>
      </c>
      <c r="AA109" s="1">
        <f ca="1">IFERROR(__xludf.DUMMYFUNCTION("""COMPUTED_VALUE"""),1250)</f>
        <v>1250</v>
      </c>
      <c r="AB109" s="1">
        <f ca="1">IFERROR(__xludf.DUMMYFUNCTION("""COMPUTED_VALUE"""),424)</f>
        <v>424</v>
      </c>
      <c r="AC109" s="1">
        <f ca="1">IFERROR(__xludf.DUMMYFUNCTION("""COMPUTED_VALUE"""),217)</f>
        <v>217</v>
      </c>
      <c r="AD109" s="1">
        <f ca="1">IFERROR(__xludf.DUMMYFUNCTION("""COMPUTED_VALUE"""),115)</f>
        <v>115</v>
      </c>
      <c r="AE109" s="1">
        <f ca="1">IFERROR(__xludf.DUMMYFUNCTION("""COMPUTED_VALUE"""),471)</f>
        <v>471</v>
      </c>
      <c r="AF109" s="1">
        <f ca="1">IFERROR(__xludf.DUMMYFUNCTION("""COMPUTED_VALUE"""),622)</f>
        <v>622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IFERROR(__xludf.DUMMYFUNCTION("""COMPUTED_VALUE"""),"Gardner-Webb")</f>
        <v>Gardner-Webb</v>
      </c>
      <c r="B112" s="1">
        <f ca="1">IFERROR(__xludf.DUMMYFUNCTION("""COMPUTED_VALUE"""),33)</f>
        <v>33</v>
      </c>
      <c r="C112" s="1">
        <f ca="1">IFERROR(__xludf.DUMMYFUNCTION("""COMPUTED_VALUE"""),17)</f>
        <v>17</v>
      </c>
      <c r="D112" s="1">
        <f ca="1">IFERROR(__xludf.DUMMYFUNCTION("""COMPUTED_VALUE"""),16)</f>
        <v>16</v>
      </c>
      <c r="E112" s="1">
        <f ca="1">IFERROR(__xludf.DUMMYFUNCTION("""COMPUTED_VALUE"""),0.515)</f>
        <v>0.51500000000000001</v>
      </c>
      <c r="F112" s="1">
        <f ca="1">IFERROR(__xludf.DUMMYFUNCTION("""COMPUTED_VALUE"""),-6.92)</f>
        <v>-6.92</v>
      </c>
      <c r="G112" s="1">
        <f ca="1">IFERROR(__xludf.DUMMYFUNCTION("""COMPUTED_VALUE"""),-3.96)</f>
        <v>-3.96</v>
      </c>
      <c r="H112" s="1">
        <f ca="1">IFERROR(__xludf.DUMMYFUNCTION("""COMPUTED_VALUE"""),10)</f>
        <v>10</v>
      </c>
      <c r="I112" s="1">
        <f ca="1">IFERROR(__xludf.DUMMYFUNCTION("""COMPUTED_VALUE"""),8)</f>
        <v>8</v>
      </c>
      <c r="J112" s="1">
        <f ca="1">IFERROR(__xludf.DUMMYFUNCTION("""COMPUTED_VALUE"""),9)</f>
        <v>9</v>
      </c>
      <c r="K112" s="1">
        <f ca="1">IFERROR(__xludf.DUMMYFUNCTION("""COMPUTED_VALUE"""),4)</f>
        <v>4</v>
      </c>
      <c r="L112" s="1">
        <f ca="1">IFERROR(__xludf.DUMMYFUNCTION("""COMPUTED_VALUE"""),5)</f>
        <v>5</v>
      </c>
      <c r="M112" s="1">
        <f ca="1">IFERROR(__xludf.DUMMYFUNCTION("""COMPUTED_VALUE"""),11)</f>
        <v>11</v>
      </c>
      <c r="N112" s="1">
        <f ca="1">IFERROR(__xludf.DUMMYFUNCTION("""COMPUTED_VALUE"""),2476)</f>
        <v>2476</v>
      </c>
      <c r="O112" s="1">
        <f ca="1">IFERROR(__xludf.DUMMYFUNCTION("""COMPUTED_VALUE"""),2451)</f>
        <v>2451</v>
      </c>
      <c r="P112" s="1">
        <f ca="1">IFERROR(__xludf.DUMMYFUNCTION("""COMPUTED_VALUE"""),1335)</f>
        <v>1335</v>
      </c>
      <c r="Q112" s="1">
        <f ca="1">IFERROR(__xludf.DUMMYFUNCTION("""COMPUTED_VALUE"""),871)</f>
        <v>871</v>
      </c>
      <c r="R112" s="1">
        <f ca="1">IFERROR(__xludf.DUMMYFUNCTION("""COMPUTED_VALUE"""),2039)</f>
        <v>2039</v>
      </c>
      <c r="S112" s="1">
        <f ca="1">IFERROR(__xludf.DUMMYFUNCTION("""COMPUTED_VALUE"""),0.427)</f>
        <v>0.42699999999999999</v>
      </c>
      <c r="T112" s="1">
        <f ca="1">IFERROR(__xludf.DUMMYFUNCTION("""COMPUTED_VALUE"""),276)</f>
        <v>276</v>
      </c>
      <c r="U112" s="1">
        <f ca="1">IFERROR(__xludf.DUMMYFUNCTION("""COMPUTED_VALUE"""),807)</f>
        <v>807</v>
      </c>
      <c r="V112" s="1">
        <f ca="1">IFERROR(__xludf.DUMMYFUNCTION("""COMPUTED_VALUE"""),0.342)</f>
        <v>0.34200000000000003</v>
      </c>
      <c r="W112" s="1">
        <f ca="1">IFERROR(__xludf.DUMMYFUNCTION("""COMPUTED_VALUE"""),458)</f>
        <v>458</v>
      </c>
      <c r="X112" s="1">
        <f ca="1">IFERROR(__xludf.DUMMYFUNCTION("""COMPUTED_VALUE"""),701)</f>
        <v>701</v>
      </c>
      <c r="Y112" s="1">
        <f ca="1">IFERROR(__xludf.DUMMYFUNCTION("""COMPUTED_VALUE"""),0.653)</f>
        <v>0.65300000000000002</v>
      </c>
      <c r="Z112" s="1">
        <f ca="1">IFERROR(__xludf.DUMMYFUNCTION("""COMPUTED_VALUE"""),435)</f>
        <v>435</v>
      </c>
      <c r="AA112" s="1">
        <f ca="1">IFERROR(__xludf.DUMMYFUNCTION("""COMPUTED_VALUE"""),1257)</f>
        <v>1257</v>
      </c>
      <c r="AB112" s="1">
        <f ca="1">IFERROR(__xludf.DUMMYFUNCTION("""COMPUTED_VALUE"""),442)</f>
        <v>442</v>
      </c>
      <c r="AC112" s="1">
        <f ca="1">IFERROR(__xludf.DUMMYFUNCTION("""COMPUTED_VALUE"""),265)</f>
        <v>265</v>
      </c>
      <c r="AD112" s="1">
        <f ca="1">IFERROR(__xludf.DUMMYFUNCTION("""COMPUTED_VALUE"""),113)</f>
        <v>113</v>
      </c>
      <c r="AE112" s="1">
        <f ca="1">IFERROR(__xludf.DUMMYFUNCTION("""COMPUTED_VALUE"""),439)</f>
        <v>439</v>
      </c>
      <c r="AF112" s="1">
        <f ca="1">IFERROR(__xludf.DUMMYFUNCTION("""COMPUTED_VALUE"""),666)</f>
        <v>666</v>
      </c>
    </row>
    <row r="113" spans="1:32" ht="12.5" x14ac:dyDescent="0.25">
      <c r="A113" s="1" t="str">
        <f ca="1">IFERROR(__xludf.DUMMYFUNCTION("""COMPUTED_VALUE"""),"George Mason")</f>
        <v>George Mason</v>
      </c>
      <c r="B113" s="1">
        <f ca="1">IFERROR(__xludf.DUMMYFUNCTION("""COMPUTED_VALUE"""),32)</f>
        <v>32</v>
      </c>
      <c r="C113" s="1">
        <f ca="1">IFERROR(__xludf.DUMMYFUNCTION("""COMPUTED_VALUE"""),11)</f>
        <v>11</v>
      </c>
      <c r="D113" s="1">
        <f ca="1">IFERROR(__xludf.DUMMYFUNCTION("""COMPUTED_VALUE"""),21)</f>
        <v>21</v>
      </c>
      <c r="E113" s="1">
        <f ca="1">IFERROR(__xludf.DUMMYFUNCTION("""COMPUTED_VALUE"""),0.344)</f>
        <v>0.34399999999999997</v>
      </c>
      <c r="F113" s="1">
        <f ca="1">IFERROR(__xludf.DUMMYFUNCTION("""COMPUTED_VALUE"""),-1.79)</f>
        <v>-1.79</v>
      </c>
      <c r="G113" s="1">
        <f ca="1">IFERROR(__xludf.DUMMYFUNCTION("""COMPUTED_VALUE"""),3.62)</f>
        <v>3.62</v>
      </c>
      <c r="H113" s="1">
        <f ca="1">IFERROR(__xludf.DUMMYFUNCTION("""COMPUTED_VALUE"""),5)</f>
        <v>5</v>
      </c>
      <c r="I113" s="1">
        <f ca="1">IFERROR(__xludf.DUMMYFUNCTION("""COMPUTED_VALUE"""),13)</f>
        <v>13</v>
      </c>
      <c r="J113" s="1">
        <f ca="1">IFERROR(__xludf.DUMMYFUNCTION("""COMPUTED_VALUE"""),7)</f>
        <v>7</v>
      </c>
      <c r="K113" s="1">
        <f ca="1">IFERROR(__xludf.DUMMYFUNCTION("""COMPUTED_VALUE"""),8)</f>
        <v>8</v>
      </c>
      <c r="L113" s="1">
        <f ca="1">IFERROR(__xludf.DUMMYFUNCTION("""COMPUTED_VALUE"""),2)</f>
        <v>2</v>
      </c>
      <c r="M113" s="1">
        <f ca="1">IFERROR(__xludf.DUMMYFUNCTION("""COMPUTED_VALUE"""),11)</f>
        <v>11</v>
      </c>
      <c r="N113" s="1">
        <f ca="1">IFERROR(__xludf.DUMMYFUNCTION("""COMPUTED_VALUE"""),2140)</f>
        <v>2140</v>
      </c>
      <c r="O113" s="1">
        <f ca="1">IFERROR(__xludf.DUMMYFUNCTION("""COMPUTED_VALUE"""),2313)</f>
        <v>2313</v>
      </c>
      <c r="P113" s="1">
        <f ca="1">IFERROR(__xludf.DUMMYFUNCTION("""COMPUTED_VALUE"""),1290)</f>
        <v>1290</v>
      </c>
      <c r="Q113" s="1">
        <f ca="1">IFERROR(__xludf.DUMMYFUNCTION("""COMPUTED_VALUE"""),766)</f>
        <v>766</v>
      </c>
      <c r="R113" s="1">
        <f ca="1">IFERROR(__xludf.DUMMYFUNCTION("""COMPUTED_VALUE"""),1888)</f>
        <v>1888</v>
      </c>
      <c r="S113" s="1">
        <f ca="1">IFERROR(__xludf.DUMMYFUNCTION("""COMPUTED_VALUE"""),0.406)</f>
        <v>0.40600000000000003</v>
      </c>
      <c r="T113" s="1">
        <f ca="1">IFERROR(__xludf.DUMMYFUNCTION("""COMPUTED_VALUE"""),172)</f>
        <v>172</v>
      </c>
      <c r="U113" s="1">
        <f ca="1">IFERROR(__xludf.DUMMYFUNCTION("""COMPUTED_VALUE"""),589)</f>
        <v>589</v>
      </c>
      <c r="V113" s="1">
        <f ca="1">IFERROR(__xludf.DUMMYFUNCTION("""COMPUTED_VALUE"""),0.292)</f>
        <v>0.29199999999999998</v>
      </c>
      <c r="W113" s="1">
        <f ca="1">IFERROR(__xludf.DUMMYFUNCTION("""COMPUTED_VALUE"""),436)</f>
        <v>436</v>
      </c>
      <c r="X113" s="1">
        <f ca="1">IFERROR(__xludf.DUMMYFUNCTION("""COMPUTED_VALUE"""),650)</f>
        <v>650</v>
      </c>
      <c r="Y113" s="1">
        <f ca="1">IFERROR(__xludf.DUMMYFUNCTION("""COMPUTED_VALUE"""),0.671)</f>
        <v>0.67100000000000004</v>
      </c>
      <c r="Z113" s="1">
        <f ca="1">IFERROR(__xludf.DUMMYFUNCTION("""COMPUTED_VALUE"""),419)</f>
        <v>419</v>
      </c>
      <c r="AA113" s="1">
        <f ca="1">IFERROR(__xludf.DUMMYFUNCTION("""COMPUTED_VALUE"""),1359)</f>
        <v>1359</v>
      </c>
      <c r="AB113" s="1">
        <f ca="1">IFERROR(__xludf.DUMMYFUNCTION("""COMPUTED_VALUE"""),328)</f>
        <v>328</v>
      </c>
      <c r="AC113" s="1">
        <f ca="1">IFERROR(__xludf.DUMMYFUNCTION("""COMPUTED_VALUE"""),92)</f>
        <v>92</v>
      </c>
      <c r="AD113" s="1">
        <f ca="1">IFERROR(__xludf.DUMMYFUNCTION("""COMPUTED_VALUE"""),119)</f>
        <v>119</v>
      </c>
      <c r="AE113" s="1">
        <f ca="1">IFERROR(__xludf.DUMMYFUNCTION("""COMPUTED_VALUE"""),407)</f>
        <v>407</v>
      </c>
      <c r="AF113" s="1">
        <f ca="1">IFERROR(__xludf.DUMMYFUNCTION("""COMPUTED_VALUE"""),570)</f>
        <v>570</v>
      </c>
    </row>
    <row r="114" spans="1:32" ht="12.5" x14ac:dyDescent="0.25">
      <c r="A114" s="1" t="str">
        <f ca="1">IFERROR(__xludf.DUMMYFUNCTION("""COMPUTED_VALUE"""),"George Washington")</f>
        <v>George Washington</v>
      </c>
      <c r="B114" s="1">
        <f ca="1">IFERROR(__xludf.DUMMYFUNCTION("""COMPUTED_VALUE"""),38)</f>
        <v>38</v>
      </c>
      <c r="C114" s="1">
        <f ca="1">IFERROR(__xludf.DUMMYFUNCTION("""COMPUTED_VALUE"""),28)</f>
        <v>28</v>
      </c>
      <c r="D114" s="1">
        <f ca="1">IFERROR(__xludf.DUMMYFUNCTION("""COMPUTED_VALUE"""),10)</f>
        <v>10</v>
      </c>
      <c r="E114" s="1">
        <f ca="1">IFERROR(__xludf.DUMMYFUNCTION("""COMPUTED_VALUE"""),0.737)</f>
        <v>0.73699999999999999</v>
      </c>
      <c r="F114" s="1">
        <f ca="1">IFERROR(__xludf.DUMMYFUNCTION("""COMPUTED_VALUE"""),11.43)</f>
        <v>11.43</v>
      </c>
      <c r="G114" s="1">
        <f ca="1">IFERROR(__xludf.DUMMYFUNCTION("""COMPUTED_VALUE"""),4.24)</f>
        <v>4.24</v>
      </c>
      <c r="H114" s="1">
        <f ca="1">IFERROR(__xludf.DUMMYFUNCTION("""COMPUTED_VALUE"""),11)</f>
        <v>11</v>
      </c>
      <c r="I114" s="1">
        <f ca="1">IFERROR(__xludf.DUMMYFUNCTION("""COMPUTED_VALUE"""),7)</f>
        <v>7</v>
      </c>
      <c r="J114" s="1">
        <f ca="1">IFERROR(__xludf.DUMMYFUNCTION("""COMPUTED_VALUE"""),16)</f>
        <v>16</v>
      </c>
      <c r="K114" s="1">
        <f ca="1">IFERROR(__xludf.DUMMYFUNCTION("""COMPUTED_VALUE"""),3)</f>
        <v>3</v>
      </c>
      <c r="L114" s="1">
        <f ca="1">IFERROR(__xludf.DUMMYFUNCTION("""COMPUTED_VALUE"""),8)</f>
        <v>8</v>
      </c>
      <c r="M114" s="1">
        <f ca="1">IFERROR(__xludf.DUMMYFUNCTION("""COMPUTED_VALUE"""),5)</f>
        <v>5</v>
      </c>
      <c r="N114" s="1">
        <f ca="1">IFERROR(__xludf.DUMMYFUNCTION("""COMPUTED_VALUE"""),2875)</f>
        <v>2875</v>
      </c>
      <c r="O114" s="1">
        <f ca="1">IFERROR(__xludf.DUMMYFUNCTION("""COMPUTED_VALUE"""),2602)</f>
        <v>2602</v>
      </c>
      <c r="P114" s="1">
        <f ca="1">IFERROR(__xludf.DUMMYFUNCTION("""COMPUTED_VALUE"""),1530)</f>
        <v>1530</v>
      </c>
      <c r="Q114" s="1">
        <f ca="1">IFERROR(__xludf.DUMMYFUNCTION("""COMPUTED_VALUE"""),980)</f>
        <v>980</v>
      </c>
      <c r="R114" s="1">
        <f ca="1">IFERROR(__xludf.DUMMYFUNCTION("""COMPUTED_VALUE"""),2194)</f>
        <v>2194</v>
      </c>
      <c r="S114" s="1">
        <f ca="1">IFERROR(__xludf.DUMMYFUNCTION("""COMPUTED_VALUE"""),0.447)</f>
        <v>0.44700000000000001</v>
      </c>
      <c r="T114" s="1">
        <f ca="1">IFERROR(__xludf.DUMMYFUNCTION("""COMPUTED_VALUE"""),269)</f>
        <v>269</v>
      </c>
      <c r="U114" s="1">
        <f ca="1">IFERROR(__xludf.DUMMYFUNCTION("""COMPUTED_VALUE"""),726)</f>
        <v>726</v>
      </c>
      <c r="V114" s="1">
        <f ca="1">IFERROR(__xludf.DUMMYFUNCTION("""COMPUTED_VALUE"""),0.371)</f>
        <v>0.371</v>
      </c>
      <c r="W114" s="1">
        <f ca="1">IFERROR(__xludf.DUMMYFUNCTION("""COMPUTED_VALUE"""),646)</f>
        <v>646</v>
      </c>
      <c r="X114" s="1">
        <f ca="1">IFERROR(__xludf.DUMMYFUNCTION("""COMPUTED_VALUE"""),858)</f>
        <v>858</v>
      </c>
      <c r="Y114" s="1">
        <f ca="1">IFERROR(__xludf.DUMMYFUNCTION("""COMPUTED_VALUE"""),0.753)</f>
        <v>0.753</v>
      </c>
      <c r="Z114" s="1">
        <f ca="1">IFERROR(__xludf.DUMMYFUNCTION("""COMPUTED_VALUE"""),453)</f>
        <v>453</v>
      </c>
      <c r="AA114" s="1">
        <f ca="1">IFERROR(__xludf.DUMMYFUNCTION("""COMPUTED_VALUE"""),1442)</f>
        <v>1442</v>
      </c>
      <c r="AB114" s="1">
        <f ca="1">IFERROR(__xludf.DUMMYFUNCTION("""COMPUTED_VALUE"""),535)</f>
        <v>535</v>
      </c>
      <c r="AC114" s="1">
        <f ca="1">IFERROR(__xludf.DUMMYFUNCTION("""COMPUTED_VALUE"""),230)</f>
        <v>230</v>
      </c>
      <c r="AD114" s="1">
        <f ca="1">IFERROR(__xludf.DUMMYFUNCTION("""COMPUTED_VALUE"""),125)</f>
        <v>125</v>
      </c>
      <c r="AE114" s="1">
        <f ca="1">IFERROR(__xludf.DUMMYFUNCTION("""COMPUTED_VALUE"""),426)</f>
        <v>426</v>
      </c>
      <c r="AF114" s="1">
        <f ca="1">IFERROR(__xludf.DUMMYFUNCTION("""COMPUTED_VALUE"""),621)</f>
        <v>621</v>
      </c>
    </row>
    <row r="115" spans="1:32" ht="12.5" x14ac:dyDescent="0.25">
      <c r="A115" s="1" t="str">
        <f ca="1">IFERROR(__xludf.DUMMYFUNCTION("""COMPUTED_VALUE"""),"Georgetown")</f>
        <v>Georgetown</v>
      </c>
      <c r="B115" s="1">
        <f ca="1">IFERROR(__xludf.DUMMYFUNCTION("""COMPUTED_VALUE"""),33)</f>
        <v>33</v>
      </c>
      <c r="C115" s="1">
        <f ca="1">IFERROR(__xludf.DUMMYFUNCTION("""COMPUTED_VALUE"""),15)</f>
        <v>15</v>
      </c>
      <c r="D115" s="1">
        <f ca="1">IFERROR(__xludf.DUMMYFUNCTION("""COMPUTED_VALUE"""),18)</f>
        <v>18</v>
      </c>
      <c r="E115" s="1">
        <f ca="1">IFERROR(__xludf.DUMMYFUNCTION("""COMPUTED_VALUE"""),0.455)</f>
        <v>0.45500000000000002</v>
      </c>
      <c r="F115" s="1">
        <f ca="1">IFERROR(__xludf.DUMMYFUNCTION("""COMPUTED_VALUE"""),10.31)</f>
        <v>10.31</v>
      </c>
      <c r="G115" s="1">
        <f ca="1">IFERROR(__xludf.DUMMYFUNCTION("""COMPUTED_VALUE"""),8.49)</f>
        <v>8.49</v>
      </c>
      <c r="H115" s="1">
        <f ca="1">IFERROR(__xludf.DUMMYFUNCTION("""COMPUTED_VALUE"""),7)</f>
        <v>7</v>
      </c>
      <c r="I115" s="1">
        <f ca="1">IFERROR(__xludf.DUMMYFUNCTION("""COMPUTED_VALUE"""),11)</f>
        <v>11</v>
      </c>
      <c r="J115" s="1">
        <f ca="1">IFERROR(__xludf.DUMMYFUNCTION("""COMPUTED_VALUE"""),9)</f>
        <v>9</v>
      </c>
      <c r="K115" s="1">
        <f ca="1">IFERROR(__xludf.DUMMYFUNCTION("""COMPUTED_VALUE"""),8)</f>
        <v>8</v>
      </c>
      <c r="L115" s="1">
        <f ca="1">IFERROR(__xludf.DUMMYFUNCTION("""COMPUTED_VALUE"""),4)</f>
        <v>4</v>
      </c>
      <c r="M115" s="1">
        <f ca="1">IFERROR(__xludf.DUMMYFUNCTION("""COMPUTED_VALUE"""),8)</f>
        <v>8</v>
      </c>
      <c r="N115" s="1">
        <f ca="1">IFERROR(__xludf.DUMMYFUNCTION("""COMPUTED_VALUE"""),2430)</f>
        <v>2430</v>
      </c>
      <c r="O115" s="1">
        <f ca="1">IFERROR(__xludf.DUMMYFUNCTION("""COMPUTED_VALUE"""),2370)</f>
        <v>2370</v>
      </c>
      <c r="P115" s="1">
        <f ca="1">IFERROR(__xludf.DUMMYFUNCTION("""COMPUTED_VALUE"""),1335)</f>
        <v>1335</v>
      </c>
      <c r="Q115" s="1">
        <f ca="1">IFERROR(__xludf.DUMMYFUNCTION("""COMPUTED_VALUE"""),820)</f>
        <v>820</v>
      </c>
      <c r="R115" s="1">
        <f ca="1">IFERROR(__xludf.DUMMYFUNCTION("""COMPUTED_VALUE"""),1858)</f>
        <v>1858</v>
      </c>
      <c r="S115" s="1">
        <f ca="1">IFERROR(__xludf.DUMMYFUNCTION("""COMPUTED_VALUE"""),0.441)</f>
        <v>0.441</v>
      </c>
      <c r="T115" s="1">
        <f ca="1">IFERROR(__xludf.DUMMYFUNCTION("""COMPUTED_VALUE"""),261)</f>
        <v>261</v>
      </c>
      <c r="U115" s="1">
        <f ca="1">IFERROR(__xludf.DUMMYFUNCTION("""COMPUTED_VALUE"""),770)</f>
        <v>770</v>
      </c>
      <c r="V115" s="1">
        <f ca="1">IFERROR(__xludf.DUMMYFUNCTION("""COMPUTED_VALUE"""),0.339)</f>
        <v>0.33900000000000002</v>
      </c>
      <c r="W115" s="1">
        <f ca="1">IFERROR(__xludf.DUMMYFUNCTION("""COMPUTED_VALUE"""),529)</f>
        <v>529</v>
      </c>
      <c r="X115" s="1">
        <f ca="1">IFERROR(__xludf.DUMMYFUNCTION("""COMPUTED_VALUE"""),704)</f>
        <v>704</v>
      </c>
      <c r="Y115" s="1">
        <f ca="1">IFERROR(__xludf.DUMMYFUNCTION("""COMPUTED_VALUE"""),0.751)</f>
        <v>0.751</v>
      </c>
      <c r="Z115" s="1">
        <f ca="1">IFERROR(__xludf.DUMMYFUNCTION("""COMPUTED_VALUE"""),316)</f>
        <v>316</v>
      </c>
      <c r="AA115" s="1">
        <f ca="1">IFERROR(__xludf.DUMMYFUNCTION("""COMPUTED_VALUE"""),1181)</f>
        <v>1181</v>
      </c>
      <c r="AB115" s="1">
        <f ca="1">IFERROR(__xludf.DUMMYFUNCTION("""COMPUTED_VALUE"""),492)</f>
        <v>492</v>
      </c>
      <c r="AC115" s="1">
        <f ca="1">IFERROR(__xludf.DUMMYFUNCTION("""COMPUTED_VALUE"""),180)</f>
        <v>180</v>
      </c>
      <c r="AD115" s="1">
        <f ca="1">IFERROR(__xludf.DUMMYFUNCTION("""COMPUTED_VALUE"""),146)</f>
        <v>146</v>
      </c>
      <c r="AE115" s="1">
        <f ca="1">IFERROR(__xludf.DUMMYFUNCTION("""COMPUTED_VALUE"""),442)</f>
        <v>442</v>
      </c>
      <c r="AF115" s="1">
        <f ca="1">IFERROR(__xludf.DUMMYFUNCTION("""COMPUTED_VALUE"""),755)</f>
        <v>755</v>
      </c>
    </row>
    <row r="116" spans="1:32" ht="12.5" x14ac:dyDescent="0.25">
      <c r="A116" s="1" t="str">
        <f ca="1">IFERROR(__xludf.DUMMYFUNCTION("""COMPUTED_VALUE"""),"Georgia Southern")</f>
        <v>Georgia Southern</v>
      </c>
      <c r="B116" s="1">
        <f ca="1">IFERROR(__xludf.DUMMYFUNCTION("""COMPUTED_VALUE"""),31)</f>
        <v>31</v>
      </c>
      <c r="C116" s="1">
        <f ca="1">IFERROR(__xludf.DUMMYFUNCTION("""COMPUTED_VALUE"""),14)</f>
        <v>14</v>
      </c>
      <c r="D116" s="1">
        <f ca="1">IFERROR(__xludf.DUMMYFUNCTION("""COMPUTED_VALUE"""),17)</f>
        <v>17</v>
      </c>
      <c r="E116" s="1">
        <f ca="1">IFERROR(__xludf.DUMMYFUNCTION("""COMPUTED_VALUE"""),0.452)</f>
        <v>0.45200000000000001</v>
      </c>
      <c r="F116" s="1">
        <f ca="1">IFERROR(__xludf.DUMMYFUNCTION("""COMPUTED_VALUE"""),-5.65)</f>
        <v>-5.65</v>
      </c>
      <c r="G116" s="1">
        <f ca="1">IFERROR(__xludf.DUMMYFUNCTION("""COMPUTED_VALUE"""),-3.14)</f>
        <v>-3.14</v>
      </c>
      <c r="H116" s="1">
        <f ca="1">IFERROR(__xludf.DUMMYFUNCTION("""COMPUTED_VALUE"""),10)</f>
        <v>10</v>
      </c>
      <c r="I116" s="1">
        <f ca="1">IFERROR(__xludf.DUMMYFUNCTION("""COMPUTED_VALUE"""),10)</f>
        <v>10</v>
      </c>
      <c r="J116" s="1">
        <f ca="1">IFERROR(__xludf.DUMMYFUNCTION("""COMPUTED_VALUE"""),10)</f>
        <v>10</v>
      </c>
      <c r="K116" s="1">
        <f ca="1">IFERROR(__xludf.DUMMYFUNCTION("""COMPUTED_VALUE"""),4)</f>
        <v>4</v>
      </c>
      <c r="L116" s="1">
        <f ca="1">IFERROR(__xludf.DUMMYFUNCTION("""COMPUTED_VALUE"""),4)</f>
        <v>4</v>
      </c>
      <c r="M116" s="1">
        <f ca="1">IFERROR(__xludf.DUMMYFUNCTION("""COMPUTED_VALUE"""),12)</f>
        <v>12</v>
      </c>
      <c r="N116" s="1">
        <f ca="1">IFERROR(__xludf.DUMMYFUNCTION("""COMPUTED_VALUE"""),2353)</f>
        <v>2353</v>
      </c>
      <c r="O116" s="1">
        <f ca="1">IFERROR(__xludf.DUMMYFUNCTION("""COMPUTED_VALUE"""),2307)</f>
        <v>2307</v>
      </c>
      <c r="P116" s="1">
        <f ca="1">IFERROR(__xludf.DUMMYFUNCTION("""COMPUTED_VALUE"""),1250)</f>
        <v>1250</v>
      </c>
      <c r="Q116" s="1">
        <f ca="1">IFERROR(__xludf.DUMMYFUNCTION("""COMPUTED_VALUE"""),781)</f>
        <v>781</v>
      </c>
      <c r="R116" s="1">
        <f ca="1">IFERROR(__xludf.DUMMYFUNCTION("""COMPUTED_VALUE"""),1903)</f>
        <v>1903</v>
      </c>
      <c r="S116" s="1">
        <f ca="1">IFERROR(__xludf.DUMMYFUNCTION("""COMPUTED_VALUE"""),0.41)</f>
        <v>0.41</v>
      </c>
      <c r="T116" s="1">
        <f ca="1">IFERROR(__xludf.DUMMYFUNCTION("""COMPUTED_VALUE"""),282)</f>
        <v>282</v>
      </c>
      <c r="U116" s="1">
        <f ca="1">IFERROR(__xludf.DUMMYFUNCTION("""COMPUTED_VALUE"""),834)</f>
        <v>834</v>
      </c>
      <c r="V116" s="1">
        <f ca="1">IFERROR(__xludf.DUMMYFUNCTION("""COMPUTED_VALUE"""),0.338)</f>
        <v>0.33800000000000002</v>
      </c>
      <c r="W116" s="1">
        <f ca="1">IFERROR(__xludf.DUMMYFUNCTION("""COMPUTED_VALUE"""),509)</f>
        <v>509</v>
      </c>
      <c r="X116" s="1">
        <f ca="1">IFERROR(__xludf.DUMMYFUNCTION("""COMPUTED_VALUE"""),728)</f>
        <v>728</v>
      </c>
      <c r="Y116" s="1">
        <f ca="1">IFERROR(__xludf.DUMMYFUNCTION("""COMPUTED_VALUE"""),0.699)</f>
        <v>0.69899999999999995</v>
      </c>
      <c r="Z116" s="1">
        <f ca="1">IFERROR(__xludf.DUMMYFUNCTION("""COMPUTED_VALUE"""),374)</f>
        <v>374</v>
      </c>
      <c r="AA116" s="1">
        <f ca="1">IFERROR(__xludf.DUMMYFUNCTION("""COMPUTED_VALUE"""),1131)</f>
        <v>1131</v>
      </c>
      <c r="AB116" s="1">
        <f ca="1">IFERROR(__xludf.DUMMYFUNCTION("""COMPUTED_VALUE"""),344)</f>
        <v>344</v>
      </c>
      <c r="AC116" s="1">
        <f ca="1">IFERROR(__xludf.DUMMYFUNCTION("""COMPUTED_VALUE"""),232)</f>
        <v>232</v>
      </c>
      <c r="AD116" s="1">
        <f ca="1">IFERROR(__xludf.DUMMYFUNCTION("""COMPUTED_VALUE"""),73)</f>
        <v>73</v>
      </c>
      <c r="AE116" s="1">
        <f ca="1">IFERROR(__xludf.DUMMYFUNCTION("""COMPUTED_VALUE"""),359)</f>
        <v>359</v>
      </c>
      <c r="AF116" s="1">
        <f ca="1">IFERROR(__xludf.DUMMYFUNCTION("""COMPUTED_VALUE"""),691)</f>
        <v>691</v>
      </c>
    </row>
    <row r="117" spans="1:32" ht="12.5" x14ac:dyDescent="0.25">
      <c r="A117" s="1" t="str">
        <f ca="1">IFERROR(__xludf.DUMMYFUNCTION("""COMPUTED_VALUE"""),"Georgia State")</f>
        <v>Georgia State</v>
      </c>
      <c r="B117" s="1">
        <f ca="1">IFERROR(__xludf.DUMMYFUNCTION("""COMPUTED_VALUE"""),30)</f>
        <v>30</v>
      </c>
      <c r="C117" s="1">
        <f ca="1">IFERROR(__xludf.DUMMYFUNCTION("""COMPUTED_VALUE"""),16)</f>
        <v>16</v>
      </c>
      <c r="D117" s="1">
        <f ca="1">IFERROR(__xludf.DUMMYFUNCTION("""COMPUTED_VALUE"""),14)</f>
        <v>14</v>
      </c>
      <c r="E117" s="1">
        <f ca="1">IFERROR(__xludf.DUMMYFUNCTION("""COMPUTED_VALUE"""),0.533)</f>
        <v>0.53300000000000003</v>
      </c>
      <c r="F117" s="1">
        <f ca="1">IFERROR(__xludf.DUMMYFUNCTION("""COMPUTED_VALUE"""),-2.8)</f>
        <v>-2.8</v>
      </c>
      <c r="G117" s="1">
        <f ca="1">IFERROR(__xludf.DUMMYFUNCTION("""COMPUTED_VALUE"""),-2.19)</f>
        <v>-2.19</v>
      </c>
      <c r="H117" s="1">
        <f ca="1">IFERROR(__xludf.DUMMYFUNCTION("""COMPUTED_VALUE"""),9)</f>
        <v>9</v>
      </c>
      <c r="I117" s="1">
        <f ca="1">IFERROR(__xludf.DUMMYFUNCTION("""COMPUTED_VALUE"""),11)</f>
        <v>11</v>
      </c>
      <c r="J117" s="1">
        <f ca="1">IFERROR(__xludf.DUMMYFUNCTION("""COMPUTED_VALUE"""),12)</f>
        <v>12</v>
      </c>
      <c r="K117" s="1">
        <f ca="1">IFERROR(__xludf.DUMMYFUNCTION("""COMPUTED_VALUE"""),3)</f>
        <v>3</v>
      </c>
      <c r="L117" s="1">
        <f ca="1">IFERROR(__xludf.DUMMYFUNCTION("""COMPUTED_VALUE"""),4)</f>
        <v>4</v>
      </c>
      <c r="M117" s="1">
        <f ca="1">IFERROR(__xludf.DUMMYFUNCTION("""COMPUTED_VALUE"""),10)</f>
        <v>10</v>
      </c>
      <c r="N117" s="1">
        <f ca="1">IFERROR(__xludf.DUMMYFUNCTION("""COMPUTED_VALUE"""),1971)</f>
        <v>1971</v>
      </c>
      <c r="O117" s="1">
        <f ca="1">IFERROR(__xludf.DUMMYFUNCTION("""COMPUTED_VALUE"""),1950)</f>
        <v>1950</v>
      </c>
      <c r="P117" s="1">
        <f ca="1">IFERROR(__xludf.DUMMYFUNCTION("""COMPUTED_VALUE"""),1220)</f>
        <v>1220</v>
      </c>
      <c r="Q117" s="1">
        <f ca="1">IFERROR(__xludf.DUMMYFUNCTION("""COMPUTED_VALUE"""),705)</f>
        <v>705</v>
      </c>
      <c r="R117" s="1">
        <f ca="1">IFERROR(__xludf.DUMMYFUNCTION("""COMPUTED_VALUE"""),1597)</f>
        <v>1597</v>
      </c>
      <c r="S117" s="1">
        <f ca="1">IFERROR(__xludf.DUMMYFUNCTION("""COMPUTED_VALUE"""),0.441)</f>
        <v>0.441</v>
      </c>
      <c r="T117" s="1">
        <f ca="1">IFERROR(__xludf.DUMMYFUNCTION("""COMPUTED_VALUE"""),149)</f>
        <v>149</v>
      </c>
      <c r="U117" s="1">
        <f ca="1">IFERROR(__xludf.DUMMYFUNCTION("""COMPUTED_VALUE"""),436)</f>
        <v>436</v>
      </c>
      <c r="V117" s="1">
        <f ca="1">IFERROR(__xludf.DUMMYFUNCTION("""COMPUTED_VALUE"""),0.342)</f>
        <v>0.34200000000000003</v>
      </c>
      <c r="W117" s="1">
        <f ca="1">IFERROR(__xludf.DUMMYFUNCTION("""COMPUTED_VALUE"""),412)</f>
        <v>412</v>
      </c>
      <c r="X117" s="1">
        <f ca="1">IFERROR(__xludf.DUMMYFUNCTION("""COMPUTED_VALUE"""),598)</f>
        <v>598</v>
      </c>
      <c r="Y117" s="1">
        <f ca="1">IFERROR(__xludf.DUMMYFUNCTION("""COMPUTED_VALUE"""),0.689)</f>
        <v>0.68899999999999995</v>
      </c>
      <c r="Z117" s="1">
        <f ca="1">IFERROR(__xludf.DUMMYFUNCTION("""COMPUTED_VALUE"""),243)</f>
        <v>243</v>
      </c>
      <c r="AA117" s="1">
        <f ca="1">IFERROR(__xludf.DUMMYFUNCTION("""COMPUTED_VALUE"""),925)</f>
        <v>925</v>
      </c>
      <c r="AB117" s="1">
        <f ca="1">IFERROR(__xludf.DUMMYFUNCTION("""COMPUTED_VALUE"""),352)</f>
        <v>352</v>
      </c>
      <c r="AC117" s="1">
        <f ca="1">IFERROR(__xludf.DUMMYFUNCTION("""COMPUTED_VALUE"""),200)</f>
        <v>200</v>
      </c>
      <c r="AD117" s="1">
        <f ca="1">IFERROR(__xludf.DUMMYFUNCTION("""COMPUTED_VALUE"""),91)</f>
        <v>91</v>
      </c>
      <c r="AE117" s="1">
        <f ca="1">IFERROR(__xludf.DUMMYFUNCTION("""COMPUTED_VALUE"""),350)</f>
        <v>350</v>
      </c>
      <c r="AF117" s="1">
        <f ca="1">IFERROR(__xludf.DUMMYFUNCTION("""COMPUTED_VALUE"""),578)</f>
        <v>578</v>
      </c>
    </row>
    <row r="118" spans="1:32" ht="12.5" x14ac:dyDescent="0.25">
      <c r="A118" s="1" t="str">
        <f ca="1">IFERROR(__xludf.DUMMYFUNCTION("""COMPUTED_VALUE"""),"Georgia Tech")</f>
        <v>Georgia Tech</v>
      </c>
      <c r="B118" s="1">
        <f ca="1">IFERROR(__xludf.DUMMYFUNCTION("""COMPUTED_VALUE"""),36)</f>
        <v>36</v>
      </c>
      <c r="C118" s="1">
        <f ca="1">IFERROR(__xludf.DUMMYFUNCTION("""COMPUTED_VALUE"""),21)</f>
        <v>21</v>
      </c>
      <c r="D118" s="1">
        <f ca="1">IFERROR(__xludf.DUMMYFUNCTION("""COMPUTED_VALUE"""),15)</f>
        <v>15</v>
      </c>
      <c r="E118" s="1">
        <f ca="1">IFERROR(__xludf.DUMMYFUNCTION("""COMPUTED_VALUE"""),0.583)</f>
        <v>0.58299999999999996</v>
      </c>
      <c r="F118" s="1">
        <f ca="1">IFERROR(__xludf.DUMMYFUNCTION("""COMPUTED_VALUE"""),12.51)</f>
        <v>12.51</v>
      </c>
      <c r="G118" s="1">
        <f ca="1">IFERROR(__xludf.DUMMYFUNCTION("""COMPUTED_VALUE"""),9.95)</f>
        <v>9.9499999999999993</v>
      </c>
      <c r="H118" s="1">
        <f ca="1">IFERROR(__xludf.DUMMYFUNCTION("""COMPUTED_VALUE"""),8)</f>
        <v>8</v>
      </c>
      <c r="I118" s="1">
        <f ca="1">IFERROR(__xludf.DUMMYFUNCTION("""COMPUTED_VALUE"""),10)</f>
        <v>10</v>
      </c>
      <c r="J118" s="1">
        <f ca="1">IFERROR(__xludf.DUMMYFUNCTION("""COMPUTED_VALUE"""),14)</f>
        <v>14</v>
      </c>
      <c r="K118" s="1">
        <f ca="1">IFERROR(__xludf.DUMMYFUNCTION("""COMPUTED_VALUE"""),5)</f>
        <v>5</v>
      </c>
      <c r="L118" s="1">
        <f ca="1">IFERROR(__xludf.DUMMYFUNCTION("""COMPUTED_VALUE"""),5)</f>
        <v>5</v>
      </c>
      <c r="M118" s="1">
        <f ca="1">IFERROR(__xludf.DUMMYFUNCTION("""COMPUTED_VALUE"""),8)</f>
        <v>8</v>
      </c>
      <c r="N118" s="1">
        <f ca="1">IFERROR(__xludf.DUMMYFUNCTION("""COMPUTED_VALUE"""),2637)</f>
        <v>2637</v>
      </c>
      <c r="O118" s="1">
        <f ca="1">IFERROR(__xludf.DUMMYFUNCTION("""COMPUTED_VALUE"""),2545)</f>
        <v>2545</v>
      </c>
      <c r="P118" s="1">
        <f ca="1">IFERROR(__xludf.DUMMYFUNCTION("""COMPUTED_VALUE"""),1445)</f>
        <v>1445</v>
      </c>
      <c r="Q118" s="1">
        <f ca="1">IFERROR(__xludf.DUMMYFUNCTION("""COMPUTED_VALUE"""),965)</f>
        <v>965</v>
      </c>
      <c r="R118" s="1">
        <f ca="1">IFERROR(__xludf.DUMMYFUNCTION("""COMPUTED_VALUE"""),2150)</f>
        <v>2150</v>
      </c>
      <c r="S118" s="1">
        <f ca="1">IFERROR(__xludf.DUMMYFUNCTION("""COMPUTED_VALUE"""),0.449)</f>
        <v>0.44900000000000001</v>
      </c>
      <c r="T118" s="1">
        <f ca="1">IFERROR(__xludf.DUMMYFUNCTION("""COMPUTED_VALUE"""),213)</f>
        <v>213</v>
      </c>
      <c r="U118" s="1">
        <f ca="1">IFERROR(__xludf.DUMMYFUNCTION("""COMPUTED_VALUE"""),597)</f>
        <v>597</v>
      </c>
      <c r="V118" s="1">
        <f ca="1">IFERROR(__xludf.DUMMYFUNCTION("""COMPUTED_VALUE"""),0.357)</f>
        <v>0.35699999999999998</v>
      </c>
      <c r="W118" s="1">
        <f ca="1">IFERROR(__xludf.DUMMYFUNCTION("""COMPUTED_VALUE"""),492)</f>
        <v>492</v>
      </c>
      <c r="X118" s="1">
        <f ca="1">IFERROR(__xludf.DUMMYFUNCTION("""COMPUTED_VALUE"""),681)</f>
        <v>681</v>
      </c>
      <c r="Y118" s="1">
        <f ca="1">IFERROR(__xludf.DUMMYFUNCTION("""COMPUTED_VALUE"""),0.722)</f>
        <v>0.72199999999999998</v>
      </c>
      <c r="Z118" s="1">
        <f ca="1">IFERROR(__xludf.DUMMYFUNCTION("""COMPUTED_VALUE"""),469)</f>
        <v>469</v>
      </c>
      <c r="AA118" s="1">
        <f ca="1">IFERROR(__xludf.DUMMYFUNCTION("""COMPUTED_VALUE"""),1398)</f>
        <v>1398</v>
      </c>
      <c r="AB118" s="1">
        <f ca="1">IFERROR(__xludf.DUMMYFUNCTION("""COMPUTED_VALUE"""),487)</f>
        <v>487</v>
      </c>
      <c r="AC118" s="1">
        <f ca="1">IFERROR(__xludf.DUMMYFUNCTION("""COMPUTED_VALUE"""),158)</f>
        <v>158</v>
      </c>
      <c r="AD118" s="1">
        <f ca="1">IFERROR(__xludf.DUMMYFUNCTION("""COMPUTED_VALUE"""),151)</f>
        <v>151</v>
      </c>
      <c r="AE118" s="1">
        <f ca="1">IFERROR(__xludf.DUMMYFUNCTION("""COMPUTED_VALUE"""),403)</f>
        <v>403</v>
      </c>
      <c r="AF118" s="1">
        <f ca="1">IFERROR(__xludf.DUMMYFUNCTION("""COMPUTED_VALUE"""),643)</f>
        <v>643</v>
      </c>
    </row>
    <row r="119" spans="1:32" ht="12.5" x14ac:dyDescent="0.25">
      <c r="A119" s="1" t="str">
        <f ca="1">IFERROR(__xludf.DUMMYFUNCTION("""COMPUTED_VALUE"""),"Georgia")</f>
        <v>Georgia</v>
      </c>
      <c r="B119" s="1">
        <f ca="1">IFERROR(__xludf.DUMMYFUNCTION("""COMPUTED_VALUE"""),34)</f>
        <v>34</v>
      </c>
      <c r="C119" s="1">
        <f ca="1">IFERROR(__xludf.DUMMYFUNCTION("""COMPUTED_VALUE"""),20)</f>
        <v>20</v>
      </c>
      <c r="D119" s="1">
        <f ca="1">IFERROR(__xludf.DUMMYFUNCTION("""COMPUTED_VALUE"""),14)</f>
        <v>14</v>
      </c>
      <c r="E119" s="1">
        <f ca="1">IFERROR(__xludf.DUMMYFUNCTION("""COMPUTED_VALUE"""),0.588)</f>
        <v>0.58799999999999997</v>
      </c>
      <c r="F119" s="1">
        <f ca="1">IFERROR(__xludf.DUMMYFUNCTION("""COMPUTED_VALUE"""),9.41)</f>
        <v>9.41</v>
      </c>
      <c r="G119" s="1">
        <f ca="1">IFERROR(__xludf.DUMMYFUNCTION("""COMPUTED_VALUE"""),8.47)</f>
        <v>8.4700000000000006</v>
      </c>
      <c r="H119" s="1">
        <f ca="1">IFERROR(__xludf.DUMMYFUNCTION("""COMPUTED_VALUE"""),10)</f>
        <v>10</v>
      </c>
      <c r="I119" s="1">
        <f ca="1">IFERROR(__xludf.DUMMYFUNCTION("""COMPUTED_VALUE"""),8)</f>
        <v>8</v>
      </c>
      <c r="J119" s="1">
        <f ca="1">IFERROR(__xludf.DUMMYFUNCTION("""COMPUTED_VALUE"""),15)</f>
        <v>15</v>
      </c>
      <c r="K119" s="1">
        <f ca="1">IFERROR(__xludf.DUMMYFUNCTION("""COMPUTED_VALUE"""),4)</f>
        <v>4</v>
      </c>
      <c r="L119" s="1">
        <f ca="1">IFERROR(__xludf.DUMMYFUNCTION("""COMPUTED_VALUE"""),3)</f>
        <v>3</v>
      </c>
      <c r="M119" s="1">
        <f ca="1">IFERROR(__xludf.DUMMYFUNCTION("""COMPUTED_VALUE"""),9)</f>
        <v>9</v>
      </c>
      <c r="N119" s="1">
        <f ca="1">IFERROR(__xludf.DUMMYFUNCTION("""COMPUTED_VALUE"""),2401)</f>
        <v>2401</v>
      </c>
      <c r="O119" s="1">
        <f ca="1">IFERROR(__xludf.DUMMYFUNCTION("""COMPUTED_VALUE"""),2369)</f>
        <v>2369</v>
      </c>
      <c r="P119" s="1">
        <f ca="1">IFERROR(__xludf.DUMMYFUNCTION("""COMPUTED_VALUE"""),1370)</f>
        <v>1370</v>
      </c>
      <c r="Q119" s="1">
        <f ca="1">IFERROR(__xludf.DUMMYFUNCTION("""COMPUTED_VALUE"""),799)</f>
        <v>799</v>
      </c>
      <c r="R119" s="1">
        <f ca="1">IFERROR(__xludf.DUMMYFUNCTION("""COMPUTED_VALUE"""),1892)</f>
        <v>1892</v>
      </c>
      <c r="S119" s="1">
        <f ca="1">IFERROR(__xludf.DUMMYFUNCTION("""COMPUTED_VALUE"""),0.422)</f>
        <v>0.42199999999999999</v>
      </c>
      <c r="T119" s="1">
        <f ca="1">IFERROR(__xludf.DUMMYFUNCTION("""COMPUTED_VALUE"""),220)</f>
        <v>220</v>
      </c>
      <c r="U119" s="1">
        <f ca="1">IFERROR(__xludf.DUMMYFUNCTION("""COMPUTED_VALUE"""),598)</f>
        <v>598</v>
      </c>
      <c r="V119" s="1">
        <f ca="1">IFERROR(__xludf.DUMMYFUNCTION("""COMPUTED_VALUE"""),0.368)</f>
        <v>0.36799999999999999</v>
      </c>
      <c r="W119" s="1">
        <f ca="1">IFERROR(__xludf.DUMMYFUNCTION("""COMPUTED_VALUE"""),583)</f>
        <v>583</v>
      </c>
      <c r="X119" s="1">
        <f ca="1">IFERROR(__xludf.DUMMYFUNCTION("""COMPUTED_VALUE"""),823)</f>
        <v>823</v>
      </c>
      <c r="Y119" s="1">
        <f ca="1">IFERROR(__xludf.DUMMYFUNCTION("""COMPUTED_VALUE"""),0.708)</f>
        <v>0.70799999999999996</v>
      </c>
      <c r="Z119" s="1">
        <f ca="1">IFERROR(__xludf.DUMMYFUNCTION("""COMPUTED_VALUE"""),395)</f>
        <v>395</v>
      </c>
      <c r="AA119" s="1">
        <f ca="1">IFERROR(__xludf.DUMMYFUNCTION("""COMPUTED_VALUE"""),1319)</f>
        <v>1319</v>
      </c>
      <c r="AB119" s="1">
        <f ca="1">IFERROR(__xludf.DUMMYFUNCTION("""COMPUTED_VALUE"""),424)</f>
        <v>424</v>
      </c>
      <c r="AC119" s="1">
        <f ca="1">IFERROR(__xludf.DUMMYFUNCTION("""COMPUTED_VALUE"""),164)</f>
        <v>164</v>
      </c>
      <c r="AD119" s="1">
        <f ca="1">IFERROR(__xludf.DUMMYFUNCTION("""COMPUTED_VALUE"""),174)</f>
        <v>174</v>
      </c>
      <c r="AE119" s="1">
        <f ca="1">IFERROR(__xludf.DUMMYFUNCTION("""COMPUTED_VALUE"""),448)</f>
        <v>448</v>
      </c>
      <c r="AF119" s="1">
        <f ca="1">IFERROR(__xludf.DUMMYFUNCTION("""COMPUTED_VALUE"""),703)</f>
        <v>703</v>
      </c>
    </row>
    <row r="120" spans="1:32" ht="12.5" x14ac:dyDescent="0.25">
      <c r="A120" s="1" t="str">
        <f ca="1">IFERROR(__xludf.DUMMYFUNCTION("""COMPUTED_VALUE"""),"GonzagaNCAA")</f>
        <v>GonzagaNCAA</v>
      </c>
      <c r="B120" s="1">
        <f ca="1">IFERROR(__xludf.DUMMYFUNCTION("""COMPUTED_VALUE"""),36)</f>
        <v>36</v>
      </c>
      <c r="C120" s="1">
        <f ca="1">IFERROR(__xludf.DUMMYFUNCTION("""COMPUTED_VALUE"""),28)</f>
        <v>28</v>
      </c>
      <c r="D120" s="1">
        <f ca="1">IFERROR(__xludf.DUMMYFUNCTION("""COMPUTED_VALUE"""),8)</f>
        <v>8</v>
      </c>
      <c r="E120" s="1">
        <f ca="1">IFERROR(__xludf.DUMMYFUNCTION("""COMPUTED_VALUE"""),0.778)</f>
        <v>0.77800000000000002</v>
      </c>
      <c r="F120" s="1">
        <f ca="1">IFERROR(__xludf.DUMMYFUNCTION("""COMPUTED_VALUE"""),16.92)</f>
        <v>16.920000000000002</v>
      </c>
      <c r="G120" s="1">
        <f ca="1">IFERROR(__xludf.DUMMYFUNCTION("""COMPUTED_VALUE"""),4.23)</f>
        <v>4.2300000000000004</v>
      </c>
      <c r="H120" s="1">
        <f ca="1">IFERROR(__xludf.DUMMYFUNCTION("""COMPUTED_VALUE"""),15)</f>
        <v>15</v>
      </c>
      <c r="I120" s="1">
        <f ca="1">IFERROR(__xludf.DUMMYFUNCTION("""COMPUTED_VALUE"""),3)</f>
        <v>3</v>
      </c>
      <c r="J120" s="1">
        <f ca="1">IFERROR(__xludf.DUMMYFUNCTION("""COMPUTED_VALUE"""),11)</f>
        <v>11</v>
      </c>
      <c r="K120" s="1">
        <f ca="1">IFERROR(__xludf.DUMMYFUNCTION("""COMPUTED_VALUE"""),4)</f>
        <v>4</v>
      </c>
      <c r="L120" s="1">
        <f ca="1">IFERROR(__xludf.DUMMYFUNCTION("""COMPUTED_VALUE"""),9)</f>
        <v>9</v>
      </c>
      <c r="M120" s="1">
        <f ca="1">IFERROR(__xludf.DUMMYFUNCTION("""COMPUTED_VALUE"""),2)</f>
        <v>2</v>
      </c>
      <c r="N120" s="1">
        <f ca="1">IFERROR(__xludf.DUMMYFUNCTION("""COMPUTED_VALUE"""),2840)</f>
        <v>2840</v>
      </c>
      <c r="O120" s="1">
        <f ca="1">IFERROR(__xludf.DUMMYFUNCTION("""COMPUTED_VALUE"""),2360)</f>
        <v>2360</v>
      </c>
      <c r="P120" s="1">
        <f ca="1">IFERROR(__xludf.DUMMYFUNCTION("""COMPUTED_VALUE"""),1445)</f>
        <v>1445</v>
      </c>
      <c r="Q120" s="1">
        <f ca="1">IFERROR(__xludf.DUMMYFUNCTION("""COMPUTED_VALUE"""),1011)</f>
        <v>1011</v>
      </c>
      <c r="R120" s="1">
        <f ca="1">IFERROR(__xludf.DUMMYFUNCTION("""COMPUTED_VALUE"""),2081)</f>
        <v>2081</v>
      </c>
      <c r="S120" s="1">
        <f ca="1">IFERROR(__xludf.DUMMYFUNCTION("""COMPUTED_VALUE"""),0.486)</f>
        <v>0.48599999999999999</v>
      </c>
      <c r="T120" s="1">
        <f ca="1">IFERROR(__xludf.DUMMYFUNCTION("""COMPUTED_VALUE"""),281)</f>
        <v>281</v>
      </c>
      <c r="U120" s="1">
        <f ca="1">IFERROR(__xludf.DUMMYFUNCTION("""COMPUTED_VALUE"""),738)</f>
        <v>738</v>
      </c>
      <c r="V120" s="1">
        <f ca="1">IFERROR(__xludf.DUMMYFUNCTION("""COMPUTED_VALUE"""),0.381)</f>
        <v>0.38100000000000001</v>
      </c>
      <c r="W120" s="1">
        <f ca="1">IFERROR(__xludf.DUMMYFUNCTION("""COMPUTED_VALUE"""),537)</f>
        <v>537</v>
      </c>
      <c r="X120" s="1">
        <f ca="1">IFERROR(__xludf.DUMMYFUNCTION("""COMPUTED_VALUE"""),708)</f>
        <v>708</v>
      </c>
      <c r="Y120" s="1">
        <f ca="1">IFERROR(__xludf.DUMMYFUNCTION("""COMPUTED_VALUE"""),0.758)</f>
        <v>0.75800000000000001</v>
      </c>
      <c r="Z120" s="1">
        <f ca="1">IFERROR(__xludf.DUMMYFUNCTION("""COMPUTED_VALUE"""),382)</f>
        <v>382</v>
      </c>
      <c r="AA120" s="1">
        <f ca="1">IFERROR(__xludf.DUMMYFUNCTION("""COMPUTED_VALUE"""),1426)</f>
        <v>1426</v>
      </c>
      <c r="AB120" s="1">
        <f ca="1">IFERROR(__xludf.DUMMYFUNCTION("""COMPUTED_VALUE"""),501)</f>
        <v>501</v>
      </c>
      <c r="AC120" s="1">
        <f ca="1">IFERROR(__xludf.DUMMYFUNCTION("""COMPUTED_VALUE"""),184)</f>
        <v>184</v>
      </c>
      <c r="AD120" s="1">
        <f ca="1">IFERROR(__xludf.DUMMYFUNCTION("""COMPUTED_VALUE"""),111)</f>
        <v>111</v>
      </c>
      <c r="AE120" s="1">
        <f ca="1">IFERROR(__xludf.DUMMYFUNCTION("""COMPUTED_VALUE"""),418)</f>
        <v>418</v>
      </c>
      <c r="AF120" s="1">
        <f ca="1">IFERROR(__xludf.DUMMYFUNCTION("""COMPUTED_VALUE"""),623)</f>
        <v>623</v>
      </c>
    </row>
    <row r="121" spans="1:32" ht="12.5" x14ac:dyDescent="0.25">
      <c r="A121" s="1" t="str">
        <f ca="1">IFERROR(__xludf.DUMMYFUNCTION("""COMPUTED_VALUE"""),"Grambling")</f>
        <v>Grambling</v>
      </c>
      <c r="B121" s="1">
        <f ca="1">IFERROR(__xludf.DUMMYFUNCTION("""COMPUTED_VALUE"""),31)</f>
        <v>31</v>
      </c>
      <c r="C121" s="1">
        <f ca="1">IFERROR(__xludf.DUMMYFUNCTION("""COMPUTED_VALUE"""),7)</f>
        <v>7</v>
      </c>
      <c r="D121" s="1">
        <f ca="1">IFERROR(__xludf.DUMMYFUNCTION("""COMPUTED_VALUE"""),24)</f>
        <v>24</v>
      </c>
      <c r="E121" s="1">
        <f ca="1">IFERROR(__xludf.DUMMYFUNCTION("""COMPUTED_VALUE"""),0.226)</f>
        <v>0.22600000000000001</v>
      </c>
      <c r="F121" s="1">
        <f ca="1">IFERROR(__xludf.DUMMYFUNCTION("""COMPUTED_VALUE"""),-19.62)</f>
        <v>-19.62</v>
      </c>
      <c r="G121" s="1">
        <f ca="1">IFERROR(__xludf.DUMMYFUNCTION("""COMPUTED_VALUE"""),-8.48)</f>
        <v>-8.48</v>
      </c>
      <c r="H121" s="1">
        <f ca="1">IFERROR(__xludf.DUMMYFUNCTION("""COMPUTED_VALUE"""),4)</f>
        <v>4</v>
      </c>
      <c r="I121" s="1">
        <f ca="1">IFERROR(__xludf.DUMMYFUNCTION("""COMPUTED_VALUE"""),14)</f>
        <v>14</v>
      </c>
      <c r="J121" s="1">
        <f ca="1">IFERROR(__xludf.DUMMYFUNCTION("""COMPUTED_VALUE"""),5)</f>
        <v>5</v>
      </c>
      <c r="K121" s="1">
        <f ca="1">IFERROR(__xludf.DUMMYFUNCTION("""COMPUTED_VALUE"""),7)</f>
        <v>7</v>
      </c>
      <c r="L121" s="1">
        <f ca="1">IFERROR(__xludf.DUMMYFUNCTION("""COMPUTED_VALUE"""),2)</f>
        <v>2</v>
      </c>
      <c r="M121" s="1">
        <f ca="1">IFERROR(__xludf.DUMMYFUNCTION("""COMPUTED_VALUE"""),15)</f>
        <v>15</v>
      </c>
      <c r="N121" s="1">
        <f ca="1">IFERROR(__xludf.DUMMYFUNCTION("""COMPUTED_VALUE"""),1924)</f>
        <v>1924</v>
      </c>
      <c r="O121" s="1">
        <f ca="1">IFERROR(__xludf.DUMMYFUNCTION("""COMPUTED_VALUE"""),2110)</f>
        <v>2110</v>
      </c>
      <c r="P121" s="1">
        <f ca="1">IFERROR(__xludf.DUMMYFUNCTION("""COMPUTED_VALUE"""),1250)</f>
        <v>1250</v>
      </c>
      <c r="Q121" s="1">
        <f ca="1">IFERROR(__xludf.DUMMYFUNCTION("""COMPUTED_VALUE"""),658)</f>
        <v>658</v>
      </c>
      <c r="R121" s="1">
        <f ca="1">IFERROR(__xludf.DUMMYFUNCTION("""COMPUTED_VALUE"""),1606)</f>
        <v>1606</v>
      </c>
      <c r="S121" s="1">
        <f ca="1">IFERROR(__xludf.DUMMYFUNCTION("""COMPUTED_VALUE"""),0.41)</f>
        <v>0.41</v>
      </c>
      <c r="T121" s="1">
        <f ca="1">IFERROR(__xludf.DUMMYFUNCTION("""COMPUTED_VALUE"""),152)</f>
        <v>152</v>
      </c>
      <c r="U121" s="1">
        <f ca="1">IFERROR(__xludf.DUMMYFUNCTION("""COMPUTED_VALUE"""),556)</f>
        <v>556</v>
      </c>
      <c r="V121" s="1">
        <f ca="1">IFERROR(__xludf.DUMMYFUNCTION("""COMPUTED_VALUE"""),0.273)</f>
        <v>0.27300000000000002</v>
      </c>
      <c r="W121" s="1">
        <f ca="1">IFERROR(__xludf.DUMMYFUNCTION("""COMPUTED_VALUE"""),456)</f>
        <v>456</v>
      </c>
      <c r="X121" s="1">
        <f ca="1">IFERROR(__xludf.DUMMYFUNCTION("""COMPUTED_VALUE"""),706)</f>
        <v>706</v>
      </c>
      <c r="Y121" s="1">
        <f ca="1">IFERROR(__xludf.DUMMYFUNCTION("""COMPUTED_VALUE"""),0.646)</f>
        <v>0.64600000000000002</v>
      </c>
      <c r="Z121" s="1">
        <f ca="1">IFERROR(__xludf.DUMMYFUNCTION("""COMPUTED_VALUE"""),283)</f>
        <v>283</v>
      </c>
      <c r="AA121" s="1">
        <f ca="1">IFERROR(__xludf.DUMMYFUNCTION("""COMPUTED_VALUE"""),1013)</f>
        <v>1013</v>
      </c>
      <c r="AB121" s="1">
        <f ca="1">IFERROR(__xludf.DUMMYFUNCTION("""COMPUTED_VALUE"""),298)</f>
        <v>298</v>
      </c>
      <c r="AC121" s="1">
        <f ca="1">IFERROR(__xludf.DUMMYFUNCTION("""COMPUTED_VALUE"""),210)</f>
        <v>210</v>
      </c>
      <c r="AD121" s="1">
        <f ca="1">IFERROR(__xludf.DUMMYFUNCTION("""COMPUTED_VALUE"""),52)</f>
        <v>52</v>
      </c>
      <c r="AE121" s="1">
        <f ca="1">IFERROR(__xludf.DUMMYFUNCTION("""COMPUTED_VALUE"""),442)</f>
        <v>442</v>
      </c>
      <c r="AF121" s="1">
        <f ca="1">IFERROR(__xludf.DUMMYFUNCTION("""COMPUTED_VALUE"""),615)</f>
        <v>615</v>
      </c>
    </row>
    <row r="122" spans="1:32" ht="12.5" x14ac:dyDescent="0.25">
      <c r="A122" s="1" t="str">
        <f ca="1">IFERROR(__xludf.DUMMYFUNCTION("""COMPUTED_VALUE"""),"Grand Canyon")</f>
        <v>Grand Canyon</v>
      </c>
      <c r="B122" s="1">
        <f ca="1">IFERROR(__xludf.DUMMYFUNCTION("""COMPUTED_VALUE"""),34)</f>
        <v>34</v>
      </c>
      <c r="C122" s="1">
        <f ca="1">IFERROR(__xludf.DUMMYFUNCTION("""COMPUTED_VALUE"""),27)</f>
        <v>27</v>
      </c>
      <c r="D122" s="1">
        <f ca="1">IFERROR(__xludf.DUMMYFUNCTION("""COMPUTED_VALUE"""),7)</f>
        <v>7</v>
      </c>
      <c r="E122" s="1">
        <f ca="1">IFERROR(__xludf.DUMMYFUNCTION("""COMPUTED_VALUE"""),0.794)</f>
        <v>0.79400000000000004</v>
      </c>
      <c r="F122" s="1">
        <f ca="1">IFERROR(__xludf.DUMMYFUNCTION("""COMPUTED_VALUE"""),1.43)</f>
        <v>1.43</v>
      </c>
      <c r="G122" s="1">
        <f ca="1">IFERROR(__xludf.DUMMYFUNCTION("""COMPUTED_VALUE"""),-5.6)</f>
        <v>-5.6</v>
      </c>
      <c r="H122" s="1">
        <f ca="1">IFERROR(__xludf.DUMMYFUNCTION("""COMPUTED_VALUE"""),11)</f>
        <v>11</v>
      </c>
      <c r="I122" s="1">
        <f ca="1">IFERROR(__xludf.DUMMYFUNCTION("""COMPUTED_VALUE"""),3)</f>
        <v>3</v>
      </c>
      <c r="J122" s="1">
        <f ca="1">IFERROR(__xludf.DUMMYFUNCTION("""COMPUTED_VALUE"""),18)</f>
        <v>18</v>
      </c>
      <c r="K122" s="1">
        <f ca="1">IFERROR(__xludf.DUMMYFUNCTION("""COMPUTED_VALUE"""),2)</f>
        <v>2</v>
      </c>
      <c r="L122" s="1">
        <f ca="1">IFERROR(__xludf.DUMMYFUNCTION("""COMPUTED_VALUE"""),7)</f>
        <v>7</v>
      </c>
      <c r="M122" s="1">
        <f ca="1">IFERROR(__xludf.DUMMYFUNCTION("""COMPUTED_VALUE"""),5)</f>
        <v>5</v>
      </c>
      <c r="N122" s="1">
        <f ca="1">IFERROR(__xludf.DUMMYFUNCTION("""COMPUTED_VALUE"""),2581)</f>
        <v>2581</v>
      </c>
      <c r="O122" s="1">
        <f ca="1">IFERROR(__xludf.DUMMYFUNCTION("""COMPUTED_VALUE"""),2316)</f>
        <v>2316</v>
      </c>
      <c r="P122" s="1">
        <f ca="1">IFERROR(__xludf.DUMMYFUNCTION("""COMPUTED_VALUE"""),1365)</f>
        <v>1365</v>
      </c>
      <c r="Q122" s="1">
        <f ca="1">IFERROR(__xludf.DUMMYFUNCTION("""COMPUTED_VALUE"""),896)</f>
        <v>896</v>
      </c>
      <c r="R122" s="1">
        <f ca="1">IFERROR(__xludf.DUMMYFUNCTION("""COMPUTED_VALUE"""),1978)</f>
        <v>1978</v>
      </c>
      <c r="S122" s="1">
        <f ca="1">IFERROR(__xludf.DUMMYFUNCTION("""COMPUTED_VALUE"""),0.453)</f>
        <v>0.45300000000000001</v>
      </c>
      <c r="T122" s="1">
        <f ca="1">IFERROR(__xludf.DUMMYFUNCTION("""COMPUTED_VALUE"""),210)</f>
        <v>210</v>
      </c>
      <c r="U122" s="1">
        <f ca="1">IFERROR(__xludf.DUMMYFUNCTION("""COMPUTED_VALUE"""),583)</f>
        <v>583</v>
      </c>
      <c r="V122" s="1">
        <f ca="1">IFERROR(__xludf.DUMMYFUNCTION("""COMPUTED_VALUE"""),0.36)</f>
        <v>0.36</v>
      </c>
      <c r="W122" s="1">
        <f ca="1">IFERROR(__xludf.DUMMYFUNCTION("""COMPUTED_VALUE"""),579)</f>
        <v>579</v>
      </c>
      <c r="X122" s="1">
        <f ca="1">IFERROR(__xludf.DUMMYFUNCTION("""COMPUTED_VALUE"""),835)</f>
        <v>835</v>
      </c>
      <c r="Y122" s="1">
        <f ca="1">IFERROR(__xludf.DUMMYFUNCTION("""COMPUTED_VALUE"""),0.693)</f>
        <v>0.69299999999999995</v>
      </c>
      <c r="Z122" s="1">
        <f ca="1">IFERROR(__xludf.DUMMYFUNCTION("""COMPUTED_VALUE"""),399)</f>
        <v>399</v>
      </c>
      <c r="AA122" s="1">
        <f ca="1">IFERROR(__xludf.DUMMYFUNCTION("""COMPUTED_VALUE"""),1301)</f>
        <v>1301</v>
      </c>
      <c r="AB122" s="1">
        <f ca="1">IFERROR(__xludf.DUMMYFUNCTION("""COMPUTED_VALUE"""),504)</f>
        <v>504</v>
      </c>
      <c r="AC122" s="1">
        <f ca="1">IFERROR(__xludf.DUMMYFUNCTION("""COMPUTED_VALUE"""),210)</f>
        <v>210</v>
      </c>
      <c r="AD122" s="1">
        <f ca="1">IFERROR(__xludf.DUMMYFUNCTION("""COMPUTED_VALUE"""),90)</f>
        <v>90</v>
      </c>
      <c r="AE122" s="1">
        <f ca="1">IFERROR(__xludf.DUMMYFUNCTION("""COMPUTED_VALUE"""),407)</f>
        <v>407</v>
      </c>
      <c r="AF122" s="1">
        <f ca="1">IFERROR(__xludf.DUMMYFUNCTION("""COMPUTED_VALUE"""),625)</f>
        <v>625</v>
      </c>
    </row>
    <row r="123" spans="1:32" ht="12.5" x14ac:dyDescent="0.25">
      <c r="A123" s="1" t="str">
        <f ca="1">IFERROR(__xludf.DUMMYFUNCTION("""COMPUTED_VALUE"""),"Green BayNCAA")</f>
        <v>Green BayNCAA</v>
      </c>
      <c r="B123" s="1">
        <f ca="1">IFERROR(__xludf.DUMMYFUNCTION("""COMPUTED_VALUE"""),36)</f>
        <v>36</v>
      </c>
      <c r="C123" s="1">
        <f ca="1">IFERROR(__xludf.DUMMYFUNCTION("""COMPUTED_VALUE"""),23)</f>
        <v>23</v>
      </c>
      <c r="D123" s="1">
        <f ca="1">IFERROR(__xludf.DUMMYFUNCTION("""COMPUTED_VALUE"""),13)</f>
        <v>13</v>
      </c>
      <c r="E123" s="1">
        <f ca="1">IFERROR(__xludf.DUMMYFUNCTION("""COMPUTED_VALUE"""),0.639)</f>
        <v>0.63900000000000001</v>
      </c>
      <c r="F123" s="1">
        <f ca="1">IFERROR(__xludf.DUMMYFUNCTION("""COMPUTED_VALUE"""),1.16)</f>
        <v>1.1599999999999999</v>
      </c>
      <c r="G123" s="1">
        <f ca="1">IFERROR(__xludf.DUMMYFUNCTION("""COMPUTED_VALUE"""),-0.67)</f>
        <v>-0.67</v>
      </c>
      <c r="H123" s="1">
        <f ca="1">IFERROR(__xludf.DUMMYFUNCTION("""COMPUTED_VALUE"""),11)</f>
        <v>11</v>
      </c>
      <c r="I123" s="1">
        <f ca="1">IFERROR(__xludf.DUMMYFUNCTION("""COMPUTED_VALUE"""),7)</f>
        <v>7</v>
      </c>
      <c r="J123" s="1">
        <f ca="1">IFERROR(__xludf.DUMMYFUNCTION("""COMPUTED_VALUE"""),11)</f>
        <v>11</v>
      </c>
      <c r="K123" s="1">
        <f ca="1">IFERROR(__xludf.DUMMYFUNCTION("""COMPUTED_VALUE"""),3)</f>
        <v>3</v>
      </c>
      <c r="L123" s="1">
        <f ca="1">IFERROR(__xludf.DUMMYFUNCTION("""COMPUTED_VALUE"""),8)</f>
        <v>8</v>
      </c>
      <c r="M123" s="1">
        <f ca="1">IFERROR(__xludf.DUMMYFUNCTION("""COMPUTED_VALUE"""),9)</f>
        <v>9</v>
      </c>
      <c r="N123" s="1">
        <f ca="1">IFERROR(__xludf.DUMMYFUNCTION("""COMPUTED_VALUE"""),3013)</f>
        <v>3013</v>
      </c>
      <c r="O123" s="1">
        <f ca="1">IFERROR(__xludf.DUMMYFUNCTION("""COMPUTED_VALUE"""),2880)</f>
        <v>2880</v>
      </c>
      <c r="P123" s="1">
        <f ca="1">IFERROR(__xludf.DUMMYFUNCTION("""COMPUTED_VALUE"""),1455)</f>
        <v>1455</v>
      </c>
      <c r="Q123" s="1">
        <f ca="1">IFERROR(__xludf.DUMMYFUNCTION("""COMPUTED_VALUE"""),1048)</f>
        <v>1048</v>
      </c>
      <c r="R123" s="1">
        <f ca="1">IFERROR(__xludf.DUMMYFUNCTION("""COMPUTED_VALUE"""),2350)</f>
        <v>2350</v>
      </c>
      <c r="S123" s="1">
        <f ca="1">IFERROR(__xludf.DUMMYFUNCTION("""COMPUTED_VALUE"""),0.446)</f>
        <v>0.44600000000000001</v>
      </c>
      <c r="T123" s="1">
        <f ca="1">IFERROR(__xludf.DUMMYFUNCTION("""COMPUTED_VALUE"""),255)</f>
        <v>255</v>
      </c>
      <c r="U123" s="1">
        <f ca="1">IFERROR(__xludf.DUMMYFUNCTION("""COMPUTED_VALUE"""),730)</f>
        <v>730</v>
      </c>
      <c r="V123" s="1">
        <f ca="1">IFERROR(__xludf.DUMMYFUNCTION("""COMPUTED_VALUE"""),0.349)</f>
        <v>0.34899999999999998</v>
      </c>
      <c r="W123" s="1">
        <f ca="1">IFERROR(__xludf.DUMMYFUNCTION("""COMPUTED_VALUE"""),662)</f>
        <v>662</v>
      </c>
      <c r="X123" s="1">
        <f ca="1">IFERROR(__xludf.DUMMYFUNCTION("""COMPUTED_VALUE"""),1007)</f>
        <v>1007</v>
      </c>
      <c r="Y123" s="1">
        <f ca="1">IFERROR(__xludf.DUMMYFUNCTION("""COMPUTED_VALUE"""),0.657)</f>
        <v>0.65700000000000003</v>
      </c>
      <c r="Z123" s="1">
        <f ca="1">IFERROR(__xludf.DUMMYFUNCTION("""COMPUTED_VALUE"""),458)</f>
        <v>458</v>
      </c>
      <c r="AA123" s="1">
        <f ca="1">IFERROR(__xludf.DUMMYFUNCTION("""COMPUTED_VALUE"""),1385)</f>
        <v>1385</v>
      </c>
      <c r="AB123" s="1">
        <f ca="1">IFERROR(__xludf.DUMMYFUNCTION("""COMPUTED_VALUE"""),501)</f>
        <v>501</v>
      </c>
      <c r="AC123" s="1">
        <f ca="1">IFERROR(__xludf.DUMMYFUNCTION("""COMPUTED_VALUE"""),358)</f>
        <v>358</v>
      </c>
      <c r="AD123" s="1">
        <f ca="1">IFERROR(__xludf.DUMMYFUNCTION("""COMPUTED_VALUE"""),166)</f>
        <v>166</v>
      </c>
      <c r="AE123" s="1">
        <f ca="1">IFERROR(__xludf.DUMMYFUNCTION("""COMPUTED_VALUE"""),441)</f>
        <v>441</v>
      </c>
      <c r="AF123" s="1">
        <f ca="1">IFERROR(__xludf.DUMMYFUNCTION("""COMPUTED_VALUE"""),724)</f>
        <v>724</v>
      </c>
    </row>
    <row r="124" spans="1:32" ht="12.5" x14ac:dyDescent="0.25">
      <c r="A124" s="1" t="str">
        <f ca="1">IFERROR(__xludf.DUMMYFUNCTION("""COMPUTED_VALUE"""),"HamptonNCAA")</f>
        <v>HamptonNCAA</v>
      </c>
      <c r="B124" s="1">
        <f ca="1">IFERROR(__xludf.DUMMYFUNCTION("""COMPUTED_VALUE"""),32)</f>
        <v>32</v>
      </c>
      <c r="C124" s="1">
        <f ca="1">IFERROR(__xludf.DUMMYFUNCTION("""COMPUTED_VALUE"""),21)</f>
        <v>21</v>
      </c>
      <c r="D124" s="1">
        <f ca="1">IFERROR(__xludf.DUMMYFUNCTION("""COMPUTED_VALUE"""),11)</f>
        <v>11</v>
      </c>
      <c r="E124" s="1">
        <f ca="1">IFERROR(__xludf.DUMMYFUNCTION("""COMPUTED_VALUE"""),0.656)</f>
        <v>0.65600000000000003</v>
      </c>
      <c r="F124" s="1">
        <f ca="1">IFERROR(__xludf.DUMMYFUNCTION("""COMPUTED_VALUE"""),-8.74)</f>
        <v>-8.74</v>
      </c>
      <c r="G124" s="1">
        <f ca="1">IFERROR(__xludf.DUMMYFUNCTION("""COMPUTED_VALUE"""),-8.45)</f>
        <v>-8.4499999999999993</v>
      </c>
      <c r="H124" s="1">
        <f ca="1">IFERROR(__xludf.DUMMYFUNCTION("""COMPUTED_VALUE"""),13)</f>
        <v>13</v>
      </c>
      <c r="I124" s="1">
        <f ca="1">IFERROR(__xludf.DUMMYFUNCTION("""COMPUTED_VALUE"""),3)</f>
        <v>3</v>
      </c>
      <c r="J124" s="1">
        <f ca="1">IFERROR(__xludf.DUMMYFUNCTION("""COMPUTED_VALUE"""),9)</f>
        <v>9</v>
      </c>
      <c r="K124" s="1">
        <f ca="1">IFERROR(__xludf.DUMMYFUNCTION("""COMPUTED_VALUE"""),2)</f>
        <v>2</v>
      </c>
      <c r="L124" s="1">
        <f ca="1">IFERROR(__xludf.DUMMYFUNCTION("""COMPUTED_VALUE"""),8)</f>
        <v>8</v>
      </c>
      <c r="M124" s="1">
        <f ca="1">IFERROR(__xludf.DUMMYFUNCTION("""COMPUTED_VALUE"""),7)</f>
        <v>7</v>
      </c>
      <c r="N124" s="1">
        <f ca="1">IFERROR(__xludf.DUMMYFUNCTION("""COMPUTED_VALUE"""),2363)</f>
        <v>2363</v>
      </c>
      <c r="O124" s="1">
        <f ca="1">IFERROR(__xludf.DUMMYFUNCTION("""COMPUTED_VALUE"""),2370)</f>
        <v>2370</v>
      </c>
      <c r="P124" s="1">
        <f ca="1">IFERROR(__xludf.DUMMYFUNCTION("""COMPUTED_VALUE"""),1305)</f>
        <v>1305</v>
      </c>
      <c r="Q124" s="1">
        <f ca="1">IFERROR(__xludf.DUMMYFUNCTION("""COMPUTED_VALUE"""),810)</f>
        <v>810</v>
      </c>
      <c r="R124" s="1">
        <f ca="1">IFERROR(__xludf.DUMMYFUNCTION("""COMPUTED_VALUE"""),1967)</f>
        <v>1967</v>
      </c>
      <c r="S124" s="1">
        <f ca="1">IFERROR(__xludf.DUMMYFUNCTION("""COMPUTED_VALUE"""),0.412)</f>
        <v>0.41199999999999998</v>
      </c>
      <c r="T124" s="1">
        <f ca="1">IFERROR(__xludf.DUMMYFUNCTION("""COMPUTED_VALUE"""),206)</f>
        <v>206</v>
      </c>
      <c r="U124" s="1">
        <f ca="1">IFERROR(__xludf.DUMMYFUNCTION("""COMPUTED_VALUE"""),678)</f>
        <v>678</v>
      </c>
      <c r="V124" s="1">
        <f ca="1">IFERROR(__xludf.DUMMYFUNCTION("""COMPUTED_VALUE"""),0.304)</f>
        <v>0.30399999999999999</v>
      </c>
      <c r="W124" s="1">
        <f ca="1">IFERROR(__xludf.DUMMYFUNCTION("""COMPUTED_VALUE"""),537)</f>
        <v>537</v>
      </c>
      <c r="X124" s="1">
        <f ca="1">IFERROR(__xludf.DUMMYFUNCTION("""COMPUTED_VALUE"""),815)</f>
        <v>815</v>
      </c>
      <c r="Y124" s="1">
        <f ca="1">IFERROR(__xludf.DUMMYFUNCTION("""COMPUTED_VALUE"""),0.659)</f>
        <v>0.65900000000000003</v>
      </c>
      <c r="Z124" s="1">
        <f ca="1">IFERROR(__xludf.DUMMYFUNCTION("""COMPUTED_VALUE"""),447)</f>
        <v>447</v>
      </c>
      <c r="AA124" s="1">
        <f ca="1">IFERROR(__xludf.DUMMYFUNCTION("""COMPUTED_VALUE"""),1322)</f>
        <v>1322</v>
      </c>
      <c r="AB124" s="1">
        <f ca="1">IFERROR(__xludf.DUMMYFUNCTION("""COMPUTED_VALUE"""),381)</f>
        <v>381</v>
      </c>
      <c r="AC124" s="1">
        <f ca="1">IFERROR(__xludf.DUMMYFUNCTION("""COMPUTED_VALUE"""),169)</f>
        <v>169</v>
      </c>
      <c r="AD124" s="1">
        <f ca="1">IFERROR(__xludf.DUMMYFUNCTION("""COMPUTED_VALUE"""),117)</f>
        <v>117</v>
      </c>
      <c r="AE124" s="1">
        <f ca="1">IFERROR(__xludf.DUMMYFUNCTION("""COMPUTED_VALUE"""),440)</f>
        <v>440</v>
      </c>
      <c r="AF124" s="1">
        <f ca="1">IFERROR(__xludf.DUMMYFUNCTION("""COMPUTED_VALUE"""),649)</f>
        <v>649</v>
      </c>
    </row>
    <row r="125" spans="1:32" ht="12.5" x14ac:dyDescent="0.25">
      <c r="A125" s="1" t="str">
        <f ca="1">IFERROR(__xludf.DUMMYFUNCTION("""COMPUTED_VALUE"""),"Hartford")</f>
        <v>Hartford</v>
      </c>
      <c r="B125" s="1">
        <f ca="1">IFERROR(__xludf.DUMMYFUNCTION("""COMPUTED_VALUE"""),33)</f>
        <v>33</v>
      </c>
      <c r="C125" s="1">
        <f ca="1">IFERROR(__xludf.DUMMYFUNCTION("""COMPUTED_VALUE"""),10)</f>
        <v>10</v>
      </c>
      <c r="D125" s="1">
        <f ca="1">IFERROR(__xludf.DUMMYFUNCTION("""COMPUTED_VALUE"""),23)</f>
        <v>23</v>
      </c>
      <c r="E125" s="1">
        <f ca="1">IFERROR(__xludf.DUMMYFUNCTION("""COMPUTED_VALUE"""),0.303)</f>
        <v>0.30299999999999999</v>
      </c>
      <c r="F125" s="1">
        <f ca="1">IFERROR(__xludf.DUMMYFUNCTION("""COMPUTED_VALUE"""),-14.29)</f>
        <v>-14.29</v>
      </c>
      <c r="G125" s="1">
        <f ca="1">IFERROR(__xludf.DUMMYFUNCTION("""COMPUTED_VALUE"""),-5.69)</f>
        <v>-5.69</v>
      </c>
      <c r="H125" s="1">
        <f ca="1">IFERROR(__xludf.DUMMYFUNCTION("""COMPUTED_VALUE"""),4)</f>
        <v>4</v>
      </c>
      <c r="I125" s="1">
        <f ca="1">IFERROR(__xludf.DUMMYFUNCTION("""COMPUTED_VALUE"""),12)</f>
        <v>12</v>
      </c>
      <c r="J125" s="1">
        <f ca="1">IFERROR(__xludf.DUMMYFUNCTION("""COMPUTED_VALUE"""),4)</f>
        <v>4</v>
      </c>
      <c r="K125" s="1">
        <f ca="1">IFERROR(__xludf.DUMMYFUNCTION("""COMPUTED_VALUE"""),12)</f>
        <v>12</v>
      </c>
      <c r="L125" s="1">
        <f ca="1">IFERROR(__xludf.DUMMYFUNCTION("""COMPUTED_VALUE"""),6)</f>
        <v>6</v>
      </c>
      <c r="M125" s="1">
        <f ca="1">IFERROR(__xludf.DUMMYFUNCTION("""COMPUTED_VALUE"""),11)</f>
        <v>11</v>
      </c>
      <c r="N125" s="1">
        <f ca="1">IFERROR(__xludf.DUMMYFUNCTION("""COMPUTED_VALUE"""),2336)</f>
        <v>2336</v>
      </c>
      <c r="O125" s="1">
        <f ca="1">IFERROR(__xludf.DUMMYFUNCTION("""COMPUTED_VALUE"""),2588)</f>
        <v>2588</v>
      </c>
      <c r="P125" s="1">
        <f ca="1">IFERROR(__xludf.DUMMYFUNCTION("""COMPUTED_VALUE"""),1345)</f>
        <v>1345</v>
      </c>
      <c r="Q125" s="1">
        <f ca="1">IFERROR(__xludf.DUMMYFUNCTION("""COMPUTED_VALUE"""),777)</f>
        <v>777</v>
      </c>
      <c r="R125" s="1">
        <f ca="1">IFERROR(__xludf.DUMMYFUNCTION("""COMPUTED_VALUE"""),1906)</f>
        <v>1906</v>
      </c>
      <c r="S125" s="1">
        <f ca="1">IFERROR(__xludf.DUMMYFUNCTION("""COMPUTED_VALUE"""),0.408)</f>
        <v>0.40799999999999997</v>
      </c>
      <c r="T125" s="1">
        <f ca="1">IFERROR(__xludf.DUMMYFUNCTION("""COMPUTED_VALUE"""),319)</f>
        <v>319</v>
      </c>
      <c r="U125" s="1">
        <f ca="1">IFERROR(__xludf.DUMMYFUNCTION("""COMPUTED_VALUE"""),902)</f>
        <v>902</v>
      </c>
      <c r="V125" s="1">
        <f ca="1">IFERROR(__xludf.DUMMYFUNCTION("""COMPUTED_VALUE"""),0.354)</f>
        <v>0.35399999999999998</v>
      </c>
      <c r="W125" s="1">
        <f ca="1">IFERROR(__xludf.DUMMYFUNCTION("""COMPUTED_VALUE"""),463)</f>
        <v>463</v>
      </c>
      <c r="X125" s="1">
        <f ca="1">IFERROR(__xludf.DUMMYFUNCTION("""COMPUTED_VALUE"""),619)</f>
        <v>619</v>
      </c>
      <c r="Y125" s="1">
        <f ca="1">IFERROR(__xludf.DUMMYFUNCTION("""COMPUTED_VALUE"""),0.748)</f>
        <v>0.748</v>
      </c>
      <c r="Z125" s="1">
        <f ca="1">IFERROR(__xludf.DUMMYFUNCTION("""COMPUTED_VALUE"""),230)</f>
        <v>230</v>
      </c>
      <c r="AA125" s="1">
        <f ca="1">IFERROR(__xludf.DUMMYFUNCTION("""COMPUTED_VALUE"""),992)</f>
        <v>992</v>
      </c>
      <c r="AB125" s="1">
        <f ca="1">IFERROR(__xludf.DUMMYFUNCTION("""COMPUTED_VALUE"""),408)</f>
        <v>408</v>
      </c>
      <c r="AC125" s="1">
        <f ca="1">IFERROR(__xludf.DUMMYFUNCTION("""COMPUTED_VALUE"""),221)</f>
        <v>221</v>
      </c>
      <c r="AD125" s="1">
        <f ca="1">IFERROR(__xludf.DUMMYFUNCTION("""COMPUTED_VALUE"""),63)</f>
        <v>63</v>
      </c>
      <c r="AE125" s="1">
        <f ca="1">IFERROR(__xludf.DUMMYFUNCTION("""COMPUTED_VALUE"""),385)</f>
        <v>385</v>
      </c>
      <c r="AF125" s="1">
        <f ca="1">IFERROR(__xludf.DUMMYFUNCTION("""COMPUTED_VALUE"""),702)</f>
        <v>702</v>
      </c>
    </row>
    <row r="126" spans="1:32" ht="12.5" x14ac:dyDescent="0.25">
      <c r="A126" s="1" t="str">
        <f ca="1">IFERROR(__xludf.DUMMYFUNCTION("""COMPUTED_VALUE"""),"Harvard")</f>
        <v>Harvard</v>
      </c>
      <c r="B126" s="1">
        <f ca="1">IFERROR(__xludf.DUMMYFUNCTION("""COMPUTED_VALUE"""),30)</f>
        <v>30</v>
      </c>
      <c r="C126" s="1">
        <f ca="1">IFERROR(__xludf.DUMMYFUNCTION("""COMPUTED_VALUE"""),14)</f>
        <v>14</v>
      </c>
      <c r="D126" s="1">
        <f ca="1">IFERROR(__xludf.DUMMYFUNCTION("""COMPUTED_VALUE"""),16)</f>
        <v>16</v>
      </c>
      <c r="E126" s="1">
        <f ca="1">IFERROR(__xludf.DUMMYFUNCTION("""COMPUTED_VALUE"""),0.467)</f>
        <v>0.46700000000000003</v>
      </c>
      <c r="F126" s="1">
        <f ca="1">IFERROR(__xludf.DUMMYFUNCTION("""COMPUTED_VALUE"""),-0.96)</f>
        <v>-0.96</v>
      </c>
      <c r="G126" s="1">
        <f ca="1">IFERROR(__xludf.DUMMYFUNCTION("""COMPUTED_VALUE"""),-0.25)</f>
        <v>-0.25</v>
      </c>
      <c r="H126" s="1">
        <f ca="1">IFERROR(__xludf.DUMMYFUNCTION("""COMPUTED_VALUE"""),6)</f>
        <v>6</v>
      </c>
      <c r="I126" s="1">
        <f ca="1">IFERROR(__xludf.DUMMYFUNCTION("""COMPUTED_VALUE"""),8)</f>
        <v>8</v>
      </c>
      <c r="J126" s="1">
        <f ca="1">IFERROR(__xludf.DUMMYFUNCTION("""COMPUTED_VALUE"""),8)</f>
        <v>8</v>
      </c>
      <c r="K126" s="1">
        <f ca="1">IFERROR(__xludf.DUMMYFUNCTION("""COMPUTED_VALUE"""),5)</f>
        <v>5</v>
      </c>
      <c r="L126" s="1">
        <f ca="1">IFERROR(__xludf.DUMMYFUNCTION("""COMPUTED_VALUE"""),4)</f>
        <v>4</v>
      </c>
      <c r="M126" s="1">
        <f ca="1">IFERROR(__xludf.DUMMYFUNCTION("""COMPUTED_VALUE"""),10)</f>
        <v>10</v>
      </c>
      <c r="N126" s="1">
        <f ca="1">IFERROR(__xludf.DUMMYFUNCTION("""COMPUTED_VALUE"""),2001)</f>
        <v>2001</v>
      </c>
      <c r="O126" s="1">
        <f ca="1">IFERROR(__xludf.DUMMYFUNCTION("""COMPUTED_VALUE"""),1985)</f>
        <v>1985</v>
      </c>
      <c r="P126" s="1">
        <f ca="1">IFERROR(__xludf.DUMMYFUNCTION("""COMPUTED_VALUE"""),1205)</f>
        <v>1205</v>
      </c>
      <c r="Q126" s="1">
        <f ca="1">IFERROR(__xludf.DUMMYFUNCTION("""COMPUTED_VALUE"""),734)</f>
        <v>734</v>
      </c>
      <c r="R126" s="1">
        <f ca="1">IFERROR(__xludf.DUMMYFUNCTION("""COMPUTED_VALUE"""),1648)</f>
        <v>1648</v>
      </c>
      <c r="S126" s="1">
        <f ca="1">IFERROR(__xludf.DUMMYFUNCTION("""COMPUTED_VALUE"""),0.445)</f>
        <v>0.44500000000000001</v>
      </c>
      <c r="T126" s="1">
        <f ca="1">IFERROR(__xludf.DUMMYFUNCTION("""COMPUTED_VALUE"""),220)</f>
        <v>220</v>
      </c>
      <c r="U126" s="1">
        <f ca="1">IFERROR(__xludf.DUMMYFUNCTION("""COMPUTED_VALUE"""),569)</f>
        <v>569</v>
      </c>
      <c r="V126" s="1">
        <f ca="1">IFERROR(__xludf.DUMMYFUNCTION("""COMPUTED_VALUE"""),0.387)</f>
        <v>0.38700000000000001</v>
      </c>
      <c r="W126" s="1">
        <f ca="1">IFERROR(__xludf.DUMMYFUNCTION("""COMPUTED_VALUE"""),313)</f>
        <v>313</v>
      </c>
      <c r="X126" s="1">
        <f ca="1">IFERROR(__xludf.DUMMYFUNCTION("""COMPUTED_VALUE"""),526)</f>
        <v>526</v>
      </c>
      <c r="Y126" s="1">
        <f ca="1">IFERROR(__xludf.DUMMYFUNCTION("""COMPUTED_VALUE"""),0.595)</f>
        <v>0.59499999999999997</v>
      </c>
      <c r="Z126" s="1">
        <f ca="1">IFERROR(__xludf.DUMMYFUNCTION("""COMPUTED_VALUE"""),318)</f>
        <v>318</v>
      </c>
      <c r="AA126" s="1">
        <f ca="1">IFERROR(__xludf.DUMMYFUNCTION("""COMPUTED_VALUE"""),1118)</f>
        <v>1118</v>
      </c>
      <c r="AB126" s="1">
        <f ca="1">IFERROR(__xludf.DUMMYFUNCTION("""COMPUTED_VALUE"""),452)</f>
        <v>452</v>
      </c>
      <c r="AC126" s="1">
        <f ca="1">IFERROR(__xludf.DUMMYFUNCTION("""COMPUTED_VALUE"""),150)</f>
        <v>150</v>
      </c>
      <c r="AD126" s="1">
        <f ca="1">IFERROR(__xludf.DUMMYFUNCTION("""COMPUTED_VALUE"""),150)</f>
        <v>150</v>
      </c>
      <c r="AE126" s="1">
        <f ca="1">IFERROR(__xludf.DUMMYFUNCTION("""COMPUTED_VALUE"""),436)</f>
        <v>436</v>
      </c>
      <c r="AF126" s="1">
        <f ca="1">IFERROR(__xludf.DUMMYFUNCTION("""COMPUTED_VALUE"""),538)</f>
        <v>538</v>
      </c>
    </row>
    <row r="127" spans="1:32" ht="12.5" x14ac:dyDescent="0.25">
      <c r="A127" s="1" t="str">
        <f ca="1">IFERROR(__xludf.DUMMYFUNCTION("""COMPUTED_VALUE"""),"HawaiiNCAA")</f>
        <v>HawaiiNCAA</v>
      </c>
      <c r="B127" s="1">
        <f ca="1">IFERROR(__xludf.DUMMYFUNCTION("""COMPUTED_VALUE"""),34)</f>
        <v>34</v>
      </c>
      <c r="C127" s="1">
        <f ca="1">IFERROR(__xludf.DUMMYFUNCTION("""COMPUTED_VALUE"""),28)</f>
        <v>28</v>
      </c>
      <c r="D127" s="1">
        <f ca="1">IFERROR(__xludf.DUMMYFUNCTION("""COMPUTED_VALUE"""),6)</f>
        <v>6</v>
      </c>
      <c r="E127" s="1">
        <f ca="1">IFERROR(__xludf.DUMMYFUNCTION("""COMPUTED_VALUE"""),0.824)</f>
        <v>0.82399999999999995</v>
      </c>
      <c r="F127" s="1">
        <f ca="1">IFERROR(__xludf.DUMMYFUNCTION("""COMPUTED_VALUE"""),9.03)</f>
        <v>9.0299999999999994</v>
      </c>
      <c r="G127" s="1">
        <f ca="1">IFERROR(__xludf.DUMMYFUNCTION("""COMPUTED_VALUE"""),-1.04)</f>
        <v>-1.04</v>
      </c>
      <c r="H127" s="1">
        <f ca="1">IFERROR(__xludf.DUMMYFUNCTION("""COMPUTED_VALUE"""),13)</f>
        <v>13</v>
      </c>
      <c r="I127" s="1">
        <f ca="1">IFERROR(__xludf.DUMMYFUNCTION("""COMPUTED_VALUE"""),3)</f>
        <v>3</v>
      </c>
      <c r="J127" s="1">
        <f ca="1">IFERROR(__xludf.DUMMYFUNCTION("""COMPUTED_VALUE"""),16)</f>
        <v>16</v>
      </c>
      <c r="K127" s="1">
        <f ca="1">IFERROR(__xludf.DUMMYFUNCTION("""COMPUTED_VALUE"""),3)</f>
        <v>3</v>
      </c>
      <c r="L127" s="1">
        <f ca="1">IFERROR(__xludf.DUMMYFUNCTION("""COMPUTED_VALUE"""),7)</f>
        <v>7</v>
      </c>
      <c r="M127" s="1">
        <f ca="1">IFERROR(__xludf.DUMMYFUNCTION("""COMPUTED_VALUE"""),2)</f>
        <v>2</v>
      </c>
      <c r="N127" s="1">
        <f ca="1">IFERROR(__xludf.DUMMYFUNCTION("""COMPUTED_VALUE"""),2620)</f>
        <v>2620</v>
      </c>
      <c r="O127" s="1">
        <f ca="1">IFERROR(__xludf.DUMMYFUNCTION("""COMPUTED_VALUE"""),2267)</f>
        <v>2267</v>
      </c>
      <c r="P127" s="1">
        <f ca="1">IFERROR(__xludf.DUMMYFUNCTION("""COMPUTED_VALUE"""),1365)</f>
        <v>1365</v>
      </c>
      <c r="Q127" s="1">
        <f ca="1">IFERROR(__xludf.DUMMYFUNCTION("""COMPUTED_VALUE"""),893)</f>
        <v>893</v>
      </c>
      <c r="R127" s="1">
        <f ca="1">IFERROR(__xludf.DUMMYFUNCTION("""COMPUTED_VALUE"""),1946)</f>
        <v>1946</v>
      </c>
      <c r="S127" s="1">
        <f ca="1">IFERROR(__xludf.DUMMYFUNCTION("""COMPUTED_VALUE"""),0.459)</f>
        <v>0.45900000000000002</v>
      </c>
      <c r="T127" s="1">
        <f ca="1">IFERROR(__xludf.DUMMYFUNCTION("""COMPUTED_VALUE"""),237)</f>
        <v>237</v>
      </c>
      <c r="U127" s="1">
        <f ca="1">IFERROR(__xludf.DUMMYFUNCTION("""COMPUTED_VALUE"""),737)</f>
        <v>737</v>
      </c>
      <c r="V127" s="1">
        <f ca="1">IFERROR(__xludf.DUMMYFUNCTION("""COMPUTED_VALUE"""),0.322)</f>
        <v>0.32200000000000001</v>
      </c>
      <c r="W127" s="1">
        <f ca="1">IFERROR(__xludf.DUMMYFUNCTION("""COMPUTED_VALUE"""),597)</f>
        <v>597</v>
      </c>
      <c r="X127" s="1">
        <f ca="1">IFERROR(__xludf.DUMMYFUNCTION("""COMPUTED_VALUE"""),873)</f>
        <v>873</v>
      </c>
      <c r="Y127" s="1">
        <f ca="1">IFERROR(__xludf.DUMMYFUNCTION("""COMPUTED_VALUE"""),0.684)</f>
        <v>0.68400000000000005</v>
      </c>
      <c r="Z127" s="1">
        <f ca="1">IFERROR(__xludf.DUMMYFUNCTION("""COMPUTED_VALUE"""),362)</f>
        <v>362</v>
      </c>
      <c r="AA127" s="1">
        <f ca="1">IFERROR(__xludf.DUMMYFUNCTION("""COMPUTED_VALUE"""),1270)</f>
        <v>1270</v>
      </c>
      <c r="AB127" s="1">
        <f ca="1">IFERROR(__xludf.DUMMYFUNCTION("""COMPUTED_VALUE"""),525)</f>
        <v>525</v>
      </c>
      <c r="AC127" s="1">
        <f ca="1">IFERROR(__xludf.DUMMYFUNCTION("""COMPUTED_VALUE"""),257)</f>
        <v>257</v>
      </c>
      <c r="AD127" s="1">
        <f ca="1">IFERROR(__xludf.DUMMYFUNCTION("""COMPUTED_VALUE"""),124)</f>
        <v>124</v>
      </c>
      <c r="AE127" s="1">
        <f ca="1">IFERROR(__xludf.DUMMYFUNCTION("""COMPUTED_VALUE"""),443)</f>
        <v>443</v>
      </c>
      <c r="AF127" s="1">
        <f ca="1">IFERROR(__xludf.DUMMYFUNCTION("""COMPUTED_VALUE"""),695)</f>
        <v>695</v>
      </c>
    </row>
    <row r="128" spans="1:32" ht="12.5" x14ac:dyDescent="0.25">
      <c r="A128" s="1" t="str">
        <f ca="1">IFERROR(__xludf.DUMMYFUNCTION("""COMPUTED_VALUE"""),"High Point")</f>
        <v>High Point</v>
      </c>
      <c r="B128" s="1">
        <f ca="1">IFERROR(__xludf.DUMMYFUNCTION("""COMPUTED_VALUE"""),32)</f>
        <v>32</v>
      </c>
      <c r="C128" s="1">
        <f ca="1">IFERROR(__xludf.DUMMYFUNCTION("""COMPUTED_VALUE"""),21)</f>
        <v>21</v>
      </c>
      <c r="D128" s="1">
        <f ca="1">IFERROR(__xludf.DUMMYFUNCTION("""COMPUTED_VALUE"""),11)</f>
        <v>11</v>
      </c>
      <c r="E128" s="1">
        <f ca="1">IFERROR(__xludf.DUMMYFUNCTION("""COMPUTED_VALUE"""),0.656)</f>
        <v>0.65600000000000003</v>
      </c>
      <c r="F128" s="1">
        <f ca="1">IFERROR(__xludf.DUMMYFUNCTION("""COMPUTED_VALUE"""),-0.52)</f>
        <v>-0.52</v>
      </c>
      <c r="G128" s="1">
        <f ca="1">IFERROR(__xludf.DUMMYFUNCTION("""COMPUTED_VALUE"""),-4.24)</f>
        <v>-4.24</v>
      </c>
      <c r="H128" s="1">
        <f ca="1">IFERROR(__xludf.DUMMYFUNCTION("""COMPUTED_VALUE"""),13)</f>
        <v>13</v>
      </c>
      <c r="I128" s="1">
        <f ca="1">IFERROR(__xludf.DUMMYFUNCTION("""COMPUTED_VALUE"""),5)</f>
        <v>5</v>
      </c>
      <c r="J128" s="1">
        <f ca="1">IFERROR(__xludf.DUMMYFUNCTION("""COMPUTED_VALUE"""),12)</f>
        <v>12</v>
      </c>
      <c r="K128" s="1">
        <f ca="1">IFERROR(__xludf.DUMMYFUNCTION("""COMPUTED_VALUE"""),3)</f>
        <v>3</v>
      </c>
      <c r="L128" s="1">
        <f ca="1">IFERROR(__xludf.DUMMYFUNCTION("""COMPUTED_VALUE"""),8)</f>
        <v>8</v>
      </c>
      <c r="M128" s="1">
        <f ca="1">IFERROR(__xludf.DUMMYFUNCTION("""COMPUTED_VALUE"""),7)</f>
        <v>7</v>
      </c>
      <c r="N128" s="1">
        <f ca="1">IFERROR(__xludf.DUMMYFUNCTION("""COMPUTED_VALUE"""),2473)</f>
        <v>2473</v>
      </c>
      <c r="O128" s="1">
        <f ca="1">IFERROR(__xludf.DUMMYFUNCTION("""COMPUTED_VALUE"""),2258)</f>
        <v>2258</v>
      </c>
      <c r="P128" s="1">
        <f ca="1">IFERROR(__xludf.DUMMYFUNCTION("""COMPUTED_VALUE"""),1290)</f>
        <v>1290</v>
      </c>
      <c r="Q128" s="1">
        <f ca="1">IFERROR(__xludf.DUMMYFUNCTION("""COMPUTED_VALUE"""),884)</f>
        <v>884</v>
      </c>
      <c r="R128" s="1">
        <f ca="1">IFERROR(__xludf.DUMMYFUNCTION("""COMPUTED_VALUE"""),1852)</f>
        <v>1852</v>
      </c>
      <c r="S128" s="1">
        <f ca="1">IFERROR(__xludf.DUMMYFUNCTION("""COMPUTED_VALUE"""),0.477)</f>
        <v>0.47699999999999998</v>
      </c>
      <c r="T128" s="1">
        <f ca="1">IFERROR(__xludf.DUMMYFUNCTION("""COMPUTED_VALUE"""),187)</f>
        <v>187</v>
      </c>
      <c r="U128" s="1">
        <f ca="1">IFERROR(__xludf.DUMMYFUNCTION("""COMPUTED_VALUE"""),487)</f>
        <v>487</v>
      </c>
      <c r="V128" s="1">
        <f ca="1">IFERROR(__xludf.DUMMYFUNCTION("""COMPUTED_VALUE"""),0.384)</f>
        <v>0.38400000000000001</v>
      </c>
      <c r="W128" s="1">
        <f ca="1">IFERROR(__xludf.DUMMYFUNCTION("""COMPUTED_VALUE"""),518)</f>
        <v>518</v>
      </c>
      <c r="X128" s="1">
        <f ca="1">IFERROR(__xludf.DUMMYFUNCTION("""COMPUTED_VALUE"""),680)</f>
        <v>680</v>
      </c>
      <c r="Y128" s="1">
        <f ca="1">IFERROR(__xludf.DUMMYFUNCTION("""COMPUTED_VALUE"""),0.762)</f>
        <v>0.76200000000000001</v>
      </c>
      <c r="Z128" s="1">
        <f ca="1">IFERROR(__xludf.DUMMYFUNCTION("""COMPUTED_VALUE"""),337)</f>
        <v>337</v>
      </c>
      <c r="AA128" s="1">
        <f ca="1">IFERROR(__xludf.DUMMYFUNCTION("""COMPUTED_VALUE"""),1074)</f>
        <v>1074</v>
      </c>
      <c r="AB128" s="1">
        <f ca="1">IFERROR(__xludf.DUMMYFUNCTION("""COMPUTED_VALUE"""),493)</f>
        <v>493</v>
      </c>
      <c r="AC128" s="1">
        <f ca="1">IFERROR(__xludf.DUMMYFUNCTION("""COMPUTED_VALUE"""),256)</f>
        <v>256</v>
      </c>
      <c r="AD128" s="1">
        <f ca="1">IFERROR(__xludf.DUMMYFUNCTION("""COMPUTED_VALUE"""),94)</f>
        <v>94</v>
      </c>
      <c r="AE128" s="1">
        <f ca="1">IFERROR(__xludf.DUMMYFUNCTION("""COMPUTED_VALUE"""),341)</f>
        <v>341</v>
      </c>
      <c r="AF128" s="1">
        <f ca="1">IFERROR(__xludf.DUMMYFUNCTION("""COMPUTED_VALUE"""),559)</f>
        <v>559</v>
      </c>
    </row>
    <row r="129" spans="1:32" ht="12.5" x14ac:dyDescent="0.25">
      <c r="A129" s="1" t="str">
        <f ca="1">IFERROR(__xludf.DUMMYFUNCTION("""COMPUTED_VALUE"""),"Hofstra")</f>
        <v>Hofstra</v>
      </c>
      <c r="B129" s="1">
        <f ca="1">IFERROR(__xludf.DUMMYFUNCTION("""COMPUTED_VALUE"""),34)</f>
        <v>34</v>
      </c>
      <c r="C129" s="1">
        <f ca="1">IFERROR(__xludf.DUMMYFUNCTION("""COMPUTED_VALUE"""),24)</f>
        <v>24</v>
      </c>
      <c r="D129" s="1">
        <f ca="1">IFERROR(__xludf.DUMMYFUNCTION("""COMPUTED_VALUE"""),10)</f>
        <v>10</v>
      </c>
      <c r="E129" s="1">
        <f ca="1">IFERROR(__xludf.DUMMYFUNCTION("""COMPUTED_VALUE"""),0.706)</f>
        <v>0.70599999999999996</v>
      </c>
      <c r="F129" s="1">
        <f ca="1">IFERROR(__xludf.DUMMYFUNCTION("""COMPUTED_VALUE"""),5.02)</f>
        <v>5.0199999999999996</v>
      </c>
      <c r="G129" s="1">
        <f ca="1">IFERROR(__xludf.DUMMYFUNCTION("""COMPUTED_VALUE"""),0.77)</f>
        <v>0.77</v>
      </c>
      <c r="H129" s="1">
        <f ca="1">IFERROR(__xludf.DUMMYFUNCTION("""COMPUTED_VALUE"""),14)</f>
        <v>14</v>
      </c>
      <c r="I129" s="1">
        <f ca="1">IFERROR(__xludf.DUMMYFUNCTION("""COMPUTED_VALUE"""),4)</f>
        <v>4</v>
      </c>
      <c r="J129" s="1">
        <f ca="1">IFERROR(__xludf.DUMMYFUNCTION("""COMPUTED_VALUE"""),11)</f>
        <v>11</v>
      </c>
      <c r="K129" s="1">
        <f ca="1">IFERROR(__xludf.DUMMYFUNCTION("""COMPUTED_VALUE"""),2)</f>
        <v>2</v>
      </c>
      <c r="L129" s="1">
        <f ca="1">IFERROR(__xludf.DUMMYFUNCTION("""COMPUTED_VALUE"""),9)</f>
        <v>9</v>
      </c>
      <c r="M129" s="1">
        <f ca="1">IFERROR(__xludf.DUMMYFUNCTION("""COMPUTED_VALUE"""),5)</f>
        <v>5</v>
      </c>
      <c r="N129" s="1">
        <f ca="1">IFERROR(__xludf.DUMMYFUNCTION("""COMPUTED_VALUE"""),2681)</f>
        <v>2681</v>
      </c>
      <c r="O129" s="1">
        <f ca="1">IFERROR(__xludf.DUMMYFUNCTION("""COMPUTED_VALUE"""),2509)</f>
        <v>2509</v>
      </c>
      <c r="P129" s="1">
        <f ca="1">IFERROR(__xludf.DUMMYFUNCTION("""COMPUTED_VALUE"""),1390)</f>
        <v>1390</v>
      </c>
      <c r="Q129" s="1">
        <f ca="1">IFERROR(__xludf.DUMMYFUNCTION("""COMPUTED_VALUE"""),914)</f>
        <v>914</v>
      </c>
      <c r="R129" s="1">
        <f ca="1">IFERROR(__xludf.DUMMYFUNCTION("""COMPUTED_VALUE"""),2050)</f>
        <v>2050</v>
      </c>
      <c r="S129" s="1">
        <f ca="1">IFERROR(__xludf.DUMMYFUNCTION("""COMPUTED_VALUE"""),0.446)</f>
        <v>0.44600000000000001</v>
      </c>
      <c r="T129" s="1">
        <f ca="1">IFERROR(__xludf.DUMMYFUNCTION("""COMPUTED_VALUE"""),289)</f>
        <v>289</v>
      </c>
      <c r="U129" s="1">
        <f ca="1">IFERROR(__xludf.DUMMYFUNCTION("""COMPUTED_VALUE"""),812)</f>
        <v>812</v>
      </c>
      <c r="V129" s="1">
        <f ca="1">IFERROR(__xludf.DUMMYFUNCTION("""COMPUTED_VALUE"""),0.356)</f>
        <v>0.35599999999999998</v>
      </c>
      <c r="W129" s="1">
        <f ca="1">IFERROR(__xludf.DUMMYFUNCTION("""COMPUTED_VALUE"""),564)</f>
        <v>564</v>
      </c>
      <c r="X129" s="1">
        <f ca="1">IFERROR(__xludf.DUMMYFUNCTION("""COMPUTED_VALUE"""),818)</f>
        <v>818</v>
      </c>
      <c r="Y129" s="1">
        <f ca="1">IFERROR(__xludf.DUMMYFUNCTION("""COMPUTED_VALUE"""),0.689)</f>
        <v>0.68899999999999995</v>
      </c>
      <c r="Z129" s="1">
        <f ca="1">IFERROR(__xludf.DUMMYFUNCTION("""COMPUTED_VALUE"""),402)</f>
        <v>402</v>
      </c>
      <c r="AA129" s="1">
        <f ca="1">IFERROR(__xludf.DUMMYFUNCTION("""COMPUTED_VALUE"""),1327)</f>
        <v>1327</v>
      </c>
      <c r="AB129" s="1">
        <f ca="1">IFERROR(__xludf.DUMMYFUNCTION("""COMPUTED_VALUE"""),510)</f>
        <v>510</v>
      </c>
      <c r="AC129" s="1">
        <f ca="1">IFERROR(__xludf.DUMMYFUNCTION("""COMPUTED_VALUE"""),215)</f>
        <v>215</v>
      </c>
      <c r="AD129" s="1">
        <f ca="1">IFERROR(__xludf.DUMMYFUNCTION("""COMPUTED_VALUE"""),108)</f>
        <v>108</v>
      </c>
      <c r="AE129" s="1">
        <f ca="1">IFERROR(__xludf.DUMMYFUNCTION("""COMPUTED_VALUE"""),406)</f>
        <v>406</v>
      </c>
      <c r="AF129" s="1">
        <f ca="1">IFERROR(__xludf.DUMMYFUNCTION("""COMPUTED_VALUE"""),542)</f>
        <v>542</v>
      </c>
    </row>
    <row r="130" spans="1:32" ht="12.5" x14ac:dyDescent="0.25">
      <c r="A130" s="1" t="str">
        <f ca="1">IFERROR(__xludf.DUMMYFUNCTION("""COMPUTED_VALUE"""),"Holy CrossNCAA")</f>
        <v>Holy CrossNCAA</v>
      </c>
      <c r="B130" s="1">
        <f ca="1">IFERROR(__xludf.DUMMYFUNCTION("""COMPUTED_VALUE"""),35)</f>
        <v>35</v>
      </c>
      <c r="C130" s="1">
        <f ca="1">IFERROR(__xludf.DUMMYFUNCTION("""COMPUTED_VALUE"""),15)</f>
        <v>15</v>
      </c>
      <c r="D130" s="1">
        <f ca="1">IFERROR(__xludf.DUMMYFUNCTION("""COMPUTED_VALUE"""),20)</f>
        <v>20</v>
      </c>
      <c r="E130" s="1">
        <f ca="1">IFERROR(__xludf.DUMMYFUNCTION("""COMPUTED_VALUE"""),0.429)</f>
        <v>0.42899999999999999</v>
      </c>
      <c r="F130" s="1">
        <f ca="1">IFERROR(__xludf.DUMMYFUNCTION("""COMPUTED_VALUE"""),-11.2)</f>
        <v>-11.2</v>
      </c>
      <c r="G130" s="1">
        <f ca="1">IFERROR(__xludf.DUMMYFUNCTION("""COMPUTED_VALUE"""),-6.11)</f>
        <v>-6.11</v>
      </c>
      <c r="H130" s="1">
        <f ca="1">IFERROR(__xludf.DUMMYFUNCTION("""COMPUTED_VALUE"""),5)</f>
        <v>5</v>
      </c>
      <c r="I130" s="1">
        <f ca="1">IFERROR(__xludf.DUMMYFUNCTION("""COMPUTED_VALUE"""),13)</f>
        <v>13</v>
      </c>
      <c r="J130" s="1">
        <f ca="1">IFERROR(__xludf.DUMMYFUNCTION("""COMPUTED_VALUE"""),8)</f>
        <v>8</v>
      </c>
      <c r="K130" s="1">
        <f ca="1">IFERROR(__xludf.DUMMYFUNCTION("""COMPUTED_VALUE"""),6)</f>
        <v>6</v>
      </c>
      <c r="L130" s="1">
        <f ca="1">IFERROR(__xludf.DUMMYFUNCTION("""COMPUTED_VALUE"""),5)</f>
        <v>5</v>
      </c>
      <c r="M130" s="1">
        <f ca="1">IFERROR(__xludf.DUMMYFUNCTION("""COMPUTED_VALUE"""),13)</f>
        <v>13</v>
      </c>
      <c r="N130" s="1">
        <f ca="1">IFERROR(__xludf.DUMMYFUNCTION("""COMPUTED_VALUE"""),2267)</f>
        <v>2267</v>
      </c>
      <c r="O130" s="1">
        <f ca="1">IFERROR(__xludf.DUMMYFUNCTION("""COMPUTED_VALUE"""),2445)</f>
        <v>2445</v>
      </c>
      <c r="P130" s="1">
        <f ca="1">IFERROR(__xludf.DUMMYFUNCTION("""COMPUTED_VALUE"""),1425)</f>
        <v>1425</v>
      </c>
      <c r="Q130" s="1">
        <f ca="1">IFERROR(__xludf.DUMMYFUNCTION("""COMPUTED_VALUE"""),775)</f>
        <v>775</v>
      </c>
      <c r="R130" s="1">
        <f ca="1">IFERROR(__xludf.DUMMYFUNCTION("""COMPUTED_VALUE"""),1879)</f>
        <v>1879</v>
      </c>
      <c r="S130" s="1">
        <f ca="1">IFERROR(__xludf.DUMMYFUNCTION("""COMPUTED_VALUE"""),0.412)</f>
        <v>0.41199999999999998</v>
      </c>
      <c r="T130" s="1">
        <f ca="1">IFERROR(__xludf.DUMMYFUNCTION("""COMPUTED_VALUE"""),251)</f>
        <v>251</v>
      </c>
      <c r="U130" s="1">
        <f ca="1">IFERROR(__xludf.DUMMYFUNCTION("""COMPUTED_VALUE"""),769)</f>
        <v>769</v>
      </c>
      <c r="V130" s="1">
        <f ca="1">IFERROR(__xludf.DUMMYFUNCTION("""COMPUTED_VALUE"""),0.326)</f>
        <v>0.32600000000000001</v>
      </c>
      <c r="W130" s="1">
        <f ca="1">IFERROR(__xludf.DUMMYFUNCTION("""COMPUTED_VALUE"""),466)</f>
        <v>466</v>
      </c>
      <c r="X130" s="1">
        <f ca="1">IFERROR(__xludf.DUMMYFUNCTION("""COMPUTED_VALUE"""),678)</f>
        <v>678</v>
      </c>
      <c r="Y130" s="1">
        <f ca="1">IFERROR(__xludf.DUMMYFUNCTION("""COMPUTED_VALUE"""),0.687)</f>
        <v>0.68700000000000006</v>
      </c>
      <c r="Z130" s="1">
        <f ca="1">IFERROR(__xludf.DUMMYFUNCTION("""COMPUTED_VALUE"""),279)</f>
        <v>279</v>
      </c>
      <c r="AA130" s="1">
        <f ca="1">IFERROR(__xludf.DUMMYFUNCTION("""COMPUTED_VALUE"""),1052)</f>
        <v>1052</v>
      </c>
      <c r="AB130" s="1">
        <f ca="1">IFERROR(__xludf.DUMMYFUNCTION("""COMPUTED_VALUE"""),480)</f>
        <v>480</v>
      </c>
      <c r="AC130" s="1">
        <f ca="1">IFERROR(__xludf.DUMMYFUNCTION("""COMPUTED_VALUE"""),219)</f>
        <v>219</v>
      </c>
      <c r="AD130" s="1">
        <f ca="1">IFERROR(__xludf.DUMMYFUNCTION("""COMPUTED_VALUE"""),86)</f>
        <v>86</v>
      </c>
      <c r="AE130" s="1">
        <f ca="1">IFERROR(__xludf.DUMMYFUNCTION("""COMPUTED_VALUE"""),386)</f>
        <v>386</v>
      </c>
      <c r="AF130" s="1">
        <f ca="1">IFERROR(__xludf.DUMMYFUNCTION("""COMPUTED_VALUE"""),585)</f>
        <v>585</v>
      </c>
    </row>
    <row r="131" spans="1:32" ht="12.5" x14ac:dyDescent="0.25">
      <c r="A131" s="1" t="str">
        <f ca="1">IFERROR(__xludf.DUMMYFUNCTION("""COMPUTED_VALUE"""),"Houston Baptist")</f>
        <v>Houston Baptist</v>
      </c>
      <c r="B131" s="1">
        <f ca="1">IFERROR(__xludf.DUMMYFUNCTION("""COMPUTED_VALUE"""),34)</f>
        <v>34</v>
      </c>
      <c r="C131" s="1">
        <f ca="1">IFERROR(__xludf.DUMMYFUNCTION("""COMPUTED_VALUE"""),17)</f>
        <v>17</v>
      </c>
      <c r="D131" s="1">
        <f ca="1">IFERROR(__xludf.DUMMYFUNCTION("""COMPUTED_VALUE"""),17)</f>
        <v>17</v>
      </c>
      <c r="E131" s="1">
        <f ca="1">IFERROR(__xludf.DUMMYFUNCTION("""COMPUTED_VALUE"""),0.5)</f>
        <v>0.5</v>
      </c>
      <c r="F131" s="1">
        <f ca="1">IFERROR(__xludf.DUMMYFUNCTION("""COMPUTED_VALUE"""),-10.39)</f>
        <v>-10.39</v>
      </c>
      <c r="G131" s="1">
        <f ca="1">IFERROR(__xludf.DUMMYFUNCTION("""COMPUTED_VALUE"""),-5.26)</f>
        <v>-5.26</v>
      </c>
      <c r="H131" s="1">
        <f ca="1">IFERROR(__xludf.DUMMYFUNCTION("""COMPUTED_VALUE"""),10)</f>
        <v>10</v>
      </c>
      <c r="I131" s="1">
        <f ca="1">IFERROR(__xludf.DUMMYFUNCTION("""COMPUTED_VALUE"""),8)</f>
        <v>8</v>
      </c>
      <c r="J131" s="1">
        <f ca="1">IFERROR(__xludf.DUMMYFUNCTION("""COMPUTED_VALUE"""),12)</f>
        <v>12</v>
      </c>
      <c r="K131" s="1">
        <f ca="1">IFERROR(__xludf.DUMMYFUNCTION("""COMPUTED_VALUE"""),3)</f>
        <v>3</v>
      </c>
      <c r="L131" s="1">
        <f ca="1">IFERROR(__xludf.DUMMYFUNCTION("""COMPUTED_VALUE"""),4)</f>
        <v>4</v>
      </c>
      <c r="M131" s="1">
        <f ca="1">IFERROR(__xludf.DUMMYFUNCTION("""COMPUTED_VALUE"""),11)</f>
        <v>11</v>
      </c>
      <c r="N131" s="1">
        <f ca="1">IFERROR(__xludf.DUMMYFUNCTION("""COMPUTED_VALUE"""),2604)</f>
        <v>2604</v>
      </c>
      <c r="O131" s="1">
        <f ca="1">IFERROR(__xludf.DUMMYFUNCTION("""COMPUTED_VALUE"""),2582)</f>
        <v>2582</v>
      </c>
      <c r="P131" s="1">
        <f ca="1">IFERROR(__xludf.DUMMYFUNCTION("""COMPUTED_VALUE"""),1360)</f>
        <v>1360</v>
      </c>
      <c r="Q131" s="1">
        <f ca="1">IFERROR(__xludf.DUMMYFUNCTION("""COMPUTED_VALUE"""),899)</f>
        <v>899</v>
      </c>
      <c r="R131" s="1">
        <f ca="1">IFERROR(__xludf.DUMMYFUNCTION("""COMPUTED_VALUE"""),1903)</f>
        <v>1903</v>
      </c>
      <c r="S131" s="1">
        <f ca="1">IFERROR(__xludf.DUMMYFUNCTION("""COMPUTED_VALUE"""),0.472)</f>
        <v>0.47199999999999998</v>
      </c>
      <c r="T131" s="1">
        <f ca="1">IFERROR(__xludf.DUMMYFUNCTION("""COMPUTED_VALUE"""),204)</f>
        <v>204</v>
      </c>
      <c r="U131" s="1">
        <f ca="1">IFERROR(__xludf.DUMMYFUNCTION("""COMPUTED_VALUE"""),561)</f>
        <v>561</v>
      </c>
      <c r="V131" s="1">
        <f ca="1">IFERROR(__xludf.DUMMYFUNCTION("""COMPUTED_VALUE"""),0.364)</f>
        <v>0.36399999999999999</v>
      </c>
      <c r="W131" s="1">
        <f ca="1">IFERROR(__xludf.DUMMYFUNCTION("""COMPUTED_VALUE"""),602)</f>
        <v>602</v>
      </c>
      <c r="X131" s="1">
        <f ca="1">IFERROR(__xludf.DUMMYFUNCTION("""COMPUTED_VALUE"""),839)</f>
        <v>839</v>
      </c>
      <c r="Y131" s="1">
        <f ca="1">IFERROR(__xludf.DUMMYFUNCTION("""COMPUTED_VALUE"""),0.718)</f>
        <v>0.71799999999999997</v>
      </c>
      <c r="Z131" s="1">
        <f ca="1">IFERROR(__xludf.DUMMYFUNCTION("""COMPUTED_VALUE"""),351)</f>
        <v>351</v>
      </c>
      <c r="AA131" s="1">
        <f ca="1">IFERROR(__xludf.DUMMYFUNCTION("""COMPUTED_VALUE"""),1248)</f>
        <v>1248</v>
      </c>
      <c r="AB131" s="1">
        <f ca="1">IFERROR(__xludf.DUMMYFUNCTION("""COMPUTED_VALUE"""),471)</f>
        <v>471</v>
      </c>
      <c r="AC131" s="1">
        <f ca="1">IFERROR(__xludf.DUMMYFUNCTION("""COMPUTED_VALUE"""),182)</f>
        <v>182</v>
      </c>
      <c r="AD131" s="1">
        <f ca="1">IFERROR(__xludf.DUMMYFUNCTION("""COMPUTED_VALUE"""),134)</f>
        <v>134</v>
      </c>
      <c r="AE131" s="1">
        <f ca="1">IFERROR(__xludf.DUMMYFUNCTION("""COMPUTED_VALUE"""),502)</f>
        <v>502</v>
      </c>
      <c r="AF131" s="1">
        <f ca="1">IFERROR(__xludf.DUMMYFUNCTION("""COMPUTED_VALUE"""),644)</f>
        <v>644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IFERROR(__xludf.DUMMYFUNCTION("""COMPUTED_VALUE"""),"Houston")</f>
        <v>Houston</v>
      </c>
      <c r="B134" s="1">
        <f ca="1">IFERROR(__xludf.DUMMYFUNCTION("""COMPUTED_VALUE"""),32)</f>
        <v>32</v>
      </c>
      <c r="C134" s="1">
        <f ca="1">IFERROR(__xludf.DUMMYFUNCTION("""COMPUTED_VALUE"""),22)</f>
        <v>22</v>
      </c>
      <c r="D134" s="1">
        <f ca="1">IFERROR(__xludf.DUMMYFUNCTION("""COMPUTED_VALUE"""),10)</f>
        <v>10</v>
      </c>
      <c r="E134" s="1">
        <f ca="1">IFERROR(__xludf.DUMMYFUNCTION("""COMPUTED_VALUE"""),0.688)</f>
        <v>0.68799999999999994</v>
      </c>
      <c r="F134" s="1">
        <f ca="1">IFERROR(__xludf.DUMMYFUNCTION("""COMPUTED_VALUE"""),10.3)</f>
        <v>10.3</v>
      </c>
      <c r="G134" s="1">
        <f ca="1">IFERROR(__xludf.DUMMYFUNCTION("""COMPUTED_VALUE"""),2.17)</f>
        <v>2.17</v>
      </c>
      <c r="H134" s="1">
        <f ca="1">IFERROR(__xludf.DUMMYFUNCTION("""COMPUTED_VALUE"""),12)</f>
        <v>12</v>
      </c>
      <c r="I134" s="1">
        <f ca="1">IFERROR(__xludf.DUMMYFUNCTION("""COMPUTED_VALUE"""),6)</f>
        <v>6</v>
      </c>
      <c r="J134" s="1">
        <f ca="1">IFERROR(__xludf.DUMMYFUNCTION("""COMPUTED_VALUE"""),15)</f>
        <v>15</v>
      </c>
      <c r="K134" s="1">
        <f ca="1">IFERROR(__xludf.DUMMYFUNCTION("""COMPUTED_VALUE"""),3)</f>
        <v>3</v>
      </c>
      <c r="L134" s="1">
        <f ca="1">IFERROR(__xludf.DUMMYFUNCTION("""COMPUTED_VALUE"""),6)</f>
        <v>6</v>
      </c>
      <c r="M134" s="1">
        <f ca="1">IFERROR(__xludf.DUMMYFUNCTION("""COMPUTED_VALUE"""),5)</f>
        <v>5</v>
      </c>
      <c r="N134" s="1">
        <f ca="1">IFERROR(__xludf.DUMMYFUNCTION("""COMPUTED_VALUE"""),2476)</f>
        <v>2476</v>
      </c>
      <c r="O134" s="1">
        <f ca="1">IFERROR(__xludf.DUMMYFUNCTION("""COMPUTED_VALUE"""),2216)</f>
        <v>2216</v>
      </c>
      <c r="P134" s="1">
        <f ca="1">IFERROR(__xludf.DUMMYFUNCTION("""COMPUTED_VALUE"""),1305)</f>
        <v>1305</v>
      </c>
      <c r="Q134" s="1">
        <f ca="1">IFERROR(__xludf.DUMMYFUNCTION("""COMPUTED_VALUE"""),897)</f>
        <v>897</v>
      </c>
      <c r="R134" s="1">
        <f ca="1">IFERROR(__xludf.DUMMYFUNCTION("""COMPUTED_VALUE"""),1926)</f>
        <v>1926</v>
      </c>
      <c r="S134" s="1">
        <f ca="1">IFERROR(__xludf.DUMMYFUNCTION("""COMPUTED_VALUE"""),0.466)</f>
        <v>0.46600000000000003</v>
      </c>
      <c r="T134" s="1">
        <f ca="1">IFERROR(__xludf.DUMMYFUNCTION("""COMPUTED_VALUE"""),215)</f>
        <v>215</v>
      </c>
      <c r="U134" s="1">
        <f ca="1">IFERROR(__xludf.DUMMYFUNCTION("""COMPUTED_VALUE"""),618)</f>
        <v>618</v>
      </c>
      <c r="V134" s="1">
        <f ca="1">IFERROR(__xludf.DUMMYFUNCTION("""COMPUTED_VALUE"""),0.348)</f>
        <v>0.34799999999999998</v>
      </c>
      <c r="W134" s="1">
        <f ca="1">IFERROR(__xludf.DUMMYFUNCTION("""COMPUTED_VALUE"""),467)</f>
        <v>467</v>
      </c>
      <c r="X134" s="1">
        <f ca="1">IFERROR(__xludf.DUMMYFUNCTION("""COMPUTED_VALUE"""),662)</f>
        <v>662</v>
      </c>
      <c r="Y134" s="1">
        <f ca="1">IFERROR(__xludf.DUMMYFUNCTION("""COMPUTED_VALUE"""),0.705)</f>
        <v>0.70499999999999996</v>
      </c>
      <c r="Z134" s="1">
        <f ca="1">IFERROR(__xludf.DUMMYFUNCTION("""COMPUTED_VALUE"""),410)</f>
        <v>410</v>
      </c>
      <c r="AA134" s="1">
        <f ca="1">IFERROR(__xludf.DUMMYFUNCTION("""COMPUTED_VALUE"""),1202)</f>
        <v>1202</v>
      </c>
      <c r="AB134" s="1">
        <f ca="1">IFERROR(__xludf.DUMMYFUNCTION("""COMPUTED_VALUE"""),412)</f>
        <v>412</v>
      </c>
      <c r="AC134" s="1">
        <f ca="1">IFERROR(__xludf.DUMMYFUNCTION("""COMPUTED_VALUE"""),191)</f>
        <v>191</v>
      </c>
      <c r="AD134" s="1">
        <f ca="1">IFERROR(__xludf.DUMMYFUNCTION("""COMPUTED_VALUE"""),122)</f>
        <v>122</v>
      </c>
      <c r="AE134" s="1">
        <f ca="1">IFERROR(__xludf.DUMMYFUNCTION("""COMPUTED_VALUE"""),333)</f>
        <v>333</v>
      </c>
      <c r="AF134" s="1">
        <f ca="1">IFERROR(__xludf.DUMMYFUNCTION("""COMPUTED_VALUE"""),608)</f>
        <v>608</v>
      </c>
    </row>
    <row r="135" spans="1:32" ht="12.5" x14ac:dyDescent="0.25">
      <c r="A135" s="1" t="str">
        <f ca="1">IFERROR(__xludf.DUMMYFUNCTION("""COMPUTED_VALUE"""),"Howard")</f>
        <v>Howard</v>
      </c>
      <c r="B135" s="1">
        <f ca="1">IFERROR(__xludf.DUMMYFUNCTION("""COMPUTED_VALUE"""),32)</f>
        <v>32</v>
      </c>
      <c r="C135" s="1">
        <f ca="1">IFERROR(__xludf.DUMMYFUNCTION("""COMPUTED_VALUE"""),12)</f>
        <v>12</v>
      </c>
      <c r="D135" s="1">
        <f ca="1">IFERROR(__xludf.DUMMYFUNCTION("""COMPUTED_VALUE"""),20)</f>
        <v>20</v>
      </c>
      <c r="E135" s="1">
        <f ca="1">IFERROR(__xludf.DUMMYFUNCTION("""COMPUTED_VALUE"""),0.375)</f>
        <v>0.375</v>
      </c>
      <c r="F135" s="1">
        <f ca="1">IFERROR(__xludf.DUMMYFUNCTION("""COMPUTED_VALUE"""),-14.43)</f>
        <v>-14.43</v>
      </c>
      <c r="G135" s="1">
        <f ca="1">IFERROR(__xludf.DUMMYFUNCTION("""COMPUTED_VALUE"""),-8.33)</f>
        <v>-8.33</v>
      </c>
      <c r="H135" s="1">
        <f ca="1">IFERROR(__xludf.DUMMYFUNCTION("""COMPUTED_VALUE"""),6)</f>
        <v>6</v>
      </c>
      <c r="I135" s="1">
        <f ca="1">IFERROR(__xludf.DUMMYFUNCTION("""COMPUTED_VALUE"""),10)</f>
        <v>10</v>
      </c>
      <c r="J135" s="1">
        <f ca="1">IFERROR(__xludf.DUMMYFUNCTION("""COMPUTED_VALUE"""),8)</f>
        <v>8</v>
      </c>
      <c r="K135" s="1">
        <f ca="1">IFERROR(__xludf.DUMMYFUNCTION("""COMPUTED_VALUE"""),7)</f>
        <v>7</v>
      </c>
      <c r="L135" s="1">
        <f ca="1">IFERROR(__xludf.DUMMYFUNCTION("""COMPUTED_VALUE"""),2)</f>
        <v>2</v>
      </c>
      <c r="M135" s="1">
        <f ca="1">IFERROR(__xludf.DUMMYFUNCTION("""COMPUTED_VALUE"""),12)</f>
        <v>12</v>
      </c>
      <c r="N135" s="1">
        <f ca="1">IFERROR(__xludf.DUMMYFUNCTION("""COMPUTED_VALUE"""),2311)</f>
        <v>2311</v>
      </c>
      <c r="O135" s="1">
        <f ca="1">IFERROR(__xludf.DUMMYFUNCTION("""COMPUTED_VALUE"""),2433)</f>
        <v>2433</v>
      </c>
      <c r="P135" s="1">
        <f ca="1">IFERROR(__xludf.DUMMYFUNCTION("""COMPUTED_VALUE"""),1300)</f>
        <v>1300</v>
      </c>
      <c r="Q135" s="1">
        <f ca="1">IFERROR(__xludf.DUMMYFUNCTION("""COMPUTED_VALUE"""),750)</f>
        <v>750</v>
      </c>
      <c r="R135" s="1">
        <f ca="1">IFERROR(__xludf.DUMMYFUNCTION("""COMPUTED_VALUE"""),1846)</f>
        <v>1846</v>
      </c>
      <c r="S135" s="1">
        <f ca="1">IFERROR(__xludf.DUMMYFUNCTION("""COMPUTED_VALUE"""),0.406)</f>
        <v>0.40600000000000003</v>
      </c>
      <c r="T135" s="1">
        <f ca="1">IFERROR(__xludf.DUMMYFUNCTION("""COMPUTED_VALUE"""),144)</f>
        <v>144</v>
      </c>
      <c r="U135" s="1">
        <f ca="1">IFERROR(__xludf.DUMMYFUNCTION("""COMPUTED_VALUE"""),486)</f>
        <v>486</v>
      </c>
      <c r="V135" s="1">
        <f ca="1">IFERROR(__xludf.DUMMYFUNCTION("""COMPUTED_VALUE"""),0.296)</f>
        <v>0.29599999999999999</v>
      </c>
      <c r="W135" s="1">
        <f ca="1">IFERROR(__xludf.DUMMYFUNCTION("""COMPUTED_VALUE"""),667)</f>
        <v>667</v>
      </c>
      <c r="X135" s="1">
        <f ca="1">IFERROR(__xludf.DUMMYFUNCTION("""COMPUTED_VALUE"""),914)</f>
        <v>914</v>
      </c>
      <c r="Y135" s="1">
        <f ca="1">IFERROR(__xludf.DUMMYFUNCTION("""COMPUTED_VALUE"""),0.73)</f>
        <v>0.73</v>
      </c>
      <c r="Z135" s="1">
        <f ca="1">IFERROR(__xludf.DUMMYFUNCTION("""COMPUTED_VALUE"""),403)</f>
        <v>403</v>
      </c>
      <c r="AA135" s="1">
        <f ca="1">IFERROR(__xludf.DUMMYFUNCTION("""COMPUTED_VALUE"""),1218)</f>
        <v>1218</v>
      </c>
      <c r="AB135" s="1">
        <f ca="1">IFERROR(__xludf.DUMMYFUNCTION("""COMPUTED_VALUE"""),275)</f>
        <v>275</v>
      </c>
      <c r="AC135" s="1">
        <f ca="1">IFERROR(__xludf.DUMMYFUNCTION("""COMPUTED_VALUE"""),197)</f>
        <v>197</v>
      </c>
      <c r="AD135" s="1">
        <f ca="1">IFERROR(__xludf.DUMMYFUNCTION("""COMPUTED_VALUE"""),102)</f>
        <v>102</v>
      </c>
      <c r="AE135" s="1">
        <f ca="1">IFERROR(__xludf.DUMMYFUNCTION("""COMPUTED_VALUE"""),477)</f>
        <v>477</v>
      </c>
      <c r="AF135" s="1">
        <f ca="1">IFERROR(__xludf.DUMMYFUNCTION("""COMPUTED_VALUE"""),632)</f>
        <v>632</v>
      </c>
    </row>
    <row r="136" spans="1:32" ht="12.5" x14ac:dyDescent="0.25">
      <c r="A136" s="1" t="str">
        <f ca="1">IFERROR(__xludf.DUMMYFUNCTION("""COMPUTED_VALUE"""),"Idaho State")</f>
        <v>Idaho State</v>
      </c>
      <c r="B136" s="1">
        <f ca="1">IFERROR(__xludf.DUMMYFUNCTION("""COMPUTED_VALUE"""),31)</f>
        <v>31</v>
      </c>
      <c r="C136" s="1">
        <f ca="1">IFERROR(__xludf.DUMMYFUNCTION("""COMPUTED_VALUE"""),16)</f>
        <v>16</v>
      </c>
      <c r="D136" s="1">
        <f ca="1">IFERROR(__xludf.DUMMYFUNCTION("""COMPUTED_VALUE"""),15)</f>
        <v>15</v>
      </c>
      <c r="E136" s="1">
        <f ca="1">IFERROR(__xludf.DUMMYFUNCTION("""COMPUTED_VALUE"""),0.516)</f>
        <v>0.51600000000000001</v>
      </c>
      <c r="F136" s="1">
        <f ca="1">IFERROR(__xludf.DUMMYFUNCTION("""COMPUTED_VALUE"""),-9.83)</f>
        <v>-9.83</v>
      </c>
      <c r="G136" s="1">
        <f ca="1">IFERROR(__xludf.DUMMYFUNCTION("""COMPUTED_VALUE"""),-6.69)</f>
        <v>-6.69</v>
      </c>
      <c r="H136" s="1">
        <f ca="1">IFERROR(__xludf.DUMMYFUNCTION("""COMPUTED_VALUE"""),11)</f>
        <v>11</v>
      </c>
      <c r="I136" s="1">
        <f ca="1">IFERROR(__xludf.DUMMYFUNCTION("""COMPUTED_VALUE"""),7)</f>
        <v>7</v>
      </c>
      <c r="J136" s="1">
        <f ca="1">IFERROR(__xludf.DUMMYFUNCTION("""COMPUTED_VALUE"""),10)</f>
        <v>10</v>
      </c>
      <c r="K136" s="1">
        <f ca="1">IFERROR(__xludf.DUMMYFUNCTION("""COMPUTED_VALUE"""),3)</f>
        <v>3</v>
      </c>
      <c r="L136" s="1">
        <f ca="1">IFERROR(__xludf.DUMMYFUNCTION("""COMPUTED_VALUE"""),5)</f>
        <v>5</v>
      </c>
      <c r="M136" s="1">
        <f ca="1">IFERROR(__xludf.DUMMYFUNCTION("""COMPUTED_VALUE"""),10)</f>
        <v>10</v>
      </c>
      <c r="N136" s="1">
        <f ca="1">IFERROR(__xludf.DUMMYFUNCTION("""COMPUTED_VALUE"""),2297)</f>
        <v>2297</v>
      </c>
      <c r="O136" s="1">
        <f ca="1">IFERROR(__xludf.DUMMYFUNCTION("""COMPUTED_VALUE"""),2357)</f>
        <v>2357</v>
      </c>
      <c r="P136" s="1">
        <f ca="1">IFERROR(__xludf.DUMMYFUNCTION("""COMPUTED_VALUE"""),1240)</f>
        <v>1240</v>
      </c>
      <c r="Q136" s="1">
        <f ca="1">IFERROR(__xludf.DUMMYFUNCTION("""COMPUTED_VALUE"""),769)</f>
        <v>769</v>
      </c>
      <c r="R136" s="1">
        <f ca="1">IFERROR(__xludf.DUMMYFUNCTION("""COMPUTED_VALUE"""),1767)</f>
        <v>1767</v>
      </c>
      <c r="S136" s="1">
        <f ca="1">IFERROR(__xludf.DUMMYFUNCTION("""COMPUTED_VALUE"""),0.435)</f>
        <v>0.435</v>
      </c>
      <c r="T136" s="1">
        <f ca="1">IFERROR(__xludf.DUMMYFUNCTION("""COMPUTED_VALUE"""),250)</f>
        <v>250</v>
      </c>
      <c r="U136" s="1">
        <f ca="1">IFERROR(__xludf.DUMMYFUNCTION("""COMPUTED_VALUE"""),687)</f>
        <v>687</v>
      </c>
      <c r="V136" s="1">
        <f ca="1">IFERROR(__xludf.DUMMYFUNCTION("""COMPUTED_VALUE"""),0.364)</f>
        <v>0.36399999999999999</v>
      </c>
      <c r="W136" s="1">
        <f ca="1">IFERROR(__xludf.DUMMYFUNCTION("""COMPUTED_VALUE"""),509)</f>
        <v>509</v>
      </c>
      <c r="X136" s="1">
        <f ca="1">IFERROR(__xludf.DUMMYFUNCTION("""COMPUTED_VALUE"""),700)</f>
        <v>700</v>
      </c>
      <c r="Y136" s="1">
        <f ca="1">IFERROR(__xludf.DUMMYFUNCTION("""COMPUTED_VALUE"""),0.727)</f>
        <v>0.72699999999999998</v>
      </c>
      <c r="Z136" s="1">
        <f ca="1">IFERROR(__xludf.DUMMYFUNCTION("""COMPUTED_VALUE"""),284)</f>
        <v>284</v>
      </c>
      <c r="AA136" s="1">
        <f ca="1">IFERROR(__xludf.DUMMYFUNCTION("""COMPUTED_VALUE"""),1078)</f>
        <v>1078</v>
      </c>
      <c r="AB136" s="1">
        <f ca="1">IFERROR(__xludf.DUMMYFUNCTION("""COMPUTED_VALUE"""),380)</f>
        <v>380</v>
      </c>
      <c r="AC136" s="1">
        <f ca="1">IFERROR(__xludf.DUMMYFUNCTION("""COMPUTED_VALUE"""),226)</f>
        <v>226</v>
      </c>
      <c r="AD136" s="1">
        <f ca="1">IFERROR(__xludf.DUMMYFUNCTION("""COMPUTED_VALUE"""),90)</f>
        <v>90</v>
      </c>
      <c r="AE136" s="1">
        <f ca="1">IFERROR(__xludf.DUMMYFUNCTION("""COMPUTED_VALUE"""),409)</f>
        <v>409</v>
      </c>
      <c r="AF136" s="1">
        <f ca="1">IFERROR(__xludf.DUMMYFUNCTION("""COMPUTED_VALUE"""),587)</f>
        <v>587</v>
      </c>
    </row>
    <row r="137" spans="1:32" ht="12.5" x14ac:dyDescent="0.25">
      <c r="A137" s="1" t="str">
        <f ca="1">IFERROR(__xludf.DUMMYFUNCTION("""COMPUTED_VALUE"""),"Idaho")</f>
        <v>Idaho</v>
      </c>
      <c r="B137" s="1">
        <f ca="1">IFERROR(__xludf.DUMMYFUNCTION("""COMPUTED_VALUE"""),34)</f>
        <v>34</v>
      </c>
      <c r="C137" s="1">
        <f ca="1">IFERROR(__xludf.DUMMYFUNCTION("""COMPUTED_VALUE"""),21)</f>
        <v>21</v>
      </c>
      <c r="D137" s="1">
        <f ca="1">IFERROR(__xludf.DUMMYFUNCTION("""COMPUTED_VALUE"""),13)</f>
        <v>13</v>
      </c>
      <c r="E137" s="1">
        <f ca="1">IFERROR(__xludf.DUMMYFUNCTION("""COMPUTED_VALUE"""),0.618)</f>
        <v>0.61799999999999999</v>
      </c>
      <c r="F137" s="1">
        <f ca="1">IFERROR(__xludf.DUMMYFUNCTION("""COMPUTED_VALUE"""),-5.19)</f>
        <v>-5.19</v>
      </c>
      <c r="G137" s="1">
        <f ca="1">IFERROR(__xludf.DUMMYFUNCTION("""COMPUTED_VALUE"""),-5.88)</f>
        <v>-5.88</v>
      </c>
      <c r="H137" s="1">
        <f ca="1">IFERROR(__xludf.DUMMYFUNCTION("""COMPUTED_VALUE"""),12)</f>
        <v>12</v>
      </c>
      <c r="I137" s="1">
        <f ca="1">IFERROR(__xludf.DUMMYFUNCTION("""COMPUTED_VALUE"""),6)</f>
        <v>6</v>
      </c>
      <c r="J137" s="1">
        <f ca="1">IFERROR(__xludf.DUMMYFUNCTION("""COMPUTED_VALUE"""),11)</f>
        <v>11</v>
      </c>
      <c r="K137" s="1">
        <f ca="1">IFERROR(__xludf.DUMMYFUNCTION("""COMPUTED_VALUE"""),4)</f>
        <v>4</v>
      </c>
      <c r="L137" s="1">
        <f ca="1">IFERROR(__xludf.DUMMYFUNCTION("""COMPUTED_VALUE"""),8)</f>
        <v>8</v>
      </c>
      <c r="M137" s="1">
        <f ca="1">IFERROR(__xludf.DUMMYFUNCTION("""COMPUTED_VALUE"""),7)</f>
        <v>7</v>
      </c>
      <c r="N137" s="1">
        <f ca="1">IFERROR(__xludf.DUMMYFUNCTION("""COMPUTED_VALUE"""),2372)</f>
        <v>2372</v>
      </c>
      <c r="O137" s="1">
        <f ca="1">IFERROR(__xludf.DUMMYFUNCTION("""COMPUTED_VALUE"""),2251)</f>
        <v>2251</v>
      </c>
      <c r="P137" s="1">
        <f ca="1">IFERROR(__xludf.DUMMYFUNCTION("""COMPUTED_VALUE"""),1365)</f>
        <v>1365</v>
      </c>
      <c r="Q137" s="1">
        <f ca="1">IFERROR(__xludf.DUMMYFUNCTION("""COMPUTED_VALUE"""),800)</f>
        <v>800</v>
      </c>
      <c r="R137" s="1">
        <f ca="1">IFERROR(__xludf.DUMMYFUNCTION("""COMPUTED_VALUE"""),1812)</f>
        <v>1812</v>
      </c>
      <c r="S137" s="1">
        <f ca="1">IFERROR(__xludf.DUMMYFUNCTION("""COMPUTED_VALUE"""),0.442)</f>
        <v>0.442</v>
      </c>
      <c r="T137" s="1">
        <f ca="1">IFERROR(__xludf.DUMMYFUNCTION("""COMPUTED_VALUE"""),223)</f>
        <v>223</v>
      </c>
      <c r="U137" s="1">
        <f ca="1">IFERROR(__xludf.DUMMYFUNCTION("""COMPUTED_VALUE"""),591)</f>
        <v>591</v>
      </c>
      <c r="V137" s="1">
        <f ca="1">IFERROR(__xludf.DUMMYFUNCTION("""COMPUTED_VALUE"""),0.377)</f>
        <v>0.377</v>
      </c>
      <c r="W137" s="1">
        <f ca="1">IFERROR(__xludf.DUMMYFUNCTION("""COMPUTED_VALUE"""),549)</f>
        <v>549</v>
      </c>
      <c r="X137" s="1">
        <f ca="1">IFERROR(__xludf.DUMMYFUNCTION("""COMPUTED_VALUE"""),774)</f>
        <v>774</v>
      </c>
      <c r="Y137" s="1">
        <f ca="1">IFERROR(__xludf.DUMMYFUNCTION("""COMPUTED_VALUE"""),0.709)</f>
        <v>0.70899999999999996</v>
      </c>
      <c r="Z137" s="1">
        <f ca="1">IFERROR(__xludf.DUMMYFUNCTION("""COMPUTED_VALUE"""),387)</f>
        <v>387</v>
      </c>
      <c r="AA137" s="1">
        <f ca="1">IFERROR(__xludf.DUMMYFUNCTION("""COMPUTED_VALUE"""),1257)</f>
        <v>1257</v>
      </c>
      <c r="AB137" s="1">
        <f ca="1">IFERROR(__xludf.DUMMYFUNCTION("""COMPUTED_VALUE"""),428)</f>
        <v>428</v>
      </c>
      <c r="AC137" s="1">
        <f ca="1">IFERROR(__xludf.DUMMYFUNCTION("""COMPUTED_VALUE"""),178)</f>
        <v>178</v>
      </c>
      <c r="AD137" s="1">
        <f ca="1">IFERROR(__xludf.DUMMYFUNCTION("""COMPUTED_VALUE"""),88)</f>
        <v>88</v>
      </c>
      <c r="AE137" s="1">
        <f ca="1">IFERROR(__xludf.DUMMYFUNCTION("""COMPUTED_VALUE"""),506)</f>
        <v>506</v>
      </c>
      <c r="AF137" s="1">
        <f ca="1">IFERROR(__xludf.DUMMYFUNCTION("""COMPUTED_VALUE"""),735)</f>
        <v>735</v>
      </c>
    </row>
    <row r="138" spans="1:32" ht="12.5" x14ac:dyDescent="0.25">
      <c r="A138" s="1" t="str">
        <f ca="1">IFERROR(__xludf.DUMMYFUNCTION("""COMPUTED_VALUE"""),"Illinois-Chicago")</f>
        <v>Illinois-Chicago</v>
      </c>
      <c r="B138" s="1">
        <f ca="1">IFERROR(__xludf.DUMMYFUNCTION("""COMPUTED_VALUE"""),30)</f>
        <v>30</v>
      </c>
      <c r="C138" s="1">
        <f ca="1">IFERROR(__xludf.DUMMYFUNCTION("""COMPUTED_VALUE"""),5)</f>
        <v>5</v>
      </c>
      <c r="D138" s="1">
        <f ca="1">IFERROR(__xludf.DUMMYFUNCTION("""COMPUTED_VALUE"""),25)</f>
        <v>25</v>
      </c>
      <c r="E138" s="1">
        <f ca="1">IFERROR(__xludf.DUMMYFUNCTION("""COMPUTED_VALUE"""),0.167)</f>
        <v>0.16700000000000001</v>
      </c>
      <c r="F138" s="1">
        <f ca="1">IFERROR(__xludf.DUMMYFUNCTION("""COMPUTED_VALUE"""),-14.52)</f>
        <v>-14.52</v>
      </c>
      <c r="G138" s="1">
        <f ca="1">IFERROR(__xludf.DUMMYFUNCTION("""COMPUTED_VALUE"""),-0.81)</f>
        <v>-0.81</v>
      </c>
      <c r="H138" s="1">
        <f ca="1">IFERROR(__xludf.DUMMYFUNCTION("""COMPUTED_VALUE"""),3)</f>
        <v>3</v>
      </c>
      <c r="I138" s="1">
        <f ca="1">IFERROR(__xludf.DUMMYFUNCTION("""COMPUTED_VALUE"""),15)</f>
        <v>15</v>
      </c>
      <c r="J138" s="1">
        <f ca="1">IFERROR(__xludf.DUMMYFUNCTION("""COMPUTED_VALUE"""),5)</f>
        <v>5</v>
      </c>
      <c r="K138" s="1">
        <f ca="1">IFERROR(__xludf.DUMMYFUNCTION("""COMPUTED_VALUE"""),10)</f>
        <v>10</v>
      </c>
      <c r="L138" s="1">
        <f ca="1">IFERROR(__xludf.DUMMYFUNCTION("""COMPUTED_VALUE"""),0)</f>
        <v>0</v>
      </c>
      <c r="M138" s="1">
        <f ca="1">IFERROR(__xludf.DUMMYFUNCTION("""COMPUTED_VALUE"""),13)</f>
        <v>13</v>
      </c>
      <c r="N138" s="1">
        <f ca="1">IFERROR(__xludf.DUMMYFUNCTION("""COMPUTED_VALUE"""),2019)</f>
        <v>2019</v>
      </c>
      <c r="O138" s="1">
        <f ca="1">IFERROR(__xludf.DUMMYFUNCTION("""COMPUTED_VALUE"""),2348)</f>
        <v>2348</v>
      </c>
      <c r="P138" s="1">
        <f ca="1">IFERROR(__xludf.DUMMYFUNCTION("""COMPUTED_VALUE"""),1220)</f>
        <v>1220</v>
      </c>
      <c r="Q138" s="1">
        <f ca="1">IFERROR(__xludf.DUMMYFUNCTION("""COMPUTED_VALUE"""),697)</f>
        <v>697</v>
      </c>
      <c r="R138" s="1">
        <f ca="1">IFERROR(__xludf.DUMMYFUNCTION("""COMPUTED_VALUE"""),1796)</f>
        <v>1796</v>
      </c>
      <c r="S138" s="1">
        <f ca="1">IFERROR(__xludf.DUMMYFUNCTION("""COMPUTED_VALUE"""),0.388)</f>
        <v>0.38800000000000001</v>
      </c>
      <c r="T138" s="1">
        <f ca="1">IFERROR(__xludf.DUMMYFUNCTION("""COMPUTED_VALUE"""),133)</f>
        <v>133</v>
      </c>
      <c r="U138" s="1">
        <f ca="1">IFERROR(__xludf.DUMMYFUNCTION("""COMPUTED_VALUE"""),440)</f>
        <v>440</v>
      </c>
      <c r="V138" s="1">
        <f ca="1">IFERROR(__xludf.DUMMYFUNCTION("""COMPUTED_VALUE"""),0.302)</f>
        <v>0.30199999999999999</v>
      </c>
      <c r="W138" s="1">
        <f ca="1">IFERROR(__xludf.DUMMYFUNCTION("""COMPUTED_VALUE"""),492)</f>
        <v>492</v>
      </c>
      <c r="X138" s="1">
        <f ca="1">IFERROR(__xludf.DUMMYFUNCTION("""COMPUTED_VALUE"""),795)</f>
        <v>795</v>
      </c>
      <c r="Y138" s="1">
        <f ca="1">IFERROR(__xludf.DUMMYFUNCTION("""COMPUTED_VALUE"""),0.619)</f>
        <v>0.61899999999999999</v>
      </c>
      <c r="Z138" s="1">
        <f ca="1">IFERROR(__xludf.DUMMYFUNCTION("""COMPUTED_VALUE"""),406)</f>
        <v>406</v>
      </c>
      <c r="AA138" s="1">
        <f ca="1">IFERROR(__xludf.DUMMYFUNCTION("""COMPUTED_VALUE"""),1235)</f>
        <v>1235</v>
      </c>
      <c r="AB138" s="1">
        <f ca="1">IFERROR(__xludf.DUMMYFUNCTION("""COMPUTED_VALUE"""),347)</f>
        <v>347</v>
      </c>
      <c r="AC138" s="1">
        <f ca="1">IFERROR(__xludf.DUMMYFUNCTION("""COMPUTED_VALUE"""),168)</f>
        <v>168</v>
      </c>
      <c r="AD138" s="1">
        <f ca="1">IFERROR(__xludf.DUMMYFUNCTION("""COMPUTED_VALUE"""),162)</f>
        <v>162</v>
      </c>
      <c r="AE138" s="1">
        <f ca="1">IFERROR(__xludf.DUMMYFUNCTION("""COMPUTED_VALUE"""),453)</f>
        <v>453</v>
      </c>
      <c r="AF138" s="1">
        <f ca="1">IFERROR(__xludf.DUMMYFUNCTION("""COMPUTED_VALUE"""),640)</f>
        <v>640</v>
      </c>
    </row>
    <row r="139" spans="1:32" ht="12.5" x14ac:dyDescent="0.25">
      <c r="A139" s="1" t="str">
        <f ca="1">IFERROR(__xludf.DUMMYFUNCTION("""COMPUTED_VALUE"""),"Illinois State")</f>
        <v>Illinois State</v>
      </c>
      <c r="B139" s="1">
        <f ca="1">IFERROR(__xludf.DUMMYFUNCTION("""COMPUTED_VALUE"""),32)</f>
        <v>32</v>
      </c>
      <c r="C139" s="1">
        <f ca="1">IFERROR(__xludf.DUMMYFUNCTION("""COMPUTED_VALUE"""),18)</f>
        <v>18</v>
      </c>
      <c r="D139" s="1">
        <f ca="1">IFERROR(__xludf.DUMMYFUNCTION("""COMPUTED_VALUE"""),14)</f>
        <v>14</v>
      </c>
      <c r="E139" s="1">
        <f ca="1">IFERROR(__xludf.DUMMYFUNCTION("""COMPUTED_VALUE"""),0.563)</f>
        <v>0.56299999999999994</v>
      </c>
      <c r="F139" s="1">
        <f ca="1">IFERROR(__xludf.DUMMYFUNCTION("""COMPUTED_VALUE"""),3.4)</f>
        <v>3.4</v>
      </c>
      <c r="G139" s="1">
        <f ca="1">IFERROR(__xludf.DUMMYFUNCTION("""COMPUTED_VALUE"""),2.59)</f>
        <v>2.59</v>
      </c>
      <c r="H139" s="1">
        <f ca="1">IFERROR(__xludf.DUMMYFUNCTION("""COMPUTED_VALUE"""),12)</f>
        <v>12</v>
      </c>
      <c r="I139" s="1">
        <f ca="1">IFERROR(__xludf.DUMMYFUNCTION("""COMPUTED_VALUE"""),6)</f>
        <v>6</v>
      </c>
      <c r="J139" s="1">
        <f ca="1">IFERROR(__xludf.DUMMYFUNCTION("""COMPUTED_VALUE"""),13)</f>
        <v>13</v>
      </c>
      <c r="K139" s="1">
        <f ca="1">IFERROR(__xludf.DUMMYFUNCTION("""COMPUTED_VALUE"""),3)</f>
        <v>3</v>
      </c>
      <c r="L139" s="1">
        <f ca="1">IFERROR(__xludf.DUMMYFUNCTION("""COMPUTED_VALUE"""),5)</f>
        <v>5</v>
      </c>
      <c r="M139" s="1">
        <f ca="1">IFERROR(__xludf.DUMMYFUNCTION("""COMPUTED_VALUE"""),8)</f>
        <v>8</v>
      </c>
      <c r="N139" s="1">
        <f ca="1">IFERROR(__xludf.DUMMYFUNCTION("""COMPUTED_VALUE"""),2149)</f>
        <v>2149</v>
      </c>
      <c r="O139" s="1">
        <f ca="1">IFERROR(__xludf.DUMMYFUNCTION("""COMPUTED_VALUE"""),2114)</f>
        <v>2114</v>
      </c>
      <c r="P139" s="1">
        <f ca="1">IFERROR(__xludf.DUMMYFUNCTION("""COMPUTED_VALUE"""),1285)</f>
        <v>1285</v>
      </c>
      <c r="Q139" s="1">
        <f ca="1">IFERROR(__xludf.DUMMYFUNCTION("""COMPUTED_VALUE"""),759)</f>
        <v>759</v>
      </c>
      <c r="R139" s="1">
        <f ca="1">IFERROR(__xludf.DUMMYFUNCTION("""COMPUTED_VALUE"""),1835)</f>
        <v>1835</v>
      </c>
      <c r="S139" s="1">
        <f ca="1">IFERROR(__xludf.DUMMYFUNCTION("""COMPUTED_VALUE"""),0.414)</f>
        <v>0.41399999999999998</v>
      </c>
      <c r="T139" s="1">
        <f ca="1">IFERROR(__xludf.DUMMYFUNCTION("""COMPUTED_VALUE"""),238)</f>
        <v>238</v>
      </c>
      <c r="U139" s="1">
        <f ca="1">IFERROR(__xludf.DUMMYFUNCTION("""COMPUTED_VALUE"""),706)</f>
        <v>706</v>
      </c>
      <c r="V139" s="1">
        <f ca="1">IFERROR(__xludf.DUMMYFUNCTION("""COMPUTED_VALUE"""),0.337)</f>
        <v>0.33700000000000002</v>
      </c>
      <c r="W139" s="1">
        <f ca="1">IFERROR(__xludf.DUMMYFUNCTION("""COMPUTED_VALUE"""),393)</f>
        <v>393</v>
      </c>
      <c r="X139" s="1">
        <f ca="1">IFERROR(__xludf.DUMMYFUNCTION("""COMPUTED_VALUE"""),588)</f>
        <v>588</v>
      </c>
      <c r="Y139" s="1">
        <f ca="1">IFERROR(__xludf.DUMMYFUNCTION("""COMPUTED_VALUE"""),0.668)</f>
        <v>0.66800000000000004</v>
      </c>
      <c r="Z139" s="1">
        <f ca="1">IFERROR(__xludf.DUMMYFUNCTION("""COMPUTED_VALUE"""),344)</f>
        <v>344</v>
      </c>
      <c r="AA139" s="1">
        <f ca="1">IFERROR(__xludf.DUMMYFUNCTION("""COMPUTED_VALUE"""),1141)</f>
        <v>1141</v>
      </c>
      <c r="AB139" s="1">
        <f ca="1">IFERROR(__xludf.DUMMYFUNCTION("""COMPUTED_VALUE"""),402)</f>
        <v>402</v>
      </c>
      <c r="AC139" s="1">
        <f ca="1">IFERROR(__xludf.DUMMYFUNCTION("""COMPUTED_VALUE"""),205)</f>
        <v>205</v>
      </c>
      <c r="AD139" s="1">
        <f ca="1">IFERROR(__xludf.DUMMYFUNCTION("""COMPUTED_VALUE"""),115)</f>
        <v>115</v>
      </c>
      <c r="AE139" s="1">
        <f ca="1">IFERROR(__xludf.DUMMYFUNCTION("""COMPUTED_VALUE"""),405)</f>
        <v>405</v>
      </c>
      <c r="AF139" s="1">
        <f ca="1">IFERROR(__xludf.DUMMYFUNCTION("""COMPUTED_VALUE"""),622)</f>
        <v>622</v>
      </c>
    </row>
    <row r="140" spans="1:32" ht="12.5" x14ac:dyDescent="0.25">
      <c r="A140" s="1" t="str">
        <f ca="1">IFERROR(__xludf.DUMMYFUNCTION("""COMPUTED_VALUE"""),"Illinois")</f>
        <v>Illinois</v>
      </c>
      <c r="B140" s="1">
        <f ca="1">IFERROR(__xludf.DUMMYFUNCTION("""COMPUTED_VALUE"""),34)</f>
        <v>34</v>
      </c>
      <c r="C140" s="1">
        <f ca="1">IFERROR(__xludf.DUMMYFUNCTION("""COMPUTED_VALUE"""),15)</f>
        <v>15</v>
      </c>
      <c r="D140" s="1">
        <f ca="1">IFERROR(__xludf.DUMMYFUNCTION("""COMPUTED_VALUE"""),19)</f>
        <v>19</v>
      </c>
      <c r="E140" s="1">
        <f ca="1">IFERROR(__xludf.DUMMYFUNCTION("""COMPUTED_VALUE"""),0.441)</f>
        <v>0.441</v>
      </c>
      <c r="F140" s="1">
        <f ca="1">IFERROR(__xludf.DUMMYFUNCTION("""COMPUTED_VALUE"""),4.39)</f>
        <v>4.3899999999999997</v>
      </c>
      <c r="G140" s="1">
        <f ca="1">IFERROR(__xludf.DUMMYFUNCTION("""COMPUTED_VALUE"""),7.03)</f>
        <v>7.03</v>
      </c>
      <c r="H140" s="1">
        <f ca="1">IFERROR(__xludf.DUMMYFUNCTION("""COMPUTED_VALUE"""),5)</f>
        <v>5</v>
      </c>
      <c r="I140" s="1">
        <f ca="1">IFERROR(__xludf.DUMMYFUNCTION("""COMPUTED_VALUE"""),13)</f>
        <v>13</v>
      </c>
      <c r="J140" s="1">
        <f ca="1">IFERROR(__xludf.DUMMYFUNCTION("""COMPUTED_VALUE"""),7)</f>
        <v>7</v>
      </c>
      <c r="K140" s="1">
        <f ca="1">IFERROR(__xludf.DUMMYFUNCTION("""COMPUTED_VALUE"""),8)</f>
        <v>8</v>
      </c>
      <c r="L140" s="1">
        <f ca="1">IFERROR(__xludf.DUMMYFUNCTION("""COMPUTED_VALUE"""),2)</f>
        <v>2</v>
      </c>
      <c r="M140" s="1">
        <f ca="1">IFERROR(__xludf.DUMMYFUNCTION("""COMPUTED_VALUE"""),8)</f>
        <v>8</v>
      </c>
      <c r="N140" s="1">
        <f ca="1">IFERROR(__xludf.DUMMYFUNCTION("""COMPUTED_VALUE"""),2452)</f>
        <v>2452</v>
      </c>
      <c r="O140" s="1">
        <f ca="1">IFERROR(__xludf.DUMMYFUNCTION("""COMPUTED_VALUE"""),2542)</f>
        <v>2542</v>
      </c>
      <c r="P140" s="1">
        <f ca="1">IFERROR(__xludf.DUMMYFUNCTION("""COMPUTED_VALUE"""),1395)</f>
        <v>1395</v>
      </c>
      <c r="Q140" s="1">
        <f ca="1">IFERROR(__xludf.DUMMYFUNCTION("""COMPUTED_VALUE"""),861)</f>
        <v>861</v>
      </c>
      <c r="R140" s="1">
        <f ca="1">IFERROR(__xludf.DUMMYFUNCTION("""COMPUTED_VALUE"""),1993)</f>
        <v>1993</v>
      </c>
      <c r="S140" s="1">
        <f ca="1">IFERROR(__xludf.DUMMYFUNCTION("""COMPUTED_VALUE"""),0.432)</f>
        <v>0.432</v>
      </c>
      <c r="T140" s="1">
        <f ca="1">IFERROR(__xludf.DUMMYFUNCTION("""COMPUTED_VALUE"""),277)</f>
        <v>277</v>
      </c>
      <c r="U140" s="1">
        <f ca="1">IFERROR(__xludf.DUMMYFUNCTION("""COMPUTED_VALUE"""),764)</f>
        <v>764</v>
      </c>
      <c r="V140" s="1">
        <f ca="1">IFERROR(__xludf.DUMMYFUNCTION("""COMPUTED_VALUE"""),0.363)</f>
        <v>0.36299999999999999</v>
      </c>
      <c r="W140" s="1">
        <f ca="1">IFERROR(__xludf.DUMMYFUNCTION("""COMPUTED_VALUE"""),453)</f>
        <v>453</v>
      </c>
      <c r="X140" s="1">
        <f ca="1">IFERROR(__xludf.DUMMYFUNCTION("""COMPUTED_VALUE"""),607)</f>
        <v>607</v>
      </c>
      <c r="Y140" s="1">
        <f ca="1">IFERROR(__xludf.DUMMYFUNCTION("""COMPUTED_VALUE"""),0.746)</f>
        <v>0.746</v>
      </c>
      <c r="Z140" s="1">
        <f ca="1">IFERROR(__xludf.DUMMYFUNCTION("""COMPUTED_VALUE"""),258)</f>
        <v>258</v>
      </c>
      <c r="AA140" s="1">
        <f ca="1">IFERROR(__xludf.DUMMYFUNCTION("""COMPUTED_VALUE"""),1075)</f>
        <v>1075</v>
      </c>
      <c r="AB140" s="1">
        <f ca="1">IFERROR(__xludf.DUMMYFUNCTION("""COMPUTED_VALUE"""),462)</f>
        <v>462</v>
      </c>
      <c r="AC140" s="1">
        <f ca="1">IFERROR(__xludf.DUMMYFUNCTION("""COMPUTED_VALUE"""),199)</f>
        <v>199</v>
      </c>
      <c r="AD140" s="1">
        <f ca="1">IFERROR(__xludf.DUMMYFUNCTION("""COMPUTED_VALUE"""),65)</f>
        <v>65</v>
      </c>
      <c r="AE140" s="1">
        <f ca="1">IFERROR(__xludf.DUMMYFUNCTION("""COMPUTED_VALUE"""),357)</f>
        <v>357</v>
      </c>
      <c r="AF140" s="1">
        <f ca="1">IFERROR(__xludf.DUMMYFUNCTION("""COMPUTED_VALUE"""),585)</f>
        <v>585</v>
      </c>
    </row>
    <row r="141" spans="1:32" ht="12.5" x14ac:dyDescent="0.25">
      <c r="A141" s="1" t="str">
        <f ca="1">IFERROR(__xludf.DUMMYFUNCTION("""COMPUTED_VALUE"""),"Incarnate Word")</f>
        <v>Incarnate Word</v>
      </c>
      <c r="B141" s="1">
        <f ca="1">IFERROR(__xludf.DUMMYFUNCTION("""COMPUTED_VALUE"""),29)</f>
        <v>29</v>
      </c>
      <c r="C141" s="1">
        <f ca="1">IFERROR(__xludf.DUMMYFUNCTION("""COMPUTED_VALUE"""),17)</f>
        <v>17</v>
      </c>
      <c r="D141" s="1">
        <f ca="1">IFERROR(__xludf.DUMMYFUNCTION("""COMPUTED_VALUE"""),12)</f>
        <v>12</v>
      </c>
      <c r="E141" s="1">
        <f ca="1">IFERROR(__xludf.DUMMYFUNCTION("""COMPUTED_VALUE"""),0.586)</f>
        <v>0.58599999999999997</v>
      </c>
      <c r="F141" s="1">
        <f ca="1">IFERROR(__xludf.DUMMYFUNCTION("""COMPUTED_VALUE"""),-9.2)</f>
        <v>-9.1999999999999993</v>
      </c>
      <c r="G141" s="1">
        <f ca="1">IFERROR(__xludf.DUMMYFUNCTION("""COMPUTED_VALUE"""),-6.2)</f>
        <v>-6.2</v>
      </c>
      <c r="H141" s="1">
        <f ca="1">IFERROR(__xludf.DUMMYFUNCTION("""COMPUTED_VALUE"""),12)</f>
        <v>12</v>
      </c>
      <c r="I141" s="1">
        <f ca="1">IFERROR(__xludf.DUMMYFUNCTION("""COMPUTED_VALUE"""),6)</f>
        <v>6</v>
      </c>
      <c r="J141" s="1">
        <f ca="1">IFERROR(__xludf.DUMMYFUNCTION("""COMPUTED_VALUE"""),10)</f>
        <v>10</v>
      </c>
      <c r="K141" s="1">
        <f ca="1">IFERROR(__xludf.DUMMYFUNCTION("""COMPUTED_VALUE"""),3)</f>
        <v>3</v>
      </c>
      <c r="L141" s="1">
        <f ca="1">IFERROR(__xludf.DUMMYFUNCTION("""COMPUTED_VALUE"""),7)</f>
        <v>7</v>
      </c>
      <c r="M141" s="1">
        <f ca="1">IFERROR(__xludf.DUMMYFUNCTION("""COMPUTED_VALUE"""),9)</f>
        <v>9</v>
      </c>
      <c r="N141" s="1">
        <f ca="1">IFERROR(__xludf.DUMMYFUNCTION("""COMPUTED_VALUE"""),2145)</f>
        <v>2145</v>
      </c>
      <c r="O141" s="1">
        <f ca="1">IFERROR(__xludf.DUMMYFUNCTION("""COMPUTED_VALUE"""),2140)</f>
        <v>2140</v>
      </c>
      <c r="P141" s="1">
        <f ca="1">IFERROR(__xludf.DUMMYFUNCTION("""COMPUTED_VALUE"""),1165)</f>
        <v>1165</v>
      </c>
      <c r="Q141" s="1">
        <f ca="1">IFERROR(__xludf.DUMMYFUNCTION("""COMPUTED_VALUE"""),718)</f>
        <v>718</v>
      </c>
      <c r="R141" s="1">
        <f ca="1">IFERROR(__xludf.DUMMYFUNCTION("""COMPUTED_VALUE"""),1653)</f>
        <v>1653</v>
      </c>
      <c r="S141" s="1">
        <f ca="1">IFERROR(__xludf.DUMMYFUNCTION("""COMPUTED_VALUE"""),0.434)</f>
        <v>0.434</v>
      </c>
      <c r="T141" s="1">
        <f ca="1">IFERROR(__xludf.DUMMYFUNCTION("""COMPUTED_VALUE"""),234)</f>
        <v>234</v>
      </c>
      <c r="U141" s="1">
        <f ca="1">IFERROR(__xludf.DUMMYFUNCTION("""COMPUTED_VALUE"""),622)</f>
        <v>622</v>
      </c>
      <c r="V141" s="1">
        <f ca="1">IFERROR(__xludf.DUMMYFUNCTION("""COMPUTED_VALUE"""),0.376)</f>
        <v>0.376</v>
      </c>
      <c r="W141" s="1">
        <f ca="1">IFERROR(__xludf.DUMMYFUNCTION("""COMPUTED_VALUE"""),475)</f>
        <v>475</v>
      </c>
      <c r="X141" s="1">
        <f ca="1">IFERROR(__xludf.DUMMYFUNCTION("""COMPUTED_VALUE"""),620)</f>
        <v>620</v>
      </c>
      <c r="Y141" s="1">
        <f ca="1">IFERROR(__xludf.DUMMYFUNCTION("""COMPUTED_VALUE"""),0.766)</f>
        <v>0.76600000000000001</v>
      </c>
      <c r="Z141" s="1">
        <f ca="1">IFERROR(__xludf.DUMMYFUNCTION("""COMPUTED_VALUE"""),232)</f>
        <v>232</v>
      </c>
      <c r="AA141" s="1">
        <f ca="1">IFERROR(__xludf.DUMMYFUNCTION("""COMPUTED_VALUE"""),974)</f>
        <v>974</v>
      </c>
      <c r="AB141" s="1">
        <f ca="1">IFERROR(__xludf.DUMMYFUNCTION("""COMPUTED_VALUE"""),428)</f>
        <v>428</v>
      </c>
      <c r="AC141" s="1">
        <f ca="1">IFERROR(__xludf.DUMMYFUNCTION("""COMPUTED_VALUE"""),200)</f>
        <v>200</v>
      </c>
      <c r="AD141" s="1">
        <f ca="1">IFERROR(__xludf.DUMMYFUNCTION("""COMPUTED_VALUE"""),75)</f>
        <v>75</v>
      </c>
      <c r="AE141" s="1">
        <f ca="1">IFERROR(__xludf.DUMMYFUNCTION("""COMPUTED_VALUE"""),368)</f>
        <v>368</v>
      </c>
      <c r="AF141" s="1">
        <f ca="1">IFERROR(__xludf.DUMMYFUNCTION("""COMPUTED_VALUE"""),538)</f>
        <v>538</v>
      </c>
    </row>
    <row r="142" spans="1:32" ht="12.5" x14ac:dyDescent="0.25">
      <c r="A142" s="1" t="str">
        <f ca="1">IFERROR(__xludf.DUMMYFUNCTION("""COMPUTED_VALUE"""),"Indiana State")</f>
        <v>Indiana State</v>
      </c>
      <c r="B142" s="1">
        <f ca="1">IFERROR(__xludf.DUMMYFUNCTION("""COMPUTED_VALUE"""),32)</f>
        <v>32</v>
      </c>
      <c r="C142" s="1">
        <f ca="1">IFERROR(__xludf.DUMMYFUNCTION("""COMPUTED_VALUE"""),15)</f>
        <v>15</v>
      </c>
      <c r="D142" s="1">
        <f ca="1">IFERROR(__xludf.DUMMYFUNCTION("""COMPUTED_VALUE"""),17)</f>
        <v>17</v>
      </c>
      <c r="E142" s="1">
        <f ca="1">IFERROR(__xludf.DUMMYFUNCTION("""COMPUTED_VALUE"""),0.469)</f>
        <v>0.46899999999999997</v>
      </c>
      <c r="F142" s="1">
        <f ca="1">IFERROR(__xludf.DUMMYFUNCTION("""COMPUTED_VALUE"""),0.04)</f>
        <v>0.04</v>
      </c>
      <c r="G142" s="1">
        <f ca="1">IFERROR(__xludf.DUMMYFUNCTION("""COMPUTED_VALUE"""),2.2)</f>
        <v>2.2000000000000002</v>
      </c>
      <c r="H142" s="1">
        <f ca="1">IFERROR(__xludf.DUMMYFUNCTION("""COMPUTED_VALUE"""),8)</f>
        <v>8</v>
      </c>
      <c r="I142" s="1">
        <f ca="1">IFERROR(__xludf.DUMMYFUNCTION("""COMPUTED_VALUE"""),10)</f>
        <v>10</v>
      </c>
      <c r="J142" s="1">
        <f ca="1">IFERROR(__xludf.DUMMYFUNCTION("""COMPUTED_VALUE"""),10)</f>
        <v>10</v>
      </c>
      <c r="K142" s="1">
        <f ca="1">IFERROR(__xludf.DUMMYFUNCTION("""COMPUTED_VALUE"""),4)</f>
        <v>4</v>
      </c>
      <c r="L142" s="1">
        <f ca="1">IFERROR(__xludf.DUMMYFUNCTION("""COMPUTED_VALUE"""),2)</f>
        <v>2</v>
      </c>
      <c r="M142" s="1">
        <f ca="1">IFERROR(__xludf.DUMMYFUNCTION("""COMPUTED_VALUE"""),11)</f>
        <v>11</v>
      </c>
      <c r="N142" s="1">
        <f ca="1">IFERROR(__xludf.DUMMYFUNCTION("""COMPUTED_VALUE"""),2170)</f>
        <v>2170</v>
      </c>
      <c r="O142" s="1">
        <f ca="1">IFERROR(__xludf.DUMMYFUNCTION("""COMPUTED_VALUE"""),2222)</f>
        <v>2222</v>
      </c>
      <c r="P142" s="1">
        <f ca="1">IFERROR(__xludf.DUMMYFUNCTION("""COMPUTED_VALUE"""),1295)</f>
        <v>1295</v>
      </c>
      <c r="Q142" s="1">
        <f ca="1">IFERROR(__xludf.DUMMYFUNCTION("""COMPUTED_VALUE"""),715)</f>
        <v>715</v>
      </c>
      <c r="R142" s="1">
        <f ca="1">IFERROR(__xludf.DUMMYFUNCTION("""COMPUTED_VALUE"""),1822)</f>
        <v>1822</v>
      </c>
      <c r="S142" s="1">
        <f ca="1">IFERROR(__xludf.DUMMYFUNCTION("""COMPUTED_VALUE"""),0.392)</f>
        <v>0.39200000000000002</v>
      </c>
      <c r="T142" s="1">
        <f ca="1">IFERROR(__xludf.DUMMYFUNCTION("""COMPUTED_VALUE"""),210)</f>
        <v>210</v>
      </c>
      <c r="U142" s="1">
        <f ca="1">IFERROR(__xludf.DUMMYFUNCTION("""COMPUTED_VALUE"""),692)</f>
        <v>692</v>
      </c>
      <c r="V142" s="1">
        <f ca="1">IFERROR(__xludf.DUMMYFUNCTION("""COMPUTED_VALUE"""),0.303)</f>
        <v>0.30299999999999999</v>
      </c>
      <c r="W142" s="1">
        <f ca="1">IFERROR(__xludf.DUMMYFUNCTION("""COMPUTED_VALUE"""),530)</f>
        <v>530</v>
      </c>
      <c r="X142" s="1">
        <f ca="1">IFERROR(__xludf.DUMMYFUNCTION("""COMPUTED_VALUE"""),765)</f>
        <v>765</v>
      </c>
      <c r="Y142" s="1">
        <f ca="1">IFERROR(__xludf.DUMMYFUNCTION("""COMPUTED_VALUE"""),0.693)</f>
        <v>0.69299999999999995</v>
      </c>
      <c r="Z142" s="1">
        <f ca="1">IFERROR(__xludf.DUMMYFUNCTION("""COMPUTED_VALUE"""),343)</f>
        <v>343</v>
      </c>
      <c r="AA142" s="1">
        <f ca="1">IFERROR(__xludf.DUMMYFUNCTION("""COMPUTED_VALUE"""),1213)</f>
        <v>1213</v>
      </c>
      <c r="AB142" s="1">
        <f ca="1">IFERROR(__xludf.DUMMYFUNCTION("""COMPUTED_VALUE"""),340)</f>
        <v>340</v>
      </c>
      <c r="AC142" s="1">
        <f ca="1">IFERROR(__xludf.DUMMYFUNCTION("""COMPUTED_VALUE"""),184)</f>
        <v>184</v>
      </c>
      <c r="AD142" s="1">
        <f ca="1">IFERROR(__xludf.DUMMYFUNCTION("""COMPUTED_VALUE"""),86)</f>
        <v>86</v>
      </c>
      <c r="AE142" s="1">
        <f ca="1">IFERROR(__xludf.DUMMYFUNCTION("""COMPUTED_VALUE"""),423)</f>
        <v>423</v>
      </c>
      <c r="AF142" s="1">
        <f ca="1">IFERROR(__xludf.DUMMYFUNCTION("""COMPUTED_VALUE"""),688)</f>
        <v>688</v>
      </c>
    </row>
    <row r="143" spans="1:32" ht="12.5" x14ac:dyDescent="0.25">
      <c r="A143" s="1" t="str">
        <f ca="1">IFERROR(__xludf.DUMMYFUNCTION("""COMPUTED_VALUE"""),"IndianaNCAA")</f>
        <v>IndianaNCAA</v>
      </c>
      <c r="B143" s="1">
        <f ca="1">IFERROR(__xludf.DUMMYFUNCTION("""COMPUTED_VALUE"""),35)</f>
        <v>35</v>
      </c>
      <c r="C143" s="1">
        <f ca="1">IFERROR(__xludf.DUMMYFUNCTION("""COMPUTED_VALUE"""),27)</f>
        <v>27</v>
      </c>
      <c r="D143" s="1">
        <f ca="1">IFERROR(__xludf.DUMMYFUNCTION("""COMPUTED_VALUE"""),8)</f>
        <v>8</v>
      </c>
      <c r="E143" s="1">
        <f ca="1">IFERROR(__xludf.DUMMYFUNCTION("""COMPUTED_VALUE"""),0.771)</f>
        <v>0.77100000000000002</v>
      </c>
      <c r="F143" s="1">
        <f ca="1">IFERROR(__xludf.DUMMYFUNCTION("""COMPUTED_VALUE"""),19.59)</f>
        <v>19.59</v>
      </c>
      <c r="G143" s="1">
        <f ca="1">IFERROR(__xludf.DUMMYFUNCTION("""COMPUTED_VALUE"""),6.9)</f>
        <v>6.9</v>
      </c>
      <c r="H143" s="1">
        <f ca="1">IFERROR(__xludf.DUMMYFUNCTION("""COMPUTED_VALUE"""),15)</f>
        <v>15</v>
      </c>
      <c r="I143" s="1">
        <f ca="1">IFERROR(__xludf.DUMMYFUNCTION("""COMPUTED_VALUE"""),3)</f>
        <v>3</v>
      </c>
      <c r="J143" s="1">
        <f ca="1">IFERROR(__xludf.DUMMYFUNCTION("""COMPUTED_VALUE"""),17)</f>
        <v>17</v>
      </c>
      <c r="K143" s="1">
        <f ca="1">IFERROR(__xludf.DUMMYFUNCTION("""COMPUTED_VALUE"""),0)</f>
        <v>0</v>
      </c>
      <c r="L143" s="1">
        <f ca="1">IFERROR(__xludf.DUMMYFUNCTION("""COMPUTED_VALUE"""),6)</f>
        <v>6</v>
      </c>
      <c r="M143" s="1">
        <f ca="1">IFERROR(__xludf.DUMMYFUNCTION("""COMPUTED_VALUE"""),4)</f>
        <v>4</v>
      </c>
      <c r="N143" s="1">
        <f ca="1">IFERROR(__xludf.DUMMYFUNCTION("""COMPUTED_VALUE"""),2891)</f>
        <v>2891</v>
      </c>
      <c r="O143" s="1">
        <f ca="1">IFERROR(__xludf.DUMMYFUNCTION("""COMPUTED_VALUE"""),2447)</f>
        <v>2447</v>
      </c>
      <c r="P143" s="1">
        <f ca="1">IFERROR(__xludf.DUMMYFUNCTION("""COMPUTED_VALUE"""),1405)</f>
        <v>1405</v>
      </c>
      <c r="Q143" s="1">
        <f ca="1">IFERROR(__xludf.DUMMYFUNCTION("""COMPUTED_VALUE"""),1021)</f>
        <v>1021</v>
      </c>
      <c r="R143" s="1">
        <f ca="1">IFERROR(__xludf.DUMMYFUNCTION("""COMPUTED_VALUE"""),2034)</f>
        <v>2034</v>
      </c>
      <c r="S143" s="1">
        <f ca="1">IFERROR(__xludf.DUMMYFUNCTION("""COMPUTED_VALUE"""),0.502)</f>
        <v>0.502</v>
      </c>
      <c r="T143" s="1">
        <f ca="1">IFERROR(__xludf.DUMMYFUNCTION("""COMPUTED_VALUE"""),345)</f>
        <v>345</v>
      </c>
      <c r="U143" s="1">
        <f ca="1">IFERROR(__xludf.DUMMYFUNCTION("""COMPUTED_VALUE"""),831)</f>
        <v>831</v>
      </c>
      <c r="V143" s="1">
        <f ca="1">IFERROR(__xludf.DUMMYFUNCTION("""COMPUTED_VALUE"""),0.415)</f>
        <v>0.41499999999999998</v>
      </c>
      <c r="W143" s="1">
        <f ca="1">IFERROR(__xludf.DUMMYFUNCTION("""COMPUTED_VALUE"""),504)</f>
        <v>504</v>
      </c>
      <c r="X143" s="1">
        <f ca="1">IFERROR(__xludf.DUMMYFUNCTION("""COMPUTED_VALUE"""),688)</f>
        <v>688</v>
      </c>
      <c r="Y143" s="1">
        <f ca="1">IFERROR(__xludf.DUMMYFUNCTION("""COMPUTED_VALUE"""),0.733)</f>
        <v>0.73299999999999998</v>
      </c>
      <c r="Z143" s="1">
        <f ca="1">IFERROR(__xludf.DUMMYFUNCTION("""COMPUTED_VALUE"""),414)</f>
        <v>414</v>
      </c>
      <c r="AA143" s="1">
        <f ca="1">IFERROR(__xludf.DUMMYFUNCTION("""COMPUTED_VALUE"""),1288)</f>
        <v>1288</v>
      </c>
      <c r="AB143" s="1">
        <f ca="1">IFERROR(__xludf.DUMMYFUNCTION("""COMPUTED_VALUE"""),560)</f>
        <v>560</v>
      </c>
      <c r="AC143" s="1">
        <f ca="1">IFERROR(__xludf.DUMMYFUNCTION("""COMPUTED_VALUE"""),239)</f>
        <v>239</v>
      </c>
      <c r="AD143" s="1">
        <f ca="1">IFERROR(__xludf.DUMMYFUNCTION("""COMPUTED_VALUE"""),137)</f>
        <v>137</v>
      </c>
      <c r="AE143" s="1">
        <f ca="1">IFERROR(__xludf.DUMMYFUNCTION("""COMPUTED_VALUE"""),474)</f>
        <v>474</v>
      </c>
      <c r="AF143" s="1">
        <f ca="1">IFERROR(__xludf.DUMMYFUNCTION("""COMPUTED_VALUE"""),647)</f>
        <v>647</v>
      </c>
    </row>
    <row r="144" spans="1:32" ht="12.5" x14ac:dyDescent="0.25">
      <c r="A144" s="1" t="str">
        <f ca="1">IFERROR(__xludf.DUMMYFUNCTION("""COMPUTED_VALUE"""),"IonaNCAA")</f>
        <v>IonaNCAA</v>
      </c>
      <c r="B144" s="1">
        <f ca="1">IFERROR(__xludf.DUMMYFUNCTION("""COMPUTED_VALUE"""),33)</f>
        <v>33</v>
      </c>
      <c r="C144" s="1">
        <f ca="1">IFERROR(__xludf.DUMMYFUNCTION("""COMPUTED_VALUE"""),22)</f>
        <v>22</v>
      </c>
      <c r="D144" s="1">
        <f ca="1">IFERROR(__xludf.DUMMYFUNCTION("""COMPUTED_VALUE"""),11)</f>
        <v>11</v>
      </c>
      <c r="E144" s="1">
        <f ca="1">IFERROR(__xludf.DUMMYFUNCTION("""COMPUTED_VALUE"""),0.667)</f>
        <v>0.66700000000000004</v>
      </c>
      <c r="F144" s="1">
        <f ca="1">IFERROR(__xludf.DUMMYFUNCTION("""COMPUTED_VALUE"""),3.59)</f>
        <v>3.59</v>
      </c>
      <c r="G144" s="1">
        <f ca="1">IFERROR(__xludf.DUMMYFUNCTION("""COMPUTED_VALUE"""),-1.78)</f>
        <v>-1.78</v>
      </c>
      <c r="H144" s="1">
        <f ca="1">IFERROR(__xludf.DUMMYFUNCTION("""COMPUTED_VALUE"""),16)</f>
        <v>16</v>
      </c>
      <c r="I144" s="1">
        <f ca="1">IFERROR(__xludf.DUMMYFUNCTION("""COMPUTED_VALUE"""),4)</f>
        <v>4</v>
      </c>
      <c r="J144" s="1">
        <f ca="1">IFERROR(__xludf.DUMMYFUNCTION("""COMPUTED_VALUE"""),11)</f>
        <v>11</v>
      </c>
      <c r="K144" s="1">
        <f ca="1">IFERROR(__xludf.DUMMYFUNCTION("""COMPUTED_VALUE"""),2)</f>
        <v>2</v>
      </c>
      <c r="L144" s="1">
        <f ca="1">IFERROR(__xludf.DUMMYFUNCTION("""COMPUTED_VALUE"""),8)</f>
        <v>8</v>
      </c>
      <c r="M144" s="1">
        <f ca="1">IFERROR(__xludf.DUMMYFUNCTION("""COMPUTED_VALUE"""),6)</f>
        <v>6</v>
      </c>
      <c r="N144" s="1">
        <f ca="1">IFERROR(__xludf.DUMMYFUNCTION("""COMPUTED_VALUE"""),2628)</f>
        <v>2628</v>
      </c>
      <c r="O144" s="1">
        <f ca="1">IFERROR(__xludf.DUMMYFUNCTION("""COMPUTED_VALUE"""),2451)</f>
        <v>2451</v>
      </c>
      <c r="P144" s="1">
        <f ca="1">IFERROR(__xludf.DUMMYFUNCTION("""COMPUTED_VALUE"""),1325)</f>
        <v>1325</v>
      </c>
      <c r="Q144" s="1">
        <f ca="1">IFERROR(__xludf.DUMMYFUNCTION("""COMPUTED_VALUE"""),919)</f>
        <v>919</v>
      </c>
      <c r="R144" s="1">
        <f ca="1">IFERROR(__xludf.DUMMYFUNCTION("""COMPUTED_VALUE"""),2011)</f>
        <v>2011</v>
      </c>
      <c r="S144" s="1">
        <f ca="1">IFERROR(__xludf.DUMMYFUNCTION("""COMPUTED_VALUE"""),0.457)</f>
        <v>0.45700000000000002</v>
      </c>
      <c r="T144" s="1">
        <f ca="1">IFERROR(__xludf.DUMMYFUNCTION("""COMPUTED_VALUE"""),327)</f>
        <v>327</v>
      </c>
      <c r="U144" s="1">
        <f ca="1">IFERROR(__xludf.DUMMYFUNCTION("""COMPUTED_VALUE"""),884)</f>
        <v>884</v>
      </c>
      <c r="V144" s="1">
        <f ca="1">IFERROR(__xludf.DUMMYFUNCTION("""COMPUTED_VALUE"""),0.37)</f>
        <v>0.37</v>
      </c>
      <c r="W144" s="1">
        <f ca="1">IFERROR(__xludf.DUMMYFUNCTION("""COMPUTED_VALUE"""),463)</f>
        <v>463</v>
      </c>
      <c r="X144" s="1">
        <f ca="1">IFERROR(__xludf.DUMMYFUNCTION("""COMPUTED_VALUE"""),651)</f>
        <v>651</v>
      </c>
      <c r="Y144" s="1">
        <f ca="1">IFERROR(__xludf.DUMMYFUNCTION("""COMPUTED_VALUE"""),0.711)</f>
        <v>0.71099999999999997</v>
      </c>
      <c r="Z144" s="1">
        <f ca="1">IFERROR(__xludf.DUMMYFUNCTION("""COMPUTED_VALUE"""),348)</f>
        <v>348</v>
      </c>
      <c r="AA144" s="1">
        <f ca="1">IFERROR(__xludf.DUMMYFUNCTION("""COMPUTED_VALUE"""),1218)</f>
        <v>1218</v>
      </c>
      <c r="AB144" s="1">
        <f ca="1">IFERROR(__xludf.DUMMYFUNCTION("""COMPUTED_VALUE"""),551)</f>
        <v>551</v>
      </c>
      <c r="AC144" s="1">
        <f ca="1">IFERROR(__xludf.DUMMYFUNCTION("""COMPUTED_VALUE"""),248)</f>
        <v>248</v>
      </c>
      <c r="AD144" s="1">
        <f ca="1">IFERROR(__xludf.DUMMYFUNCTION("""COMPUTED_VALUE"""),135)</f>
        <v>135</v>
      </c>
      <c r="AE144" s="1">
        <f ca="1">IFERROR(__xludf.DUMMYFUNCTION("""COMPUTED_VALUE"""),422)</f>
        <v>422</v>
      </c>
      <c r="AF144" s="1">
        <f ca="1">IFERROR(__xludf.DUMMYFUNCTION("""COMPUTED_VALUE"""),642)</f>
        <v>642</v>
      </c>
    </row>
    <row r="145" spans="1:32" ht="12.5" x14ac:dyDescent="0.25">
      <c r="A145" s="1" t="str">
        <f ca="1">IFERROR(__xludf.DUMMYFUNCTION("""COMPUTED_VALUE"""),"Iowa StateNCAA")</f>
        <v>Iowa StateNCAA</v>
      </c>
      <c r="B145" s="1">
        <f ca="1">IFERROR(__xludf.DUMMYFUNCTION("""COMPUTED_VALUE"""),35)</f>
        <v>35</v>
      </c>
      <c r="C145" s="1">
        <f ca="1">IFERROR(__xludf.DUMMYFUNCTION("""COMPUTED_VALUE"""),23)</f>
        <v>23</v>
      </c>
      <c r="D145" s="1">
        <f ca="1">IFERROR(__xludf.DUMMYFUNCTION("""COMPUTED_VALUE"""),12)</f>
        <v>12</v>
      </c>
      <c r="E145" s="1">
        <f ca="1">IFERROR(__xludf.DUMMYFUNCTION("""COMPUTED_VALUE"""),0.657)</f>
        <v>0.65700000000000003</v>
      </c>
      <c r="F145" s="1">
        <f ca="1">IFERROR(__xludf.DUMMYFUNCTION("""COMPUTED_VALUE"""),16.93)</f>
        <v>16.93</v>
      </c>
      <c r="G145" s="1">
        <f ca="1">IFERROR(__xludf.DUMMYFUNCTION("""COMPUTED_VALUE"""),10.16)</f>
        <v>10.16</v>
      </c>
      <c r="H145" s="1">
        <f ca="1">IFERROR(__xludf.DUMMYFUNCTION("""COMPUTED_VALUE"""),10)</f>
        <v>10</v>
      </c>
      <c r="I145" s="1">
        <f ca="1">IFERROR(__xludf.DUMMYFUNCTION("""COMPUTED_VALUE"""),8)</f>
        <v>8</v>
      </c>
      <c r="J145" s="1">
        <f ca="1">IFERROR(__xludf.DUMMYFUNCTION("""COMPUTED_VALUE"""),14)</f>
        <v>14</v>
      </c>
      <c r="K145" s="1">
        <f ca="1">IFERROR(__xludf.DUMMYFUNCTION("""COMPUTED_VALUE"""),2)</f>
        <v>2</v>
      </c>
      <c r="L145" s="1">
        <f ca="1">IFERROR(__xludf.DUMMYFUNCTION("""COMPUTED_VALUE"""),4)</f>
        <v>4</v>
      </c>
      <c r="M145" s="1">
        <f ca="1">IFERROR(__xludf.DUMMYFUNCTION("""COMPUTED_VALUE"""),7)</f>
        <v>7</v>
      </c>
      <c r="N145" s="1">
        <f ca="1">IFERROR(__xludf.DUMMYFUNCTION("""COMPUTED_VALUE"""),2862)</f>
        <v>2862</v>
      </c>
      <c r="O145" s="1">
        <f ca="1">IFERROR(__xludf.DUMMYFUNCTION("""COMPUTED_VALUE"""),2625)</f>
        <v>2625</v>
      </c>
      <c r="P145" s="1">
        <f ca="1">IFERROR(__xludf.DUMMYFUNCTION("""COMPUTED_VALUE"""),1415)</f>
        <v>1415</v>
      </c>
      <c r="Q145" s="1">
        <f ca="1">IFERROR(__xludf.DUMMYFUNCTION("""COMPUTED_VALUE"""),1087)</f>
        <v>1087</v>
      </c>
      <c r="R145" s="1">
        <f ca="1">IFERROR(__xludf.DUMMYFUNCTION("""COMPUTED_VALUE"""),2159)</f>
        <v>2159</v>
      </c>
      <c r="S145" s="1">
        <f ca="1">IFERROR(__xludf.DUMMYFUNCTION("""COMPUTED_VALUE"""),0.503)</f>
        <v>0.503</v>
      </c>
      <c r="T145" s="1">
        <f ca="1">IFERROR(__xludf.DUMMYFUNCTION("""COMPUTED_VALUE"""),293)</f>
        <v>293</v>
      </c>
      <c r="U145" s="1">
        <f ca="1">IFERROR(__xludf.DUMMYFUNCTION("""COMPUTED_VALUE"""),758)</f>
        <v>758</v>
      </c>
      <c r="V145" s="1">
        <f ca="1">IFERROR(__xludf.DUMMYFUNCTION("""COMPUTED_VALUE"""),0.387)</f>
        <v>0.38700000000000001</v>
      </c>
      <c r="W145" s="1">
        <f ca="1">IFERROR(__xludf.DUMMYFUNCTION("""COMPUTED_VALUE"""),395)</f>
        <v>395</v>
      </c>
      <c r="X145" s="1">
        <f ca="1">IFERROR(__xludf.DUMMYFUNCTION("""COMPUTED_VALUE"""),563)</f>
        <v>563</v>
      </c>
      <c r="Y145" s="1">
        <f ca="1">IFERROR(__xludf.DUMMYFUNCTION("""COMPUTED_VALUE"""),0.702)</f>
        <v>0.70199999999999996</v>
      </c>
      <c r="Z145" s="1">
        <f ca="1">IFERROR(__xludf.DUMMYFUNCTION("""COMPUTED_VALUE"""),304)</f>
        <v>304</v>
      </c>
      <c r="AA145" s="1">
        <f ca="1">IFERROR(__xludf.DUMMYFUNCTION("""COMPUTED_VALUE"""),1244)</f>
        <v>1244</v>
      </c>
      <c r="AB145" s="1">
        <f ca="1">IFERROR(__xludf.DUMMYFUNCTION("""COMPUTED_VALUE"""),577)</f>
        <v>577</v>
      </c>
      <c r="AC145" s="1">
        <f ca="1">IFERROR(__xludf.DUMMYFUNCTION("""COMPUTED_VALUE"""),218)</f>
        <v>218</v>
      </c>
      <c r="AD145" s="1">
        <f ca="1">IFERROR(__xludf.DUMMYFUNCTION("""COMPUTED_VALUE"""),142)</f>
        <v>142</v>
      </c>
      <c r="AE145" s="1">
        <f ca="1">IFERROR(__xludf.DUMMYFUNCTION("""COMPUTED_VALUE"""),398)</f>
        <v>398</v>
      </c>
      <c r="AF145" s="1">
        <f ca="1">IFERROR(__xludf.DUMMYFUNCTION("""COMPUTED_VALUE"""),542)</f>
        <v>542</v>
      </c>
    </row>
    <row r="146" spans="1:32" ht="12.5" x14ac:dyDescent="0.25">
      <c r="A146" s="1" t="str">
        <f ca="1">IFERROR(__xludf.DUMMYFUNCTION("""COMPUTED_VALUE"""),"IowaNCAA")</f>
        <v>IowaNCAA</v>
      </c>
      <c r="B146" s="1">
        <f ca="1">IFERROR(__xludf.DUMMYFUNCTION("""COMPUTED_VALUE"""),33)</f>
        <v>33</v>
      </c>
      <c r="C146" s="1">
        <f ca="1">IFERROR(__xludf.DUMMYFUNCTION("""COMPUTED_VALUE"""),22)</f>
        <v>22</v>
      </c>
      <c r="D146" s="1">
        <f ca="1">IFERROR(__xludf.DUMMYFUNCTION("""COMPUTED_VALUE"""),11)</f>
        <v>11</v>
      </c>
      <c r="E146" s="1">
        <f ca="1">IFERROR(__xludf.DUMMYFUNCTION("""COMPUTED_VALUE"""),0.667)</f>
        <v>0.66700000000000004</v>
      </c>
      <c r="F146" s="1">
        <f ca="1">IFERROR(__xludf.DUMMYFUNCTION("""COMPUTED_VALUE"""),17.01)</f>
        <v>17.010000000000002</v>
      </c>
      <c r="G146" s="1">
        <f ca="1">IFERROR(__xludf.DUMMYFUNCTION("""COMPUTED_VALUE"""),8.71)</f>
        <v>8.7100000000000009</v>
      </c>
      <c r="H146" s="1">
        <f ca="1">IFERROR(__xludf.DUMMYFUNCTION("""COMPUTED_VALUE"""),12)</f>
        <v>12</v>
      </c>
      <c r="I146" s="1">
        <f ca="1">IFERROR(__xludf.DUMMYFUNCTION("""COMPUTED_VALUE"""),6)</f>
        <v>6</v>
      </c>
      <c r="J146" s="1">
        <f ca="1">IFERROR(__xludf.DUMMYFUNCTION("""COMPUTED_VALUE"""),13)</f>
        <v>13</v>
      </c>
      <c r="K146" s="1">
        <f ca="1">IFERROR(__xludf.DUMMYFUNCTION("""COMPUTED_VALUE"""),2)</f>
        <v>2</v>
      </c>
      <c r="L146" s="1">
        <f ca="1">IFERROR(__xludf.DUMMYFUNCTION("""COMPUTED_VALUE"""),6)</f>
        <v>6</v>
      </c>
      <c r="M146" s="1">
        <f ca="1">IFERROR(__xludf.DUMMYFUNCTION("""COMPUTED_VALUE"""),5)</f>
        <v>5</v>
      </c>
      <c r="N146" s="1">
        <f ca="1">IFERROR(__xludf.DUMMYFUNCTION("""COMPUTED_VALUE"""),2561)</f>
        <v>2561</v>
      </c>
      <c r="O146" s="1">
        <f ca="1">IFERROR(__xludf.DUMMYFUNCTION("""COMPUTED_VALUE"""),2287)</f>
        <v>2287</v>
      </c>
      <c r="P146" s="1">
        <f ca="1">IFERROR(__xludf.DUMMYFUNCTION("""COMPUTED_VALUE"""),1330)</f>
        <v>1330</v>
      </c>
      <c r="Q146" s="1">
        <f ca="1">IFERROR(__xludf.DUMMYFUNCTION("""COMPUTED_VALUE"""),906)</f>
        <v>906</v>
      </c>
      <c r="R146" s="1">
        <f ca="1">IFERROR(__xludf.DUMMYFUNCTION("""COMPUTED_VALUE"""),2027)</f>
        <v>2027</v>
      </c>
      <c r="S146" s="1">
        <f ca="1">IFERROR(__xludf.DUMMYFUNCTION("""COMPUTED_VALUE"""),0.447)</f>
        <v>0.44700000000000001</v>
      </c>
      <c r="T146" s="1">
        <f ca="1">IFERROR(__xludf.DUMMYFUNCTION("""COMPUTED_VALUE"""),269)</f>
        <v>269</v>
      </c>
      <c r="U146" s="1">
        <f ca="1">IFERROR(__xludf.DUMMYFUNCTION("""COMPUTED_VALUE"""),719)</f>
        <v>719</v>
      </c>
      <c r="V146" s="1">
        <f ca="1">IFERROR(__xludf.DUMMYFUNCTION("""COMPUTED_VALUE"""),0.374)</f>
        <v>0.374</v>
      </c>
      <c r="W146" s="1">
        <f ca="1">IFERROR(__xludf.DUMMYFUNCTION("""COMPUTED_VALUE"""),480)</f>
        <v>480</v>
      </c>
      <c r="X146" s="1">
        <f ca="1">IFERROR(__xludf.DUMMYFUNCTION("""COMPUTED_VALUE"""),669)</f>
        <v>669</v>
      </c>
      <c r="Y146" s="1">
        <f ca="1">IFERROR(__xludf.DUMMYFUNCTION("""COMPUTED_VALUE"""),0.717)</f>
        <v>0.71699999999999997</v>
      </c>
      <c r="Z146" s="1">
        <f ca="1">IFERROR(__xludf.DUMMYFUNCTION("""COMPUTED_VALUE"""),392)</f>
        <v>392</v>
      </c>
      <c r="AA146" s="1">
        <f ca="1">IFERROR(__xludf.DUMMYFUNCTION("""COMPUTED_VALUE"""),1257)</f>
        <v>1257</v>
      </c>
      <c r="AB146" s="1">
        <f ca="1">IFERROR(__xludf.DUMMYFUNCTION("""COMPUTED_VALUE"""),523)</f>
        <v>523</v>
      </c>
      <c r="AC146" s="1">
        <f ca="1">IFERROR(__xludf.DUMMYFUNCTION("""COMPUTED_VALUE"""),223)</f>
        <v>223</v>
      </c>
      <c r="AD146" s="1">
        <f ca="1">IFERROR(__xludf.DUMMYFUNCTION("""COMPUTED_VALUE"""),156)</f>
        <v>156</v>
      </c>
      <c r="AE146" s="1">
        <f ca="1">IFERROR(__xludf.DUMMYFUNCTION("""COMPUTED_VALUE"""),339)</f>
        <v>339</v>
      </c>
      <c r="AF146" s="1">
        <f ca="1">IFERROR(__xludf.DUMMYFUNCTION("""COMPUTED_VALUE"""),538)</f>
        <v>538</v>
      </c>
    </row>
    <row r="147" spans="1:32" ht="12.5" x14ac:dyDescent="0.25">
      <c r="A147" s="1" t="str">
        <f ca="1">IFERROR(__xludf.DUMMYFUNCTION("""COMPUTED_VALUE"""),"Purdue-Fort Wayne")</f>
        <v>Purdue-Fort Wayne</v>
      </c>
      <c r="B147" s="1">
        <f ca="1">IFERROR(__xludf.DUMMYFUNCTION("""COMPUTED_VALUE"""),34)</f>
        <v>34</v>
      </c>
      <c r="C147" s="1">
        <f ca="1">IFERROR(__xludf.DUMMYFUNCTION("""COMPUTED_VALUE"""),24)</f>
        <v>24</v>
      </c>
      <c r="D147" s="1">
        <f ca="1">IFERROR(__xludf.DUMMYFUNCTION("""COMPUTED_VALUE"""),10)</f>
        <v>10</v>
      </c>
      <c r="E147" s="1">
        <f ca="1">IFERROR(__xludf.DUMMYFUNCTION("""COMPUTED_VALUE"""),0.706)</f>
        <v>0.70599999999999996</v>
      </c>
      <c r="F147" s="1">
        <f ca="1">IFERROR(__xludf.DUMMYFUNCTION("""COMPUTED_VALUE"""),0)</f>
        <v>0</v>
      </c>
      <c r="G147" s="1">
        <f ca="1">IFERROR(__xludf.DUMMYFUNCTION("""COMPUTED_VALUE"""),-1.66)</f>
        <v>-1.66</v>
      </c>
      <c r="H147" s="1">
        <f ca="1">IFERROR(__xludf.DUMMYFUNCTION("""COMPUTED_VALUE"""),12)</f>
        <v>12</v>
      </c>
      <c r="I147" s="1">
        <f ca="1">IFERROR(__xludf.DUMMYFUNCTION("""COMPUTED_VALUE"""),4)</f>
        <v>4</v>
      </c>
      <c r="J147" s="1">
        <f ca="1">IFERROR(__xludf.DUMMYFUNCTION("""COMPUTED_VALUE"""),12)</f>
        <v>12</v>
      </c>
      <c r="K147" s="1">
        <f ca="1">IFERROR(__xludf.DUMMYFUNCTION("""COMPUTED_VALUE"""),1)</f>
        <v>1</v>
      </c>
      <c r="L147" s="1">
        <f ca="1">IFERROR(__xludf.DUMMYFUNCTION("""COMPUTED_VALUE"""),10)</f>
        <v>10</v>
      </c>
      <c r="M147" s="1">
        <f ca="1">IFERROR(__xludf.DUMMYFUNCTION("""COMPUTED_VALUE"""),7)</f>
        <v>7</v>
      </c>
      <c r="N147" s="1">
        <f ca="1">IFERROR(__xludf.DUMMYFUNCTION("""COMPUTED_VALUE"""),2701)</f>
        <v>2701</v>
      </c>
      <c r="O147" s="1">
        <f ca="1">IFERROR(__xludf.DUMMYFUNCTION("""COMPUTED_VALUE"""),2585)</f>
        <v>2585</v>
      </c>
      <c r="P147" s="1">
        <f ca="1">IFERROR(__xludf.DUMMYFUNCTION("""COMPUTED_VALUE"""),1370)</f>
        <v>1370</v>
      </c>
      <c r="Q147" s="1">
        <f ca="1">IFERROR(__xludf.DUMMYFUNCTION("""COMPUTED_VALUE"""),932)</f>
        <v>932</v>
      </c>
      <c r="R147" s="1">
        <f ca="1">IFERROR(__xludf.DUMMYFUNCTION("""COMPUTED_VALUE"""),2017)</f>
        <v>2017</v>
      </c>
      <c r="S147" s="1">
        <f ca="1">IFERROR(__xludf.DUMMYFUNCTION("""COMPUTED_VALUE"""),0.462)</f>
        <v>0.46200000000000002</v>
      </c>
      <c r="T147" s="1">
        <f ca="1">IFERROR(__xludf.DUMMYFUNCTION("""COMPUTED_VALUE"""),354)</f>
        <v>354</v>
      </c>
      <c r="U147" s="1">
        <f ca="1">IFERROR(__xludf.DUMMYFUNCTION("""COMPUTED_VALUE"""),863)</f>
        <v>863</v>
      </c>
      <c r="V147" s="1">
        <f ca="1">IFERROR(__xludf.DUMMYFUNCTION("""COMPUTED_VALUE"""),0.41)</f>
        <v>0.41</v>
      </c>
      <c r="W147" s="1">
        <f ca="1">IFERROR(__xludf.DUMMYFUNCTION("""COMPUTED_VALUE"""),483)</f>
        <v>483</v>
      </c>
      <c r="X147" s="1">
        <f ca="1">IFERROR(__xludf.DUMMYFUNCTION("""COMPUTED_VALUE"""),671)</f>
        <v>671</v>
      </c>
      <c r="Y147" s="1">
        <f ca="1">IFERROR(__xludf.DUMMYFUNCTION("""COMPUTED_VALUE"""),0.72)</f>
        <v>0.72</v>
      </c>
      <c r="Z147" s="1">
        <f ca="1">IFERROR(__xludf.DUMMYFUNCTION("""COMPUTED_VALUE"""),342)</f>
        <v>342</v>
      </c>
      <c r="AA147" s="1">
        <f ca="1">IFERROR(__xludf.DUMMYFUNCTION("""COMPUTED_VALUE"""),1230)</f>
        <v>1230</v>
      </c>
      <c r="AB147" s="1">
        <f ca="1">IFERROR(__xludf.DUMMYFUNCTION("""COMPUTED_VALUE"""),512)</f>
        <v>512</v>
      </c>
      <c r="AC147" s="1">
        <f ca="1">IFERROR(__xludf.DUMMYFUNCTION("""COMPUTED_VALUE"""),190)</f>
        <v>190</v>
      </c>
      <c r="AD147" s="1">
        <f ca="1">IFERROR(__xludf.DUMMYFUNCTION("""COMPUTED_VALUE"""),112)</f>
        <v>112</v>
      </c>
      <c r="AE147" s="1">
        <f ca="1">IFERROR(__xludf.DUMMYFUNCTION("""COMPUTED_VALUE"""),417)</f>
        <v>417</v>
      </c>
      <c r="AF147" s="1">
        <f ca="1">IFERROR(__xludf.DUMMYFUNCTION("""COMPUTED_VALUE"""),588)</f>
        <v>588</v>
      </c>
    </row>
    <row r="148" spans="1:32" ht="12.5" x14ac:dyDescent="0.25">
      <c r="A148" s="1" t="str">
        <f ca="1">IFERROR(__xludf.DUMMYFUNCTION("""COMPUTED_VALUE"""),"IUPUI")</f>
        <v>IUPUI</v>
      </c>
      <c r="B148" s="1">
        <f ca="1">IFERROR(__xludf.DUMMYFUNCTION("""COMPUTED_VALUE"""),32)</f>
        <v>32</v>
      </c>
      <c r="C148" s="1">
        <f ca="1">IFERROR(__xludf.DUMMYFUNCTION("""COMPUTED_VALUE"""),13)</f>
        <v>13</v>
      </c>
      <c r="D148" s="1">
        <f ca="1">IFERROR(__xludf.DUMMYFUNCTION("""COMPUTED_VALUE"""),19)</f>
        <v>19</v>
      </c>
      <c r="E148" s="1">
        <f ca="1">IFERROR(__xludf.DUMMYFUNCTION("""COMPUTED_VALUE"""),0.406)</f>
        <v>0.40600000000000003</v>
      </c>
      <c r="F148" s="1">
        <f ca="1">IFERROR(__xludf.DUMMYFUNCTION("""COMPUTED_VALUE"""),-5.86)</f>
        <v>-5.86</v>
      </c>
      <c r="G148" s="1">
        <f ca="1">IFERROR(__xludf.DUMMYFUNCTION("""COMPUTED_VALUE"""),0.11)</f>
        <v>0.11</v>
      </c>
      <c r="H148" s="1">
        <f ca="1">IFERROR(__xludf.DUMMYFUNCTION("""COMPUTED_VALUE"""),9)</f>
        <v>9</v>
      </c>
      <c r="I148" s="1">
        <f ca="1">IFERROR(__xludf.DUMMYFUNCTION("""COMPUTED_VALUE"""),7)</f>
        <v>7</v>
      </c>
      <c r="J148" s="1">
        <f ca="1">IFERROR(__xludf.DUMMYFUNCTION("""COMPUTED_VALUE"""),9)</f>
        <v>9</v>
      </c>
      <c r="K148" s="1">
        <f ca="1">IFERROR(__xludf.DUMMYFUNCTION("""COMPUTED_VALUE"""),2)</f>
        <v>2</v>
      </c>
      <c r="L148" s="1">
        <f ca="1">IFERROR(__xludf.DUMMYFUNCTION("""COMPUTED_VALUE"""),4)</f>
        <v>4</v>
      </c>
      <c r="M148" s="1">
        <f ca="1">IFERROR(__xludf.DUMMYFUNCTION("""COMPUTED_VALUE"""),15)</f>
        <v>15</v>
      </c>
      <c r="N148" s="1">
        <f ca="1">IFERROR(__xludf.DUMMYFUNCTION("""COMPUTED_VALUE"""),2181)</f>
        <v>2181</v>
      </c>
      <c r="O148" s="1">
        <f ca="1">IFERROR(__xludf.DUMMYFUNCTION("""COMPUTED_VALUE"""),2362)</f>
        <v>2362</v>
      </c>
      <c r="P148" s="1">
        <f ca="1">IFERROR(__xludf.DUMMYFUNCTION("""COMPUTED_VALUE"""),1290)</f>
        <v>1290</v>
      </c>
      <c r="Q148" s="1">
        <f ca="1">IFERROR(__xludf.DUMMYFUNCTION("""COMPUTED_VALUE"""),785)</f>
        <v>785</v>
      </c>
      <c r="R148" s="1">
        <f ca="1">IFERROR(__xludf.DUMMYFUNCTION("""COMPUTED_VALUE"""),1858)</f>
        <v>1858</v>
      </c>
      <c r="S148" s="1">
        <f ca="1">IFERROR(__xludf.DUMMYFUNCTION("""COMPUTED_VALUE"""),0.422)</f>
        <v>0.42199999999999999</v>
      </c>
      <c r="T148" s="1">
        <f ca="1">IFERROR(__xludf.DUMMYFUNCTION("""COMPUTED_VALUE"""),183)</f>
        <v>183</v>
      </c>
      <c r="U148" s="1">
        <f ca="1">IFERROR(__xludf.DUMMYFUNCTION("""COMPUTED_VALUE"""),549)</f>
        <v>549</v>
      </c>
      <c r="V148" s="1">
        <f ca="1">IFERROR(__xludf.DUMMYFUNCTION("""COMPUTED_VALUE"""),0.333)</f>
        <v>0.33300000000000002</v>
      </c>
      <c r="W148" s="1">
        <f ca="1">IFERROR(__xludf.DUMMYFUNCTION("""COMPUTED_VALUE"""),428)</f>
        <v>428</v>
      </c>
      <c r="X148" s="1">
        <f ca="1">IFERROR(__xludf.DUMMYFUNCTION("""COMPUTED_VALUE"""),607)</f>
        <v>607</v>
      </c>
      <c r="Y148" s="1">
        <f ca="1">IFERROR(__xludf.DUMMYFUNCTION("""COMPUTED_VALUE"""),0.705)</f>
        <v>0.70499999999999996</v>
      </c>
      <c r="Z148" s="1">
        <f ca="1">IFERROR(__xludf.DUMMYFUNCTION("""COMPUTED_VALUE"""),321)</f>
        <v>321</v>
      </c>
      <c r="AA148" s="1">
        <f ca="1">IFERROR(__xludf.DUMMYFUNCTION("""COMPUTED_VALUE"""),1105)</f>
        <v>1105</v>
      </c>
      <c r="AB148" s="1">
        <f ca="1">IFERROR(__xludf.DUMMYFUNCTION("""COMPUTED_VALUE"""),355)</f>
        <v>355</v>
      </c>
      <c r="AC148" s="1">
        <f ca="1">IFERROR(__xludf.DUMMYFUNCTION("""COMPUTED_VALUE"""),213)</f>
        <v>213</v>
      </c>
      <c r="AD148" s="1">
        <f ca="1">IFERROR(__xludf.DUMMYFUNCTION("""COMPUTED_VALUE"""),81)</f>
        <v>81</v>
      </c>
      <c r="AE148" s="1">
        <f ca="1">IFERROR(__xludf.DUMMYFUNCTION("""COMPUTED_VALUE"""),426)</f>
        <v>426</v>
      </c>
      <c r="AF148" s="1">
        <f ca="1">IFERROR(__xludf.DUMMYFUNCTION("""COMPUTED_VALUE"""),651)</f>
        <v>651</v>
      </c>
    </row>
    <row r="149" spans="1:32" ht="12.5" x14ac:dyDescent="0.25">
      <c r="A149" s="1" t="str">
        <f ca="1">IFERROR(__xludf.DUMMYFUNCTION("""COMPUTED_VALUE"""),"Jackson State")</f>
        <v>Jackson State</v>
      </c>
      <c r="B149" s="1">
        <f ca="1">IFERROR(__xludf.DUMMYFUNCTION("""COMPUTED_VALUE"""),36)</f>
        <v>36</v>
      </c>
      <c r="C149" s="1">
        <f ca="1">IFERROR(__xludf.DUMMYFUNCTION("""COMPUTED_VALUE"""),20)</f>
        <v>20</v>
      </c>
      <c r="D149" s="1">
        <f ca="1">IFERROR(__xludf.DUMMYFUNCTION("""COMPUTED_VALUE"""),16)</f>
        <v>16</v>
      </c>
      <c r="E149" s="1">
        <f ca="1">IFERROR(__xludf.DUMMYFUNCTION("""COMPUTED_VALUE"""),0.556)</f>
        <v>0.55600000000000005</v>
      </c>
      <c r="F149" s="1">
        <f ca="1">IFERROR(__xludf.DUMMYFUNCTION("""COMPUTED_VALUE"""),-8.66)</f>
        <v>-8.66</v>
      </c>
      <c r="G149" s="1">
        <f ca="1">IFERROR(__xludf.DUMMYFUNCTION("""COMPUTED_VALUE"""),-9.54)</f>
        <v>-9.5399999999999991</v>
      </c>
      <c r="H149" s="1">
        <f ca="1">IFERROR(__xludf.DUMMYFUNCTION("""COMPUTED_VALUE"""),12)</f>
        <v>12</v>
      </c>
      <c r="I149" s="1">
        <f ca="1">IFERROR(__xludf.DUMMYFUNCTION("""COMPUTED_VALUE"""),6)</f>
        <v>6</v>
      </c>
      <c r="J149" s="1">
        <f ca="1">IFERROR(__xludf.DUMMYFUNCTION("""COMPUTED_VALUE"""),11)</f>
        <v>11</v>
      </c>
      <c r="K149" s="1">
        <f ca="1">IFERROR(__xludf.DUMMYFUNCTION("""COMPUTED_VALUE"""),2)</f>
        <v>2</v>
      </c>
      <c r="L149" s="1">
        <f ca="1">IFERROR(__xludf.DUMMYFUNCTION("""COMPUTED_VALUE"""),7)</f>
        <v>7</v>
      </c>
      <c r="M149" s="1">
        <f ca="1">IFERROR(__xludf.DUMMYFUNCTION("""COMPUTED_VALUE"""),13)</f>
        <v>13</v>
      </c>
      <c r="N149" s="1">
        <f ca="1">IFERROR(__xludf.DUMMYFUNCTION("""COMPUTED_VALUE"""),2455)</f>
        <v>2455</v>
      </c>
      <c r="O149" s="1">
        <f ca="1">IFERROR(__xludf.DUMMYFUNCTION("""COMPUTED_VALUE"""),2352)</f>
        <v>2352</v>
      </c>
      <c r="P149" s="1">
        <f ca="1">IFERROR(__xludf.DUMMYFUNCTION("""COMPUTED_VALUE"""),1465)</f>
        <v>1465</v>
      </c>
      <c r="Q149" s="1">
        <f ca="1">IFERROR(__xludf.DUMMYFUNCTION("""COMPUTED_VALUE"""),898)</f>
        <v>898</v>
      </c>
      <c r="R149" s="1">
        <f ca="1">IFERROR(__xludf.DUMMYFUNCTION("""COMPUTED_VALUE"""),2208)</f>
        <v>2208</v>
      </c>
      <c r="S149" s="1">
        <f ca="1">IFERROR(__xludf.DUMMYFUNCTION("""COMPUTED_VALUE"""),0.407)</f>
        <v>0.40699999999999997</v>
      </c>
      <c r="T149" s="1">
        <f ca="1">IFERROR(__xludf.DUMMYFUNCTION("""COMPUTED_VALUE"""),243)</f>
        <v>243</v>
      </c>
      <c r="U149" s="1">
        <f ca="1">IFERROR(__xludf.DUMMYFUNCTION("""COMPUTED_VALUE"""),781)</f>
        <v>781</v>
      </c>
      <c r="V149" s="1">
        <f ca="1">IFERROR(__xludf.DUMMYFUNCTION("""COMPUTED_VALUE"""),0.311)</f>
        <v>0.311</v>
      </c>
      <c r="W149" s="1">
        <f ca="1">IFERROR(__xludf.DUMMYFUNCTION("""COMPUTED_VALUE"""),416)</f>
        <v>416</v>
      </c>
      <c r="X149" s="1">
        <f ca="1">IFERROR(__xludf.DUMMYFUNCTION("""COMPUTED_VALUE"""),659)</f>
        <v>659</v>
      </c>
      <c r="Y149" s="1">
        <f ca="1">IFERROR(__xludf.DUMMYFUNCTION("""COMPUTED_VALUE"""),0.631)</f>
        <v>0.63100000000000001</v>
      </c>
      <c r="Z149" s="1">
        <f ca="1">IFERROR(__xludf.DUMMYFUNCTION("""COMPUTED_VALUE"""),474)</f>
        <v>474</v>
      </c>
      <c r="AA149" s="1">
        <f ca="1">IFERROR(__xludf.DUMMYFUNCTION("""COMPUTED_VALUE"""),1417)</f>
        <v>1417</v>
      </c>
      <c r="AB149" s="1">
        <f ca="1">IFERROR(__xludf.DUMMYFUNCTION("""COMPUTED_VALUE"""),445)</f>
        <v>445</v>
      </c>
      <c r="AC149" s="1">
        <f ca="1">IFERROR(__xludf.DUMMYFUNCTION("""COMPUTED_VALUE"""),279)</f>
        <v>279</v>
      </c>
      <c r="AD149" s="1">
        <f ca="1">IFERROR(__xludf.DUMMYFUNCTION("""COMPUTED_VALUE"""),131)</f>
        <v>131</v>
      </c>
      <c r="AE149" s="1">
        <f ca="1">IFERROR(__xludf.DUMMYFUNCTION("""COMPUTED_VALUE"""),446)</f>
        <v>446</v>
      </c>
      <c r="AF149" s="1">
        <f ca="1">IFERROR(__xludf.DUMMYFUNCTION("""COMPUTED_VALUE"""),771)</f>
        <v>771</v>
      </c>
    </row>
    <row r="150" spans="1:32" ht="12.5" x14ac:dyDescent="0.25">
      <c r="A150" s="1" t="str">
        <f ca="1">IFERROR(__xludf.DUMMYFUNCTION("""COMPUTED_VALUE"""),"Jacksonville State")</f>
        <v>Jacksonville State</v>
      </c>
      <c r="B150" s="1">
        <f ca="1">IFERROR(__xludf.DUMMYFUNCTION("""COMPUTED_VALUE"""),31)</f>
        <v>31</v>
      </c>
      <c r="C150" s="1">
        <f ca="1">IFERROR(__xludf.DUMMYFUNCTION("""COMPUTED_VALUE"""),8)</f>
        <v>8</v>
      </c>
      <c r="D150" s="1">
        <f ca="1">IFERROR(__xludf.DUMMYFUNCTION("""COMPUTED_VALUE"""),23)</f>
        <v>23</v>
      </c>
      <c r="E150" s="1">
        <f ca="1">IFERROR(__xludf.DUMMYFUNCTION("""COMPUTED_VALUE"""),0.258)</f>
        <v>0.25800000000000001</v>
      </c>
      <c r="F150" s="1">
        <f ca="1">IFERROR(__xludf.DUMMYFUNCTION("""COMPUTED_VALUE"""),-10.26)</f>
        <v>-10.26</v>
      </c>
      <c r="G150" s="1">
        <f ca="1">IFERROR(__xludf.DUMMYFUNCTION("""COMPUTED_VALUE"""),-3.95)</f>
        <v>-3.95</v>
      </c>
      <c r="H150" s="1">
        <f ca="1">IFERROR(__xludf.DUMMYFUNCTION("""COMPUTED_VALUE"""),4)</f>
        <v>4</v>
      </c>
      <c r="I150" s="1">
        <f ca="1">IFERROR(__xludf.DUMMYFUNCTION("""COMPUTED_VALUE"""),12)</f>
        <v>12</v>
      </c>
      <c r="J150" s="1">
        <f ca="1">IFERROR(__xludf.DUMMYFUNCTION("""COMPUTED_VALUE"""),5)</f>
        <v>5</v>
      </c>
      <c r="K150" s="1">
        <f ca="1">IFERROR(__xludf.DUMMYFUNCTION("""COMPUTED_VALUE"""),10)</f>
        <v>10</v>
      </c>
      <c r="L150" s="1">
        <f ca="1">IFERROR(__xludf.DUMMYFUNCTION("""COMPUTED_VALUE"""),2)</f>
        <v>2</v>
      </c>
      <c r="M150" s="1">
        <f ca="1">IFERROR(__xludf.DUMMYFUNCTION("""COMPUTED_VALUE"""),12)</f>
        <v>12</v>
      </c>
      <c r="N150" s="1">
        <f ca="1">IFERROR(__xludf.DUMMYFUNCTION("""COMPUTED_VALUE"""),2100)</f>
        <v>2100</v>
      </c>
      <c r="O150" s="1">
        <f ca="1">IFERROR(__xludf.DUMMYFUNCTION("""COMPUTED_VALUE"""),2234)</f>
        <v>2234</v>
      </c>
      <c r="P150" s="1">
        <f ca="1">IFERROR(__xludf.DUMMYFUNCTION("""COMPUTED_VALUE"""),1245)</f>
        <v>1245</v>
      </c>
      <c r="Q150" s="1">
        <f ca="1">IFERROR(__xludf.DUMMYFUNCTION("""COMPUTED_VALUE"""),721)</f>
        <v>721</v>
      </c>
      <c r="R150" s="1">
        <f ca="1">IFERROR(__xludf.DUMMYFUNCTION("""COMPUTED_VALUE"""),1792)</f>
        <v>1792</v>
      </c>
      <c r="S150" s="1">
        <f ca="1">IFERROR(__xludf.DUMMYFUNCTION("""COMPUTED_VALUE"""),0.402)</f>
        <v>0.40200000000000002</v>
      </c>
      <c r="T150" s="1">
        <f ca="1">IFERROR(__xludf.DUMMYFUNCTION("""COMPUTED_VALUE"""),243)</f>
        <v>243</v>
      </c>
      <c r="U150" s="1">
        <f ca="1">IFERROR(__xludf.DUMMYFUNCTION("""COMPUTED_VALUE"""),709)</f>
        <v>709</v>
      </c>
      <c r="V150" s="1">
        <f ca="1">IFERROR(__xludf.DUMMYFUNCTION("""COMPUTED_VALUE"""),0.343)</f>
        <v>0.34300000000000003</v>
      </c>
      <c r="W150" s="1">
        <f ca="1">IFERROR(__xludf.DUMMYFUNCTION("""COMPUTED_VALUE"""),415)</f>
        <v>415</v>
      </c>
      <c r="X150" s="1">
        <f ca="1">IFERROR(__xludf.DUMMYFUNCTION("""COMPUTED_VALUE"""),567)</f>
        <v>567</v>
      </c>
      <c r="Y150" s="1">
        <f ca="1">IFERROR(__xludf.DUMMYFUNCTION("""COMPUTED_VALUE"""),0.732)</f>
        <v>0.73199999999999998</v>
      </c>
      <c r="Z150" s="1">
        <f ca="1">IFERROR(__xludf.DUMMYFUNCTION("""COMPUTED_VALUE"""),315)</f>
        <v>315</v>
      </c>
      <c r="AA150" s="1">
        <f ca="1">IFERROR(__xludf.DUMMYFUNCTION("""COMPUTED_VALUE"""),994)</f>
        <v>994</v>
      </c>
      <c r="AB150" s="1">
        <f ca="1">IFERROR(__xludf.DUMMYFUNCTION("""COMPUTED_VALUE"""),377)</f>
        <v>377</v>
      </c>
      <c r="AC150" s="1">
        <f ca="1">IFERROR(__xludf.DUMMYFUNCTION("""COMPUTED_VALUE"""),158)</f>
        <v>158</v>
      </c>
      <c r="AD150" s="1">
        <f ca="1">IFERROR(__xludf.DUMMYFUNCTION("""COMPUTED_VALUE"""),96)</f>
        <v>96</v>
      </c>
      <c r="AE150" s="1">
        <f ca="1">IFERROR(__xludf.DUMMYFUNCTION("""COMPUTED_VALUE"""),331)</f>
        <v>331</v>
      </c>
      <c r="AF150" s="1">
        <f ca="1">IFERROR(__xludf.DUMMYFUNCTION("""COMPUTED_VALUE"""),611)</f>
        <v>611</v>
      </c>
    </row>
    <row r="151" spans="1:32" ht="12.5" x14ac:dyDescent="0.25">
      <c r="A151" s="1" t="str">
        <f ca="1">IFERROR(__xludf.DUMMYFUNCTION("""COMPUTED_VALUE"""),"Jacksonville")</f>
        <v>Jacksonville</v>
      </c>
      <c r="B151" s="1">
        <f ca="1">IFERROR(__xludf.DUMMYFUNCTION("""COMPUTED_VALUE"""),32)</f>
        <v>32</v>
      </c>
      <c r="C151" s="1">
        <f ca="1">IFERROR(__xludf.DUMMYFUNCTION("""COMPUTED_VALUE"""),16)</f>
        <v>16</v>
      </c>
      <c r="D151" s="1">
        <f ca="1">IFERROR(__xludf.DUMMYFUNCTION("""COMPUTED_VALUE"""),16)</f>
        <v>16</v>
      </c>
      <c r="E151" s="1">
        <f ca="1">IFERROR(__xludf.DUMMYFUNCTION("""COMPUTED_VALUE"""),0.5)</f>
        <v>0.5</v>
      </c>
      <c r="F151" s="1">
        <f ca="1">IFERROR(__xludf.DUMMYFUNCTION("""COMPUTED_VALUE"""),-9.34)</f>
        <v>-9.34</v>
      </c>
      <c r="G151" s="1">
        <f ca="1">IFERROR(__xludf.DUMMYFUNCTION("""COMPUTED_VALUE"""),-6.09)</f>
        <v>-6.09</v>
      </c>
      <c r="H151" s="1">
        <f ca="1">IFERROR(__xludf.DUMMYFUNCTION("""COMPUTED_VALUE"""),8)</f>
        <v>8</v>
      </c>
      <c r="I151" s="1">
        <f ca="1">IFERROR(__xludf.DUMMYFUNCTION("""COMPUTED_VALUE"""),6)</f>
        <v>6</v>
      </c>
      <c r="J151" s="1">
        <f ca="1">IFERROR(__xludf.DUMMYFUNCTION("""COMPUTED_VALUE"""),12)</f>
        <v>12</v>
      </c>
      <c r="K151" s="1">
        <f ca="1">IFERROR(__xludf.DUMMYFUNCTION("""COMPUTED_VALUE"""),3)</f>
        <v>3</v>
      </c>
      <c r="L151" s="1">
        <f ca="1">IFERROR(__xludf.DUMMYFUNCTION("""COMPUTED_VALUE"""),4)</f>
        <v>4</v>
      </c>
      <c r="M151" s="1">
        <f ca="1">IFERROR(__xludf.DUMMYFUNCTION("""COMPUTED_VALUE"""),11)</f>
        <v>11</v>
      </c>
      <c r="N151" s="1">
        <f ca="1">IFERROR(__xludf.DUMMYFUNCTION("""COMPUTED_VALUE"""),2444)</f>
        <v>2444</v>
      </c>
      <c r="O151" s="1">
        <f ca="1">IFERROR(__xludf.DUMMYFUNCTION("""COMPUTED_VALUE"""),2431)</f>
        <v>2431</v>
      </c>
      <c r="P151" s="1">
        <f ca="1">IFERROR(__xludf.DUMMYFUNCTION("""COMPUTED_VALUE"""),1290)</f>
        <v>1290</v>
      </c>
      <c r="Q151" s="1">
        <f ca="1">IFERROR(__xludf.DUMMYFUNCTION("""COMPUTED_VALUE"""),866)</f>
        <v>866</v>
      </c>
      <c r="R151" s="1">
        <f ca="1">IFERROR(__xludf.DUMMYFUNCTION("""COMPUTED_VALUE"""),1985)</f>
        <v>1985</v>
      </c>
      <c r="S151" s="1">
        <f ca="1">IFERROR(__xludf.DUMMYFUNCTION("""COMPUTED_VALUE"""),0.436)</f>
        <v>0.436</v>
      </c>
      <c r="T151" s="1">
        <f ca="1">IFERROR(__xludf.DUMMYFUNCTION("""COMPUTED_VALUE"""),278)</f>
        <v>278</v>
      </c>
      <c r="U151" s="1">
        <f ca="1">IFERROR(__xludf.DUMMYFUNCTION("""COMPUTED_VALUE"""),715)</f>
        <v>715</v>
      </c>
      <c r="V151" s="1">
        <f ca="1">IFERROR(__xludf.DUMMYFUNCTION("""COMPUTED_VALUE"""),0.389)</f>
        <v>0.38900000000000001</v>
      </c>
      <c r="W151" s="1">
        <f ca="1">IFERROR(__xludf.DUMMYFUNCTION("""COMPUTED_VALUE"""),434)</f>
        <v>434</v>
      </c>
      <c r="X151" s="1">
        <f ca="1">IFERROR(__xludf.DUMMYFUNCTION("""COMPUTED_VALUE"""),640)</f>
        <v>640</v>
      </c>
      <c r="Y151" s="1">
        <f ca="1">IFERROR(__xludf.DUMMYFUNCTION("""COMPUTED_VALUE"""),0.678)</f>
        <v>0.67800000000000005</v>
      </c>
      <c r="Z151" s="1">
        <f ca="1">IFERROR(__xludf.DUMMYFUNCTION("""COMPUTED_VALUE"""),339)</f>
        <v>339</v>
      </c>
      <c r="AA151" s="1">
        <f ca="1">IFERROR(__xludf.DUMMYFUNCTION("""COMPUTED_VALUE"""),1218)</f>
        <v>1218</v>
      </c>
      <c r="AB151" s="1">
        <f ca="1">IFERROR(__xludf.DUMMYFUNCTION("""COMPUTED_VALUE"""),402)</f>
        <v>402</v>
      </c>
      <c r="AC151" s="1">
        <f ca="1">IFERROR(__xludf.DUMMYFUNCTION("""COMPUTED_VALUE"""),207)</f>
        <v>207</v>
      </c>
      <c r="AD151" s="1">
        <f ca="1">IFERROR(__xludf.DUMMYFUNCTION("""COMPUTED_VALUE"""),85)</f>
        <v>85</v>
      </c>
      <c r="AE151" s="1">
        <f ca="1">IFERROR(__xludf.DUMMYFUNCTION("""COMPUTED_VALUE"""),366)</f>
        <v>366</v>
      </c>
      <c r="AF151" s="1">
        <f ca="1">IFERROR(__xludf.DUMMYFUNCTION("""COMPUTED_VALUE"""),592)</f>
        <v>592</v>
      </c>
    </row>
    <row r="152" spans="1:32" ht="12.5" x14ac:dyDescent="0.25">
      <c r="A152" s="1" t="str">
        <f ca="1">IFERROR(__xludf.DUMMYFUNCTION("""COMPUTED_VALUE"""),"James Madison")</f>
        <v>James Madison</v>
      </c>
      <c r="B152" s="1">
        <f ca="1">IFERROR(__xludf.DUMMYFUNCTION("""COMPUTED_VALUE"""),32)</f>
        <v>32</v>
      </c>
      <c r="C152" s="1">
        <f ca="1">IFERROR(__xludf.DUMMYFUNCTION("""COMPUTED_VALUE"""),21)</f>
        <v>21</v>
      </c>
      <c r="D152" s="1">
        <f ca="1">IFERROR(__xludf.DUMMYFUNCTION("""COMPUTED_VALUE"""),11)</f>
        <v>11</v>
      </c>
      <c r="E152" s="1">
        <f ca="1">IFERROR(__xludf.DUMMYFUNCTION("""COMPUTED_VALUE"""),0.656)</f>
        <v>0.65600000000000003</v>
      </c>
      <c r="F152" s="1">
        <f ca="1">IFERROR(__xludf.DUMMYFUNCTION("""COMPUTED_VALUE"""),6.17)</f>
        <v>6.17</v>
      </c>
      <c r="G152" s="1">
        <f ca="1">IFERROR(__xludf.DUMMYFUNCTION("""COMPUTED_VALUE"""),0.5)</f>
        <v>0.5</v>
      </c>
      <c r="H152" s="1">
        <f ca="1">IFERROR(__xludf.DUMMYFUNCTION("""COMPUTED_VALUE"""),11)</f>
        <v>11</v>
      </c>
      <c r="I152" s="1">
        <f ca="1">IFERROR(__xludf.DUMMYFUNCTION("""COMPUTED_VALUE"""),7)</f>
        <v>7</v>
      </c>
      <c r="J152" s="1">
        <f ca="1">IFERROR(__xludf.DUMMYFUNCTION("""COMPUTED_VALUE"""),12)</f>
        <v>12</v>
      </c>
      <c r="K152" s="1">
        <f ca="1">IFERROR(__xludf.DUMMYFUNCTION("""COMPUTED_VALUE"""),6)</f>
        <v>6</v>
      </c>
      <c r="L152" s="1">
        <f ca="1">IFERROR(__xludf.DUMMYFUNCTION("""COMPUTED_VALUE"""),9)</f>
        <v>9</v>
      </c>
      <c r="M152" s="1">
        <f ca="1">IFERROR(__xludf.DUMMYFUNCTION("""COMPUTED_VALUE"""),3)</f>
        <v>3</v>
      </c>
      <c r="N152" s="1">
        <f ca="1">IFERROR(__xludf.DUMMYFUNCTION("""COMPUTED_VALUE"""),2405)</f>
        <v>2405</v>
      </c>
      <c r="O152" s="1">
        <f ca="1">IFERROR(__xludf.DUMMYFUNCTION("""COMPUTED_VALUE"""),2197)</f>
        <v>2197</v>
      </c>
      <c r="P152" s="1">
        <f ca="1">IFERROR(__xludf.DUMMYFUNCTION("""COMPUTED_VALUE"""),1305)</f>
        <v>1305</v>
      </c>
      <c r="Q152" s="1">
        <f ca="1">IFERROR(__xludf.DUMMYFUNCTION("""COMPUTED_VALUE"""),830)</f>
        <v>830</v>
      </c>
      <c r="R152" s="1">
        <f ca="1">IFERROR(__xludf.DUMMYFUNCTION("""COMPUTED_VALUE"""),1848)</f>
        <v>1848</v>
      </c>
      <c r="S152" s="1">
        <f ca="1">IFERROR(__xludf.DUMMYFUNCTION("""COMPUTED_VALUE"""),0.449)</f>
        <v>0.44900000000000001</v>
      </c>
      <c r="T152" s="1">
        <f ca="1">IFERROR(__xludf.DUMMYFUNCTION("""COMPUTED_VALUE"""),278)</f>
        <v>278</v>
      </c>
      <c r="U152" s="1">
        <f ca="1">IFERROR(__xludf.DUMMYFUNCTION("""COMPUTED_VALUE"""),775)</f>
        <v>775</v>
      </c>
      <c r="V152" s="1">
        <f ca="1">IFERROR(__xludf.DUMMYFUNCTION("""COMPUTED_VALUE"""),0.359)</f>
        <v>0.35899999999999999</v>
      </c>
      <c r="W152" s="1">
        <f ca="1">IFERROR(__xludf.DUMMYFUNCTION("""COMPUTED_VALUE"""),467)</f>
        <v>467</v>
      </c>
      <c r="X152" s="1">
        <f ca="1">IFERROR(__xludf.DUMMYFUNCTION("""COMPUTED_VALUE"""),682)</f>
        <v>682</v>
      </c>
      <c r="Y152" s="1">
        <f ca="1">IFERROR(__xludf.DUMMYFUNCTION("""COMPUTED_VALUE"""),0.685)</f>
        <v>0.68500000000000005</v>
      </c>
      <c r="Z152" s="1">
        <f ca="1">IFERROR(__xludf.DUMMYFUNCTION("""COMPUTED_VALUE"""),335)</f>
        <v>335</v>
      </c>
      <c r="AA152" s="1">
        <f ca="1">IFERROR(__xludf.DUMMYFUNCTION("""COMPUTED_VALUE"""),1247)</f>
        <v>1247</v>
      </c>
      <c r="AB152" s="1">
        <f ca="1">IFERROR(__xludf.DUMMYFUNCTION("""COMPUTED_VALUE"""),406)</f>
        <v>406</v>
      </c>
      <c r="AC152" s="1">
        <f ca="1">IFERROR(__xludf.DUMMYFUNCTION("""COMPUTED_VALUE"""),139)</f>
        <v>139</v>
      </c>
      <c r="AD152" s="1">
        <f ca="1">IFERROR(__xludf.DUMMYFUNCTION("""COMPUTED_VALUE"""),97)</f>
        <v>97</v>
      </c>
      <c r="AE152" s="1">
        <f ca="1">IFERROR(__xludf.DUMMYFUNCTION("""COMPUTED_VALUE"""),380)</f>
        <v>380</v>
      </c>
      <c r="AF152" s="1">
        <f ca="1">IFERROR(__xludf.DUMMYFUNCTION("""COMPUTED_VALUE"""),612)</f>
        <v>612</v>
      </c>
    </row>
    <row r="153" spans="1:32" ht="12.5" x14ac:dyDescent="0.25">
      <c r="A153" s="1" t="str">
        <f ca="1">IFERROR(__xludf.DUMMYFUNCTION("""COMPUTED_VALUE"""),"Kansas State")</f>
        <v>Kansas State</v>
      </c>
      <c r="B153" s="1">
        <f ca="1">IFERROR(__xludf.DUMMYFUNCTION("""COMPUTED_VALUE"""),33)</f>
        <v>33</v>
      </c>
      <c r="C153" s="1">
        <f ca="1">IFERROR(__xludf.DUMMYFUNCTION("""COMPUTED_VALUE"""),17)</f>
        <v>17</v>
      </c>
      <c r="D153" s="1">
        <f ca="1">IFERROR(__xludf.DUMMYFUNCTION("""COMPUTED_VALUE"""),16)</f>
        <v>16</v>
      </c>
      <c r="E153" s="1">
        <f ca="1">IFERROR(__xludf.DUMMYFUNCTION("""COMPUTED_VALUE"""),0.515)</f>
        <v>0.51500000000000001</v>
      </c>
      <c r="F153" s="1">
        <f ca="1">IFERROR(__xludf.DUMMYFUNCTION("""COMPUTED_VALUE"""),12.31)</f>
        <v>12.31</v>
      </c>
      <c r="G153" s="1">
        <f ca="1">IFERROR(__xludf.DUMMYFUNCTION("""COMPUTED_VALUE"""),9.79)</f>
        <v>9.7899999999999991</v>
      </c>
      <c r="H153" s="1">
        <f ca="1">IFERROR(__xludf.DUMMYFUNCTION("""COMPUTED_VALUE"""),5)</f>
        <v>5</v>
      </c>
      <c r="I153" s="1">
        <f ca="1">IFERROR(__xludf.DUMMYFUNCTION("""COMPUTED_VALUE"""),13)</f>
        <v>13</v>
      </c>
      <c r="J153" s="1">
        <f ca="1">IFERROR(__xludf.DUMMYFUNCTION("""COMPUTED_VALUE"""),12)</f>
        <v>12</v>
      </c>
      <c r="K153" s="1">
        <f ca="1">IFERROR(__xludf.DUMMYFUNCTION("""COMPUTED_VALUE"""),5)</f>
        <v>5</v>
      </c>
      <c r="L153" s="1">
        <f ca="1">IFERROR(__xludf.DUMMYFUNCTION("""COMPUTED_VALUE"""),2)</f>
        <v>2</v>
      </c>
      <c r="M153" s="1">
        <f ca="1">IFERROR(__xludf.DUMMYFUNCTION("""COMPUTED_VALUE"""),9)</f>
        <v>9</v>
      </c>
      <c r="N153" s="1">
        <f ca="1">IFERROR(__xludf.DUMMYFUNCTION("""COMPUTED_VALUE"""),2334)</f>
        <v>2334</v>
      </c>
      <c r="O153" s="1">
        <f ca="1">IFERROR(__xludf.DUMMYFUNCTION("""COMPUTED_VALUE"""),2251)</f>
        <v>2251</v>
      </c>
      <c r="P153" s="1">
        <f ca="1">IFERROR(__xludf.DUMMYFUNCTION("""COMPUTED_VALUE"""),1345)</f>
        <v>1345</v>
      </c>
      <c r="Q153" s="1">
        <f ca="1">IFERROR(__xludf.DUMMYFUNCTION("""COMPUTED_VALUE"""),805)</f>
        <v>805</v>
      </c>
      <c r="R153" s="1">
        <f ca="1">IFERROR(__xludf.DUMMYFUNCTION("""COMPUTED_VALUE"""),1876)</f>
        <v>1876</v>
      </c>
      <c r="S153" s="1">
        <f ca="1">IFERROR(__xludf.DUMMYFUNCTION("""COMPUTED_VALUE"""),0.429)</f>
        <v>0.42899999999999999</v>
      </c>
      <c r="T153" s="1">
        <f ca="1">IFERROR(__xludf.DUMMYFUNCTION("""COMPUTED_VALUE"""),175)</f>
        <v>175</v>
      </c>
      <c r="U153" s="1">
        <f ca="1">IFERROR(__xludf.DUMMYFUNCTION("""COMPUTED_VALUE"""),583)</f>
        <v>583</v>
      </c>
      <c r="V153" s="1">
        <f ca="1">IFERROR(__xludf.DUMMYFUNCTION("""COMPUTED_VALUE"""),0.3)</f>
        <v>0.3</v>
      </c>
      <c r="W153" s="1">
        <f ca="1">IFERROR(__xludf.DUMMYFUNCTION("""COMPUTED_VALUE"""),549)</f>
        <v>549</v>
      </c>
      <c r="X153" s="1">
        <f ca="1">IFERROR(__xludf.DUMMYFUNCTION("""COMPUTED_VALUE"""),798)</f>
        <v>798</v>
      </c>
      <c r="Y153" s="1">
        <f ca="1">IFERROR(__xludf.DUMMYFUNCTION("""COMPUTED_VALUE"""),0.688)</f>
        <v>0.68799999999999994</v>
      </c>
      <c r="Z153" s="1">
        <f ca="1">IFERROR(__xludf.DUMMYFUNCTION("""COMPUTED_VALUE"""),437)</f>
        <v>437</v>
      </c>
      <c r="AA153" s="1">
        <f ca="1">IFERROR(__xludf.DUMMYFUNCTION("""COMPUTED_VALUE"""),1204)</f>
        <v>1204</v>
      </c>
      <c r="AB153" s="1">
        <f ca="1">IFERROR(__xludf.DUMMYFUNCTION("""COMPUTED_VALUE"""),458)</f>
        <v>458</v>
      </c>
      <c r="AC153" s="1">
        <f ca="1">IFERROR(__xludf.DUMMYFUNCTION("""COMPUTED_VALUE"""),249)</f>
        <v>249</v>
      </c>
      <c r="AD153" s="1">
        <f ca="1">IFERROR(__xludf.DUMMYFUNCTION("""COMPUTED_VALUE"""),91)</f>
        <v>91</v>
      </c>
      <c r="AE153" s="1">
        <f ca="1">IFERROR(__xludf.DUMMYFUNCTION("""COMPUTED_VALUE"""),460)</f>
        <v>460</v>
      </c>
      <c r="AF153" s="1">
        <f ca="1">IFERROR(__xludf.DUMMYFUNCTION("""COMPUTED_VALUE"""),659)</f>
        <v>659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IFERROR(__xludf.DUMMYFUNCTION("""COMPUTED_VALUE"""),"KansasNCAA")</f>
        <v>KansasNCAA</v>
      </c>
      <c r="B156" s="1">
        <f ca="1">IFERROR(__xludf.DUMMYFUNCTION("""COMPUTED_VALUE"""),38)</f>
        <v>38</v>
      </c>
      <c r="C156" s="1">
        <f ca="1">IFERROR(__xludf.DUMMYFUNCTION("""COMPUTED_VALUE"""),33)</f>
        <v>33</v>
      </c>
      <c r="D156" s="1">
        <f ca="1">IFERROR(__xludf.DUMMYFUNCTION("""COMPUTED_VALUE"""),5)</f>
        <v>5</v>
      </c>
      <c r="E156" s="1">
        <f ca="1">IFERROR(__xludf.DUMMYFUNCTION("""COMPUTED_VALUE"""),0.868)</f>
        <v>0.86799999999999999</v>
      </c>
      <c r="F156" s="1">
        <f ca="1">IFERROR(__xludf.DUMMYFUNCTION("""COMPUTED_VALUE"""),23.87)</f>
        <v>23.87</v>
      </c>
      <c r="G156" s="1">
        <f ca="1">IFERROR(__xludf.DUMMYFUNCTION("""COMPUTED_VALUE"""),11.22)</f>
        <v>11.22</v>
      </c>
      <c r="H156" s="1">
        <f ca="1">IFERROR(__xludf.DUMMYFUNCTION("""COMPUTED_VALUE"""),15)</f>
        <v>15</v>
      </c>
      <c r="I156" s="1">
        <f ca="1">IFERROR(__xludf.DUMMYFUNCTION("""COMPUTED_VALUE"""),3)</f>
        <v>3</v>
      </c>
      <c r="J156" s="1">
        <f ca="1">IFERROR(__xludf.DUMMYFUNCTION("""COMPUTED_VALUE"""),16)</f>
        <v>16</v>
      </c>
      <c r="K156" s="1">
        <f ca="1">IFERROR(__xludf.DUMMYFUNCTION("""COMPUTED_VALUE"""),0)</f>
        <v>0</v>
      </c>
      <c r="L156" s="1">
        <f ca="1">IFERROR(__xludf.DUMMYFUNCTION("""COMPUTED_VALUE"""),7)</f>
        <v>7</v>
      </c>
      <c r="M156" s="1">
        <f ca="1">IFERROR(__xludf.DUMMYFUNCTION("""COMPUTED_VALUE"""),3)</f>
        <v>3</v>
      </c>
      <c r="N156" s="1">
        <f ca="1">IFERROR(__xludf.DUMMYFUNCTION("""COMPUTED_VALUE"""),3089)</f>
        <v>3089</v>
      </c>
      <c r="O156" s="1">
        <f ca="1">IFERROR(__xludf.DUMMYFUNCTION("""COMPUTED_VALUE"""),2570)</f>
        <v>2570</v>
      </c>
      <c r="P156" s="1">
        <f ca="1">IFERROR(__xludf.DUMMYFUNCTION("""COMPUTED_VALUE"""),1540)</f>
        <v>1540</v>
      </c>
      <c r="Q156" s="1">
        <f ca="1">IFERROR(__xludf.DUMMYFUNCTION("""COMPUTED_VALUE"""),1092)</f>
        <v>1092</v>
      </c>
      <c r="R156" s="1">
        <f ca="1">IFERROR(__xludf.DUMMYFUNCTION("""COMPUTED_VALUE"""),2207)</f>
        <v>2207</v>
      </c>
      <c r="S156" s="1">
        <f ca="1">IFERROR(__xludf.DUMMYFUNCTION("""COMPUTED_VALUE"""),0.495)</f>
        <v>0.495</v>
      </c>
      <c r="T156" s="1">
        <f ca="1">IFERROR(__xludf.DUMMYFUNCTION("""COMPUTED_VALUE"""),304)</f>
        <v>304</v>
      </c>
      <c r="U156" s="1">
        <f ca="1">IFERROR(__xludf.DUMMYFUNCTION("""COMPUTED_VALUE"""),728)</f>
        <v>728</v>
      </c>
      <c r="V156" s="1">
        <f ca="1">IFERROR(__xludf.DUMMYFUNCTION("""COMPUTED_VALUE"""),0.418)</f>
        <v>0.41799999999999998</v>
      </c>
      <c r="W156" s="1">
        <f ca="1">IFERROR(__xludf.DUMMYFUNCTION("""COMPUTED_VALUE"""),601)</f>
        <v>601</v>
      </c>
      <c r="X156" s="1">
        <f ca="1">IFERROR(__xludf.DUMMYFUNCTION("""COMPUTED_VALUE"""),843)</f>
        <v>843</v>
      </c>
      <c r="Y156" s="1">
        <f ca="1">IFERROR(__xludf.DUMMYFUNCTION("""COMPUTED_VALUE"""),0.713)</f>
        <v>0.71299999999999997</v>
      </c>
      <c r="Z156" s="1">
        <f ca="1">IFERROR(__xludf.DUMMYFUNCTION("""COMPUTED_VALUE"""),402)</f>
        <v>402</v>
      </c>
      <c r="AA156" s="1">
        <f ca="1">IFERROR(__xludf.DUMMYFUNCTION("""COMPUTED_VALUE"""),1443)</f>
        <v>1443</v>
      </c>
      <c r="AB156" s="1">
        <f ca="1">IFERROR(__xludf.DUMMYFUNCTION("""COMPUTED_VALUE"""),604)</f>
        <v>604</v>
      </c>
      <c r="AC156" s="1">
        <f ca="1">IFERROR(__xludf.DUMMYFUNCTION("""COMPUTED_VALUE"""),253)</f>
        <v>253</v>
      </c>
      <c r="AD156" s="1">
        <f ca="1">IFERROR(__xludf.DUMMYFUNCTION("""COMPUTED_VALUE"""),158)</f>
        <v>158</v>
      </c>
      <c r="AE156" s="1">
        <f ca="1">IFERROR(__xludf.DUMMYFUNCTION("""COMPUTED_VALUE"""),478)</f>
        <v>478</v>
      </c>
      <c r="AF156" s="1">
        <f ca="1">IFERROR(__xludf.DUMMYFUNCTION("""COMPUTED_VALUE"""),719)</f>
        <v>719</v>
      </c>
    </row>
    <row r="157" spans="1:32" ht="12.5" x14ac:dyDescent="0.25">
      <c r="A157" s="1" t="str">
        <f ca="1">IFERROR(__xludf.DUMMYFUNCTION("""COMPUTED_VALUE"""),"Kennesaw State")</f>
        <v>Kennesaw State</v>
      </c>
      <c r="B157" s="1">
        <f ca="1">IFERROR(__xludf.DUMMYFUNCTION("""COMPUTED_VALUE"""),31)</f>
        <v>31</v>
      </c>
      <c r="C157" s="1">
        <f ca="1">IFERROR(__xludf.DUMMYFUNCTION("""COMPUTED_VALUE"""),11)</f>
        <v>11</v>
      </c>
      <c r="D157" s="1">
        <f ca="1">IFERROR(__xludf.DUMMYFUNCTION("""COMPUTED_VALUE"""),20)</f>
        <v>20</v>
      </c>
      <c r="E157" s="1">
        <f ca="1">IFERROR(__xludf.DUMMYFUNCTION("""COMPUTED_VALUE"""),0.355)</f>
        <v>0.35499999999999998</v>
      </c>
      <c r="F157" s="1">
        <f ca="1">IFERROR(__xludf.DUMMYFUNCTION("""COMPUTED_VALUE"""),-8.58)</f>
        <v>-8.58</v>
      </c>
      <c r="G157" s="1">
        <f ca="1">IFERROR(__xludf.DUMMYFUNCTION("""COMPUTED_VALUE"""),-1.61)</f>
        <v>-1.61</v>
      </c>
      <c r="H157" s="1">
        <f ca="1">IFERROR(__xludf.DUMMYFUNCTION("""COMPUTED_VALUE"""),7)</f>
        <v>7</v>
      </c>
      <c r="I157" s="1">
        <f ca="1">IFERROR(__xludf.DUMMYFUNCTION("""COMPUTED_VALUE"""),7)</f>
        <v>7</v>
      </c>
      <c r="J157" s="1">
        <f ca="1">IFERROR(__xludf.DUMMYFUNCTION("""COMPUTED_VALUE"""),8)</f>
        <v>8</v>
      </c>
      <c r="K157" s="1">
        <f ca="1">IFERROR(__xludf.DUMMYFUNCTION("""COMPUTED_VALUE"""),6)</f>
        <v>6</v>
      </c>
      <c r="L157" s="1">
        <f ca="1">IFERROR(__xludf.DUMMYFUNCTION("""COMPUTED_VALUE"""),3)</f>
        <v>3</v>
      </c>
      <c r="M157" s="1">
        <f ca="1">IFERROR(__xludf.DUMMYFUNCTION("""COMPUTED_VALUE"""),14)</f>
        <v>14</v>
      </c>
      <c r="N157" s="1">
        <f ca="1">IFERROR(__xludf.DUMMYFUNCTION("""COMPUTED_VALUE"""),2239)</f>
        <v>2239</v>
      </c>
      <c r="O157" s="1">
        <f ca="1">IFERROR(__xludf.DUMMYFUNCTION("""COMPUTED_VALUE"""),2399)</f>
        <v>2399</v>
      </c>
      <c r="P157" s="1">
        <f ca="1">IFERROR(__xludf.DUMMYFUNCTION("""COMPUTED_VALUE"""),1245)</f>
        <v>1245</v>
      </c>
      <c r="Q157" s="1">
        <f ca="1">IFERROR(__xludf.DUMMYFUNCTION("""COMPUTED_VALUE"""),811)</f>
        <v>811</v>
      </c>
      <c r="R157" s="1">
        <f ca="1">IFERROR(__xludf.DUMMYFUNCTION("""COMPUTED_VALUE"""),1826)</f>
        <v>1826</v>
      </c>
      <c r="S157" s="1">
        <f ca="1">IFERROR(__xludf.DUMMYFUNCTION("""COMPUTED_VALUE"""),0.444)</f>
        <v>0.44400000000000001</v>
      </c>
      <c r="T157" s="1">
        <f ca="1">IFERROR(__xludf.DUMMYFUNCTION("""COMPUTED_VALUE"""),179)</f>
        <v>179</v>
      </c>
      <c r="U157" s="1">
        <f ca="1">IFERROR(__xludf.DUMMYFUNCTION("""COMPUTED_VALUE"""),508)</f>
        <v>508</v>
      </c>
      <c r="V157" s="1">
        <f ca="1">IFERROR(__xludf.DUMMYFUNCTION("""COMPUTED_VALUE"""),0.352)</f>
        <v>0.35199999999999998</v>
      </c>
      <c r="W157" s="1">
        <f ca="1">IFERROR(__xludf.DUMMYFUNCTION("""COMPUTED_VALUE"""),438)</f>
        <v>438</v>
      </c>
      <c r="X157" s="1">
        <f ca="1">IFERROR(__xludf.DUMMYFUNCTION("""COMPUTED_VALUE"""),625)</f>
        <v>625</v>
      </c>
      <c r="Y157" s="1">
        <f ca="1">IFERROR(__xludf.DUMMYFUNCTION("""COMPUTED_VALUE"""),0.701)</f>
        <v>0.70099999999999996</v>
      </c>
      <c r="Z157" s="1">
        <f ca="1">IFERROR(__xludf.DUMMYFUNCTION("""COMPUTED_VALUE"""),322)</f>
        <v>322</v>
      </c>
      <c r="AA157" s="1">
        <f ca="1">IFERROR(__xludf.DUMMYFUNCTION("""COMPUTED_VALUE"""),1039)</f>
        <v>1039</v>
      </c>
      <c r="AB157" s="1">
        <f ca="1">IFERROR(__xludf.DUMMYFUNCTION("""COMPUTED_VALUE"""),378)</f>
        <v>378</v>
      </c>
      <c r="AC157" s="1">
        <f ca="1">IFERROR(__xludf.DUMMYFUNCTION("""COMPUTED_VALUE"""),216)</f>
        <v>216</v>
      </c>
      <c r="AD157" s="1">
        <f ca="1">IFERROR(__xludf.DUMMYFUNCTION("""COMPUTED_VALUE"""),99)</f>
        <v>99</v>
      </c>
      <c r="AE157" s="1">
        <f ca="1">IFERROR(__xludf.DUMMYFUNCTION("""COMPUTED_VALUE"""),405)</f>
        <v>405</v>
      </c>
      <c r="AF157" s="1">
        <f ca="1">IFERROR(__xludf.DUMMYFUNCTION("""COMPUTED_VALUE"""),605)</f>
        <v>605</v>
      </c>
    </row>
    <row r="158" spans="1:32" ht="12.5" x14ac:dyDescent="0.25">
      <c r="A158" s="1" t="str">
        <f ca="1">IFERROR(__xludf.DUMMYFUNCTION("""COMPUTED_VALUE"""),"Kent State")</f>
        <v>Kent State</v>
      </c>
      <c r="B158" s="1">
        <f ca="1">IFERROR(__xludf.DUMMYFUNCTION("""COMPUTED_VALUE"""),32)</f>
        <v>32</v>
      </c>
      <c r="C158" s="1">
        <f ca="1">IFERROR(__xludf.DUMMYFUNCTION("""COMPUTED_VALUE"""),19)</f>
        <v>19</v>
      </c>
      <c r="D158" s="1">
        <f ca="1">IFERROR(__xludf.DUMMYFUNCTION("""COMPUTED_VALUE"""),13)</f>
        <v>13</v>
      </c>
      <c r="E158" s="1">
        <f ca="1">IFERROR(__xludf.DUMMYFUNCTION("""COMPUTED_VALUE"""),0.594)</f>
        <v>0.59399999999999997</v>
      </c>
      <c r="F158" s="1">
        <f ca="1">IFERROR(__xludf.DUMMYFUNCTION("""COMPUTED_VALUE"""),-1.53)</f>
        <v>-1.53</v>
      </c>
      <c r="G158" s="1">
        <f ca="1">IFERROR(__xludf.DUMMYFUNCTION("""COMPUTED_VALUE"""),-1.47)</f>
        <v>-1.47</v>
      </c>
      <c r="H158" s="1">
        <f ca="1">IFERROR(__xludf.DUMMYFUNCTION("""COMPUTED_VALUE"""),10)</f>
        <v>10</v>
      </c>
      <c r="I158" s="1">
        <f ca="1">IFERROR(__xludf.DUMMYFUNCTION("""COMPUTED_VALUE"""),8)</f>
        <v>8</v>
      </c>
      <c r="J158" s="1">
        <f ca="1">IFERROR(__xludf.DUMMYFUNCTION("""COMPUTED_VALUE"""),13)</f>
        <v>13</v>
      </c>
      <c r="K158" s="1">
        <f ca="1">IFERROR(__xludf.DUMMYFUNCTION("""COMPUTED_VALUE"""),3)</f>
        <v>3</v>
      </c>
      <c r="L158" s="1">
        <f ca="1">IFERROR(__xludf.DUMMYFUNCTION("""COMPUTED_VALUE"""),6)</f>
        <v>6</v>
      </c>
      <c r="M158" s="1">
        <f ca="1">IFERROR(__xludf.DUMMYFUNCTION("""COMPUTED_VALUE"""),8)</f>
        <v>8</v>
      </c>
      <c r="N158" s="1">
        <f ca="1">IFERROR(__xludf.DUMMYFUNCTION("""COMPUTED_VALUE"""),2361)</f>
        <v>2361</v>
      </c>
      <c r="O158" s="1">
        <f ca="1">IFERROR(__xludf.DUMMYFUNCTION("""COMPUTED_VALUE"""),2317)</f>
        <v>2317</v>
      </c>
      <c r="P158" s="1">
        <f ca="1">IFERROR(__xludf.DUMMYFUNCTION("""COMPUTED_VALUE"""),1290)</f>
        <v>1290</v>
      </c>
      <c r="Q158" s="1">
        <f ca="1">IFERROR(__xludf.DUMMYFUNCTION("""COMPUTED_VALUE"""),834)</f>
        <v>834</v>
      </c>
      <c r="R158" s="1">
        <f ca="1">IFERROR(__xludf.DUMMYFUNCTION("""COMPUTED_VALUE"""),1871)</f>
        <v>1871</v>
      </c>
      <c r="S158" s="1">
        <f ca="1">IFERROR(__xludf.DUMMYFUNCTION("""COMPUTED_VALUE"""),0.446)</f>
        <v>0.44600000000000001</v>
      </c>
      <c r="T158" s="1">
        <f ca="1">IFERROR(__xludf.DUMMYFUNCTION("""COMPUTED_VALUE"""),185)</f>
        <v>185</v>
      </c>
      <c r="U158" s="1">
        <f ca="1">IFERROR(__xludf.DUMMYFUNCTION("""COMPUTED_VALUE"""),564)</f>
        <v>564</v>
      </c>
      <c r="V158" s="1">
        <f ca="1">IFERROR(__xludf.DUMMYFUNCTION("""COMPUTED_VALUE"""),0.328)</f>
        <v>0.32800000000000001</v>
      </c>
      <c r="W158" s="1">
        <f ca="1">IFERROR(__xludf.DUMMYFUNCTION("""COMPUTED_VALUE"""),508)</f>
        <v>508</v>
      </c>
      <c r="X158" s="1">
        <f ca="1">IFERROR(__xludf.DUMMYFUNCTION("""COMPUTED_VALUE"""),744)</f>
        <v>744</v>
      </c>
      <c r="Y158" s="1">
        <f ca="1">IFERROR(__xludf.DUMMYFUNCTION("""COMPUTED_VALUE"""),0.683)</f>
        <v>0.68300000000000005</v>
      </c>
      <c r="Z158" s="1">
        <f ca="1">IFERROR(__xludf.DUMMYFUNCTION("""COMPUTED_VALUE"""),405)</f>
        <v>405</v>
      </c>
      <c r="AA158" s="1">
        <f ca="1">IFERROR(__xludf.DUMMYFUNCTION("""COMPUTED_VALUE"""),1204)</f>
        <v>1204</v>
      </c>
      <c r="AB158" s="1">
        <f ca="1">IFERROR(__xludf.DUMMYFUNCTION("""COMPUTED_VALUE"""),373)</f>
        <v>373</v>
      </c>
      <c r="AC158" s="1">
        <f ca="1">IFERROR(__xludf.DUMMYFUNCTION("""COMPUTED_VALUE"""),170)</f>
        <v>170</v>
      </c>
      <c r="AD158" s="1">
        <f ca="1">IFERROR(__xludf.DUMMYFUNCTION("""COMPUTED_VALUE"""),106)</f>
        <v>106</v>
      </c>
      <c r="AE158" s="1">
        <f ca="1">IFERROR(__xludf.DUMMYFUNCTION("""COMPUTED_VALUE"""),379)</f>
        <v>379</v>
      </c>
      <c r="AF158" s="1">
        <f ca="1">IFERROR(__xludf.DUMMYFUNCTION("""COMPUTED_VALUE"""),578)</f>
        <v>578</v>
      </c>
    </row>
    <row r="159" spans="1:32" ht="12.5" x14ac:dyDescent="0.25">
      <c r="A159" s="1" t="str">
        <f ca="1">IFERROR(__xludf.DUMMYFUNCTION("""COMPUTED_VALUE"""),"KentuckyNCAA")</f>
        <v>KentuckyNCAA</v>
      </c>
      <c r="B159" s="1">
        <f ca="1">IFERROR(__xludf.DUMMYFUNCTION("""COMPUTED_VALUE"""),36)</f>
        <v>36</v>
      </c>
      <c r="C159" s="1">
        <f ca="1">IFERROR(__xludf.DUMMYFUNCTION("""COMPUTED_VALUE"""),27)</f>
        <v>27</v>
      </c>
      <c r="D159" s="1">
        <f ca="1">IFERROR(__xludf.DUMMYFUNCTION("""COMPUTED_VALUE"""),9)</f>
        <v>9</v>
      </c>
      <c r="E159" s="1">
        <f ca="1">IFERROR(__xludf.DUMMYFUNCTION("""COMPUTED_VALUE"""),0.75)</f>
        <v>0.75</v>
      </c>
      <c r="F159" s="1">
        <f ca="1">IFERROR(__xludf.DUMMYFUNCTION("""COMPUTED_VALUE"""),20.23)</f>
        <v>20.23</v>
      </c>
      <c r="G159" s="1">
        <f ca="1">IFERROR(__xludf.DUMMYFUNCTION("""COMPUTED_VALUE"""),8.84)</f>
        <v>8.84</v>
      </c>
      <c r="H159" s="1">
        <f ca="1">IFERROR(__xludf.DUMMYFUNCTION("""COMPUTED_VALUE"""),13)</f>
        <v>13</v>
      </c>
      <c r="I159" s="1">
        <f ca="1">IFERROR(__xludf.DUMMYFUNCTION("""COMPUTED_VALUE"""),5)</f>
        <v>5</v>
      </c>
      <c r="J159" s="1">
        <f ca="1">IFERROR(__xludf.DUMMYFUNCTION("""COMPUTED_VALUE"""),17)</f>
        <v>17</v>
      </c>
      <c r="K159" s="1">
        <f ca="1">IFERROR(__xludf.DUMMYFUNCTION("""COMPUTED_VALUE"""),0)</f>
        <v>0</v>
      </c>
      <c r="L159" s="1">
        <f ca="1">IFERROR(__xludf.DUMMYFUNCTION("""COMPUTED_VALUE"""),4)</f>
        <v>4</v>
      </c>
      <c r="M159" s="1">
        <f ca="1">IFERROR(__xludf.DUMMYFUNCTION("""COMPUTED_VALUE"""),7)</f>
        <v>7</v>
      </c>
      <c r="N159" s="1">
        <f ca="1">IFERROR(__xludf.DUMMYFUNCTION("""COMPUTED_VALUE"""),2861)</f>
        <v>2861</v>
      </c>
      <c r="O159" s="1">
        <f ca="1">IFERROR(__xludf.DUMMYFUNCTION("""COMPUTED_VALUE"""),2451)</f>
        <v>2451</v>
      </c>
      <c r="P159" s="1">
        <f ca="1">IFERROR(__xludf.DUMMYFUNCTION("""COMPUTED_VALUE"""),1455)</f>
        <v>1455</v>
      </c>
      <c r="Q159" s="1">
        <f ca="1">IFERROR(__xludf.DUMMYFUNCTION("""COMPUTED_VALUE"""),1028)</f>
        <v>1028</v>
      </c>
      <c r="R159" s="1">
        <f ca="1">IFERROR(__xludf.DUMMYFUNCTION("""COMPUTED_VALUE"""),2149)</f>
        <v>2149</v>
      </c>
      <c r="S159" s="1">
        <f ca="1">IFERROR(__xludf.DUMMYFUNCTION("""COMPUTED_VALUE"""),0.478)</f>
        <v>0.47799999999999998</v>
      </c>
      <c r="T159" s="1">
        <f ca="1">IFERROR(__xludf.DUMMYFUNCTION("""COMPUTED_VALUE"""),244)</f>
        <v>244</v>
      </c>
      <c r="U159" s="1">
        <f ca="1">IFERROR(__xludf.DUMMYFUNCTION("""COMPUTED_VALUE"""),666)</f>
        <v>666</v>
      </c>
      <c r="V159" s="1">
        <f ca="1">IFERROR(__xludf.DUMMYFUNCTION("""COMPUTED_VALUE"""),0.366)</f>
        <v>0.36599999999999999</v>
      </c>
      <c r="W159" s="1">
        <f ca="1">IFERROR(__xludf.DUMMYFUNCTION("""COMPUTED_VALUE"""),561)</f>
        <v>561</v>
      </c>
      <c r="X159" s="1">
        <f ca="1">IFERROR(__xludf.DUMMYFUNCTION("""COMPUTED_VALUE"""),813)</f>
        <v>813</v>
      </c>
      <c r="Y159" s="1">
        <f ca="1">IFERROR(__xludf.DUMMYFUNCTION("""COMPUTED_VALUE"""),0.69)</f>
        <v>0.69</v>
      </c>
      <c r="Z159" s="1">
        <f ca="1">IFERROR(__xludf.DUMMYFUNCTION("""COMPUTED_VALUE"""),462)</f>
        <v>462</v>
      </c>
      <c r="AA159" s="1">
        <f ca="1">IFERROR(__xludf.DUMMYFUNCTION("""COMPUTED_VALUE"""),1395)</f>
        <v>1395</v>
      </c>
      <c r="AB159" s="1">
        <f ca="1">IFERROR(__xludf.DUMMYFUNCTION("""COMPUTED_VALUE"""),512)</f>
        <v>512</v>
      </c>
      <c r="AC159" s="1">
        <f ca="1">IFERROR(__xludf.DUMMYFUNCTION("""COMPUTED_VALUE"""),206)</f>
        <v>206</v>
      </c>
      <c r="AD159" s="1">
        <f ca="1">IFERROR(__xludf.DUMMYFUNCTION("""COMPUTED_VALUE"""),207)</f>
        <v>207</v>
      </c>
      <c r="AE159" s="1">
        <f ca="1">IFERROR(__xludf.DUMMYFUNCTION("""COMPUTED_VALUE"""),389)</f>
        <v>389</v>
      </c>
      <c r="AF159" s="1">
        <f ca="1">IFERROR(__xludf.DUMMYFUNCTION("""COMPUTED_VALUE"""),735)</f>
        <v>735</v>
      </c>
    </row>
    <row r="160" spans="1:32" ht="12.5" x14ac:dyDescent="0.25">
      <c r="A160" s="1" t="str">
        <f ca="1">IFERROR(__xludf.DUMMYFUNCTION("""COMPUTED_VALUE"""),"La Salle")</f>
        <v>La Salle</v>
      </c>
      <c r="B160" s="1">
        <f ca="1">IFERROR(__xludf.DUMMYFUNCTION("""COMPUTED_VALUE"""),31)</f>
        <v>31</v>
      </c>
      <c r="C160" s="1">
        <f ca="1">IFERROR(__xludf.DUMMYFUNCTION("""COMPUTED_VALUE"""),9)</f>
        <v>9</v>
      </c>
      <c r="D160" s="1">
        <f ca="1">IFERROR(__xludf.DUMMYFUNCTION("""COMPUTED_VALUE"""),22)</f>
        <v>22</v>
      </c>
      <c r="E160" s="1">
        <f ca="1">IFERROR(__xludf.DUMMYFUNCTION("""COMPUTED_VALUE"""),0.29)</f>
        <v>0.28999999999999998</v>
      </c>
      <c r="F160" s="1">
        <f ca="1">IFERROR(__xludf.DUMMYFUNCTION("""COMPUTED_VALUE"""),-6.09)</f>
        <v>-6.09</v>
      </c>
      <c r="G160" s="1">
        <f ca="1">IFERROR(__xludf.DUMMYFUNCTION("""COMPUTED_VALUE"""),4.65)</f>
        <v>4.6500000000000004</v>
      </c>
      <c r="H160" s="1">
        <f ca="1">IFERROR(__xludf.DUMMYFUNCTION("""COMPUTED_VALUE"""),4)</f>
        <v>4</v>
      </c>
      <c r="I160" s="1">
        <f ca="1">IFERROR(__xludf.DUMMYFUNCTION("""COMPUTED_VALUE"""),14)</f>
        <v>14</v>
      </c>
      <c r="J160" s="1">
        <f ca="1">IFERROR(__xludf.DUMMYFUNCTION("""COMPUTED_VALUE"""),7)</f>
        <v>7</v>
      </c>
      <c r="K160" s="1">
        <f ca="1">IFERROR(__xludf.DUMMYFUNCTION("""COMPUTED_VALUE"""),9)</f>
        <v>9</v>
      </c>
      <c r="L160" s="1">
        <f ca="1">IFERROR(__xludf.DUMMYFUNCTION("""COMPUTED_VALUE"""),1)</f>
        <v>1</v>
      </c>
      <c r="M160" s="1">
        <f ca="1">IFERROR(__xludf.DUMMYFUNCTION("""COMPUTED_VALUE"""),12)</f>
        <v>12</v>
      </c>
      <c r="N160" s="1">
        <f ca="1">IFERROR(__xludf.DUMMYFUNCTION("""COMPUTED_VALUE"""),1987)</f>
        <v>1987</v>
      </c>
      <c r="O160" s="1">
        <f ca="1">IFERROR(__xludf.DUMMYFUNCTION("""COMPUTED_VALUE"""),2279)</f>
        <v>2279</v>
      </c>
      <c r="P160" s="1">
        <f ca="1">IFERROR(__xludf.DUMMYFUNCTION("""COMPUTED_VALUE"""),1240)</f>
        <v>1240</v>
      </c>
      <c r="Q160" s="1">
        <f ca="1">IFERROR(__xludf.DUMMYFUNCTION("""COMPUTED_VALUE"""),690)</f>
        <v>690</v>
      </c>
      <c r="R160" s="1">
        <f ca="1">IFERROR(__xludf.DUMMYFUNCTION("""COMPUTED_VALUE"""),1707)</f>
        <v>1707</v>
      </c>
      <c r="S160" s="1">
        <f ca="1">IFERROR(__xludf.DUMMYFUNCTION("""COMPUTED_VALUE"""),0.404)</f>
        <v>0.40400000000000003</v>
      </c>
      <c r="T160" s="1">
        <f ca="1">IFERROR(__xludf.DUMMYFUNCTION("""COMPUTED_VALUE"""),259)</f>
        <v>259</v>
      </c>
      <c r="U160" s="1">
        <f ca="1">IFERROR(__xludf.DUMMYFUNCTION("""COMPUTED_VALUE"""),762)</f>
        <v>762</v>
      </c>
      <c r="V160" s="1">
        <f ca="1">IFERROR(__xludf.DUMMYFUNCTION("""COMPUTED_VALUE"""),0.34)</f>
        <v>0.34</v>
      </c>
      <c r="W160" s="1">
        <f ca="1">IFERROR(__xludf.DUMMYFUNCTION("""COMPUTED_VALUE"""),348)</f>
        <v>348</v>
      </c>
      <c r="X160" s="1">
        <f ca="1">IFERROR(__xludf.DUMMYFUNCTION("""COMPUTED_VALUE"""),520)</f>
        <v>520</v>
      </c>
      <c r="Y160" s="1">
        <f ca="1">IFERROR(__xludf.DUMMYFUNCTION("""COMPUTED_VALUE"""),0.669)</f>
        <v>0.66900000000000004</v>
      </c>
      <c r="Z160" s="1">
        <f ca="1">IFERROR(__xludf.DUMMYFUNCTION("""COMPUTED_VALUE"""),274)</f>
        <v>274</v>
      </c>
      <c r="AA160" s="1">
        <f ca="1">IFERROR(__xludf.DUMMYFUNCTION("""COMPUTED_VALUE"""),957)</f>
        <v>957</v>
      </c>
      <c r="AB160" s="1">
        <f ca="1">IFERROR(__xludf.DUMMYFUNCTION("""COMPUTED_VALUE"""),388)</f>
        <v>388</v>
      </c>
      <c r="AC160" s="1">
        <f ca="1">IFERROR(__xludf.DUMMYFUNCTION("""COMPUTED_VALUE"""),217)</f>
        <v>217</v>
      </c>
      <c r="AD160" s="1">
        <f ca="1">IFERROR(__xludf.DUMMYFUNCTION("""COMPUTED_VALUE"""),92)</f>
        <v>92</v>
      </c>
      <c r="AE160" s="1">
        <f ca="1">IFERROR(__xludf.DUMMYFUNCTION("""COMPUTED_VALUE"""),398)</f>
        <v>398</v>
      </c>
      <c r="AF160" s="1">
        <f ca="1">IFERROR(__xludf.DUMMYFUNCTION("""COMPUTED_VALUE"""),539)</f>
        <v>539</v>
      </c>
    </row>
    <row r="161" spans="1:32" ht="12.5" x14ac:dyDescent="0.25">
      <c r="A161" s="1" t="str">
        <f ca="1">IFERROR(__xludf.DUMMYFUNCTION("""COMPUTED_VALUE"""),"Lafayette")</f>
        <v>Lafayette</v>
      </c>
      <c r="B161" s="1">
        <f ca="1">IFERROR(__xludf.DUMMYFUNCTION("""COMPUTED_VALUE"""),30)</f>
        <v>30</v>
      </c>
      <c r="C161" s="1">
        <f ca="1">IFERROR(__xludf.DUMMYFUNCTION("""COMPUTED_VALUE"""),6)</f>
        <v>6</v>
      </c>
      <c r="D161" s="1">
        <f ca="1">IFERROR(__xludf.DUMMYFUNCTION("""COMPUTED_VALUE"""),24)</f>
        <v>24</v>
      </c>
      <c r="E161" s="1">
        <f ca="1">IFERROR(__xludf.DUMMYFUNCTION("""COMPUTED_VALUE"""),0.2)</f>
        <v>0.2</v>
      </c>
      <c r="F161" s="1">
        <f ca="1">IFERROR(__xludf.DUMMYFUNCTION("""COMPUTED_VALUE"""),-15)</f>
        <v>-15</v>
      </c>
      <c r="G161" s="1">
        <f ca="1">IFERROR(__xludf.DUMMYFUNCTION("""COMPUTED_VALUE"""),-6)</f>
        <v>-6</v>
      </c>
      <c r="H161" s="1">
        <f ca="1">IFERROR(__xludf.DUMMYFUNCTION("""COMPUTED_VALUE"""),3)</f>
        <v>3</v>
      </c>
      <c r="I161" s="1">
        <f ca="1">IFERROR(__xludf.DUMMYFUNCTION("""COMPUTED_VALUE"""),15)</f>
        <v>15</v>
      </c>
      <c r="J161" s="1">
        <f ca="1">IFERROR(__xludf.DUMMYFUNCTION("""COMPUTED_VALUE"""),4)</f>
        <v>4</v>
      </c>
      <c r="K161" s="1">
        <f ca="1">IFERROR(__xludf.DUMMYFUNCTION("""COMPUTED_VALUE"""),9)</f>
        <v>9</v>
      </c>
      <c r="L161" s="1">
        <f ca="1">IFERROR(__xludf.DUMMYFUNCTION("""COMPUTED_VALUE"""),2)</f>
        <v>2</v>
      </c>
      <c r="M161" s="1">
        <f ca="1">IFERROR(__xludf.DUMMYFUNCTION("""COMPUTED_VALUE"""),15)</f>
        <v>15</v>
      </c>
      <c r="N161" s="1">
        <f ca="1">IFERROR(__xludf.DUMMYFUNCTION("""COMPUTED_VALUE"""),2142)</f>
        <v>2142</v>
      </c>
      <c r="O161" s="1">
        <f ca="1">IFERROR(__xludf.DUMMYFUNCTION("""COMPUTED_VALUE"""),2412)</f>
        <v>2412</v>
      </c>
      <c r="P161" s="1">
        <f ca="1">IFERROR(__xludf.DUMMYFUNCTION("""COMPUTED_VALUE"""),1235)</f>
        <v>1235</v>
      </c>
      <c r="Q161" s="1">
        <f ca="1">IFERROR(__xludf.DUMMYFUNCTION("""COMPUTED_VALUE"""),758)</f>
        <v>758</v>
      </c>
      <c r="R161" s="1">
        <f ca="1">IFERROR(__xludf.DUMMYFUNCTION("""COMPUTED_VALUE"""),1742)</f>
        <v>1742</v>
      </c>
      <c r="S161" s="1">
        <f ca="1">IFERROR(__xludf.DUMMYFUNCTION("""COMPUTED_VALUE"""),0.435)</f>
        <v>0.435</v>
      </c>
      <c r="T161" s="1">
        <f ca="1">IFERROR(__xludf.DUMMYFUNCTION("""COMPUTED_VALUE"""),245)</f>
        <v>245</v>
      </c>
      <c r="U161" s="1">
        <f ca="1">IFERROR(__xludf.DUMMYFUNCTION("""COMPUTED_VALUE"""),671)</f>
        <v>671</v>
      </c>
      <c r="V161" s="1">
        <f ca="1">IFERROR(__xludf.DUMMYFUNCTION("""COMPUTED_VALUE"""),0.365)</f>
        <v>0.36499999999999999</v>
      </c>
      <c r="W161" s="1">
        <f ca="1">IFERROR(__xludf.DUMMYFUNCTION("""COMPUTED_VALUE"""),381)</f>
        <v>381</v>
      </c>
      <c r="X161" s="1">
        <f ca="1">IFERROR(__xludf.DUMMYFUNCTION("""COMPUTED_VALUE"""),551)</f>
        <v>551</v>
      </c>
      <c r="Y161" s="1">
        <f ca="1">IFERROR(__xludf.DUMMYFUNCTION("""COMPUTED_VALUE"""),0.691)</f>
        <v>0.69099999999999995</v>
      </c>
      <c r="Z161" s="1">
        <f ca="1">IFERROR(__xludf.DUMMYFUNCTION("""COMPUTED_VALUE"""),242)</f>
        <v>242</v>
      </c>
      <c r="AA161" s="1">
        <f ca="1">IFERROR(__xludf.DUMMYFUNCTION("""COMPUTED_VALUE"""),955)</f>
        <v>955</v>
      </c>
      <c r="AB161" s="1">
        <f ca="1">IFERROR(__xludf.DUMMYFUNCTION("""COMPUTED_VALUE"""),416)</f>
        <v>416</v>
      </c>
      <c r="AC161" s="1">
        <f ca="1">IFERROR(__xludf.DUMMYFUNCTION("""COMPUTED_VALUE"""),171)</f>
        <v>171</v>
      </c>
      <c r="AD161" s="1">
        <f ca="1">IFERROR(__xludf.DUMMYFUNCTION("""COMPUTED_VALUE"""),68)</f>
        <v>68</v>
      </c>
      <c r="AE161" s="1">
        <f ca="1">IFERROR(__xludf.DUMMYFUNCTION("""COMPUTED_VALUE"""),391)</f>
        <v>391</v>
      </c>
      <c r="AF161" s="1">
        <f ca="1">IFERROR(__xludf.DUMMYFUNCTION("""COMPUTED_VALUE"""),588)</f>
        <v>588</v>
      </c>
    </row>
    <row r="162" spans="1:32" ht="12.5" x14ac:dyDescent="0.25">
      <c r="A162" s="1" t="str">
        <f ca="1">IFERROR(__xludf.DUMMYFUNCTION("""COMPUTED_VALUE"""),"Lamar")</f>
        <v>Lamar</v>
      </c>
      <c r="B162" s="1">
        <f ca="1">IFERROR(__xludf.DUMMYFUNCTION("""COMPUTED_VALUE"""),30)</f>
        <v>30</v>
      </c>
      <c r="C162" s="1">
        <f ca="1">IFERROR(__xludf.DUMMYFUNCTION("""COMPUTED_VALUE"""),11)</f>
        <v>11</v>
      </c>
      <c r="D162" s="1">
        <f ca="1">IFERROR(__xludf.DUMMYFUNCTION("""COMPUTED_VALUE"""),19)</f>
        <v>19</v>
      </c>
      <c r="E162" s="1">
        <f ca="1">IFERROR(__xludf.DUMMYFUNCTION("""COMPUTED_VALUE"""),0.367)</f>
        <v>0.36699999999999999</v>
      </c>
      <c r="F162" s="1">
        <f ca="1">IFERROR(__xludf.DUMMYFUNCTION("""COMPUTED_VALUE"""),-14.69)</f>
        <v>-14.69</v>
      </c>
      <c r="G162" s="1">
        <f ca="1">IFERROR(__xludf.DUMMYFUNCTION("""COMPUTED_VALUE"""),-8.77)</f>
        <v>-8.77</v>
      </c>
      <c r="H162" s="1">
        <f ca="1">IFERROR(__xludf.DUMMYFUNCTION("""COMPUTED_VALUE"""),3)</f>
        <v>3</v>
      </c>
      <c r="I162" s="1">
        <f ca="1">IFERROR(__xludf.DUMMYFUNCTION("""COMPUTED_VALUE"""),15)</f>
        <v>15</v>
      </c>
      <c r="J162" s="1">
        <f ca="1">IFERROR(__xludf.DUMMYFUNCTION("""COMPUTED_VALUE"""),7)</f>
        <v>7</v>
      </c>
      <c r="K162" s="1">
        <f ca="1">IFERROR(__xludf.DUMMYFUNCTION("""COMPUTED_VALUE"""),9)</f>
        <v>9</v>
      </c>
      <c r="L162" s="1">
        <f ca="1">IFERROR(__xludf.DUMMYFUNCTION("""COMPUTED_VALUE"""),4)</f>
        <v>4</v>
      </c>
      <c r="M162" s="1">
        <f ca="1">IFERROR(__xludf.DUMMYFUNCTION("""COMPUTED_VALUE"""),10)</f>
        <v>10</v>
      </c>
      <c r="N162" s="1">
        <f ca="1">IFERROR(__xludf.DUMMYFUNCTION("""COMPUTED_VALUE"""),2263)</f>
        <v>2263</v>
      </c>
      <c r="O162" s="1">
        <f ca="1">IFERROR(__xludf.DUMMYFUNCTION("""COMPUTED_VALUE"""),2310)</f>
        <v>2310</v>
      </c>
      <c r="P162" s="1">
        <f ca="1">IFERROR(__xludf.DUMMYFUNCTION("""COMPUTED_VALUE"""),1200)</f>
        <v>1200</v>
      </c>
      <c r="Q162" s="1">
        <f ca="1">IFERROR(__xludf.DUMMYFUNCTION("""COMPUTED_VALUE"""),771)</f>
        <v>771</v>
      </c>
      <c r="R162" s="1">
        <f ca="1">IFERROR(__xludf.DUMMYFUNCTION("""COMPUTED_VALUE"""),1819)</f>
        <v>1819</v>
      </c>
      <c r="S162" s="1">
        <f ca="1">IFERROR(__xludf.DUMMYFUNCTION("""COMPUTED_VALUE"""),0.424)</f>
        <v>0.42399999999999999</v>
      </c>
      <c r="T162" s="1">
        <f ca="1">IFERROR(__xludf.DUMMYFUNCTION("""COMPUTED_VALUE"""),197)</f>
        <v>197</v>
      </c>
      <c r="U162" s="1">
        <f ca="1">IFERROR(__xludf.DUMMYFUNCTION("""COMPUTED_VALUE"""),617)</f>
        <v>617</v>
      </c>
      <c r="V162" s="1">
        <f ca="1">IFERROR(__xludf.DUMMYFUNCTION("""COMPUTED_VALUE"""),0.319)</f>
        <v>0.31900000000000001</v>
      </c>
      <c r="W162" s="1">
        <f ca="1">IFERROR(__xludf.DUMMYFUNCTION("""COMPUTED_VALUE"""),524)</f>
        <v>524</v>
      </c>
      <c r="X162" s="1">
        <f ca="1">IFERROR(__xludf.DUMMYFUNCTION("""COMPUTED_VALUE"""),781)</f>
        <v>781</v>
      </c>
      <c r="Y162" s="1">
        <f ca="1">IFERROR(__xludf.DUMMYFUNCTION("""COMPUTED_VALUE"""),0.671)</f>
        <v>0.67100000000000004</v>
      </c>
      <c r="Z162" s="1">
        <f ca="1">IFERROR(__xludf.DUMMYFUNCTION("""COMPUTED_VALUE"""),415)</f>
        <v>415</v>
      </c>
      <c r="AA162" s="1">
        <f ca="1">IFERROR(__xludf.DUMMYFUNCTION("""COMPUTED_VALUE"""),1171)</f>
        <v>1171</v>
      </c>
      <c r="AB162" s="1">
        <f ca="1">IFERROR(__xludf.DUMMYFUNCTION("""COMPUTED_VALUE"""),425)</f>
        <v>425</v>
      </c>
      <c r="AC162" s="1">
        <f ca="1">IFERROR(__xludf.DUMMYFUNCTION("""COMPUTED_VALUE"""),225)</f>
        <v>225</v>
      </c>
      <c r="AD162" s="1">
        <f ca="1">IFERROR(__xludf.DUMMYFUNCTION("""COMPUTED_VALUE"""),116)</f>
        <v>116</v>
      </c>
      <c r="AE162" s="1">
        <f ca="1">IFERROR(__xludf.DUMMYFUNCTION("""COMPUTED_VALUE"""),439)</f>
        <v>439</v>
      </c>
      <c r="AF162" s="1">
        <f ca="1">IFERROR(__xludf.DUMMYFUNCTION("""COMPUTED_VALUE"""),699)</f>
        <v>699</v>
      </c>
    </row>
    <row r="163" spans="1:32" ht="12.5" x14ac:dyDescent="0.25">
      <c r="A163" s="1" t="str">
        <f ca="1">IFERROR(__xludf.DUMMYFUNCTION("""COMPUTED_VALUE"""),"Lehigh")</f>
        <v>Lehigh</v>
      </c>
      <c r="B163" s="1">
        <f ca="1">IFERROR(__xludf.DUMMYFUNCTION("""COMPUTED_VALUE"""),32)</f>
        <v>32</v>
      </c>
      <c r="C163" s="1">
        <f ca="1">IFERROR(__xludf.DUMMYFUNCTION("""COMPUTED_VALUE"""),17)</f>
        <v>17</v>
      </c>
      <c r="D163" s="1">
        <f ca="1">IFERROR(__xludf.DUMMYFUNCTION("""COMPUTED_VALUE"""),15)</f>
        <v>15</v>
      </c>
      <c r="E163" s="1">
        <f ca="1">IFERROR(__xludf.DUMMYFUNCTION("""COMPUTED_VALUE"""),0.531)</f>
        <v>0.53100000000000003</v>
      </c>
      <c r="F163" s="1">
        <f ca="1">IFERROR(__xludf.DUMMYFUNCTION("""COMPUTED_VALUE"""),-4.42)</f>
        <v>-4.42</v>
      </c>
      <c r="G163" s="1">
        <f ca="1">IFERROR(__xludf.DUMMYFUNCTION("""COMPUTED_VALUE"""),-5.2)</f>
        <v>-5.2</v>
      </c>
      <c r="H163" s="1">
        <f ca="1">IFERROR(__xludf.DUMMYFUNCTION("""COMPUTED_VALUE"""),13)</f>
        <v>13</v>
      </c>
      <c r="I163" s="1">
        <f ca="1">IFERROR(__xludf.DUMMYFUNCTION("""COMPUTED_VALUE"""),5)</f>
        <v>5</v>
      </c>
      <c r="J163" s="1">
        <f ca="1">IFERROR(__xludf.DUMMYFUNCTION("""COMPUTED_VALUE"""),10)</f>
        <v>10</v>
      </c>
      <c r="K163" s="1">
        <f ca="1">IFERROR(__xludf.DUMMYFUNCTION("""COMPUTED_VALUE"""),5)</f>
        <v>5</v>
      </c>
      <c r="L163" s="1">
        <f ca="1">IFERROR(__xludf.DUMMYFUNCTION("""COMPUTED_VALUE"""),7)</f>
        <v>7</v>
      </c>
      <c r="M163" s="1">
        <f ca="1">IFERROR(__xludf.DUMMYFUNCTION("""COMPUTED_VALUE"""),9)</f>
        <v>9</v>
      </c>
      <c r="N163" s="1">
        <f ca="1">IFERROR(__xludf.DUMMYFUNCTION("""COMPUTED_VALUE"""),2268)</f>
        <v>2268</v>
      </c>
      <c r="O163" s="1">
        <f ca="1">IFERROR(__xludf.DUMMYFUNCTION("""COMPUTED_VALUE"""),2210)</f>
        <v>2210</v>
      </c>
      <c r="P163" s="1">
        <f ca="1">IFERROR(__xludf.DUMMYFUNCTION("""COMPUTED_VALUE"""),1280)</f>
        <v>1280</v>
      </c>
      <c r="Q163" s="1">
        <f ca="1">IFERROR(__xludf.DUMMYFUNCTION("""COMPUTED_VALUE"""),810)</f>
        <v>810</v>
      </c>
      <c r="R163" s="1">
        <f ca="1">IFERROR(__xludf.DUMMYFUNCTION("""COMPUTED_VALUE"""),1777)</f>
        <v>1777</v>
      </c>
      <c r="S163" s="1">
        <f ca="1">IFERROR(__xludf.DUMMYFUNCTION("""COMPUTED_VALUE"""),0.456)</f>
        <v>0.45600000000000002</v>
      </c>
      <c r="T163" s="1">
        <f ca="1">IFERROR(__xludf.DUMMYFUNCTION("""COMPUTED_VALUE"""),237)</f>
        <v>237</v>
      </c>
      <c r="U163" s="1">
        <f ca="1">IFERROR(__xludf.DUMMYFUNCTION("""COMPUTED_VALUE"""),604)</f>
        <v>604</v>
      </c>
      <c r="V163" s="1">
        <f ca="1">IFERROR(__xludf.DUMMYFUNCTION("""COMPUTED_VALUE"""),0.392)</f>
        <v>0.39200000000000002</v>
      </c>
      <c r="W163" s="1">
        <f ca="1">IFERROR(__xludf.DUMMYFUNCTION("""COMPUTED_VALUE"""),411)</f>
        <v>411</v>
      </c>
      <c r="X163" s="1">
        <f ca="1">IFERROR(__xludf.DUMMYFUNCTION("""COMPUTED_VALUE"""),565)</f>
        <v>565</v>
      </c>
      <c r="Y163" s="1">
        <f ca="1">IFERROR(__xludf.DUMMYFUNCTION("""COMPUTED_VALUE"""),0.727)</f>
        <v>0.72699999999999998</v>
      </c>
      <c r="Z163" s="1">
        <f ca="1">IFERROR(__xludf.DUMMYFUNCTION("""COMPUTED_VALUE"""),307)</f>
        <v>307</v>
      </c>
      <c r="AA163" s="1">
        <f ca="1">IFERROR(__xludf.DUMMYFUNCTION("""COMPUTED_VALUE"""),1095)</f>
        <v>1095</v>
      </c>
      <c r="AB163" s="1">
        <f ca="1">IFERROR(__xludf.DUMMYFUNCTION("""COMPUTED_VALUE"""),477)</f>
        <v>477</v>
      </c>
      <c r="AC163" s="1">
        <f ca="1">IFERROR(__xludf.DUMMYFUNCTION("""COMPUTED_VALUE"""),214)</f>
        <v>214</v>
      </c>
      <c r="AD163" s="1">
        <f ca="1">IFERROR(__xludf.DUMMYFUNCTION("""COMPUTED_VALUE"""),103)</f>
        <v>103</v>
      </c>
      <c r="AE163" s="1">
        <f ca="1">IFERROR(__xludf.DUMMYFUNCTION("""COMPUTED_VALUE"""),416)</f>
        <v>416</v>
      </c>
      <c r="AF163" s="1">
        <f ca="1">IFERROR(__xludf.DUMMYFUNCTION("""COMPUTED_VALUE"""),548)</f>
        <v>548</v>
      </c>
    </row>
    <row r="164" spans="1:32" ht="12.5" x14ac:dyDescent="0.25">
      <c r="A164" s="1" t="str">
        <f ca="1">IFERROR(__xludf.DUMMYFUNCTION("""COMPUTED_VALUE"""),"Liberty")</f>
        <v>Liberty</v>
      </c>
      <c r="B164" s="1">
        <f ca="1">IFERROR(__xludf.DUMMYFUNCTION("""COMPUTED_VALUE"""),32)</f>
        <v>32</v>
      </c>
      <c r="C164" s="1">
        <f ca="1">IFERROR(__xludf.DUMMYFUNCTION("""COMPUTED_VALUE"""),13)</f>
        <v>13</v>
      </c>
      <c r="D164" s="1">
        <f ca="1">IFERROR(__xludf.DUMMYFUNCTION("""COMPUTED_VALUE"""),19)</f>
        <v>19</v>
      </c>
      <c r="E164" s="1">
        <f ca="1">IFERROR(__xludf.DUMMYFUNCTION("""COMPUTED_VALUE"""),0.406)</f>
        <v>0.40600000000000003</v>
      </c>
      <c r="F164" s="1">
        <f ca="1">IFERROR(__xludf.DUMMYFUNCTION("""COMPUTED_VALUE"""),-10.42)</f>
        <v>-10.42</v>
      </c>
      <c r="G164" s="1">
        <f ca="1">IFERROR(__xludf.DUMMYFUNCTION("""COMPUTED_VALUE"""),-3.73)</f>
        <v>-3.73</v>
      </c>
      <c r="H164" s="1">
        <f ca="1">IFERROR(__xludf.DUMMYFUNCTION("""COMPUTED_VALUE"""),10)</f>
        <v>10</v>
      </c>
      <c r="I164" s="1">
        <f ca="1">IFERROR(__xludf.DUMMYFUNCTION("""COMPUTED_VALUE"""),8)</f>
        <v>8</v>
      </c>
      <c r="J164" s="1">
        <f ca="1">IFERROR(__xludf.DUMMYFUNCTION("""COMPUTED_VALUE"""),8)</f>
        <v>8</v>
      </c>
      <c r="K164" s="1">
        <f ca="1">IFERROR(__xludf.DUMMYFUNCTION("""COMPUTED_VALUE"""),6)</f>
        <v>6</v>
      </c>
      <c r="L164" s="1">
        <f ca="1">IFERROR(__xludf.DUMMYFUNCTION("""COMPUTED_VALUE"""),5)</f>
        <v>5</v>
      </c>
      <c r="M164" s="1">
        <f ca="1">IFERROR(__xludf.DUMMYFUNCTION("""COMPUTED_VALUE"""),9)</f>
        <v>9</v>
      </c>
      <c r="N164" s="1">
        <f ca="1">IFERROR(__xludf.DUMMYFUNCTION("""COMPUTED_VALUE"""),2070)</f>
        <v>2070</v>
      </c>
      <c r="O164" s="1">
        <f ca="1">IFERROR(__xludf.DUMMYFUNCTION("""COMPUTED_VALUE"""),2188)</f>
        <v>2188</v>
      </c>
      <c r="P164" s="1">
        <f ca="1">IFERROR(__xludf.DUMMYFUNCTION("""COMPUTED_VALUE"""),1280)</f>
        <v>1280</v>
      </c>
      <c r="Q164" s="1">
        <f ca="1">IFERROR(__xludf.DUMMYFUNCTION("""COMPUTED_VALUE"""),738)</f>
        <v>738</v>
      </c>
      <c r="R164" s="1">
        <f ca="1">IFERROR(__xludf.DUMMYFUNCTION("""COMPUTED_VALUE"""),1644)</f>
        <v>1644</v>
      </c>
      <c r="S164" s="1">
        <f ca="1">IFERROR(__xludf.DUMMYFUNCTION("""COMPUTED_VALUE"""),0.449)</f>
        <v>0.44900000000000001</v>
      </c>
      <c r="T164" s="1">
        <f ca="1">IFERROR(__xludf.DUMMYFUNCTION("""COMPUTED_VALUE"""),283)</f>
        <v>283</v>
      </c>
      <c r="U164" s="1">
        <f ca="1">IFERROR(__xludf.DUMMYFUNCTION("""COMPUTED_VALUE"""),774)</f>
        <v>774</v>
      </c>
      <c r="V164" s="1">
        <f ca="1">IFERROR(__xludf.DUMMYFUNCTION("""COMPUTED_VALUE"""),0.366)</f>
        <v>0.36599999999999999</v>
      </c>
      <c r="W164" s="1">
        <f ca="1">IFERROR(__xludf.DUMMYFUNCTION("""COMPUTED_VALUE"""),311)</f>
        <v>311</v>
      </c>
      <c r="X164" s="1">
        <f ca="1">IFERROR(__xludf.DUMMYFUNCTION("""COMPUTED_VALUE"""),434)</f>
        <v>434</v>
      </c>
      <c r="Y164" s="1">
        <f ca="1">IFERROR(__xludf.DUMMYFUNCTION("""COMPUTED_VALUE"""),0.717)</f>
        <v>0.71699999999999997</v>
      </c>
      <c r="Z164" s="1">
        <f ca="1">IFERROR(__xludf.DUMMYFUNCTION("""COMPUTED_VALUE"""),214)</f>
        <v>214</v>
      </c>
      <c r="AA164" s="1">
        <f ca="1">IFERROR(__xludf.DUMMYFUNCTION("""COMPUTED_VALUE"""),943)</f>
        <v>943</v>
      </c>
      <c r="AB164" s="1">
        <f ca="1">IFERROR(__xludf.DUMMYFUNCTION("""COMPUTED_VALUE"""),419)</f>
        <v>419</v>
      </c>
      <c r="AC164" s="1">
        <f ca="1">IFERROR(__xludf.DUMMYFUNCTION("""COMPUTED_VALUE"""),178)</f>
        <v>178</v>
      </c>
      <c r="AD164" s="1">
        <f ca="1">IFERROR(__xludf.DUMMYFUNCTION("""COMPUTED_VALUE"""),44)</f>
        <v>44</v>
      </c>
      <c r="AE164" s="1">
        <f ca="1">IFERROR(__xludf.DUMMYFUNCTION("""COMPUTED_VALUE"""),442)</f>
        <v>442</v>
      </c>
      <c r="AF164" s="1">
        <f ca="1">IFERROR(__xludf.DUMMYFUNCTION("""COMPUTED_VALUE"""),638)</f>
        <v>638</v>
      </c>
    </row>
    <row r="165" spans="1:32" ht="12.5" x14ac:dyDescent="0.25">
      <c r="A165" s="1" t="str">
        <f ca="1">IFERROR(__xludf.DUMMYFUNCTION("""COMPUTED_VALUE"""),"Lipscomb")</f>
        <v>Lipscomb</v>
      </c>
      <c r="B165" s="1">
        <f ca="1">IFERROR(__xludf.DUMMYFUNCTION("""COMPUTED_VALUE"""),33)</f>
        <v>33</v>
      </c>
      <c r="C165" s="1">
        <f ca="1">IFERROR(__xludf.DUMMYFUNCTION("""COMPUTED_VALUE"""),12)</f>
        <v>12</v>
      </c>
      <c r="D165" s="1">
        <f ca="1">IFERROR(__xludf.DUMMYFUNCTION("""COMPUTED_VALUE"""),21)</f>
        <v>21</v>
      </c>
      <c r="E165" s="1">
        <f ca="1">IFERROR(__xludf.DUMMYFUNCTION("""COMPUTED_VALUE"""),0.364)</f>
        <v>0.36399999999999999</v>
      </c>
      <c r="F165" s="1">
        <f ca="1">IFERROR(__xludf.DUMMYFUNCTION("""COMPUTED_VALUE"""),-8.85)</f>
        <v>-8.85</v>
      </c>
      <c r="G165" s="1">
        <f ca="1">IFERROR(__xludf.DUMMYFUNCTION("""COMPUTED_VALUE"""),-3.81)</f>
        <v>-3.81</v>
      </c>
      <c r="H165" s="1">
        <f ca="1">IFERROR(__xludf.DUMMYFUNCTION("""COMPUTED_VALUE"""),7)</f>
        <v>7</v>
      </c>
      <c r="I165" s="1">
        <f ca="1">IFERROR(__xludf.DUMMYFUNCTION("""COMPUTED_VALUE"""),7)</f>
        <v>7</v>
      </c>
      <c r="J165" s="1">
        <f ca="1">IFERROR(__xludf.DUMMYFUNCTION("""COMPUTED_VALUE"""),6)</f>
        <v>6</v>
      </c>
      <c r="K165" s="1">
        <f ca="1">IFERROR(__xludf.DUMMYFUNCTION("""COMPUTED_VALUE"""),9)</f>
        <v>9</v>
      </c>
      <c r="L165" s="1">
        <f ca="1">IFERROR(__xludf.DUMMYFUNCTION("""COMPUTED_VALUE"""),5)</f>
        <v>5</v>
      </c>
      <c r="M165" s="1">
        <f ca="1">IFERROR(__xludf.DUMMYFUNCTION("""COMPUTED_VALUE"""),9)</f>
        <v>9</v>
      </c>
      <c r="N165" s="1">
        <f ca="1">IFERROR(__xludf.DUMMYFUNCTION("""COMPUTED_VALUE"""),2590)</f>
        <v>2590</v>
      </c>
      <c r="O165" s="1">
        <f ca="1">IFERROR(__xludf.DUMMYFUNCTION("""COMPUTED_VALUE"""),2689)</f>
        <v>2689</v>
      </c>
      <c r="P165" s="1">
        <f ca="1">IFERROR(__xludf.DUMMYFUNCTION("""COMPUTED_VALUE"""),1340)</f>
        <v>1340</v>
      </c>
      <c r="Q165" s="1">
        <f ca="1">IFERROR(__xludf.DUMMYFUNCTION("""COMPUTED_VALUE"""),888)</f>
        <v>888</v>
      </c>
      <c r="R165" s="1">
        <f ca="1">IFERROR(__xludf.DUMMYFUNCTION("""COMPUTED_VALUE"""),2017)</f>
        <v>2017</v>
      </c>
      <c r="S165" s="1">
        <f ca="1">IFERROR(__xludf.DUMMYFUNCTION("""COMPUTED_VALUE"""),0.44)</f>
        <v>0.44</v>
      </c>
      <c r="T165" s="1">
        <f ca="1">IFERROR(__xludf.DUMMYFUNCTION("""COMPUTED_VALUE"""),331)</f>
        <v>331</v>
      </c>
      <c r="U165" s="1">
        <f ca="1">IFERROR(__xludf.DUMMYFUNCTION("""COMPUTED_VALUE"""),921)</f>
        <v>921</v>
      </c>
      <c r="V165" s="1">
        <f ca="1">IFERROR(__xludf.DUMMYFUNCTION("""COMPUTED_VALUE"""),0.359)</f>
        <v>0.35899999999999999</v>
      </c>
      <c r="W165" s="1">
        <f ca="1">IFERROR(__xludf.DUMMYFUNCTION("""COMPUTED_VALUE"""),483)</f>
        <v>483</v>
      </c>
      <c r="X165" s="1">
        <f ca="1">IFERROR(__xludf.DUMMYFUNCTION("""COMPUTED_VALUE"""),695)</f>
        <v>695</v>
      </c>
      <c r="Y165" s="1">
        <f ca="1">IFERROR(__xludf.DUMMYFUNCTION("""COMPUTED_VALUE"""),0.695)</f>
        <v>0.69499999999999995</v>
      </c>
      <c r="Z165" s="1">
        <f ca="1">IFERROR(__xludf.DUMMYFUNCTION("""COMPUTED_VALUE"""),335)</f>
        <v>335</v>
      </c>
      <c r="AA165" s="1">
        <f ca="1">IFERROR(__xludf.DUMMYFUNCTION("""COMPUTED_VALUE"""),1202)</f>
        <v>1202</v>
      </c>
      <c r="AB165" s="1">
        <f ca="1">IFERROR(__xludf.DUMMYFUNCTION("""COMPUTED_VALUE"""),549)</f>
        <v>549</v>
      </c>
      <c r="AC165" s="1">
        <f ca="1">IFERROR(__xludf.DUMMYFUNCTION("""COMPUTED_VALUE"""),208)</f>
        <v>208</v>
      </c>
      <c r="AD165" s="1">
        <f ca="1">IFERROR(__xludf.DUMMYFUNCTION("""COMPUTED_VALUE"""),98)</f>
        <v>98</v>
      </c>
      <c r="AE165" s="1">
        <f ca="1">IFERROR(__xludf.DUMMYFUNCTION("""COMPUTED_VALUE"""),458)</f>
        <v>458</v>
      </c>
      <c r="AF165" s="1">
        <f ca="1">IFERROR(__xludf.DUMMYFUNCTION("""COMPUTED_VALUE"""),628)</f>
        <v>628</v>
      </c>
    </row>
    <row r="166" spans="1:32" ht="12.5" x14ac:dyDescent="0.25">
      <c r="A166" s="1" t="str">
        <f ca="1">IFERROR(__xludf.DUMMYFUNCTION("""COMPUTED_VALUE"""),"Cal State Long Beach")</f>
        <v>Cal State Long Beach</v>
      </c>
      <c r="B166" s="1">
        <f ca="1">IFERROR(__xludf.DUMMYFUNCTION("""COMPUTED_VALUE"""),35)</f>
        <v>35</v>
      </c>
      <c r="C166" s="1">
        <f ca="1">IFERROR(__xludf.DUMMYFUNCTION("""COMPUTED_VALUE"""),20)</f>
        <v>20</v>
      </c>
      <c r="D166" s="1">
        <f ca="1">IFERROR(__xludf.DUMMYFUNCTION("""COMPUTED_VALUE"""),15)</f>
        <v>15</v>
      </c>
      <c r="E166" s="1">
        <f ca="1">IFERROR(__xludf.DUMMYFUNCTION("""COMPUTED_VALUE"""),0.571)</f>
        <v>0.57099999999999995</v>
      </c>
      <c r="F166" s="1">
        <f ca="1">IFERROR(__xludf.DUMMYFUNCTION("""COMPUTED_VALUE"""),4.09)</f>
        <v>4.09</v>
      </c>
      <c r="G166" s="1">
        <f ca="1">IFERROR(__xludf.DUMMYFUNCTION("""COMPUTED_VALUE"""),4.57)</f>
        <v>4.57</v>
      </c>
      <c r="H166" s="1">
        <f ca="1">IFERROR(__xludf.DUMMYFUNCTION("""COMPUTED_VALUE"""),12)</f>
        <v>12</v>
      </c>
      <c r="I166" s="1">
        <f ca="1">IFERROR(__xludf.DUMMYFUNCTION("""COMPUTED_VALUE"""),4)</f>
        <v>4</v>
      </c>
      <c r="J166" s="1">
        <f ca="1">IFERROR(__xludf.DUMMYFUNCTION("""COMPUTED_VALUE"""),11)</f>
        <v>11</v>
      </c>
      <c r="K166" s="1">
        <f ca="1">IFERROR(__xludf.DUMMYFUNCTION("""COMPUTED_VALUE"""),2)</f>
        <v>2</v>
      </c>
      <c r="L166" s="1">
        <f ca="1">IFERROR(__xludf.DUMMYFUNCTION("""COMPUTED_VALUE"""),6)</f>
        <v>6</v>
      </c>
      <c r="M166" s="1">
        <f ca="1">IFERROR(__xludf.DUMMYFUNCTION("""COMPUTED_VALUE"""),10)</f>
        <v>10</v>
      </c>
      <c r="N166" s="1">
        <f ca="1">IFERROR(__xludf.DUMMYFUNCTION("""COMPUTED_VALUE"""),2613)</f>
        <v>2613</v>
      </c>
      <c r="O166" s="1">
        <f ca="1">IFERROR(__xludf.DUMMYFUNCTION("""COMPUTED_VALUE"""),2568)</f>
        <v>2568</v>
      </c>
      <c r="P166" s="1">
        <f ca="1">IFERROR(__xludf.DUMMYFUNCTION("""COMPUTED_VALUE"""),1415)</f>
        <v>1415</v>
      </c>
      <c r="Q166" s="1">
        <f ca="1">IFERROR(__xludf.DUMMYFUNCTION("""COMPUTED_VALUE"""),896)</f>
        <v>896</v>
      </c>
      <c r="R166" s="1">
        <f ca="1">IFERROR(__xludf.DUMMYFUNCTION("""COMPUTED_VALUE"""),2077)</f>
        <v>2077</v>
      </c>
      <c r="S166" s="1">
        <f ca="1">IFERROR(__xludf.DUMMYFUNCTION("""COMPUTED_VALUE"""),0.431)</f>
        <v>0.43099999999999999</v>
      </c>
      <c r="T166" s="1">
        <f ca="1">IFERROR(__xludf.DUMMYFUNCTION("""COMPUTED_VALUE"""),287)</f>
        <v>287</v>
      </c>
      <c r="U166" s="1">
        <f ca="1">IFERROR(__xludf.DUMMYFUNCTION("""COMPUTED_VALUE"""),783)</f>
        <v>783</v>
      </c>
      <c r="V166" s="1">
        <f ca="1">IFERROR(__xludf.DUMMYFUNCTION("""COMPUTED_VALUE"""),0.367)</f>
        <v>0.36699999999999999</v>
      </c>
      <c r="W166" s="1">
        <f ca="1">IFERROR(__xludf.DUMMYFUNCTION("""COMPUTED_VALUE"""),534)</f>
        <v>534</v>
      </c>
      <c r="X166" s="1">
        <f ca="1">IFERROR(__xludf.DUMMYFUNCTION("""COMPUTED_VALUE"""),776)</f>
        <v>776</v>
      </c>
      <c r="Y166" s="1">
        <f ca="1">IFERROR(__xludf.DUMMYFUNCTION("""COMPUTED_VALUE"""),0.688)</f>
        <v>0.68799999999999994</v>
      </c>
      <c r="Z166" s="1">
        <f ca="1">IFERROR(__xludf.DUMMYFUNCTION("""COMPUTED_VALUE"""),371)</f>
        <v>371</v>
      </c>
      <c r="AA166" s="1">
        <f ca="1">IFERROR(__xludf.DUMMYFUNCTION("""COMPUTED_VALUE"""),1251)</f>
        <v>1251</v>
      </c>
      <c r="AB166" s="1">
        <f ca="1">IFERROR(__xludf.DUMMYFUNCTION("""COMPUTED_VALUE"""),532)</f>
        <v>532</v>
      </c>
      <c r="AC166" s="1">
        <f ca="1">IFERROR(__xludf.DUMMYFUNCTION("""COMPUTED_VALUE"""),226)</f>
        <v>226</v>
      </c>
      <c r="AD166" s="1">
        <f ca="1">IFERROR(__xludf.DUMMYFUNCTION("""COMPUTED_VALUE"""),90)</f>
        <v>90</v>
      </c>
      <c r="AE166" s="1">
        <f ca="1">IFERROR(__xludf.DUMMYFUNCTION("""COMPUTED_VALUE"""),430)</f>
        <v>430</v>
      </c>
      <c r="AF166" s="1">
        <f ca="1">IFERROR(__xludf.DUMMYFUNCTION("""COMPUTED_VALUE"""),722)</f>
        <v>722</v>
      </c>
    </row>
    <row r="167" spans="1:32" ht="12.5" x14ac:dyDescent="0.25">
      <c r="A167" s="1" t="str">
        <f ca="1">IFERROR(__xludf.DUMMYFUNCTION("""COMPUTED_VALUE"""),"Long Island University")</f>
        <v>Long Island University</v>
      </c>
      <c r="B167" s="1">
        <f ca="1">IFERROR(__xludf.DUMMYFUNCTION("""COMPUTED_VALUE"""),31)</f>
        <v>31</v>
      </c>
      <c r="C167" s="1">
        <f ca="1">IFERROR(__xludf.DUMMYFUNCTION("""COMPUTED_VALUE"""),16)</f>
        <v>16</v>
      </c>
      <c r="D167" s="1">
        <f ca="1">IFERROR(__xludf.DUMMYFUNCTION("""COMPUTED_VALUE"""),15)</f>
        <v>15</v>
      </c>
      <c r="E167" s="1">
        <f ca="1">IFERROR(__xludf.DUMMYFUNCTION("""COMPUTED_VALUE"""),0.516)</f>
        <v>0.51600000000000001</v>
      </c>
      <c r="F167" s="1">
        <f ca="1">IFERROR(__xludf.DUMMYFUNCTION("""COMPUTED_VALUE"""),-11.79)</f>
        <v>-11.79</v>
      </c>
      <c r="G167" s="1">
        <f ca="1">IFERROR(__xludf.DUMMYFUNCTION("""COMPUTED_VALUE"""),-11.01)</f>
        <v>-11.01</v>
      </c>
      <c r="H167" s="1">
        <f ca="1">IFERROR(__xludf.DUMMYFUNCTION("""COMPUTED_VALUE"""),9)</f>
        <v>9</v>
      </c>
      <c r="I167" s="1">
        <f ca="1">IFERROR(__xludf.DUMMYFUNCTION("""COMPUTED_VALUE"""),9)</f>
        <v>9</v>
      </c>
      <c r="J167" s="1">
        <f ca="1">IFERROR(__xludf.DUMMYFUNCTION("""COMPUTED_VALUE"""),8)</f>
        <v>8</v>
      </c>
      <c r="K167" s="1">
        <f ca="1">IFERROR(__xludf.DUMMYFUNCTION("""COMPUTED_VALUE"""),6)</f>
        <v>6</v>
      </c>
      <c r="L167" s="1">
        <f ca="1">IFERROR(__xludf.DUMMYFUNCTION("""COMPUTED_VALUE"""),8)</f>
        <v>8</v>
      </c>
      <c r="M167" s="1">
        <f ca="1">IFERROR(__xludf.DUMMYFUNCTION("""COMPUTED_VALUE"""),9)</f>
        <v>9</v>
      </c>
      <c r="N167" s="1">
        <f ca="1">IFERROR(__xludf.DUMMYFUNCTION("""COMPUTED_VALUE"""),2362)</f>
        <v>2362</v>
      </c>
      <c r="O167" s="1">
        <f ca="1">IFERROR(__xludf.DUMMYFUNCTION("""COMPUTED_VALUE"""),2386)</f>
        <v>2386</v>
      </c>
      <c r="P167" s="1">
        <f ca="1">IFERROR(__xludf.DUMMYFUNCTION("""COMPUTED_VALUE"""),1255)</f>
        <v>1255</v>
      </c>
      <c r="Q167" s="1">
        <f ca="1">IFERROR(__xludf.DUMMYFUNCTION("""COMPUTED_VALUE"""),813)</f>
        <v>813</v>
      </c>
      <c r="R167" s="1">
        <f ca="1">IFERROR(__xludf.DUMMYFUNCTION("""COMPUTED_VALUE"""),1884)</f>
        <v>1884</v>
      </c>
      <c r="S167" s="1">
        <f ca="1">IFERROR(__xludf.DUMMYFUNCTION("""COMPUTED_VALUE"""),0.432)</f>
        <v>0.432</v>
      </c>
      <c r="T167" s="1">
        <f ca="1">IFERROR(__xludf.DUMMYFUNCTION("""COMPUTED_VALUE"""),179)</f>
        <v>179</v>
      </c>
      <c r="U167" s="1">
        <f ca="1">IFERROR(__xludf.DUMMYFUNCTION("""COMPUTED_VALUE"""),602)</f>
        <v>602</v>
      </c>
      <c r="V167" s="1">
        <f ca="1">IFERROR(__xludf.DUMMYFUNCTION("""COMPUTED_VALUE"""),0.297)</f>
        <v>0.29699999999999999</v>
      </c>
      <c r="W167" s="1">
        <f ca="1">IFERROR(__xludf.DUMMYFUNCTION("""COMPUTED_VALUE"""),557)</f>
        <v>557</v>
      </c>
      <c r="X167" s="1">
        <f ca="1">IFERROR(__xludf.DUMMYFUNCTION("""COMPUTED_VALUE"""),779)</f>
        <v>779</v>
      </c>
      <c r="Y167" s="1">
        <f ca="1">IFERROR(__xludf.DUMMYFUNCTION("""COMPUTED_VALUE"""),0.715)</f>
        <v>0.71499999999999997</v>
      </c>
      <c r="Z167" s="1">
        <f ca="1">IFERROR(__xludf.DUMMYFUNCTION("""COMPUTED_VALUE"""),386)</f>
        <v>386</v>
      </c>
      <c r="AA167" s="1">
        <f ca="1">IFERROR(__xludf.DUMMYFUNCTION("""COMPUTED_VALUE"""),1173)</f>
        <v>1173</v>
      </c>
      <c r="AB167" s="1">
        <f ca="1">IFERROR(__xludf.DUMMYFUNCTION("""COMPUTED_VALUE"""),432)</f>
        <v>432</v>
      </c>
      <c r="AC167" s="1">
        <f ca="1">IFERROR(__xludf.DUMMYFUNCTION("""COMPUTED_VALUE"""),238)</f>
        <v>238</v>
      </c>
      <c r="AD167" s="1">
        <f ca="1">IFERROR(__xludf.DUMMYFUNCTION("""COMPUTED_VALUE"""),87)</f>
        <v>87</v>
      </c>
      <c r="AE167" s="1">
        <f ca="1">IFERROR(__xludf.DUMMYFUNCTION("""COMPUTED_VALUE"""),422)</f>
        <v>422</v>
      </c>
      <c r="AF167" s="1">
        <f ca="1">IFERROR(__xludf.DUMMYFUNCTION("""COMPUTED_VALUE"""),652)</f>
        <v>652</v>
      </c>
    </row>
    <row r="168" spans="1:32" ht="12.5" x14ac:dyDescent="0.25">
      <c r="A168" s="1" t="str">
        <f ca="1">IFERROR(__xludf.DUMMYFUNCTION("""COMPUTED_VALUE"""),"Longwood")</f>
        <v>Longwood</v>
      </c>
      <c r="B168" s="1">
        <f ca="1">IFERROR(__xludf.DUMMYFUNCTION("""COMPUTED_VALUE"""),33)</f>
        <v>33</v>
      </c>
      <c r="C168" s="1">
        <f ca="1">IFERROR(__xludf.DUMMYFUNCTION("""COMPUTED_VALUE"""),10)</f>
        <v>10</v>
      </c>
      <c r="D168" s="1">
        <f ca="1">IFERROR(__xludf.DUMMYFUNCTION("""COMPUTED_VALUE"""),23)</f>
        <v>23</v>
      </c>
      <c r="E168" s="1">
        <f ca="1">IFERROR(__xludf.DUMMYFUNCTION("""COMPUTED_VALUE"""),0.303)</f>
        <v>0.30299999999999999</v>
      </c>
      <c r="F168" s="1">
        <f ca="1">IFERROR(__xludf.DUMMYFUNCTION("""COMPUTED_VALUE"""),-11.42)</f>
        <v>-11.42</v>
      </c>
      <c r="G168" s="1">
        <f ca="1">IFERROR(__xludf.DUMMYFUNCTION("""COMPUTED_VALUE"""),-5.15)</f>
        <v>-5.15</v>
      </c>
      <c r="H168" s="1">
        <f ca="1">IFERROR(__xludf.DUMMYFUNCTION("""COMPUTED_VALUE"""),5)</f>
        <v>5</v>
      </c>
      <c r="I168" s="1">
        <f ca="1">IFERROR(__xludf.DUMMYFUNCTION("""COMPUTED_VALUE"""),13)</f>
        <v>13</v>
      </c>
      <c r="J168" s="1">
        <f ca="1">IFERROR(__xludf.DUMMYFUNCTION("""COMPUTED_VALUE"""),5)</f>
        <v>5</v>
      </c>
      <c r="K168" s="1">
        <f ca="1">IFERROR(__xludf.DUMMYFUNCTION("""COMPUTED_VALUE"""),8)</f>
        <v>8</v>
      </c>
      <c r="L168" s="1">
        <f ca="1">IFERROR(__xludf.DUMMYFUNCTION("""COMPUTED_VALUE"""),4)</f>
        <v>4</v>
      </c>
      <c r="M168" s="1">
        <f ca="1">IFERROR(__xludf.DUMMYFUNCTION("""COMPUTED_VALUE"""),12)</f>
        <v>12</v>
      </c>
      <c r="N168" s="1">
        <f ca="1">IFERROR(__xludf.DUMMYFUNCTION("""COMPUTED_VALUE"""),2397)</f>
        <v>2397</v>
      </c>
      <c r="O168" s="1">
        <f ca="1">IFERROR(__xludf.DUMMYFUNCTION("""COMPUTED_VALUE"""),2503)</f>
        <v>2503</v>
      </c>
      <c r="P168" s="1">
        <f ca="1">IFERROR(__xludf.DUMMYFUNCTION("""COMPUTED_VALUE"""),1330)</f>
        <v>1330</v>
      </c>
      <c r="Q168" s="1">
        <f ca="1">IFERROR(__xludf.DUMMYFUNCTION("""COMPUTED_VALUE"""),860)</f>
        <v>860</v>
      </c>
      <c r="R168" s="1">
        <f ca="1">IFERROR(__xludf.DUMMYFUNCTION("""COMPUTED_VALUE"""),1899)</f>
        <v>1899</v>
      </c>
      <c r="S168" s="1">
        <f ca="1">IFERROR(__xludf.DUMMYFUNCTION("""COMPUTED_VALUE"""),0.453)</f>
        <v>0.45300000000000001</v>
      </c>
      <c r="T168" s="1">
        <f ca="1">IFERROR(__xludf.DUMMYFUNCTION("""COMPUTED_VALUE"""),227)</f>
        <v>227</v>
      </c>
      <c r="U168" s="1">
        <f ca="1">IFERROR(__xludf.DUMMYFUNCTION("""COMPUTED_VALUE"""),650)</f>
        <v>650</v>
      </c>
      <c r="V168" s="1">
        <f ca="1">IFERROR(__xludf.DUMMYFUNCTION("""COMPUTED_VALUE"""),0.349)</f>
        <v>0.34899999999999998</v>
      </c>
      <c r="W168" s="1">
        <f ca="1">IFERROR(__xludf.DUMMYFUNCTION("""COMPUTED_VALUE"""),450)</f>
        <v>450</v>
      </c>
      <c r="X168" s="1">
        <f ca="1">IFERROR(__xludf.DUMMYFUNCTION("""COMPUTED_VALUE"""),636)</f>
        <v>636</v>
      </c>
      <c r="Y168" s="1">
        <f ca="1">IFERROR(__xludf.DUMMYFUNCTION("""COMPUTED_VALUE"""),0.708)</f>
        <v>0.70799999999999996</v>
      </c>
      <c r="Z168" s="1">
        <f ca="1">IFERROR(__xludf.DUMMYFUNCTION("""COMPUTED_VALUE"""),350)</f>
        <v>350</v>
      </c>
      <c r="AA168" s="1">
        <f ca="1">IFERROR(__xludf.DUMMYFUNCTION("""COMPUTED_VALUE"""),1197)</f>
        <v>1197</v>
      </c>
      <c r="AB168" s="1">
        <f ca="1">IFERROR(__xludf.DUMMYFUNCTION("""COMPUTED_VALUE"""),421)</f>
        <v>421</v>
      </c>
      <c r="AC168" s="1">
        <f ca="1">IFERROR(__xludf.DUMMYFUNCTION("""COMPUTED_VALUE"""),205)</f>
        <v>205</v>
      </c>
      <c r="AD168" s="1">
        <f ca="1">IFERROR(__xludf.DUMMYFUNCTION("""COMPUTED_VALUE"""),91)</f>
        <v>91</v>
      </c>
      <c r="AE168" s="1">
        <f ca="1">IFERROR(__xludf.DUMMYFUNCTION("""COMPUTED_VALUE"""),474)</f>
        <v>474</v>
      </c>
      <c r="AF168" s="1">
        <f ca="1">IFERROR(__xludf.DUMMYFUNCTION("""COMPUTED_VALUE"""),624)</f>
        <v>624</v>
      </c>
    </row>
    <row r="169" spans="1:32" ht="12.5" x14ac:dyDescent="0.25">
      <c r="A169" s="1" t="str">
        <f ca="1">IFERROR(__xludf.DUMMYFUNCTION("""COMPUTED_VALUE"""),"Louisiana")</f>
        <v>Louisiana</v>
      </c>
      <c r="B169" s="1">
        <f ca="1">IFERROR(__xludf.DUMMYFUNCTION("""COMPUTED_VALUE"""),34)</f>
        <v>34</v>
      </c>
      <c r="C169" s="1">
        <f ca="1">IFERROR(__xludf.DUMMYFUNCTION("""COMPUTED_VALUE"""),19)</f>
        <v>19</v>
      </c>
      <c r="D169" s="1">
        <f ca="1">IFERROR(__xludf.DUMMYFUNCTION("""COMPUTED_VALUE"""),15)</f>
        <v>15</v>
      </c>
      <c r="E169" s="1">
        <f ca="1">IFERROR(__xludf.DUMMYFUNCTION("""COMPUTED_VALUE"""),0.559)</f>
        <v>0.55900000000000005</v>
      </c>
      <c r="F169" s="1">
        <f ca="1">IFERROR(__xludf.DUMMYFUNCTION("""COMPUTED_VALUE"""),2.62)</f>
        <v>2.62</v>
      </c>
      <c r="G169" s="1">
        <f ca="1">IFERROR(__xludf.DUMMYFUNCTION("""COMPUTED_VALUE"""),-1.94)</f>
        <v>-1.94</v>
      </c>
      <c r="H169" s="1">
        <f ca="1">IFERROR(__xludf.DUMMYFUNCTION("""COMPUTED_VALUE"""),12)</f>
        <v>12</v>
      </c>
      <c r="I169" s="1">
        <f ca="1">IFERROR(__xludf.DUMMYFUNCTION("""COMPUTED_VALUE"""),8)</f>
        <v>8</v>
      </c>
      <c r="J169" s="1">
        <f ca="1">IFERROR(__xludf.DUMMYFUNCTION("""COMPUTED_VALUE"""),13)</f>
        <v>13</v>
      </c>
      <c r="K169" s="1">
        <f ca="1">IFERROR(__xludf.DUMMYFUNCTION("""COMPUTED_VALUE"""),3)</f>
        <v>3</v>
      </c>
      <c r="L169" s="1">
        <f ca="1">IFERROR(__xludf.DUMMYFUNCTION("""COMPUTED_VALUE"""),5)</f>
        <v>5</v>
      </c>
      <c r="M169" s="1">
        <f ca="1">IFERROR(__xludf.DUMMYFUNCTION("""COMPUTED_VALUE"""),11)</f>
        <v>11</v>
      </c>
      <c r="N169" s="1">
        <f ca="1">IFERROR(__xludf.DUMMYFUNCTION("""COMPUTED_VALUE"""),2706)</f>
        <v>2706</v>
      </c>
      <c r="O169" s="1">
        <f ca="1">IFERROR(__xludf.DUMMYFUNCTION("""COMPUTED_VALUE"""),2476)</f>
        <v>2476</v>
      </c>
      <c r="P169" s="1">
        <f ca="1">IFERROR(__xludf.DUMMYFUNCTION("""COMPUTED_VALUE"""),1370)</f>
        <v>1370</v>
      </c>
      <c r="Q169" s="1">
        <f ca="1">IFERROR(__xludf.DUMMYFUNCTION("""COMPUTED_VALUE"""),931)</f>
        <v>931</v>
      </c>
      <c r="R169" s="1">
        <f ca="1">IFERROR(__xludf.DUMMYFUNCTION("""COMPUTED_VALUE"""),2099)</f>
        <v>2099</v>
      </c>
      <c r="S169" s="1">
        <f ca="1">IFERROR(__xludf.DUMMYFUNCTION("""COMPUTED_VALUE"""),0.444)</f>
        <v>0.44400000000000001</v>
      </c>
      <c r="T169" s="1">
        <f ca="1">IFERROR(__xludf.DUMMYFUNCTION("""COMPUTED_VALUE"""),222)</f>
        <v>222</v>
      </c>
      <c r="U169" s="1">
        <f ca="1">IFERROR(__xludf.DUMMYFUNCTION("""COMPUTED_VALUE"""),716)</f>
        <v>716</v>
      </c>
      <c r="V169" s="1">
        <f ca="1">IFERROR(__xludf.DUMMYFUNCTION("""COMPUTED_VALUE"""),0.31)</f>
        <v>0.31</v>
      </c>
      <c r="W169" s="1">
        <f ca="1">IFERROR(__xludf.DUMMYFUNCTION("""COMPUTED_VALUE"""),622)</f>
        <v>622</v>
      </c>
      <c r="X169" s="1">
        <f ca="1">IFERROR(__xludf.DUMMYFUNCTION("""COMPUTED_VALUE"""),891)</f>
        <v>891</v>
      </c>
      <c r="Y169" s="1">
        <f ca="1">IFERROR(__xludf.DUMMYFUNCTION("""COMPUTED_VALUE"""),0.698)</f>
        <v>0.69799999999999995</v>
      </c>
      <c r="Z169" s="1">
        <f ca="1">IFERROR(__xludf.DUMMYFUNCTION("""COMPUTED_VALUE"""),485)</f>
        <v>485</v>
      </c>
      <c r="AA169" s="1">
        <f ca="1">IFERROR(__xludf.DUMMYFUNCTION("""COMPUTED_VALUE"""),1410)</f>
        <v>1410</v>
      </c>
      <c r="AB169" s="1">
        <f ca="1">IFERROR(__xludf.DUMMYFUNCTION("""COMPUTED_VALUE"""),433)</f>
        <v>433</v>
      </c>
      <c r="AC169" s="1">
        <f ca="1">IFERROR(__xludf.DUMMYFUNCTION("""COMPUTED_VALUE"""),218)</f>
        <v>218</v>
      </c>
      <c r="AD169" s="1">
        <f ca="1">IFERROR(__xludf.DUMMYFUNCTION("""COMPUTED_VALUE"""),123)</f>
        <v>123</v>
      </c>
      <c r="AE169" s="1">
        <f ca="1">IFERROR(__xludf.DUMMYFUNCTION("""COMPUTED_VALUE"""),425)</f>
        <v>425</v>
      </c>
      <c r="AF169" s="1">
        <f ca="1">IFERROR(__xludf.DUMMYFUNCTION("""COMPUTED_VALUE"""),634)</f>
        <v>634</v>
      </c>
    </row>
    <row r="170" spans="1:32" ht="12.5" x14ac:dyDescent="0.25">
      <c r="A170" s="1" t="str">
        <f ca="1">IFERROR(__xludf.DUMMYFUNCTION("""COMPUTED_VALUE"""),"Louisiana-Monroe")</f>
        <v>Louisiana-Monroe</v>
      </c>
      <c r="B170" s="1">
        <f ca="1">IFERROR(__xludf.DUMMYFUNCTION("""COMPUTED_VALUE"""),34)</f>
        <v>34</v>
      </c>
      <c r="C170" s="1">
        <f ca="1">IFERROR(__xludf.DUMMYFUNCTION("""COMPUTED_VALUE"""),20)</f>
        <v>20</v>
      </c>
      <c r="D170" s="1">
        <f ca="1">IFERROR(__xludf.DUMMYFUNCTION("""COMPUTED_VALUE"""),14)</f>
        <v>14</v>
      </c>
      <c r="E170" s="1">
        <f ca="1">IFERROR(__xludf.DUMMYFUNCTION("""COMPUTED_VALUE"""),0.588)</f>
        <v>0.58799999999999997</v>
      </c>
      <c r="F170" s="1">
        <f ca="1">IFERROR(__xludf.DUMMYFUNCTION("""COMPUTED_VALUE"""),-0.18)</f>
        <v>-0.18</v>
      </c>
      <c r="G170" s="1">
        <f ca="1">IFERROR(__xludf.DUMMYFUNCTION("""COMPUTED_VALUE"""),-1.46)</f>
        <v>-1.46</v>
      </c>
      <c r="H170" s="1">
        <f ca="1">IFERROR(__xludf.DUMMYFUNCTION("""COMPUTED_VALUE"""),15)</f>
        <v>15</v>
      </c>
      <c r="I170" s="1">
        <f ca="1">IFERROR(__xludf.DUMMYFUNCTION("""COMPUTED_VALUE"""),5)</f>
        <v>5</v>
      </c>
      <c r="J170" s="1">
        <f ca="1">IFERROR(__xludf.DUMMYFUNCTION("""COMPUTED_VALUE"""),13)</f>
        <v>13</v>
      </c>
      <c r="K170" s="1">
        <f ca="1">IFERROR(__xludf.DUMMYFUNCTION("""COMPUTED_VALUE"""),0)</f>
        <v>0</v>
      </c>
      <c r="L170" s="1">
        <f ca="1">IFERROR(__xludf.DUMMYFUNCTION("""COMPUTED_VALUE"""),6)</f>
        <v>6</v>
      </c>
      <c r="M170" s="1">
        <f ca="1">IFERROR(__xludf.DUMMYFUNCTION("""COMPUTED_VALUE"""),11)</f>
        <v>11</v>
      </c>
      <c r="N170" s="1">
        <f ca="1">IFERROR(__xludf.DUMMYFUNCTION("""COMPUTED_VALUE"""),2471)</f>
        <v>2471</v>
      </c>
      <c r="O170" s="1">
        <f ca="1">IFERROR(__xludf.DUMMYFUNCTION("""COMPUTED_VALUE"""),2360)</f>
        <v>2360</v>
      </c>
      <c r="P170" s="1">
        <f ca="1">IFERROR(__xludf.DUMMYFUNCTION("""COMPUTED_VALUE"""),1390)</f>
        <v>1390</v>
      </c>
      <c r="Q170" s="1">
        <f ca="1">IFERROR(__xludf.DUMMYFUNCTION("""COMPUTED_VALUE"""),896)</f>
        <v>896</v>
      </c>
      <c r="R170" s="1">
        <f ca="1">IFERROR(__xludf.DUMMYFUNCTION("""COMPUTED_VALUE"""),1956)</f>
        <v>1956</v>
      </c>
      <c r="S170" s="1">
        <f ca="1">IFERROR(__xludf.DUMMYFUNCTION("""COMPUTED_VALUE"""),0.458)</f>
        <v>0.45800000000000002</v>
      </c>
      <c r="T170" s="1">
        <f ca="1">IFERROR(__xludf.DUMMYFUNCTION("""COMPUTED_VALUE"""),225)</f>
        <v>225</v>
      </c>
      <c r="U170" s="1">
        <f ca="1">IFERROR(__xludf.DUMMYFUNCTION("""COMPUTED_VALUE"""),636)</f>
        <v>636</v>
      </c>
      <c r="V170" s="1">
        <f ca="1">IFERROR(__xludf.DUMMYFUNCTION("""COMPUTED_VALUE"""),0.354)</f>
        <v>0.35399999999999998</v>
      </c>
      <c r="W170" s="1">
        <f ca="1">IFERROR(__xludf.DUMMYFUNCTION("""COMPUTED_VALUE"""),454)</f>
        <v>454</v>
      </c>
      <c r="X170" s="1">
        <f ca="1">IFERROR(__xludf.DUMMYFUNCTION("""COMPUTED_VALUE"""),647)</f>
        <v>647</v>
      </c>
      <c r="Y170" s="1">
        <f ca="1">IFERROR(__xludf.DUMMYFUNCTION("""COMPUTED_VALUE"""),0.702)</f>
        <v>0.70199999999999996</v>
      </c>
      <c r="Z170" s="1">
        <f ca="1">IFERROR(__xludf.DUMMYFUNCTION("""COMPUTED_VALUE"""),376)</f>
        <v>376</v>
      </c>
      <c r="AA170" s="1">
        <f ca="1">IFERROR(__xludf.DUMMYFUNCTION("""COMPUTED_VALUE"""),1233)</f>
        <v>1233</v>
      </c>
      <c r="AB170" s="1">
        <f ca="1">IFERROR(__xludf.DUMMYFUNCTION("""COMPUTED_VALUE"""),481)</f>
        <v>481</v>
      </c>
      <c r="AC170" s="1">
        <f ca="1">IFERROR(__xludf.DUMMYFUNCTION("""COMPUTED_VALUE"""),198)</f>
        <v>198</v>
      </c>
      <c r="AD170" s="1">
        <f ca="1">IFERROR(__xludf.DUMMYFUNCTION("""COMPUTED_VALUE"""),113)</f>
        <v>113</v>
      </c>
      <c r="AE170" s="1">
        <f ca="1">IFERROR(__xludf.DUMMYFUNCTION("""COMPUTED_VALUE"""),411)</f>
        <v>411</v>
      </c>
      <c r="AF170" s="1">
        <f ca="1">IFERROR(__xludf.DUMMYFUNCTION("""COMPUTED_VALUE"""),596)</f>
        <v>596</v>
      </c>
    </row>
    <row r="171" spans="1:32" ht="12.5" x14ac:dyDescent="0.25">
      <c r="A171" s="1" t="str">
        <f ca="1">IFERROR(__xludf.DUMMYFUNCTION("""COMPUTED_VALUE"""),"Louisiana State")</f>
        <v>Louisiana State</v>
      </c>
      <c r="B171" s="1">
        <f ca="1">IFERROR(__xludf.DUMMYFUNCTION("""COMPUTED_VALUE"""),33)</f>
        <v>33</v>
      </c>
      <c r="C171" s="1">
        <f ca="1">IFERROR(__xludf.DUMMYFUNCTION("""COMPUTED_VALUE"""),19)</f>
        <v>19</v>
      </c>
      <c r="D171" s="1">
        <f ca="1">IFERROR(__xludf.DUMMYFUNCTION("""COMPUTED_VALUE"""),14)</f>
        <v>14</v>
      </c>
      <c r="E171" s="1">
        <f ca="1">IFERROR(__xludf.DUMMYFUNCTION("""COMPUTED_VALUE"""),0.576)</f>
        <v>0.57599999999999996</v>
      </c>
      <c r="F171" s="1">
        <f ca="1">IFERROR(__xludf.DUMMYFUNCTION("""COMPUTED_VALUE"""),8.79)</f>
        <v>8.7899999999999991</v>
      </c>
      <c r="G171" s="1">
        <f ca="1">IFERROR(__xludf.DUMMYFUNCTION("""COMPUTED_VALUE"""),7)</f>
        <v>7</v>
      </c>
      <c r="H171" s="1">
        <f ca="1">IFERROR(__xludf.DUMMYFUNCTION("""COMPUTED_VALUE"""),11)</f>
        <v>11</v>
      </c>
      <c r="I171" s="1">
        <f ca="1">IFERROR(__xludf.DUMMYFUNCTION("""COMPUTED_VALUE"""),7)</f>
        <v>7</v>
      </c>
      <c r="J171" s="1">
        <f ca="1">IFERROR(__xludf.DUMMYFUNCTION("""COMPUTED_VALUE"""),15)</f>
        <v>15</v>
      </c>
      <c r="K171" s="1">
        <f ca="1">IFERROR(__xludf.DUMMYFUNCTION("""COMPUTED_VALUE"""),3)</f>
        <v>3</v>
      </c>
      <c r="L171" s="1">
        <f ca="1">IFERROR(__xludf.DUMMYFUNCTION("""COMPUTED_VALUE"""),3)</f>
        <v>3</v>
      </c>
      <c r="M171" s="1">
        <f ca="1">IFERROR(__xludf.DUMMYFUNCTION("""COMPUTED_VALUE"""),8)</f>
        <v>8</v>
      </c>
      <c r="N171" s="1">
        <f ca="1">IFERROR(__xludf.DUMMYFUNCTION("""COMPUTED_VALUE"""),2602)</f>
        <v>2602</v>
      </c>
      <c r="O171" s="1">
        <f ca="1">IFERROR(__xludf.DUMMYFUNCTION("""COMPUTED_VALUE"""),2543)</f>
        <v>2543</v>
      </c>
      <c r="P171" s="1">
        <f ca="1">IFERROR(__xludf.DUMMYFUNCTION("""COMPUTED_VALUE"""),1330)</f>
        <v>1330</v>
      </c>
      <c r="Q171" s="1">
        <f ca="1">IFERROR(__xludf.DUMMYFUNCTION("""COMPUTED_VALUE"""),915)</f>
        <v>915</v>
      </c>
      <c r="R171" s="1">
        <f ca="1">IFERROR(__xludf.DUMMYFUNCTION("""COMPUTED_VALUE"""),1990)</f>
        <v>1990</v>
      </c>
      <c r="S171" s="1">
        <f ca="1">IFERROR(__xludf.DUMMYFUNCTION("""COMPUTED_VALUE"""),0.46)</f>
        <v>0.46</v>
      </c>
      <c r="T171" s="1">
        <f ca="1">IFERROR(__xludf.DUMMYFUNCTION("""COMPUTED_VALUE"""),203)</f>
        <v>203</v>
      </c>
      <c r="U171" s="1">
        <f ca="1">IFERROR(__xludf.DUMMYFUNCTION("""COMPUTED_VALUE"""),620)</f>
        <v>620</v>
      </c>
      <c r="V171" s="1">
        <f ca="1">IFERROR(__xludf.DUMMYFUNCTION("""COMPUTED_VALUE"""),0.327)</f>
        <v>0.32700000000000001</v>
      </c>
      <c r="W171" s="1">
        <f ca="1">IFERROR(__xludf.DUMMYFUNCTION("""COMPUTED_VALUE"""),569)</f>
        <v>569</v>
      </c>
      <c r="X171" s="1">
        <f ca="1">IFERROR(__xludf.DUMMYFUNCTION("""COMPUTED_VALUE"""),856)</f>
        <v>856</v>
      </c>
      <c r="Y171" s="1">
        <f ca="1">IFERROR(__xludf.DUMMYFUNCTION("""COMPUTED_VALUE"""),0.665)</f>
        <v>0.66500000000000004</v>
      </c>
      <c r="Z171" s="1">
        <f ca="1">IFERROR(__xludf.DUMMYFUNCTION("""COMPUTED_VALUE"""),368)</f>
        <v>368</v>
      </c>
      <c r="AA171" s="1">
        <f ca="1">IFERROR(__xludf.DUMMYFUNCTION("""COMPUTED_VALUE"""),1231)</f>
        <v>1231</v>
      </c>
      <c r="AB171" s="1">
        <f ca="1">IFERROR(__xludf.DUMMYFUNCTION("""COMPUTED_VALUE"""),507)</f>
        <v>507</v>
      </c>
      <c r="AC171" s="1">
        <f ca="1">IFERROR(__xludf.DUMMYFUNCTION("""COMPUTED_VALUE"""),263)</f>
        <v>263</v>
      </c>
      <c r="AD171" s="1">
        <f ca="1">IFERROR(__xludf.DUMMYFUNCTION("""COMPUTED_VALUE"""),90)</f>
        <v>90</v>
      </c>
      <c r="AE171" s="1">
        <f ca="1">IFERROR(__xludf.DUMMYFUNCTION("""COMPUTED_VALUE"""),394)</f>
        <v>394</v>
      </c>
      <c r="AF171" s="1">
        <f ca="1">IFERROR(__xludf.DUMMYFUNCTION("""COMPUTED_VALUE"""),609)</f>
        <v>609</v>
      </c>
    </row>
    <row r="172" spans="1:32" ht="12.5" x14ac:dyDescent="0.25">
      <c r="A172" s="1" t="str">
        <f ca="1">IFERROR(__xludf.DUMMYFUNCTION("""COMPUTED_VALUE"""),"Louisiana Tech")</f>
        <v>Louisiana Tech</v>
      </c>
      <c r="B172" s="1">
        <f ca="1">IFERROR(__xludf.DUMMYFUNCTION("""COMPUTED_VALUE"""),33)</f>
        <v>33</v>
      </c>
      <c r="C172" s="1">
        <f ca="1">IFERROR(__xludf.DUMMYFUNCTION("""COMPUTED_VALUE"""),23)</f>
        <v>23</v>
      </c>
      <c r="D172" s="1">
        <f ca="1">IFERROR(__xludf.DUMMYFUNCTION("""COMPUTED_VALUE"""),10)</f>
        <v>10</v>
      </c>
      <c r="E172" s="1">
        <f ca="1">IFERROR(__xludf.DUMMYFUNCTION("""COMPUTED_VALUE"""),0.697)</f>
        <v>0.69699999999999995</v>
      </c>
      <c r="F172" s="1">
        <f ca="1">IFERROR(__xludf.DUMMYFUNCTION("""COMPUTED_VALUE"""),-0.07)</f>
        <v>-7.0000000000000007E-2</v>
      </c>
      <c r="G172" s="1">
        <f ca="1">IFERROR(__xludf.DUMMYFUNCTION("""COMPUTED_VALUE"""),-4.4)</f>
        <v>-4.4000000000000004</v>
      </c>
      <c r="H172" s="1">
        <f ca="1">IFERROR(__xludf.DUMMYFUNCTION("""COMPUTED_VALUE"""),12)</f>
        <v>12</v>
      </c>
      <c r="I172" s="1">
        <f ca="1">IFERROR(__xludf.DUMMYFUNCTION("""COMPUTED_VALUE"""),6)</f>
        <v>6</v>
      </c>
      <c r="J172" s="1">
        <f ca="1">IFERROR(__xludf.DUMMYFUNCTION("""COMPUTED_VALUE"""),16)</f>
        <v>16</v>
      </c>
      <c r="K172" s="1">
        <f ca="1">IFERROR(__xludf.DUMMYFUNCTION("""COMPUTED_VALUE"""),1)</f>
        <v>1</v>
      </c>
      <c r="L172" s="1">
        <f ca="1">IFERROR(__xludf.DUMMYFUNCTION("""COMPUTED_VALUE"""),7)</f>
        <v>7</v>
      </c>
      <c r="M172" s="1">
        <f ca="1">IFERROR(__xludf.DUMMYFUNCTION("""COMPUTED_VALUE"""),7)</f>
        <v>7</v>
      </c>
      <c r="N172" s="1">
        <f ca="1">IFERROR(__xludf.DUMMYFUNCTION("""COMPUTED_VALUE"""),2624)</f>
        <v>2624</v>
      </c>
      <c r="O172" s="1">
        <f ca="1">IFERROR(__xludf.DUMMYFUNCTION("""COMPUTED_VALUE"""),2395)</f>
        <v>2395</v>
      </c>
      <c r="P172" s="1">
        <f ca="1">IFERROR(__xludf.DUMMYFUNCTION("""COMPUTED_VALUE"""),1345)</f>
        <v>1345</v>
      </c>
      <c r="Q172" s="1">
        <f ca="1">IFERROR(__xludf.DUMMYFUNCTION("""COMPUTED_VALUE"""),915)</f>
        <v>915</v>
      </c>
      <c r="R172" s="1">
        <f ca="1">IFERROR(__xludf.DUMMYFUNCTION("""COMPUTED_VALUE"""),1999)</f>
        <v>1999</v>
      </c>
      <c r="S172" s="1">
        <f ca="1">IFERROR(__xludf.DUMMYFUNCTION("""COMPUTED_VALUE"""),0.458)</f>
        <v>0.45800000000000002</v>
      </c>
      <c r="T172" s="1">
        <f ca="1">IFERROR(__xludf.DUMMYFUNCTION("""COMPUTED_VALUE"""),234)</f>
        <v>234</v>
      </c>
      <c r="U172" s="1">
        <f ca="1">IFERROR(__xludf.DUMMYFUNCTION("""COMPUTED_VALUE"""),704)</f>
        <v>704</v>
      </c>
      <c r="V172" s="1">
        <f ca="1">IFERROR(__xludf.DUMMYFUNCTION("""COMPUTED_VALUE"""),0.332)</f>
        <v>0.33200000000000002</v>
      </c>
      <c r="W172" s="1">
        <f ca="1">IFERROR(__xludf.DUMMYFUNCTION("""COMPUTED_VALUE"""),560)</f>
        <v>560</v>
      </c>
      <c r="X172" s="1">
        <f ca="1">IFERROR(__xludf.DUMMYFUNCTION("""COMPUTED_VALUE"""),842)</f>
        <v>842</v>
      </c>
      <c r="Y172" s="1">
        <f ca="1">IFERROR(__xludf.DUMMYFUNCTION("""COMPUTED_VALUE"""),0.665)</f>
        <v>0.66500000000000004</v>
      </c>
      <c r="Z172" s="1">
        <f ca="1">IFERROR(__xludf.DUMMYFUNCTION("""COMPUTED_VALUE"""),358)</f>
        <v>358</v>
      </c>
      <c r="AA172" s="1">
        <f ca="1">IFERROR(__xludf.DUMMYFUNCTION("""COMPUTED_VALUE"""),1257)</f>
        <v>1257</v>
      </c>
      <c r="AB172" s="1">
        <f ca="1">IFERROR(__xludf.DUMMYFUNCTION("""COMPUTED_VALUE"""),463)</f>
        <v>463</v>
      </c>
      <c r="AC172" s="1">
        <f ca="1">IFERROR(__xludf.DUMMYFUNCTION("""COMPUTED_VALUE"""),247)</f>
        <v>247</v>
      </c>
      <c r="AD172" s="1">
        <f ca="1">IFERROR(__xludf.DUMMYFUNCTION("""COMPUTED_VALUE"""),142)</f>
        <v>142</v>
      </c>
      <c r="AE172" s="1">
        <f ca="1">IFERROR(__xludf.DUMMYFUNCTION("""COMPUTED_VALUE"""),412)</f>
        <v>412</v>
      </c>
      <c r="AF172" s="1">
        <f ca="1">IFERROR(__xludf.DUMMYFUNCTION("""COMPUTED_VALUE"""),597)</f>
        <v>597</v>
      </c>
    </row>
    <row r="173" spans="1:32" ht="12.5" x14ac:dyDescent="0.25">
      <c r="A173" s="1" t="str">
        <f ca="1">IFERROR(__xludf.DUMMYFUNCTION("""COMPUTED_VALUE"""),"Louisville")</f>
        <v>Louisville</v>
      </c>
      <c r="B173" s="1">
        <f ca="1">IFERROR(__xludf.DUMMYFUNCTION("""COMPUTED_VALUE"""),31)</f>
        <v>31</v>
      </c>
      <c r="C173" s="1">
        <f ca="1">IFERROR(__xludf.DUMMYFUNCTION("""COMPUTED_VALUE"""),23)</f>
        <v>23</v>
      </c>
      <c r="D173" s="1">
        <f ca="1">IFERROR(__xludf.DUMMYFUNCTION("""COMPUTED_VALUE"""),8)</f>
        <v>8</v>
      </c>
      <c r="E173" s="1">
        <f ca="1">IFERROR(__xludf.DUMMYFUNCTION("""COMPUTED_VALUE"""),0.742)</f>
        <v>0.74199999999999999</v>
      </c>
      <c r="F173" s="1">
        <f ca="1">IFERROR(__xludf.DUMMYFUNCTION("""COMPUTED_VALUE"""),21.57)</f>
        <v>21.57</v>
      </c>
      <c r="G173" s="1">
        <f ca="1">IFERROR(__xludf.DUMMYFUNCTION("""COMPUTED_VALUE"""),7.74)</f>
        <v>7.74</v>
      </c>
      <c r="H173" s="1">
        <f ca="1">IFERROR(__xludf.DUMMYFUNCTION("""COMPUTED_VALUE"""),12)</f>
        <v>12</v>
      </c>
      <c r="I173" s="1">
        <f ca="1">IFERROR(__xludf.DUMMYFUNCTION("""COMPUTED_VALUE"""),6)</f>
        <v>6</v>
      </c>
      <c r="J173" s="1">
        <f ca="1">IFERROR(__xludf.DUMMYFUNCTION("""COMPUTED_VALUE"""),18)</f>
        <v>18</v>
      </c>
      <c r="K173" s="1">
        <f ca="1">IFERROR(__xludf.DUMMYFUNCTION("""COMPUTED_VALUE"""),1)</f>
        <v>1</v>
      </c>
      <c r="L173" s="1">
        <f ca="1">IFERROR(__xludf.DUMMYFUNCTION("""COMPUTED_VALUE"""),4)</f>
        <v>4</v>
      </c>
      <c r="M173" s="1">
        <f ca="1">IFERROR(__xludf.DUMMYFUNCTION("""COMPUTED_VALUE"""),7)</f>
        <v>7</v>
      </c>
      <c r="N173" s="1">
        <f ca="1">IFERROR(__xludf.DUMMYFUNCTION("""COMPUTED_VALUE"""),2324)</f>
        <v>2324</v>
      </c>
      <c r="O173" s="1">
        <f ca="1">IFERROR(__xludf.DUMMYFUNCTION("""COMPUTED_VALUE"""),1895)</f>
        <v>1895</v>
      </c>
      <c r="P173" s="1">
        <f ca="1">IFERROR(__xludf.DUMMYFUNCTION("""COMPUTED_VALUE"""),1240)</f>
        <v>1240</v>
      </c>
      <c r="Q173" s="1">
        <f ca="1">IFERROR(__xludf.DUMMYFUNCTION("""COMPUTED_VALUE"""),866)</f>
        <v>866</v>
      </c>
      <c r="R173" s="1">
        <f ca="1">IFERROR(__xludf.DUMMYFUNCTION("""COMPUTED_VALUE"""),1847)</f>
        <v>1847</v>
      </c>
      <c r="S173" s="1">
        <f ca="1">IFERROR(__xludf.DUMMYFUNCTION("""COMPUTED_VALUE"""),0.469)</f>
        <v>0.46899999999999997</v>
      </c>
      <c r="T173" s="1">
        <f ca="1">IFERROR(__xludf.DUMMYFUNCTION("""COMPUTED_VALUE"""),186)</f>
        <v>186</v>
      </c>
      <c r="U173" s="1">
        <f ca="1">IFERROR(__xludf.DUMMYFUNCTION("""COMPUTED_VALUE"""),536)</f>
        <v>536</v>
      </c>
      <c r="V173" s="1">
        <f ca="1">IFERROR(__xludf.DUMMYFUNCTION("""COMPUTED_VALUE"""),0.347)</f>
        <v>0.34699999999999998</v>
      </c>
      <c r="W173" s="1">
        <f ca="1">IFERROR(__xludf.DUMMYFUNCTION("""COMPUTED_VALUE"""),406)</f>
        <v>406</v>
      </c>
      <c r="X173" s="1">
        <f ca="1">IFERROR(__xludf.DUMMYFUNCTION("""COMPUTED_VALUE"""),588)</f>
        <v>588</v>
      </c>
      <c r="Y173" s="1">
        <f ca="1">IFERROR(__xludf.DUMMYFUNCTION("""COMPUTED_VALUE"""),0.69)</f>
        <v>0.69</v>
      </c>
      <c r="Z173" s="1">
        <f ca="1">IFERROR(__xludf.DUMMYFUNCTION("""COMPUTED_VALUE"""),415)</f>
        <v>415</v>
      </c>
      <c r="AA173" s="1">
        <f ca="1">IFERROR(__xludf.DUMMYFUNCTION("""COMPUTED_VALUE"""),1183)</f>
        <v>1183</v>
      </c>
      <c r="AB173" s="1">
        <f ca="1">IFERROR(__xludf.DUMMYFUNCTION("""COMPUTED_VALUE"""),419)</f>
        <v>419</v>
      </c>
      <c r="AC173" s="1">
        <f ca="1">IFERROR(__xludf.DUMMYFUNCTION("""COMPUTED_VALUE"""),222)</f>
        <v>222</v>
      </c>
      <c r="AD173" s="1">
        <f ca="1">IFERROR(__xludf.DUMMYFUNCTION("""COMPUTED_VALUE"""),149)</f>
        <v>149</v>
      </c>
      <c r="AE173" s="1">
        <f ca="1">IFERROR(__xludf.DUMMYFUNCTION("""COMPUTED_VALUE"""),353)</f>
        <v>353</v>
      </c>
      <c r="AF173" s="1">
        <f ca="1">IFERROR(__xludf.DUMMYFUNCTION("""COMPUTED_VALUE"""),597)</f>
        <v>597</v>
      </c>
    </row>
    <row r="174" spans="1:32" ht="12.5" x14ac:dyDescent="0.25">
      <c r="A174" s="1" t="str">
        <f ca="1">IFERROR(__xludf.DUMMYFUNCTION("""COMPUTED_VALUE"""),"Loyola (IL)")</f>
        <v>Loyola (IL)</v>
      </c>
      <c r="B174" s="1">
        <f ca="1">IFERROR(__xludf.DUMMYFUNCTION("""COMPUTED_VALUE"""),32)</f>
        <v>32</v>
      </c>
      <c r="C174" s="1">
        <f ca="1">IFERROR(__xludf.DUMMYFUNCTION("""COMPUTED_VALUE"""),15)</f>
        <v>15</v>
      </c>
      <c r="D174" s="1">
        <f ca="1">IFERROR(__xludf.DUMMYFUNCTION("""COMPUTED_VALUE"""),17)</f>
        <v>17</v>
      </c>
      <c r="E174" s="1">
        <f ca="1">IFERROR(__xludf.DUMMYFUNCTION("""COMPUTED_VALUE"""),0.469)</f>
        <v>0.46899999999999997</v>
      </c>
      <c r="F174" s="1">
        <f ca="1">IFERROR(__xludf.DUMMYFUNCTION("""COMPUTED_VALUE"""),-0.7)</f>
        <v>-0.7</v>
      </c>
      <c r="G174" s="1">
        <f ca="1">IFERROR(__xludf.DUMMYFUNCTION("""COMPUTED_VALUE"""),1.11)</f>
        <v>1.1100000000000001</v>
      </c>
      <c r="H174" s="1">
        <f ca="1">IFERROR(__xludf.DUMMYFUNCTION("""COMPUTED_VALUE"""),7)</f>
        <v>7</v>
      </c>
      <c r="I174" s="1">
        <f ca="1">IFERROR(__xludf.DUMMYFUNCTION("""COMPUTED_VALUE"""),11)</f>
        <v>11</v>
      </c>
      <c r="J174" s="1">
        <f ca="1">IFERROR(__xludf.DUMMYFUNCTION("""COMPUTED_VALUE"""),9)</f>
        <v>9</v>
      </c>
      <c r="K174" s="1">
        <f ca="1">IFERROR(__xludf.DUMMYFUNCTION("""COMPUTED_VALUE"""),7)</f>
        <v>7</v>
      </c>
      <c r="L174" s="1">
        <f ca="1">IFERROR(__xludf.DUMMYFUNCTION("""COMPUTED_VALUE"""),4)</f>
        <v>4</v>
      </c>
      <c r="M174" s="1">
        <f ca="1">IFERROR(__xludf.DUMMYFUNCTION("""COMPUTED_VALUE"""),7)</f>
        <v>7</v>
      </c>
      <c r="N174" s="1">
        <f ca="1">IFERROR(__xludf.DUMMYFUNCTION("""COMPUTED_VALUE"""),2059)</f>
        <v>2059</v>
      </c>
      <c r="O174" s="1">
        <f ca="1">IFERROR(__xludf.DUMMYFUNCTION("""COMPUTED_VALUE"""),2082)</f>
        <v>2082</v>
      </c>
      <c r="P174" s="1">
        <f ca="1">IFERROR(__xludf.DUMMYFUNCTION("""COMPUTED_VALUE"""),1295)</f>
        <v>1295</v>
      </c>
      <c r="Q174" s="1">
        <f ca="1">IFERROR(__xludf.DUMMYFUNCTION("""COMPUTED_VALUE"""),722)</f>
        <v>722</v>
      </c>
      <c r="R174" s="1">
        <f ca="1">IFERROR(__xludf.DUMMYFUNCTION("""COMPUTED_VALUE"""),1700)</f>
        <v>1700</v>
      </c>
      <c r="S174" s="1">
        <f ca="1">IFERROR(__xludf.DUMMYFUNCTION("""COMPUTED_VALUE"""),0.425)</f>
        <v>0.42499999999999999</v>
      </c>
      <c r="T174" s="1">
        <f ca="1">IFERROR(__xludf.DUMMYFUNCTION("""COMPUTED_VALUE"""),196)</f>
        <v>196</v>
      </c>
      <c r="U174" s="1">
        <f ca="1">IFERROR(__xludf.DUMMYFUNCTION("""COMPUTED_VALUE"""),565)</f>
        <v>565</v>
      </c>
      <c r="V174" s="1">
        <f ca="1">IFERROR(__xludf.DUMMYFUNCTION("""COMPUTED_VALUE"""),0.347)</f>
        <v>0.34699999999999998</v>
      </c>
      <c r="W174" s="1">
        <f ca="1">IFERROR(__xludf.DUMMYFUNCTION("""COMPUTED_VALUE"""),413)</f>
        <v>413</v>
      </c>
      <c r="X174" s="1">
        <f ca="1">IFERROR(__xludf.DUMMYFUNCTION("""COMPUTED_VALUE"""),565)</f>
        <v>565</v>
      </c>
      <c r="Y174" s="1">
        <f ca="1">IFERROR(__xludf.DUMMYFUNCTION("""COMPUTED_VALUE"""),0.731)</f>
        <v>0.73099999999999998</v>
      </c>
      <c r="Z174" s="1">
        <f ca="1">IFERROR(__xludf.DUMMYFUNCTION("""COMPUTED_VALUE"""),246)</f>
        <v>246</v>
      </c>
      <c r="AA174" s="1">
        <f ca="1">IFERROR(__xludf.DUMMYFUNCTION("""COMPUTED_VALUE"""),977)</f>
        <v>977</v>
      </c>
      <c r="AB174" s="1">
        <f ca="1">IFERROR(__xludf.DUMMYFUNCTION("""COMPUTED_VALUE"""),370)</f>
        <v>370</v>
      </c>
      <c r="AC174" s="1">
        <f ca="1">IFERROR(__xludf.DUMMYFUNCTION("""COMPUTED_VALUE"""),189)</f>
        <v>189</v>
      </c>
      <c r="AD174" s="1">
        <f ca="1">IFERROR(__xludf.DUMMYFUNCTION("""COMPUTED_VALUE"""),90)</f>
        <v>90</v>
      </c>
      <c r="AE174" s="1">
        <f ca="1">IFERROR(__xludf.DUMMYFUNCTION("""COMPUTED_VALUE"""),405)</f>
        <v>405</v>
      </c>
      <c r="AF174" s="1">
        <f ca="1">IFERROR(__xludf.DUMMYFUNCTION("""COMPUTED_VALUE"""),584)</f>
        <v>584</v>
      </c>
    </row>
    <row r="175" spans="1:32" ht="12.5" x14ac:dyDescent="0.25">
      <c r="A175" s="1" t="str">
        <f ca="1">IFERROR(__xludf.DUMMYFUNCTION("""COMPUTED_VALUE"""),"Loyola Marymount")</f>
        <v>Loyola Marymount</v>
      </c>
      <c r="B175" s="1">
        <f ca="1">IFERROR(__xludf.DUMMYFUNCTION("""COMPUTED_VALUE"""),31)</f>
        <v>31</v>
      </c>
      <c r="C175" s="1">
        <f ca="1">IFERROR(__xludf.DUMMYFUNCTION("""COMPUTED_VALUE"""),14)</f>
        <v>14</v>
      </c>
      <c r="D175" s="1">
        <f ca="1">IFERROR(__xludf.DUMMYFUNCTION("""COMPUTED_VALUE"""),17)</f>
        <v>17</v>
      </c>
      <c r="E175" s="1">
        <f ca="1">IFERROR(__xludf.DUMMYFUNCTION("""COMPUTED_VALUE"""),0.452)</f>
        <v>0.45200000000000001</v>
      </c>
      <c r="F175" s="1">
        <f ca="1">IFERROR(__xludf.DUMMYFUNCTION("""COMPUTED_VALUE"""),-3.63)</f>
        <v>-3.63</v>
      </c>
      <c r="G175" s="1">
        <f ca="1">IFERROR(__xludf.DUMMYFUNCTION("""COMPUTED_VALUE"""),0.87)</f>
        <v>0.87</v>
      </c>
      <c r="H175" s="1">
        <f ca="1">IFERROR(__xludf.DUMMYFUNCTION("""COMPUTED_VALUE"""),6)</f>
        <v>6</v>
      </c>
      <c r="I175" s="1">
        <f ca="1">IFERROR(__xludf.DUMMYFUNCTION("""COMPUTED_VALUE"""),12)</f>
        <v>12</v>
      </c>
      <c r="J175" s="1">
        <f ca="1">IFERROR(__xludf.DUMMYFUNCTION("""COMPUTED_VALUE"""),8)</f>
        <v>8</v>
      </c>
      <c r="K175" s="1">
        <f ca="1">IFERROR(__xludf.DUMMYFUNCTION("""COMPUTED_VALUE"""),6)</f>
        <v>6</v>
      </c>
      <c r="L175" s="1">
        <f ca="1">IFERROR(__xludf.DUMMYFUNCTION("""COMPUTED_VALUE"""),5)</f>
        <v>5</v>
      </c>
      <c r="M175" s="1">
        <f ca="1">IFERROR(__xludf.DUMMYFUNCTION("""COMPUTED_VALUE"""),10)</f>
        <v>10</v>
      </c>
      <c r="N175" s="1">
        <f ca="1">IFERROR(__xludf.DUMMYFUNCTION("""COMPUTED_VALUE"""),2208)</f>
        <v>2208</v>
      </c>
      <c r="O175" s="1">
        <f ca="1">IFERROR(__xludf.DUMMYFUNCTION("""COMPUTED_VALUE"""),2319)</f>
        <v>2319</v>
      </c>
      <c r="P175" s="1">
        <f ca="1">IFERROR(__xludf.DUMMYFUNCTION("""COMPUTED_VALUE"""),1265)</f>
        <v>1265</v>
      </c>
      <c r="Q175" s="1">
        <f ca="1">IFERROR(__xludf.DUMMYFUNCTION("""COMPUTED_VALUE"""),796)</f>
        <v>796</v>
      </c>
      <c r="R175" s="1">
        <f ca="1">IFERROR(__xludf.DUMMYFUNCTION("""COMPUTED_VALUE"""),1903)</f>
        <v>1903</v>
      </c>
      <c r="S175" s="1">
        <f ca="1">IFERROR(__xludf.DUMMYFUNCTION("""COMPUTED_VALUE"""),0.418)</f>
        <v>0.41799999999999998</v>
      </c>
      <c r="T175" s="1">
        <f ca="1">IFERROR(__xludf.DUMMYFUNCTION("""COMPUTED_VALUE"""),227)</f>
        <v>227</v>
      </c>
      <c r="U175" s="1">
        <f ca="1">IFERROR(__xludf.DUMMYFUNCTION("""COMPUTED_VALUE"""),669)</f>
        <v>669</v>
      </c>
      <c r="V175" s="1">
        <f ca="1">IFERROR(__xludf.DUMMYFUNCTION("""COMPUTED_VALUE"""),0.339)</f>
        <v>0.33900000000000002</v>
      </c>
      <c r="W175" s="1">
        <f ca="1">IFERROR(__xludf.DUMMYFUNCTION("""COMPUTED_VALUE"""),389)</f>
        <v>389</v>
      </c>
      <c r="X175" s="1">
        <f ca="1">IFERROR(__xludf.DUMMYFUNCTION("""COMPUTED_VALUE"""),536)</f>
        <v>536</v>
      </c>
      <c r="Y175" s="1">
        <f ca="1">IFERROR(__xludf.DUMMYFUNCTION("""COMPUTED_VALUE"""),0.726)</f>
        <v>0.72599999999999998</v>
      </c>
      <c r="Z175" s="1">
        <f ca="1">IFERROR(__xludf.DUMMYFUNCTION("""COMPUTED_VALUE"""),349)</f>
        <v>349</v>
      </c>
      <c r="AA175" s="1">
        <f ca="1">IFERROR(__xludf.DUMMYFUNCTION("""COMPUTED_VALUE"""),1047)</f>
        <v>1047</v>
      </c>
      <c r="AB175" s="1">
        <f ca="1">IFERROR(__xludf.DUMMYFUNCTION("""COMPUTED_VALUE"""),482)</f>
        <v>482</v>
      </c>
      <c r="AC175" s="1">
        <f ca="1">IFERROR(__xludf.DUMMYFUNCTION("""COMPUTED_VALUE"""),211)</f>
        <v>211</v>
      </c>
      <c r="AD175" s="1">
        <f ca="1">IFERROR(__xludf.DUMMYFUNCTION("""COMPUTED_VALUE"""),90)</f>
        <v>90</v>
      </c>
      <c r="AE175" s="1">
        <f ca="1">IFERROR(__xludf.DUMMYFUNCTION("""COMPUTED_VALUE"""),352)</f>
        <v>352</v>
      </c>
      <c r="AF175" s="1">
        <f ca="1">IFERROR(__xludf.DUMMYFUNCTION("""COMPUTED_VALUE"""),631)</f>
        <v>631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IFERROR(__xludf.DUMMYFUNCTION("""COMPUTED_VALUE"""),"Loyola (MD)")</f>
        <v>Loyola (MD)</v>
      </c>
      <c r="B178" s="1">
        <f ca="1">IFERROR(__xludf.DUMMYFUNCTION("""COMPUTED_VALUE"""),30)</f>
        <v>30</v>
      </c>
      <c r="C178" s="1">
        <f ca="1">IFERROR(__xludf.DUMMYFUNCTION("""COMPUTED_VALUE"""),9)</f>
        <v>9</v>
      </c>
      <c r="D178" s="1">
        <f ca="1">IFERROR(__xludf.DUMMYFUNCTION("""COMPUTED_VALUE"""),21)</f>
        <v>21</v>
      </c>
      <c r="E178" s="1">
        <f ca="1">IFERROR(__xludf.DUMMYFUNCTION("""COMPUTED_VALUE"""),0.3)</f>
        <v>0.3</v>
      </c>
      <c r="F178" s="1">
        <f ca="1">IFERROR(__xludf.DUMMYFUNCTION("""COMPUTED_VALUE"""),-10.9)</f>
        <v>-10.9</v>
      </c>
      <c r="G178" s="1">
        <f ca="1">IFERROR(__xludf.DUMMYFUNCTION("""COMPUTED_VALUE"""),-5.24)</f>
        <v>-5.24</v>
      </c>
      <c r="H178" s="1">
        <f ca="1">IFERROR(__xludf.DUMMYFUNCTION("""COMPUTED_VALUE"""),8)</f>
        <v>8</v>
      </c>
      <c r="I178" s="1">
        <f ca="1">IFERROR(__xludf.DUMMYFUNCTION("""COMPUTED_VALUE"""),10)</f>
        <v>10</v>
      </c>
      <c r="J178" s="1">
        <f ca="1">IFERROR(__xludf.DUMMYFUNCTION("""COMPUTED_VALUE"""),5)</f>
        <v>5</v>
      </c>
      <c r="K178" s="1">
        <f ca="1">IFERROR(__xludf.DUMMYFUNCTION("""COMPUTED_VALUE"""),9)</f>
        <v>9</v>
      </c>
      <c r="L178" s="1">
        <f ca="1">IFERROR(__xludf.DUMMYFUNCTION("""COMPUTED_VALUE"""),4)</f>
        <v>4</v>
      </c>
      <c r="M178" s="1">
        <f ca="1">IFERROR(__xludf.DUMMYFUNCTION("""COMPUTED_VALUE"""),12)</f>
        <v>12</v>
      </c>
      <c r="N178" s="1">
        <f ca="1">IFERROR(__xludf.DUMMYFUNCTION("""COMPUTED_VALUE"""),2090)</f>
        <v>2090</v>
      </c>
      <c r="O178" s="1">
        <f ca="1">IFERROR(__xludf.DUMMYFUNCTION("""COMPUTED_VALUE"""),2260)</f>
        <v>2260</v>
      </c>
      <c r="P178" s="1">
        <f ca="1">IFERROR(__xludf.DUMMYFUNCTION("""COMPUTED_VALUE"""),1230)</f>
        <v>1230</v>
      </c>
      <c r="Q178" s="1">
        <f ca="1">IFERROR(__xludf.DUMMYFUNCTION("""COMPUTED_VALUE"""),732)</f>
        <v>732</v>
      </c>
      <c r="R178" s="1">
        <f ca="1">IFERROR(__xludf.DUMMYFUNCTION("""COMPUTED_VALUE"""),1702)</f>
        <v>1702</v>
      </c>
      <c r="S178" s="1">
        <f ca="1">IFERROR(__xludf.DUMMYFUNCTION("""COMPUTED_VALUE"""),0.43)</f>
        <v>0.43</v>
      </c>
      <c r="T178" s="1">
        <f ca="1">IFERROR(__xludf.DUMMYFUNCTION("""COMPUTED_VALUE"""),161)</f>
        <v>161</v>
      </c>
      <c r="U178" s="1">
        <f ca="1">IFERROR(__xludf.DUMMYFUNCTION("""COMPUTED_VALUE"""),530)</f>
        <v>530</v>
      </c>
      <c r="V178" s="1">
        <f ca="1">IFERROR(__xludf.DUMMYFUNCTION("""COMPUTED_VALUE"""),0.304)</f>
        <v>0.30399999999999999</v>
      </c>
      <c r="W178" s="1">
        <f ca="1">IFERROR(__xludf.DUMMYFUNCTION("""COMPUTED_VALUE"""),465)</f>
        <v>465</v>
      </c>
      <c r="X178" s="1">
        <f ca="1">IFERROR(__xludf.DUMMYFUNCTION("""COMPUTED_VALUE"""),653)</f>
        <v>653</v>
      </c>
      <c r="Y178" s="1">
        <f ca="1">IFERROR(__xludf.DUMMYFUNCTION("""COMPUTED_VALUE"""),0.712)</f>
        <v>0.71199999999999997</v>
      </c>
      <c r="Z178" s="1">
        <f ca="1">IFERROR(__xludf.DUMMYFUNCTION("""COMPUTED_VALUE"""),334)</f>
        <v>334</v>
      </c>
      <c r="AA178" s="1">
        <f ca="1">IFERROR(__xludf.DUMMYFUNCTION("""COMPUTED_VALUE"""),1054)</f>
        <v>1054</v>
      </c>
      <c r="AB178" s="1">
        <f ca="1">IFERROR(__xludf.DUMMYFUNCTION("""COMPUTED_VALUE"""),338)</f>
        <v>338</v>
      </c>
      <c r="AC178" s="1">
        <f ca="1">IFERROR(__xludf.DUMMYFUNCTION("""COMPUTED_VALUE"""),162)</f>
        <v>162</v>
      </c>
      <c r="AD178" s="1">
        <f ca="1">IFERROR(__xludf.DUMMYFUNCTION("""COMPUTED_VALUE"""),102)</f>
        <v>102</v>
      </c>
      <c r="AE178" s="1">
        <f ca="1">IFERROR(__xludf.DUMMYFUNCTION("""COMPUTED_VALUE"""),392)</f>
        <v>392</v>
      </c>
      <c r="AF178" s="1">
        <f ca="1">IFERROR(__xludf.DUMMYFUNCTION("""COMPUTED_VALUE"""),648)</f>
        <v>648</v>
      </c>
    </row>
    <row r="179" spans="1:32" ht="12.5" x14ac:dyDescent="0.25">
      <c r="A179" s="1" t="str">
        <f ca="1">IFERROR(__xludf.DUMMYFUNCTION("""COMPUTED_VALUE"""),"Maine")</f>
        <v>Maine</v>
      </c>
      <c r="B179" s="1">
        <f ca="1">IFERROR(__xludf.DUMMYFUNCTION("""COMPUTED_VALUE"""),30)</f>
        <v>30</v>
      </c>
      <c r="C179" s="1">
        <f ca="1">IFERROR(__xludf.DUMMYFUNCTION("""COMPUTED_VALUE"""),8)</f>
        <v>8</v>
      </c>
      <c r="D179" s="1">
        <f ca="1">IFERROR(__xludf.DUMMYFUNCTION("""COMPUTED_VALUE"""),22)</f>
        <v>22</v>
      </c>
      <c r="E179" s="1">
        <f ca="1">IFERROR(__xludf.DUMMYFUNCTION("""COMPUTED_VALUE"""),0.267)</f>
        <v>0.26700000000000002</v>
      </c>
      <c r="F179" s="1">
        <f ca="1">IFERROR(__xludf.DUMMYFUNCTION("""COMPUTED_VALUE"""),-17.39)</f>
        <v>-17.39</v>
      </c>
      <c r="G179" s="1">
        <f ca="1">IFERROR(__xludf.DUMMYFUNCTION("""COMPUTED_VALUE"""),-6.49)</f>
        <v>-6.49</v>
      </c>
      <c r="H179" s="1">
        <f ca="1">IFERROR(__xludf.DUMMYFUNCTION("""COMPUTED_VALUE"""),4)</f>
        <v>4</v>
      </c>
      <c r="I179" s="1">
        <f ca="1">IFERROR(__xludf.DUMMYFUNCTION("""COMPUTED_VALUE"""),12)</f>
        <v>12</v>
      </c>
      <c r="J179" s="1">
        <f ca="1">IFERROR(__xludf.DUMMYFUNCTION("""COMPUTED_VALUE"""),5)</f>
        <v>5</v>
      </c>
      <c r="K179" s="1">
        <f ca="1">IFERROR(__xludf.DUMMYFUNCTION("""COMPUTED_VALUE"""),8)</f>
        <v>8</v>
      </c>
      <c r="L179" s="1">
        <f ca="1">IFERROR(__xludf.DUMMYFUNCTION("""COMPUTED_VALUE"""),3)</f>
        <v>3</v>
      </c>
      <c r="M179" s="1">
        <f ca="1">IFERROR(__xludf.DUMMYFUNCTION("""COMPUTED_VALUE"""),14)</f>
        <v>14</v>
      </c>
      <c r="N179" s="1">
        <f ca="1">IFERROR(__xludf.DUMMYFUNCTION("""COMPUTED_VALUE"""),2279)</f>
        <v>2279</v>
      </c>
      <c r="O179" s="1">
        <f ca="1">IFERROR(__xludf.DUMMYFUNCTION("""COMPUTED_VALUE"""),2606)</f>
        <v>2606</v>
      </c>
      <c r="P179" s="1">
        <f ca="1">IFERROR(__xludf.DUMMYFUNCTION("""COMPUTED_VALUE"""),1215)</f>
        <v>1215</v>
      </c>
      <c r="Q179" s="1">
        <f ca="1">IFERROR(__xludf.DUMMYFUNCTION("""COMPUTED_VALUE"""),825)</f>
        <v>825</v>
      </c>
      <c r="R179" s="1">
        <f ca="1">IFERROR(__xludf.DUMMYFUNCTION("""COMPUTED_VALUE"""),1909)</f>
        <v>1909</v>
      </c>
      <c r="S179" s="1">
        <f ca="1">IFERROR(__xludf.DUMMYFUNCTION("""COMPUTED_VALUE"""),0.432)</f>
        <v>0.432</v>
      </c>
      <c r="T179" s="1">
        <f ca="1">IFERROR(__xludf.DUMMYFUNCTION("""COMPUTED_VALUE"""),228)</f>
        <v>228</v>
      </c>
      <c r="U179" s="1">
        <f ca="1">IFERROR(__xludf.DUMMYFUNCTION("""COMPUTED_VALUE"""),673)</f>
        <v>673</v>
      </c>
      <c r="V179" s="1">
        <f ca="1">IFERROR(__xludf.DUMMYFUNCTION("""COMPUTED_VALUE"""),0.339)</f>
        <v>0.33900000000000002</v>
      </c>
      <c r="W179" s="1">
        <f ca="1">IFERROR(__xludf.DUMMYFUNCTION("""COMPUTED_VALUE"""),401)</f>
        <v>401</v>
      </c>
      <c r="X179" s="1">
        <f ca="1">IFERROR(__xludf.DUMMYFUNCTION("""COMPUTED_VALUE"""),611)</f>
        <v>611</v>
      </c>
      <c r="Y179" s="1">
        <f ca="1">IFERROR(__xludf.DUMMYFUNCTION("""COMPUTED_VALUE"""),0.656)</f>
        <v>0.65600000000000003</v>
      </c>
      <c r="Z179" s="1">
        <f ca="1">IFERROR(__xludf.DUMMYFUNCTION("""COMPUTED_VALUE"""),337)</f>
        <v>337</v>
      </c>
      <c r="AA179" s="1">
        <f ca="1">IFERROR(__xludf.DUMMYFUNCTION("""COMPUTED_VALUE"""),1055)</f>
        <v>1055</v>
      </c>
      <c r="AB179" s="1">
        <f ca="1">IFERROR(__xludf.DUMMYFUNCTION("""COMPUTED_VALUE"""),433)</f>
        <v>433</v>
      </c>
      <c r="AC179" s="1">
        <f ca="1">IFERROR(__xludf.DUMMYFUNCTION("""COMPUTED_VALUE"""),249)</f>
        <v>249</v>
      </c>
      <c r="AD179" s="1">
        <f ca="1">IFERROR(__xludf.DUMMYFUNCTION("""COMPUTED_VALUE"""),90)</f>
        <v>90</v>
      </c>
      <c r="AE179" s="1">
        <f ca="1">IFERROR(__xludf.DUMMYFUNCTION("""COMPUTED_VALUE"""),491)</f>
        <v>491</v>
      </c>
      <c r="AF179" s="1">
        <f ca="1">IFERROR(__xludf.DUMMYFUNCTION("""COMPUTED_VALUE"""),638)</f>
        <v>638</v>
      </c>
    </row>
    <row r="180" spans="1:32" ht="12.5" x14ac:dyDescent="0.25">
      <c r="A180" s="1" t="str">
        <f ca="1">IFERROR(__xludf.DUMMYFUNCTION("""COMPUTED_VALUE"""),"Manhattan")</f>
        <v>Manhattan</v>
      </c>
      <c r="B180" s="1">
        <f ca="1">IFERROR(__xludf.DUMMYFUNCTION("""COMPUTED_VALUE"""),31)</f>
        <v>31</v>
      </c>
      <c r="C180" s="1">
        <f ca="1">IFERROR(__xludf.DUMMYFUNCTION("""COMPUTED_VALUE"""),13)</f>
        <v>13</v>
      </c>
      <c r="D180" s="1">
        <f ca="1">IFERROR(__xludf.DUMMYFUNCTION("""COMPUTED_VALUE"""),18)</f>
        <v>18</v>
      </c>
      <c r="E180" s="1">
        <f ca="1">IFERROR(__xludf.DUMMYFUNCTION("""COMPUTED_VALUE"""),0.419)</f>
        <v>0.41899999999999998</v>
      </c>
      <c r="F180" s="1">
        <f ca="1">IFERROR(__xludf.DUMMYFUNCTION("""COMPUTED_VALUE"""),-7.48)</f>
        <v>-7.48</v>
      </c>
      <c r="G180" s="1">
        <f ca="1">IFERROR(__xludf.DUMMYFUNCTION("""COMPUTED_VALUE"""),-3.12)</f>
        <v>-3.12</v>
      </c>
      <c r="H180" s="1">
        <f ca="1">IFERROR(__xludf.DUMMYFUNCTION("""COMPUTED_VALUE"""),9)</f>
        <v>9</v>
      </c>
      <c r="I180" s="1">
        <f ca="1">IFERROR(__xludf.DUMMYFUNCTION("""COMPUTED_VALUE"""),11)</f>
        <v>11</v>
      </c>
      <c r="J180" s="1">
        <f ca="1">IFERROR(__xludf.DUMMYFUNCTION("""COMPUTED_VALUE"""),8)</f>
        <v>8</v>
      </c>
      <c r="K180" s="1">
        <f ca="1">IFERROR(__xludf.DUMMYFUNCTION("""COMPUTED_VALUE"""),6)</f>
        <v>6</v>
      </c>
      <c r="L180" s="1">
        <f ca="1">IFERROR(__xludf.DUMMYFUNCTION("""COMPUTED_VALUE"""),4)</f>
        <v>4</v>
      </c>
      <c r="M180" s="1">
        <f ca="1">IFERROR(__xludf.DUMMYFUNCTION("""COMPUTED_VALUE"""),11)</f>
        <v>11</v>
      </c>
      <c r="N180" s="1">
        <f ca="1">IFERROR(__xludf.DUMMYFUNCTION("""COMPUTED_VALUE"""),2133)</f>
        <v>2133</v>
      </c>
      <c r="O180" s="1">
        <f ca="1">IFERROR(__xludf.DUMMYFUNCTION("""COMPUTED_VALUE"""),2268)</f>
        <v>2268</v>
      </c>
      <c r="P180" s="1">
        <f ca="1">IFERROR(__xludf.DUMMYFUNCTION("""COMPUTED_VALUE"""),1255)</f>
        <v>1255</v>
      </c>
      <c r="Q180" s="1">
        <f ca="1">IFERROR(__xludf.DUMMYFUNCTION("""COMPUTED_VALUE"""),708)</f>
        <v>708</v>
      </c>
      <c r="R180" s="1">
        <f ca="1">IFERROR(__xludf.DUMMYFUNCTION("""COMPUTED_VALUE"""),1644)</f>
        <v>1644</v>
      </c>
      <c r="S180" s="1">
        <f ca="1">IFERROR(__xludf.DUMMYFUNCTION("""COMPUTED_VALUE"""),0.431)</f>
        <v>0.43099999999999999</v>
      </c>
      <c r="T180" s="1">
        <f ca="1">IFERROR(__xludf.DUMMYFUNCTION("""COMPUTED_VALUE"""),232)</f>
        <v>232</v>
      </c>
      <c r="U180" s="1">
        <f ca="1">IFERROR(__xludf.DUMMYFUNCTION("""COMPUTED_VALUE"""),643)</f>
        <v>643</v>
      </c>
      <c r="V180" s="1">
        <f ca="1">IFERROR(__xludf.DUMMYFUNCTION("""COMPUTED_VALUE"""),0.361)</f>
        <v>0.36099999999999999</v>
      </c>
      <c r="W180" s="1">
        <f ca="1">IFERROR(__xludf.DUMMYFUNCTION("""COMPUTED_VALUE"""),485)</f>
        <v>485</v>
      </c>
      <c r="X180" s="1">
        <f ca="1">IFERROR(__xludf.DUMMYFUNCTION("""COMPUTED_VALUE"""),655)</f>
        <v>655</v>
      </c>
      <c r="Y180" s="1">
        <f ca="1">IFERROR(__xludf.DUMMYFUNCTION("""COMPUTED_VALUE"""),0.74)</f>
        <v>0.74</v>
      </c>
      <c r="Z180" s="1">
        <f ca="1">IFERROR(__xludf.DUMMYFUNCTION("""COMPUTED_VALUE"""),242)</f>
        <v>242</v>
      </c>
      <c r="AA180" s="1">
        <f ca="1">IFERROR(__xludf.DUMMYFUNCTION("""COMPUTED_VALUE"""),916)</f>
        <v>916</v>
      </c>
      <c r="AB180" s="1">
        <f ca="1">IFERROR(__xludf.DUMMYFUNCTION("""COMPUTED_VALUE"""),436)</f>
        <v>436</v>
      </c>
      <c r="AC180" s="1">
        <f ca="1">IFERROR(__xludf.DUMMYFUNCTION("""COMPUTED_VALUE"""),238)</f>
        <v>238</v>
      </c>
      <c r="AD180" s="1">
        <f ca="1">IFERROR(__xludf.DUMMYFUNCTION("""COMPUTED_VALUE"""),71)</f>
        <v>71</v>
      </c>
      <c r="AE180" s="1">
        <f ca="1">IFERROR(__xludf.DUMMYFUNCTION("""COMPUTED_VALUE"""),442)</f>
        <v>442</v>
      </c>
      <c r="AF180" s="1">
        <f ca="1">IFERROR(__xludf.DUMMYFUNCTION("""COMPUTED_VALUE"""),672)</f>
        <v>672</v>
      </c>
    </row>
    <row r="181" spans="1:32" ht="12.5" x14ac:dyDescent="0.25">
      <c r="A181" s="1" t="str">
        <f ca="1">IFERROR(__xludf.DUMMYFUNCTION("""COMPUTED_VALUE"""),"Marist")</f>
        <v>Marist</v>
      </c>
      <c r="B181" s="1">
        <f ca="1">IFERROR(__xludf.DUMMYFUNCTION("""COMPUTED_VALUE"""),30)</f>
        <v>30</v>
      </c>
      <c r="C181" s="1">
        <f ca="1">IFERROR(__xludf.DUMMYFUNCTION("""COMPUTED_VALUE"""),7)</f>
        <v>7</v>
      </c>
      <c r="D181" s="1">
        <f ca="1">IFERROR(__xludf.DUMMYFUNCTION("""COMPUTED_VALUE"""),23)</f>
        <v>23</v>
      </c>
      <c r="E181" s="1">
        <f ca="1">IFERROR(__xludf.DUMMYFUNCTION("""COMPUTED_VALUE"""),0.233)</f>
        <v>0.23300000000000001</v>
      </c>
      <c r="F181" s="1">
        <f ca="1">IFERROR(__xludf.DUMMYFUNCTION("""COMPUTED_VALUE"""),-11.69)</f>
        <v>-11.69</v>
      </c>
      <c r="G181" s="1">
        <f ca="1">IFERROR(__xludf.DUMMYFUNCTION("""COMPUTED_VALUE"""),-4.52)</f>
        <v>-4.5199999999999996</v>
      </c>
      <c r="H181" s="1">
        <f ca="1">IFERROR(__xludf.DUMMYFUNCTION("""COMPUTED_VALUE"""),4)</f>
        <v>4</v>
      </c>
      <c r="I181" s="1">
        <f ca="1">IFERROR(__xludf.DUMMYFUNCTION("""COMPUTED_VALUE"""),16)</f>
        <v>16</v>
      </c>
      <c r="J181" s="1">
        <f ca="1">IFERROR(__xludf.DUMMYFUNCTION("""COMPUTED_VALUE"""),4)</f>
        <v>4</v>
      </c>
      <c r="K181" s="1">
        <f ca="1">IFERROR(__xludf.DUMMYFUNCTION("""COMPUTED_VALUE"""),10)</f>
        <v>10</v>
      </c>
      <c r="L181" s="1">
        <f ca="1">IFERROR(__xludf.DUMMYFUNCTION("""COMPUTED_VALUE"""),2)</f>
        <v>2</v>
      </c>
      <c r="M181" s="1">
        <f ca="1">IFERROR(__xludf.DUMMYFUNCTION("""COMPUTED_VALUE"""),12)</f>
        <v>12</v>
      </c>
      <c r="N181" s="1">
        <f ca="1">IFERROR(__xludf.DUMMYFUNCTION("""COMPUTED_VALUE"""),2145)</f>
        <v>2145</v>
      </c>
      <c r="O181" s="1">
        <f ca="1">IFERROR(__xludf.DUMMYFUNCTION("""COMPUTED_VALUE"""),2360)</f>
        <v>2360</v>
      </c>
      <c r="P181" s="1">
        <f ca="1">IFERROR(__xludf.DUMMYFUNCTION("""COMPUTED_VALUE"""),1220)</f>
        <v>1220</v>
      </c>
      <c r="Q181" s="1">
        <f ca="1">IFERROR(__xludf.DUMMYFUNCTION("""COMPUTED_VALUE"""),723)</f>
        <v>723</v>
      </c>
      <c r="R181" s="1">
        <f ca="1">IFERROR(__xludf.DUMMYFUNCTION("""COMPUTED_VALUE"""),1713)</f>
        <v>1713</v>
      </c>
      <c r="S181" s="1">
        <f ca="1">IFERROR(__xludf.DUMMYFUNCTION("""COMPUTED_VALUE"""),0.422)</f>
        <v>0.42199999999999999</v>
      </c>
      <c r="T181" s="1">
        <f ca="1">IFERROR(__xludf.DUMMYFUNCTION("""COMPUTED_VALUE"""),248)</f>
        <v>248</v>
      </c>
      <c r="U181" s="1">
        <f ca="1">IFERROR(__xludf.DUMMYFUNCTION("""COMPUTED_VALUE"""),726)</f>
        <v>726</v>
      </c>
      <c r="V181" s="1">
        <f ca="1">IFERROR(__xludf.DUMMYFUNCTION("""COMPUTED_VALUE"""),0.342)</f>
        <v>0.34200000000000003</v>
      </c>
      <c r="W181" s="1">
        <f ca="1">IFERROR(__xludf.DUMMYFUNCTION("""COMPUTED_VALUE"""),451)</f>
        <v>451</v>
      </c>
      <c r="X181" s="1">
        <f ca="1">IFERROR(__xludf.DUMMYFUNCTION("""COMPUTED_VALUE"""),615)</f>
        <v>615</v>
      </c>
      <c r="Y181" s="1">
        <f ca="1">IFERROR(__xludf.DUMMYFUNCTION("""COMPUTED_VALUE"""),0.733)</f>
        <v>0.73299999999999998</v>
      </c>
      <c r="Z181" s="1">
        <f ca="1">IFERROR(__xludf.DUMMYFUNCTION("""COMPUTED_VALUE"""),261)</f>
        <v>261</v>
      </c>
      <c r="AA181" s="1">
        <f ca="1">IFERROR(__xludf.DUMMYFUNCTION("""COMPUTED_VALUE"""),975)</f>
        <v>975</v>
      </c>
      <c r="AB181" s="1">
        <f ca="1">IFERROR(__xludf.DUMMYFUNCTION("""COMPUTED_VALUE"""),350)</f>
        <v>350</v>
      </c>
      <c r="AC181" s="1">
        <f ca="1">IFERROR(__xludf.DUMMYFUNCTION("""COMPUTED_VALUE"""),138)</f>
        <v>138</v>
      </c>
      <c r="AD181" s="1">
        <f ca="1">IFERROR(__xludf.DUMMYFUNCTION("""COMPUTED_VALUE"""),81)</f>
        <v>81</v>
      </c>
      <c r="AE181" s="1">
        <f ca="1">IFERROR(__xludf.DUMMYFUNCTION("""COMPUTED_VALUE"""),364)</f>
        <v>364</v>
      </c>
      <c r="AF181" s="1">
        <f ca="1">IFERROR(__xludf.DUMMYFUNCTION("""COMPUTED_VALUE"""),587)</f>
        <v>587</v>
      </c>
    </row>
    <row r="182" spans="1:32" ht="12.5" x14ac:dyDescent="0.25">
      <c r="A182" s="1" t="str">
        <f ca="1">IFERROR(__xludf.DUMMYFUNCTION("""COMPUTED_VALUE"""),"Marquette")</f>
        <v>Marquette</v>
      </c>
      <c r="B182" s="1">
        <f ca="1">IFERROR(__xludf.DUMMYFUNCTION("""COMPUTED_VALUE"""),33)</f>
        <v>33</v>
      </c>
      <c r="C182" s="1">
        <f ca="1">IFERROR(__xludf.DUMMYFUNCTION("""COMPUTED_VALUE"""),20)</f>
        <v>20</v>
      </c>
      <c r="D182" s="1">
        <f ca="1">IFERROR(__xludf.DUMMYFUNCTION("""COMPUTED_VALUE"""),13)</f>
        <v>13</v>
      </c>
      <c r="E182" s="1">
        <f ca="1">IFERROR(__xludf.DUMMYFUNCTION("""COMPUTED_VALUE"""),0.606)</f>
        <v>0.60599999999999998</v>
      </c>
      <c r="F182" s="1">
        <f ca="1">IFERROR(__xludf.DUMMYFUNCTION("""COMPUTED_VALUE"""),7.66)</f>
        <v>7.66</v>
      </c>
      <c r="G182" s="1">
        <f ca="1">IFERROR(__xludf.DUMMYFUNCTION("""COMPUTED_VALUE"""),5.57)</f>
        <v>5.57</v>
      </c>
      <c r="H182" s="1">
        <f ca="1">IFERROR(__xludf.DUMMYFUNCTION("""COMPUTED_VALUE"""),8)</f>
        <v>8</v>
      </c>
      <c r="I182" s="1">
        <f ca="1">IFERROR(__xludf.DUMMYFUNCTION("""COMPUTED_VALUE"""),10)</f>
        <v>10</v>
      </c>
      <c r="J182" s="1">
        <f ca="1">IFERROR(__xludf.DUMMYFUNCTION("""COMPUTED_VALUE"""),12)</f>
        <v>12</v>
      </c>
      <c r="K182" s="1">
        <f ca="1">IFERROR(__xludf.DUMMYFUNCTION("""COMPUTED_VALUE"""),7)</f>
        <v>7</v>
      </c>
      <c r="L182" s="1">
        <f ca="1">IFERROR(__xludf.DUMMYFUNCTION("""COMPUTED_VALUE"""),5)</f>
        <v>5</v>
      </c>
      <c r="M182" s="1">
        <f ca="1">IFERROR(__xludf.DUMMYFUNCTION("""COMPUTED_VALUE"""),5)</f>
        <v>5</v>
      </c>
      <c r="N182" s="1">
        <f ca="1">IFERROR(__xludf.DUMMYFUNCTION("""COMPUTED_VALUE"""),2517)</f>
        <v>2517</v>
      </c>
      <c r="O182" s="1">
        <f ca="1">IFERROR(__xludf.DUMMYFUNCTION("""COMPUTED_VALUE"""),2448)</f>
        <v>2448</v>
      </c>
      <c r="P182" s="1">
        <f ca="1">IFERROR(__xludf.DUMMYFUNCTION("""COMPUTED_VALUE"""),1340)</f>
        <v>1340</v>
      </c>
      <c r="Q182" s="1">
        <f ca="1">IFERROR(__xludf.DUMMYFUNCTION("""COMPUTED_VALUE"""),884)</f>
        <v>884</v>
      </c>
      <c r="R182" s="1">
        <f ca="1">IFERROR(__xludf.DUMMYFUNCTION("""COMPUTED_VALUE"""),1888)</f>
        <v>1888</v>
      </c>
      <c r="S182" s="1">
        <f ca="1">IFERROR(__xludf.DUMMYFUNCTION("""COMPUTED_VALUE"""),0.468)</f>
        <v>0.46800000000000003</v>
      </c>
      <c r="T182" s="1">
        <f ca="1">IFERROR(__xludf.DUMMYFUNCTION("""COMPUTED_VALUE"""),194)</f>
        <v>194</v>
      </c>
      <c r="U182" s="1">
        <f ca="1">IFERROR(__xludf.DUMMYFUNCTION("""COMPUTED_VALUE"""),572)</f>
        <v>572</v>
      </c>
      <c r="V182" s="1">
        <f ca="1">IFERROR(__xludf.DUMMYFUNCTION("""COMPUTED_VALUE"""),0.339)</f>
        <v>0.33900000000000002</v>
      </c>
      <c r="W182" s="1">
        <f ca="1">IFERROR(__xludf.DUMMYFUNCTION("""COMPUTED_VALUE"""),555)</f>
        <v>555</v>
      </c>
      <c r="X182" s="1">
        <f ca="1">IFERROR(__xludf.DUMMYFUNCTION("""COMPUTED_VALUE"""),764)</f>
        <v>764</v>
      </c>
      <c r="Y182" s="1">
        <f ca="1">IFERROR(__xludf.DUMMYFUNCTION("""COMPUTED_VALUE"""),0.726)</f>
        <v>0.72599999999999998</v>
      </c>
      <c r="Z182" s="1">
        <f ca="1">IFERROR(__xludf.DUMMYFUNCTION("""COMPUTED_VALUE"""),311)</f>
        <v>311</v>
      </c>
      <c r="AA182" s="1">
        <f ca="1">IFERROR(__xludf.DUMMYFUNCTION("""COMPUTED_VALUE"""),1179)</f>
        <v>1179</v>
      </c>
      <c r="AB182" s="1">
        <f ca="1">IFERROR(__xludf.DUMMYFUNCTION("""COMPUTED_VALUE"""),533)</f>
        <v>533</v>
      </c>
      <c r="AC182" s="1">
        <f ca="1">IFERROR(__xludf.DUMMYFUNCTION("""COMPUTED_VALUE"""),258)</f>
        <v>258</v>
      </c>
      <c r="AD182" s="1">
        <f ca="1">IFERROR(__xludf.DUMMYFUNCTION("""COMPUTED_VALUE"""),137)</f>
        <v>137</v>
      </c>
      <c r="AE182" s="1">
        <f ca="1">IFERROR(__xludf.DUMMYFUNCTION("""COMPUTED_VALUE"""),485)</f>
        <v>485</v>
      </c>
      <c r="AF182" s="1">
        <f ca="1">IFERROR(__xludf.DUMMYFUNCTION("""COMPUTED_VALUE"""),620)</f>
        <v>620</v>
      </c>
    </row>
    <row r="183" spans="1:32" ht="12.5" x14ac:dyDescent="0.25">
      <c r="A183" s="1" t="str">
        <f ca="1">IFERROR(__xludf.DUMMYFUNCTION("""COMPUTED_VALUE"""),"Marshall")</f>
        <v>Marshall</v>
      </c>
      <c r="B183" s="1">
        <f ca="1">IFERROR(__xludf.DUMMYFUNCTION("""COMPUTED_VALUE"""),33)</f>
        <v>33</v>
      </c>
      <c r="C183" s="1">
        <f ca="1">IFERROR(__xludf.DUMMYFUNCTION("""COMPUTED_VALUE"""),17)</f>
        <v>17</v>
      </c>
      <c r="D183" s="1">
        <f ca="1">IFERROR(__xludf.DUMMYFUNCTION("""COMPUTED_VALUE"""),16)</f>
        <v>16</v>
      </c>
      <c r="E183" s="1">
        <f ca="1">IFERROR(__xludf.DUMMYFUNCTION("""COMPUTED_VALUE"""),0.515)</f>
        <v>0.51500000000000001</v>
      </c>
      <c r="F183" s="1">
        <f ca="1">IFERROR(__xludf.DUMMYFUNCTION("""COMPUTED_VALUE"""),0.83)</f>
        <v>0.83</v>
      </c>
      <c r="G183" s="1">
        <f ca="1">IFERROR(__xludf.DUMMYFUNCTION("""COMPUTED_VALUE"""),-0.3)</f>
        <v>-0.3</v>
      </c>
      <c r="H183" s="1">
        <f ca="1">IFERROR(__xludf.DUMMYFUNCTION("""COMPUTED_VALUE"""),12)</f>
        <v>12</v>
      </c>
      <c r="I183" s="1">
        <f ca="1">IFERROR(__xludf.DUMMYFUNCTION("""COMPUTED_VALUE"""),6)</f>
        <v>6</v>
      </c>
      <c r="J183" s="1">
        <f ca="1">IFERROR(__xludf.DUMMYFUNCTION("""COMPUTED_VALUE"""),10)</f>
        <v>10</v>
      </c>
      <c r="K183" s="1">
        <f ca="1">IFERROR(__xludf.DUMMYFUNCTION("""COMPUTED_VALUE"""),4)</f>
        <v>4</v>
      </c>
      <c r="L183" s="1">
        <f ca="1">IFERROR(__xludf.DUMMYFUNCTION("""COMPUTED_VALUE"""),5)</f>
        <v>5</v>
      </c>
      <c r="M183" s="1">
        <f ca="1">IFERROR(__xludf.DUMMYFUNCTION("""COMPUTED_VALUE"""),9)</f>
        <v>9</v>
      </c>
      <c r="N183" s="1">
        <f ca="1">IFERROR(__xludf.DUMMYFUNCTION("""COMPUTED_VALUE"""),2838)</f>
        <v>2838</v>
      </c>
      <c r="O183" s="1">
        <f ca="1">IFERROR(__xludf.DUMMYFUNCTION("""COMPUTED_VALUE"""),2801)</f>
        <v>2801</v>
      </c>
      <c r="P183" s="1">
        <f ca="1">IFERROR(__xludf.DUMMYFUNCTION("""COMPUTED_VALUE"""),1330)</f>
        <v>1330</v>
      </c>
      <c r="Q183" s="1">
        <f ca="1">IFERROR(__xludf.DUMMYFUNCTION("""COMPUTED_VALUE"""),1017)</f>
        <v>1017</v>
      </c>
      <c r="R183" s="1">
        <f ca="1">IFERROR(__xludf.DUMMYFUNCTION("""COMPUTED_VALUE"""),2183)</f>
        <v>2183</v>
      </c>
      <c r="S183" s="1">
        <f ca="1">IFERROR(__xludf.DUMMYFUNCTION("""COMPUTED_VALUE"""),0.466)</f>
        <v>0.46600000000000003</v>
      </c>
      <c r="T183" s="1">
        <f ca="1">IFERROR(__xludf.DUMMYFUNCTION("""COMPUTED_VALUE"""),332)</f>
        <v>332</v>
      </c>
      <c r="U183" s="1">
        <f ca="1">IFERROR(__xludf.DUMMYFUNCTION("""COMPUTED_VALUE"""),985)</f>
        <v>985</v>
      </c>
      <c r="V183" s="1">
        <f ca="1">IFERROR(__xludf.DUMMYFUNCTION("""COMPUTED_VALUE"""),0.337)</f>
        <v>0.33700000000000002</v>
      </c>
      <c r="W183" s="1">
        <f ca="1">IFERROR(__xludf.DUMMYFUNCTION("""COMPUTED_VALUE"""),472)</f>
        <v>472</v>
      </c>
      <c r="X183" s="1">
        <f ca="1">IFERROR(__xludf.DUMMYFUNCTION("""COMPUTED_VALUE"""),681)</f>
        <v>681</v>
      </c>
      <c r="Y183" s="1">
        <f ca="1">IFERROR(__xludf.DUMMYFUNCTION("""COMPUTED_VALUE"""),0.693)</f>
        <v>0.69299999999999995</v>
      </c>
      <c r="Z183" s="1">
        <f ca="1">IFERROR(__xludf.DUMMYFUNCTION("""COMPUTED_VALUE"""),341)</f>
        <v>341</v>
      </c>
      <c r="AA183" s="1">
        <f ca="1">IFERROR(__xludf.DUMMYFUNCTION("""COMPUTED_VALUE"""),1230)</f>
        <v>1230</v>
      </c>
      <c r="AB183" s="1">
        <f ca="1">IFERROR(__xludf.DUMMYFUNCTION("""COMPUTED_VALUE"""),554)</f>
        <v>554</v>
      </c>
      <c r="AC183" s="1">
        <f ca="1">IFERROR(__xludf.DUMMYFUNCTION("""COMPUTED_VALUE"""),226)</f>
        <v>226</v>
      </c>
      <c r="AD183" s="1">
        <f ca="1">IFERROR(__xludf.DUMMYFUNCTION("""COMPUTED_VALUE"""),103)</f>
        <v>103</v>
      </c>
      <c r="AE183" s="1">
        <f ca="1">IFERROR(__xludf.DUMMYFUNCTION("""COMPUTED_VALUE"""),424)</f>
        <v>424</v>
      </c>
      <c r="AF183" s="1">
        <f ca="1">IFERROR(__xludf.DUMMYFUNCTION("""COMPUTED_VALUE"""),637)</f>
        <v>637</v>
      </c>
    </row>
    <row r="184" spans="1:32" ht="12.5" x14ac:dyDescent="0.25">
      <c r="A184" s="1" t="str">
        <f ca="1">IFERROR(__xludf.DUMMYFUNCTION("""COMPUTED_VALUE"""),"Maryland-Baltimore County")</f>
        <v>Maryland-Baltimore County</v>
      </c>
      <c r="B184" s="1">
        <f ca="1">IFERROR(__xludf.DUMMYFUNCTION("""COMPUTED_VALUE"""),32)</f>
        <v>32</v>
      </c>
      <c r="C184" s="1">
        <f ca="1">IFERROR(__xludf.DUMMYFUNCTION("""COMPUTED_VALUE"""),7)</f>
        <v>7</v>
      </c>
      <c r="D184" s="1">
        <f ca="1">IFERROR(__xludf.DUMMYFUNCTION("""COMPUTED_VALUE"""),25)</f>
        <v>25</v>
      </c>
      <c r="E184" s="1">
        <f ca="1">IFERROR(__xludf.DUMMYFUNCTION("""COMPUTED_VALUE"""),0.219)</f>
        <v>0.219</v>
      </c>
      <c r="F184" s="1">
        <f ca="1">IFERROR(__xludf.DUMMYFUNCTION("""COMPUTED_VALUE"""),-15.37)</f>
        <v>-15.37</v>
      </c>
      <c r="G184" s="1">
        <f ca="1">IFERROR(__xludf.DUMMYFUNCTION("""COMPUTED_VALUE"""),-6.87)</f>
        <v>-6.87</v>
      </c>
      <c r="H184" s="1">
        <f ca="1">IFERROR(__xludf.DUMMYFUNCTION("""COMPUTED_VALUE"""),3)</f>
        <v>3</v>
      </c>
      <c r="I184" s="1">
        <f ca="1">IFERROR(__xludf.DUMMYFUNCTION("""COMPUTED_VALUE"""),13)</f>
        <v>13</v>
      </c>
      <c r="J184" s="1">
        <f ca="1">IFERROR(__xludf.DUMMYFUNCTION("""COMPUTED_VALUE"""),4)</f>
        <v>4</v>
      </c>
      <c r="K184" s="1">
        <f ca="1">IFERROR(__xludf.DUMMYFUNCTION("""COMPUTED_VALUE"""),9)</f>
        <v>9</v>
      </c>
      <c r="L184" s="1">
        <f ca="1">IFERROR(__xludf.DUMMYFUNCTION("""COMPUTED_VALUE"""),3)</f>
        <v>3</v>
      </c>
      <c r="M184" s="1">
        <f ca="1">IFERROR(__xludf.DUMMYFUNCTION("""COMPUTED_VALUE"""),15)</f>
        <v>15</v>
      </c>
      <c r="N184" s="1">
        <f ca="1">IFERROR(__xludf.DUMMYFUNCTION("""COMPUTED_VALUE"""),2307)</f>
        <v>2307</v>
      </c>
      <c r="O184" s="1">
        <f ca="1">IFERROR(__xludf.DUMMYFUNCTION("""COMPUTED_VALUE"""),2579)</f>
        <v>2579</v>
      </c>
      <c r="P184" s="1">
        <f ca="1">IFERROR(__xludf.DUMMYFUNCTION("""COMPUTED_VALUE"""),1290)</f>
        <v>1290</v>
      </c>
      <c r="Q184" s="1">
        <f ca="1">IFERROR(__xludf.DUMMYFUNCTION("""COMPUTED_VALUE"""),788)</f>
        <v>788</v>
      </c>
      <c r="R184" s="1">
        <f ca="1">IFERROR(__xludf.DUMMYFUNCTION("""COMPUTED_VALUE"""),1788)</f>
        <v>1788</v>
      </c>
      <c r="S184" s="1">
        <f ca="1">IFERROR(__xludf.DUMMYFUNCTION("""COMPUTED_VALUE"""),0.441)</f>
        <v>0.441</v>
      </c>
      <c r="T184" s="1">
        <f ca="1">IFERROR(__xludf.DUMMYFUNCTION("""COMPUTED_VALUE"""),216)</f>
        <v>216</v>
      </c>
      <c r="U184" s="1">
        <f ca="1">IFERROR(__xludf.DUMMYFUNCTION("""COMPUTED_VALUE"""),652)</f>
        <v>652</v>
      </c>
      <c r="V184" s="1">
        <f ca="1">IFERROR(__xludf.DUMMYFUNCTION("""COMPUTED_VALUE"""),0.331)</f>
        <v>0.33100000000000002</v>
      </c>
      <c r="W184" s="1">
        <f ca="1">IFERROR(__xludf.DUMMYFUNCTION("""COMPUTED_VALUE"""),515)</f>
        <v>515</v>
      </c>
      <c r="X184" s="1">
        <f ca="1">IFERROR(__xludf.DUMMYFUNCTION("""COMPUTED_VALUE"""),754)</f>
        <v>754</v>
      </c>
      <c r="Y184" s="1">
        <f ca="1">IFERROR(__xludf.DUMMYFUNCTION("""COMPUTED_VALUE"""),0.683)</f>
        <v>0.68300000000000005</v>
      </c>
      <c r="Z184" s="1">
        <f ca="1">IFERROR(__xludf.DUMMYFUNCTION("""COMPUTED_VALUE"""),279)</f>
        <v>279</v>
      </c>
      <c r="AA184" s="1">
        <f ca="1">IFERROR(__xludf.DUMMYFUNCTION("""COMPUTED_VALUE"""),1017)</f>
        <v>1017</v>
      </c>
      <c r="AB184" s="1">
        <f ca="1">IFERROR(__xludf.DUMMYFUNCTION("""COMPUTED_VALUE"""),393)</f>
        <v>393</v>
      </c>
      <c r="AC184" s="1">
        <f ca="1">IFERROR(__xludf.DUMMYFUNCTION("""COMPUTED_VALUE"""),223)</f>
        <v>223</v>
      </c>
      <c r="AD184" s="1">
        <f ca="1">IFERROR(__xludf.DUMMYFUNCTION("""COMPUTED_VALUE"""),57)</f>
        <v>57</v>
      </c>
      <c r="AE184" s="1">
        <f ca="1">IFERROR(__xludf.DUMMYFUNCTION("""COMPUTED_VALUE"""),398)</f>
        <v>398</v>
      </c>
      <c r="AF184" s="1">
        <f ca="1">IFERROR(__xludf.DUMMYFUNCTION("""COMPUTED_VALUE"""),636)</f>
        <v>636</v>
      </c>
    </row>
    <row r="185" spans="1:32" ht="12.5" x14ac:dyDescent="0.25">
      <c r="A185" s="1" t="str">
        <f ca="1">IFERROR(__xludf.DUMMYFUNCTION("""COMPUTED_VALUE"""),"Maryland-Eastern Shore")</f>
        <v>Maryland-Eastern Shore</v>
      </c>
      <c r="B185" s="1">
        <f ca="1">IFERROR(__xludf.DUMMYFUNCTION("""COMPUTED_VALUE"""),32)</f>
        <v>32</v>
      </c>
      <c r="C185" s="1">
        <f ca="1">IFERROR(__xludf.DUMMYFUNCTION("""COMPUTED_VALUE"""),10)</f>
        <v>10</v>
      </c>
      <c r="D185" s="1">
        <f ca="1">IFERROR(__xludf.DUMMYFUNCTION("""COMPUTED_VALUE"""),22)</f>
        <v>22</v>
      </c>
      <c r="E185" s="1">
        <f ca="1">IFERROR(__xludf.DUMMYFUNCTION("""COMPUTED_VALUE"""),0.313)</f>
        <v>0.313</v>
      </c>
      <c r="F185" s="1">
        <f ca="1">IFERROR(__xludf.DUMMYFUNCTION("""COMPUTED_VALUE"""),-14.23)</f>
        <v>-14.23</v>
      </c>
      <c r="G185" s="1">
        <f ca="1">IFERROR(__xludf.DUMMYFUNCTION("""COMPUTED_VALUE"""),-6.17)</f>
        <v>-6.17</v>
      </c>
      <c r="H185" s="1">
        <f ca="1">IFERROR(__xludf.DUMMYFUNCTION("""COMPUTED_VALUE"""),7)</f>
        <v>7</v>
      </c>
      <c r="I185" s="1">
        <f ca="1">IFERROR(__xludf.DUMMYFUNCTION("""COMPUTED_VALUE"""),9)</f>
        <v>9</v>
      </c>
      <c r="J185" s="1">
        <f ca="1">IFERROR(__xludf.DUMMYFUNCTION("""COMPUTED_VALUE"""),7)</f>
        <v>7</v>
      </c>
      <c r="K185" s="1">
        <f ca="1">IFERROR(__xludf.DUMMYFUNCTION("""COMPUTED_VALUE"""),4)</f>
        <v>4</v>
      </c>
      <c r="L185" s="1">
        <f ca="1">IFERROR(__xludf.DUMMYFUNCTION("""COMPUTED_VALUE"""),3)</f>
        <v>3</v>
      </c>
      <c r="M185" s="1">
        <f ca="1">IFERROR(__xludf.DUMMYFUNCTION("""COMPUTED_VALUE"""),17)</f>
        <v>17</v>
      </c>
      <c r="N185" s="1">
        <f ca="1">IFERROR(__xludf.DUMMYFUNCTION("""COMPUTED_VALUE"""),2178)</f>
        <v>2178</v>
      </c>
      <c r="O185" s="1">
        <f ca="1">IFERROR(__xludf.DUMMYFUNCTION("""COMPUTED_VALUE"""),2399)</f>
        <v>2399</v>
      </c>
      <c r="P185" s="1">
        <f ca="1">IFERROR(__xludf.DUMMYFUNCTION("""COMPUTED_VALUE"""),1295)</f>
        <v>1295</v>
      </c>
      <c r="Q185" s="1">
        <f ca="1">IFERROR(__xludf.DUMMYFUNCTION("""COMPUTED_VALUE"""),759)</f>
        <v>759</v>
      </c>
      <c r="R185" s="1">
        <f ca="1">IFERROR(__xludf.DUMMYFUNCTION("""COMPUTED_VALUE"""),1715)</f>
        <v>1715</v>
      </c>
      <c r="S185" s="1">
        <f ca="1">IFERROR(__xludf.DUMMYFUNCTION("""COMPUTED_VALUE"""),0.443)</f>
        <v>0.443</v>
      </c>
      <c r="T185" s="1">
        <f ca="1">IFERROR(__xludf.DUMMYFUNCTION("""COMPUTED_VALUE"""),201)</f>
        <v>201</v>
      </c>
      <c r="U185" s="1">
        <f ca="1">IFERROR(__xludf.DUMMYFUNCTION("""COMPUTED_VALUE"""),610)</f>
        <v>610</v>
      </c>
      <c r="V185" s="1">
        <f ca="1">IFERROR(__xludf.DUMMYFUNCTION("""COMPUTED_VALUE"""),0.33)</f>
        <v>0.33</v>
      </c>
      <c r="W185" s="1">
        <f ca="1">IFERROR(__xludf.DUMMYFUNCTION("""COMPUTED_VALUE"""),459)</f>
        <v>459</v>
      </c>
      <c r="X185" s="1">
        <f ca="1">IFERROR(__xludf.DUMMYFUNCTION("""COMPUTED_VALUE"""),648)</f>
        <v>648</v>
      </c>
      <c r="Y185" s="1">
        <f ca="1">IFERROR(__xludf.DUMMYFUNCTION("""COMPUTED_VALUE"""),0.708)</f>
        <v>0.70799999999999996</v>
      </c>
      <c r="Z185" s="1">
        <f ca="1">IFERROR(__xludf.DUMMYFUNCTION("""COMPUTED_VALUE"""),337)</f>
        <v>337</v>
      </c>
      <c r="AA185" s="1">
        <f ca="1">IFERROR(__xludf.DUMMYFUNCTION("""COMPUTED_VALUE"""),1100)</f>
        <v>1100</v>
      </c>
      <c r="AB185" s="1">
        <f ca="1">IFERROR(__xludf.DUMMYFUNCTION("""COMPUTED_VALUE"""),403)</f>
        <v>403</v>
      </c>
      <c r="AC185" s="1">
        <f ca="1">IFERROR(__xludf.DUMMYFUNCTION("""COMPUTED_VALUE"""),188)</f>
        <v>188</v>
      </c>
      <c r="AD185" s="1">
        <f ca="1">IFERROR(__xludf.DUMMYFUNCTION("""COMPUTED_VALUE"""),72)</f>
        <v>72</v>
      </c>
      <c r="AE185" s="1">
        <f ca="1">IFERROR(__xludf.DUMMYFUNCTION("""COMPUTED_VALUE"""),512)</f>
        <v>512</v>
      </c>
      <c r="AF185" s="1">
        <f ca="1">IFERROR(__xludf.DUMMYFUNCTION("""COMPUTED_VALUE"""),691)</f>
        <v>691</v>
      </c>
    </row>
    <row r="186" spans="1:32" ht="12.5" x14ac:dyDescent="0.25">
      <c r="A186" s="1" t="str">
        <f ca="1">IFERROR(__xludf.DUMMYFUNCTION("""COMPUTED_VALUE"""),"MarylandNCAA")</f>
        <v>MarylandNCAA</v>
      </c>
      <c r="B186" s="1">
        <f ca="1">IFERROR(__xludf.DUMMYFUNCTION("""COMPUTED_VALUE"""),36)</f>
        <v>36</v>
      </c>
      <c r="C186" s="1">
        <f ca="1">IFERROR(__xludf.DUMMYFUNCTION("""COMPUTED_VALUE"""),27)</f>
        <v>27</v>
      </c>
      <c r="D186" s="1">
        <f ca="1">IFERROR(__xludf.DUMMYFUNCTION("""COMPUTED_VALUE"""),9)</f>
        <v>9</v>
      </c>
      <c r="E186" s="1">
        <f ca="1">IFERROR(__xludf.DUMMYFUNCTION("""COMPUTED_VALUE"""),0.75)</f>
        <v>0.75</v>
      </c>
      <c r="F186" s="1">
        <f ca="1">IFERROR(__xludf.DUMMYFUNCTION("""COMPUTED_VALUE"""),16.71)</f>
        <v>16.71</v>
      </c>
      <c r="G186" s="1">
        <f ca="1">IFERROR(__xludf.DUMMYFUNCTION("""COMPUTED_VALUE"""),8.31)</f>
        <v>8.31</v>
      </c>
      <c r="H186" s="1">
        <f ca="1">IFERROR(__xludf.DUMMYFUNCTION("""COMPUTED_VALUE"""),12)</f>
        <v>12</v>
      </c>
      <c r="I186" s="1">
        <f ca="1">IFERROR(__xludf.DUMMYFUNCTION("""COMPUTED_VALUE"""),6)</f>
        <v>6</v>
      </c>
      <c r="J186" s="1">
        <f ca="1">IFERROR(__xludf.DUMMYFUNCTION("""COMPUTED_VALUE"""),16)</f>
        <v>16</v>
      </c>
      <c r="K186" s="1">
        <f ca="1">IFERROR(__xludf.DUMMYFUNCTION("""COMPUTED_VALUE"""),1)</f>
        <v>1</v>
      </c>
      <c r="L186" s="1">
        <f ca="1">IFERROR(__xludf.DUMMYFUNCTION("""COMPUTED_VALUE"""),4)</f>
        <v>4</v>
      </c>
      <c r="M186" s="1">
        <f ca="1">IFERROR(__xludf.DUMMYFUNCTION("""COMPUTED_VALUE"""),6)</f>
        <v>6</v>
      </c>
      <c r="N186" s="1">
        <f ca="1">IFERROR(__xludf.DUMMYFUNCTION("""COMPUTED_VALUE"""),2725)</f>
        <v>2725</v>
      </c>
      <c r="O186" s="1">
        <f ca="1">IFERROR(__xludf.DUMMYFUNCTION("""COMPUTED_VALUE"""),2400)</f>
        <v>2400</v>
      </c>
      <c r="P186" s="1">
        <f ca="1">IFERROR(__xludf.DUMMYFUNCTION("""COMPUTED_VALUE"""),1445)</f>
        <v>1445</v>
      </c>
      <c r="Q186" s="1">
        <f ca="1">IFERROR(__xludf.DUMMYFUNCTION("""COMPUTED_VALUE"""),943)</f>
        <v>943</v>
      </c>
      <c r="R186" s="1">
        <f ca="1">IFERROR(__xludf.DUMMYFUNCTION("""COMPUTED_VALUE"""),1941)</f>
        <v>1941</v>
      </c>
      <c r="S186" s="1">
        <f ca="1">IFERROR(__xludf.DUMMYFUNCTION("""COMPUTED_VALUE"""),0.486)</f>
        <v>0.48599999999999999</v>
      </c>
      <c r="T186" s="1">
        <f ca="1">IFERROR(__xludf.DUMMYFUNCTION("""COMPUTED_VALUE"""),267)</f>
        <v>267</v>
      </c>
      <c r="U186" s="1">
        <f ca="1">IFERROR(__xludf.DUMMYFUNCTION("""COMPUTED_VALUE"""),739)</f>
        <v>739</v>
      </c>
      <c r="V186" s="1">
        <f ca="1">IFERROR(__xludf.DUMMYFUNCTION("""COMPUTED_VALUE"""),0.361)</f>
        <v>0.36099999999999999</v>
      </c>
      <c r="W186" s="1">
        <f ca="1">IFERROR(__xludf.DUMMYFUNCTION("""COMPUTED_VALUE"""),572)</f>
        <v>572</v>
      </c>
      <c r="X186" s="1">
        <f ca="1">IFERROR(__xludf.DUMMYFUNCTION("""COMPUTED_VALUE"""),745)</f>
        <v>745</v>
      </c>
      <c r="Y186" s="1">
        <f ca="1">IFERROR(__xludf.DUMMYFUNCTION("""COMPUTED_VALUE"""),0.768)</f>
        <v>0.76800000000000002</v>
      </c>
      <c r="Z186" s="1">
        <f ca="1">IFERROR(__xludf.DUMMYFUNCTION("""COMPUTED_VALUE"""),319)</f>
        <v>319</v>
      </c>
      <c r="AA186" s="1">
        <f ca="1">IFERROR(__xludf.DUMMYFUNCTION("""COMPUTED_VALUE"""),1288)</f>
        <v>1288</v>
      </c>
      <c r="AB186" s="1">
        <f ca="1">IFERROR(__xludf.DUMMYFUNCTION("""COMPUTED_VALUE"""),488)</f>
        <v>488</v>
      </c>
      <c r="AC186" s="1">
        <f ca="1">IFERROR(__xludf.DUMMYFUNCTION("""COMPUTED_VALUE"""),210)</f>
        <v>210</v>
      </c>
      <c r="AD186" s="1">
        <f ca="1">IFERROR(__xludf.DUMMYFUNCTION("""COMPUTED_VALUE"""),194)</f>
        <v>194</v>
      </c>
      <c r="AE186" s="1">
        <f ca="1">IFERROR(__xludf.DUMMYFUNCTION("""COMPUTED_VALUE"""),458)</f>
        <v>458</v>
      </c>
      <c r="AF186" s="1">
        <f ca="1">IFERROR(__xludf.DUMMYFUNCTION("""COMPUTED_VALUE"""),605)</f>
        <v>605</v>
      </c>
    </row>
    <row r="187" spans="1:32" ht="12.5" x14ac:dyDescent="0.25">
      <c r="A187" s="1" t="str">
        <f ca="1">IFERROR(__xludf.DUMMYFUNCTION("""COMPUTED_VALUE"""),"Massachusetts-Lowell")</f>
        <v>Massachusetts-Lowell</v>
      </c>
      <c r="B187" s="1">
        <f ca="1">IFERROR(__xludf.DUMMYFUNCTION("""COMPUTED_VALUE"""),29)</f>
        <v>29</v>
      </c>
      <c r="C187" s="1">
        <f ca="1">IFERROR(__xludf.DUMMYFUNCTION("""COMPUTED_VALUE"""),11)</f>
        <v>11</v>
      </c>
      <c r="D187" s="1">
        <f ca="1">IFERROR(__xludf.DUMMYFUNCTION("""COMPUTED_VALUE"""),18)</f>
        <v>18</v>
      </c>
      <c r="E187" s="1">
        <f ca="1">IFERROR(__xludf.DUMMYFUNCTION("""COMPUTED_VALUE"""),0.379)</f>
        <v>0.379</v>
      </c>
      <c r="F187" s="1">
        <f ca="1">IFERROR(__xludf.DUMMYFUNCTION("""COMPUTED_VALUE"""),-13.59)</f>
        <v>-13.59</v>
      </c>
      <c r="G187" s="1">
        <f ca="1">IFERROR(__xludf.DUMMYFUNCTION("""COMPUTED_VALUE"""),-6.17)</f>
        <v>-6.17</v>
      </c>
      <c r="H187" s="1">
        <f ca="1">IFERROR(__xludf.DUMMYFUNCTION("""COMPUTED_VALUE"""),7)</f>
        <v>7</v>
      </c>
      <c r="I187" s="1">
        <f ca="1">IFERROR(__xludf.DUMMYFUNCTION("""COMPUTED_VALUE"""),9)</f>
        <v>9</v>
      </c>
      <c r="J187" s="1">
        <f ca="1">IFERROR(__xludf.DUMMYFUNCTION("""COMPUTED_VALUE"""),6)</f>
        <v>6</v>
      </c>
      <c r="K187" s="1">
        <f ca="1">IFERROR(__xludf.DUMMYFUNCTION("""COMPUTED_VALUE"""),6)</f>
        <v>6</v>
      </c>
      <c r="L187" s="1">
        <f ca="1">IFERROR(__xludf.DUMMYFUNCTION("""COMPUTED_VALUE"""),5)</f>
        <v>5</v>
      </c>
      <c r="M187" s="1">
        <f ca="1">IFERROR(__xludf.DUMMYFUNCTION("""COMPUTED_VALUE"""),12)</f>
        <v>12</v>
      </c>
      <c r="N187" s="1">
        <f ca="1">IFERROR(__xludf.DUMMYFUNCTION("""COMPUTED_VALUE"""),2221)</f>
        <v>2221</v>
      </c>
      <c r="O187" s="1">
        <f ca="1">IFERROR(__xludf.DUMMYFUNCTION("""COMPUTED_VALUE"""),2401)</f>
        <v>2401</v>
      </c>
      <c r="P187" s="1">
        <f ca="1">IFERROR(__xludf.DUMMYFUNCTION("""COMPUTED_VALUE"""),1170)</f>
        <v>1170</v>
      </c>
      <c r="Q187" s="1">
        <f ca="1">IFERROR(__xludf.DUMMYFUNCTION("""COMPUTED_VALUE"""),800)</f>
        <v>800</v>
      </c>
      <c r="R187" s="1">
        <f ca="1">IFERROR(__xludf.DUMMYFUNCTION("""COMPUTED_VALUE"""),1705)</f>
        <v>1705</v>
      </c>
      <c r="S187" s="1">
        <f ca="1">IFERROR(__xludf.DUMMYFUNCTION("""COMPUTED_VALUE"""),0.469)</f>
        <v>0.46899999999999997</v>
      </c>
      <c r="T187" s="1">
        <f ca="1">IFERROR(__xludf.DUMMYFUNCTION("""COMPUTED_VALUE"""),240)</f>
        <v>240</v>
      </c>
      <c r="U187" s="1">
        <f ca="1">IFERROR(__xludf.DUMMYFUNCTION("""COMPUTED_VALUE"""),659)</f>
        <v>659</v>
      </c>
      <c r="V187" s="1">
        <f ca="1">IFERROR(__xludf.DUMMYFUNCTION("""COMPUTED_VALUE"""),0.364)</f>
        <v>0.36399999999999999</v>
      </c>
      <c r="W187" s="1">
        <f ca="1">IFERROR(__xludf.DUMMYFUNCTION("""COMPUTED_VALUE"""),381)</f>
        <v>381</v>
      </c>
      <c r="X187" s="1">
        <f ca="1">IFERROR(__xludf.DUMMYFUNCTION("""COMPUTED_VALUE"""),556)</f>
        <v>556</v>
      </c>
      <c r="Y187" s="1">
        <f ca="1">IFERROR(__xludf.DUMMYFUNCTION("""COMPUTED_VALUE"""),0.685)</f>
        <v>0.68500000000000005</v>
      </c>
      <c r="Z187" s="1">
        <f ca="1">IFERROR(__xludf.DUMMYFUNCTION("""COMPUTED_VALUE"""),249)</f>
        <v>249</v>
      </c>
      <c r="AA187" s="1">
        <f ca="1">IFERROR(__xludf.DUMMYFUNCTION("""COMPUTED_VALUE"""),947)</f>
        <v>947</v>
      </c>
      <c r="AB187" s="1">
        <f ca="1">IFERROR(__xludf.DUMMYFUNCTION("""COMPUTED_VALUE"""),426)</f>
        <v>426</v>
      </c>
      <c r="AC187" s="1">
        <f ca="1">IFERROR(__xludf.DUMMYFUNCTION("""COMPUTED_VALUE"""),205)</f>
        <v>205</v>
      </c>
      <c r="AD187" s="1">
        <f ca="1">IFERROR(__xludf.DUMMYFUNCTION("""COMPUTED_VALUE"""),71)</f>
        <v>71</v>
      </c>
      <c r="AE187" s="1">
        <f ca="1">IFERROR(__xludf.DUMMYFUNCTION("""COMPUTED_VALUE"""),455)</f>
        <v>455</v>
      </c>
      <c r="AF187" s="1">
        <f ca="1">IFERROR(__xludf.DUMMYFUNCTION("""COMPUTED_VALUE"""),596)</f>
        <v>596</v>
      </c>
    </row>
    <row r="188" spans="1:32" ht="12.5" x14ac:dyDescent="0.25">
      <c r="A188" s="1" t="str">
        <f ca="1">IFERROR(__xludf.DUMMYFUNCTION("""COMPUTED_VALUE"""),"Massachusetts")</f>
        <v>Massachusetts</v>
      </c>
      <c r="B188" s="1">
        <f ca="1">IFERROR(__xludf.DUMMYFUNCTION("""COMPUTED_VALUE"""),32)</f>
        <v>32</v>
      </c>
      <c r="C188" s="1">
        <f ca="1">IFERROR(__xludf.DUMMYFUNCTION("""COMPUTED_VALUE"""),14)</f>
        <v>14</v>
      </c>
      <c r="D188" s="1">
        <f ca="1">IFERROR(__xludf.DUMMYFUNCTION("""COMPUTED_VALUE"""),18)</f>
        <v>18</v>
      </c>
      <c r="E188" s="1">
        <f ca="1">IFERROR(__xludf.DUMMYFUNCTION("""COMPUTED_VALUE"""),0.438)</f>
        <v>0.438</v>
      </c>
      <c r="F188" s="1">
        <f ca="1">IFERROR(__xludf.DUMMYFUNCTION("""COMPUTED_VALUE"""),0.64)</f>
        <v>0.64</v>
      </c>
      <c r="G188" s="1">
        <f ca="1">IFERROR(__xludf.DUMMYFUNCTION("""COMPUTED_VALUE"""),2.96)</f>
        <v>2.96</v>
      </c>
      <c r="H188" s="1">
        <f ca="1">IFERROR(__xludf.DUMMYFUNCTION("""COMPUTED_VALUE"""),6)</f>
        <v>6</v>
      </c>
      <c r="I188" s="1">
        <f ca="1">IFERROR(__xludf.DUMMYFUNCTION("""COMPUTED_VALUE"""),12)</f>
        <v>12</v>
      </c>
      <c r="J188" s="1">
        <f ca="1">IFERROR(__xludf.DUMMYFUNCTION("""COMPUTED_VALUE"""),9)</f>
        <v>9</v>
      </c>
      <c r="K188" s="1">
        <f ca="1">IFERROR(__xludf.DUMMYFUNCTION("""COMPUTED_VALUE"""),7)</f>
        <v>7</v>
      </c>
      <c r="L188" s="1">
        <f ca="1">IFERROR(__xludf.DUMMYFUNCTION("""COMPUTED_VALUE"""),3)</f>
        <v>3</v>
      </c>
      <c r="M188" s="1">
        <f ca="1">IFERROR(__xludf.DUMMYFUNCTION("""COMPUTED_VALUE"""),9)</f>
        <v>9</v>
      </c>
      <c r="N188" s="1">
        <f ca="1">IFERROR(__xludf.DUMMYFUNCTION("""COMPUTED_VALUE"""),2353)</f>
        <v>2353</v>
      </c>
      <c r="O188" s="1">
        <f ca="1">IFERROR(__xludf.DUMMYFUNCTION("""COMPUTED_VALUE"""),2427)</f>
        <v>2427</v>
      </c>
      <c r="P188" s="1">
        <f ca="1">IFERROR(__xludf.DUMMYFUNCTION("""COMPUTED_VALUE"""),1300)</f>
        <v>1300</v>
      </c>
      <c r="Q188" s="1">
        <f ca="1">IFERROR(__xludf.DUMMYFUNCTION("""COMPUTED_VALUE"""),817)</f>
        <v>817</v>
      </c>
      <c r="R188" s="1">
        <f ca="1">IFERROR(__xludf.DUMMYFUNCTION("""COMPUTED_VALUE"""),1903)</f>
        <v>1903</v>
      </c>
      <c r="S188" s="1">
        <f ca="1">IFERROR(__xludf.DUMMYFUNCTION("""COMPUTED_VALUE"""),0.429)</f>
        <v>0.42899999999999999</v>
      </c>
      <c r="T188" s="1">
        <f ca="1">IFERROR(__xludf.DUMMYFUNCTION("""COMPUTED_VALUE"""),234)</f>
        <v>234</v>
      </c>
      <c r="U188" s="1">
        <f ca="1">IFERROR(__xludf.DUMMYFUNCTION("""COMPUTED_VALUE"""),709)</f>
        <v>709</v>
      </c>
      <c r="V188" s="1">
        <f ca="1">IFERROR(__xludf.DUMMYFUNCTION("""COMPUTED_VALUE"""),0.33)</f>
        <v>0.33</v>
      </c>
      <c r="W188" s="1">
        <f ca="1">IFERROR(__xludf.DUMMYFUNCTION("""COMPUTED_VALUE"""),485)</f>
        <v>485</v>
      </c>
      <c r="X188" s="1">
        <f ca="1">IFERROR(__xludf.DUMMYFUNCTION("""COMPUTED_VALUE"""),694)</f>
        <v>694</v>
      </c>
      <c r="Y188" s="1">
        <f ca="1">IFERROR(__xludf.DUMMYFUNCTION("""COMPUTED_VALUE"""),0.699)</f>
        <v>0.69899999999999995</v>
      </c>
      <c r="Z188" s="1">
        <f ca="1">IFERROR(__xludf.DUMMYFUNCTION("""COMPUTED_VALUE"""),307)</f>
        <v>307</v>
      </c>
      <c r="AA188" s="1">
        <f ca="1">IFERROR(__xludf.DUMMYFUNCTION("""COMPUTED_VALUE"""),1141)</f>
        <v>1141</v>
      </c>
      <c r="AB188" s="1">
        <f ca="1">IFERROR(__xludf.DUMMYFUNCTION("""COMPUTED_VALUE"""),443)</f>
        <v>443</v>
      </c>
      <c r="AC188" s="1">
        <f ca="1">IFERROR(__xludf.DUMMYFUNCTION("""COMPUTED_VALUE"""),207)</f>
        <v>207</v>
      </c>
      <c r="AD188" s="1">
        <f ca="1">IFERROR(__xludf.DUMMYFUNCTION("""COMPUTED_VALUE"""),113)</f>
        <v>113</v>
      </c>
      <c r="AE188" s="1">
        <f ca="1">IFERROR(__xludf.DUMMYFUNCTION("""COMPUTED_VALUE"""),409)</f>
        <v>409</v>
      </c>
      <c r="AF188" s="1">
        <f ca="1">IFERROR(__xludf.DUMMYFUNCTION("""COMPUTED_VALUE"""),668)</f>
        <v>668</v>
      </c>
    </row>
    <row r="189" spans="1:32" ht="12.5" x14ac:dyDescent="0.25">
      <c r="A189" s="1" t="str">
        <f ca="1">IFERROR(__xludf.DUMMYFUNCTION("""COMPUTED_VALUE"""),"McNeese State")</f>
        <v>McNeese State</v>
      </c>
      <c r="B189" s="1">
        <f ca="1">IFERROR(__xludf.DUMMYFUNCTION("""COMPUTED_VALUE"""),29)</f>
        <v>29</v>
      </c>
      <c r="C189" s="1">
        <f ca="1">IFERROR(__xludf.DUMMYFUNCTION("""COMPUTED_VALUE"""),9)</f>
        <v>9</v>
      </c>
      <c r="D189" s="1">
        <f ca="1">IFERROR(__xludf.DUMMYFUNCTION("""COMPUTED_VALUE"""),20)</f>
        <v>20</v>
      </c>
      <c r="E189" s="1">
        <f ca="1">IFERROR(__xludf.DUMMYFUNCTION("""COMPUTED_VALUE"""),0.31)</f>
        <v>0.31</v>
      </c>
      <c r="F189" s="1">
        <f ca="1">IFERROR(__xludf.DUMMYFUNCTION("""COMPUTED_VALUE"""),-15.24)</f>
        <v>-15.24</v>
      </c>
      <c r="G189" s="1">
        <f ca="1">IFERROR(__xludf.DUMMYFUNCTION("""COMPUTED_VALUE"""),-6.74)</f>
        <v>-6.74</v>
      </c>
      <c r="H189" s="1">
        <f ca="1">IFERROR(__xludf.DUMMYFUNCTION("""COMPUTED_VALUE"""),7)</f>
        <v>7</v>
      </c>
      <c r="I189" s="1">
        <f ca="1">IFERROR(__xludf.DUMMYFUNCTION("""COMPUTED_VALUE"""),11)</f>
        <v>11</v>
      </c>
      <c r="J189" s="1">
        <f ca="1">IFERROR(__xludf.DUMMYFUNCTION("""COMPUTED_VALUE"""),7)</f>
        <v>7</v>
      </c>
      <c r="K189" s="1">
        <f ca="1">IFERROR(__xludf.DUMMYFUNCTION("""COMPUTED_VALUE"""),6)</f>
        <v>6</v>
      </c>
      <c r="L189" s="1">
        <f ca="1">IFERROR(__xludf.DUMMYFUNCTION("""COMPUTED_VALUE"""),2)</f>
        <v>2</v>
      </c>
      <c r="M189" s="1">
        <f ca="1">IFERROR(__xludf.DUMMYFUNCTION("""COMPUTED_VALUE"""),13)</f>
        <v>13</v>
      </c>
      <c r="N189" s="1">
        <f ca="1">IFERROR(__xludf.DUMMYFUNCTION("""COMPUTED_VALUE"""),2083)</f>
        <v>2083</v>
      </c>
      <c r="O189" s="1">
        <f ca="1">IFERROR(__xludf.DUMMYFUNCTION("""COMPUTED_VALUE"""),2301)</f>
        <v>2301</v>
      </c>
      <c r="P189" s="1">
        <f ca="1">IFERROR(__xludf.DUMMYFUNCTION("""COMPUTED_VALUE"""),1185)</f>
        <v>1185</v>
      </c>
      <c r="Q189" s="1">
        <f ca="1">IFERROR(__xludf.DUMMYFUNCTION("""COMPUTED_VALUE"""),719)</f>
        <v>719</v>
      </c>
      <c r="R189" s="1">
        <f ca="1">IFERROR(__xludf.DUMMYFUNCTION("""COMPUTED_VALUE"""),1751)</f>
        <v>1751</v>
      </c>
      <c r="S189" s="1">
        <f ca="1">IFERROR(__xludf.DUMMYFUNCTION("""COMPUTED_VALUE"""),0.411)</f>
        <v>0.41099999999999998</v>
      </c>
      <c r="T189" s="1">
        <f ca="1">IFERROR(__xludf.DUMMYFUNCTION("""COMPUTED_VALUE"""),205)</f>
        <v>205</v>
      </c>
      <c r="U189" s="1">
        <f ca="1">IFERROR(__xludf.DUMMYFUNCTION("""COMPUTED_VALUE"""),617)</f>
        <v>617</v>
      </c>
      <c r="V189" s="1">
        <f ca="1">IFERROR(__xludf.DUMMYFUNCTION("""COMPUTED_VALUE"""),0.332)</f>
        <v>0.33200000000000002</v>
      </c>
      <c r="W189" s="1">
        <f ca="1">IFERROR(__xludf.DUMMYFUNCTION("""COMPUTED_VALUE"""),440)</f>
        <v>440</v>
      </c>
      <c r="X189" s="1">
        <f ca="1">IFERROR(__xludf.DUMMYFUNCTION("""COMPUTED_VALUE"""),629)</f>
        <v>629</v>
      </c>
      <c r="Y189" s="1">
        <f ca="1">IFERROR(__xludf.DUMMYFUNCTION("""COMPUTED_VALUE"""),0.7)</f>
        <v>0.7</v>
      </c>
      <c r="Z189" s="1">
        <f ca="1">IFERROR(__xludf.DUMMYFUNCTION("""COMPUTED_VALUE"""),321)</f>
        <v>321</v>
      </c>
      <c r="AA189" s="1">
        <f ca="1">IFERROR(__xludf.DUMMYFUNCTION("""COMPUTED_VALUE"""),1045)</f>
        <v>1045</v>
      </c>
      <c r="AB189" s="1">
        <f ca="1">IFERROR(__xludf.DUMMYFUNCTION("""COMPUTED_VALUE"""),331)</f>
        <v>331</v>
      </c>
      <c r="AC189" s="1">
        <f ca="1">IFERROR(__xludf.DUMMYFUNCTION("""COMPUTED_VALUE"""),171)</f>
        <v>171</v>
      </c>
      <c r="AD189" s="1">
        <f ca="1">IFERROR(__xludf.DUMMYFUNCTION("""COMPUTED_VALUE"""),126)</f>
        <v>126</v>
      </c>
      <c r="AE189" s="1">
        <f ca="1">IFERROR(__xludf.DUMMYFUNCTION("""COMPUTED_VALUE"""),370)</f>
        <v>370</v>
      </c>
      <c r="AF189" s="1">
        <f ca="1">IFERROR(__xludf.DUMMYFUNCTION("""COMPUTED_VALUE"""),583)</f>
        <v>583</v>
      </c>
    </row>
    <row r="190" spans="1:32" ht="12.5" x14ac:dyDescent="0.25">
      <c r="A190" s="1" t="str">
        <f ca="1">IFERROR(__xludf.DUMMYFUNCTION("""COMPUTED_VALUE"""),"Memphis")</f>
        <v>Memphis</v>
      </c>
      <c r="B190" s="1">
        <f ca="1">IFERROR(__xludf.DUMMYFUNCTION("""COMPUTED_VALUE"""),34)</f>
        <v>34</v>
      </c>
      <c r="C190" s="1">
        <f ca="1">IFERROR(__xludf.DUMMYFUNCTION("""COMPUTED_VALUE"""),19)</f>
        <v>19</v>
      </c>
      <c r="D190" s="1">
        <f ca="1">IFERROR(__xludf.DUMMYFUNCTION("""COMPUTED_VALUE"""),15)</f>
        <v>15</v>
      </c>
      <c r="E190" s="1">
        <f ca="1">IFERROR(__xludf.DUMMYFUNCTION("""COMPUTED_VALUE"""),0.559)</f>
        <v>0.55900000000000005</v>
      </c>
      <c r="F190" s="1">
        <f ca="1">IFERROR(__xludf.DUMMYFUNCTION("""COMPUTED_VALUE"""),9.84)</f>
        <v>9.84</v>
      </c>
      <c r="G190" s="1">
        <f ca="1">IFERROR(__xludf.DUMMYFUNCTION("""COMPUTED_VALUE"""),3.58)</f>
        <v>3.58</v>
      </c>
      <c r="H190" s="1">
        <f ca="1">IFERROR(__xludf.DUMMYFUNCTION("""COMPUTED_VALUE"""),8)</f>
        <v>8</v>
      </c>
      <c r="I190" s="1">
        <f ca="1">IFERROR(__xludf.DUMMYFUNCTION("""COMPUTED_VALUE"""),10)</f>
        <v>10</v>
      </c>
      <c r="J190" s="1">
        <f ca="1">IFERROR(__xludf.DUMMYFUNCTION("""COMPUTED_VALUE"""),14)</f>
        <v>14</v>
      </c>
      <c r="K190" s="1">
        <f ca="1">IFERROR(__xludf.DUMMYFUNCTION("""COMPUTED_VALUE"""),6)</f>
        <v>6</v>
      </c>
      <c r="L190" s="1">
        <f ca="1">IFERROR(__xludf.DUMMYFUNCTION("""COMPUTED_VALUE"""),2)</f>
        <v>2</v>
      </c>
      <c r="M190" s="1">
        <f ca="1">IFERROR(__xludf.DUMMYFUNCTION("""COMPUTED_VALUE"""),8)</f>
        <v>8</v>
      </c>
      <c r="N190" s="1">
        <f ca="1">IFERROR(__xludf.DUMMYFUNCTION("""COMPUTED_VALUE"""),2603)</f>
        <v>2603</v>
      </c>
      <c r="O190" s="1">
        <f ca="1">IFERROR(__xludf.DUMMYFUNCTION("""COMPUTED_VALUE"""),2390)</f>
        <v>2390</v>
      </c>
      <c r="P190" s="1">
        <f ca="1">IFERROR(__xludf.DUMMYFUNCTION("""COMPUTED_VALUE"""),1370)</f>
        <v>1370</v>
      </c>
      <c r="Q190" s="1">
        <f ca="1">IFERROR(__xludf.DUMMYFUNCTION("""COMPUTED_VALUE"""),877)</f>
        <v>877</v>
      </c>
      <c r="R190" s="1">
        <f ca="1">IFERROR(__xludf.DUMMYFUNCTION("""COMPUTED_VALUE"""),2124)</f>
        <v>2124</v>
      </c>
      <c r="S190" s="1">
        <f ca="1">IFERROR(__xludf.DUMMYFUNCTION("""COMPUTED_VALUE"""),0.413)</f>
        <v>0.41299999999999998</v>
      </c>
      <c r="T190" s="1">
        <f ca="1">IFERROR(__xludf.DUMMYFUNCTION("""COMPUTED_VALUE"""),206)</f>
        <v>206</v>
      </c>
      <c r="U190" s="1">
        <f ca="1">IFERROR(__xludf.DUMMYFUNCTION("""COMPUTED_VALUE"""),635)</f>
        <v>635</v>
      </c>
      <c r="V190" s="1">
        <f ca="1">IFERROR(__xludf.DUMMYFUNCTION("""COMPUTED_VALUE"""),0.324)</f>
        <v>0.32400000000000001</v>
      </c>
      <c r="W190" s="1">
        <f ca="1">IFERROR(__xludf.DUMMYFUNCTION("""COMPUTED_VALUE"""),643)</f>
        <v>643</v>
      </c>
      <c r="X190" s="1">
        <f ca="1">IFERROR(__xludf.DUMMYFUNCTION("""COMPUTED_VALUE"""),890)</f>
        <v>890</v>
      </c>
      <c r="Y190" s="1">
        <f ca="1">IFERROR(__xludf.DUMMYFUNCTION("""COMPUTED_VALUE"""),0.722)</f>
        <v>0.72199999999999998</v>
      </c>
      <c r="Z190" s="1">
        <f ca="1">IFERROR(__xludf.DUMMYFUNCTION("""COMPUTED_VALUE"""),436)</f>
        <v>436</v>
      </c>
      <c r="AA190" s="1">
        <f ca="1">IFERROR(__xludf.DUMMYFUNCTION("""COMPUTED_VALUE"""),1379)</f>
        <v>1379</v>
      </c>
      <c r="AB190" s="1">
        <f ca="1">IFERROR(__xludf.DUMMYFUNCTION("""COMPUTED_VALUE"""),510)</f>
        <v>510</v>
      </c>
      <c r="AC190" s="1">
        <f ca="1">IFERROR(__xludf.DUMMYFUNCTION("""COMPUTED_VALUE"""),261)</f>
        <v>261</v>
      </c>
      <c r="AD190" s="1">
        <f ca="1">IFERROR(__xludf.DUMMYFUNCTION("""COMPUTED_VALUE"""),185)</f>
        <v>185</v>
      </c>
      <c r="AE190" s="1">
        <f ca="1">IFERROR(__xludf.DUMMYFUNCTION("""COMPUTED_VALUE"""),407)</f>
        <v>407</v>
      </c>
      <c r="AF190" s="1">
        <f ca="1">IFERROR(__xludf.DUMMYFUNCTION("""COMPUTED_VALUE"""),680)</f>
        <v>680</v>
      </c>
    </row>
    <row r="191" spans="1:32" ht="12.5" x14ac:dyDescent="0.25">
      <c r="A191" s="1" t="str">
        <f ca="1">IFERROR(__xludf.DUMMYFUNCTION("""COMPUTED_VALUE"""),"Mercer")</f>
        <v>Mercer</v>
      </c>
      <c r="B191" s="1">
        <f ca="1">IFERROR(__xludf.DUMMYFUNCTION("""COMPUTED_VALUE"""),34)</f>
        <v>34</v>
      </c>
      <c r="C191" s="1">
        <f ca="1">IFERROR(__xludf.DUMMYFUNCTION("""COMPUTED_VALUE"""),19)</f>
        <v>19</v>
      </c>
      <c r="D191" s="1">
        <f ca="1">IFERROR(__xludf.DUMMYFUNCTION("""COMPUTED_VALUE"""),15)</f>
        <v>15</v>
      </c>
      <c r="E191" s="1">
        <f ca="1">IFERROR(__xludf.DUMMYFUNCTION("""COMPUTED_VALUE"""),0.559)</f>
        <v>0.55900000000000005</v>
      </c>
      <c r="F191" s="1">
        <f ca="1">IFERROR(__xludf.DUMMYFUNCTION("""COMPUTED_VALUE"""),-3.11)</f>
        <v>-3.11</v>
      </c>
      <c r="G191" s="1">
        <f ca="1">IFERROR(__xludf.DUMMYFUNCTION("""COMPUTED_VALUE"""),-4.55)</f>
        <v>-4.55</v>
      </c>
      <c r="H191" s="1">
        <f ca="1">IFERROR(__xludf.DUMMYFUNCTION("""COMPUTED_VALUE"""),8)</f>
        <v>8</v>
      </c>
      <c r="I191" s="1">
        <f ca="1">IFERROR(__xludf.DUMMYFUNCTION("""COMPUTED_VALUE"""),10)</f>
        <v>10</v>
      </c>
      <c r="J191" s="1">
        <f ca="1">IFERROR(__xludf.DUMMYFUNCTION("""COMPUTED_VALUE"""),10)</f>
        <v>10</v>
      </c>
      <c r="K191" s="1">
        <f ca="1">IFERROR(__xludf.DUMMYFUNCTION("""COMPUTED_VALUE"""),3)</f>
        <v>3</v>
      </c>
      <c r="L191" s="1">
        <f ca="1">IFERROR(__xludf.DUMMYFUNCTION("""COMPUTED_VALUE"""),3)</f>
        <v>3</v>
      </c>
      <c r="M191" s="1">
        <f ca="1">IFERROR(__xludf.DUMMYFUNCTION("""COMPUTED_VALUE"""),11)</f>
        <v>11</v>
      </c>
      <c r="N191" s="1">
        <f ca="1">IFERROR(__xludf.DUMMYFUNCTION("""COMPUTED_VALUE"""),2446)</f>
        <v>2446</v>
      </c>
      <c r="O191" s="1">
        <f ca="1">IFERROR(__xludf.DUMMYFUNCTION("""COMPUTED_VALUE"""),2339)</f>
        <v>2339</v>
      </c>
      <c r="P191" s="1">
        <f ca="1">IFERROR(__xludf.DUMMYFUNCTION("""COMPUTED_VALUE"""),1390)</f>
        <v>1390</v>
      </c>
      <c r="Q191" s="1">
        <f ca="1">IFERROR(__xludf.DUMMYFUNCTION("""COMPUTED_VALUE"""),871)</f>
        <v>871</v>
      </c>
      <c r="R191" s="1">
        <f ca="1">IFERROR(__xludf.DUMMYFUNCTION("""COMPUTED_VALUE"""),1958)</f>
        <v>1958</v>
      </c>
      <c r="S191" s="1">
        <f ca="1">IFERROR(__xludf.DUMMYFUNCTION("""COMPUTED_VALUE"""),0.445)</f>
        <v>0.44500000000000001</v>
      </c>
      <c r="T191" s="1">
        <f ca="1">IFERROR(__xludf.DUMMYFUNCTION("""COMPUTED_VALUE"""),210)</f>
        <v>210</v>
      </c>
      <c r="U191" s="1">
        <f ca="1">IFERROR(__xludf.DUMMYFUNCTION("""COMPUTED_VALUE"""),612)</f>
        <v>612</v>
      </c>
      <c r="V191" s="1">
        <f ca="1">IFERROR(__xludf.DUMMYFUNCTION("""COMPUTED_VALUE"""),0.343)</f>
        <v>0.34300000000000003</v>
      </c>
      <c r="W191" s="1">
        <f ca="1">IFERROR(__xludf.DUMMYFUNCTION("""COMPUTED_VALUE"""),494)</f>
        <v>494</v>
      </c>
      <c r="X191" s="1">
        <f ca="1">IFERROR(__xludf.DUMMYFUNCTION("""COMPUTED_VALUE"""),676)</f>
        <v>676</v>
      </c>
      <c r="Y191" s="1">
        <f ca="1">IFERROR(__xludf.DUMMYFUNCTION("""COMPUTED_VALUE"""),0.731)</f>
        <v>0.73099999999999998</v>
      </c>
      <c r="Z191" s="1">
        <f ca="1">IFERROR(__xludf.DUMMYFUNCTION("""COMPUTED_VALUE"""),436)</f>
        <v>436</v>
      </c>
      <c r="AA191" s="1">
        <f ca="1">IFERROR(__xludf.DUMMYFUNCTION("""COMPUTED_VALUE"""),1363)</f>
        <v>1363</v>
      </c>
      <c r="AB191" s="1">
        <f ca="1">IFERROR(__xludf.DUMMYFUNCTION("""COMPUTED_VALUE"""),509)</f>
        <v>509</v>
      </c>
      <c r="AC191" s="1">
        <f ca="1">IFERROR(__xludf.DUMMYFUNCTION("""COMPUTED_VALUE"""),174)</f>
        <v>174</v>
      </c>
      <c r="AD191" s="1">
        <f ca="1">IFERROR(__xludf.DUMMYFUNCTION("""COMPUTED_VALUE"""),85)</f>
        <v>85</v>
      </c>
      <c r="AE191" s="1">
        <f ca="1">IFERROR(__xludf.DUMMYFUNCTION("""COMPUTED_VALUE"""),431)</f>
        <v>431</v>
      </c>
      <c r="AF191" s="1">
        <f ca="1">IFERROR(__xludf.DUMMYFUNCTION("""COMPUTED_VALUE"""),588)</f>
        <v>588</v>
      </c>
    </row>
    <row r="192" spans="1:32" ht="12.5" x14ac:dyDescent="0.25">
      <c r="A192" s="1" t="str">
        <f ca="1">IFERROR(__xludf.DUMMYFUNCTION("""COMPUTED_VALUE"""),"Miami (FL)NCAA")</f>
        <v>Miami (FL)NCAA</v>
      </c>
      <c r="B192" s="1">
        <f ca="1">IFERROR(__xludf.DUMMYFUNCTION("""COMPUTED_VALUE"""),35)</f>
        <v>35</v>
      </c>
      <c r="C192" s="1">
        <f ca="1">IFERROR(__xludf.DUMMYFUNCTION("""COMPUTED_VALUE"""),27)</f>
        <v>27</v>
      </c>
      <c r="D192" s="1">
        <f ca="1">IFERROR(__xludf.DUMMYFUNCTION("""COMPUTED_VALUE"""),8)</f>
        <v>8</v>
      </c>
      <c r="E192" s="1">
        <f ca="1">IFERROR(__xludf.DUMMYFUNCTION("""COMPUTED_VALUE"""),0.771)</f>
        <v>0.77100000000000002</v>
      </c>
      <c r="F192" s="1">
        <f ca="1">IFERROR(__xludf.DUMMYFUNCTION("""COMPUTED_VALUE"""),18.52)</f>
        <v>18.52</v>
      </c>
      <c r="G192" s="1">
        <f ca="1">IFERROR(__xludf.DUMMYFUNCTION("""COMPUTED_VALUE"""),10.69)</f>
        <v>10.69</v>
      </c>
      <c r="H192" s="1">
        <f ca="1">IFERROR(__xludf.DUMMYFUNCTION("""COMPUTED_VALUE"""),13)</f>
        <v>13</v>
      </c>
      <c r="I192" s="1">
        <f ca="1">IFERROR(__xludf.DUMMYFUNCTION("""COMPUTED_VALUE"""),5)</f>
        <v>5</v>
      </c>
      <c r="J192" s="1">
        <f ca="1">IFERROR(__xludf.DUMMYFUNCTION("""COMPUTED_VALUE"""),15)</f>
        <v>15</v>
      </c>
      <c r="K192" s="1">
        <f ca="1">IFERROR(__xludf.DUMMYFUNCTION("""COMPUTED_VALUE"""),1)</f>
        <v>1</v>
      </c>
      <c r="L192" s="1">
        <f ca="1">IFERROR(__xludf.DUMMYFUNCTION("""COMPUTED_VALUE"""),6)</f>
        <v>6</v>
      </c>
      <c r="M192" s="1">
        <f ca="1">IFERROR(__xludf.DUMMYFUNCTION("""COMPUTED_VALUE"""),5)</f>
        <v>5</v>
      </c>
      <c r="N192" s="1">
        <f ca="1">IFERROR(__xludf.DUMMYFUNCTION("""COMPUTED_VALUE"""),2633)</f>
        <v>2633</v>
      </c>
      <c r="O192" s="1">
        <f ca="1">IFERROR(__xludf.DUMMYFUNCTION("""COMPUTED_VALUE"""),2359)</f>
        <v>2359</v>
      </c>
      <c r="P192" s="1">
        <f ca="1">IFERROR(__xludf.DUMMYFUNCTION("""COMPUTED_VALUE"""),1405)</f>
        <v>1405</v>
      </c>
      <c r="Q192" s="1">
        <f ca="1">IFERROR(__xludf.DUMMYFUNCTION("""COMPUTED_VALUE"""),907)</f>
        <v>907</v>
      </c>
      <c r="R192" s="1">
        <f ca="1">IFERROR(__xludf.DUMMYFUNCTION("""COMPUTED_VALUE"""),1895)</f>
        <v>1895</v>
      </c>
      <c r="S192" s="1">
        <f ca="1">IFERROR(__xludf.DUMMYFUNCTION("""COMPUTED_VALUE"""),0.479)</f>
        <v>0.47899999999999998</v>
      </c>
      <c r="T192" s="1">
        <f ca="1">IFERROR(__xludf.DUMMYFUNCTION("""COMPUTED_VALUE"""),241)</f>
        <v>241</v>
      </c>
      <c r="U192" s="1">
        <f ca="1">IFERROR(__xludf.DUMMYFUNCTION("""COMPUTED_VALUE"""),643)</f>
        <v>643</v>
      </c>
      <c r="V192" s="1">
        <f ca="1">IFERROR(__xludf.DUMMYFUNCTION("""COMPUTED_VALUE"""),0.375)</f>
        <v>0.375</v>
      </c>
      <c r="W192" s="1">
        <f ca="1">IFERROR(__xludf.DUMMYFUNCTION("""COMPUTED_VALUE"""),578)</f>
        <v>578</v>
      </c>
      <c r="X192" s="1">
        <f ca="1">IFERROR(__xludf.DUMMYFUNCTION("""COMPUTED_VALUE"""),772)</f>
        <v>772</v>
      </c>
      <c r="Y192" s="1">
        <f ca="1">IFERROR(__xludf.DUMMYFUNCTION("""COMPUTED_VALUE"""),0.749)</f>
        <v>0.749</v>
      </c>
      <c r="Z192" s="1">
        <f ca="1">IFERROR(__xludf.DUMMYFUNCTION("""COMPUTED_VALUE"""),330)</f>
        <v>330</v>
      </c>
      <c r="AA192" s="1">
        <f ca="1">IFERROR(__xludf.DUMMYFUNCTION("""COMPUTED_VALUE"""),1207)</f>
        <v>1207</v>
      </c>
      <c r="AB192" s="1">
        <f ca="1">IFERROR(__xludf.DUMMYFUNCTION("""COMPUTED_VALUE"""),438)</f>
        <v>438</v>
      </c>
      <c r="AC192" s="1">
        <f ca="1">IFERROR(__xludf.DUMMYFUNCTION("""COMPUTED_VALUE"""),215)</f>
        <v>215</v>
      </c>
      <c r="AD192" s="1">
        <f ca="1">IFERROR(__xludf.DUMMYFUNCTION("""COMPUTED_VALUE"""),127)</f>
        <v>127</v>
      </c>
      <c r="AE192" s="1">
        <f ca="1">IFERROR(__xludf.DUMMYFUNCTION("""COMPUTED_VALUE"""),383)</f>
        <v>383</v>
      </c>
      <c r="AF192" s="1">
        <f ca="1">IFERROR(__xludf.DUMMYFUNCTION("""COMPUTED_VALUE"""),581)</f>
        <v>581</v>
      </c>
    </row>
    <row r="193" spans="1:32" ht="12.5" x14ac:dyDescent="0.25">
      <c r="A193" s="1" t="str">
        <f ca="1">IFERROR(__xludf.DUMMYFUNCTION("""COMPUTED_VALUE"""),"Miami (OH)")</f>
        <v>Miami (OH)</v>
      </c>
      <c r="B193" s="1">
        <f ca="1">IFERROR(__xludf.DUMMYFUNCTION("""COMPUTED_VALUE"""),33)</f>
        <v>33</v>
      </c>
      <c r="C193" s="1">
        <f ca="1">IFERROR(__xludf.DUMMYFUNCTION("""COMPUTED_VALUE"""),13)</f>
        <v>13</v>
      </c>
      <c r="D193" s="1">
        <f ca="1">IFERROR(__xludf.DUMMYFUNCTION("""COMPUTED_VALUE"""),20)</f>
        <v>20</v>
      </c>
      <c r="E193" s="1">
        <f ca="1">IFERROR(__xludf.DUMMYFUNCTION("""COMPUTED_VALUE"""),0.394)</f>
        <v>0.39400000000000002</v>
      </c>
      <c r="F193" s="1">
        <f ca="1">IFERROR(__xludf.DUMMYFUNCTION("""COMPUTED_VALUE"""),-5.91)</f>
        <v>-5.91</v>
      </c>
      <c r="G193" s="1">
        <f ca="1">IFERROR(__xludf.DUMMYFUNCTION("""COMPUTED_VALUE"""),-0.25)</f>
        <v>-0.25</v>
      </c>
      <c r="H193" s="1">
        <f ca="1">IFERROR(__xludf.DUMMYFUNCTION("""COMPUTED_VALUE"""),6)</f>
        <v>6</v>
      </c>
      <c r="I193" s="1">
        <f ca="1">IFERROR(__xludf.DUMMYFUNCTION("""COMPUTED_VALUE"""),12)</f>
        <v>12</v>
      </c>
      <c r="J193" s="1">
        <f ca="1">IFERROR(__xludf.DUMMYFUNCTION("""COMPUTED_VALUE"""),10)</f>
        <v>10</v>
      </c>
      <c r="K193" s="1">
        <f ca="1">IFERROR(__xludf.DUMMYFUNCTION("""COMPUTED_VALUE"""),8)</f>
        <v>8</v>
      </c>
      <c r="L193" s="1">
        <f ca="1">IFERROR(__xludf.DUMMYFUNCTION("""COMPUTED_VALUE"""),3)</f>
        <v>3</v>
      </c>
      <c r="M193" s="1">
        <f ca="1">IFERROR(__xludf.DUMMYFUNCTION("""COMPUTED_VALUE"""),11)</f>
        <v>11</v>
      </c>
      <c r="N193" s="1">
        <f ca="1">IFERROR(__xludf.DUMMYFUNCTION("""COMPUTED_VALUE"""),2089)</f>
        <v>2089</v>
      </c>
      <c r="O193" s="1">
        <f ca="1">IFERROR(__xludf.DUMMYFUNCTION("""COMPUTED_VALUE"""),2249)</f>
        <v>2249</v>
      </c>
      <c r="P193" s="1">
        <f ca="1">IFERROR(__xludf.DUMMYFUNCTION("""COMPUTED_VALUE"""),1320)</f>
        <v>1320</v>
      </c>
      <c r="Q193" s="1">
        <f ca="1">IFERROR(__xludf.DUMMYFUNCTION("""COMPUTED_VALUE"""),719)</f>
        <v>719</v>
      </c>
      <c r="R193" s="1">
        <f ca="1">IFERROR(__xludf.DUMMYFUNCTION("""COMPUTED_VALUE"""),1781)</f>
        <v>1781</v>
      </c>
      <c r="S193" s="1">
        <f ca="1">IFERROR(__xludf.DUMMYFUNCTION("""COMPUTED_VALUE"""),0.404)</f>
        <v>0.40400000000000003</v>
      </c>
      <c r="T193" s="1">
        <f ca="1">IFERROR(__xludf.DUMMYFUNCTION("""COMPUTED_VALUE"""),178)</f>
        <v>178</v>
      </c>
      <c r="U193" s="1">
        <f ca="1">IFERROR(__xludf.DUMMYFUNCTION("""COMPUTED_VALUE"""),582)</f>
        <v>582</v>
      </c>
      <c r="V193" s="1">
        <f ca="1">IFERROR(__xludf.DUMMYFUNCTION("""COMPUTED_VALUE"""),0.306)</f>
        <v>0.30599999999999999</v>
      </c>
      <c r="W193" s="1">
        <f ca="1">IFERROR(__xludf.DUMMYFUNCTION("""COMPUTED_VALUE"""),471)</f>
        <v>471</v>
      </c>
      <c r="X193" s="1">
        <f ca="1">IFERROR(__xludf.DUMMYFUNCTION("""COMPUTED_VALUE"""),646)</f>
        <v>646</v>
      </c>
      <c r="Y193" s="1">
        <f ca="1">IFERROR(__xludf.DUMMYFUNCTION("""COMPUTED_VALUE"""),0.729)</f>
        <v>0.72899999999999998</v>
      </c>
      <c r="Z193" s="1">
        <f ca="1">IFERROR(__xludf.DUMMYFUNCTION("""COMPUTED_VALUE"""),326)</f>
        <v>326</v>
      </c>
      <c r="AA193" s="1">
        <f ca="1">IFERROR(__xludf.DUMMYFUNCTION("""COMPUTED_VALUE"""),1068)</f>
        <v>1068</v>
      </c>
      <c r="AB193" s="1">
        <f ca="1">IFERROR(__xludf.DUMMYFUNCTION("""COMPUTED_VALUE"""),336)</f>
        <v>336</v>
      </c>
      <c r="AC193" s="1">
        <f ca="1">IFERROR(__xludf.DUMMYFUNCTION("""COMPUTED_VALUE"""),218)</f>
        <v>218</v>
      </c>
      <c r="AD193" s="1">
        <f ca="1">IFERROR(__xludf.DUMMYFUNCTION("""COMPUTED_VALUE"""),72)</f>
        <v>72</v>
      </c>
      <c r="AE193" s="1">
        <f ca="1">IFERROR(__xludf.DUMMYFUNCTION("""COMPUTED_VALUE"""),402)</f>
        <v>402</v>
      </c>
      <c r="AF193" s="1">
        <f ca="1">IFERROR(__xludf.DUMMYFUNCTION("""COMPUTED_VALUE"""),617)</f>
        <v>617</v>
      </c>
    </row>
    <row r="194" spans="1:32" ht="12.5" x14ac:dyDescent="0.25">
      <c r="A194" s="1" t="str">
        <f ca="1">IFERROR(__xludf.DUMMYFUNCTION("""COMPUTED_VALUE"""),"Michigan StateNCAA")</f>
        <v>Michigan StateNCAA</v>
      </c>
      <c r="B194" s="1">
        <f ca="1">IFERROR(__xludf.DUMMYFUNCTION("""COMPUTED_VALUE"""),35)</f>
        <v>35</v>
      </c>
      <c r="C194" s="1">
        <f ca="1">IFERROR(__xludf.DUMMYFUNCTION("""COMPUTED_VALUE"""),29)</f>
        <v>29</v>
      </c>
      <c r="D194" s="1">
        <f ca="1">IFERROR(__xludf.DUMMYFUNCTION("""COMPUTED_VALUE"""),6)</f>
        <v>6</v>
      </c>
      <c r="E194" s="1">
        <f ca="1">IFERROR(__xludf.DUMMYFUNCTION("""COMPUTED_VALUE"""),0.829)</f>
        <v>0.82899999999999996</v>
      </c>
      <c r="F194" s="1">
        <f ca="1">IFERROR(__xludf.DUMMYFUNCTION("""COMPUTED_VALUE"""),22.59)</f>
        <v>22.59</v>
      </c>
      <c r="G194" s="1">
        <f ca="1">IFERROR(__xludf.DUMMYFUNCTION("""COMPUTED_VALUE"""),6.94)</f>
        <v>6.94</v>
      </c>
      <c r="H194" s="1">
        <f ca="1">IFERROR(__xludf.DUMMYFUNCTION("""COMPUTED_VALUE"""),13)</f>
        <v>13</v>
      </c>
      <c r="I194" s="1">
        <f ca="1">IFERROR(__xludf.DUMMYFUNCTION("""COMPUTED_VALUE"""),5)</f>
        <v>5</v>
      </c>
      <c r="J194" s="1">
        <f ca="1">IFERROR(__xludf.DUMMYFUNCTION("""COMPUTED_VALUE"""),14)</f>
        <v>14</v>
      </c>
      <c r="K194" s="1">
        <f ca="1">IFERROR(__xludf.DUMMYFUNCTION("""COMPUTED_VALUE"""),2)</f>
        <v>2</v>
      </c>
      <c r="L194" s="1">
        <f ca="1">IFERROR(__xludf.DUMMYFUNCTION("""COMPUTED_VALUE"""),7)</f>
        <v>7</v>
      </c>
      <c r="M194" s="1">
        <f ca="1">IFERROR(__xludf.DUMMYFUNCTION("""COMPUTED_VALUE"""),3)</f>
        <v>3</v>
      </c>
      <c r="N194" s="1">
        <f ca="1">IFERROR(__xludf.DUMMYFUNCTION("""COMPUTED_VALUE"""),2793)</f>
        <v>2793</v>
      </c>
      <c r="O194" s="1">
        <f ca="1">IFERROR(__xludf.DUMMYFUNCTION("""COMPUTED_VALUE"""),2245)</f>
        <v>2245</v>
      </c>
      <c r="P194" s="1">
        <f ca="1">IFERROR(__xludf.DUMMYFUNCTION("""COMPUTED_VALUE"""),1410)</f>
        <v>1410</v>
      </c>
      <c r="Q194" s="1">
        <f ca="1">IFERROR(__xludf.DUMMYFUNCTION("""COMPUTED_VALUE"""),1009)</f>
        <v>1009</v>
      </c>
      <c r="R194" s="1">
        <f ca="1">IFERROR(__xludf.DUMMYFUNCTION("""COMPUTED_VALUE"""),2078)</f>
        <v>2078</v>
      </c>
      <c r="S194" s="1">
        <f ca="1">IFERROR(__xludf.DUMMYFUNCTION("""COMPUTED_VALUE"""),0.486)</f>
        <v>0.48599999999999999</v>
      </c>
      <c r="T194" s="1">
        <f ca="1">IFERROR(__xludf.DUMMYFUNCTION("""COMPUTED_VALUE"""),321)</f>
        <v>321</v>
      </c>
      <c r="U194" s="1">
        <f ca="1">IFERROR(__xludf.DUMMYFUNCTION("""COMPUTED_VALUE"""),739)</f>
        <v>739</v>
      </c>
      <c r="V194" s="1">
        <f ca="1">IFERROR(__xludf.DUMMYFUNCTION("""COMPUTED_VALUE"""),0.434)</f>
        <v>0.434</v>
      </c>
      <c r="W194" s="1">
        <f ca="1">IFERROR(__xludf.DUMMYFUNCTION("""COMPUTED_VALUE"""),454)</f>
        <v>454</v>
      </c>
      <c r="X194" s="1">
        <f ca="1">IFERROR(__xludf.DUMMYFUNCTION("""COMPUTED_VALUE"""),623)</f>
        <v>623</v>
      </c>
      <c r="Y194" s="1">
        <f ca="1">IFERROR(__xludf.DUMMYFUNCTION("""COMPUTED_VALUE"""),0.729)</f>
        <v>0.72899999999999998</v>
      </c>
      <c r="Z194" s="1">
        <f ca="1">IFERROR(__xludf.DUMMYFUNCTION("""COMPUTED_VALUE"""),427)</f>
        <v>427</v>
      </c>
      <c r="AA194" s="1">
        <f ca="1">IFERROR(__xludf.DUMMYFUNCTION("""COMPUTED_VALUE"""),1454)</f>
        <v>1454</v>
      </c>
      <c r="AB194" s="1">
        <f ca="1">IFERROR(__xludf.DUMMYFUNCTION("""COMPUTED_VALUE"""),719)</f>
        <v>719</v>
      </c>
      <c r="AC194" s="1">
        <f ca="1">IFERROR(__xludf.DUMMYFUNCTION("""COMPUTED_VALUE"""),156)</f>
        <v>156</v>
      </c>
      <c r="AD194" s="1">
        <f ca="1">IFERROR(__xludf.DUMMYFUNCTION("""COMPUTED_VALUE"""),177)</f>
        <v>177</v>
      </c>
      <c r="AE194" s="1">
        <f ca="1">IFERROR(__xludf.DUMMYFUNCTION("""COMPUTED_VALUE"""),406)</f>
        <v>406</v>
      </c>
      <c r="AF194" s="1">
        <f ca="1">IFERROR(__xludf.DUMMYFUNCTION("""COMPUTED_VALUE"""),671)</f>
        <v>671</v>
      </c>
    </row>
    <row r="195" spans="1:32" ht="12.5" x14ac:dyDescent="0.25">
      <c r="A195" s="1" t="str">
        <f ca="1">IFERROR(__xludf.DUMMYFUNCTION("""COMPUTED_VALUE"""),"MichiganNCAA")</f>
        <v>MichiganNCAA</v>
      </c>
      <c r="B195" s="1">
        <f ca="1">IFERROR(__xludf.DUMMYFUNCTION("""COMPUTED_VALUE"""),36)</f>
        <v>36</v>
      </c>
      <c r="C195" s="1">
        <f ca="1">IFERROR(__xludf.DUMMYFUNCTION("""COMPUTED_VALUE"""),23)</f>
        <v>23</v>
      </c>
      <c r="D195" s="1">
        <f ca="1">IFERROR(__xludf.DUMMYFUNCTION("""COMPUTED_VALUE"""),13)</f>
        <v>13</v>
      </c>
      <c r="E195" s="1">
        <f ca="1">IFERROR(__xludf.DUMMYFUNCTION("""COMPUTED_VALUE"""),0.639)</f>
        <v>0.63900000000000001</v>
      </c>
      <c r="F195" s="1">
        <f ca="1">IFERROR(__xludf.DUMMYFUNCTION("""COMPUTED_VALUE"""),13.75)</f>
        <v>13.75</v>
      </c>
      <c r="G195" s="1">
        <f ca="1">IFERROR(__xludf.DUMMYFUNCTION("""COMPUTED_VALUE"""),7.92)</f>
        <v>7.92</v>
      </c>
      <c r="H195" s="1">
        <f ca="1">IFERROR(__xludf.DUMMYFUNCTION("""COMPUTED_VALUE"""),10)</f>
        <v>10</v>
      </c>
      <c r="I195" s="1">
        <f ca="1">IFERROR(__xludf.DUMMYFUNCTION("""COMPUTED_VALUE"""),8)</f>
        <v>8</v>
      </c>
      <c r="J195" s="1">
        <f ca="1">IFERROR(__xludf.DUMMYFUNCTION("""COMPUTED_VALUE"""),13)</f>
        <v>13</v>
      </c>
      <c r="K195" s="1">
        <f ca="1">IFERROR(__xludf.DUMMYFUNCTION("""COMPUTED_VALUE"""),4)</f>
        <v>4</v>
      </c>
      <c r="L195" s="1">
        <f ca="1">IFERROR(__xludf.DUMMYFUNCTION("""COMPUTED_VALUE"""),4)</f>
        <v>4</v>
      </c>
      <c r="M195" s="1">
        <f ca="1">IFERROR(__xludf.DUMMYFUNCTION("""COMPUTED_VALUE"""),6)</f>
        <v>6</v>
      </c>
      <c r="N195" s="1">
        <f ca="1">IFERROR(__xludf.DUMMYFUNCTION("""COMPUTED_VALUE"""),2656)</f>
        <v>2656</v>
      </c>
      <c r="O195" s="1">
        <f ca="1">IFERROR(__xludf.DUMMYFUNCTION("""COMPUTED_VALUE"""),2426)</f>
        <v>2426</v>
      </c>
      <c r="P195" s="1">
        <f ca="1">IFERROR(__xludf.DUMMYFUNCTION("""COMPUTED_VALUE"""),1445)</f>
        <v>1445</v>
      </c>
      <c r="Q195" s="1">
        <f ca="1">IFERROR(__xludf.DUMMYFUNCTION("""COMPUTED_VALUE"""),947)</f>
        <v>947</v>
      </c>
      <c r="R195" s="1">
        <f ca="1">IFERROR(__xludf.DUMMYFUNCTION("""COMPUTED_VALUE"""),2048)</f>
        <v>2048</v>
      </c>
      <c r="S195" s="1">
        <f ca="1">IFERROR(__xludf.DUMMYFUNCTION("""COMPUTED_VALUE"""),0.462)</f>
        <v>0.46200000000000002</v>
      </c>
      <c r="T195" s="1">
        <f ca="1">IFERROR(__xludf.DUMMYFUNCTION("""COMPUTED_VALUE"""),342)</f>
        <v>342</v>
      </c>
      <c r="U195" s="1">
        <f ca="1">IFERROR(__xludf.DUMMYFUNCTION("""COMPUTED_VALUE"""),901)</f>
        <v>901</v>
      </c>
      <c r="V195" s="1">
        <f ca="1">IFERROR(__xludf.DUMMYFUNCTION("""COMPUTED_VALUE"""),0.38)</f>
        <v>0.38</v>
      </c>
      <c r="W195" s="1">
        <f ca="1">IFERROR(__xludf.DUMMYFUNCTION("""COMPUTED_VALUE"""),420)</f>
        <v>420</v>
      </c>
      <c r="X195" s="1">
        <f ca="1">IFERROR(__xludf.DUMMYFUNCTION("""COMPUTED_VALUE"""),569)</f>
        <v>569</v>
      </c>
      <c r="Y195" s="1">
        <f ca="1">IFERROR(__xludf.DUMMYFUNCTION("""COMPUTED_VALUE"""),0.738)</f>
        <v>0.73799999999999999</v>
      </c>
      <c r="Z195" s="1">
        <f ca="1">IFERROR(__xludf.DUMMYFUNCTION("""COMPUTED_VALUE"""),290)</f>
        <v>290</v>
      </c>
      <c r="AA195" s="1">
        <f ca="1">IFERROR(__xludf.DUMMYFUNCTION("""COMPUTED_VALUE"""),1152)</f>
        <v>1152</v>
      </c>
      <c r="AB195" s="1">
        <f ca="1">IFERROR(__xludf.DUMMYFUNCTION("""COMPUTED_VALUE"""),537)</f>
        <v>537</v>
      </c>
      <c r="AC195" s="1">
        <f ca="1">IFERROR(__xludf.DUMMYFUNCTION("""COMPUTED_VALUE"""),203)</f>
        <v>203</v>
      </c>
      <c r="AD195" s="1">
        <f ca="1">IFERROR(__xludf.DUMMYFUNCTION("""COMPUTED_VALUE"""),81)</f>
        <v>81</v>
      </c>
      <c r="AE195" s="1">
        <f ca="1">IFERROR(__xludf.DUMMYFUNCTION("""COMPUTED_VALUE"""),348)</f>
        <v>348</v>
      </c>
      <c r="AF195" s="1">
        <f ca="1">IFERROR(__xludf.DUMMYFUNCTION("""COMPUTED_VALUE"""),558)</f>
        <v>558</v>
      </c>
    </row>
    <row r="196" spans="1:32" ht="12.5" x14ac:dyDescent="0.25">
      <c r="A196" s="1" t="str">
        <f ca="1">IFERROR(__xludf.DUMMYFUNCTION("""COMPUTED_VALUE"""),"Middle TennesseeNCAA")</f>
        <v>Middle TennesseeNCAA</v>
      </c>
      <c r="B196" s="1">
        <f ca="1">IFERROR(__xludf.DUMMYFUNCTION("""COMPUTED_VALUE"""),35)</f>
        <v>35</v>
      </c>
      <c r="C196" s="1">
        <f ca="1">IFERROR(__xludf.DUMMYFUNCTION("""COMPUTED_VALUE"""),25)</f>
        <v>25</v>
      </c>
      <c r="D196" s="1">
        <f ca="1">IFERROR(__xludf.DUMMYFUNCTION("""COMPUTED_VALUE"""),10)</f>
        <v>10</v>
      </c>
      <c r="E196" s="1">
        <f ca="1">IFERROR(__xludf.DUMMYFUNCTION("""COMPUTED_VALUE"""),0.714)</f>
        <v>0.71399999999999997</v>
      </c>
      <c r="F196" s="1">
        <f ca="1">IFERROR(__xludf.DUMMYFUNCTION("""COMPUTED_VALUE"""),2.66)</f>
        <v>2.66</v>
      </c>
      <c r="G196" s="1">
        <f ca="1">IFERROR(__xludf.DUMMYFUNCTION("""COMPUTED_VALUE"""),-0.7)</f>
        <v>-0.7</v>
      </c>
      <c r="H196" s="1">
        <f ca="1">IFERROR(__xludf.DUMMYFUNCTION("""COMPUTED_VALUE"""),13)</f>
        <v>13</v>
      </c>
      <c r="I196" s="1">
        <f ca="1">IFERROR(__xludf.DUMMYFUNCTION("""COMPUTED_VALUE"""),5)</f>
        <v>5</v>
      </c>
      <c r="J196" s="1">
        <f ca="1">IFERROR(__xludf.DUMMYFUNCTION("""COMPUTED_VALUE"""),11)</f>
        <v>11</v>
      </c>
      <c r="K196" s="1">
        <f ca="1">IFERROR(__xludf.DUMMYFUNCTION("""COMPUTED_VALUE"""),3)</f>
        <v>3</v>
      </c>
      <c r="L196" s="1">
        <f ca="1">IFERROR(__xludf.DUMMYFUNCTION("""COMPUTED_VALUE"""),8)</f>
        <v>8</v>
      </c>
      <c r="M196" s="1">
        <f ca="1">IFERROR(__xludf.DUMMYFUNCTION("""COMPUTED_VALUE"""),6)</f>
        <v>6</v>
      </c>
      <c r="N196" s="1">
        <f ca="1">IFERROR(__xludf.DUMMYFUNCTION("""COMPUTED_VALUE"""),2539)</f>
        <v>2539</v>
      </c>
      <c r="O196" s="1">
        <f ca="1">IFERROR(__xludf.DUMMYFUNCTION("""COMPUTED_VALUE"""),2410)</f>
        <v>2410</v>
      </c>
      <c r="P196" s="1">
        <f ca="1">IFERROR(__xludf.DUMMYFUNCTION("""COMPUTED_VALUE"""),1405)</f>
        <v>1405</v>
      </c>
      <c r="Q196" s="1">
        <f ca="1">IFERROR(__xludf.DUMMYFUNCTION("""COMPUTED_VALUE"""),909)</f>
        <v>909</v>
      </c>
      <c r="R196" s="1">
        <f ca="1">IFERROR(__xludf.DUMMYFUNCTION("""COMPUTED_VALUE"""),2025)</f>
        <v>2025</v>
      </c>
      <c r="S196" s="1">
        <f ca="1">IFERROR(__xludf.DUMMYFUNCTION("""COMPUTED_VALUE"""),0.449)</f>
        <v>0.44900000000000001</v>
      </c>
      <c r="T196" s="1">
        <f ca="1">IFERROR(__xludf.DUMMYFUNCTION("""COMPUTED_VALUE"""),279)</f>
        <v>279</v>
      </c>
      <c r="U196" s="1">
        <f ca="1">IFERROR(__xludf.DUMMYFUNCTION("""COMPUTED_VALUE"""),716)</f>
        <v>716</v>
      </c>
      <c r="V196" s="1">
        <f ca="1">IFERROR(__xludf.DUMMYFUNCTION("""COMPUTED_VALUE"""),0.39)</f>
        <v>0.39</v>
      </c>
      <c r="W196" s="1">
        <f ca="1">IFERROR(__xludf.DUMMYFUNCTION("""COMPUTED_VALUE"""),442)</f>
        <v>442</v>
      </c>
      <c r="X196" s="1">
        <f ca="1">IFERROR(__xludf.DUMMYFUNCTION("""COMPUTED_VALUE"""),718)</f>
        <v>718</v>
      </c>
      <c r="Y196" s="1">
        <f ca="1">IFERROR(__xludf.DUMMYFUNCTION("""COMPUTED_VALUE"""),0.616)</f>
        <v>0.61599999999999999</v>
      </c>
      <c r="Z196" s="1">
        <f ca="1">IFERROR(__xludf.DUMMYFUNCTION("""COMPUTED_VALUE"""),369)</f>
        <v>369</v>
      </c>
      <c r="AA196" s="1">
        <f ca="1">IFERROR(__xludf.DUMMYFUNCTION("""COMPUTED_VALUE"""),1283)</f>
        <v>1283</v>
      </c>
      <c r="AB196" s="1">
        <f ca="1">IFERROR(__xludf.DUMMYFUNCTION("""COMPUTED_VALUE"""),455)</f>
        <v>455</v>
      </c>
      <c r="AC196" s="1">
        <f ca="1">IFERROR(__xludf.DUMMYFUNCTION("""COMPUTED_VALUE"""),215)</f>
        <v>215</v>
      </c>
      <c r="AD196" s="1">
        <f ca="1">IFERROR(__xludf.DUMMYFUNCTION("""COMPUTED_VALUE"""),123)</f>
        <v>123</v>
      </c>
      <c r="AE196" s="1">
        <f ca="1">IFERROR(__xludf.DUMMYFUNCTION("""COMPUTED_VALUE"""),419)</f>
        <v>419</v>
      </c>
      <c r="AF196" s="1">
        <f ca="1">IFERROR(__xludf.DUMMYFUNCTION("""COMPUTED_VALUE"""),700)</f>
        <v>700</v>
      </c>
    </row>
    <row r="197" spans="1:32" ht="12.5" x14ac:dyDescent="0.25">
      <c r="A197" s="1" t="str">
        <f ca="1">IFERROR(__xludf.DUMMYFUNCTION("""COMPUTED_VALUE"""),"Milwaukee")</f>
        <v>Milwaukee</v>
      </c>
      <c r="B197" s="1">
        <f ca="1">IFERROR(__xludf.DUMMYFUNCTION("""COMPUTED_VALUE"""),33)</f>
        <v>33</v>
      </c>
      <c r="C197" s="1">
        <f ca="1">IFERROR(__xludf.DUMMYFUNCTION("""COMPUTED_VALUE"""),20)</f>
        <v>20</v>
      </c>
      <c r="D197" s="1">
        <f ca="1">IFERROR(__xludf.DUMMYFUNCTION("""COMPUTED_VALUE"""),13)</f>
        <v>13</v>
      </c>
      <c r="E197" s="1">
        <f ca="1">IFERROR(__xludf.DUMMYFUNCTION("""COMPUTED_VALUE"""),0.606)</f>
        <v>0.60599999999999998</v>
      </c>
      <c r="F197" s="1">
        <f ca="1">IFERROR(__xludf.DUMMYFUNCTION("""COMPUTED_VALUE"""),2.89)</f>
        <v>2.89</v>
      </c>
      <c r="G197" s="1">
        <f ca="1">IFERROR(__xludf.DUMMYFUNCTION("""COMPUTED_VALUE"""),-2.02)</f>
        <v>-2.02</v>
      </c>
      <c r="H197" s="1">
        <f ca="1">IFERROR(__xludf.DUMMYFUNCTION("""COMPUTED_VALUE"""),10)</f>
        <v>10</v>
      </c>
      <c r="I197" s="1">
        <f ca="1">IFERROR(__xludf.DUMMYFUNCTION("""COMPUTED_VALUE"""),8)</f>
        <v>8</v>
      </c>
      <c r="J197" s="1">
        <f ca="1">IFERROR(__xludf.DUMMYFUNCTION("""COMPUTED_VALUE"""),9)</f>
        <v>9</v>
      </c>
      <c r="K197" s="1">
        <f ca="1">IFERROR(__xludf.DUMMYFUNCTION("""COMPUTED_VALUE"""),4)</f>
        <v>4</v>
      </c>
      <c r="L197" s="1">
        <f ca="1">IFERROR(__xludf.DUMMYFUNCTION("""COMPUTED_VALUE"""),7)</f>
        <v>7</v>
      </c>
      <c r="M197" s="1">
        <f ca="1">IFERROR(__xludf.DUMMYFUNCTION("""COMPUTED_VALUE"""),6)</f>
        <v>6</v>
      </c>
      <c r="N197" s="1">
        <f ca="1">IFERROR(__xludf.DUMMYFUNCTION("""COMPUTED_VALUE"""),2618)</f>
        <v>2618</v>
      </c>
      <c r="O197" s="1">
        <f ca="1">IFERROR(__xludf.DUMMYFUNCTION("""COMPUTED_VALUE"""),2391)</f>
        <v>2391</v>
      </c>
      <c r="P197" s="1">
        <f ca="1">IFERROR(__xludf.DUMMYFUNCTION("""COMPUTED_VALUE"""),1345)</f>
        <v>1345</v>
      </c>
      <c r="Q197" s="1">
        <f ca="1">IFERROR(__xludf.DUMMYFUNCTION("""COMPUTED_VALUE"""),879)</f>
        <v>879</v>
      </c>
      <c r="R197" s="1">
        <f ca="1">IFERROR(__xludf.DUMMYFUNCTION("""COMPUTED_VALUE"""),1927)</f>
        <v>1927</v>
      </c>
      <c r="S197" s="1">
        <f ca="1">IFERROR(__xludf.DUMMYFUNCTION("""COMPUTED_VALUE"""),0.456)</f>
        <v>0.45600000000000002</v>
      </c>
      <c r="T197" s="1">
        <f ca="1">IFERROR(__xludf.DUMMYFUNCTION("""COMPUTED_VALUE"""),306)</f>
        <v>306</v>
      </c>
      <c r="U197" s="1">
        <f ca="1">IFERROR(__xludf.DUMMYFUNCTION("""COMPUTED_VALUE"""),842)</f>
        <v>842</v>
      </c>
      <c r="V197" s="1">
        <f ca="1">IFERROR(__xludf.DUMMYFUNCTION("""COMPUTED_VALUE"""),0.363)</f>
        <v>0.36299999999999999</v>
      </c>
      <c r="W197" s="1">
        <f ca="1">IFERROR(__xludf.DUMMYFUNCTION("""COMPUTED_VALUE"""),554)</f>
        <v>554</v>
      </c>
      <c r="X197" s="1">
        <f ca="1">IFERROR(__xludf.DUMMYFUNCTION("""COMPUTED_VALUE"""),718)</f>
        <v>718</v>
      </c>
      <c r="Y197" s="1">
        <f ca="1">IFERROR(__xludf.DUMMYFUNCTION("""COMPUTED_VALUE"""),0.772)</f>
        <v>0.77200000000000002</v>
      </c>
      <c r="Z197" s="1">
        <f ca="1">IFERROR(__xludf.DUMMYFUNCTION("""COMPUTED_VALUE"""),321)</f>
        <v>321</v>
      </c>
      <c r="AA197" s="1">
        <f ca="1">IFERROR(__xludf.DUMMYFUNCTION("""COMPUTED_VALUE"""),1195)</f>
        <v>1195</v>
      </c>
      <c r="AB197" s="1">
        <f ca="1">IFERROR(__xludf.DUMMYFUNCTION("""COMPUTED_VALUE"""),566)</f>
        <v>566</v>
      </c>
      <c r="AC197" s="1">
        <f ca="1">IFERROR(__xludf.DUMMYFUNCTION("""COMPUTED_VALUE"""),149)</f>
        <v>149</v>
      </c>
      <c r="AD197" s="1">
        <f ca="1">IFERROR(__xludf.DUMMYFUNCTION("""COMPUTED_VALUE"""),86)</f>
        <v>86</v>
      </c>
      <c r="AE197" s="1">
        <f ca="1">IFERROR(__xludf.DUMMYFUNCTION("""COMPUTED_VALUE"""),362)</f>
        <v>362</v>
      </c>
      <c r="AF197" s="1">
        <f ca="1">IFERROR(__xludf.DUMMYFUNCTION("""COMPUTED_VALUE"""),562)</f>
        <v>562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IFERROR(__xludf.DUMMYFUNCTION("""COMPUTED_VALUE"""),"Minnesota")</f>
        <v>Minnesota</v>
      </c>
      <c r="B200" s="1">
        <f ca="1">IFERROR(__xludf.DUMMYFUNCTION("""COMPUTED_VALUE"""),31)</f>
        <v>31</v>
      </c>
      <c r="C200" s="1">
        <f ca="1">IFERROR(__xludf.DUMMYFUNCTION("""COMPUTED_VALUE"""),8)</f>
        <v>8</v>
      </c>
      <c r="D200" s="1">
        <f ca="1">IFERROR(__xludf.DUMMYFUNCTION("""COMPUTED_VALUE"""),23)</f>
        <v>23</v>
      </c>
      <c r="E200" s="1">
        <f ca="1">IFERROR(__xludf.DUMMYFUNCTION("""COMPUTED_VALUE"""),0.258)</f>
        <v>0.25800000000000001</v>
      </c>
      <c r="F200" s="1">
        <f ca="1">IFERROR(__xludf.DUMMYFUNCTION("""COMPUTED_VALUE"""),0.86)</f>
        <v>0.86</v>
      </c>
      <c r="G200" s="1">
        <f ca="1">IFERROR(__xludf.DUMMYFUNCTION("""COMPUTED_VALUE"""),6.86)</f>
        <v>6.86</v>
      </c>
      <c r="H200" s="1">
        <f ca="1">IFERROR(__xludf.DUMMYFUNCTION("""COMPUTED_VALUE"""),2)</f>
        <v>2</v>
      </c>
      <c r="I200" s="1">
        <f ca="1">IFERROR(__xludf.DUMMYFUNCTION("""COMPUTED_VALUE"""),16)</f>
        <v>16</v>
      </c>
      <c r="J200" s="1">
        <f ca="1">IFERROR(__xludf.DUMMYFUNCTION("""COMPUTED_VALUE"""),7)</f>
        <v>7</v>
      </c>
      <c r="K200" s="1">
        <f ca="1">IFERROR(__xludf.DUMMYFUNCTION("""COMPUTED_VALUE"""),10)</f>
        <v>10</v>
      </c>
      <c r="L200" s="1">
        <f ca="1">IFERROR(__xludf.DUMMYFUNCTION("""COMPUTED_VALUE"""),0)</f>
        <v>0</v>
      </c>
      <c r="M200" s="1">
        <f ca="1">IFERROR(__xludf.DUMMYFUNCTION("""COMPUTED_VALUE"""),9)</f>
        <v>9</v>
      </c>
      <c r="N200" s="1">
        <f ca="1">IFERROR(__xludf.DUMMYFUNCTION("""COMPUTED_VALUE"""),2108)</f>
        <v>2108</v>
      </c>
      <c r="O200" s="1">
        <f ca="1">IFERROR(__xludf.DUMMYFUNCTION("""COMPUTED_VALUE"""),2294)</f>
        <v>2294</v>
      </c>
      <c r="P200" s="1">
        <f ca="1">IFERROR(__xludf.DUMMYFUNCTION("""COMPUTED_VALUE"""),1255)</f>
        <v>1255</v>
      </c>
      <c r="Q200" s="1">
        <f ca="1">IFERROR(__xludf.DUMMYFUNCTION("""COMPUTED_VALUE"""),724)</f>
        <v>724</v>
      </c>
      <c r="R200" s="1">
        <f ca="1">IFERROR(__xludf.DUMMYFUNCTION("""COMPUTED_VALUE"""),1785)</f>
        <v>1785</v>
      </c>
      <c r="S200" s="1">
        <f ca="1">IFERROR(__xludf.DUMMYFUNCTION("""COMPUTED_VALUE"""),0.406)</f>
        <v>0.40600000000000003</v>
      </c>
      <c r="T200" s="1">
        <f ca="1">IFERROR(__xludf.DUMMYFUNCTION("""COMPUTED_VALUE"""),191)</f>
        <v>191</v>
      </c>
      <c r="U200" s="1">
        <f ca="1">IFERROR(__xludf.DUMMYFUNCTION("""COMPUTED_VALUE"""),616)</f>
        <v>616</v>
      </c>
      <c r="V200" s="1">
        <f ca="1">IFERROR(__xludf.DUMMYFUNCTION("""COMPUTED_VALUE"""),0.31)</f>
        <v>0.31</v>
      </c>
      <c r="W200" s="1">
        <f ca="1">IFERROR(__xludf.DUMMYFUNCTION("""COMPUTED_VALUE"""),469)</f>
        <v>469</v>
      </c>
      <c r="X200" s="1">
        <f ca="1">IFERROR(__xludf.DUMMYFUNCTION("""COMPUTED_VALUE"""),662)</f>
        <v>662</v>
      </c>
      <c r="Y200" s="1">
        <f ca="1">IFERROR(__xludf.DUMMYFUNCTION("""COMPUTED_VALUE"""),0.708)</f>
        <v>0.70799999999999996</v>
      </c>
      <c r="Z200" s="1">
        <f ca="1">IFERROR(__xludf.DUMMYFUNCTION("""COMPUTED_VALUE"""),310)</f>
        <v>310</v>
      </c>
      <c r="AA200" s="1">
        <f ca="1">IFERROR(__xludf.DUMMYFUNCTION("""COMPUTED_VALUE"""),1067)</f>
        <v>1067</v>
      </c>
      <c r="AB200" s="1">
        <f ca="1">IFERROR(__xludf.DUMMYFUNCTION("""COMPUTED_VALUE"""),379)</f>
        <v>379</v>
      </c>
      <c r="AC200" s="1">
        <f ca="1">IFERROR(__xludf.DUMMYFUNCTION("""COMPUTED_VALUE"""),170)</f>
        <v>170</v>
      </c>
      <c r="AD200" s="1">
        <f ca="1">IFERROR(__xludf.DUMMYFUNCTION("""COMPUTED_VALUE"""),112)</f>
        <v>112</v>
      </c>
      <c r="AE200" s="1">
        <f ca="1">IFERROR(__xludf.DUMMYFUNCTION("""COMPUTED_VALUE"""),354)</f>
        <v>354</v>
      </c>
      <c r="AF200" s="1">
        <f ca="1">IFERROR(__xludf.DUMMYFUNCTION("""COMPUTED_VALUE"""),565)</f>
        <v>565</v>
      </c>
    </row>
    <row r="201" spans="1:32" ht="12.5" x14ac:dyDescent="0.25">
      <c r="A201" s="1" t="str">
        <f ca="1">IFERROR(__xludf.DUMMYFUNCTION("""COMPUTED_VALUE"""),"Mississippi State")</f>
        <v>Mississippi State</v>
      </c>
      <c r="B201" s="1">
        <f ca="1">IFERROR(__xludf.DUMMYFUNCTION("""COMPUTED_VALUE"""),31)</f>
        <v>31</v>
      </c>
      <c r="C201" s="1">
        <f ca="1">IFERROR(__xludf.DUMMYFUNCTION("""COMPUTED_VALUE"""),14)</f>
        <v>14</v>
      </c>
      <c r="D201" s="1">
        <f ca="1">IFERROR(__xludf.DUMMYFUNCTION("""COMPUTED_VALUE"""),17)</f>
        <v>17</v>
      </c>
      <c r="E201" s="1">
        <f ca="1">IFERROR(__xludf.DUMMYFUNCTION("""COMPUTED_VALUE"""),0.452)</f>
        <v>0.45200000000000001</v>
      </c>
      <c r="F201" s="1">
        <f ca="1">IFERROR(__xludf.DUMMYFUNCTION("""COMPUTED_VALUE"""),8.18)</f>
        <v>8.18</v>
      </c>
      <c r="G201" s="1">
        <f ca="1">IFERROR(__xludf.DUMMYFUNCTION("""COMPUTED_VALUE"""),6.02)</f>
        <v>6.02</v>
      </c>
      <c r="H201" s="1">
        <f ca="1">IFERROR(__xludf.DUMMYFUNCTION("""COMPUTED_VALUE"""),7)</f>
        <v>7</v>
      </c>
      <c r="I201" s="1">
        <f ca="1">IFERROR(__xludf.DUMMYFUNCTION("""COMPUTED_VALUE"""),11)</f>
        <v>11</v>
      </c>
      <c r="J201" s="1">
        <f ca="1">IFERROR(__xludf.DUMMYFUNCTION("""COMPUTED_VALUE"""),10)</f>
        <v>10</v>
      </c>
      <c r="K201" s="1">
        <f ca="1">IFERROR(__xludf.DUMMYFUNCTION("""COMPUTED_VALUE"""),5)</f>
        <v>5</v>
      </c>
      <c r="L201" s="1">
        <f ca="1">IFERROR(__xludf.DUMMYFUNCTION("""COMPUTED_VALUE"""),2)</f>
        <v>2</v>
      </c>
      <c r="M201" s="1">
        <f ca="1">IFERROR(__xludf.DUMMYFUNCTION("""COMPUTED_VALUE"""),9)</f>
        <v>9</v>
      </c>
      <c r="N201" s="1">
        <f ca="1">IFERROR(__xludf.DUMMYFUNCTION("""COMPUTED_VALUE"""),2323)</f>
        <v>2323</v>
      </c>
      <c r="O201" s="1">
        <f ca="1">IFERROR(__xludf.DUMMYFUNCTION("""COMPUTED_VALUE"""),2256)</f>
        <v>2256</v>
      </c>
      <c r="P201" s="1">
        <f ca="1">IFERROR(__xludf.DUMMYFUNCTION("""COMPUTED_VALUE"""),1245)</f>
        <v>1245</v>
      </c>
      <c r="Q201" s="1">
        <f ca="1">IFERROR(__xludf.DUMMYFUNCTION("""COMPUTED_VALUE"""),850)</f>
        <v>850</v>
      </c>
      <c r="R201" s="1">
        <f ca="1">IFERROR(__xludf.DUMMYFUNCTION("""COMPUTED_VALUE"""),1862)</f>
        <v>1862</v>
      </c>
      <c r="S201" s="1">
        <f ca="1">IFERROR(__xludf.DUMMYFUNCTION("""COMPUTED_VALUE"""),0.456)</f>
        <v>0.45600000000000002</v>
      </c>
      <c r="T201" s="1">
        <f ca="1">IFERROR(__xludf.DUMMYFUNCTION("""COMPUTED_VALUE"""),225)</f>
        <v>225</v>
      </c>
      <c r="U201" s="1">
        <f ca="1">IFERROR(__xludf.DUMMYFUNCTION("""COMPUTED_VALUE"""),674)</f>
        <v>674</v>
      </c>
      <c r="V201" s="1">
        <f ca="1">IFERROR(__xludf.DUMMYFUNCTION("""COMPUTED_VALUE"""),0.334)</f>
        <v>0.33400000000000002</v>
      </c>
      <c r="W201" s="1">
        <f ca="1">IFERROR(__xludf.DUMMYFUNCTION("""COMPUTED_VALUE"""),398)</f>
        <v>398</v>
      </c>
      <c r="X201" s="1">
        <f ca="1">IFERROR(__xludf.DUMMYFUNCTION("""COMPUTED_VALUE"""),549)</f>
        <v>549</v>
      </c>
      <c r="Y201" s="1">
        <f ca="1">IFERROR(__xludf.DUMMYFUNCTION("""COMPUTED_VALUE"""),0.725)</f>
        <v>0.72499999999999998</v>
      </c>
      <c r="Z201" s="1">
        <f ca="1">IFERROR(__xludf.DUMMYFUNCTION("""COMPUTED_VALUE"""),325)</f>
        <v>325</v>
      </c>
      <c r="AA201" s="1">
        <f ca="1">IFERROR(__xludf.DUMMYFUNCTION("""COMPUTED_VALUE"""),1096)</f>
        <v>1096</v>
      </c>
      <c r="AB201" s="1">
        <f ca="1">IFERROR(__xludf.DUMMYFUNCTION("""COMPUTED_VALUE"""),431)</f>
        <v>431</v>
      </c>
      <c r="AC201" s="1">
        <f ca="1">IFERROR(__xludf.DUMMYFUNCTION("""COMPUTED_VALUE"""),202)</f>
        <v>202</v>
      </c>
      <c r="AD201" s="1">
        <f ca="1">IFERROR(__xludf.DUMMYFUNCTION("""COMPUTED_VALUE"""),132)</f>
        <v>132</v>
      </c>
      <c r="AE201" s="1">
        <f ca="1">IFERROR(__xludf.DUMMYFUNCTION("""COMPUTED_VALUE"""),393)</f>
        <v>393</v>
      </c>
      <c r="AF201" s="1">
        <f ca="1">IFERROR(__xludf.DUMMYFUNCTION("""COMPUTED_VALUE"""),596)</f>
        <v>596</v>
      </c>
    </row>
    <row r="202" spans="1:32" ht="12.5" x14ac:dyDescent="0.25">
      <c r="A202" s="1" t="str">
        <f ca="1">IFERROR(__xludf.DUMMYFUNCTION("""COMPUTED_VALUE"""),"Mississippi Valley State")</f>
        <v>Mississippi Valley State</v>
      </c>
      <c r="B202" s="1">
        <f ca="1">IFERROR(__xludf.DUMMYFUNCTION("""COMPUTED_VALUE"""),35)</f>
        <v>35</v>
      </c>
      <c r="C202" s="1">
        <f ca="1">IFERROR(__xludf.DUMMYFUNCTION("""COMPUTED_VALUE"""),8)</f>
        <v>8</v>
      </c>
      <c r="D202" s="1">
        <f ca="1">IFERROR(__xludf.DUMMYFUNCTION("""COMPUTED_VALUE"""),27)</f>
        <v>27</v>
      </c>
      <c r="E202" s="1">
        <f ca="1">IFERROR(__xludf.DUMMYFUNCTION("""COMPUTED_VALUE"""),0.229)</f>
        <v>0.22900000000000001</v>
      </c>
      <c r="F202" s="1">
        <f ca="1">IFERROR(__xludf.DUMMYFUNCTION("""COMPUTED_VALUE"""),-19.86)</f>
        <v>-19.86</v>
      </c>
      <c r="G202" s="1">
        <f ca="1">IFERROR(__xludf.DUMMYFUNCTION("""COMPUTED_VALUE"""),-8.11)</f>
        <v>-8.11</v>
      </c>
      <c r="H202" s="1">
        <f ca="1">IFERROR(__xludf.DUMMYFUNCTION("""COMPUTED_VALUE"""),6)</f>
        <v>6</v>
      </c>
      <c r="I202" s="1">
        <f ca="1">IFERROR(__xludf.DUMMYFUNCTION("""COMPUTED_VALUE"""),12)</f>
        <v>12</v>
      </c>
      <c r="J202" s="1">
        <f ca="1">IFERROR(__xludf.DUMMYFUNCTION("""COMPUTED_VALUE"""),3)</f>
        <v>3</v>
      </c>
      <c r="K202" s="1">
        <f ca="1">IFERROR(__xludf.DUMMYFUNCTION("""COMPUTED_VALUE"""),6)</f>
        <v>6</v>
      </c>
      <c r="L202" s="1">
        <f ca="1">IFERROR(__xludf.DUMMYFUNCTION("""COMPUTED_VALUE"""),3)</f>
        <v>3</v>
      </c>
      <c r="M202" s="1">
        <f ca="1">IFERROR(__xludf.DUMMYFUNCTION("""COMPUTED_VALUE"""),19)</f>
        <v>19</v>
      </c>
      <c r="N202" s="1">
        <f ca="1">IFERROR(__xludf.DUMMYFUNCTION("""COMPUTED_VALUE"""),2293)</f>
        <v>2293</v>
      </c>
      <c r="O202" s="1">
        <f ca="1">IFERROR(__xludf.DUMMYFUNCTION("""COMPUTED_VALUE"""),2704)</f>
        <v>2704</v>
      </c>
      <c r="P202" s="1">
        <f ca="1">IFERROR(__xludf.DUMMYFUNCTION("""COMPUTED_VALUE"""),1425)</f>
        <v>1425</v>
      </c>
      <c r="Q202" s="1">
        <f ca="1">IFERROR(__xludf.DUMMYFUNCTION("""COMPUTED_VALUE"""),826)</f>
        <v>826</v>
      </c>
      <c r="R202" s="1">
        <f ca="1">IFERROR(__xludf.DUMMYFUNCTION("""COMPUTED_VALUE"""),2129)</f>
        <v>2129</v>
      </c>
      <c r="S202" s="1">
        <f ca="1">IFERROR(__xludf.DUMMYFUNCTION("""COMPUTED_VALUE"""),0.388)</f>
        <v>0.38800000000000001</v>
      </c>
      <c r="T202" s="1">
        <f ca="1">IFERROR(__xludf.DUMMYFUNCTION("""COMPUTED_VALUE"""),179)</f>
        <v>179</v>
      </c>
      <c r="U202" s="1">
        <f ca="1">IFERROR(__xludf.DUMMYFUNCTION("""COMPUTED_VALUE"""),590)</f>
        <v>590</v>
      </c>
      <c r="V202" s="1">
        <f ca="1">IFERROR(__xludf.DUMMYFUNCTION("""COMPUTED_VALUE"""),0.303)</f>
        <v>0.30299999999999999</v>
      </c>
      <c r="W202" s="1">
        <f ca="1">IFERROR(__xludf.DUMMYFUNCTION("""COMPUTED_VALUE"""),462)</f>
        <v>462</v>
      </c>
      <c r="X202" s="1">
        <f ca="1">IFERROR(__xludf.DUMMYFUNCTION("""COMPUTED_VALUE"""),667)</f>
        <v>667</v>
      </c>
      <c r="Y202" s="1">
        <f ca="1">IFERROR(__xludf.DUMMYFUNCTION("""COMPUTED_VALUE"""),0.693)</f>
        <v>0.69299999999999995</v>
      </c>
      <c r="Z202" s="1">
        <f ca="1">IFERROR(__xludf.DUMMYFUNCTION("""COMPUTED_VALUE"""),380)</f>
        <v>380</v>
      </c>
      <c r="AA202" s="1">
        <f ca="1">IFERROR(__xludf.DUMMYFUNCTION("""COMPUTED_VALUE"""),1245)</f>
        <v>1245</v>
      </c>
      <c r="AB202" s="1">
        <f ca="1">IFERROR(__xludf.DUMMYFUNCTION("""COMPUTED_VALUE"""),373)</f>
        <v>373</v>
      </c>
      <c r="AC202" s="1">
        <f ca="1">IFERROR(__xludf.DUMMYFUNCTION("""COMPUTED_VALUE"""),241)</f>
        <v>241</v>
      </c>
      <c r="AD202" s="1">
        <f ca="1">IFERROR(__xludf.DUMMYFUNCTION("""COMPUTED_VALUE"""),82)</f>
        <v>82</v>
      </c>
      <c r="AE202" s="1">
        <f ca="1">IFERROR(__xludf.DUMMYFUNCTION("""COMPUTED_VALUE"""),470)</f>
        <v>470</v>
      </c>
      <c r="AF202" s="1">
        <f ca="1">IFERROR(__xludf.DUMMYFUNCTION("""COMPUTED_VALUE"""),671)</f>
        <v>671</v>
      </c>
    </row>
    <row r="203" spans="1:32" ht="12.5" x14ac:dyDescent="0.25">
      <c r="A203" s="1" t="str">
        <f ca="1">IFERROR(__xludf.DUMMYFUNCTION("""COMPUTED_VALUE"""),"Mississippi")</f>
        <v>Mississippi</v>
      </c>
      <c r="B203" s="1">
        <f ca="1">IFERROR(__xludf.DUMMYFUNCTION("""COMPUTED_VALUE"""),32)</f>
        <v>32</v>
      </c>
      <c r="C203" s="1">
        <f ca="1">IFERROR(__xludf.DUMMYFUNCTION("""COMPUTED_VALUE"""),20)</f>
        <v>20</v>
      </c>
      <c r="D203" s="1">
        <f ca="1">IFERROR(__xludf.DUMMYFUNCTION("""COMPUTED_VALUE"""),12)</f>
        <v>12</v>
      </c>
      <c r="E203" s="1">
        <f ca="1">IFERROR(__xludf.DUMMYFUNCTION("""COMPUTED_VALUE"""),0.625)</f>
        <v>0.625</v>
      </c>
      <c r="F203" s="1">
        <f ca="1">IFERROR(__xludf.DUMMYFUNCTION("""COMPUTED_VALUE"""),7.91)</f>
        <v>7.91</v>
      </c>
      <c r="G203" s="1">
        <f ca="1">IFERROR(__xludf.DUMMYFUNCTION("""COMPUTED_VALUE"""),4.81)</f>
        <v>4.8099999999999996</v>
      </c>
      <c r="H203" s="1">
        <f ca="1">IFERROR(__xludf.DUMMYFUNCTION("""COMPUTED_VALUE"""),10)</f>
        <v>10</v>
      </c>
      <c r="I203" s="1">
        <f ca="1">IFERROR(__xludf.DUMMYFUNCTION("""COMPUTED_VALUE"""),8)</f>
        <v>8</v>
      </c>
      <c r="J203" s="1">
        <f ca="1">IFERROR(__xludf.DUMMYFUNCTION("""COMPUTED_VALUE"""),12)</f>
        <v>12</v>
      </c>
      <c r="K203" s="1">
        <f ca="1">IFERROR(__xludf.DUMMYFUNCTION("""COMPUTED_VALUE"""),2)</f>
        <v>2</v>
      </c>
      <c r="L203" s="1">
        <f ca="1">IFERROR(__xludf.DUMMYFUNCTION("""COMPUTED_VALUE"""),7)</f>
        <v>7</v>
      </c>
      <c r="M203" s="1">
        <f ca="1">IFERROR(__xludf.DUMMYFUNCTION("""COMPUTED_VALUE"""),7)</f>
        <v>7</v>
      </c>
      <c r="N203" s="1">
        <f ca="1">IFERROR(__xludf.DUMMYFUNCTION("""COMPUTED_VALUE"""),2405)</f>
        <v>2405</v>
      </c>
      <c r="O203" s="1">
        <f ca="1">IFERROR(__xludf.DUMMYFUNCTION("""COMPUTED_VALUE"""),2306)</f>
        <v>2306</v>
      </c>
      <c r="P203" s="1">
        <f ca="1">IFERROR(__xludf.DUMMYFUNCTION("""COMPUTED_VALUE"""),1290)</f>
        <v>1290</v>
      </c>
      <c r="Q203" s="1">
        <f ca="1">IFERROR(__xludf.DUMMYFUNCTION("""COMPUTED_VALUE"""),796)</f>
        <v>796</v>
      </c>
      <c r="R203" s="1">
        <f ca="1">IFERROR(__xludf.DUMMYFUNCTION("""COMPUTED_VALUE"""),1916)</f>
        <v>1916</v>
      </c>
      <c r="S203" s="1">
        <f ca="1">IFERROR(__xludf.DUMMYFUNCTION("""COMPUTED_VALUE"""),0.415)</f>
        <v>0.41499999999999998</v>
      </c>
      <c r="T203" s="1">
        <f ca="1">IFERROR(__xludf.DUMMYFUNCTION("""COMPUTED_VALUE"""),252)</f>
        <v>252</v>
      </c>
      <c r="U203" s="1">
        <f ca="1">IFERROR(__xludf.DUMMYFUNCTION("""COMPUTED_VALUE"""),746)</f>
        <v>746</v>
      </c>
      <c r="V203" s="1">
        <f ca="1">IFERROR(__xludf.DUMMYFUNCTION("""COMPUTED_VALUE"""),0.338)</f>
        <v>0.33800000000000002</v>
      </c>
      <c r="W203" s="1">
        <f ca="1">IFERROR(__xludf.DUMMYFUNCTION("""COMPUTED_VALUE"""),561)</f>
        <v>561</v>
      </c>
      <c r="X203" s="1">
        <f ca="1">IFERROR(__xludf.DUMMYFUNCTION("""COMPUTED_VALUE"""),791)</f>
        <v>791</v>
      </c>
      <c r="Y203" s="1">
        <f ca="1">IFERROR(__xludf.DUMMYFUNCTION("""COMPUTED_VALUE"""),0.709)</f>
        <v>0.70899999999999996</v>
      </c>
      <c r="Z203" s="1">
        <f ca="1">IFERROR(__xludf.DUMMYFUNCTION("""COMPUTED_VALUE"""),424)</f>
        <v>424</v>
      </c>
      <c r="AA203" s="1">
        <f ca="1">IFERROR(__xludf.DUMMYFUNCTION("""COMPUTED_VALUE"""),1230)</f>
        <v>1230</v>
      </c>
      <c r="AB203" s="1">
        <f ca="1">IFERROR(__xludf.DUMMYFUNCTION("""COMPUTED_VALUE"""),412)</f>
        <v>412</v>
      </c>
      <c r="AC203" s="1">
        <f ca="1">IFERROR(__xludf.DUMMYFUNCTION("""COMPUTED_VALUE"""),242)</f>
        <v>242</v>
      </c>
      <c r="AD203" s="1">
        <f ca="1">IFERROR(__xludf.DUMMYFUNCTION("""COMPUTED_VALUE"""),100)</f>
        <v>100</v>
      </c>
      <c r="AE203" s="1">
        <f ca="1">IFERROR(__xludf.DUMMYFUNCTION("""COMPUTED_VALUE"""),386)</f>
        <v>386</v>
      </c>
      <c r="AF203" s="1">
        <f ca="1">IFERROR(__xludf.DUMMYFUNCTION("""COMPUTED_VALUE"""),635)</f>
        <v>635</v>
      </c>
    </row>
    <row r="204" spans="1:32" ht="12.5" x14ac:dyDescent="0.25">
      <c r="A204" s="1" t="str">
        <f ca="1">IFERROR(__xludf.DUMMYFUNCTION("""COMPUTED_VALUE"""),"Missouri-Kansas City")</f>
        <v>Missouri-Kansas City</v>
      </c>
      <c r="B204" s="1">
        <f ca="1">IFERROR(__xludf.DUMMYFUNCTION("""COMPUTED_VALUE"""),31)</f>
        <v>31</v>
      </c>
      <c r="C204" s="1">
        <f ca="1">IFERROR(__xludf.DUMMYFUNCTION("""COMPUTED_VALUE"""),12)</f>
        <v>12</v>
      </c>
      <c r="D204" s="1">
        <f ca="1">IFERROR(__xludf.DUMMYFUNCTION("""COMPUTED_VALUE"""),19)</f>
        <v>19</v>
      </c>
      <c r="E204" s="1">
        <f ca="1">IFERROR(__xludf.DUMMYFUNCTION("""COMPUTED_VALUE"""),0.387)</f>
        <v>0.38700000000000001</v>
      </c>
      <c r="F204" s="1">
        <f ca="1">IFERROR(__xludf.DUMMYFUNCTION("""COMPUTED_VALUE"""),-6.31)</f>
        <v>-6.31</v>
      </c>
      <c r="G204" s="1">
        <f ca="1">IFERROR(__xludf.DUMMYFUNCTION("""COMPUTED_VALUE"""),-2.24)</f>
        <v>-2.2400000000000002</v>
      </c>
      <c r="H204" s="1">
        <f ca="1">IFERROR(__xludf.DUMMYFUNCTION("""COMPUTED_VALUE"""),4)</f>
        <v>4</v>
      </c>
      <c r="I204" s="1">
        <f ca="1">IFERROR(__xludf.DUMMYFUNCTION("""COMPUTED_VALUE"""),10)</f>
        <v>10</v>
      </c>
      <c r="J204" s="1">
        <f ca="1">IFERROR(__xludf.DUMMYFUNCTION("""COMPUTED_VALUE"""),9)</f>
        <v>9</v>
      </c>
      <c r="K204" s="1">
        <f ca="1">IFERROR(__xludf.DUMMYFUNCTION("""COMPUTED_VALUE"""),4)</f>
        <v>4</v>
      </c>
      <c r="L204" s="1">
        <f ca="1">IFERROR(__xludf.DUMMYFUNCTION("""COMPUTED_VALUE"""),2)</f>
        <v>2</v>
      </c>
      <c r="M204" s="1">
        <f ca="1">IFERROR(__xludf.DUMMYFUNCTION("""COMPUTED_VALUE"""),13)</f>
        <v>13</v>
      </c>
      <c r="N204" s="1">
        <f ca="1">IFERROR(__xludf.DUMMYFUNCTION("""COMPUTED_VALUE"""),2152)</f>
        <v>2152</v>
      </c>
      <c r="O204" s="1">
        <f ca="1">IFERROR(__xludf.DUMMYFUNCTION("""COMPUTED_VALUE"""),2240)</f>
        <v>2240</v>
      </c>
      <c r="P204" s="1">
        <f ca="1">IFERROR(__xludf.DUMMYFUNCTION("""COMPUTED_VALUE"""),1245)</f>
        <v>1245</v>
      </c>
      <c r="Q204" s="1">
        <f ca="1">IFERROR(__xludf.DUMMYFUNCTION("""COMPUTED_VALUE"""),746)</f>
        <v>746</v>
      </c>
      <c r="R204" s="1">
        <f ca="1">IFERROR(__xludf.DUMMYFUNCTION("""COMPUTED_VALUE"""),1738)</f>
        <v>1738</v>
      </c>
      <c r="S204" s="1">
        <f ca="1">IFERROR(__xludf.DUMMYFUNCTION("""COMPUTED_VALUE"""),0.429)</f>
        <v>0.42899999999999999</v>
      </c>
      <c r="T204" s="1">
        <f ca="1">IFERROR(__xludf.DUMMYFUNCTION("""COMPUTED_VALUE"""),213)</f>
        <v>213</v>
      </c>
      <c r="U204" s="1">
        <f ca="1">IFERROR(__xludf.DUMMYFUNCTION("""COMPUTED_VALUE"""),588)</f>
        <v>588</v>
      </c>
      <c r="V204" s="1">
        <f ca="1">IFERROR(__xludf.DUMMYFUNCTION("""COMPUTED_VALUE"""),0.362)</f>
        <v>0.36199999999999999</v>
      </c>
      <c r="W204" s="1">
        <f ca="1">IFERROR(__xludf.DUMMYFUNCTION("""COMPUTED_VALUE"""),447)</f>
        <v>447</v>
      </c>
      <c r="X204" s="1">
        <f ca="1">IFERROR(__xludf.DUMMYFUNCTION("""COMPUTED_VALUE"""),663)</f>
        <v>663</v>
      </c>
      <c r="Y204" s="1">
        <f ca="1">IFERROR(__xludf.DUMMYFUNCTION("""COMPUTED_VALUE"""),0.674)</f>
        <v>0.67400000000000004</v>
      </c>
      <c r="Z204" s="1">
        <f ca="1">IFERROR(__xludf.DUMMYFUNCTION("""COMPUTED_VALUE"""),356)</f>
        <v>356</v>
      </c>
      <c r="AA204" s="1">
        <f ca="1">IFERROR(__xludf.DUMMYFUNCTION("""COMPUTED_VALUE"""),1084)</f>
        <v>1084</v>
      </c>
      <c r="AB204" s="1">
        <f ca="1">IFERROR(__xludf.DUMMYFUNCTION("""COMPUTED_VALUE"""),350)</f>
        <v>350</v>
      </c>
      <c r="AC204" s="1">
        <f ca="1">IFERROR(__xludf.DUMMYFUNCTION("""COMPUTED_VALUE"""),181)</f>
        <v>181</v>
      </c>
      <c r="AD204" s="1">
        <f ca="1">IFERROR(__xludf.DUMMYFUNCTION("""COMPUTED_VALUE"""),98)</f>
        <v>98</v>
      </c>
      <c r="AE204" s="1">
        <f ca="1">IFERROR(__xludf.DUMMYFUNCTION("""COMPUTED_VALUE"""),415)</f>
        <v>415</v>
      </c>
      <c r="AF204" s="1">
        <f ca="1">IFERROR(__xludf.DUMMYFUNCTION("""COMPUTED_VALUE"""),651)</f>
        <v>651</v>
      </c>
    </row>
    <row r="205" spans="1:32" ht="12.5" x14ac:dyDescent="0.25">
      <c r="A205" s="1" t="str">
        <f ca="1">IFERROR(__xludf.DUMMYFUNCTION("""COMPUTED_VALUE"""),"Missouri State")</f>
        <v>Missouri State</v>
      </c>
      <c r="B205" s="1">
        <f ca="1">IFERROR(__xludf.DUMMYFUNCTION("""COMPUTED_VALUE"""),32)</f>
        <v>32</v>
      </c>
      <c r="C205" s="1">
        <f ca="1">IFERROR(__xludf.DUMMYFUNCTION("""COMPUTED_VALUE"""),13)</f>
        <v>13</v>
      </c>
      <c r="D205" s="1">
        <f ca="1">IFERROR(__xludf.DUMMYFUNCTION("""COMPUTED_VALUE"""),19)</f>
        <v>19</v>
      </c>
      <c r="E205" s="1">
        <f ca="1">IFERROR(__xludf.DUMMYFUNCTION("""COMPUTED_VALUE"""),0.406)</f>
        <v>0.40600000000000003</v>
      </c>
      <c r="F205" s="1">
        <f ca="1">IFERROR(__xludf.DUMMYFUNCTION("""COMPUTED_VALUE"""),-3.52)</f>
        <v>-3.52</v>
      </c>
      <c r="G205" s="1">
        <f ca="1">IFERROR(__xludf.DUMMYFUNCTION("""COMPUTED_VALUE"""),2.58)</f>
        <v>2.58</v>
      </c>
      <c r="H205" s="1">
        <f ca="1">IFERROR(__xludf.DUMMYFUNCTION("""COMPUTED_VALUE"""),8)</f>
        <v>8</v>
      </c>
      <c r="I205" s="1">
        <f ca="1">IFERROR(__xludf.DUMMYFUNCTION("""COMPUTED_VALUE"""),10)</f>
        <v>10</v>
      </c>
      <c r="J205" s="1">
        <f ca="1">IFERROR(__xludf.DUMMYFUNCTION("""COMPUTED_VALUE"""),8)</f>
        <v>8</v>
      </c>
      <c r="K205" s="1">
        <f ca="1">IFERROR(__xludf.DUMMYFUNCTION("""COMPUTED_VALUE"""),7)</f>
        <v>7</v>
      </c>
      <c r="L205" s="1">
        <f ca="1">IFERROR(__xludf.DUMMYFUNCTION("""COMPUTED_VALUE"""),4)</f>
        <v>4</v>
      </c>
      <c r="M205" s="1">
        <f ca="1">IFERROR(__xludf.DUMMYFUNCTION("""COMPUTED_VALUE"""),8)</f>
        <v>8</v>
      </c>
      <c r="N205" s="1">
        <f ca="1">IFERROR(__xludf.DUMMYFUNCTION("""COMPUTED_VALUE"""),2153)</f>
        <v>2153</v>
      </c>
      <c r="O205" s="1">
        <f ca="1">IFERROR(__xludf.DUMMYFUNCTION("""COMPUTED_VALUE"""),2321)</f>
        <v>2321</v>
      </c>
      <c r="P205" s="1">
        <f ca="1">IFERROR(__xludf.DUMMYFUNCTION("""COMPUTED_VALUE"""),1290)</f>
        <v>1290</v>
      </c>
      <c r="Q205" s="1">
        <f ca="1">IFERROR(__xludf.DUMMYFUNCTION("""COMPUTED_VALUE"""),752)</f>
        <v>752</v>
      </c>
      <c r="R205" s="1">
        <f ca="1">IFERROR(__xludf.DUMMYFUNCTION("""COMPUTED_VALUE"""),1817)</f>
        <v>1817</v>
      </c>
      <c r="S205" s="1">
        <f ca="1">IFERROR(__xludf.DUMMYFUNCTION("""COMPUTED_VALUE"""),0.414)</f>
        <v>0.41399999999999998</v>
      </c>
      <c r="T205" s="1">
        <f ca="1">IFERROR(__xludf.DUMMYFUNCTION("""COMPUTED_VALUE"""),168)</f>
        <v>168</v>
      </c>
      <c r="U205" s="1">
        <f ca="1">IFERROR(__xludf.DUMMYFUNCTION("""COMPUTED_VALUE"""),533)</f>
        <v>533</v>
      </c>
      <c r="V205" s="1">
        <f ca="1">IFERROR(__xludf.DUMMYFUNCTION("""COMPUTED_VALUE"""),0.315)</f>
        <v>0.315</v>
      </c>
      <c r="W205" s="1">
        <f ca="1">IFERROR(__xludf.DUMMYFUNCTION("""COMPUTED_VALUE"""),481)</f>
        <v>481</v>
      </c>
      <c r="X205" s="1">
        <f ca="1">IFERROR(__xludf.DUMMYFUNCTION("""COMPUTED_VALUE"""),713)</f>
        <v>713</v>
      </c>
      <c r="Y205" s="1">
        <f ca="1">IFERROR(__xludf.DUMMYFUNCTION("""COMPUTED_VALUE"""),0.675)</f>
        <v>0.67500000000000004</v>
      </c>
      <c r="Z205" s="1">
        <f ca="1">IFERROR(__xludf.DUMMYFUNCTION("""COMPUTED_VALUE"""),333)</f>
        <v>333</v>
      </c>
      <c r="AA205" s="1">
        <f ca="1">IFERROR(__xludf.DUMMYFUNCTION("""COMPUTED_VALUE"""),1135)</f>
        <v>1135</v>
      </c>
      <c r="AB205" s="1">
        <f ca="1">IFERROR(__xludf.DUMMYFUNCTION("""COMPUTED_VALUE"""),390)</f>
        <v>390</v>
      </c>
      <c r="AC205" s="1">
        <f ca="1">IFERROR(__xludf.DUMMYFUNCTION("""COMPUTED_VALUE"""),199)</f>
        <v>199</v>
      </c>
      <c r="AD205" s="1">
        <f ca="1">IFERROR(__xludf.DUMMYFUNCTION("""COMPUTED_VALUE"""),130)</f>
        <v>130</v>
      </c>
      <c r="AE205" s="1">
        <f ca="1">IFERROR(__xludf.DUMMYFUNCTION("""COMPUTED_VALUE"""),409)</f>
        <v>409</v>
      </c>
      <c r="AF205" s="1">
        <f ca="1">IFERROR(__xludf.DUMMYFUNCTION("""COMPUTED_VALUE"""),622)</f>
        <v>622</v>
      </c>
    </row>
    <row r="206" spans="1:32" ht="12.5" x14ac:dyDescent="0.25">
      <c r="A206" s="1" t="str">
        <f ca="1">IFERROR(__xludf.DUMMYFUNCTION("""COMPUTED_VALUE"""),"Missouri")</f>
        <v>Missouri</v>
      </c>
      <c r="B206" s="1">
        <f ca="1">IFERROR(__xludf.DUMMYFUNCTION("""COMPUTED_VALUE"""),31)</f>
        <v>31</v>
      </c>
      <c r="C206" s="1">
        <f ca="1">IFERROR(__xludf.DUMMYFUNCTION("""COMPUTED_VALUE"""),10)</f>
        <v>10</v>
      </c>
      <c r="D206" s="1">
        <f ca="1">IFERROR(__xludf.DUMMYFUNCTION("""COMPUTED_VALUE"""),21)</f>
        <v>21</v>
      </c>
      <c r="E206" s="1">
        <f ca="1">IFERROR(__xludf.DUMMYFUNCTION("""COMPUTED_VALUE"""),0.323)</f>
        <v>0.32300000000000001</v>
      </c>
      <c r="F206" s="1">
        <f ca="1">IFERROR(__xludf.DUMMYFUNCTION("""COMPUTED_VALUE"""),2.5)</f>
        <v>2.5</v>
      </c>
      <c r="G206" s="1">
        <f ca="1">IFERROR(__xludf.DUMMYFUNCTION("""COMPUTED_VALUE"""),6.88)</f>
        <v>6.88</v>
      </c>
      <c r="H206" s="1">
        <f ca="1">IFERROR(__xludf.DUMMYFUNCTION("""COMPUTED_VALUE"""),3)</f>
        <v>3</v>
      </c>
      <c r="I206" s="1">
        <f ca="1">IFERROR(__xludf.DUMMYFUNCTION("""COMPUTED_VALUE"""),15)</f>
        <v>15</v>
      </c>
      <c r="J206" s="1">
        <f ca="1">IFERROR(__xludf.DUMMYFUNCTION("""COMPUTED_VALUE"""),10)</f>
        <v>10</v>
      </c>
      <c r="K206" s="1">
        <f ca="1">IFERROR(__xludf.DUMMYFUNCTION("""COMPUTED_VALUE"""),7)</f>
        <v>7</v>
      </c>
      <c r="L206" s="1">
        <f ca="1">IFERROR(__xludf.DUMMYFUNCTION("""COMPUTED_VALUE"""),0)</f>
        <v>0</v>
      </c>
      <c r="M206" s="1">
        <f ca="1">IFERROR(__xludf.DUMMYFUNCTION("""COMPUTED_VALUE"""),11)</f>
        <v>11</v>
      </c>
      <c r="N206" s="1">
        <f ca="1">IFERROR(__xludf.DUMMYFUNCTION("""COMPUTED_VALUE"""),2126)</f>
        <v>2126</v>
      </c>
      <c r="O206" s="1">
        <f ca="1">IFERROR(__xludf.DUMMYFUNCTION("""COMPUTED_VALUE"""),2262)</f>
        <v>2262</v>
      </c>
      <c r="P206" s="1">
        <f ca="1">IFERROR(__xludf.DUMMYFUNCTION("""COMPUTED_VALUE"""),1240)</f>
        <v>1240</v>
      </c>
      <c r="Q206" s="1">
        <f ca="1">IFERROR(__xludf.DUMMYFUNCTION("""COMPUTED_VALUE"""),732)</f>
        <v>732</v>
      </c>
      <c r="R206" s="1">
        <f ca="1">IFERROR(__xludf.DUMMYFUNCTION("""COMPUTED_VALUE"""),1736)</f>
        <v>1736</v>
      </c>
      <c r="S206" s="1">
        <f ca="1">IFERROR(__xludf.DUMMYFUNCTION("""COMPUTED_VALUE"""),0.422)</f>
        <v>0.42199999999999999</v>
      </c>
      <c r="T206" s="1">
        <f ca="1">IFERROR(__xludf.DUMMYFUNCTION("""COMPUTED_VALUE"""),175)</f>
        <v>175</v>
      </c>
      <c r="U206" s="1">
        <f ca="1">IFERROR(__xludf.DUMMYFUNCTION("""COMPUTED_VALUE"""),565)</f>
        <v>565</v>
      </c>
      <c r="V206" s="1">
        <f ca="1">IFERROR(__xludf.DUMMYFUNCTION("""COMPUTED_VALUE"""),0.31)</f>
        <v>0.31</v>
      </c>
      <c r="W206" s="1">
        <f ca="1">IFERROR(__xludf.DUMMYFUNCTION("""COMPUTED_VALUE"""),487)</f>
        <v>487</v>
      </c>
      <c r="X206" s="1">
        <f ca="1">IFERROR(__xludf.DUMMYFUNCTION("""COMPUTED_VALUE"""),688)</f>
        <v>688</v>
      </c>
      <c r="Y206" s="1">
        <f ca="1">IFERROR(__xludf.DUMMYFUNCTION("""COMPUTED_VALUE"""),0.708)</f>
        <v>0.70799999999999996</v>
      </c>
      <c r="Z206" s="1">
        <f ca="1">IFERROR(__xludf.DUMMYFUNCTION("""COMPUTED_VALUE"""),295)</f>
        <v>295</v>
      </c>
      <c r="AA206" s="1">
        <f ca="1">IFERROR(__xludf.DUMMYFUNCTION("""COMPUTED_VALUE"""),1109)</f>
        <v>1109</v>
      </c>
      <c r="AB206" s="1">
        <f ca="1">IFERROR(__xludf.DUMMYFUNCTION("""COMPUTED_VALUE"""),362)</f>
        <v>362</v>
      </c>
      <c r="AC206" s="1">
        <f ca="1">IFERROR(__xludf.DUMMYFUNCTION("""COMPUTED_VALUE"""),169)</f>
        <v>169</v>
      </c>
      <c r="AD206" s="1">
        <f ca="1">IFERROR(__xludf.DUMMYFUNCTION("""COMPUTED_VALUE"""),81)</f>
        <v>81</v>
      </c>
      <c r="AE206" s="1">
        <f ca="1">IFERROR(__xludf.DUMMYFUNCTION("""COMPUTED_VALUE"""),386)</f>
        <v>386</v>
      </c>
      <c r="AF206" s="1">
        <f ca="1">IFERROR(__xludf.DUMMYFUNCTION("""COMPUTED_VALUE"""),636)</f>
        <v>636</v>
      </c>
    </row>
    <row r="207" spans="1:32" ht="12.5" x14ac:dyDescent="0.25">
      <c r="A207" s="1" t="str">
        <f ca="1">IFERROR(__xludf.DUMMYFUNCTION("""COMPUTED_VALUE"""),"Monmouth")</f>
        <v>Monmouth</v>
      </c>
      <c r="B207" s="1">
        <f ca="1">IFERROR(__xludf.DUMMYFUNCTION("""COMPUTED_VALUE"""),36)</f>
        <v>36</v>
      </c>
      <c r="C207" s="1">
        <f ca="1">IFERROR(__xludf.DUMMYFUNCTION("""COMPUTED_VALUE"""),28)</f>
        <v>28</v>
      </c>
      <c r="D207" s="1">
        <f ca="1">IFERROR(__xludf.DUMMYFUNCTION("""COMPUTED_VALUE"""),8)</f>
        <v>8</v>
      </c>
      <c r="E207" s="1">
        <f ca="1">IFERROR(__xludf.DUMMYFUNCTION("""COMPUTED_VALUE"""),0.778)</f>
        <v>0.77800000000000002</v>
      </c>
      <c r="F207" s="1">
        <f ca="1">IFERROR(__xludf.DUMMYFUNCTION("""COMPUTED_VALUE"""),5.29)</f>
        <v>5.29</v>
      </c>
      <c r="G207" s="1">
        <f ca="1">IFERROR(__xludf.DUMMYFUNCTION("""COMPUTED_VALUE"""),-1.85)</f>
        <v>-1.85</v>
      </c>
      <c r="H207" s="1">
        <f ca="1">IFERROR(__xludf.DUMMYFUNCTION("""COMPUTED_VALUE"""),17)</f>
        <v>17</v>
      </c>
      <c r="I207" s="1">
        <f ca="1">IFERROR(__xludf.DUMMYFUNCTION("""COMPUTED_VALUE"""),3)</f>
        <v>3</v>
      </c>
      <c r="J207" s="1">
        <f ca="1">IFERROR(__xludf.DUMMYFUNCTION("""COMPUTED_VALUE"""),11)</f>
        <v>11</v>
      </c>
      <c r="K207" s="1">
        <f ca="1">IFERROR(__xludf.DUMMYFUNCTION("""COMPUTED_VALUE"""),2)</f>
        <v>2</v>
      </c>
      <c r="L207" s="1">
        <f ca="1">IFERROR(__xludf.DUMMYFUNCTION("""COMPUTED_VALUE"""),13)</f>
        <v>13</v>
      </c>
      <c r="M207" s="1">
        <f ca="1">IFERROR(__xludf.DUMMYFUNCTION("""COMPUTED_VALUE"""),4)</f>
        <v>4</v>
      </c>
      <c r="N207" s="1">
        <f ca="1">IFERROR(__xludf.DUMMYFUNCTION("""COMPUTED_VALUE"""),2861)</f>
        <v>2861</v>
      </c>
      <c r="O207" s="1">
        <f ca="1">IFERROR(__xludf.DUMMYFUNCTION("""COMPUTED_VALUE"""),2604)</f>
        <v>2604</v>
      </c>
      <c r="P207" s="1">
        <f ca="1">IFERROR(__xludf.DUMMYFUNCTION("""COMPUTED_VALUE"""),1450)</f>
        <v>1450</v>
      </c>
      <c r="Q207" s="1">
        <f ca="1">IFERROR(__xludf.DUMMYFUNCTION("""COMPUTED_VALUE"""),963)</f>
        <v>963</v>
      </c>
      <c r="R207" s="1">
        <f ca="1">IFERROR(__xludf.DUMMYFUNCTION("""COMPUTED_VALUE"""),2214)</f>
        <v>2214</v>
      </c>
      <c r="S207" s="1">
        <f ca="1">IFERROR(__xludf.DUMMYFUNCTION("""COMPUTED_VALUE"""),0.435)</f>
        <v>0.435</v>
      </c>
      <c r="T207" s="1">
        <f ca="1">IFERROR(__xludf.DUMMYFUNCTION("""COMPUTED_VALUE"""),282)</f>
        <v>282</v>
      </c>
      <c r="U207" s="1">
        <f ca="1">IFERROR(__xludf.DUMMYFUNCTION("""COMPUTED_VALUE"""),770)</f>
        <v>770</v>
      </c>
      <c r="V207" s="1">
        <f ca="1">IFERROR(__xludf.DUMMYFUNCTION("""COMPUTED_VALUE"""),0.366)</f>
        <v>0.36599999999999999</v>
      </c>
      <c r="W207" s="1">
        <f ca="1">IFERROR(__xludf.DUMMYFUNCTION("""COMPUTED_VALUE"""),653)</f>
        <v>653</v>
      </c>
      <c r="X207" s="1">
        <f ca="1">IFERROR(__xludf.DUMMYFUNCTION("""COMPUTED_VALUE"""),850)</f>
        <v>850</v>
      </c>
      <c r="Y207" s="1">
        <f ca="1">IFERROR(__xludf.DUMMYFUNCTION("""COMPUTED_VALUE"""),0.768)</f>
        <v>0.76800000000000002</v>
      </c>
      <c r="Z207" s="1">
        <f ca="1">IFERROR(__xludf.DUMMYFUNCTION("""COMPUTED_VALUE"""),388)</f>
        <v>388</v>
      </c>
      <c r="AA207" s="1">
        <f ca="1">IFERROR(__xludf.DUMMYFUNCTION("""COMPUTED_VALUE"""),1397)</f>
        <v>1397</v>
      </c>
      <c r="AB207" s="1">
        <f ca="1">IFERROR(__xludf.DUMMYFUNCTION("""COMPUTED_VALUE"""),443)</f>
        <v>443</v>
      </c>
      <c r="AC207" s="1">
        <f ca="1">IFERROR(__xludf.DUMMYFUNCTION("""COMPUTED_VALUE"""),296)</f>
        <v>296</v>
      </c>
      <c r="AD207" s="1">
        <f ca="1">IFERROR(__xludf.DUMMYFUNCTION("""COMPUTED_VALUE"""),128)</f>
        <v>128</v>
      </c>
      <c r="AE207" s="1">
        <f ca="1">IFERROR(__xludf.DUMMYFUNCTION("""COMPUTED_VALUE"""),443)</f>
        <v>443</v>
      </c>
      <c r="AF207" s="1">
        <f ca="1">IFERROR(__xludf.DUMMYFUNCTION("""COMPUTED_VALUE"""),767)</f>
        <v>767</v>
      </c>
    </row>
    <row r="208" spans="1:32" ht="12.5" x14ac:dyDescent="0.25">
      <c r="A208" s="1" t="str">
        <f ca="1">IFERROR(__xludf.DUMMYFUNCTION("""COMPUTED_VALUE"""),"Montana State")</f>
        <v>Montana State</v>
      </c>
      <c r="B208" s="1">
        <f ca="1">IFERROR(__xludf.DUMMYFUNCTION("""COMPUTED_VALUE"""),31)</f>
        <v>31</v>
      </c>
      <c r="C208" s="1">
        <f ca="1">IFERROR(__xludf.DUMMYFUNCTION("""COMPUTED_VALUE"""),14)</f>
        <v>14</v>
      </c>
      <c r="D208" s="1">
        <f ca="1">IFERROR(__xludf.DUMMYFUNCTION("""COMPUTED_VALUE"""),17)</f>
        <v>17</v>
      </c>
      <c r="E208" s="1">
        <f ca="1">IFERROR(__xludf.DUMMYFUNCTION("""COMPUTED_VALUE"""),0.452)</f>
        <v>0.45200000000000001</v>
      </c>
      <c r="F208" s="1">
        <f ca="1">IFERROR(__xludf.DUMMYFUNCTION("""COMPUTED_VALUE"""),-6.91)</f>
        <v>-6.91</v>
      </c>
      <c r="G208" s="1">
        <f ca="1">IFERROR(__xludf.DUMMYFUNCTION("""COMPUTED_VALUE"""),-5.35)</f>
        <v>-5.35</v>
      </c>
      <c r="H208" s="1">
        <f ca="1">IFERROR(__xludf.DUMMYFUNCTION("""COMPUTED_VALUE"""),9)</f>
        <v>9</v>
      </c>
      <c r="I208" s="1">
        <f ca="1">IFERROR(__xludf.DUMMYFUNCTION("""COMPUTED_VALUE"""),9)</f>
        <v>9</v>
      </c>
      <c r="J208" s="1">
        <f ca="1">IFERROR(__xludf.DUMMYFUNCTION("""COMPUTED_VALUE"""),8)</f>
        <v>8</v>
      </c>
      <c r="K208" s="1">
        <f ca="1">IFERROR(__xludf.DUMMYFUNCTION("""COMPUTED_VALUE"""),3)</f>
        <v>3</v>
      </c>
      <c r="L208" s="1">
        <f ca="1">IFERROR(__xludf.DUMMYFUNCTION("""COMPUTED_VALUE"""),4)</f>
        <v>4</v>
      </c>
      <c r="M208" s="1">
        <f ca="1">IFERROR(__xludf.DUMMYFUNCTION("""COMPUTED_VALUE"""),12)</f>
        <v>12</v>
      </c>
      <c r="N208" s="1">
        <f ca="1">IFERROR(__xludf.DUMMYFUNCTION("""COMPUTED_VALUE"""),2369)</f>
        <v>2369</v>
      </c>
      <c r="O208" s="1">
        <f ca="1">IFERROR(__xludf.DUMMYFUNCTION("""COMPUTED_VALUE"""),2411)</f>
        <v>2411</v>
      </c>
      <c r="P208" s="1">
        <f ca="1">IFERROR(__xludf.DUMMYFUNCTION("""COMPUTED_VALUE"""),1245)</f>
        <v>1245</v>
      </c>
      <c r="Q208" s="1">
        <f ca="1">IFERROR(__xludf.DUMMYFUNCTION("""COMPUTED_VALUE"""),831)</f>
        <v>831</v>
      </c>
      <c r="R208" s="1">
        <f ca="1">IFERROR(__xludf.DUMMYFUNCTION("""COMPUTED_VALUE"""),1916)</f>
        <v>1916</v>
      </c>
      <c r="S208" s="1">
        <f ca="1">IFERROR(__xludf.DUMMYFUNCTION("""COMPUTED_VALUE"""),0.434)</f>
        <v>0.434</v>
      </c>
      <c r="T208" s="1">
        <f ca="1">IFERROR(__xludf.DUMMYFUNCTION("""COMPUTED_VALUE"""),297)</f>
        <v>297</v>
      </c>
      <c r="U208" s="1">
        <f ca="1">IFERROR(__xludf.DUMMYFUNCTION("""COMPUTED_VALUE"""),797)</f>
        <v>797</v>
      </c>
      <c r="V208" s="1">
        <f ca="1">IFERROR(__xludf.DUMMYFUNCTION("""COMPUTED_VALUE"""),0.373)</f>
        <v>0.373</v>
      </c>
      <c r="W208" s="1">
        <f ca="1">IFERROR(__xludf.DUMMYFUNCTION("""COMPUTED_VALUE"""),410)</f>
        <v>410</v>
      </c>
      <c r="X208" s="1">
        <f ca="1">IFERROR(__xludf.DUMMYFUNCTION("""COMPUTED_VALUE"""),598)</f>
        <v>598</v>
      </c>
      <c r="Y208" s="1">
        <f ca="1">IFERROR(__xludf.DUMMYFUNCTION("""COMPUTED_VALUE"""),0.686)</f>
        <v>0.68600000000000005</v>
      </c>
      <c r="Z208" s="1">
        <f ca="1">IFERROR(__xludf.DUMMYFUNCTION("""COMPUTED_VALUE"""),394)</f>
        <v>394</v>
      </c>
      <c r="AA208" s="1">
        <f ca="1">IFERROR(__xludf.DUMMYFUNCTION("""COMPUTED_VALUE"""),1159)</f>
        <v>1159</v>
      </c>
      <c r="AB208" s="1">
        <f ca="1">IFERROR(__xludf.DUMMYFUNCTION("""COMPUTED_VALUE"""),392)</f>
        <v>392</v>
      </c>
      <c r="AC208" s="1">
        <f ca="1">IFERROR(__xludf.DUMMYFUNCTION("""COMPUTED_VALUE"""),149)</f>
        <v>149</v>
      </c>
      <c r="AD208" s="1">
        <f ca="1">IFERROR(__xludf.DUMMYFUNCTION("""COMPUTED_VALUE"""),62)</f>
        <v>62</v>
      </c>
      <c r="AE208" s="1">
        <f ca="1">IFERROR(__xludf.DUMMYFUNCTION("""COMPUTED_VALUE"""),375)</f>
        <v>375</v>
      </c>
      <c r="AF208" s="1">
        <f ca="1">IFERROR(__xludf.DUMMYFUNCTION("""COMPUTED_VALUE"""),683)</f>
        <v>683</v>
      </c>
    </row>
    <row r="209" spans="1:32" ht="12.5" x14ac:dyDescent="0.25">
      <c r="A209" s="1" t="str">
        <f ca="1">IFERROR(__xludf.DUMMYFUNCTION("""COMPUTED_VALUE"""),"Montana")</f>
        <v>Montana</v>
      </c>
      <c r="B209" s="1">
        <f ca="1">IFERROR(__xludf.DUMMYFUNCTION("""COMPUTED_VALUE"""),33)</f>
        <v>33</v>
      </c>
      <c r="C209" s="1">
        <f ca="1">IFERROR(__xludf.DUMMYFUNCTION("""COMPUTED_VALUE"""),21)</f>
        <v>21</v>
      </c>
      <c r="D209" s="1">
        <f ca="1">IFERROR(__xludf.DUMMYFUNCTION("""COMPUTED_VALUE"""),12)</f>
        <v>12</v>
      </c>
      <c r="E209" s="1">
        <f ca="1">IFERROR(__xludf.DUMMYFUNCTION("""COMPUTED_VALUE"""),0.636)</f>
        <v>0.63600000000000001</v>
      </c>
      <c r="F209" s="1">
        <f ca="1">IFERROR(__xludf.DUMMYFUNCTION("""COMPUTED_VALUE"""),-0.72)</f>
        <v>-0.72</v>
      </c>
      <c r="G209" s="1">
        <f ca="1">IFERROR(__xludf.DUMMYFUNCTION("""COMPUTED_VALUE"""),-4.29)</f>
        <v>-4.29</v>
      </c>
      <c r="H209" s="1">
        <f ca="1">IFERROR(__xludf.DUMMYFUNCTION("""COMPUTED_VALUE"""),14)</f>
        <v>14</v>
      </c>
      <c r="I209" s="1">
        <f ca="1">IFERROR(__xludf.DUMMYFUNCTION("""COMPUTED_VALUE"""),4)</f>
        <v>4</v>
      </c>
      <c r="J209" s="1">
        <f ca="1">IFERROR(__xludf.DUMMYFUNCTION("""COMPUTED_VALUE"""),12)</f>
        <v>12</v>
      </c>
      <c r="K209" s="1">
        <f ca="1">IFERROR(__xludf.DUMMYFUNCTION("""COMPUTED_VALUE"""),2)</f>
        <v>2</v>
      </c>
      <c r="L209" s="1">
        <f ca="1">IFERROR(__xludf.DUMMYFUNCTION("""COMPUTED_VALUE"""),7)</f>
        <v>7</v>
      </c>
      <c r="M209" s="1">
        <f ca="1">IFERROR(__xludf.DUMMYFUNCTION("""COMPUTED_VALUE"""),9)</f>
        <v>9</v>
      </c>
      <c r="N209" s="1">
        <f ca="1">IFERROR(__xludf.DUMMYFUNCTION("""COMPUTED_VALUE"""),2393)</f>
        <v>2393</v>
      </c>
      <c r="O209" s="1">
        <f ca="1">IFERROR(__xludf.DUMMYFUNCTION("""COMPUTED_VALUE"""),2225)</f>
        <v>2225</v>
      </c>
      <c r="P209" s="1">
        <f ca="1">IFERROR(__xludf.DUMMYFUNCTION("""COMPUTED_VALUE"""),1330)</f>
        <v>1330</v>
      </c>
      <c r="Q209" s="1">
        <f ca="1">IFERROR(__xludf.DUMMYFUNCTION("""COMPUTED_VALUE"""),841)</f>
        <v>841</v>
      </c>
      <c r="R209" s="1">
        <f ca="1">IFERROR(__xludf.DUMMYFUNCTION("""COMPUTED_VALUE"""),1807)</f>
        <v>1807</v>
      </c>
      <c r="S209" s="1">
        <f ca="1">IFERROR(__xludf.DUMMYFUNCTION("""COMPUTED_VALUE"""),0.465)</f>
        <v>0.46500000000000002</v>
      </c>
      <c r="T209" s="1">
        <f ca="1">IFERROR(__xludf.DUMMYFUNCTION("""COMPUTED_VALUE"""),254)</f>
        <v>254</v>
      </c>
      <c r="U209" s="1">
        <f ca="1">IFERROR(__xludf.DUMMYFUNCTION("""COMPUTED_VALUE"""),680)</f>
        <v>680</v>
      </c>
      <c r="V209" s="1">
        <f ca="1">IFERROR(__xludf.DUMMYFUNCTION("""COMPUTED_VALUE"""),0.374)</f>
        <v>0.374</v>
      </c>
      <c r="W209" s="1">
        <f ca="1">IFERROR(__xludf.DUMMYFUNCTION("""COMPUTED_VALUE"""),457)</f>
        <v>457</v>
      </c>
      <c r="X209" s="1">
        <f ca="1">IFERROR(__xludf.DUMMYFUNCTION("""COMPUTED_VALUE"""),657)</f>
        <v>657</v>
      </c>
      <c r="Y209" s="1">
        <f ca="1">IFERROR(__xludf.DUMMYFUNCTION("""COMPUTED_VALUE"""),0.696)</f>
        <v>0.69599999999999995</v>
      </c>
      <c r="Z209" s="1">
        <f ca="1">IFERROR(__xludf.DUMMYFUNCTION("""COMPUTED_VALUE"""),304)</f>
        <v>304</v>
      </c>
      <c r="AA209" s="1">
        <f ca="1">IFERROR(__xludf.DUMMYFUNCTION("""COMPUTED_VALUE"""),1138)</f>
        <v>1138</v>
      </c>
      <c r="AB209" s="1">
        <f ca="1">IFERROR(__xludf.DUMMYFUNCTION("""COMPUTED_VALUE"""),451)</f>
        <v>451</v>
      </c>
      <c r="AC209" s="1">
        <f ca="1">IFERROR(__xludf.DUMMYFUNCTION("""COMPUTED_VALUE"""),173)</f>
        <v>173</v>
      </c>
      <c r="AD209" s="1">
        <f ca="1">IFERROR(__xludf.DUMMYFUNCTION("""COMPUTED_VALUE"""),83)</f>
        <v>83</v>
      </c>
      <c r="AE209" s="1">
        <f ca="1">IFERROR(__xludf.DUMMYFUNCTION("""COMPUTED_VALUE"""),409)</f>
        <v>409</v>
      </c>
      <c r="AF209" s="1">
        <f ca="1">IFERROR(__xludf.DUMMYFUNCTION("""COMPUTED_VALUE"""),712)</f>
        <v>712</v>
      </c>
    </row>
    <row r="210" spans="1:32" ht="12.5" x14ac:dyDescent="0.25">
      <c r="A210" s="1" t="str">
        <f ca="1">IFERROR(__xludf.DUMMYFUNCTION("""COMPUTED_VALUE"""),"Morehead State")</f>
        <v>Morehead State</v>
      </c>
      <c r="B210" s="1">
        <f ca="1">IFERROR(__xludf.DUMMYFUNCTION("""COMPUTED_VALUE"""),37)</f>
        <v>37</v>
      </c>
      <c r="C210" s="1">
        <f ca="1">IFERROR(__xludf.DUMMYFUNCTION("""COMPUTED_VALUE"""),23)</f>
        <v>23</v>
      </c>
      <c r="D210" s="1">
        <f ca="1">IFERROR(__xludf.DUMMYFUNCTION("""COMPUTED_VALUE"""),14)</f>
        <v>14</v>
      </c>
      <c r="E210" s="1">
        <f ca="1">IFERROR(__xludf.DUMMYFUNCTION("""COMPUTED_VALUE"""),0.622)</f>
        <v>0.622</v>
      </c>
      <c r="F210" s="1">
        <f ca="1">IFERROR(__xludf.DUMMYFUNCTION("""COMPUTED_VALUE"""),1.04)</f>
        <v>1.04</v>
      </c>
      <c r="G210" s="1">
        <f ca="1">IFERROR(__xludf.DUMMYFUNCTION("""COMPUTED_VALUE"""),-1.65)</f>
        <v>-1.65</v>
      </c>
      <c r="H210" s="1">
        <f ca="1">IFERROR(__xludf.DUMMYFUNCTION("""COMPUTED_VALUE"""),11)</f>
        <v>11</v>
      </c>
      <c r="I210" s="1">
        <f ca="1">IFERROR(__xludf.DUMMYFUNCTION("""COMPUTED_VALUE"""),5)</f>
        <v>5</v>
      </c>
      <c r="J210" s="1">
        <f ca="1">IFERROR(__xludf.DUMMYFUNCTION("""COMPUTED_VALUE"""),14)</f>
        <v>14</v>
      </c>
      <c r="K210" s="1">
        <f ca="1">IFERROR(__xludf.DUMMYFUNCTION("""COMPUTED_VALUE"""),2)</f>
        <v>2</v>
      </c>
      <c r="L210" s="1">
        <f ca="1">IFERROR(__xludf.DUMMYFUNCTION("""COMPUTED_VALUE"""),8)</f>
        <v>8</v>
      </c>
      <c r="M210" s="1">
        <f ca="1">IFERROR(__xludf.DUMMYFUNCTION("""COMPUTED_VALUE"""),11)</f>
        <v>11</v>
      </c>
      <c r="N210" s="1">
        <f ca="1">IFERROR(__xludf.DUMMYFUNCTION("""COMPUTED_VALUE"""),2722)</f>
        <v>2722</v>
      </c>
      <c r="O210" s="1">
        <f ca="1">IFERROR(__xludf.DUMMYFUNCTION("""COMPUTED_VALUE"""),2553)</f>
        <v>2553</v>
      </c>
      <c r="P210" s="1">
        <f ca="1">IFERROR(__xludf.DUMMYFUNCTION("""COMPUTED_VALUE"""),1495)</f>
        <v>1495</v>
      </c>
      <c r="Q210" s="1">
        <f ca="1">IFERROR(__xludf.DUMMYFUNCTION("""COMPUTED_VALUE"""),974)</f>
        <v>974</v>
      </c>
      <c r="R210" s="1">
        <f ca="1">IFERROR(__xludf.DUMMYFUNCTION("""COMPUTED_VALUE"""),2219)</f>
        <v>2219</v>
      </c>
      <c r="S210" s="1">
        <f ca="1">IFERROR(__xludf.DUMMYFUNCTION("""COMPUTED_VALUE"""),0.439)</f>
        <v>0.439</v>
      </c>
      <c r="T210" s="1">
        <f ca="1">IFERROR(__xludf.DUMMYFUNCTION("""COMPUTED_VALUE"""),215)</f>
        <v>215</v>
      </c>
      <c r="U210" s="1">
        <f ca="1">IFERROR(__xludf.DUMMYFUNCTION("""COMPUTED_VALUE"""),593)</f>
        <v>593</v>
      </c>
      <c r="V210" s="1">
        <f ca="1">IFERROR(__xludf.DUMMYFUNCTION("""COMPUTED_VALUE"""),0.363)</f>
        <v>0.36299999999999999</v>
      </c>
      <c r="W210" s="1">
        <f ca="1">IFERROR(__xludf.DUMMYFUNCTION("""COMPUTED_VALUE"""),557)</f>
        <v>557</v>
      </c>
      <c r="X210" s="1">
        <f ca="1">IFERROR(__xludf.DUMMYFUNCTION("""COMPUTED_VALUE"""),801)</f>
        <v>801</v>
      </c>
      <c r="Y210" s="1">
        <f ca="1">IFERROR(__xludf.DUMMYFUNCTION("""COMPUTED_VALUE"""),0.695)</f>
        <v>0.69499999999999995</v>
      </c>
      <c r="Z210" s="1">
        <f ca="1">IFERROR(__xludf.DUMMYFUNCTION("""COMPUTED_VALUE"""),541)</f>
        <v>541</v>
      </c>
      <c r="AA210" s="1">
        <f ca="1">IFERROR(__xludf.DUMMYFUNCTION("""COMPUTED_VALUE"""),1380)</f>
        <v>1380</v>
      </c>
      <c r="AB210" s="1">
        <f ca="1">IFERROR(__xludf.DUMMYFUNCTION("""COMPUTED_VALUE"""),533)</f>
        <v>533</v>
      </c>
      <c r="AC210" s="1">
        <f ca="1">IFERROR(__xludf.DUMMYFUNCTION("""COMPUTED_VALUE"""),304)</f>
        <v>304</v>
      </c>
      <c r="AD210" s="1">
        <f ca="1">IFERROR(__xludf.DUMMYFUNCTION("""COMPUTED_VALUE"""),83)</f>
        <v>83</v>
      </c>
      <c r="AE210" s="1">
        <f ca="1">IFERROR(__xludf.DUMMYFUNCTION("""COMPUTED_VALUE"""),464)</f>
        <v>464</v>
      </c>
      <c r="AF210" s="1">
        <f ca="1">IFERROR(__xludf.DUMMYFUNCTION("""COMPUTED_VALUE"""),859)</f>
        <v>859</v>
      </c>
    </row>
    <row r="211" spans="1:32" ht="12.5" x14ac:dyDescent="0.25">
      <c r="A211" s="1" t="str">
        <f ca="1">IFERROR(__xludf.DUMMYFUNCTION("""COMPUTED_VALUE"""),"Morgan State")</f>
        <v>Morgan State</v>
      </c>
      <c r="B211" s="1">
        <f ca="1">IFERROR(__xludf.DUMMYFUNCTION("""COMPUTED_VALUE"""),31)</f>
        <v>31</v>
      </c>
      <c r="C211" s="1">
        <f ca="1">IFERROR(__xludf.DUMMYFUNCTION("""COMPUTED_VALUE"""),9)</f>
        <v>9</v>
      </c>
      <c r="D211" s="1">
        <f ca="1">IFERROR(__xludf.DUMMYFUNCTION("""COMPUTED_VALUE"""),22)</f>
        <v>22</v>
      </c>
      <c r="E211" s="1">
        <f ca="1">IFERROR(__xludf.DUMMYFUNCTION("""COMPUTED_VALUE"""),0.29)</f>
        <v>0.28999999999999998</v>
      </c>
      <c r="F211" s="1">
        <f ca="1">IFERROR(__xludf.DUMMYFUNCTION("""COMPUTED_VALUE"""),-12.57)</f>
        <v>-12.57</v>
      </c>
      <c r="G211" s="1">
        <f ca="1">IFERROR(__xludf.DUMMYFUNCTION("""COMPUTED_VALUE"""),-7.97)</f>
        <v>-7.97</v>
      </c>
      <c r="H211" s="1">
        <f ca="1">IFERROR(__xludf.DUMMYFUNCTION("""COMPUTED_VALUE"""),6)</f>
        <v>6</v>
      </c>
      <c r="I211" s="1">
        <f ca="1">IFERROR(__xludf.DUMMYFUNCTION("""COMPUTED_VALUE"""),10)</f>
        <v>10</v>
      </c>
      <c r="J211" s="1">
        <f ca="1">IFERROR(__xludf.DUMMYFUNCTION("""COMPUTED_VALUE"""),6)</f>
        <v>6</v>
      </c>
      <c r="K211" s="1">
        <f ca="1">IFERROR(__xludf.DUMMYFUNCTION("""COMPUTED_VALUE"""),6)</f>
        <v>6</v>
      </c>
      <c r="L211" s="1">
        <f ca="1">IFERROR(__xludf.DUMMYFUNCTION("""COMPUTED_VALUE"""),2)</f>
        <v>2</v>
      </c>
      <c r="M211" s="1">
        <f ca="1">IFERROR(__xludf.DUMMYFUNCTION("""COMPUTED_VALUE"""),15)</f>
        <v>15</v>
      </c>
      <c r="N211" s="1">
        <f ca="1">IFERROR(__xludf.DUMMYFUNCTION("""COMPUTED_VALUE"""),2089)</f>
        <v>2089</v>
      </c>
      <c r="O211" s="1">
        <f ca="1">IFERROR(__xludf.DUMMYFUNCTION("""COMPUTED_VALUE"""),2223)</f>
        <v>2223</v>
      </c>
      <c r="P211" s="1">
        <f ca="1">IFERROR(__xludf.DUMMYFUNCTION("""COMPUTED_VALUE"""),1250)</f>
        <v>1250</v>
      </c>
      <c r="Q211" s="1">
        <f ca="1">IFERROR(__xludf.DUMMYFUNCTION("""COMPUTED_VALUE"""),734)</f>
        <v>734</v>
      </c>
      <c r="R211" s="1">
        <f ca="1">IFERROR(__xludf.DUMMYFUNCTION("""COMPUTED_VALUE"""),1854)</f>
        <v>1854</v>
      </c>
      <c r="S211" s="1">
        <f ca="1">IFERROR(__xludf.DUMMYFUNCTION("""COMPUTED_VALUE"""),0.396)</f>
        <v>0.39600000000000002</v>
      </c>
      <c r="T211" s="1">
        <f ca="1">IFERROR(__xludf.DUMMYFUNCTION("""COMPUTED_VALUE"""),161)</f>
        <v>161</v>
      </c>
      <c r="U211" s="1">
        <f ca="1">IFERROR(__xludf.DUMMYFUNCTION("""COMPUTED_VALUE"""),535)</f>
        <v>535</v>
      </c>
      <c r="V211" s="1">
        <f ca="1">IFERROR(__xludf.DUMMYFUNCTION("""COMPUTED_VALUE"""),0.301)</f>
        <v>0.30099999999999999</v>
      </c>
      <c r="W211" s="1">
        <f ca="1">IFERROR(__xludf.DUMMYFUNCTION("""COMPUTED_VALUE"""),460)</f>
        <v>460</v>
      </c>
      <c r="X211" s="1">
        <f ca="1">IFERROR(__xludf.DUMMYFUNCTION("""COMPUTED_VALUE"""),672)</f>
        <v>672</v>
      </c>
      <c r="Y211" s="1">
        <f ca="1">IFERROR(__xludf.DUMMYFUNCTION("""COMPUTED_VALUE"""),0.685)</f>
        <v>0.68500000000000005</v>
      </c>
      <c r="Z211" s="1">
        <f ca="1">IFERROR(__xludf.DUMMYFUNCTION("""COMPUTED_VALUE"""),377)</f>
        <v>377</v>
      </c>
      <c r="AA211" s="1">
        <f ca="1">IFERROR(__xludf.DUMMYFUNCTION("""COMPUTED_VALUE"""),1089)</f>
        <v>1089</v>
      </c>
      <c r="AB211" s="1">
        <f ca="1">IFERROR(__xludf.DUMMYFUNCTION("""COMPUTED_VALUE"""),349)</f>
        <v>349</v>
      </c>
      <c r="AC211" s="1">
        <f ca="1">IFERROR(__xludf.DUMMYFUNCTION("""COMPUTED_VALUE"""),188)</f>
        <v>188</v>
      </c>
      <c r="AD211" s="1">
        <f ca="1">IFERROR(__xludf.DUMMYFUNCTION("""COMPUTED_VALUE"""),68)</f>
        <v>68</v>
      </c>
      <c r="AE211" s="1">
        <f ca="1">IFERROR(__xludf.DUMMYFUNCTION("""COMPUTED_VALUE"""),368)</f>
        <v>368</v>
      </c>
      <c r="AF211" s="1">
        <f ca="1">IFERROR(__xludf.DUMMYFUNCTION("""COMPUTED_VALUE"""),572)</f>
        <v>572</v>
      </c>
    </row>
    <row r="212" spans="1:32" ht="12.5" x14ac:dyDescent="0.25">
      <c r="A212" s="1" t="str">
        <f ca="1">IFERROR(__xludf.DUMMYFUNCTION("""COMPUTED_VALUE"""),"Mount St. Mary's")</f>
        <v>Mount St. Mary's</v>
      </c>
      <c r="B212" s="1">
        <f ca="1">IFERROR(__xludf.DUMMYFUNCTION("""COMPUTED_VALUE"""),33)</f>
        <v>33</v>
      </c>
      <c r="C212" s="1">
        <f ca="1">IFERROR(__xludf.DUMMYFUNCTION("""COMPUTED_VALUE"""),14)</f>
        <v>14</v>
      </c>
      <c r="D212" s="1">
        <f ca="1">IFERROR(__xludf.DUMMYFUNCTION("""COMPUTED_VALUE"""),19)</f>
        <v>19</v>
      </c>
      <c r="E212" s="1">
        <f ca="1">IFERROR(__xludf.DUMMYFUNCTION("""COMPUTED_VALUE"""),0.424)</f>
        <v>0.42399999999999999</v>
      </c>
      <c r="F212" s="1">
        <f ca="1">IFERROR(__xludf.DUMMYFUNCTION("""COMPUTED_VALUE"""),-9.93)</f>
        <v>-9.93</v>
      </c>
      <c r="G212" s="1">
        <f ca="1">IFERROR(__xludf.DUMMYFUNCTION("""COMPUTED_VALUE"""),-7.99)</f>
        <v>-7.99</v>
      </c>
      <c r="H212" s="1">
        <f ca="1">IFERROR(__xludf.DUMMYFUNCTION("""COMPUTED_VALUE"""),10)</f>
        <v>10</v>
      </c>
      <c r="I212" s="1">
        <f ca="1">IFERROR(__xludf.DUMMYFUNCTION("""COMPUTED_VALUE"""),8)</f>
        <v>8</v>
      </c>
      <c r="J212" s="1">
        <f ca="1">IFERROR(__xludf.DUMMYFUNCTION("""COMPUTED_VALUE"""),9)</f>
        <v>9</v>
      </c>
      <c r="K212" s="1">
        <f ca="1">IFERROR(__xludf.DUMMYFUNCTION("""COMPUTED_VALUE"""),3)</f>
        <v>3</v>
      </c>
      <c r="L212" s="1">
        <f ca="1">IFERROR(__xludf.DUMMYFUNCTION("""COMPUTED_VALUE"""),5)</f>
        <v>5</v>
      </c>
      <c r="M212" s="1">
        <f ca="1">IFERROR(__xludf.DUMMYFUNCTION("""COMPUTED_VALUE"""),15)</f>
        <v>15</v>
      </c>
      <c r="N212" s="1">
        <f ca="1">IFERROR(__xludf.DUMMYFUNCTION("""COMPUTED_VALUE"""),2218)</f>
        <v>2218</v>
      </c>
      <c r="O212" s="1">
        <f ca="1">IFERROR(__xludf.DUMMYFUNCTION("""COMPUTED_VALUE"""),2282)</f>
        <v>2282</v>
      </c>
      <c r="P212" s="1">
        <f ca="1">IFERROR(__xludf.DUMMYFUNCTION("""COMPUTED_VALUE"""),1335)</f>
        <v>1335</v>
      </c>
      <c r="Q212" s="1">
        <f ca="1">IFERROR(__xludf.DUMMYFUNCTION("""COMPUTED_VALUE"""),788)</f>
        <v>788</v>
      </c>
      <c r="R212" s="1">
        <f ca="1">IFERROR(__xludf.DUMMYFUNCTION("""COMPUTED_VALUE"""),1967)</f>
        <v>1967</v>
      </c>
      <c r="S212" s="1">
        <f ca="1">IFERROR(__xludf.DUMMYFUNCTION("""COMPUTED_VALUE"""),0.401)</f>
        <v>0.40100000000000002</v>
      </c>
      <c r="T212" s="1">
        <f ca="1">IFERROR(__xludf.DUMMYFUNCTION("""COMPUTED_VALUE"""),226)</f>
        <v>226</v>
      </c>
      <c r="U212" s="1">
        <f ca="1">IFERROR(__xludf.DUMMYFUNCTION("""COMPUTED_VALUE"""),713)</f>
        <v>713</v>
      </c>
      <c r="V212" s="1">
        <f ca="1">IFERROR(__xludf.DUMMYFUNCTION("""COMPUTED_VALUE"""),0.317)</f>
        <v>0.317</v>
      </c>
      <c r="W212" s="1">
        <f ca="1">IFERROR(__xludf.DUMMYFUNCTION("""COMPUTED_VALUE"""),416)</f>
        <v>416</v>
      </c>
      <c r="X212" s="1">
        <f ca="1">IFERROR(__xludf.DUMMYFUNCTION("""COMPUTED_VALUE"""),601)</f>
        <v>601</v>
      </c>
      <c r="Y212" s="1">
        <f ca="1">IFERROR(__xludf.DUMMYFUNCTION("""COMPUTED_VALUE"""),0.692)</f>
        <v>0.69199999999999995</v>
      </c>
      <c r="Z212" s="1">
        <f ca="1">IFERROR(__xludf.DUMMYFUNCTION("""COMPUTED_VALUE"""),318)</f>
        <v>318</v>
      </c>
      <c r="AA212" s="1">
        <f ca="1">IFERROR(__xludf.DUMMYFUNCTION("""COMPUTED_VALUE"""),1022)</f>
        <v>1022</v>
      </c>
      <c r="AB212" s="1">
        <f ca="1">IFERROR(__xludf.DUMMYFUNCTION("""COMPUTED_VALUE"""),361)</f>
        <v>361</v>
      </c>
      <c r="AC212" s="1">
        <f ca="1">IFERROR(__xludf.DUMMYFUNCTION("""COMPUTED_VALUE"""),248)</f>
        <v>248</v>
      </c>
      <c r="AD212" s="1">
        <f ca="1">IFERROR(__xludf.DUMMYFUNCTION("""COMPUTED_VALUE"""),119)</f>
        <v>119</v>
      </c>
      <c r="AE212" s="1">
        <f ca="1">IFERROR(__xludf.DUMMYFUNCTION("""COMPUTED_VALUE"""),401)</f>
        <v>401</v>
      </c>
      <c r="AF212" s="1">
        <f ca="1">IFERROR(__xludf.DUMMYFUNCTION("""COMPUTED_VALUE"""),655)</f>
        <v>655</v>
      </c>
    </row>
    <row r="213" spans="1:32" ht="12.5" x14ac:dyDescent="0.25">
      <c r="A213" s="1" t="str">
        <f ca="1">IFERROR(__xludf.DUMMYFUNCTION("""COMPUTED_VALUE"""),"Murray State")</f>
        <v>Murray State</v>
      </c>
      <c r="B213" s="1">
        <f ca="1">IFERROR(__xludf.DUMMYFUNCTION("""COMPUTED_VALUE"""),31)</f>
        <v>31</v>
      </c>
      <c r="C213" s="1">
        <f ca="1">IFERROR(__xludf.DUMMYFUNCTION("""COMPUTED_VALUE"""),17)</f>
        <v>17</v>
      </c>
      <c r="D213" s="1">
        <f ca="1">IFERROR(__xludf.DUMMYFUNCTION("""COMPUTED_VALUE"""),14)</f>
        <v>14</v>
      </c>
      <c r="E213" s="1">
        <f ca="1">IFERROR(__xludf.DUMMYFUNCTION("""COMPUTED_VALUE"""),0.548)</f>
        <v>0.54800000000000004</v>
      </c>
      <c r="F213" s="1">
        <f ca="1">IFERROR(__xludf.DUMMYFUNCTION("""COMPUTED_VALUE"""),-1.58)</f>
        <v>-1.58</v>
      </c>
      <c r="G213" s="1">
        <f ca="1">IFERROR(__xludf.DUMMYFUNCTION("""COMPUTED_VALUE"""),-3.06)</f>
        <v>-3.06</v>
      </c>
      <c r="H213" s="1">
        <f ca="1">IFERROR(__xludf.DUMMYFUNCTION("""COMPUTED_VALUE"""),10)</f>
        <v>10</v>
      </c>
      <c r="I213" s="1">
        <f ca="1">IFERROR(__xludf.DUMMYFUNCTION("""COMPUTED_VALUE"""),6)</f>
        <v>6</v>
      </c>
      <c r="J213" s="1">
        <f ca="1">IFERROR(__xludf.DUMMYFUNCTION("""COMPUTED_VALUE"""),10)</f>
        <v>10</v>
      </c>
      <c r="K213" s="1">
        <f ca="1">IFERROR(__xludf.DUMMYFUNCTION("""COMPUTED_VALUE"""),4)</f>
        <v>4</v>
      </c>
      <c r="L213" s="1">
        <f ca="1">IFERROR(__xludf.DUMMYFUNCTION("""COMPUTED_VALUE"""),4)</f>
        <v>4</v>
      </c>
      <c r="M213" s="1">
        <f ca="1">IFERROR(__xludf.DUMMYFUNCTION("""COMPUTED_VALUE"""),8)</f>
        <v>8</v>
      </c>
      <c r="N213" s="1">
        <f ca="1">IFERROR(__xludf.DUMMYFUNCTION("""COMPUTED_VALUE"""),2212)</f>
        <v>2212</v>
      </c>
      <c r="O213" s="1">
        <f ca="1">IFERROR(__xludf.DUMMYFUNCTION("""COMPUTED_VALUE"""),2093)</f>
        <v>2093</v>
      </c>
      <c r="P213" s="1">
        <f ca="1">IFERROR(__xludf.DUMMYFUNCTION("""COMPUTED_VALUE"""),1245)</f>
        <v>1245</v>
      </c>
      <c r="Q213" s="1">
        <f ca="1">IFERROR(__xludf.DUMMYFUNCTION("""COMPUTED_VALUE"""),770)</f>
        <v>770</v>
      </c>
      <c r="R213" s="1">
        <f ca="1">IFERROR(__xludf.DUMMYFUNCTION("""COMPUTED_VALUE"""),1694)</f>
        <v>1694</v>
      </c>
      <c r="S213" s="1">
        <f ca="1">IFERROR(__xludf.DUMMYFUNCTION("""COMPUTED_VALUE"""),0.455)</f>
        <v>0.45500000000000002</v>
      </c>
      <c r="T213" s="1">
        <f ca="1">IFERROR(__xludf.DUMMYFUNCTION("""COMPUTED_VALUE"""),226)</f>
        <v>226</v>
      </c>
      <c r="U213" s="1">
        <f ca="1">IFERROR(__xludf.DUMMYFUNCTION("""COMPUTED_VALUE"""),621)</f>
        <v>621</v>
      </c>
      <c r="V213" s="1">
        <f ca="1">IFERROR(__xludf.DUMMYFUNCTION("""COMPUTED_VALUE"""),0.364)</f>
        <v>0.36399999999999999</v>
      </c>
      <c r="W213" s="1">
        <f ca="1">IFERROR(__xludf.DUMMYFUNCTION("""COMPUTED_VALUE"""),444)</f>
        <v>444</v>
      </c>
      <c r="X213" s="1">
        <f ca="1">IFERROR(__xludf.DUMMYFUNCTION("""COMPUTED_VALUE"""),613)</f>
        <v>613</v>
      </c>
      <c r="Y213" s="1">
        <f ca="1">IFERROR(__xludf.DUMMYFUNCTION("""COMPUTED_VALUE"""),0.724)</f>
        <v>0.72399999999999998</v>
      </c>
      <c r="Z213" s="1">
        <f ca="1">IFERROR(__xludf.DUMMYFUNCTION("""COMPUTED_VALUE"""),308)</f>
        <v>308</v>
      </c>
      <c r="AA213" s="1">
        <f ca="1">IFERROR(__xludf.DUMMYFUNCTION("""COMPUTED_VALUE"""),1018)</f>
        <v>1018</v>
      </c>
      <c r="AB213" s="1">
        <f ca="1">IFERROR(__xludf.DUMMYFUNCTION("""COMPUTED_VALUE"""),445)</f>
        <v>445</v>
      </c>
      <c r="AC213" s="1">
        <f ca="1">IFERROR(__xludf.DUMMYFUNCTION("""COMPUTED_VALUE"""),186)</f>
        <v>186</v>
      </c>
      <c r="AD213" s="1">
        <f ca="1">IFERROR(__xludf.DUMMYFUNCTION("""COMPUTED_VALUE"""),66)</f>
        <v>66</v>
      </c>
      <c r="AE213" s="1">
        <f ca="1">IFERROR(__xludf.DUMMYFUNCTION("""COMPUTED_VALUE"""),367)</f>
        <v>367</v>
      </c>
      <c r="AF213" s="1">
        <f ca="1">IFERROR(__xludf.DUMMYFUNCTION("""COMPUTED_VALUE"""),617)</f>
        <v>617</v>
      </c>
    </row>
    <row r="214" spans="1:32" ht="12.5" x14ac:dyDescent="0.25">
      <c r="A214" s="1" t="str">
        <f ca="1">IFERROR(__xludf.DUMMYFUNCTION("""COMPUTED_VALUE"""),"Navy")</f>
        <v>Navy</v>
      </c>
      <c r="B214" s="1">
        <f ca="1">IFERROR(__xludf.DUMMYFUNCTION("""COMPUTED_VALUE"""),33)</f>
        <v>33</v>
      </c>
      <c r="C214" s="1">
        <f ca="1">IFERROR(__xludf.DUMMYFUNCTION("""COMPUTED_VALUE"""),19)</f>
        <v>19</v>
      </c>
      <c r="D214" s="1">
        <f ca="1">IFERROR(__xludf.DUMMYFUNCTION("""COMPUTED_VALUE"""),14)</f>
        <v>14</v>
      </c>
      <c r="E214" s="1">
        <f ca="1">IFERROR(__xludf.DUMMYFUNCTION("""COMPUTED_VALUE"""),0.576)</f>
        <v>0.57599999999999996</v>
      </c>
      <c r="F214" s="1">
        <f ca="1">IFERROR(__xludf.DUMMYFUNCTION("""COMPUTED_VALUE"""),-4.99)</f>
        <v>-4.99</v>
      </c>
      <c r="G214" s="1">
        <f ca="1">IFERROR(__xludf.DUMMYFUNCTION("""COMPUTED_VALUE"""),-7.05)</f>
        <v>-7.05</v>
      </c>
      <c r="H214" s="1">
        <f ca="1">IFERROR(__xludf.DUMMYFUNCTION("""COMPUTED_VALUE"""),9)</f>
        <v>9</v>
      </c>
      <c r="I214" s="1">
        <f ca="1">IFERROR(__xludf.DUMMYFUNCTION("""COMPUTED_VALUE"""),9)</f>
        <v>9</v>
      </c>
      <c r="J214" s="1">
        <f ca="1">IFERROR(__xludf.DUMMYFUNCTION("""COMPUTED_VALUE"""),6)</f>
        <v>6</v>
      </c>
      <c r="K214" s="1">
        <f ca="1">IFERROR(__xludf.DUMMYFUNCTION("""COMPUTED_VALUE"""),9)</f>
        <v>9</v>
      </c>
      <c r="L214" s="1">
        <f ca="1">IFERROR(__xludf.DUMMYFUNCTION("""COMPUTED_VALUE"""),11)</f>
        <v>11</v>
      </c>
      <c r="M214" s="1">
        <f ca="1">IFERROR(__xludf.DUMMYFUNCTION("""COMPUTED_VALUE"""),4)</f>
        <v>4</v>
      </c>
      <c r="N214" s="1">
        <f ca="1">IFERROR(__xludf.DUMMYFUNCTION("""COMPUTED_VALUE"""),2230)</f>
        <v>2230</v>
      </c>
      <c r="O214" s="1">
        <f ca="1">IFERROR(__xludf.DUMMYFUNCTION("""COMPUTED_VALUE"""),2135)</f>
        <v>2135</v>
      </c>
      <c r="P214" s="1">
        <f ca="1">IFERROR(__xludf.DUMMYFUNCTION("""COMPUTED_VALUE"""),1340)</f>
        <v>1340</v>
      </c>
      <c r="Q214" s="1">
        <f ca="1">IFERROR(__xludf.DUMMYFUNCTION("""COMPUTED_VALUE"""),805)</f>
        <v>805</v>
      </c>
      <c r="R214" s="1">
        <f ca="1">IFERROR(__xludf.DUMMYFUNCTION("""COMPUTED_VALUE"""),1768)</f>
        <v>1768</v>
      </c>
      <c r="S214" s="1">
        <f ca="1">IFERROR(__xludf.DUMMYFUNCTION("""COMPUTED_VALUE"""),0.455)</f>
        <v>0.45500000000000002</v>
      </c>
      <c r="T214" s="1">
        <f ca="1">IFERROR(__xludf.DUMMYFUNCTION("""COMPUTED_VALUE"""),141)</f>
        <v>141</v>
      </c>
      <c r="U214" s="1">
        <f ca="1">IFERROR(__xludf.DUMMYFUNCTION("""COMPUTED_VALUE"""),469)</f>
        <v>469</v>
      </c>
      <c r="V214" s="1">
        <f ca="1">IFERROR(__xludf.DUMMYFUNCTION("""COMPUTED_VALUE"""),0.301)</f>
        <v>0.30099999999999999</v>
      </c>
      <c r="W214" s="1">
        <f ca="1">IFERROR(__xludf.DUMMYFUNCTION("""COMPUTED_VALUE"""),479)</f>
        <v>479</v>
      </c>
      <c r="X214" s="1">
        <f ca="1">IFERROR(__xludf.DUMMYFUNCTION("""COMPUTED_VALUE"""),748)</f>
        <v>748</v>
      </c>
      <c r="Y214" s="1">
        <f ca="1">IFERROR(__xludf.DUMMYFUNCTION("""COMPUTED_VALUE"""),0.64)</f>
        <v>0.64</v>
      </c>
      <c r="Z214" s="1">
        <f ca="1">IFERROR(__xludf.DUMMYFUNCTION("""COMPUTED_VALUE"""),370)</f>
        <v>370</v>
      </c>
      <c r="AA214" s="1">
        <f ca="1">IFERROR(__xludf.DUMMYFUNCTION("""COMPUTED_VALUE"""),1187)</f>
        <v>1187</v>
      </c>
      <c r="AB214" s="1">
        <f ca="1">IFERROR(__xludf.DUMMYFUNCTION("""COMPUTED_VALUE"""),448)</f>
        <v>448</v>
      </c>
      <c r="AC214" s="1">
        <f ca="1">IFERROR(__xludf.DUMMYFUNCTION("""COMPUTED_VALUE"""),188)</f>
        <v>188</v>
      </c>
      <c r="AD214" s="1">
        <f ca="1">IFERROR(__xludf.DUMMYFUNCTION("""COMPUTED_VALUE"""),125)</f>
        <v>125</v>
      </c>
      <c r="AE214" s="1">
        <f ca="1">IFERROR(__xludf.DUMMYFUNCTION("""COMPUTED_VALUE"""),430)</f>
        <v>430</v>
      </c>
      <c r="AF214" s="1">
        <f ca="1">IFERROR(__xludf.DUMMYFUNCTION("""COMPUTED_VALUE"""),648)</f>
        <v>648</v>
      </c>
    </row>
    <row r="215" spans="1:32" ht="12.5" x14ac:dyDescent="0.25">
      <c r="A215" s="1" t="str">
        <f ca="1">IFERROR(__xludf.DUMMYFUNCTION("""COMPUTED_VALUE"""),"Omaha")</f>
        <v>Omaha</v>
      </c>
      <c r="B215" s="1">
        <f ca="1">IFERROR(__xludf.DUMMYFUNCTION("""COMPUTED_VALUE"""),32)</f>
        <v>32</v>
      </c>
      <c r="C215" s="1">
        <f ca="1">IFERROR(__xludf.DUMMYFUNCTION("""COMPUTED_VALUE"""),18)</f>
        <v>18</v>
      </c>
      <c r="D215" s="1">
        <f ca="1">IFERROR(__xludf.DUMMYFUNCTION("""COMPUTED_VALUE"""),14)</f>
        <v>14</v>
      </c>
      <c r="E215" s="1">
        <f ca="1">IFERROR(__xludf.DUMMYFUNCTION("""COMPUTED_VALUE"""),0.563)</f>
        <v>0.56299999999999994</v>
      </c>
      <c r="F215" s="1">
        <f ca="1">IFERROR(__xludf.DUMMYFUNCTION("""COMPUTED_VALUE"""),-0.24)</f>
        <v>-0.24</v>
      </c>
      <c r="G215" s="1">
        <f ca="1">IFERROR(__xludf.DUMMYFUNCTION("""COMPUTED_VALUE"""),-2.04)</f>
        <v>-2.04</v>
      </c>
      <c r="H215" s="1">
        <f ca="1">IFERROR(__xludf.DUMMYFUNCTION("""COMPUTED_VALUE"""),10)</f>
        <v>10</v>
      </c>
      <c r="I215" s="1">
        <f ca="1">IFERROR(__xludf.DUMMYFUNCTION("""COMPUTED_VALUE"""),6)</f>
        <v>6</v>
      </c>
      <c r="J215" s="1">
        <f ca="1">IFERROR(__xludf.DUMMYFUNCTION("""COMPUTED_VALUE"""),9)</f>
        <v>9</v>
      </c>
      <c r="K215" s="1">
        <f ca="1">IFERROR(__xludf.DUMMYFUNCTION("""COMPUTED_VALUE"""),4)</f>
        <v>4</v>
      </c>
      <c r="L215" s="1">
        <f ca="1">IFERROR(__xludf.DUMMYFUNCTION("""COMPUTED_VALUE"""),7)</f>
        <v>7</v>
      </c>
      <c r="M215" s="1">
        <f ca="1">IFERROR(__xludf.DUMMYFUNCTION("""COMPUTED_VALUE"""),9)</f>
        <v>9</v>
      </c>
      <c r="N215" s="1">
        <f ca="1">IFERROR(__xludf.DUMMYFUNCTION("""COMPUTED_VALUE"""),2729)</f>
        <v>2729</v>
      </c>
      <c r="O215" s="1">
        <f ca="1">IFERROR(__xludf.DUMMYFUNCTION("""COMPUTED_VALUE"""),2619)</f>
        <v>2619</v>
      </c>
      <c r="P215" s="1">
        <f ca="1">IFERROR(__xludf.DUMMYFUNCTION("""COMPUTED_VALUE"""),1295)</f>
        <v>1295</v>
      </c>
      <c r="Q215" s="1">
        <f ca="1">IFERROR(__xludf.DUMMYFUNCTION("""COMPUTED_VALUE"""),953)</f>
        <v>953</v>
      </c>
      <c r="R215" s="1">
        <f ca="1">IFERROR(__xludf.DUMMYFUNCTION("""COMPUTED_VALUE"""),2023)</f>
        <v>2023</v>
      </c>
      <c r="S215" s="1">
        <f ca="1">IFERROR(__xludf.DUMMYFUNCTION("""COMPUTED_VALUE"""),0.471)</f>
        <v>0.47099999999999997</v>
      </c>
      <c r="T215" s="1">
        <f ca="1">IFERROR(__xludf.DUMMYFUNCTION("""COMPUTED_VALUE"""),202)</f>
        <v>202</v>
      </c>
      <c r="U215" s="1">
        <f ca="1">IFERROR(__xludf.DUMMYFUNCTION("""COMPUTED_VALUE"""),599)</f>
        <v>599</v>
      </c>
      <c r="V215" s="1">
        <f ca="1">IFERROR(__xludf.DUMMYFUNCTION("""COMPUTED_VALUE"""),0.337)</f>
        <v>0.33700000000000002</v>
      </c>
      <c r="W215" s="1">
        <f ca="1">IFERROR(__xludf.DUMMYFUNCTION("""COMPUTED_VALUE"""),621)</f>
        <v>621</v>
      </c>
      <c r="X215" s="1">
        <f ca="1">IFERROR(__xludf.DUMMYFUNCTION("""COMPUTED_VALUE"""),833)</f>
        <v>833</v>
      </c>
      <c r="Y215" s="1">
        <f ca="1">IFERROR(__xludf.DUMMYFUNCTION("""COMPUTED_VALUE"""),0.745)</f>
        <v>0.745</v>
      </c>
      <c r="Z215" s="1">
        <f ca="1">IFERROR(__xludf.DUMMYFUNCTION("""COMPUTED_VALUE"""),340)</f>
        <v>340</v>
      </c>
      <c r="AA215" s="1">
        <f ca="1">IFERROR(__xludf.DUMMYFUNCTION("""COMPUTED_VALUE"""),1129)</f>
        <v>1129</v>
      </c>
      <c r="AB215" s="1">
        <f ca="1">IFERROR(__xludf.DUMMYFUNCTION("""COMPUTED_VALUE"""),460)</f>
        <v>460</v>
      </c>
      <c r="AC215" s="1">
        <f ca="1">IFERROR(__xludf.DUMMYFUNCTION("""COMPUTED_VALUE"""),297)</f>
        <v>297</v>
      </c>
      <c r="AD215" s="1">
        <f ca="1">IFERROR(__xludf.DUMMYFUNCTION("""COMPUTED_VALUE"""),94)</f>
        <v>94</v>
      </c>
      <c r="AE215" s="1">
        <f ca="1">IFERROR(__xludf.DUMMYFUNCTION("""COMPUTED_VALUE"""),413)</f>
        <v>413</v>
      </c>
      <c r="AF215" s="1">
        <f ca="1">IFERROR(__xludf.DUMMYFUNCTION("""COMPUTED_VALUE"""),657)</f>
        <v>657</v>
      </c>
    </row>
    <row r="216" spans="1:32" ht="12.5" x14ac:dyDescent="0.25">
      <c r="A216" s="1" t="str">
        <f ca="1">IFERROR(__xludf.DUMMYFUNCTION("""COMPUTED_VALUE"""),"Nebraska")</f>
        <v>Nebraska</v>
      </c>
      <c r="B216" s="1">
        <f ca="1">IFERROR(__xludf.DUMMYFUNCTION("""COMPUTED_VALUE"""),34)</f>
        <v>34</v>
      </c>
      <c r="C216" s="1">
        <f ca="1">IFERROR(__xludf.DUMMYFUNCTION("""COMPUTED_VALUE"""),16)</f>
        <v>16</v>
      </c>
      <c r="D216" s="1">
        <f ca="1">IFERROR(__xludf.DUMMYFUNCTION("""COMPUTED_VALUE"""),18)</f>
        <v>18</v>
      </c>
      <c r="E216" s="1">
        <f ca="1">IFERROR(__xludf.DUMMYFUNCTION("""COMPUTED_VALUE"""),0.471)</f>
        <v>0.47099999999999997</v>
      </c>
      <c r="F216" s="1">
        <f ca="1">IFERROR(__xludf.DUMMYFUNCTION("""COMPUTED_VALUE"""),8.84)</f>
        <v>8.84</v>
      </c>
      <c r="G216" s="1">
        <f ca="1">IFERROR(__xludf.DUMMYFUNCTION("""COMPUTED_VALUE"""),5.57)</f>
        <v>5.57</v>
      </c>
      <c r="H216" s="1">
        <f ca="1">IFERROR(__xludf.DUMMYFUNCTION("""COMPUTED_VALUE"""),6)</f>
        <v>6</v>
      </c>
      <c r="I216" s="1">
        <f ca="1">IFERROR(__xludf.DUMMYFUNCTION("""COMPUTED_VALUE"""),12)</f>
        <v>12</v>
      </c>
      <c r="J216" s="1">
        <f ca="1">IFERROR(__xludf.DUMMYFUNCTION("""COMPUTED_VALUE"""),10)</f>
        <v>10</v>
      </c>
      <c r="K216" s="1">
        <f ca="1">IFERROR(__xludf.DUMMYFUNCTION("""COMPUTED_VALUE"""),8)</f>
        <v>8</v>
      </c>
      <c r="L216" s="1">
        <f ca="1">IFERROR(__xludf.DUMMYFUNCTION("""COMPUTED_VALUE"""),3)</f>
        <v>3</v>
      </c>
      <c r="M216" s="1">
        <f ca="1">IFERROR(__xludf.DUMMYFUNCTION("""COMPUTED_VALUE"""),8)</f>
        <v>8</v>
      </c>
      <c r="N216" s="1">
        <f ca="1">IFERROR(__xludf.DUMMYFUNCTION("""COMPUTED_VALUE"""),2456)</f>
        <v>2456</v>
      </c>
      <c r="O216" s="1">
        <f ca="1">IFERROR(__xludf.DUMMYFUNCTION("""COMPUTED_VALUE"""),2345)</f>
        <v>2345</v>
      </c>
      <c r="P216" s="1">
        <f ca="1">IFERROR(__xludf.DUMMYFUNCTION("""COMPUTED_VALUE"""),1370)</f>
        <v>1370</v>
      </c>
      <c r="Q216" s="1">
        <f ca="1">IFERROR(__xludf.DUMMYFUNCTION("""COMPUTED_VALUE"""),883)</f>
        <v>883</v>
      </c>
      <c r="R216" s="1">
        <f ca="1">IFERROR(__xludf.DUMMYFUNCTION("""COMPUTED_VALUE"""),1976)</f>
        <v>1976</v>
      </c>
      <c r="S216" s="1">
        <f ca="1">IFERROR(__xludf.DUMMYFUNCTION("""COMPUTED_VALUE"""),0.447)</f>
        <v>0.44700000000000001</v>
      </c>
      <c r="T216" s="1">
        <f ca="1">IFERROR(__xludf.DUMMYFUNCTION("""COMPUTED_VALUE"""),220)</f>
        <v>220</v>
      </c>
      <c r="U216" s="1">
        <f ca="1">IFERROR(__xludf.DUMMYFUNCTION("""COMPUTED_VALUE"""),634)</f>
        <v>634</v>
      </c>
      <c r="V216" s="1">
        <f ca="1">IFERROR(__xludf.DUMMYFUNCTION("""COMPUTED_VALUE"""),0.347)</f>
        <v>0.34699999999999998</v>
      </c>
      <c r="W216" s="1">
        <f ca="1">IFERROR(__xludf.DUMMYFUNCTION("""COMPUTED_VALUE"""),470)</f>
        <v>470</v>
      </c>
      <c r="X216" s="1">
        <f ca="1">IFERROR(__xludf.DUMMYFUNCTION("""COMPUTED_VALUE"""),644)</f>
        <v>644</v>
      </c>
      <c r="Y216" s="1">
        <f ca="1">IFERROR(__xludf.DUMMYFUNCTION("""COMPUTED_VALUE"""),0.73)</f>
        <v>0.73</v>
      </c>
      <c r="Z216" s="1">
        <f ca="1">IFERROR(__xludf.DUMMYFUNCTION("""COMPUTED_VALUE"""),377)</f>
        <v>377</v>
      </c>
      <c r="AA216" s="1">
        <f ca="1">IFERROR(__xludf.DUMMYFUNCTION("""COMPUTED_VALUE"""),1197)</f>
        <v>1197</v>
      </c>
      <c r="AB216" s="1">
        <f ca="1">IFERROR(__xludf.DUMMYFUNCTION("""COMPUTED_VALUE"""),397)</f>
        <v>397</v>
      </c>
      <c r="AC216" s="1">
        <f ca="1">IFERROR(__xludf.DUMMYFUNCTION("""COMPUTED_VALUE"""),250)</f>
        <v>250</v>
      </c>
      <c r="AD216" s="1">
        <f ca="1">IFERROR(__xludf.DUMMYFUNCTION("""COMPUTED_VALUE"""),112)</f>
        <v>112</v>
      </c>
      <c r="AE216" s="1">
        <f ca="1">IFERROR(__xludf.DUMMYFUNCTION("""COMPUTED_VALUE"""),401)</f>
        <v>401</v>
      </c>
      <c r="AF216" s="1">
        <f ca="1">IFERROR(__xludf.DUMMYFUNCTION("""COMPUTED_VALUE"""),656)</f>
        <v>656</v>
      </c>
    </row>
    <row r="217" spans="1:32" ht="12.5" x14ac:dyDescent="0.25">
      <c r="A217" s="1" t="str">
        <f ca="1">IFERROR(__xludf.DUMMYFUNCTION("""COMPUTED_VALUE"""),"Nevada-Las Vegas")</f>
        <v>Nevada-Las Vegas</v>
      </c>
      <c r="B217" s="1">
        <f ca="1">IFERROR(__xludf.DUMMYFUNCTION("""COMPUTED_VALUE"""),33)</f>
        <v>33</v>
      </c>
      <c r="C217" s="1">
        <f ca="1">IFERROR(__xludf.DUMMYFUNCTION("""COMPUTED_VALUE"""),18)</f>
        <v>18</v>
      </c>
      <c r="D217" s="1">
        <f ca="1">IFERROR(__xludf.DUMMYFUNCTION("""COMPUTED_VALUE"""),15)</f>
        <v>15</v>
      </c>
      <c r="E217" s="1">
        <f ca="1">IFERROR(__xludf.DUMMYFUNCTION("""COMPUTED_VALUE"""),0.545)</f>
        <v>0.54500000000000004</v>
      </c>
      <c r="F217" s="1">
        <f ca="1">IFERROR(__xludf.DUMMYFUNCTION("""COMPUTED_VALUE"""),5.5)</f>
        <v>5.5</v>
      </c>
      <c r="G217" s="1">
        <f ca="1">IFERROR(__xludf.DUMMYFUNCTION("""COMPUTED_VALUE"""),3.17)</f>
        <v>3.17</v>
      </c>
      <c r="H217" s="1">
        <f ca="1">IFERROR(__xludf.DUMMYFUNCTION("""COMPUTED_VALUE"""),8)</f>
        <v>8</v>
      </c>
      <c r="I217" s="1">
        <f ca="1">IFERROR(__xludf.DUMMYFUNCTION("""COMPUTED_VALUE"""),10)</f>
        <v>10</v>
      </c>
      <c r="J217" s="1">
        <f ca="1">IFERROR(__xludf.DUMMYFUNCTION("""COMPUTED_VALUE"""),13)</f>
        <v>13</v>
      </c>
      <c r="K217" s="1">
        <f ca="1">IFERROR(__xludf.DUMMYFUNCTION("""COMPUTED_VALUE"""),3)</f>
        <v>3</v>
      </c>
      <c r="L217" s="1">
        <f ca="1">IFERROR(__xludf.DUMMYFUNCTION("""COMPUTED_VALUE"""),2)</f>
        <v>2</v>
      </c>
      <c r="M217" s="1">
        <f ca="1">IFERROR(__xludf.DUMMYFUNCTION("""COMPUTED_VALUE"""),10)</f>
        <v>10</v>
      </c>
      <c r="N217" s="1">
        <f ca="1">IFERROR(__xludf.DUMMYFUNCTION("""COMPUTED_VALUE"""),2581)</f>
        <v>2581</v>
      </c>
      <c r="O217" s="1">
        <f ca="1">IFERROR(__xludf.DUMMYFUNCTION("""COMPUTED_VALUE"""),2427)</f>
        <v>2427</v>
      </c>
      <c r="P217" s="1">
        <f ca="1">IFERROR(__xludf.DUMMYFUNCTION("""COMPUTED_VALUE"""),1350)</f>
        <v>1350</v>
      </c>
      <c r="Q217" s="1">
        <f ca="1">IFERROR(__xludf.DUMMYFUNCTION("""COMPUTED_VALUE"""),887)</f>
        <v>887</v>
      </c>
      <c r="R217" s="1">
        <f ca="1">IFERROR(__xludf.DUMMYFUNCTION("""COMPUTED_VALUE"""),2015)</f>
        <v>2015</v>
      </c>
      <c r="S217" s="1">
        <f ca="1">IFERROR(__xludf.DUMMYFUNCTION("""COMPUTED_VALUE"""),0.44)</f>
        <v>0.44</v>
      </c>
      <c r="T217" s="1">
        <f ca="1">IFERROR(__xludf.DUMMYFUNCTION("""COMPUTED_VALUE"""),252)</f>
        <v>252</v>
      </c>
      <c r="U217" s="1">
        <f ca="1">IFERROR(__xludf.DUMMYFUNCTION("""COMPUTED_VALUE"""),760)</f>
        <v>760</v>
      </c>
      <c r="V217" s="1">
        <f ca="1">IFERROR(__xludf.DUMMYFUNCTION("""COMPUTED_VALUE"""),0.332)</f>
        <v>0.33200000000000002</v>
      </c>
      <c r="W217" s="1">
        <f ca="1">IFERROR(__xludf.DUMMYFUNCTION("""COMPUTED_VALUE"""),555)</f>
        <v>555</v>
      </c>
      <c r="X217" s="1">
        <f ca="1">IFERROR(__xludf.DUMMYFUNCTION("""COMPUTED_VALUE"""),815)</f>
        <v>815</v>
      </c>
      <c r="Y217" s="1">
        <f ca="1">IFERROR(__xludf.DUMMYFUNCTION("""COMPUTED_VALUE"""),0.681)</f>
        <v>0.68100000000000005</v>
      </c>
      <c r="Z217" s="1">
        <f ca="1">IFERROR(__xludf.DUMMYFUNCTION("""COMPUTED_VALUE"""),371)</f>
        <v>371</v>
      </c>
      <c r="AA217" s="1">
        <f ca="1">IFERROR(__xludf.DUMMYFUNCTION("""COMPUTED_VALUE"""),1270)</f>
        <v>1270</v>
      </c>
      <c r="AB217" s="1">
        <f ca="1">IFERROR(__xludf.DUMMYFUNCTION("""COMPUTED_VALUE"""),499)</f>
        <v>499</v>
      </c>
      <c r="AC217" s="1">
        <f ca="1">IFERROR(__xludf.DUMMYFUNCTION("""COMPUTED_VALUE"""),266)</f>
        <v>266</v>
      </c>
      <c r="AD217" s="1">
        <f ca="1">IFERROR(__xludf.DUMMYFUNCTION("""COMPUTED_VALUE"""),168)</f>
        <v>168</v>
      </c>
      <c r="AE217" s="1">
        <f ca="1">IFERROR(__xludf.DUMMYFUNCTION("""COMPUTED_VALUE"""),466)</f>
        <v>466</v>
      </c>
      <c r="AF217" s="1">
        <f ca="1">IFERROR(__xludf.DUMMYFUNCTION("""COMPUTED_VALUE"""),700)</f>
        <v>700</v>
      </c>
    </row>
    <row r="218" spans="1:32" ht="12.5" x14ac:dyDescent="0.25">
      <c r="A218" s="1" t="str">
        <f ca="1">IFERROR(__xludf.DUMMYFUNCTION("""COMPUTED_VALUE"""),"Nevada")</f>
        <v>Nevada</v>
      </c>
      <c r="B218" s="1">
        <f ca="1">IFERROR(__xludf.DUMMYFUNCTION("""COMPUTED_VALUE"""),38)</f>
        <v>38</v>
      </c>
      <c r="C218" s="1">
        <f ca="1">IFERROR(__xludf.DUMMYFUNCTION("""COMPUTED_VALUE"""),24)</f>
        <v>24</v>
      </c>
      <c r="D218" s="1">
        <f ca="1">IFERROR(__xludf.DUMMYFUNCTION("""COMPUTED_VALUE"""),14)</f>
        <v>14</v>
      </c>
      <c r="E218" s="1">
        <f ca="1">IFERROR(__xludf.DUMMYFUNCTION("""COMPUTED_VALUE"""),0.632)</f>
        <v>0.63200000000000001</v>
      </c>
      <c r="F218" s="1">
        <f ca="1">IFERROR(__xludf.DUMMYFUNCTION("""COMPUTED_VALUE"""),2.85)</f>
        <v>2.85</v>
      </c>
      <c r="G218" s="1">
        <f ca="1">IFERROR(__xludf.DUMMYFUNCTION("""COMPUTED_VALUE"""),1.79)</f>
        <v>1.79</v>
      </c>
      <c r="H218" s="1">
        <f ca="1">IFERROR(__xludf.DUMMYFUNCTION("""COMPUTED_VALUE"""),10)</f>
        <v>10</v>
      </c>
      <c r="I218" s="1">
        <f ca="1">IFERROR(__xludf.DUMMYFUNCTION("""COMPUTED_VALUE"""),8)</f>
        <v>8</v>
      </c>
      <c r="J218" s="1">
        <f ca="1">IFERROR(__xludf.DUMMYFUNCTION("""COMPUTED_VALUE"""),16)</f>
        <v>16</v>
      </c>
      <c r="K218" s="1">
        <f ca="1">IFERROR(__xludf.DUMMYFUNCTION("""COMPUTED_VALUE"""),3)</f>
        <v>3</v>
      </c>
      <c r="L218" s="1">
        <f ca="1">IFERROR(__xludf.DUMMYFUNCTION("""COMPUTED_VALUE"""),5)</f>
        <v>5</v>
      </c>
      <c r="M218" s="1">
        <f ca="1">IFERROR(__xludf.DUMMYFUNCTION("""COMPUTED_VALUE"""),10)</f>
        <v>10</v>
      </c>
      <c r="N218" s="1">
        <f ca="1">IFERROR(__xludf.DUMMYFUNCTION("""COMPUTED_VALUE"""),2878)</f>
        <v>2878</v>
      </c>
      <c r="O218" s="1">
        <f ca="1">IFERROR(__xludf.DUMMYFUNCTION("""COMPUTED_VALUE"""),2740)</f>
        <v>2740</v>
      </c>
      <c r="P218" s="1">
        <f ca="1">IFERROR(__xludf.DUMMYFUNCTION("""COMPUTED_VALUE"""),1550)</f>
        <v>1550</v>
      </c>
      <c r="Q218" s="1">
        <f ca="1">IFERROR(__xludf.DUMMYFUNCTION("""COMPUTED_VALUE"""),973)</f>
        <v>973</v>
      </c>
      <c r="R218" s="1">
        <f ca="1">IFERROR(__xludf.DUMMYFUNCTION("""COMPUTED_VALUE"""),2293)</f>
        <v>2293</v>
      </c>
      <c r="S218" s="1">
        <f ca="1">IFERROR(__xludf.DUMMYFUNCTION("""COMPUTED_VALUE"""),0.424)</f>
        <v>0.42399999999999999</v>
      </c>
      <c r="T218" s="1">
        <f ca="1">IFERROR(__xludf.DUMMYFUNCTION("""COMPUTED_VALUE"""),202)</f>
        <v>202</v>
      </c>
      <c r="U218" s="1">
        <f ca="1">IFERROR(__xludf.DUMMYFUNCTION("""COMPUTED_VALUE"""),658)</f>
        <v>658</v>
      </c>
      <c r="V218" s="1">
        <f ca="1">IFERROR(__xludf.DUMMYFUNCTION("""COMPUTED_VALUE"""),0.307)</f>
        <v>0.307</v>
      </c>
      <c r="W218" s="1">
        <f ca="1">IFERROR(__xludf.DUMMYFUNCTION("""COMPUTED_VALUE"""),730)</f>
        <v>730</v>
      </c>
      <c r="X218" s="1">
        <f ca="1">IFERROR(__xludf.DUMMYFUNCTION("""COMPUTED_VALUE"""),992)</f>
        <v>992</v>
      </c>
      <c r="Y218" s="1">
        <f ca="1">IFERROR(__xludf.DUMMYFUNCTION("""COMPUTED_VALUE"""),0.736)</f>
        <v>0.73599999999999999</v>
      </c>
      <c r="Z218" s="1">
        <f ca="1">IFERROR(__xludf.DUMMYFUNCTION("""COMPUTED_VALUE"""),459)</f>
        <v>459</v>
      </c>
      <c r="AA218" s="1">
        <f ca="1">IFERROR(__xludf.DUMMYFUNCTION("""COMPUTED_VALUE"""),1535)</f>
        <v>1535</v>
      </c>
      <c r="AB218" s="1">
        <f ca="1">IFERROR(__xludf.DUMMYFUNCTION("""COMPUTED_VALUE"""),478)</f>
        <v>478</v>
      </c>
      <c r="AC218" s="1">
        <f ca="1">IFERROR(__xludf.DUMMYFUNCTION("""COMPUTED_VALUE"""),254)</f>
        <v>254</v>
      </c>
      <c r="AD218" s="1">
        <f ca="1">IFERROR(__xludf.DUMMYFUNCTION("""COMPUTED_VALUE"""),216)</f>
        <v>216</v>
      </c>
      <c r="AE218" s="1">
        <f ca="1">IFERROR(__xludf.DUMMYFUNCTION("""COMPUTED_VALUE"""),495)</f>
        <v>495</v>
      </c>
      <c r="AF218" s="1">
        <f ca="1">IFERROR(__xludf.DUMMYFUNCTION("""COMPUTED_VALUE"""),788)</f>
        <v>788</v>
      </c>
    </row>
    <row r="219" spans="1:32" ht="12.5" x14ac:dyDescent="0.25">
      <c r="A219" s="1" t="str">
        <f ca="1">IFERROR(__xludf.DUMMYFUNCTION("""COMPUTED_VALUE"""),"New Hampshire")</f>
        <v>New Hampshire</v>
      </c>
      <c r="B219" s="1">
        <f ca="1">IFERROR(__xludf.DUMMYFUNCTION("""COMPUTED_VALUE"""),33)</f>
        <v>33</v>
      </c>
      <c r="C219" s="1">
        <f ca="1">IFERROR(__xludf.DUMMYFUNCTION("""COMPUTED_VALUE"""),20)</f>
        <v>20</v>
      </c>
      <c r="D219" s="1">
        <f ca="1">IFERROR(__xludf.DUMMYFUNCTION("""COMPUTED_VALUE"""),13)</f>
        <v>13</v>
      </c>
      <c r="E219" s="1">
        <f ca="1">IFERROR(__xludf.DUMMYFUNCTION("""COMPUTED_VALUE"""),0.606)</f>
        <v>0.60599999999999998</v>
      </c>
      <c r="F219" s="1">
        <f ca="1">IFERROR(__xludf.DUMMYFUNCTION("""COMPUTED_VALUE"""),-7.89)</f>
        <v>-7.89</v>
      </c>
      <c r="G219" s="1">
        <f ca="1">IFERROR(__xludf.DUMMYFUNCTION("""COMPUTED_VALUE"""),-7.05)</f>
        <v>-7.05</v>
      </c>
      <c r="H219" s="1">
        <f ca="1">IFERROR(__xludf.DUMMYFUNCTION("""COMPUTED_VALUE"""),11)</f>
        <v>11</v>
      </c>
      <c r="I219" s="1">
        <f ca="1">IFERROR(__xludf.DUMMYFUNCTION("""COMPUTED_VALUE"""),5)</f>
        <v>5</v>
      </c>
      <c r="J219" s="1">
        <f ca="1">IFERROR(__xludf.DUMMYFUNCTION("""COMPUTED_VALUE"""),11)</f>
        <v>11</v>
      </c>
      <c r="K219" s="1">
        <f ca="1">IFERROR(__xludf.DUMMYFUNCTION("""COMPUTED_VALUE"""),3)</f>
        <v>3</v>
      </c>
      <c r="L219" s="1">
        <f ca="1">IFERROR(__xludf.DUMMYFUNCTION("""COMPUTED_VALUE"""),9)</f>
        <v>9</v>
      </c>
      <c r="M219" s="1">
        <f ca="1">IFERROR(__xludf.DUMMYFUNCTION("""COMPUTED_VALUE"""),10)</f>
        <v>10</v>
      </c>
      <c r="N219" s="1">
        <f ca="1">IFERROR(__xludf.DUMMYFUNCTION("""COMPUTED_VALUE"""),2342)</f>
        <v>2342</v>
      </c>
      <c r="O219" s="1">
        <f ca="1">IFERROR(__xludf.DUMMYFUNCTION("""COMPUTED_VALUE"""),2297)</f>
        <v>2297</v>
      </c>
      <c r="P219" s="1">
        <f ca="1">IFERROR(__xludf.DUMMYFUNCTION("""COMPUTED_VALUE"""),1330)</f>
        <v>1330</v>
      </c>
      <c r="Q219" s="1">
        <f ca="1">IFERROR(__xludf.DUMMYFUNCTION("""COMPUTED_VALUE"""),809)</f>
        <v>809</v>
      </c>
      <c r="R219" s="1">
        <f ca="1">IFERROR(__xludf.DUMMYFUNCTION("""COMPUTED_VALUE"""),1944)</f>
        <v>1944</v>
      </c>
      <c r="S219" s="1">
        <f ca="1">IFERROR(__xludf.DUMMYFUNCTION("""COMPUTED_VALUE"""),0.416)</f>
        <v>0.41599999999999998</v>
      </c>
      <c r="T219" s="1">
        <f ca="1">IFERROR(__xludf.DUMMYFUNCTION("""COMPUTED_VALUE"""),222)</f>
        <v>222</v>
      </c>
      <c r="U219" s="1">
        <f ca="1">IFERROR(__xludf.DUMMYFUNCTION("""COMPUTED_VALUE"""),666)</f>
        <v>666</v>
      </c>
      <c r="V219" s="1">
        <f ca="1">IFERROR(__xludf.DUMMYFUNCTION("""COMPUTED_VALUE"""),0.333)</f>
        <v>0.33300000000000002</v>
      </c>
      <c r="W219" s="1">
        <f ca="1">IFERROR(__xludf.DUMMYFUNCTION("""COMPUTED_VALUE"""),502)</f>
        <v>502</v>
      </c>
      <c r="X219" s="1">
        <f ca="1">IFERROR(__xludf.DUMMYFUNCTION("""COMPUTED_VALUE"""),693)</f>
        <v>693</v>
      </c>
      <c r="Y219" s="1">
        <f ca="1">IFERROR(__xludf.DUMMYFUNCTION("""COMPUTED_VALUE"""),0.724)</f>
        <v>0.72399999999999998</v>
      </c>
      <c r="Z219" s="1">
        <f ca="1">IFERROR(__xludf.DUMMYFUNCTION("""COMPUTED_VALUE"""),376)</f>
        <v>376</v>
      </c>
      <c r="AA219" s="1">
        <f ca="1">IFERROR(__xludf.DUMMYFUNCTION("""COMPUTED_VALUE"""),1296)</f>
        <v>1296</v>
      </c>
      <c r="AB219" s="1">
        <f ca="1">IFERROR(__xludf.DUMMYFUNCTION("""COMPUTED_VALUE"""),389)</f>
        <v>389</v>
      </c>
      <c r="AC219" s="1">
        <f ca="1">IFERROR(__xludf.DUMMYFUNCTION("""COMPUTED_VALUE"""),126)</f>
        <v>126</v>
      </c>
      <c r="AD219" s="1">
        <f ca="1">IFERROR(__xludf.DUMMYFUNCTION("""COMPUTED_VALUE"""),59)</f>
        <v>59</v>
      </c>
      <c r="AE219" s="1">
        <f ca="1">IFERROR(__xludf.DUMMYFUNCTION("""COMPUTED_VALUE"""),385)</f>
        <v>385</v>
      </c>
      <c r="AF219" s="1">
        <f ca="1">IFERROR(__xludf.DUMMYFUNCTION("""COMPUTED_VALUE"""),585)</f>
        <v>585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IFERROR(__xludf.DUMMYFUNCTION("""COMPUTED_VALUE"""),"New Mexico State")</f>
        <v>New Mexico State</v>
      </c>
      <c r="B222" s="1">
        <f ca="1">IFERROR(__xludf.DUMMYFUNCTION("""COMPUTED_VALUE"""),34)</f>
        <v>34</v>
      </c>
      <c r="C222" s="1">
        <f ca="1">IFERROR(__xludf.DUMMYFUNCTION("""COMPUTED_VALUE"""),23)</f>
        <v>23</v>
      </c>
      <c r="D222" s="1">
        <f ca="1">IFERROR(__xludf.DUMMYFUNCTION("""COMPUTED_VALUE"""),11)</f>
        <v>11</v>
      </c>
      <c r="E222" s="1">
        <f ca="1">IFERROR(__xludf.DUMMYFUNCTION("""COMPUTED_VALUE"""),0.676)</f>
        <v>0.67600000000000005</v>
      </c>
      <c r="F222" s="1">
        <f ca="1">IFERROR(__xludf.DUMMYFUNCTION("""COMPUTED_VALUE"""),3.59)</f>
        <v>3.59</v>
      </c>
      <c r="G222" s="1">
        <f ca="1">IFERROR(__xludf.DUMMYFUNCTION("""COMPUTED_VALUE"""),-3.54)</f>
        <v>-3.54</v>
      </c>
      <c r="H222" s="1">
        <f ca="1">IFERROR(__xludf.DUMMYFUNCTION("""COMPUTED_VALUE"""),13)</f>
        <v>13</v>
      </c>
      <c r="I222" s="1">
        <f ca="1">IFERROR(__xludf.DUMMYFUNCTION("""COMPUTED_VALUE"""),1)</f>
        <v>1</v>
      </c>
      <c r="J222" s="1">
        <f ca="1">IFERROR(__xludf.DUMMYFUNCTION("""COMPUTED_VALUE"""),15)</f>
        <v>15</v>
      </c>
      <c r="K222" s="1">
        <f ca="1">IFERROR(__xludf.DUMMYFUNCTION("""COMPUTED_VALUE"""),2)</f>
        <v>2</v>
      </c>
      <c r="L222" s="1">
        <f ca="1">IFERROR(__xludf.DUMMYFUNCTION("""COMPUTED_VALUE"""),7)</f>
        <v>7</v>
      </c>
      <c r="M222" s="1">
        <f ca="1">IFERROR(__xludf.DUMMYFUNCTION("""COMPUTED_VALUE"""),8)</f>
        <v>8</v>
      </c>
      <c r="N222" s="1">
        <f ca="1">IFERROR(__xludf.DUMMYFUNCTION("""COMPUTED_VALUE"""),2424)</f>
        <v>2424</v>
      </c>
      <c r="O222" s="1">
        <f ca="1">IFERROR(__xludf.DUMMYFUNCTION("""COMPUTED_VALUE"""),2145)</f>
        <v>2145</v>
      </c>
      <c r="P222" s="1">
        <f ca="1">IFERROR(__xludf.DUMMYFUNCTION("""COMPUTED_VALUE"""),1380)</f>
        <v>1380</v>
      </c>
      <c r="Q222" s="1">
        <f ca="1">IFERROR(__xludf.DUMMYFUNCTION("""COMPUTED_VALUE"""),887)</f>
        <v>887</v>
      </c>
      <c r="R222" s="1">
        <f ca="1">IFERROR(__xludf.DUMMYFUNCTION("""COMPUTED_VALUE"""),1919)</f>
        <v>1919</v>
      </c>
      <c r="S222" s="1">
        <f ca="1">IFERROR(__xludf.DUMMYFUNCTION("""COMPUTED_VALUE"""),0.462)</f>
        <v>0.46200000000000002</v>
      </c>
      <c r="T222" s="1">
        <f ca="1">IFERROR(__xludf.DUMMYFUNCTION("""COMPUTED_VALUE"""),179)</f>
        <v>179</v>
      </c>
      <c r="U222" s="1">
        <f ca="1">IFERROR(__xludf.DUMMYFUNCTION("""COMPUTED_VALUE"""),537)</f>
        <v>537</v>
      </c>
      <c r="V222" s="1">
        <f ca="1">IFERROR(__xludf.DUMMYFUNCTION("""COMPUTED_VALUE"""),0.333)</f>
        <v>0.33300000000000002</v>
      </c>
      <c r="W222" s="1">
        <f ca="1">IFERROR(__xludf.DUMMYFUNCTION("""COMPUTED_VALUE"""),471)</f>
        <v>471</v>
      </c>
      <c r="X222" s="1">
        <f ca="1">IFERROR(__xludf.DUMMYFUNCTION("""COMPUTED_VALUE"""),696)</f>
        <v>696</v>
      </c>
      <c r="Y222" s="1">
        <f ca="1">IFERROR(__xludf.DUMMYFUNCTION("""COMPUTED_VALUE"""),0.677)</f>
        <v>0.67700000000000005</v>
      </c>
      <c r="Z222" s="1">
        <f ca="1">IFERROR(__xludf.DUMMYFUNCTION("""COMPUTED_VALUE"""),415)</f>
        <v>415</v>
      </c>
      <c r="AA222" s="1">
        <f ca="1">IFERROR(__xludf.DUMMYFUNCTION("""COMPUTED_VALUE"""),1395)</f>
        <v>1395</v>
      </c>
      <c r="AB222" s="1">
        <f ca="1">IFERROR(__xludf.DUMMYFUNCTION("""COMPUTED_VALUE"""),475)</f>
        <v>475</v>
      </c>
      <c r="AC222" s="1">
        <f ca="1">IFERROR(__xludf.DUMMYFUNCTION("""COMPUTED_VALUE"""),141)</f>
        <v>141</v>
      </c>
      <c r="AD222" s="1">
        <f ca="1">IFERROR(__xludf.DUMMYFUNCTION("""COMPUTED_VALUE"""),160)</f>
        <v>160</v>
      </c>
      <c r="AE222" s="1">
        <f ca="1">IFERROR(__xludf.DUMMYFUNCTION("""COMPUTED_VALUE"""),462)</f>
        <v>462</v>
      </c>
      <c r="AF222" s="1">
        <f ca="1">IFERROR(__xludf.DUMMYFUNCTION("""COMPUTED_VALUE"""),535)</f>
        <v>535</v>
      </c>
    </row>
    <row r="223" spans="1:32" ht="12.5" x14ac:dyDescent="0.25">
      <c r="A223" s="1" t="str">
        <f ca="1">IFERROR(__xludf.DUMMYFUNCTION("""COMPUTED_VALUE"""),"New Mexico")</f>
        <v>New Mexico</v>
      </c>
      <c r="B223" s="1">
        <f ca="1">IFERROR(__xludf.DUMMYFUNCTION("""COMPUTED_VALUE"""),32)</f>
        <v>32</v>
      </c>
      <c r="C223" s="1">
        <f ca="1">IFERROR(__xludf.DUMMYFUNCTION("""COMPUTED_VALUE"""),17)</f>
        <v>17</v>
      </c>
      <c r="D223" s="1">
        <f ca="1">IFERROR(__xludf.DUMMYFUNCTION("""COMPUTED_VALUE"""),15)</f>
        <v>15</v>
      </c>
      <c r="E223" s="1">
        <f ca="1">IFERROR(__xludf.DUMMYFUNCTION("""COMPUTED_VALUE"""),0.531)</f>
        <v>0.53100000000000003</v>
      </c>
      <c r="F223" s="1">
        <f ca="1">IFERROR(__xludf.DUMMYFUNCTION("""COMPUTED_VALUE"""),5.21)</f>
        <v>5.21</v>
      </c>
      <c r="G223" s="1">
        <f ca="1">IFERROR(__xludf.DUMMYFUNCTION("""COMPUTED_VALUE"""),2.58)</f>
        <v>2.58</v>
      </c>
      <c r="H223" s="1">
        <f ca="1">IFERROR(__xludf.DUMMYFUNCTION("""COMPUTED_VALUE"""),10)</f>
        <v>10</v>
      </c>
      <c r="I223" s="1">
        <f ca="1">IFERROR(__xludf.DUMMYFUNCTION("""COMPUTED_VALUE"""),8)</f>
        <v>8</v>
      </c>
      <c r="J223" s="1">
        <f ca="1">IFERROR(__xludf.DUMMYFUNCTION("""COMPUTED_VALUE"""),12)</f>
        <v>12</v>
      </c>
      <c r="K223" s="1">
        <f ca="1">IFERROR(__xludf.DUMMYFUNCTION("""COMPUTED_VALUE"""),4)</f>
        <v>4</v>
      </c>
      <c r="L223" s="1">
        <f ca="1">IFERROR(__xludf.DUMMYFUNCTION("""COMPUTED_VALUE"""),5)</f>
        <v>5</v>
      </c>
      <c r="M223" s="1">
        <f ca="1">IFERROR(__xludf.DUMMYFUNCTION("""COMPUTED_VALUE"""),7)</f>
        <v>7</v>
      </c>
      <c r="N223" s="1">
        <f ca="1">IFERROR(__xludf.DUMMYFUNCTION("""COMPUTED_VALUE"""),2432)</f>
        <v>2432</v>
      </c>
      <c r="O223" s="1">
        <f ca="1">IFERROR(__xludf.DUMMYFUNCTION("""COMPUTED_VALUE"""),2348)</f>
        <v>2348</v>
      </c>
      <c r="P223" s="1">
        <f ca="1">IFERROR(__xludf.DUMMYFUNCTION("""COMPUTED_VALUE"""),1285)</f>
        <v>1285</v>
      </c>
      <c r="Q223" s="1">
        <f ca="1">IFERROR(__xludf.DUMMYFUNCTION("""COMPUTED_VALUE"""),829)</f>
        <v>829</v>
      </c>
      <c r="R223" s="1">
        <f ca="1">IFERROR(__xludf.DUMMYFUNCTION("""COMPUTED_VALUE"""),1782)</f>
        <v>1782</v>
      </c>
      <c r="S223" s="1">
        <f ca="1">IFERROR(__xludf.DUMMYFUNCTION("""COMPUTED_VALUE"""),0.465)</f>
        <v>0.46500000000000002</v>
      </c>
      <c r="T223" s="1">
        <f ca="1">IFERROR(__xludf.DUMMYFUNCTION("""COMPUTED_VALUE"""),196)</f>
        <v>196</v>
      </c>
      <c r="U223" s="1">
        <f ca="1">IFERROR(__xludf.DUMMYFUNCTION("""COMPUTED_VALUE"""),540)</f>
        <v>540</v>
      </c>
      <c r="V223" s="1">
        <f ca="1">IFERROR(__xludf.DUMMYFUNCTION("""COMPUTED_VALUE"""),0.363)</f>
        <v>0.36299999999999999</v>
      </c>
      <c r="W223" s="1">
        <f ca="1">IFERROR(__xludf.DUMMYFUNCTION("""COMPUTED_VALUE"""),578)</f>
        <v>578</v>
      </c>
      <c r="X223" s="1">
        <f ca="1">IFERROR(__xludf.DUMMYFUNCTION("""COMPUTED_VALUE"""),783)</f>
        <v>783</v>
      </c>
      <c r="Y223" s="1">
        <f ca="1">IFERROR(__xludf.DUMMYFUNCTION("""COMPUTED_VALUE"""),0.738)</f>
        <v>0.73799999999999999</v>
      </c>
      <c r="Z223" s="1">
        <f ca="1">IFERROR(__xludf.DUMMYFUNCTION("""COMPUTED_VALUE"""),310)</f>
        <v>310</v>
      </c>
      <c r="AA223" s="1">
        <f ca="1">IFERROR(__xludf.DUMMYFUNCTION("""COMPUTED_VALUE"""),1173)</f>
        <v>1173</v>
      </c>
      <c r="AB223" s="1">
        <f ca="1">IFERROR(__xludf.DUMMYFUNCTION("""COMPUTED_VALUE"""),462)</f>
        <v>462</v>
      </c>
      <c r="AC223" s="1">
        <f ca="1">IFERROR(__xludf.DUMMYFUNCTION("""COMPUTED_VALUE"""),180)</f>
        <v>180</v>
      </c>
      <c r="AD223" s="1">
        <f ca="1">IFERROR(__xludf.DUMMYFUNCTION("""COMPUTED_VALUE"""),130)</f>
        <v>130</v>
      </c>
      <c r="AE223" s="1">
        <f ca="1">IFERROR(__xludf.DUMMYFUNCTION("""COMPUTED_VALUE"""),489)</f>
        <v>489</v>
      </c>
      <c r="AF223" s="1">
        <f ca="1">IFERROR(__xludf.DUMMYFUNCTION("""COMPUTED_VALUE"""),657)</f>
        <v>657</v>
      </c>
    </row>
    <row r="224" spans="1:32" ht="12.5" x14ac:dyDescent="0.25">
      <c r="A224" s="1" t="str">
        <f ca="1">IFERROR(__xludf.DUMMYFUNCTION("""COMPUTED_VALUE"""),"New Orleans")</f>
        <v>New Orleans</v>
      </c>
      <c r="B224" s="1">
        <f ca="1">IFERROR(__xludf.DUMMYFUNCTION("""COMPUTED_VALUE"""),30)</f>
        <v>30</v>
      </c>
      <c r="C224" s="1">
        <f ca="1">IFERROR(__xludf.DUMMYFUNCTION("""COMPUTED_VALUE"""),10)</f>
        <v>10</v>
      </c>
      <c r="D224" s="1">
        <f ca="1">IFERROR(__xludf.DUMMYFUNCTION("""COMPUTED_VALUE"""),20)</f>
        <v>20</v>
      </c>
      <c r="E224" s="1">
        <f ca="1">IFERROR(__xludf.DUMMYFUNCTION("""COMPUTED_VALUE"""),0.333)</f>
        <v>0.33300000000000002</v>
      </c>
      <c r="F224" s="1">
        <f ca="1">IFERROR(__xludf.DUMMYFUNCTION("""COMPUTED_VALUE"""),-14.21)</f>
        <v>-14.21</v>
      </c>
      <c r="G224" s="1">
        <f ca="1">IFERROR(__xludf.DUMMYFUNCTION("""COMPUTED_VALUE"""),-8.17)</f>
        <v>-8.17</v>
      </c>
      <c r="H224" s="1">
        <f ca="1">IFERROR(__xludf.DUMMYFUNCTION("""COMPUTED_VALUE"""),6)</f>
        <v>6</v>
      </c>
      <c r="I224" s="1">
        <f ca="1">IFERROR(__xludf.DUMMYFUNCTION("""COMPUTED_VALUE"""),12)</f>
        <v>12</v>
      </c>
      <c r="J224" s="1">
        <f ca="1">IFERROR(__xludf.DUMMYFUNCTION("""COMPUTED_VALUE"""),7)</f>
        <v>7</v>
      </c>
      <c r="K224" s="1">
        <f ca="1">IFERROR(__xludf.DUMMYFUNCTION("""COMPUTED_VALUE"""),5)</f>
        <v>5</v>
      </c>
      <c r="L224" s="1">
        <f ca="1">IFERROR(__xludf.DUMMYFUNCTION("""COMPUTED_VALUE"""),3)</f>
        <v>3</v>
      </c>
      <c r="M224" s="1">
        <f ca="1">IFERROR(__xludf.DUMMYFUNCTION("""COMPUTED_VALUE"""),14)</f>
        <v>14</v>
      </c>
      <c r="N224" s="1">
        <f ca="1">IFERROR(__xludf.DUMMYFUNCTION("""COMPUTED_VALUE"""),2249)</f>
        <v>2249</v>
      </c>
      <c r="O224" s="1">
        <f ca="1">IFERROR(__xludf.DUMMYFUNCTION("""COMPUTED_VALUE"""),2325)</f>
        <v>2325</v>
      </c>
      <c r="P224" s="1">
        <f ca="1">IFERROR(__xludf.DUMMYFUNCTION("""COMPUTED_VALUE"""),1205)</f>
        <v>1205</v>
      </c>
      <c r="Q224" s="1">
        <f ca="1">IFERROR(__xludf.DUMMYFUNCTION("""COMPUTED_VALUE"""),763)</f>
        <v>763</v>
      </c>
      <c r="R224" s="1">
        <f ca="1">IFERROR(__xludf.DUMMYFUNCTION("""COMPUTED_VALUE"""),1820)</f>
        <v>1820</v>
      </c>
      <c r="S224" s="1">
        <f ca="1">IFERROR(__xludf.DUMMYFUNCTION("""COMPUTED_VALUE"""),0.419)</f>
        <v>0.41899999999999998</v>
      </c>
      <c r="T224" s="1">
        <f ca="1">IFERROR(__xludf.DUMMYFUNCTION("""COMPUTED_VALUE"""),162)</f>
        <v>162</v>
      </c>
      <c r="U224" s="1">
        <f ca="1">IFERROR(__xludf.DUMMYFUNCTION("""COMPUTED_VALUE"""),480)</f>
        <v>480</v>
      </c>
      <c r="V224" s="1">
        <f ca="1">IFERROR(__xludf.DUMMYFUNCTION("""COMPUTED_VALUE"""),0.338)</f>
        <v>0.33800000000000002</v>
      </c>
      <c r="W224" s="1">
        <f ca="1">IFERROR(__xludf.DUMMYFUNCTION("""COMPUTED_VALUE"""),561)</f>
        <v>561</v>
      </c>
      <c r="X224" s="1">
        <f ca="1">IFERROR(__xludf.DUMMYFUNCTION("""COMPUTED_VALUE"""),816)</f>
        <v>816</v>
      </c>
      <c r="Y224" s="1">
        <f ca="1">IFERROR(__xludf.DUMMYFUNCTION("""COMPUTED_VALUE"""),0.688)</f>
        <v>0.68799999999999994</v>
      </c>
      <c r="Z224" s="1">
        <f ca="1">IFERROR(__xludf.DUMMYFUNCTION("""COMPUTED_VALUE"""),422)</f>
        <v>422</v>
      </c>
      <c r="AA224" s="1">
        <f ca="1">IFERROR(__xludf.DUMMYFUNCTION("""COMPUTED_VALUE"""),1138)</f>
        <v>1138</v>
      </c>
      <c r="AB224" s="1">
        <f ca="1">IFERROR(__xludf.DUMMYFUNCTION("""COMPUTED_VALUE"""),408)</f>
        <v>408</v>
      </c>
      <c r="AC224" s="1">
        <f ca="1">IFERROR(__xludf.DUMMYFUNCTION("""COMPUTED_VALUE"""),252)</f>
        <v>252</v>
      </c>
      <c r="AD224" s="1">
        <f ca="1">IFERROR(__xludf.DUMMYFUNCTION("""COMPUTED_VALUE"""),77)</f>
        <v>77</v>
      </c>
      <c r="AE224" s="1">
        <f ca="1">IFERROR(__xludf.DUMMYFUNCTION("""COMPUTED_VALUE"""),452)</f>
        <v>452</v>
      </c>
      <c r="AF224" s="1">
        <f ca="1">IFERROR(__xludf.DUMMYFUNCTION("""COMPUTED_VALUE"""),640)</f>
        <v>640</v>
      </c>
    </row>
    <row r="225" spans="1:32" ht="12.5" x14ac:dyDescent="0.25">
      <c r="A225" s="1" t="str">
        <f ca="1">IFERROR(__xludf.DUMMYFUNCTION("""COMPUTED_VALUE"""),"Niagara")</f>
        <v>Niagara</v>
      </c>
      <c r="B225" s="1">
        <f ca="1">IFERROR(__xludf.DUMMYFUNCTION("""COMPUTED_VALUE"""),32)</f>
        <v>32</v>
      </c>
      <c r="C225" s="1">
        <f ca="1">IFERROR(__xludf.DUMMYFUNCTION("""COMPUTED_VALUE"""),7)</f>
        <v>7</v>
      </c>
      <c r="D225" s="1">
        <f ca="1">IFERROR(__xludf.DUMMYFUNCTION("""COMPUTED_VALUE"""),25)</f>
        <v>25</v>
      </c>
      <c r="E225" s="1">
        <f ca="1">IFERROR(__xludf.DUMMYFUNCTION("""COMPUTED_VALUE"""),0.219)</f>
        <v>0.219</v>
      </c>
      <c r="F225" s="1">
        <f ca="1">IFERROR(__xludf.DUMMYFUNCTION("""COMPUTED_VALUE"""),-11.26)</f>
        <v>-11.26</v>
      </c>
      <c r="G225" s="1">
        <f ca="1">IFERROR(__xludf.DUMMYFUNCTION("""COMPUTED_VALUE"""),-3.86)</f>
        <v>-3.86</v>
      </c>
      <c r="H225" s="1">
        <f ca="1">IFERROR(__xludf.DUMMYFUNCTION("""COMPUTED_VALUE"""),5)</f>
        <v>5</v>
      </c>
      <c r="I225" s="1">
        <f ca="1">IFERROR(__xludf.DUMMYFUNCTION("""COMPUTED_VALUE"""),15)</f>
        <v>15</v>
      </c>
      <c r="J225" s="1">
        <f ca="1">IFERROR(__xludf.DUMMYFUNCTION("""COMPUTED_VALUE"""),5)</f>
        <v>5</v>
      </c>
      <c r="K225" s="1">
        <f ca="1">IFERROR(__xludf.DUMMYFUNCTION("""COMPUTED_VALUE"""),8)</f>
        <v>8</v>
      </c>
      <c r="L225" s="1">
        <f ca="1">IFERROR(__xludf.DUMMYFUNCTION("""COMPUTED_VALUE"""),1)</f>
        <v>1</v>
      </c>
      <c r="M225" s="1">
        <f ca="1">IFERROR(__xludf.DUMMYFUNCTION("""COMPUTED_VALUE"""),14)</f>
        <v>14</v>
      </c>
      <c r="N225" s="1">
        <f ca="1">IFERROR(__xludf.DUMMYFUNCTION("""COMPUTED_VALUE"""),2067)</f>
        <v>2067</v>
      </c>
      <c r="O225" s="1">
        <f ca="1">IFERROR(__xludf.DUMMYFUNCTION("""COMPUTED_VALUE"""),2304)</f>
        <v>2304</v>
      </c>
      <c r="P225" s="1">
        <f ca="1">IFERROR(__xludf.DUMMYFUNCTION("""COMPUTED_VALUE"""),1300)</f>
        <v>1300</v>
      </c>
      <c r="Q225" s="1">
        <f ca="1">IFERROR(__xludf.DUMMYFUNCTION("""COMPUTED_VALUE"""),735)</f>
        <v>735</v>
      </c>
      <c r="R225" s="1">
        <f ca="1">IFERROR(__xludf.DUMMYFUNCTION("""COMPUTED_VALUE"""),1821)</f>
        <v>1821</v>
      </c>
      <c r="S225" s="1">
        <f ca="1">IFERROR(__xludf.DUMMYFUNCTION("""COMPUTED_VALUE"""),0.404)</f>
        <v>0.40400000000000003</v>
      </c>
      <c r="T225" s="1">
        <f ca="1">IFERROR(__xludf.DUMMYFUNCTION("""COMPUTED_VALUE"""),166)</f>
        <v>166</v>
      </c>
      <c r="U225" s="1">
        <f ca="1">IFERROR(__xludf.DUMMYFUNCTION("""COMPUTED_VALUE"""),589)</f>
        <v>589</v>
      </c>
      <c r="V225" s="1">
        <f ca="1">IFERROR(__xludf.DUMMYFUNCTION("""COMPUTED_VALUE"""),0.282)</f>
        <v>0.28199999999999997</v>
      </c>
      <c r="W225" s="1">
        <f ca="1">IFERROR(__xludf.DUMMYFUNCTION("""COMPUTED_VALUE"""),431)</f>
        <v>431</v>
      </c>
      <c r="X225" s="1">
        <f ca="1">IFERROR(__xludf.DUMMYFUNCTION("""COMPUTED_VALUE"""),620)</f>
        <v>620</v>
      </c>
      <c r="Y225" s="1">
        <f ca="1">IFERROR(__xludf.DUMMYFUNCTION("""COMPUTED_VALUE"""),0.695)</f>
        <v>0.69499999999999995</v>
      </c>
      <c r="Z225" s="1">
        <f ca="1">IFERROR(__xludf.DUMMYFUNCTION("""COMPUTED_VALUE"""),384)</f>
        <v>384</v>
      </c>
      <c r="AA225" s="1">
        <f ca="1">IFERROR(__xludf.DUMMYFUNCTION("""COMPUTED_VALUE"""),1168)</f>
        <v>1168</v>
      </c>
      <c r="AB225" s="1">
        <f ca="1">IFERROR(__xludf.DUMMYFUNCTION("""COMPUTED_VALUE"""),347)</f>
        <v>347</v>
      </c>
      <c r="AC225" s="1">
        <f ca="1">IFERROR(__xludf.DUMMYFUNCTION("""COMPUTED_VALUE"""),165)</f>
        <v>165</v>
      </c>
      <c r="AD225" s="1">
        <f ca="1">IFERROR(__xludf.DUMMYFUNCTION("""COMPUTED_VALUE"""),103)</f>
        <v>103</v>
      </c>
      <c r="AE225" s="1">
        <f ca="1">IFERROR(__xludf.DUMMYFUNCTION("""COMPUTED_VALUE"""),461)</f>
        <v>461</v>
      </c>
      <c r="AF225" s="1">
        <f ca="1">IFERROR(__xludf.DUMMYFUNCTION("""COMPUTED_VALUE"""),626)</f>
        <v>626</v>
      </c>
    </row>
    <row r="226" spans="1:32" ht="12.5" x14ac:dyDescent="0.25">
      <c r="A226" s="1" t="str">
        <f ca="1">IFERROR(__xludf.DUMMYFUNCTION("""COMPUTED_VALUE"""),"Nicholls State")</f>
        <v>Nicholls State</v>
      </c>
      <c r="B226" s="1">
        <f ca="1">IFERROR(__xludf.DUMMYFUNCTION("""COMPUTED_VALUE"""),34)</f>
        <v>34</v>
      </c>
      <c r="C226" s="1">
        <f ca="1">IFERROR(__xludf.DUMMYFUNCTION("""COMPUTED_VALUE"""),11)</f>
        <v>11</v>
      </c>
      <c r="D226" s="1">
        <f ca="1">IFERROR(__xludf.DUMMYFUNCTION("""COMPUTED_VALUE"""),23)</f>
        <v>23</v>
      </c>
      <c r="E226" s="1">
        <f ca="1">IFERROR(__xludf.DUMMYFUNCTION("""COMPUTED_VALUE"""),0.324)</f>
        <v>0.32400000000000001</v>
      </c>
      <c r="F226" s="1">
        <f ca="1">IFERROR(__xludf.DUMMYFUNCTION("""COMPUTED_VALUE"""),-16.68)</f>
        <v>-16.68</v>
      </c>
      <c r="G226" s="1">
        <f ca="1">IFERROR(__xludf.DUMMYFUNCTION("""COMPUTED_VALUE"""),-5.23)</f>
        <v>-5.23</v>
      </c>
      <c r="H226" s="1">
        <f ca="1">IFERROR(__xludf.DUMMYFUNCTION("""COMPUTED_VALUE"""),6)</f>
        <v>6</v>
      </c>
      <c r="I226" s="1">
        <f ca="1">IFERROR(__xludf.DUMMYFUNCTION("""COMPUTED_VALUE"""),12)</f>
        <v>12</v>
      </c>
      <c r="J226" s="1">
        <f ca="1">IFERROR(__xludf.DUMMYFUNCTION("""COMPUTED_VALUE"""),8)</f>
        <v>8</v>
      </c>
      <c r="K226" s="1">
        <f ca="1">IFERROR(__xludf.DUMMYFUNCTION("""COMPUTED_VALUE"""),4)</f>
        <v>4</v>
      </c>
      <c r="L226" s="1">
        <f ca="1">IFERROR(__xludf.DUMMYFUNCTION("""COMPUTED_VALUE"""),1)</f>
        <v>1</v>
      </c>
      <c r="M226" s="1">
        <f ca="1">IFERROR(__xludf.DUMMYFUNCTION("""COMPUTED_VALUE"""),17)</f>
        <v>17</v>
      </c>
      <c r="N226" s="1">
        <f ca="1">IFERROR(__xludf.DUMMYFUNCTION("""COMPUTED_VALUE"""),2298)</f>
        <v>2298</v>
      </c>
      <c r="O226" s="1">
        <f ca="1">IFERROR(__xludf.DUMMYFUNCTION("""COMPUTED_VALUE"""),2598)</f>
        <v>2598</v>
      </c>
      <c r="P226" s="1">
        <f ca="1">IFERROR(__xludf.DUMMYFUNCTION("""COMPUTED_VALUE"""),1375)</f>
        <v>1375</v>
      </c>
      <c r="Q226" s="1">
        <f ca="1">IFERROR(__xludf.DUMMYFUNCTION("""COMPUTED_VALUE"""),787)</f>
        <v>787</v>
      </c>
      <c r="R226" s="1">
        <f ca="1">IFERROR(__xludf.DUMMYFUNCTION("""COMPUTED_VALUE"""),1875)</f>
        <v>1875</v>
      </c>
      <c r="S226" s="1">
        <f ca="1">IFERROR(__xludf.DUMMYFUNCTION("""COMPUTED_VALUE"""),0.42)</f>
        <v>0.42</v>
      </c>
      <c r="T226" s="1">
        <f ca="1">IFERROR(__xludf.DUMMYFUNCTION("""COMPUTED_VALUE"""),212)</f>
        <v>212</v>
      </c>
      <c r="U226" s="1">
        <f ca="1">IFERROR(__xludf.DUMMYFUNCTION("""COMPUTED_VALUE"""),694)</f>
        <v>694</v>
      </c>
      <c r="V226" s="1">
        <f ca="1">IFERROR(__xludf.DUMMYFUNCTION("""COMPUTED_VALUE"""),0.305)</f>
        <v>0.30499999999999999</v>
      </c>
      <c r="W226" s="1">
        <f ca="1">IFERROR(__xludf.DUMMYFUNCTION("""COMPUTED_VALUE"""),512)</f>
        <v>512</v>
      </c>
      <c r="X226" s="1">
        <f ca="1">IFERROR(__xludf.DUMMYFUNCTION("""COMPUTED_VALUE"""),782)</f>
        <v>782</v>
      </c>
      <c r="Y226" s="1">
        <f ca="1">IFERROR(__xludf.DUMMYFUNCTION("""COMPUTED_VALUE"""),0.655)</f>
        <v>0.65500000000000003</v>
      </c>
      <c r="Z226" s="1">
        <f ca="1">IFERROR(__xludf.DUMMYFUNCTION("""COMPUTED_VALUE"""),315)</f>
        <v>315</v>
      </c>
      <c r="AA226" s="1">
        <f ca="1">IFERROR(__xludf.DUMMYFUNCTION("""COMPUTED_VALUE"""),1144)</f>
        <v>1144</v>
      </c>
      <c r="AB226" s="1">
        <f ca="1">IFERROR(__xludf.DUMMYFUNCTION("""COMPUTED_VALUE"""),433)</f>
        <v>433</v>
      </c>
      <c r="AC226" s="1">
        <f ca="1">IFERROR(__xludf.DUMMYFUNCTION("""COMPUTED_VALUE"""),229)</f>
        <v>229</v>
      </c>
      <c r="AD226" s="1">
        <f ca="1">IFERROR(__xludf.DUMMYFUNCTION("""COMPUTED_VALUE"""),164)</f>
        <v>164</v>
      </c>
      <c r="AE226" s="1">
        <f ca="1">IFERROR(__xludf.DUMMYFUNCTION("""COMPUTED_VALUE"""),534)</f>
        <v>534</v>
      </c>
      <c r="AF226" s="1">
        <f ca="1">IFERROR(__xludf.DUMMYFUNCTION("""COMPUTED_VALUE"""),686)</f>
        <v>686</v>
      </c>
    </row>
    <row r="227" spans="1:32" ht="12.5" x14ac:dyDescent="0.25">
      <c r="A227" s="1" t="str">
        <f ca="1">IFERROR(__xludf.DUMMYFUNCTION("""COMPUTED_VALUE"""),"NJIT")</f>
        <v>NJIT</v>
      </c>
      <c r="B227" s="1">
        <f ca="1">IFERROR(__xludf.DUMMYFUNCTION("""COMPUTED_VALUE"""),35)</f>
        <v>35</v>
      </c>
      <c r="C227" s="1">
        <f ca="1">IFERROR(__xludf.DUMMYFUNCTION("""COMPUTED_VALUE"""),20)</f>
        <v>20</v>
      </c>
      <c r="D227" s="1">
        <f ca="1">IFERROR(__xludf.DUMMYFUNCTION("""COMPUTED_VALUE"""),15)</f>
        <v>15</v>
      </c>
      <c r="E227" s="1">
        <f ca="1">IFERROR(__xludf.DUMMYFUNCTION("""COMPUTED_VALUE"""),0.571)</f>
        <v>0.57099999999999995</v>
      </c>
      <c r="F227" s="1">
        <f ca="1">IFERROR(__xludf.DUMMYFUNCTION("""COMPUTED_VALUE"""),-4.17)</f>
        <v>-4.17</v>
      </c>
      <c r="G227" s="1">
        <f ca="1">IFERROR(__xludf.DUMMYFUNCTION("""COMPUTED_VALUE"""),-4.56)</f>
        <v>-4.5599999999999996</v>
      </c>
      <c r="H227" s="1">
        <f ca="1">IFERROR(__xludf.DUMMYFUNCTION("""COMPUTED_VALUE"""),8)</f>
        <v>8</v>
      </c>
      <c r="I227" s="1">
        <f ca="1">IFERROR(__xludf.DUMMYFUNCTION("""COMPUTED_VALUE"""),6)</f>
        <v>6</v>
      </c>
      <c r="J227" s="1">
        <f ca="1">IFERROR(__xludf.DUMMYFUNCTION("""COMPUTED_VALUE"""),12)</f>
        <v>12</v>
      </c>
      <c r="K227" s="1">
        <f ca="1">IFERROR(__xludf.DUMMYFUNCTION("""COMPUTED_VALUE"""),6)</f>
        <v>6</v>
      </c>
      <c r="L227" s="1">
        <f ca="1">IFERROR(__xludf.DUMMYFUNCTION("""COMPUTED_VALUE"""),8)</f>
        <v>8</v>
      </c>
      <c r="M227" s="1">
        <f ca="1">IFERROR(__xludf.DUMMYFUNCTION("""COMPUTED_VALUE"""),9)</f>
        <v>9</v>
      </c>
      <c r="N227" s="1">
        <f ca="1">IFERROR(__xludf.DUMMYFUNCTION("""COMPUTED_VALUE"""),2629)</f>
        <v>2629</v>
      </c>
      <c r="O227" s="1">
        <f ca="1">IFERROR(__xludf.DUMMYFUNCTION("""COMPUTED_VALUE"""),2587)</f>
        <v>2587</v>
      </c>
      <c r="P227" s="1">
        <f ca="1">IFERROR(__xludf.DUMMYFUNCTION("""COMPUTED_VALUE"""),1410)</f>
        <v>1410</v>
      </c>
      <c r="Q227" s="1">
        <f ca="1">IFERROR(__xludf.DUMMYFUNCTION("""COMPUTED_VALUE"""),911)</f>
        <v>911</v>
      </c>
      <c r="R227" s="1">
        <f ca="1">IFERROR(__xludf.DUMMYFUNCTION("""COMPUTED_VALUE"""),2045)</f>
        <v>2045</v>
      </c>
      <c r="S227" s="1">
        <f ca="1">IFERROR(__xludf.DUMMYFUNCTION("""COMPUTED_VALUE"""),0.445)</f>
        <v>0.44500000000000001</v>
      </c>
      <c r="T227" s="1">
        <f ca="1">IFERROR(__xludf.DUMMYFUNCTION("""COMPUTED_VALUE"""),306)</f>
        <v>306</v>
      </c>
      <c r="U227" s="1">
        <f ca="1">IFERROR(__xludf.DUMMYFUNCTION("""COMPUTED_VALUE"""),865)</f>
        <v>865</v>
      </c>
      <c r="V227" s="1">
        <f ca="1">IFERROR(__xludf.DUMMYFUNCTION("""COMPUTED_VALUE"""),0.354)</f>
        <v>0.35399999999999998</v>
      </c>
      <c r="W227" s="1">
        <f ca="1">IFERROR(__xludf.DUMMYFUNCTION("""COMPUTED_VALUE"""),501)</f>
        <v>501</v>
      </c>
      <c r="X227" s="1">
        <f ca="1">IFERROR(__xludf.DUMMYFUNCTION("""COMPUTED_VALUE"""),679)</f>
        <v>679</v>
      </c>
      <c r="Y227" s="1">
        <f ca="1">IFERROR(__xludf.DUMMYFUNCTION("""COMPUTED_VALUE"""),0.738)</f>
        <v>0.73799999999999999</v>
      </c>
      <c r="Z227" s="1">
        <f ca="1">IFERROR(__xludf.DUMMYFUNCTION("""COMPUTED_VALUE"""),330)</f>
        <v>330</v>
      </c>
      <c r="AA227" s="1">
        <f ca="1">IFERROR(__xludf.DUMMYFUNCTION("""COMPUTED_VALUE"""),1214)</f>
        <v>1214</v>
      </c>
      <c r="AB227" s="1">
        <f ca="1">IFERROR(__xludf.DUMMYFUNCTION("""COMPUTED_VALUE"""),562)</f>
        <v>562</v>
      </c>
      <c r="AC227" s="1">
        <f ca="1">IFERROR(__xludf.DUMMYFUNCTION("""COMPUTED_VALUE"""),226)</f>
        <v>226</v>
      </c>
      <c r="AD227" s="1">
        <f ca="1">IFERROR(__xludf.DUMMYFUNCTION("""COMPUTED_VALUE"""),93)</f>
        <v>93</v>
      </c>
      <c r="AE227" s="1">
        <f ca="1">IFERROR(__xludf.DUMMYFUNCTION("""COMPUTED_VALUE"""),452)</f>
        <v>452</v>
      </c>
      <c r="AF227" s="1">
        <f ca="1">IFERROR(__xludf.DUMMYFUNCTION("""COMPUTED_VALUE"""),672)</f>
        <v>672</v>
      </c>
    </row>
    <row r="228" spans="1:32" ht="12.5" x14ac:dyDescent="0.25">
      <c r="A228" s="1" t="str">
        <f ca="1">IFERROR(__xludf.DUMMYFUNCTION("""COMPUTED_VALUE"""),"Norfolk State")</f>
        <v>Norfolk State</v>
      </c>
      <c r="B228" s="1">
        <f ca="1">IFERROR(__xludf.DUMMYFUNCTION("""COMPUTED_VALUE"""),34)</f>
        <v>34</v>
      </c>
      <c r="C228" s="1">
        <f ca="1">IFERROR(__xludf.DUMMYFUNCTION("""COMPUTED_VALUE"""),17)</f>
        <v>17</v>
      </c>
      <c r="D228" s="1">
        <f ca="1">IFERROR(__xludf.DUMMYFUNCTION("""COMPUTED_VALUE"""),17)</f>
        <v>17</v>
      </c>
      <c r="E228" s="1">
        <f ca="1">IFERROR(__xludf.DUMMYFUNCTION("""COMPUTED_VALUE"""),0.5)</f>
        <v>0.5</v>
      </c>
      <c r="F228" s="1">
        <f ca="1">IFERROR(__xludf.DUMMYFUNCTION("""COMPUTED_VALUE"""),-7.55)</f>
        <v>-7.55</v>
      </c>
      <c r="G228" s="1">
        <f ca="1">IFERROR(__xludf.DUMMYFUNCTION("""COMPUTED_VALUE"""),-6.73)</f>
        <v>-6.73</v>
      </c>
      <c r="H228" s="1">
        <f ca="1">IFERROR(__xludf.DUMMYFUNCTION("""COMPUTED_VALUE"""),12)</f>
        <v>12</v>
      </c>
      <c r="I228" s="1">
        <f ca="1">IFERROR(__xludf.DUMMYFUNCTION("""COMPUTED_VALUE"""),4)</f>
        <v>4</v>
      </c>
      <c r="J228" s="1">
        <f ca="1">IFERROR(__xludf.DUMMYFUNCTION("""COMPUTED_VALUE"""),9)</f>
        <v>9</v>
      </c>
      <c r="K228" s="1">
        <f ca="1">IFERROR(__xludf.DUMMYFUNCTION("""COMPUTED_VALUE"""),2)</f>
        <v>2</v>
      </c>
      <c r="L228" s="1">
        <f ca="1">IFERROR(__xludf.DUMMYFUNCTION("""COMPUTED_VALUE"""),7)</f>
        <v>7</v>
      </c>
      <c r="M228" s="1">
        <f ca="1">IFERROR(__xludf.DUMMYFUNCTION("""COMPUTED_VALUE"""),10)</f>
        <v>10</v>
      </c>
      <c r="N228" s="1">
        <f ca="1">IFERROR(__xludf.DUMMYFUNCTION("""COMPUTED_VALUE"""),2494)</f>
        <v>2494</v>
      </c>
      <c r="O228" s="1">
        <f ca="1">IFERROR(__xludf.DUMMYFUNCTION("""COMPUTED_VALUE"""),2494)</f>
        <v>2494</v>
      </c>
      <c r="P228" s="1">
        <f ca="1">IFERROR(__xludf.DUMMYFUNCTION("""COMPUTED_VALUE"""),1370)</f>
        <v>1370</v>
      </c>
      <c r="Q228" s="1">
        <f ca="1">IFERROR(__xludf.DUMMYFUNCTION("""COMPUTED_VALUE"""),813)</f>
        <v>813</v>
      </c>
      <c r="R228" s="1">
        <f ca="1">IFERROR(__xludf.DUMMYFUNCTION("""COMPUTED_VALUE"""),1919)</f>
        <v>1919</v>
      </c>
      <c r="S228" s="1">
        <f ca="1">IFERROR(__xludf.DUMMYFUNCTION("""COMPUTED_VALUE"""),0.424)</f>
        <v>0.42399999999999999</v>
      </c>
      <c r="T228" s="1">
        <f ca="1">IFERROR(__xludf.DUMMYFUNCTION("""COMPUTED_VALUE"""),242)</f>
        <v>242</v>
      </c>
      <c r="U228" s="1">
        <f ca="1">IFERROR(__xludf.DUMMYFUNCTION("""COMPUTED_VALUE"""),697)</f>
        <v>697</v>
      </c>
      <c r="V228" s="1">
        <f ca="1">IFERROR(__xludf.DUMMYFUNCTION("""COMPUTED_VALUE"""),0.347)</f>
        <v>0.34699999999999998</v>
      </c>
      <c r="W228" s="1">
        <f ca="1">IFERROR(__xludf.DUMMYFUNCTION("""COMPUTED_VALUE"""),626)</f>
        <v>626</v>
      </c>
      <c r="X228" s="1">
        <f ca="1">IFERROR(__xludf.DUMMYFUNCTION("""COMPUTED_VALUE"""),808)</f>
        <v>808</v>
      </c>
      <c r="Y228" s="1">
        <f ca="1">IFERROR(__xludf.DUMMYFUNCTION("""COMPUTED_VALUE"""),0.775)</f>
        <v>0.77500000000000002</v>
      </c>
      <c r="Z228" s="1">
        <f ca="1">IFERROR(__xludf.DUMMYFUNCTION("""COMPUTED_VALUE"""),376)</f>
        <v>376</v>
      </c>
      <c r="AA228" s="1">
        <f ca="1">IFERROR(__xludf.DUMMYFUNCTION("""COMPUTED_VALUE"""),1182)</f>
        <v>1182</v>
      </c>
      <c r="AB228" s="1">
        <f ca="1">IFERROR(__xludf.DUMMYFUNCTION("""COMPUTED_VALUE"""),411)</f>
        <v>411</v>
      </c>
      <c r="AC228" s="1">
        <f ca="1">IFERROR(__xludf.DUMMYFUNCTION("""COMPUTED_VALUE"""),191)</f>
        <v>191</v>
      </c>
      <c r="AD228" s="1">
        <f ca="1">IFERROR(__xludf.DUMMYFUNCTION("""COMPUTED_VALUE"""),174)</f>
        <v>174</v>
      </c>
      <c r="AE228" s="1">
        <f ca="1">IFERROR(__xludf.DUMMYFUNCTION("""COMPUTED_VALUE"""),423)</f>
        <v>423</v>
      </c>
      <c r="AF228" s="1">
        <f ca="1">IFERROR(__xludf.DUMMYFUNCTION("""COMPUTED_VALUE"""),712)</f>
        <v>712</v>
      </c>
    </row>
    <row r="229" spans="1:32" ht="12.5" x14ac:dyDescent="0.25">
      <c r="A229" s="1" t="str">
        <f ca="1">IFERROR(__xludf.DUMMYFUNCTION("""COMPUTED_VALUE"""),"North Carolina-AshevilleNCAA")</f>
        <v>North Carolina-AshevilleNCAA</v>
      </c>
      <c r="B229" s="1">
        <f ca="1">IFERROR(__xludf.DUMMYFUNCTION("""COMPUTED_VALUE"""),34)</f>
        <v>34</v>
      </c>
      <c r="C229" s="1">
        <f ca="1">IFERROR(__xludf.DUMMYFUNCTION("""COMPUTED_VALUE"""),22)</f>
        <v>22</v>
      </c>
      <c r="D229" s="1">
        <f ca="1">IFERROR(__xludf.DUMMYFUNCTION("""COMPUTED_VALUE"""),12)</f>
        <v>12</v>
      </c>
      <c r="E229" s="1">
        <f ca="1">IFERROR(__xludf.DUMMYFUNCTION("""COMPUTED_VALUE"""),0.647)</f>
        <v>0.64700000000000002</v>
      </c>
      <c r="F229" s="1">
        <f ca="1">IFERROR(__xludf.DUMMYFUNCTION("""COMPUTED_VALUE"""),1.1)</f>
        <v>1.1000000000000001</v>
      </c>
      <c r="G229" s="1">
        <f ca="1">IFERROR(__xludf.DUMMYFUNCTION("""COMPUTED_VALUE"""),-3.25)</f>
        <v>-3.25</v>
      </c>
      <c r="H229" s="1">
        <f ca="1">IFERROR(__xludf.DUMMYFUNCTION("""COMPUTED_VALUE"""),12)</f>
        <v>12</v>
      </c>
      <c r="I229" s="1">
        <f ca="1">IFERROR(__xludf.DUMMYFUNCTION("""COMPUTED_VALUE"""),6)</f>
        <v>6</v>
      </c>
      <c r="J229" s="1">
        <f ca="1">IFERROR(__xludf.DUMMYFUNCTION("""COMPUTED_VALUE"""),11)</f>
        <v>11</v>
      </c>
      <c r="K229" s="1">
        <f ca="1">IFERROR(__xludf.DUMMYFUNCTION("""COMPUTED_VALUE"""),3)</f>
        <v>3</v>
      </c>
      <c r="L229" s="1">
        <f ca="1">IFERROR(__xludf.DUMMYFUNCTION("""COMPUTED_VALUE"""),6)</f>
        <v>6</v>
      </c>
      <c r="M229" s="1">
        <f ca="1">IFERROR(__xludf.DUMMYFUNCTION("""COMPUTED_VALUE"""),7)</f>
        <v>7</v>
      </c>
      <c r="N229" s="1">
        <f ca="1">IFERROR(__xludf.DUMMYFUNCTION("""COMPUTED_VALUE"""),2552)</f>
        <v>2552</v>
      </c>
      <c r="O229" s="1">
        <f ca="1">IFERROR(__xludf.DUMMYFUNCTION("""COMPUTED_VALUE"""),2313)</f>
        <v>2313</v>
      </c>
      <c r="P229" s="1">
        <f ca="1">IFERROR(__xludf.DUMMYFUNCTION("""COMPUTED_VALUE"""),1370)</f>
        <v>1370</v>
      </c>
      <c r="Q229" s="1">
        <f ca="1">IFERROR(__xludf.DUMMYFUNCTION("""COMPUTED_VALUE"""),898)</f>
        <v>898</v>
      </c>
      <c r="R229" s="1">
        <f ca="1">IFERROR(__xludf.DUMMYFUNCTION("""COMPUTED_VALUE"""),1973)</f>
        <v>1973</v>
      </c>
      <c r="S229" s="1">
        <f ca="1">IFERROR(__xludf.DUMMYFUNCTION("""COMPUTED_VALUE"""),0.455)</f>
        <v>0.45500000000000002</v>
      </c>
      <c r="T229" s="1">
        <f ca="1">IFERROR(__xludf.DUMMYFUNCTION("""COMPUTED_VALUE"""),195)</f>
        <v>195</v>
      </c>
      <c r="U229" s="1">
        <f ca="1">IFERROR(__xludf.DUMMYFUNCTION("""COMPUTED_VALUE"""),603)</f>
        <v>603</v>
      </c>
      <c r="V229" s="1">
        <f ca="1">IFERROR(__xludf.DUMMYFUNCTION("""COMPUTED_VALUE"""),0.323)</f>
        <v>0.32300000000000001</v>
      </c>
      <c r="W229" s="1">
        <f ca="1">IFERROR(__xludf.DUMMYFUNCTION("""COMPUTED_VALUE"""),561)</f>
        <v>561</v>
      </c>
      <c r="X229" s="1">
        <f ca="1">IFERROR(__xludf.DUMMYFUNCTION("""COMPUTED_VALUE"""),808)</f>
        <v>808</v>
      </c>
      <c r="Y229" s="1">
        <f ca="1">IFERROR(__xludf.DUMMYFUNCTION("""COMPUTED_VALUE"""),0.694)</f>
        <v>0.69399999999999995</v>
      </c>
      <c r="Z229" s="1">
        <f ca="1">IFERROR(__xludf.DUMMYFUNCTION("""COMPUTED_VALUE"""),396)</f>
        <v>396</v>
      </c>
      <c r="AA229" s="1">
        <f ca="1">IFERROR(__xludf.DUMMYFUNCTION("""COMPUTED_VALUE"""),1278)</f>
        <v>1278</v>
      </c>
      <c r="AB229" s="1">
        <f ca="1">IFERROR(__xludf.DUMMYFUNCTION("""COMPUTED_VALUE"""),422)</f>
        <v>422</v>
      </c>
      <c r="AC229" s="1">
        <f ca="1">IFERROR(__xludf.DUMMYFUNCTION("""COMPUTED_VALUE"""),312)</f>
        <v>312</v>
      </c>
      <c r="AD229" s="1">
        <f ca="1">IFERROR(__xludf.DUMMYFUNCTION("""COMPUTED_VALUE"""),112)</f>
        <v>112</v>
      </c>
      <c r="AE229" s="1">
        <f ca="1">IFERROR(__xludf.DUMMYFUNCTION("""COMPUTED_VALUE"""),444)</f>
        <v>444</v>
      </c>
      <c r="AF229" s="1">
        <f ca="1">IFERROR(__xludf.DUMMYFUNCTION("""COMPUTED_VALUE"""),587)</f>
        <v>587</v>
      </c>
    </row>
    <row r="230" spans="1:32" ht="12.5" x14ac:dyDescent="0.25">
      <c r="A230" s="1" t="str">
        <f ca="1">IFERROR(__xludf.DUMMYFUNCTION("""COMPUTED_VALUE"""),"North Carolina A&amp;T")</f>
        <v>North Carolina A&amp;T</v>
      </c>
      <c r="B230" s="1">
        <f ca="1">IFERROR(__xludf.DUMMYFUNCTION("""COMPUTED_VALUE"""),32)</f>
        <v>32</v>
      </c>
      <c r="C230" s="1">
        <f ca="1">IFERROR(__xludf.DUMMYFUNCTION("""COMPUTED_VALUE"""),10)</f>
        <v>10</v>
      </c>
      <c r="D230" s="1">
        <f ca="1">IFERROR(__xludf.DUMMYFUNCTION("""COMPUTED_VALUE"""),22)</f>
        <v>22</v>
      </c>
      <c r="E230" s="1">
        <f ca="1">IFERROR(__xludf.DUMMYFUNCTION("""COMPUTED_VALUE"""),0.313)</f>
        <v>0.313</v>
      </c>
      <c r="F230" s="1">
        <f ca="1">IFERROR(__xludf.DUMMYFUNCTION("""COMPUTED_VALUE"""),-16.78)</f>
        <v>-16.78</v>
      </c>
      <c r="G230" s="1">
        <f ca="1">IFERROR(__xludf.DUMMYFUNCTION("""COMPUTED_VALUE"""),-8.49)</f>
        <v>-8.49</v>
      </c>
      <c r="H230" s="1">
        <f ca="1">IFERROR(__xludf.DUMMYFUNCTION("""COMPUTED_VALUE"""),7)</f>
        <v>7</v>
      </c>
      <c r="I230" s="1">
        <f ca="1">IFERROR(__xludf.DUMMYFUNCTION("""COMPUTED_VALUE"""),9)</f>
        <v>9</v>
      </c>
      <c r="J230" s="1">
        <f ca="1">IFERROR(__xludf.DUMMYFUNCTION("""COMPUTED_VALUE"""),8)</f>
        <v>8</v>
      </c>
      <c r="K230" s="1">
        <f ca="1">IFERROR(__xludf.DUMMYFUNCTION("""COMPUTED_VALUE"""),6)</f>
        <v>6</v>
      </c>
      <c r="L230" s="1">
        <f ca="1">IFERROR(__xludf.DUMMYFUNCTION("""COMPUTED_VALUE"""),2)</f>
        <v>2</v>
      </c>
      <c r="M230" s="1">
        <f ca="1">IFERROR(__xludf.DUMMYFUNCTION("""COMPUTED_VALUE"""),13)</f>
        <v>13</v>
      </c>
      <c r="N230" s="1">
        <f ca="1">IFERROR(__xludf.DUMMYFUNCTION("""COMPUTED_VALUE"""),2169)</f>
        <v>2169</v>
      </c>
      <c r="O230" s="1">
        <f ca="1">IFERROR(__xludf.DUMMYFUNCTION("""COMPUTED_VALUE"""),2433)</f>
        <v>2433</v>
      </c>
      <c r="P230" s="1">
        <f ca="1">IFERROR(__xludf.DUMMYFUNCTION("""COMPUTED_VALUE"""),1305)</f>
        <v>1305</v>
      </c>
      <c r="Q230" s="1">
        <f ca="1">IFERROR(__xludf.DUMMYFUNCTION("""COMPUTED_VALUE"""),745)</f>
        <v>745</v>
      </c>
      <c r="R230" s="1">
        <f ca="1">IFERROR(__xludf.DUMMYFUNCTION("""COMPUTED_VALUE"""),1836)</f>
        <v>1836</v>
      </c>
      <c r="S230" s="1">
        <f ca="1">IFERROR(__xludf.DUMMYFUNCTION("""COMPUTED_VALUE"""),0.406)</f>
        <v>0.40600000000000003</v>
      </c>
      <c r="T230" s="1">
        <f ca="1">IFERROR(__xludf.DUMMYFUNCTION("""COMPUTED_VALUE"""),199)</f>
        <v>199</v>
      </c>
      <c r="U230" s="1">
        <f ca="1">IFERROR(__xludf.DUMMYFUNCTION("""COMPUTED_VALUE"""),633)</f>
        <v>633</v>
      </c>
      <c r="V230" s="1">
        <f ca="1">IFERROR(__xludf.DUMMYFUNCTION("""COMPUTED_VALUE"""),0.314)</f>
        <v>0.314</v>
      </c>
      <c r="W230" s="1">
        <f ca="1">IFERROR(__xludf.DUMMYFUNCTION("""COMPUTED_VALUE"""),480)</f>
        <v>480</v>
      </c>
      <c r="X230" s="1">
        <f ca="1">IFERROR(__xludf.DUMMYFUNCTION("""COMPUTED_VALUE"""),675)</f>
        <v>675</v>
      </c>
      <c r="Y230" s="1">
        <f ca="1">IFERROR(__xludf.DUMMYFUNCTION("""COMPUTED_VALUE"""),0.711)</f>
        <v>0.71099999999999997</v>
      </c>
      <c r="Z230" s="1">
        <f ca="1">IFERROR(__xludf.DUMMYFUNCTION("""COMPUTED_VALUE"""),357)</f>
        <v>357</v>
      </c>
      <c r="AA230" s="1">
        <f ca="1">IFERROR(__xludf.DUMMYFUNCTION("""COMPUTED_VALUE"""),1148)</f>
        <v>1148</v>
      </c>
      <c r="AB230" s="1">
        <f ca="1">IFERROR(__xludf.DUMMYFUNCTION("""COMPUTED_VALUE"""),339)</f>
        <v>339</v>
      </c>
      <c r="AC230" s="1">
        <f ca="1">IFERROR(__xludf.DUMMYFUNCTION("""COMPUTED_VALUE"""),162)</f>
        <v>162</v>
      </c>
      <c r="AD230" s="1">
        <f ca="1">IFERROR(__xludf.DUMMYFUNCTION("""COMPUTED_VALUE"""),77)</f>
        <v>77</v>
      </c>
      <c r="AE230" s="1">
        <f ca="1">IFERROR(__xludf.DUMMYFUNCTION("""COMPUTED_VALUE"""),439)</f>
        <v>439</v>
      </c>
      <c r="AF230" s="1">
        <f ca="1">IFERROR(__xludf.DUMMYFUNCTION("""COMPUTED_VALUE"""),718)</f>
        <v>718</v>
      </c>
    </row>
    <row r="231" spans="1:32" ht="12.5" x14ac:dyDescent="0.25">
      <c r="A231" s="1" t="str">
        <f ca="1">IFERROR(__xludf.DUMMYFUNCTION("""COMPUTED_VALUE"""),"North Carolina Central")</f>
        <v>North Carolina Central</v>
      </c>
      <c r="B231" s="1">
        <f ca="1">IFERROR(__xludf.DUMMYFUNCTION("""COMPUTED_VALUE"""),32)</f>
        <v>32</v>
      </c>
      <c r="C231" s="1">
        <f ca="1">IFERROR(__xludf.DUMMYFUNCTION("""COMPUTED_VALUE"""),13)</f>
        <v>13</v>
      </c>
      <c r="D231" s="1">
        <f ca="1">IFERROR(__xludf.DUMMYFUNCTION("""COMPUTED_VALUE"""),19)</f>
        <v>19</v>
      </c>
      <c r="E231" s="1">
        <f ca="1">IFERROR(__xludf.DUMMYFUNCTION("""COMPUTED_VALUE"""),0.406)</f>
        <v>0.40600000000000003</v>
      </c>
      <c r="F231" s="1">
        <f ca="1">IFERROR(__xludf.DUMMYFUNCTION("""COMPUTED_VALUE"""),-13)</f>
        <v>-13</v>
      </c>
      <c r="G231" s="1">
        <f ca="1">IFERROR(__xludf.DUMMYFUNCTION("""COMPUTED_VALUE"""),-10.03)</f>
        <v>-10.029999999999999</v>
      </c>
      <c r="H231" s="1">
        <f ca="1">IFERROR(__xludf.DUMMYFUNCTION("""COMPUTED_VALUE"""),7)</f>
        <v>7</v>
      </c>
      <c r="I231" s="1">
        <f ca="1">IFERROR(__xludf.DUMMYFUNCTION("""COMPUTED_VALUE"""),9)</f>
        <v>9</v>
      </c>
      <c r="J231" s="1">
        <f ca="1">IFERROR(__xludf.DUMMYFUNCTION("""COMPUTED_VALUE"""),8)</f>
        <v>8</v>
      </c>
      <c r="K231" s="1">
        <f ca="1">IFERROR(__xludf.DUMMYFUNCTION("""COMPUTED_VALUE"""),5)</f>
        <v>5</v>
      </c>
      <c r="L231" s="1">
        <f ca="1">IFERROR(__xludf.DUMMYFUNCTION("""COMPUTED_VALUE"""),3)</f>
        <v>3</v>
      </c>
      <c r="M231" s="1">
        <f ca="1">IFERROR(__xludf.DUMMYFUNCTION("""COMPUTED_VALUE"""),12)</f>
        <v>12</v>
      </c>
      <c r="N231" s="1">
        <f ca="1">IFERROR(__xludf.DUMMYFUNCTION("""COMPUTED_VALUE"""),2220)</f>
        <v>2220</v>
      </c>
      <c r="O231" s="1">
        <f ca="1">IFERROR(__xludf.DUMMYFUNCTION("""COMPUTED_VALUE"""),2235)</f>
        <v>2235</v>
      </c>
      <c r="P231" s="1">
        <f ca="1">IFERROR(__xludf.DUMMYFUNCTION("""COMPUTED_VALUE"""),1285)</f>
        <v>1285</v>
      </c>
      <c r="Q231" s="1">
        <f ca="1">IFERROR(__xludf.DUMMYFUNCTION("""COMPUTED_VALUE"""),779)</f>
        <v>779</v>
      </c>
      <c r="R231" s="1">
        <f ca="1">IFERROR(__xludf.DUMMYFUNCTION("""COMPUTED_VALUE"""),1805)</f>
        <v>1805</v>
      </c>
      <c r="S231" s="1">
        <f ca="1">IFERROR(__xludf.DUMMYFUNCTION("""COMPUTED_VALUE"""),0.432)</f>
        <v>0.432</v>
      </c>
      <c r="T231" s="1">
        <f ca="1">IFERROR(__xludf.DUMMYFUNCTION("""COMPUTED_VALUE"""),200)</f>
        <v>200</v>
      </c>
      <c r="U231" s="1">
        <f ca="1">IFERROR(__xludf.DUMMYFUNCTION("""COMPUTED_VALUE"""),575)</f>
        <v>575</v>
      </c>
      <c r="V231" s="1">
        <f ca="1">IFERROR(__xludf.DUMMYFUNCTION("""COMPUTED_VALUE"""),0.348)</f>
        <v>0.34799999999999998</v>
      </c>
      <c r="W231" s="1">
        <f ca="1">IFERROR(__xludf.DUMMYFUNCTION("""COMPUTED_VALUE"""),462)</f>
        <v>462</v>
      </c>
      <c r="X231" s="1">
        <f ca="1">IFERROR(__xludf.DUMMYFUNCTION("""COMPUTED_VALUE"""),697)</f>
        <v>697</v>
      </c>
      <c r="Y231" s="1">
        <f ca="1">IFERROR(__xludf.DUMMYFUNCTION("""COMPUTED_VALUE"""),0.663)</f>
        <v>0.66300000000000003</v>
      </c>
      <c r="Z231" s="1">
        <f ca="1">IFERROR(__xludf.DUMMYFUNCTION("""COMPUTED_VALUE"""),395)</f>
        <v>395</v>
      </c>
      <c r="AA231" s="1">
        <f ca="1">IFERROR(__xludf.DUMMYFUNCTION("""COMPUTED_VALUE"""),1178)</f>
        <v>1178</v>
      </c>
      <c r="AB231" s="1">
        <f ca="1">IFERROR(__xludf.DUMMYFUNCTION("""COMPUTED_VALUE"""),406)</f>
        <v>406</v>
      </c>
      <c r="AC231" s="1">
        <f ca="1">IFERROR(__xludf.DUMMYFUNCTION("""COMPUTED_VALUE"""),186)</f>
        <v>186</v>
      </c>
      <c r="AD231" s="1">
        <f ca="1">IFERROR(__xludf.DUMMYFUNCTION("""COMPUTED_VALUE"""),54)</f>
        <v>54</v>
      </c>
      <c r="AE231" s="1">
        <f ca="1">IFERROR(__xludf.DUMMYFUNCTION("""COMPUTED_VALUE"""),444)</f>
        <v>444</v>
      </c>
      <c r="AF231" s="1">
        <f ca="1">IFERROR(__xludf.DUMMYFUNCTION("""COMPUTED_VALUE"""),635)</f>
        <v>635</v>
      </c>
    </row>
    <row r="232" spans="1:32" ht="12.5" x14ac:dyDescent="0.25">
      <c r="A232" s="1" t="str">
        <f ca="1">IFERROR(__xludf.DUMMYFUNCTION("""COMPUTED_VALUE"""),"North Carolina-Greensboro")</f>
        <v>North Carolina-Greensboro</v>
      </c>
      <c r="B232" s="1">
        <f ca="1">IFERROR(__xludf.DUMMYFUNCTION("""COMPUTED_VALUE"""),34)</f>
        <v>34</v>
      </c>
      <c r="C232" s="1">
        <f ca="1">IFERROR(__xludf.DUMMYFUNCTION("""COMPUTED_VALUE"""),15)</f>
        <v>15</v>
      </c>
      <c r="D232" s="1">
        <f ca="1">IFERROR(__xludf.DUMMYFUNCTION("""COMPUTED_VALUE"""),19)</f>
        <v>19</v>
      </c>
      <c r="E232" s="1">
        <f ca="1">IFERROR(__xludf.DUMMYFUNCTION("""COMPUTED_VALUE"""),0.441)</f>
        <v>0.441</v>
      </c>
      <c r="F232" s="1">
        <f ca="1">IFERROR(__xludf.DUMMYFUNCTION("""COMPUTED_VALUE"""),-6.01)</f>
        <v>-6.01</v>
      </c>
      <c r="G232" s="1">
        <f ca="1">IFERROR(__xludf.DUMMYFUNCTION("""COMPUTED_VALUE"""),-3.23)</f>
        <v>-3.23</v>
      </c>
      <c r="H232" s="1">
        <f ca="1">IFERROR(__xludf.DUMMYFUNCTION("""COMPUTED_VALUE"""),10)</f>
        <v>10</v>
      </c>
      <c r="I232" s="1">
        <f ca="1">IFERROR(__xludf.DUMMYFUNCTION("""COMPUTED_VALUE"""),8)</f>
        <v>8</v>
      </c>
      <c r="J232" s="1">
        <f ca="1">IFERROR(__xludf.DUMMYFUNCTION("""COMPUTED_VALUE"""),12)</f>
        <v>12</v>
      </c>
      <c r="K232" s="1">
        <f ca="1">IFERROR(__xludf.DUMMYFUNCTION("""COMPUTED_VALUE"""),4)</f>
        <v>4</v>
      </c>
      <c r="L232" s="1">
        <f ca="1">IFERROR(__xludf.DUMMYFUNCTION("""COMPUTED_VALUE"""),3)</f>
        <v>3</v>
      </c>
      <c r="M232" s="1">
        <f ca="1">IFERROR(__xludf.DUMMYFUNCTION("""COMPUTED_VALUE"""),14)</f>
        <v>14</v>
      </c>
      <c r="N232" s="1">
        <f ca="1">IFERROR(__xludf.DUMMYFUNCTION("""COMPUTED_VALUE"""),2469)</f>
        <v>2469</v>
      </c>
      <c r="O232" s="1">
        <f ca="1">IFERROR(__xludf.DUMMYFUNCTION("""COMPUTED_VALUE"""),2494)</f>
        <v>2494</v>
      </c>
      <c r="P232" s="1">
        <f ca="1">IFERROR(__xludf.DUMMYFUNCTION("""COMPUTED_VALUE"""),1370)</f>
        <v>1370</v>
      </c>
      <c r="Q232" s="1">
        <f ca="1">IFERROR(__xludf.DUMMYFUNCTION("""COMPUTED_VALUE"""),890)</f>
        <v>890</v>
      </c>
      <c r="R232" s="1">
        <f ca="1">IFERROR(__xludf.DUMMYFUNCTION("""COMPUTED_VALUE"""),1997)</f>
        <v>1997</v>
      </c>
      <c r="S232" s="1">
        <f ca="1">IFERROR(__xludf.DUMMYFUNCTION("""COMPUTED_VALUE"""),0.446)</f>
        <v>0.44600000000000001</v>
      </c>
      <c r="T232" s="1">
        <f ca="1">IFERROR(__xludf.DUMMYFUNCTION("""COMPUTED_VALUE"""),296)</f>
        <v>296</v>
      </c>
      <c r="U232" s="1">
        <f ca="1">IFERROR(__xludf.DUMMYFUNCTION("""COMPUTED_VALUE"""),815)</f>
        <v>815</v>
      </c>
      <c r="V232" s="1">
        <f ca="1">IFERROR(__xludf.DUMMYFUNCTION("""COMPUTED_VALUE"""),0.363)</f>
        <v>0.36299999999999999</v>
      </c>
      <c r="W232" s="1">
        <f ca="1">IFERROR(__xludf.DUMMYFUNCTION("""COMPUTED_VALUE"""),393)</f>
        <v>393</v>
      </c>
      <c r="X232" s="1">
        <f ca="1">IFERROR(__xludf.DUMMYFUNCTION("""COMPUTED_VALUE"""),579)</f>
        <v>579</v>
      </c>
      <c r="Y232" s="1">
        <f ca="1">IFERROR(__xludf.DUMMYFUNCTION("""COMPUTED_VALUE"""),0.679)</f>
        <v>0.67900000000000005</v>
      </c>
      <c r="Z232" s="1">
        <f ca="1">IFERROR(__xludf.DUMMYFUNCTION("""COMPUTED_VALUE"""),322)</f>
        <v>322</v>
      </c>
      <c r="AA232" s="1">
        <f ca="1">IFERROR(__xludf.DUMMYFUNCTION("""COMPUTED_VALUE"""),1167)</f>
        <v>1167</v>
      </c>
      <c r="AB232" s="1">
        <f ca="1">IFERROR(__xludf.DUMMYFUNCTION("""COMPUTED_VALUE"""),440)</f>
        <v>440</v>
      </c>
      <c r="AC232" s="1">
        <f ca="1">IFERROR(__xludf.DUMMYFUNCTION("""COMPUTED_VALUE"""),208)</f>
        <v>208</v>
      </c>
      <c r="AD232" s="1">
        <f ca="1">IFERROR(__xludf.DUMMYFUNCTION("""COMPUTED_VALUE"""),86)</f>
        <v>86</v>
      </c>
      <c r="AE232" s="1">
        <f ca="1">IFERROR(__xludf.DUMMYFUNCTION("""COMPUTED_VALUE"""),407)</f>
        <v>407</v>
      </c>
      <c r="AF232" s="1">
        <f ca="1">IFERROR(__xludf.DUMMYFUNCTION("""COMPUTED_VALUE"""),675)</f>
        <v>675</v>
      </c>
    </row>
    <row r="233" spans="1:32" ht="12.5" x14ac:dyDescent="0.25">
      <c r="A233" s="1" t="str">
        <f ca="1">IFERROR(__xludf.DUMMYFUNCTION("""COMPUTED_VALUE"""),"North Carolina State")</f>
        <v>North Carolina State</v>
      </c>
      <c r="B233" s="1">
        <f ca="1">IFERROR(__xludf.DUMMYFUNCTION("""COMPUTED_VALUE"""),33)</f>
        <v>33</v>
      </c>
      <c r="C233" s="1">
        <f ca="1">IFERROR(__xludf.DUMMYFUNCTION("""COMPUTED_VALUE"""),16)</f>
        <v>16</v>
      </c>
      <c r="D233" s="1">
        <f ca="1">IFERROR(__xludf.DUMMYFUNCTION("""COMPUTED_VALUE"""),17)</f>
        <v>17</v>
      </c>
      <c r="E233" s="1">
        <f ca="1">IFERROR(__xludf.DUMMYFUNCTION("""COMPUTED_VALUE"""),0.485)</f>
        <v>0.48499999999999999</v>
      </c>
      <c r="F233" s="1">
        <f ca="1">IFERROR(__xludf.DUMMYFUNCTION("""COMPUTED_VALUE"""),9.83)</f>
        <v>9.83</v>
      </c>
      <c r="G233" s="1">
        <f ca="1">IFERROR(__xludf.DUMMYFUNCTION("""COMPUTED_VALUE"""),9.04)</f>
        <v>9.0399999999999991</v>
      </c>
      <c r="H233" s="1">
        <f ca="1">IFERROR(__xludf.DUMMYFUNCTION("""COMPUTED_VALUE"""),5)</f>
        <v>5</v>
      </c>
      <c r="I233" s="1">
        <f ca="1">IFERROR(__xludf.DUMMYFUNCTION("""COMPUTED_VALUE"""),13)</f>
        <v>13</v>
      </c>
      <c r="J233" s="1">
        <f ca="1">IFERROR(__xludf.DUMMYFUNCTION("""COMPUTED_VALUE"""),11)</f>
        <v>11</v>
      </c>
      <c r="K233" s="1">
        <f ca="1">IFERROR(__xludf.DUMMYFUNCTION("""COMPUTED_VALUE"""),7)</f>
        <v>7</v>
      </c>
      <c r="L233" s="1">
        <f ca="1">IFERROR(__xludf.DUMMYFUNCTION("""COMPUTED_VALUE"""),3)</f>
        <v>3</v>
      </c>
      <c r="M233" s="1">
        <f ca="1">IFERROR(__xludf.DUMMYFUNCTION("""COMPUTED_VALUE"""),8)</f>
        <v>8</v>
      </c>
      <c r="N233" s="1">
        <f ca="1">IFERROR(__xludf.DUMMYFUNCTION("""COMPUTED_VALUE"""),2482)</f>
        <v>2482</v>
      </c>
      <c r="O233" s="1">
        <f ca="1">IFERROR(__xludf.DUMMYFUNCTION("""COMPUTED_VALUE"""),2456)</f>
        <v>2456</v>
      </c>
      <c r="P233" s="1">
        <f ca="1">IFERROR(__xludf.DUMMYFUNCTION("""COMPUTED_VALUE"""),1330)</f>
        <v>1330</v>
      </c>
      <c r="Q233" s="1">
        <f ca="1">IFERROR(__xludf.DUMMYFUNCTION("""COMPUTED_VALUE"""),866)</f>
        <v>866</v>
      </c>
      <c r="R233" s="1">
        <f ca="1">IFERROR(__xludf.DUMMYFUNCTION("""COMPUTED_VALUE"""),1999)</f>
        <v>1999</v>
      </c>
      <c r="S233" s="1">
        <f ca="1">IFERROR(__xludf.DUMMYFUNCTION("""COMPUTED_VALUE"""),0.433)</f>
        <v>0.433</v>
      </c>
      <c r="T233" s="1">
        <f ca="1">IFERROR(__xludf.DUMMYFUNCTION("""COMPUTED_VALUE"""),207)</f>
        <v>207</v>
      </c>
      <c r="U233" s="1">
        <f ca="1">IFERROR(__xludf.DUMMYFUNCTION("""COMPUTED_VALUE"""),595)</f>
        <v>595</v>
      </c>
      <c r="V233" s="1">
        <f ca="1">IFERROR(__xludf.DUMMYFUNCTION("""COMPUTED_VALUE"""),0.348)</f>
        <v>0.34799999999999998</v>
      </c>
      <c r="W233" s="1">
        <f ca="1">IFERROR(__xludf.DUMMYFUNCTION("""COMPUTED_VALUE"""),543)</f>
        <v>543</v>
      </c>
      <c r="X233" s="1">
        <f ca="1">IFERROR(__xludf.DUMMYFUNCTION("""COMPUTED_VALUE"""),777)</f>
        <v>777</v>
      </c>
      <c r="Y233" s="1">
        <f ca="1">IFERROR(__xludf.DUMMYFUNCTION("""COMPUTED_VALUE"""),0.699)</f>
        <v>0.69899999999999995</v>
      </c>
      <c r="Z233" s="1">
        <f ca="1">IFERROR(__xludf.DUMMYFUNCTION("""COMPUTED_VALUE"""),457)</f>
        <v>457</v>
      </c>
      <c r="AA233" s="1">
        <f ca="1">IFERROR(__xludf.DUMMYFUNCTION("""COMPUTED_VALUE"""),1306)</f>
        <v>1306</v>
      </c>
      <c r="AB233" s="1">
        <f ca="1">IFERROR(__xludf.DUMMYFUNCTION("""COMPUTED_VALUE"""),383)</f>
        <v>383</v>
      </c>
      <c r="AC233" s="1">
        <f ca="1">IFERROR(__xludf.DUMMYFUNCTION("""COMPUTED_VALUE"""),149)</f>
        <v>149</v>
      </c>
      <c r="AD233" s="1">
        <f ca="1">IFERROR(__xludf.DUMMYFUNCTION("""COMPUTED_VALUE"""),141)</f>
        <v>141</v>
      </c>
      <c r="AE233" s="1">
        <f ca="1">IFERROR(__xludf.DUMMYFUNCTION("""COMPUTED_VALUE"""),366)</f>
        <v>366</v>
      </c>
      <c r="AF233" s="1">
        <f ca="1">IFERROR(__xludf.DUMMYFUNCTION("""COMPUTED_VALUE"""),558)</f>
        <v>558</v>
      </c>
    </row>
    <row r="234" spans="1:32" ht="12.5" x14ac:dyDescent="0.25">
      <c r="A234" s="1" t="str">
        <f ca="1">IFERROR(__xludf.DUMMYFUNCTION("""COMPUTED_VALUE"""),"North Carolina-WilmingtonNCAA")</f>
        <v>North Carolina-WilmingtonNCAA</v>
      </c>
      <c r="B234" s="1">
        <f ca="1">IFERROR(__xludf.DUMMYFUNCTION("""COMPUTED_VALUE"""),33)</f>
        <v>33</v>
      </c>
      <c r="C234" s="1">
        <f ca="1">IFERROR(__xludf.DUMMYFUNCTION("""COMPUTED_VALUE"""),25)</f>
        <v>25</v>
      </c>
      <c r="D234" s="1">
        <f ca="1">IFERROR(__xludf.DUMMYFUNCTION("""COMPUTED_VALUE"""),8)</f>
        <v>8</v>
      </c>
      <c r="E234" s="1">
        <f ca="1">IFERROR(__xludf.DUMMYFUNCTION("""COMPUTED_VALUE"""),0.758)</f>
        <v>0.75800000000000001</v>
      </c>
      <c r="F234" s="1">
        <f ca="1">IFERROR(__xludf.DUMMYFUNCTION("""COMPUTED_VALUE"""),6.25)</f>
        <v>6.25</v>
      </c>
      <c r="G234" s="1">
        <f ca="1">IFERROR(__xludf.DUMMYFUNCTION("""COMPUTED_VALUE"""),0.35)</f>
        <v>0.35</v>
      </c>
      <c r="H234" s="1">
        <f ca="1">IFERROR(__xludf.DUMMYFUNCTION("""COMPUTED_VALUE"""),14)</f>
        <v>14</v>
      </c>
      <c r="I234" s="1">
        <f ca="1">IFERROR(__xludf.DUMMYFUNCTION("""COMPUTED_VALUE"""),4)</f>
        <v>4</v>
      </c>
      <c r="J234" s="1">
        <f ca="1">IFERROR(__xludf.DUMMYFUNCTION("""COMPUTED_VALUE"""),12)</f>
        <v>12</v>
      </c>
      <c r="K234" s="1">
        <f ca="1">IFERROR(__xludf.DUMMYFUNCTION("""COMPUTED_VALUE"""),2)</f>
        <v>2</v>
      </c>
      <c r="L234" s="1">
        <f ca="1">IFERROR(__xludf.DUMMYFUNCTION("""COMPUTED_VALUE"""),8)</f>
        <v>8</v>
      </c>
      <c r="M234" s="1">
        <f ca="1">IFERROR(__xludf.DUMMYFUNCTION("""COMPUTED_VALUE"""),5)</f>
        <v>5</v>
      </c>
      <c r="N234" s="1">
        <f ca="1">IFERROR(__xludf.DUMMYFUNCTION("""COMPUTED_VALUE"""),2620)</f>
        <v>2620</v>
      </c>
      <c r="O234" s="1">
        <f ca="1">IFERROR(__xludf.DUMMYFUNCTION("""COMPUTED_VALUE"""),2379)</f>
        <v>2379</v>
      </c>
      <c r="P234" s="1">
        <f ca="1">IFERROR(__xludf.DUMMYFUNCTION("""COMPUTED_VALUE"""),1335)</f>
        <v>1335</v>
      </c>
      <c r="Q234" s="1">
        <f ca="1">IFERROR(__xludf.DUMMYFUNCTION("""COMPUTED_VALUE"""),928)</f>
        <v>928</v>
      </c>
      <c r="R234" s="1">
        <f ca="1">IFERROR(__xludf.DUMMYFUNCTION("""COMPUTED_VALUE"""),2039)</f>
        <v>2039</v>
      </c>
      <c r="S234" s="1">
        <f ca="1">IFERROR(__xludf.DUMMYFUNCTION("""COMPUTED_VALUE"""),0.455)</f>
        <v>0.45500000000000002</v>
      </c>
      <c r="T234" s="1">
        <f ca="1">IFERROR(__xludf.DUMMYFUNCTION("""COMPUTED_VALUE"""),230)</f>
        <v>230</v>
      </c>
      <c r="U234" s="1">
        <f ca="1">IFERROR(__xludf.DUMMYFUNCTION("""COMPUTED_VALUE"""),677)</f>
        <v>677</v>
      </c>
      <c r="V234" s="1">
        <f ca="1">IFERROR(__xludf.DUMMYFUNCTION("""COMPUTED_VALUE"""),0.34)</f>
        <v>0.34</v>
      </c>
      <c r="W234" s="1">
        <f ca="1">IFERROR(__xludf.DUMMYFUNCTION("""COMPUTED_VALUE"""),534)</f>
        <v>534</v>
      </c>
      <c r="X234" s="1">
        <f ca="1">IFERROR(__xludf.DUMMYFUNCTION("""COMPUTED_VALUE"""),760)</f>
        <v>760</v>
      </c>
      <c r="Y234" s="1">
        <f ca="1">IFERROR(__xludf.DUMMYFUNCTION("""COMPUTED_VALUE"""),0.703)</f>
        <v>0.70299999999999996</v>
      </c>
      <c r="Z234" s="1">
        <f ca="1">IFERROR(__xludf.DUMMYFUNCTION("""COMPUTED_VALUE"""),397)</f>
        <v>397</v>
      </c>
      <c r="AA234" s="1">
        <f ca="1">IFERROR(__xludf.DUMMYFUNCTION("""COMPUTED_VALUE"""),1237)</f>
        <v>1237</v>
      </c>
      <c r="AB234" s="1">
        <f ca="1">IFERROR(__xludf.DUMMYFUNCTION("""COMPUTED_VALUE"""),438)</f>
        <v>438</v>
      </c>
      <c r="AC234" s="1">
        <f ca="1">IFERROR(__xludf.DUMMYFUNCTION("""COMPUTED_VALUE"""),246)</f>
        <v>246</v>
      </c>
      <c r="AD234" s="1">
        <f ca="1">IFERROR(__xludf.DUMMYFUNCTION("""COMPUTED_VALUE"""),143)</f>
        <v>143</v>
      </c>
      <c r="AE234" s="1">
        <f ca="1">IFERROR(__xludf.DUMMYFUNCTION("""COMPUTED_VALUE"""),374)</f>
        <v>374</v>
      </c>
      <c r="AF234" s="1">
        <f ca="1">IFERROR(__xludf.DUMMYFUNCTION("""COMPUTED_VALUE"""),793)</f>
        <v>793</v>
      </c>
    </row>
    <row r="235" spans="1:32" ht="12.5" x14ac:dyDescent="0.25">
      <c r="A235" s="1" t="str">
        <f ca="1">IFERROR(__xludf.DUMMYFUNCTION("""COMPUTED_VALUE"""),"North CarolinaNCAA")</f>
        <v>North CarolinaNCAA</v>
      </c>
      <c r="B235" s="1">
        <f ca="1">IFERROR(__xludf.DUMMYFUNCTION("""COMPUTED_VALUE"""),40)</f>
        <v>40</v>
      </c>
      <c r="C235" s="1">
        <f ca="1">IFERROR(__xludf.DUMMYFUNCTION("""COMPUTED_VALUE"""),33)</f>
        <v>33</v>
      </c>
      <c r="D235" s="1">
        <f ca="1">IFERROR(__xludf.DUMMYFUNCTION("""COMPUTED_VALUE"""),7)</f>
        <v>7</v>
      </c>
      <c r="E235" s="1">
        <f ca="1">IFERROR(__xludf.DUMMYFUNCTION("""COMPUTED_VALUE"""),0.825)</f>
        <v>0.82499999999999996</v>
      </c>
      <c r="F235" s="1">
        <f ca="1">IFERROR(__xludf.DUMMYFUNCTION("""COMPUTED_VALUE"""),23.44)</f>
        <v>23.44</v>
      </c>
      <c r="G235" s="1">
        <f ca="1">IFERROR(__xludf.DUMMYFUNCTION("""COMPUTED_VALUE"""),10.69)</f>
        <v>10.69</v>
      </c>
      <c r="H235" s="1">
        <f ca="1">IFERROR(__xludf.DUMMYFUNCTION("""COMPUTED_VALUE"""),14)</f>
        <v>14</v>
      </c>
      <c r="I235" s="1">
        <f ca="1">IFERROR(__xludf.DUMMYFUNCTION("""COMPUTED_VALUE"""),4)</f>
        <v>4</v>
      </c>
      <c r="J235" s="1">
        <f ca="1">IFERROR(__xludf.DUMMYFUNCTION("""COMPUTED_VALUE"""),15)</f>
        <v>15</v>
      </c>
      <c r="K235" s="1">
        <f ca="1">IFERROR(__xludf.DUMMYFUNCTION("""COMPUTED_VALUE"""),1)</f>
        <v>1</v>
      </c>
      <c r="L235" s="1">
        <f ca="1">IFERROR(__xludf.DUMMYFUNCTION("""COMPUTED_VALUE"""),6)</f>
        <v>6</v>
      </c>
      <c r="M235" s="1">
        <f ca="1">IFERROR(__xludf.DUMMYFUNCTION("""COMPUTED_VALUE"""),5)</f>
        <v>5</v>
      </c>
      <c r="N235" s="1">
        <f ca="1">IFERROR(__xludf.DUMMYFUNCTION("""COMPUTED_VALUE"""),3311)</f>
        <v>3311</v>
      </c>
      <c r="O235" s="1">
        <f ca="1">IFERROR(__xludf.DUMMYFUNCTION("""COMPUTED_VALUE"""),2801)</f>
        <v>2801</v>
      </c>
      <c r="P235" s="1">
        <f ca="1">IFERROR(__xludf.DUMMYFUNCTION("""COMPUTED_VALUE"""),1600)</f>
        <v>1600</v>
      </c>
      <c r="Q235" s="1">
        <f ca="1">IFERROR(__xludf.DUMMYFUNCTION("""COMPUTED_VALUE"""),1235)</f>
        <v>1235</v>
      </c>
      <c r="R235" s="1">
        <f ca="1">IFERROR(__xludf.DUMMYFUNCTION("""COMPUTED_VALUE"""),2560)</f>
        <v>2560</v>
      </c>
      <c r="S235" s="1">
        <f ca="1">IFERROR(__xludf.DUMMYFUNCTION("""COMPUTED_VALUE"""),0.482)</f>
        <v>0.48199999999999998</v>
      </c>
      <c r="T235" s="1">
        <f ca="1">IFERROR(__xludf.DUMMYFUNCTION("""COMPUTED_VALUE"""),224)</f>
        <v>224</v>
      </c>
      <c r="U235" s="1">
        <f ca="1">IFERROR(__xludf.DUMMYFUNCTION("""COMPUTED_VALUE"""),685)</f>
        <v>685</v>
      </c>
      <c r="V235" s="1">
        <f ca="1">IFERROR(__xludf.DUMMYFUNCTION("""COMPUTED_VALUE"""),0.327)</f>
        <v>0.32700000000000001</v>
      </c>
      <c r="W235" s="1">
        <f ca="1">IFERROR(__xludf.DUMMYFUNCTION("""COMPUTED_VALUE"""),617)</f>
        <v>617</v>
      </c>
      <c r="X235" s="1">
        <f ca="1">IFERROR(__xludf.DUMMYFUNCTION("""COMPUTED_VALUE"""),826)</f>
        <v>826</v>
      </c>
      <c r="Y235" s="1">
        <f ca="1">IFERROR(__xludf.DUMMYFUNCTION("""COMPUTED_VALUE"""),0.747)</f>
        <v>0.747</v>
      </c>
      <c r="Z235" s="1">
        <f ca="1">IFERROR(__xludf.DUMMYFUNCTION("""COMPUTED_VALUE"""),568)</f>
        <v>568</v>
      </c>
      <c r="AA235" s="1">
        <f ca="1">IFERROR(__xludf.DUMMYFUNCTION("""COMPUTED_VALUE"""),1624)</f>
        <v>1624</v>
      </c>
      <c r="AB235" s="1">
        <f ca="1">IFERROR(__xludf.DUMMYFUNCTION("""COMPUTED_VALUE"""),708)</f>
        <v>708</v>
      </c>
      <c r="AC235" s="1">
        <f ca="1">IFERROR(__xludf.DUMMYFUNCTION("""COMPUTED_VALUE"""),269)</f>
        <v>269</v>
      </c>
      <c r="AD235" s="1">
        <f ca="1">IFERROR(__xludf.DUMMYFUNCTION("""COMPUTED_VALUE"""),177)</f>
        <v>177</v>
      </c>
      <c r="AE235" s="1">
        <f ca="1">IFERROR(__xludf.DUMMYFUNCTION("""COMPUTED_VALUE"""),431)</f>
        <v>431</v>
      </c>
      <c r="AF235" s="1">
        <f ca="1">IFERROR(__xludf.DUMMYFUNCTION("""COMPUTED_VALUE"""),718)</f>
        <v>718</v>
      </c>
    </row>
    <row r="236" spans="1:32" ht="12.5" x14ac:dyDescent="0.25">
      <c r="A236" s="1" t="str">
        <f ca="1">IFERROR(__xludf.DUMMYFUNCTION("""COMPUTED_VALUE"""),"North Dakota State")</f>
        <v>North Dakota State</v>
      </c>
      <c r="B236" s="1">
        <f ca="1">IFERROR(__xludf.DUMMYFUNCTION("""COMPUTED_VALUE"""),33)</f>
        <v>33</v>
      </c>
      <c r="C236" s="1">
        <f ca="1">IFERROR(__xludf.DUMMYFUNCTION("""COMPUTED_VALUE"""),20)</f>
        <v>20</v>
      </c>
      <c r="D236" s="1">
        <f ca="1">IFERROR(__xludf.DUMMYFUNCTION("""COMPUTED_VALUE"""),13)</f>
        <v>13</v>
      </c>
      <c r="E236" s="1">
        <f ca="1">IFERROR(__xludf.DUMMYFUNCTION("""COMPUTED_VALUE"""),0.606)</f>
        <v>0.60599999999999998</v>
      </c>
      <c r="F236" s="1">
        <f ca="1">IFERROR(__xludf.DUMMYFUNCTION("""COMPUTED_VALUE"""),-0.93)</f>
        <v>-0.93</v>
      </c>
      <c r="G236" s="1">
        <f ca="1">IFERROR(__xludf.DUMMYFUNCTION("""COMPUTED_VALUE"""),-2.99)</f>
        <v>-2.99</v>
      </c>
      <c r="H236" s="1">
        <f ca="1">IFERROR(__xludf.DUMMYFUNCTION("""COMPUTED_VALUE"""),8)</f>
        <v>8</v>
      </c>
      <c r="I236" s="1">
        <f ca="1">IFERROR(__xludf.DUMMYFUNCTION("""COMPUTED_VALUE"""),8)</f>
        <v>8</v>
      </c>
      <c r="J236" s="1">
        <f ca="1">IFERROR(__xludf.DUMMYFUNCTION("""COMPUTED_VALUE"""),12)</f>
        <v>12</v>
      </c>
      <c r="K236" s="1">
        <f ca="1">IFERROR(__xludf.DUMMYFUNCTION("""COMPUTED_VALUE"""),1)</f>
        <v>1</v>
      </c>
      <c r="L236" s="1">
        <f ca="1">IFERROR(__xludf.DUMMYFUNCTION("""COMPUTED_VALUE"""),4)</f>
        <v>4</v>
      </c>
      <c r="M236" s="1">
        <f ca="1">IFERROR(__xludf.DUMMYFUNCTION("""COMPUTED_VALUE"""),11)</f>
        <v>11</v>
      </c>
      <c r="N236" s="1">
        <f ca="1">IFERROR(__xludf.DUMMYFUNCTION("""COMPUTED_VALUE"""),2271)</f>
        <v>2271</v>
      </c>
      <c r="O236" s="1">
        <f ca="1">IFERROR(__xludf.DUMMYFUNCTION("""COMPUTED_VALUE"""),2129)</f>
        <v>2129</v>
      </c>
      <c r="P236" s="1">
        <f ca="1">IFERROR(__xludf.DUMMYFUNCTION("""COMPUTED_VALUE"""),1325)</f>
        <v>1325</v>
      </c>
      <c r="Q236" s="1">
        <f ca="1">IFERROR(__xludf.DUMMYFUNCTION("""COMPUTED_VALUE"""),817)</f>
        <v>817</v>
      </c>
      <c r="R236" s="1">
        <f ca="1">IFERROR(__xludf.DUMMYFUNCTION("""COMPUTED_VALUE"""),1837)</f>
        <v>1837</v>
      </c>
      <c r="S236" s="1">
        <f ca="1">IFERROR(__xludf.DUMMYFUNCTION("""COMPUTED_VALUE"""),0.445)</f>
        <v>0.44500000000000001</v>
      </c>
      <c r="T236" s="1">
        <f ca="1">IFERROR(__xludf.DUMMYFUNCTION("""COMPUTED_VALUE"""),214)</f>
        <v>214</v>
      </c>
      <c r="U236" s="1">
        <f ca="1">IFERROR(__xludf.DUMMYFUNCTION("""COMPUTED_VALUE"""),630)</f>
        <v>630</v>
      </c>
      <c r="V236" s="1">
        <f ca="1">IFERROR(__xludf.DUMMYFUNCTION("""COMPUTED_VALUE"""),0.34)</f>
        <v>0.34</v>
      </c>
      <c r="W236" s="1">
        <f ca="1">IFERROR(__xludf.DUMMYFUNCTION("""COMPUTED_VALUE"""),423)</f>
        <v>423</v>
      </c>
      <c r="X236" s="1">
        <f ca="1">IFERROR(__xludf.DUMMYFUNCTION("""COMPUTED_VALUE"""),619)</f>
        <v>619</v>
      </c>
      <c r="Y236" s="1">
        <f ca="1">IFERROR(__xludf.DUMMYFUNCTION("""COMPUTED_VALUE"""),0.683)</f>
        <v>0.68300000000000005</v>
      </c>
      <c r="Z236" s="1">
        <f ca="1">IFERROR(__xludf.DUMMYFUNCTION("""COMPUTED_VALUE"""),302)</f>
        <v>302</v>
      </c>
      <c r="AA236" s="1">
        <f ca="1">IFERROR(__xludf.DUMMYFUNCTION("""COMPUTED_VALUE"""),1149)</f>
        <v>1149</v>
      </c>
      <c r="AB236" s="1">
        <f ca="1">IFERROR(__xludf.DUMMYFUNCTION("""COMPUTED_VALUE"""),347)</f>
        <v>347</v>
      </c>
      <c r="AC236" s="1">
        <f ca="1">IFERROR(__xludf.DUMMYFUNCTION("""COMPUTED_VALUE"""),198)</f>
        <v>198</v>
      </c>
      <c r="AD236" s="1">
        <f ca="1">IFERROR(__xludf.DUMMYFUNCTION("""COMPUTED_VALUE"""),117)</f>
        <v>117</v>
      </c>
      <c r="AE236" s="1">
        <f ca="1">IFERROR(__xludf.DUMMYFUNCTION("""COMPUTED_VALUE"""),348)</f>
        <v>348</v>
      </c>
      <c r="AF236" s="1">
        <f ca="1">IFERROR(__xludf.DUMMYFUNCTION("""COMPUTED_VALUE"""),523)</f>
        <v>523</v>
      </c>
    </row>
    <row r="237" spans="1:32" ht="12.5" x14ac:dyDescent="0.25">
      <c r="A237" s="1" t="str">
        <f ca="1">IFERROR(__xludf.DUMMYFUNCTION("""COMPUTED_VALUE"""),"North Dakota")</f>
        <v>North Dakota</v>
      </c>
      <c r="B237" s="1">
        <f ca="1">IFERROR(__xludf.DUMMYFUNCTION("""COMPUTED_VALUE"""),33)</f>
        <v>33</v>
      </c>
      <c r="C237" s="1">
        <f ca="1">IFERROR(__xludf.DUMMYFUNCTION("""COMPUTED_VALUE"""),17)</f>
        <v>17</v>
      </c>
      <c r="D237" s="1">
        <f ca="1">IFERROR(__xludf.DUMMYFUNCTION("""COMPUTED_VALUE"""),16)</f>
        <v>16</v>
      </c>
      <c r="E237" s="1">
        <f ca="1">IFERROR(__xludf.DUMMYFUNCTION("""COMPUTED_VALUE"""),0.515)</f>
        <v>0.51500000000000001</v>
      </c>
      <c r="F237" s="1">
        <f ca="1">IFERROR(__xludf.DUMMYFUNCTION("""COMPUTED_VALUE"""),-3.68)</f>
        <v>-3.68</v>
      </c>
      <c r="G237" s="1">
        <f ca="1">IFERROR(__xludf.DUMMYFUNCTION("""COMPUTED_VALUE"""),-4.91)</f>
        <v>-4.91</v>
      </c>
      <c r="H237" s="1">
        <f ca="1">IFERROR(__xludf.DUMMYFUNCTION("""COMPUTED_VALUE"""),10)</f>
        <v>10</v>
      </c>
      <c r="I237" s="1">
        <f ca="1">IFERROR(__xludf.DUMMYFUNCTION("""COMPUTED_VALUE"""),8)</f>
        <v>8</v>
      </c>
      <c r="J237" s="1">
        <f ca="1">IFERROR(__xludf.DUMMYFUNCTION("""COMPUTED_VALUE"""),10)</f>
        <v>10</v>
      </c>
      <c r="K237" s="1">
        <f ca="1">IFERROR(__xludf.DUMMYFUNCTION("""COMPUTED_VALUE"""),5)</f>
        <v>5</v>
      </c>
      <c r="L237" s="1">
        <f ca="1">IFERROR(__xludf.DUMMYFUNCTION("""COMPUTED_VALUE"""),4)</f>
        <v>4</v>
      </c>
      <c r="M237" s="1">
        <f ca="1">IFERROR(__xludf.DUMMYFUNCTION("""COMPUTED_VALUE"""),9)</f>
        <v>9</v>
      </c>
      <c r="N237" s="1">
        <f ca="1">IFERROR(__xludf.DUMMYFUNCTION("""COMPUTED_VALUE"""),2474)</f>
        <v>2474</v>
      </c>
      <c r="O237" s="1">
        <f ca="1">IFERROR(__xludf.DUMMYFUNCTION("""COMPUTED_VALUE"""),2366)</f>
        <v>2366</v>
      </c>
      <c r="P237" s="1">
        <f ca="1">IFERROR(__xludf.DUMMYFUNCTION("""COMPUTED_VALUE"""),1340)</f>
        <v>1340</v>
      </c>
      <c r="Q237" s="1">
        <f ca="1">IFERROR(__xludf.DUMMYFUNCTION("""COMPUTED_VALUE"""),876)</f>
        <v>876</v>
      </c>
      <c r="R237" s="1">
        <f ca="1">IFERROR(__xludf.DUMMYFUNCTION("""COMPUTED_VALUE"""),1926)</f>
        <v>1926</v>
      </c>
      <c r="S237" s="1">
        <f ca="1">IFERROR(__xludf.DUMMYFUNCTION("""COMPUTED_VALUE"""),0.455)</f>
        <v>0.45500000000000002</v>
      </c>
      <c r="T237" s="1">
        <f ca="1">IFERROR(__xludf.DUMMYFUNCTION("""COMPUTED_VALUE"""),203)</f>
        <v>203</v>
      </c>
      <c r="U237" s="1">
        <f ca="1">IFERROR(__xludf.DUMMYFUNCTION("""COMPUTED_VALUE"""),565)</f>
        <v>565</v>
      </c>
      <c r="V237" s="1">
        <f ca="1">IFERROR(__xludf.DUMMYFUNCTION("""COMPUTED_VALUE"""),0.359)</f>
        <v>0.35899999999999999</v>
      </c>
      <c r="W237" s="1">
        <f ca="1">IFERROR(__xludf.DUMMYFUNCTION("""COMPUTED_VALUE"""),519)</f>
        <v>519</v>
      </c>
      <c r="X237" s="1">
        <f ca="1">IFERROR(__xludf.DUMMYFUNCTION("""COMPUTED_VALUE"""),761)</f>
        <v>761</v>
      </c>
      <c r="Y237" s="1">
        <f ca="1">IFERROR(__xludf.DUMMYFUNCTION("""COMPUTED_VALUE"""),0.682)</f>
        <v>0.68200000000000005</v>
      </c>
      <c r="Z237" s="1">
        <f ca="1">IFERROR(__xludf.DUMMYFUNCTION("""COMPUTED_VALUE"""),293)</f>
        <v>293</v>
      </c>
      <c r="AA237" s="1">
        <f ca="1">IFERROR(__xludf.DUMMYFUNCTION("""COMPUTED_VALUE"""),1209)</f>
        <v>1209</v>
      </c>
      <c r="AB237" s="1">
        <f ca="1">IFERROR(__xludf.DUMMYFUNCTION("""COMPUTED_VALUE"""),439)</f>
        <v>439</v>
      </c>
      <c r="AC237" s="1">
        <f ca="1">IFERROR(__xludf.DUMMYFUNCTION("""COMPUTED_VALUE"""),257)</f>
        <v>257</v>
      </c>
      <c r="AD237" s="1">
        <f ca="1">IFERROR(__xludf.DUMMYFUNCTION("""COMPUTED_VALUE"""),90)</f>
        <v>90</v>
      </c>
      <c r="AE237" s="1">
        <f ca="1">IFERROR(__xludf.DUMMYFUNCTION("""COMPUTED_VALUE"""),435)</f>
        <v>435</v>
      </c>
      <c r="AF237" s="1">
        <f ca="1">IFERROR(__xludf.DUMMYFUNCTION("""COMPUTED_VALUE"""),694)</f>
        <v>694</v>
      </c>
    </row>
    <row r="238" spans="1:32" ht="12.5" x14ac:dyDescent="0.25">
      <c r="A238" s="1" t="str">
        <f ca="1">IFERROR(__xludf.DUMMYFUNCTION("""COMPUTED_VALUE"""),"North Florida")</f>
        <v>North Florida</v>
      </c>
      <c r="B238" s="1">
        <f ca="1">IFERROR(__xludf.DUMMYFUNCTION("""COMPUTED_VALUE"""),34)</f>
        <v>34</v>
      </c>
      <c r="C238" s="1">
        <f ca="1">IFERROR(__xludf.DUMMYFUNCTION("""COMPUTED_VALUE"""),22)</f>
        <v>22</v>
      </c>
      <c r="D238" s="1">
        <f ca="1">IFERROR(__xludf.DUMMYFUNCTION("""COMPUTED_VALUE"""),12)</f>
        <v>12</v>
      </c>
      <c r="E238" s="1">
        <f ca="1">IFERROR(__xludf.DUMMYFUNCTION("""COMPUTED_VALUE"""),0.647)</f>
        <v>0.64700000000000002</v>
      </c>
      <c r="F238" s="1">
        <f ca="1">IFERROR(__xludf.DUMMYFUNCTION("""COMPUTED_VALUE"""),-1.41)</f>
        <v>-1.41</v>
      </c>
      <c r="G238" s="1">
        <f ca="1">IFERROR(__xludf.DUMMYFUNCTION("""COMPUTED_VALUE"""),-3.92)</f>
        <v>-3.92</v>
      </c>
      <c r="H238" s="1">
        <f ca="1">IFERROR(__xludf.DUMMYFUNCTION("""COMPUTED_VALUE"""),10)</f>
        <v>10</v>
      </c>
      <c r="I238" s="1">
        <f ca="1">IFERROR(__xludf.DUMMYFUNCTION("""COMPUTED_VALUE"""),4)</f>
        <v>4</v>
      </c>
      <c r="J238" s="1">
        <f ca="1">IFERROR(__xludf.DUMMYFUNCTION("""COMPUTED_VALUE"""),14)</f>
        <v>14</v>
      </c>
      <c r="K238" s="1">
        <f ca="1">IFERROR(__xludf.DUMMYFUNCTION("""COMPUTED_VALUE"""),3)</f>
        <v>3</v>
      </c>
      <c r="L238" s="1">
        <f ca="1">IFERROR(__xludf.DUMMYFUNCTION("""COMPUTED_VALUE"""),7)</f>
        <v>7</v>
      </c>
      <c r="M238" s="1">
        <f ca="1">IFERROR(__xludf.DUMMYFUNCTION("""COMPUTED_VALUE"""),9)</f>
        <v>9</v>
      </c>
      <c r="N238" s="1">
        <f ca="1">IFERROR(__xludf.DUMMYFUNCTION("""COMPUTED_VALUE"""),2865)</f>
        <v>2865</v>
      </c>
      <c r="O238" s="1">
        <f ca="1">IFERROR(__xludf.DUMMYFUNCTION("""COMPUTED_VALUE"""),2704)</f>
        <v>2704</v>
      </c>
      <c r="P238" s="1">
        <f ca="1">IFERROR(__xludf.DUMMYFUNCTION("""COMPUTED_VALUE"""),1360)</f>
        <v>1360</v>
      </c>
      <c r="Q238" s="1">
        <f ca="1">IFERROR(__xludf.DUMMYFUNCTION("""COMPUTED_VALUE"""),1000)</f>
        <v>1000</v>
      </c>
      <c r="R238" s="1">
        <f ca="1">IFERROR(__xludf.DUMMYFUNCTION("""COMPUTED_VALUE"""),2065)</f>
        <v>2065</v>
      </c>
      <c r="S238" s="1">
        <f ca="1">IFERROR(__xludf.DUMMYFUNCTION("""COMPUTED_VALUE"""),0.484)</f>
        <v>0.48399999999999999</v>
      </c>
      <c r="T238" s="1">
        <f ca="1">IFERROR(__xludf.DUMMYFUNCTION("""COMPUTED_VALUE"""),411)</f>
        <v>411</v>
      </c>
      <c r="U238" s="1">
        <f ca="1">IFERROR(__xludf.DUMMYFUNCTION("""COMPUTED_VALUE"""),1002)</f>
        <v>1002</v>
      </c>
      <c r="V238" s="1">
        <f ca="1">IFERROR(__xludf.DUMMYFUNCTION("""COMPUTED_VALUE"""),0.41)</f>
        <v>0.41</v>
      </c>
      <c r="W238" s="1">
        <f ca="1">IFERROR(__xludf.DUMMYFUNCTION("""COMPUTED_VALUE"""),454)</f>
        <v>454</v>
      </c>
      <c r="X238" s="1">
        <f ca="1">IFERROR(__xludf.DUMMYFUNCTION("""COMPUTED_VALUE"""),624)</f>
        <v>624</v>
      </c>
      <c r="Y238" s="1">
        <f ca="1">IFERROR(__xludf.DUMMYFUNCTION("""COMPUTED_VALUE"""),0.728)</f>
        <v>0.72799999999999998</v>
      </c>
      <c r="Z238" s="1">
        <f ca="1">IFERROR(__xludf.DUMMYFUNCTION("""COMPUTED_VALUE"""),293)</f>
        <v>293</v>
      </c>
      <c r="AA238" s="1">
        <f ca="1">IFERROR(__xludf.DUMMYFUNCTION("""COMPUTED_VALUE"""),1168)</f>
        <v>1168</v>
      </c>
      <c r="AB238" s="1">
        <f ca="1">IFERROR(__xludf.DUMMYFUNCTION("""COMPUTED_VALUE"""),559)</f>
        <v>559</v>
      </c>
      <c r="AC238" s="1">
        <f ca="1">IFERROR(__xludf.DUMMYFUNCTION("""COMPUTED_VALUE"""),177)</f>
        <v>177</v>
      </c>
      <c r="AD238" s="1">
        <f ca="1">IFERROR(__xludf.DUMMYFUNCTION("""COMPUTED_VALUE"""),172)</f>
        <v>172</v>
      </c>
      <c r="AE238" s="1">
        <f ca="1">IFERROR(__xludf.DUMMYFUNCTION("""COMPUTED_VALUE"""),383)</f>
        <v>383</v>
      </c>
      <c r="AF238" s="1">
        <f ca="1">IFERROR(__xludf.DUMMYFUNCTION("""COMPUTED_VALUE"""),551)</f>
        <v>551</v>
      </c>
    </row>
    <row r="239" spans="1:32" ht="12.5" x14ac:dyDescent="0.25">
      <c r="A239" s="1" t="str">
        <f ca="1">IFERROR(__xludf.DUMMYFUNCTION("""COMPUTED_VALUE"""),"North Texas")</f>
        <v>North Texas</v>
      </c>
      <c r="B239" s="1">
        <f ca="1">IFERROR(__xludf.DUMMYFUNCTION("""COMPUTED_VALUE"""),32)</f>
        <v>32</v>
      </c>
      <c r="C239" s="1">
        <f ca="1">IFERROR(__xludf.DUMMYFUNCTION("""COMPUTED_VALUE"""),12)</f>
        <v>12</v>
      </c>
      <c r="D239" s="1">
        <f ca="1">IFERROR(__xludf.DUMMYFUNCTION("""COMPUTED_VALUE"""),20)</f>
        <v>20</v>
      </c>
      <c r="E239" s="1">
        <f ca="1">IFERROR(__xludf.DUMMYFUNCTION("""COMPUTED_VALUE"""),0.375)</f>
        <v>0.375</v>
      </c>
      <c r="F239" s="1">
        <f ca="1">IFERROR(__xludf.DUMMYFUNCTION("""COMPUTED_VALUE"""),-9.83)</f>
        <v>-9.83</v>
      </c>
      <c r="G239" s="1">
        <f ca="1">IFERROR(__xludf.DUMMYFUNCTION("""COMPUTED_VALUE"""),-3.23)</f>
        <v>-3.23</v>
      </c>
      <c r="H239" s="1">
        <f ca="1">IFERROR(__xludf.DUMMYFUNCTION("""COMPUTED_VALUE"""),7)</f>
        <v>7</v>
      </c>
      <c r="I239" s="1">
        <f ca="1">IFERROR(__xludf.DUMMYFUNCTION("""COMPUTED_VALUE"""),11)</f>
        <v>11</v>
      </c>
      <c r="J239" s="1">
        <f ca="1">IFERROR(__xludf.DUMMYFUNCTION("""COMPUTED_VALUE"""),11)</f>
        <v>11</v>
      </c>
      <c r="K239" s="1">
        <f ca="1">IFERROR(__xludf.DUMMYFUNCTION("""COMPUTED_VALUE"""),7)</f>
        <v>7</v>
      </c>
      <c r="L239" s="1">
        <f ca="1">IFERROR(__xludf.DUMMYFUNCTION("""COMPUTED_VALUE"""),1)</f>
        <v>1</v>
      </c>
      <c r="M239" s="1">
        <f ca="1">IFERROR(__xludf.DUMMYFUNCTION("""COMPUTED_VALUE"""),12)</f>
        <v>12</v>
      </c>
      <c r="N239" s="1">
        <f ca="1">IFERROR(__xludf.DUMMYFUNCTION("""COMPUTED_VALUE"""),2386)</f>
        <v>2386</v>
      </c>
      <c r="O239" s="1">
        <f ca="1">IFERROR(__xludf.DUMMYFUNCTION("""COMPUTED_VALUE"""),2505)</f>
        <v>2505</v>
      </c>
      <c r="P239" s="1">
        <f ca="1">IFERROR(__xludf.DUMMYFUNCTION("""COMPUTED_VALUE"""),1285)</f>
        <v>1285</v>
      </c>
      <c r="Q239" s="1">
        <f ca="1">IFERROR(__xludf.DUMMYFUNCTION("""COMPUTED_VALUE"""),830)</f>
        <v>830</v>
      </c>
      <c r="R239" s="1">
        <f ca="1">IFERROR(__xludf.DUMMYFUNCTION("""COMPUTED_VALUE"""),1838)</f>
        <v>1838</v>
      </c>
      <c r="S239" s="1">
        <f ca="1">IFERROR(__xludf.DUMMYFUNCTION("""COMPUTED_VALUE"""),0.452)</f>
        <v>0.45200000000000001</v>
      </c>
      <c r="T239" s="1">
        <f ca="1">IFERROR(__xludf.DUMMYFUNCTION("""COMPUTED_VALUE"""),187)</f>
        <v>187</v>
      </c>
      <c r="U239" s="1">
        <f ca="1">IFERROR(__xludf.DUMMYFUNCTION("""COMPUTED_VALUE"""),567)</f>
        <v>567</v>
      </c>
      <c r="V239" s="1">
        <f ca="1">IFERROR(__xludf.DUMMYFUNCTION("""COMPUTED_VALUE"""),0.33)</f>
        <v>0.33</v>
      </c>
      <c r="W239" s="1">
        <f ca="1">IFERROR(__xludf.DUMMYFUNCTION("""COMPUTED_VALUE"""),539)</f>
        <v>539</v>
      </c>
      <c r="X239" s="1">
        <f ca="1">IFERROR(__xludf.DUMMYFUNCTION("""COMPUTED_VALUE"""),838)</f>
        <v>838</v>
      </c>
      <c r="Y239" s="1">
        <f ca="1">IFERROR(__xludf.DUMMYFUNCTION("""COMPUTED_VALUE"""),0.643)</f>
        <v>0.64300000000000002</v>
      </c>
      <c r="Z239" s="1">
        <f ca="1">IFERROR(__xludf.DUMMYFUNCTION("""COMPUTED_VALUE"""),362)</f>
        <v>362</v>
      </c>
      <c r="AA239" s="1">
        <f ca="1">IFERROR(__xludf.DUMMYFUNCTION("""COMPUTED_VALUE"""),1158)</f>
        <v>1158</v>
      </c>
      <c r="AB239" s="1">
        <f ca="1">IFERROR(__xludf.DUMMYFUNCTION("""COMPUTED_VALUE"""),362)</f>
        <v>362</v>
      </c>
      <c r="AC239" s="1">
        <f ca="1">IFERROR(__xludf.DUMMYFUNCTION("""COMPUTED_VALUE"""),210)</f>
        <v>210</v>
      </c>
      <c r="AD239" s="1">
        <f ca="1">IFERROR(__xludf.DUMMYFUNCTION("""COMPUTED_VALUE"""),98)</f>
        <v>98</v>
      </c>
      <c r="AE239" s="1">
        <f ca="1">IFERROR(__xludf.DUMMYFUNCTION("""COMPUTED_VALUE"""),443)</f>
        <v>443</v>
      </c>
      <c r="AF239" s="1">
        <f ca="1">IFERROR(__xludf.DUMMYFUNCTION("""COMPUTED_VALUE"""),685)</f>
        <v>685</v>
      </c>
    </row>
    <row r="240" spans="1:32" ht="12.5" x14ac:dyDescent="0.25">
      <c r="A240" s="1" t="str">
        <f ca="1">IFERROR(__xludf.DUMMYFUNCTION("""COMPUTED_VALUE"""),"Northeastern")</f>
        <v>Northeastern</v>
      </c>
      <c r="B240" s="1">
        <f ca="1">IFERROR(__xludf.DUMMYFUNCTION("""COMPUTED_VALUE"""),33)</f>
        <v>33</v>
      </c>
      <c r="C240" s="1">
        <f ca="1">IFERROR(__xludf.DUMMYFUNCTION("""COMPUTED_VALUE"""),18)</f>
        <v>18</v>
      </c>
      <c r="D240" s="1">
        <f ca="1">IFERROR(__xludf.DUMMYFUNCTION("""COMPUTED_VALUE"""),15)</f>
        <v>15</v>
      </c>
      <c r="E240" s="1">
        <f ca="1">IFERROR(__xludf.DUMMYFUNCTION("""COMPUTED_VALUE"""),0.545)</f>
        <v>0.54500000000000004</v>
      </c>
      <c r="F240" s="1">
        <f ca="1">IFERROR(__xludf.DUMMYFUNCTION("""COMPUTED_VALUE"""),1.6)</f>
        <v>1.6</v>
      </c>
      <c r="G240" s="1">
        <f ca="1">IFERROR(__xludf.DUMMYFUNCTION("""COMPUTED_VALUE"""),1.35)</f>
        <v>1.35</v>
      </c>
      <c r="H240" s="1">
        <f ca="1">IFERROR(__xludf.DUMMYFUNCTION("""COMPUTED_VALUE"""),9)</f>
        <v>9</v>
      </c>
      <c r="I240" s="1">
        <f ca="1">IFERROR(__xludf.DUMMYFUNCTION("""COMPUTED_VALUE"""),9)</f>
        <v>9</v>
      </c>
      <c r="J240" s="1">
        <f ca="1">IFERROR(__xludf.DUMMYFUNCTION("""COMPUTED_VALUE"""),7)</f>
        <v>7</v>
      </c>
      <c r="K240" s="1">
        <f ca="1">IFERROR(__xludf.DUMMYFUNCTION("""COMPUTED_VALUE"""),7)</f>
        <v>7</v>
      </c>
      <c r="L240" s="1">
        <f ca="1">IFERROR(__xludf.DUMMYFUNCTION("""COMPUTED_VALUE"""),8)</f>
        <v>8</v>
      </c>
      <c r="M240" s="1">
        <f ca="1">IFERROR(__xludf.DUMMYFUNCTION("""COMPUTED_VALUE"""),7)</f>
        <v>7</v>
      </c>
      <c r="N240" s="1">
        <f ca="1">IFERROR(__xludf.DUMMYFUNCTION("""COMPUTED_VALUE"""),2376)</f>
        <v>2376</v>
      </c>
      <c r="O240" s="1">
        <f ca="1">IFERROR(__xludf.DUMMYFUNCTION("""COMPUTED_VALUE"""),2339)</f>
        <v>2339</v>
      </c>
      <c r="P240" s="1">
        <f ca="1">IFERROR(__xludf.DUMMYFUNCTION("""COMPUTED_VALUE"""),1365)</f>
        <v>1365</v>
      </c>
      <c r="Q240" s="1">
        <f ca="1">IFERROR(__xludf.DUMMYFUNCTION("""COMPUTED_VALUE"""),793)</f>
        <v>793</v>
      </c>
      <c r="R240" s="1">
        <f ca="1">IFERROR(__xludf.DUMMYFUNCTION("""COMPUTED_VALUE"""),1808)</f>
        <v>1808</v>
      </c>
      <c r="S240" s="1">
        <f ca="1">IFERROR(__xludf.DUMMYFUNCTION("""COMPUTED_VALUE"""),0.439)</f>
        <v>0.439</v>
      </c>
      <c r="T240" s="1">
        <f ca="1">IFERROR(__xludf.DUMMYFUNCTION("""COMPUTED_VALUE"""),286)</f>
        <v>286</v>
      </c>
      <c r="U240" s="1">
        <f ca="1">IFERROR(__xludf.DUMMYFUNCTION("""COMPUTED_VALUE"""),770)</f>
        <v>770</v>
      </c>
      <c r="V240" s="1">
        <f ca="1">IFERROR(__xludf.DUMMYFUNCTION("""COMPUTED_VALUE"""),0.371)</f>
        <v>0.371</v>
      </c>
      <c r="W240" s="1">
        <f ca="1">IFERROR(__xludf.DUMMYFUNCTION("""COMPUTED_VALUE"""),504)</f>
        <v>504</v>
      </c>
      <c r="X240" s="1">
        <f ca="1">IFERROR(__xludf.DUMMYFUNCTION("""COMPUTED_VALUE"""),704)</f>
        <v>704</v>
      </c>
      <c r="Y240" s="1">
        <f ca="1">IFERROR(__xludf.DUMMYFUNCTION("""COMPUTED_VALUE"""),0.716)</f>
        <v>0.71599999999999997</v>
      </c>
      <c r="Z240" s="1">
        <f ca="1">IFERROR(__xludf.DUMMYFUNCTION("""COMPUTED_VALUE"""),295)</f>
        <v>295</v>
      </c>
      <c r="AA240" s="1">
        <f ca="1">IFERROR(__xludf.DUMMYFUNCTION("""COMPUTED_VALUE"""),1111)</f>
        <v>1111</v>
      </c>
      <c r="AB240" s="1">
        <f ca="1">IFERROR(__xludf.DUMMYFUNCTION("""COMPUTED_VALUE"""),485)</f>
        <v>485</v>
      </c>
      <c r="AC240" s="1">
        <f ca="1">IFERROR(__xludf.DUMMYFUNCTION("""COMPUTED_VALUE"""),202)</f>
        <v>202</v>
      </c>
      <c r="AD240" s="1">
        <f ca="1">IFERROR(__xludf.DUMMYFUNCTION("""COMPUTED_VALUE"""),109)</f>
        <v>109</v>
      </c>
      <c r="AE240" s="1">
        <f ca="1">IFERROR(__xludf.DUMMYFUNCTION("""COMPUTED_VALUE"""),409)</f>
        <v>409</v>
      </c>
      <c r="AF240" s="1">
        <f ca="1">IFERROR(__xludf.DUMMYFUNCTION("""COMPUTED_VALUE"""),546)</f>
        <v>546</v>
      </c>
    </row>
    <row r="241" spans="1:32" ht="12.5" x14ac:dyDescent="0.25">
      <c r="A241" s="1" t="str">
        <f ca="1">IFERROR(__xludf.DUMMYFUNCTION("""COMPUTED_VALUE"""),"Northern Arizona")</f>
        <v>Northern Arizona</v>
      </c>
      <c r="B241" s="1">
        <f ca="1">IFERROR(__xludf.DUMMYFUNCTION("""COMPUTED_VALUE"""),30)</f>
        <v>30</v>
      </c>
      <c r="C241" s="1">
        <f ca="1">IFERROR(__xludf.DUMMYFUNCTION("""COMPUTED_VALUE"""),5)</f>
        <v>5</v>
      </c>
      <c r="D241" s="1">
        <f ca="1">IFERROR(__xludf.DUMMYFUNCTION("""COMPUTED_VALUE"""),25)</f>
        <v>25</v>
      </c>
      <c r="E241" s="1">
        <f ca="1">IFERROR(__xludf.DUMMYFUNCTION("""COMPUTED_VALUE"""),0.167)</f>
        <v>0.16700000000000001</v>
      </c>
      <c r="F241" s="1">
        <f ca="1">IFERROR(__xludf.DUMMYFUNCTION("""COMPUTED_VALUE"""),-18.29)</f>
        <v>-18.29</v>
      </c>
      <c r="G241" s="1">
        <f ca="1">IFERROR(__xludf.DUMMYFUNCTION("""COMPUTED_VALUE"""),-2.83)</f>
        <v>-2.83</v>
      </c>
      <c r="H241" s="1">
        <f ca="1">IFERROR(__xludf.DUMMYFUNCTION("""COMPUTED_VALUE"""),3)</f>
        <v>3</v>
      </c>
      <c r="I241" s="1">
        <f ca="1">IFERROR(__xludf.DUMMYFUNCTION("""COMPUTED_VALUE"""),15)</f>
        <v>15</v>
      </c>
      <c r="J241" s="1">
        <f ca="1">IFERROR(__xludf.DUMMYFUNCTION("""COMPUTED_VALUE"""),4)</f>
        <v>4</v>
      </c>
      <c r="K241" s="1">
        <f ca="1">IFERROR(__xludf.DUMMYFUNCTION("""COMPUTED_VALUE"""),9)</f>
        <v>9</v>
      </c>
      <c r="L241" s="1">
        <f ca="1">IFERROR(__xludf.DUMMYFUNCTION("""COMPUTED_VALUE"""),1)</f>
        <v>1</v>
      </c>
      <c r="M241" s="1">
        <f ca="1">IFERROR(__xludf.DUMMYFUNCTION("""COMPUTED_VALUE"""),15)</f>
        <v>15</v>
      </c>
      <c r="N241" s="1">
        <f ca="1">IFERROR(__xludf.DUMMYFUNCTION("""COMPUTED_VALUE"""),2054)</f>
        <v>2054</v>
      </c>
      <c r="O241" s="1">
        <f ca="1">IFERROR(__xludf.DUMMYFUNCTION("""COMPUTED_VALUE"""),2438)</f>
        <v>2438</v>
      </c>
      <c r="P241" s="1">
        <f ca="1">IFERROR(__xludf.DUMMYFUNCTION("""COMPUTED_VALUE"""),1225)</f>
        <v>1225</v>
      </c>
      <c r="Q241" s="1">
        <f ca="1">IFERROR(__xludf.DUMMYFUNCTION("""COMPUTED_VALUE"""),699)</f>
        <v>699</v>
      </c>
      <c r="R241" s="1">
        <f ca="1">IFERROR(__xludf.DUMMYFUNCTION("""COMPUTED_VALUE"""),1749)</f>
        <v>1749</v>
      </c>
      <c r="S241" s="1">
        <f ca="1">IFERROR(__xludf.DUMMYFUNCTION("""COMPUTED_VALUE"""),0.4)</f>
        <v>0.4</v>
      </c>
      <c r="T241" s="1">
        <f ca="1">IFERROR(__xludf.DUMMYFUNCTION("""COMPUTED_VALUE"""),220)</f>
        <v>220</v>
      </c>
      <c r="U241" s="1">
        <f ca="1">IFERROR(__xludf.DUMMYFUNCTION("""COMPUTED_VALUE"""),650)</f>
        <v>650</v>
      </c>
      <c r="V241" s="1">
        <f ca="1">IFERROR(__xludf.DUMMYFUNCTION("""COMPUTED_VALUE"""),0.338)</f>
        <v>0.33800000000000002</v>
      </c>
      <c r="W241" s="1">
        <f ca="1">IFERROR(__xludf.DUMMYFUNCTION("""COMPUTED_VALUE"""),436)</f>
        <v>436</v>
      </c>
      <c r="X241" s="1">
        <f ca="1">IFERROR(__xludf.DUMMYFUNCTION("""COMPUTED_VALUE"""),619)</f>
        <v>619</v>
      </c>
      <c r="Y241" s="1">
        <f ca="1">IFERROR(__xludf.DUMMYFUNCTION("""COMPUTED_VALUE"""),0.704)</f>
        <v>0.70399999999999996</v>
      </c>
      <c r="Z241" s="1">
        <f ca="1">IFERROR(__xludf.DUMMYFUNCTION("""COMPUTED_VALUE"""),260)</f>
        <v>260</v>
      </c>
      <c r="AA241" s="1">
        <f ca="1">IFERROR(__xludf.DUMMYFUNCTION("""COMPUTED_VALUE"""),1002)</f>
        <v>1002</v>
      </c>
      <c r="AB241" s="1">
        <f ca="1">IFERROR(__xludf.DUMMYFUNCTION("""COMPUTED_VALUE"""),372)</f>
        <v>372</v>
      </c>
      <c r="AC241" s="1">
        <f ca="1">IFERROR(__xludf.DUMMYFUNCTION("""COMPUTED_VALUE"""),185)</f>
        <v>185</v>
      </c>
      <c r="AD241" s="1">
        <f ca="1">IFERROR(__xludf.DUMMYFUNCTION("""COMPUTED_VALUE"""),60)</f>
        <v>60</v>
      </c>
      <c r="AE241" s="1">
        <f ca="1">IFERROR(__xludf.DUMMYFUNCTION("""COMPUTED_VALUE"""),389)</f>
        <v>389</v>
      </c>
      <c r="AF241" s="1">
        <f ca="1">IFERROR(__xludf.DUMMYFUNCTION("""COMPUTED_VALUE"""),563)</f>
        <v>563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IFERROR(__xludf.DUMMYFUNCTION("""COMPUTED_VALUE"""),"Northern Colorado")</f>
        <v>Northern Colorado</v>
      </c>
      <c r="B244" s="1">
        <f ca="1">IFERROR(__xludf.DUMMYFUNCTION("""COMPUTED_VALUE"""),31)</f>
        <v>31</v>
      </c>
      <c r="C244" s="1">
        <f ca="1">IFERROR(__xludf.DUMMYFUNCTION("""COMPUTED_VALUE"""),10)</f>
        <v>10</v>
      </c>
      <c r="D244" s="1">
        <f ca="1">IFERROR(__xludf.DUMMYFUNCTION("""COMPUTED_VALUE"""),21)</f>
        <v>21</v>
      </c>
      <c r="E244" s="1">
        <f ca="1">IFERROR(__xludf.DUMMYFUNCTION("""COMPUTED_VALUE"""),0.323)</f>
        <v>0.32300000000000001</v>
      </c>
      <c r="F244" s="1">
        <f ca="1">IFERROR(__xludf.DUMMYFUNCTION("""COMPUTED_VALUE"""),-12.22)</f>
        <v>-12.22</v>
      </c>
      <c r="G244" s="1">
        <f ca="1">IFERROR(__xludf.DUMMYFUNCTION("""COMPUTED_VALUE"""),-4.01)</f>
        <v>-4.01</v>
      </c>
      <c r="H244" s="1">
        <f ca="1">IFERROR(__xludf.DUMMYFUNCTION("""COMPUTED_VALUE"""),7)</f>
        <v>7</v>
      </c>
      <c r="I244" s="1">
        <f ca="1">IFERROR(__xludf.DUMMYFUNCTION("""COMPUTED_VALUE"""),11)</f>
        <v>11</v>
      </c>
      <c r="J244" s="1">
        <f ca="1">IFERROR(__xludf.DUMMYFUNCTION("""COMPUTED_VALUE"""),7)</f>
        <v>7</v>
      </c>
      <c r="K244" s="1">
        <f ca="1">IFERROR(__xludf.DUMMYFUNCTION("""COMPUTED_VALUE"""),9)</f>
        <v>9</v>
      </c>
      <c r="L244" s="1">
        <f ca="1">IFERROR(__xludf.DUMMYFUNCTION("""COMPUTED_VALUE"""),3)</f>
        <v>3</v>
      </c>
      <c r="M244" s="1">
        <f ca="1">IFERROR(__xludf.DUMMYFUNCTION("""COMPUTED_VALUE"""),10)</f>
        <v>10</v>
      </c>
      <c r="N244" s="1">
        <f ca="1">IFERROR(__xludf.DUMMYFUNCTION("""COMPUTED_VALUE"""),2292)</f>
        <v>2292</v>
      </c>
      <c r="O244" s="1">
        <f ca="1">IFERROR(__xludf.DUMMYFUNCTION("""COMPUTED_VALUE"""),2482)</f>
        <v>2482</v>
      </c>
      <c r="P244" s="1">
        <f ca="1">IFERROR(__xludf.DUMMYFUNCTION("""COMPUTED_VALUE"""),1240)</f>
        <v>1240</v>
      </c>
      <c r="Q244" s="1">
        <f ca="1">IFERROR(__xludf.DUMMYFUNCTION("""COMPUTED_VALUE"""),780)</f>
        <v>780</v>
      </c>
      <c r="R244" s="1">
        <f ca="1">IFERROR(__xludf.DUMMYFUNCTION("""COMPUTED_VALUE"""),1726)</f>
        <v>1726</v>
      </c>
      <c r="S244" s="1">
        <f ca="1">IFERROR(__xludf.DUMMYFUNCTION("""COMPUTED_VALUE"""),0.452)</f>
        <v>0.45200000000000001</v>
      </c>
      <c r="T244" s="1">
        <f ca="1">IFERROR(__xludf.DUMMYFUNCTION("""COMPUTED_VALUE"""),203)</f>
        <v>203</v>
      </c>
      <c r="U244" s="1">
        <f ca="1">IFERROR(__xludf.DUMMYFUNCTION("""COMPUTED_VALUE"""),545)</f>
        <v>545</v>
      </c>
      <c r="V244" s="1">
        <f ca="1">IFERROR(__xludf.DUMMYFUNCTION("""COMPUTED_VALUE"""),0.372)</f>
        <v>0.372</v>
      </c>
      <c r="W244" s="1">
        <f ca="1">IFERROR(__xludf.DUMMYFUNCTION("""COMPUTED_VALUE"""),529)</f>
        <v>529</v>
      </c>
      <c r="X244" s="1">
        <f ca="1">IFERROR(__xludf.DUMMYFUNCTION("""COMPUTED_VALUE"""),727)</f>
        <v>727</v>
      </c>
      <c r="Y244" s="1">
        <f ca="1">IFERROR(__xludf.DUMMYFUNCTION("""COMPUTED_VALUE"""),0.728)</f>
        <v>0.72799999999999998</v>
      </c>
      <c r="Z244" s="1">
        <f ca="1">IFERROR(__xludf.DUMMYFUNCTION("""COMPUTED_VALUE"""),328)</f>
        <v>328</v>
      </c>
      <c r="AA244" s="1">
        <f ca="1">IFERROR(__xludf.DUMMYFUNCTION("""COMPUTED_VALUE"""),1077)</f>
        <v>1077</v>
      </c>
      <c r="AB244" s="1">
        <f ca="1">IFERROR(__xludf.DUMMYFUNCTION("""COMPUTED_VALUE"""),320)</f>
        <v>320</v>
      </c>
      <c r="AC244" s="1">
        <f ca="1">IFERROR(__xludf.DUMMYFUNCTION("""COMPUTED_VALUE"""),178)</f>
        <v>178</v>
      </c>
      <c r="AD244" s="1">
        <f ca="1">IFERROR(__xludf.DUMMYFUNCTION("""COMPUTED_VALUE"""),78)</f>
        <v>78</v>
      </c>
      <c r="AE244" s="1">
        <f ca="1">IFERROR(__xludf.DUMMYFUNCTION("""COMPUTED_VALUE"""),427)</f>
        <v>427</v>
      </c>
      <c r="AF244" s="1">
        <f ca="1">IFERROR(__xludf.DUMMYFUNCTION("""COMPUTED_VALUE"""),703)</f>
        <v>703</v>
      </c>
    </row>
    <row r="245" spans="1:32" ht="12.5" x14ac:dyDescent="0.25">
      <c r="A245" s="1" t="str">
        <f ca="1">IFERROR(__xludf.DUMMYFUNCTION("""COMPUTED_VALUE"""),"Northern Illinois")</f>
        <v>Northern Illinois</v>
      </c>
      <c r="B245" s="1">
        <f ca="1">IFERROR(__xludf.DUMMYFUNCTION("""COMPUTED_VALUE"""),34)</f>
        <v>34</v>
      </c>
      <c r="C245" s="1">
        <f ca="1">IFERROR(__xludf.DUMMYFUNCTION("""COMPUTED_VALUE"""),21)</f>
        <v>21</v>
      </c>
      <c r="D245" s="1">
        <f ca="1">IFERROR(__xludf.DUMMYFUNCTION("""COMPUTED_VALUE"""),13)</f>
        <v>13</v>
      </c>
      <c r="E245" s="1">
        <f ca="1">IFERROR(__xludf.DUMMYFUNCTION("""COMPUTED_VALUE"""),0.618)</f>
        <v>0.61799999999999999</v>
      </c>
      <c r="F245" s="1">
        <f ca="1">IFERROR(__xludf.DUMMYFUNCTION("""COMPUTED_VALUE"""),-0.46)</f>
        <v>-0.46</v>
      </c>
      <c r="G245" s="1">
        <f ca="1">IFERROR(__xludf.DUMMYFUNCTION("""COMPUTED_VALUE"""),-1.2)</f>
        <v>-1.2</v>
      </c>
      <c r="H245" s="1">
        <f ca="1">IFERROR(__xludf.DUMMYFUNCTION("""COMPUTED_VALUE"""),9)</f>
        <v>9</v>
      </c>
      <c r="I245" s="1">
        <f ca="1">IFERROR(__xludf.DUMMYFUNCTION("""COMPUTED_VALUE"""),9)</f>
        <v>9</v>
      </c>
      <c r="J245" s="1">
        <f ca="1">IFERROR(__xludf.DUMMYFUNCTION("""COMPUTED_VALUE"""),18)</f>
        <v>18</v>
      </c>
      <c r="K245" s="1">
        <f ca="1">IFERROR(__xludf.DUMMYFUNCTION("""COMPUTED_VALUE"""),1)</f>
        <v>1</v>
      </c>
      <c r="L245" s="1">
        <f ca="1">IFERROR(__xludf.DUMMYFUNCTION("""COMPUTED_VALUE"""),3)</f>
        <v>3</v>
      </c>
      <c r="M245" s="1">
        <f ca="1">IFERROR(__xludf.DUMMYFUNCTION("""COMPUTED_VALUE"""),10)</f>
        <v>10</v>
      </c>
      <c r="N245" s="1">
        <f ca="1">IFERROR(__xludf.DUMMYFUNCTION("""COMPUTED_VALUE"""),2463)</f>
        <v>2463</v>
      </c>
      <c r="O245" s="1">
        <f ca="1">IFERROR(__xludf.DUMMYFUNCTION("""COMPUTED_VALUE"""),2285)</f>
        <v>2285</v>
      </c>
      <c r="P245" s="1">
        <f ca="1">IFERROR(__xludf.DUMMYFUNCTION("""COMPUTED_VALUE"""),1370)</f>
        <v>1370</v>
      </c>
      <c r="Q245" s="1">
        <f ca="1">IFERROR(__xludf.DUMMYFUNCTION("""COMPUTED_VALUE"""),842)</f>
        <v>842</v>
      </c>
      <c r="R245" s="1">
        <f ca="1">IFERROR(__xludf.DUMMYFUNCTION("""COMPUTED_VALUE"""),1970)</f>
        <v>1970</v>
      </c>
      <c r="S245" s="1">
        <f ca="1">IFERROR(__xludf.DUMMYFUNCTION("""COMPUTED_VALUE"""),0.427)</f>
        <v>0.42699999999999999</v>
      </c>
      <c r="T245" s="1">
        <f ca="1">IFERROR(__xludf.DUMMYFUNCTION("""COMPUTED_VALUE"""),238)</f>
        <v>238</v>
      </c>
      <c r="U245" s="1">
        <f ca="1">IFERROR(__xludf.DUMMYFUNCTION("""COMPUTED_VALUE"""),681)</f>
        <v>681</v>
      </c>
      <c r="V245" s="1">
        <f ca="1">IFERROR(__xludf.DUMMYFUNCTION("""COMPUTED_VALUE"""),0.349)</f>
        <v>0.34899999999999998</v>
      </c>
      <c r="W245" s="1">
        <f ca="1">IFERROR(__xludf.DUMMYFUNCTION("""COMPUTED_VALUE"""),541)</f>
        <v>541</v>
      </c>
      <c r="X245" s="1">
        <f ca="1">IFERROR(__xludf.DUMMYFUNCTION("""COMPUTED_VALUE"""),791)</f>
        <v>791</v>
      </c>
      <c r="Y245" s="1">
        <f ca="1">IFERROR(__xludf.DUMMYFUNCTION("""COMPUTED_VALUE"""),0.684)</f>
        <v>0.68400000000000005</v>
      </c>
      <c r="Z245" s="1">
        <f ca="1">IFERROR(__xludf.DUMMYFUNCTION("""COMPUTED_VALUE"""),416)</f>
        <v>416</v>
      </c>
      <c r="AA245" s="1">
        <f ca="1">IFERROR(__xludf.DUMMYFUNCTION("""COMPUTED_VALUE"""),1331)</f>
        <v>1331</v>
      </c>
      <c r="AB245" s="1">
        <f ca="1">IFERROR(__xludf.DUMMYFUNCTION("""COMPUTED_VALUE"""),472)</f>
        <v>472</v>
      </c>
      <c r="AC245" s="1">
        <f ca="1">IFERROR(__xludf.DUMMYFUNCTION("""COMPUTED_VALUE"""),250)</f>
        <v>250</v>
      </c>
      <c r="AD245" s="1">
        <f ca="1">IFERROR(__xludf.DUMMYFUNCTION("""COMPUTED_VALUE"""),118)</f>
        <v>118</v>
      </c>
      <c r="AE245" s="1">
        <f ca="1">IFERROR(__xludf.DUMMYFUNCTION("""COMPUTED_VALUE"""),430)</f>
        <v>430</v>
      </c>
      <c r="AF245" s="1">
        <f ca="1">IFERROR(__xludf.DUMMYFUNCTION("""COMPUTED_VALUE"""),687)</f>
        <v>687</v>
      </c>
    </row>
    <row r="246" spans="1:32" ht="12.5" x14ac:dyDescent="0.25">
      <c r="A246" s="1" t="str">
        <f ca="1">IFERROR(__xludf.DUMMYFUNCTION("""COMPUTED_VALUE"""),"Northern IowaNCAA")</f>
        <v>Northern IowaNCAA</v>
      </c>
      <c r="B246" s="1">
        <f ca="1">IFERROR(__xludf.DUMMYFUNCTION("""COMPUTED_VALUE"""),36)</f>
        <v>36</v>
      </c>
      <c r="C246" s="1">
        <f ca="1">IFERROR(__xludf.DUMMYFUNCTION("""COMPUTED_VALUE"""),23)</f>
        <v>23</v>
      </c>
      <c r="D246" s="1">
        <f ca="1">IFERROR(__xludf.DUMMYFUNCTION("""COMPUTED_VALUE"""),13)</f>
        <v>13</v>
      </c>
      <c r="E246" s="1">
        <f ca="1">IFERROR(__xludf.DUMMYFUNCTION("""COMPUTED_VALUE"""),0.639)</f>
        <v>0.63900000000000001</v>
      </c>
      <c r="F246" s="1">
        <f ca="1">IFERROR(__xludf.DUMMYFUNCTION("""COMPUTED_VALUE"""),8.78)</f>
        <v>8.7799999999999994</v>
      </c>
      <c r="G246" s="1">
        <f ca="1">IFERROR(__xludf.DUMMYFUNCTION("""COMPUTED_VALUE"""),4.44)</f>
        <v>4.4400000000000004</v>
      </c>
      <c r="H246" s="1">
        <f ca="1">IFERROR(__xludf.DUMMYFUNCTION("""COMPUTED_VALUE"""),11)</f>
        <v>11</v>
      </c>
      <c r="I246" s="1">
        <f ca="1">IFERROR(__xludf.DUMMYFUNCTION("""COMPUTED_VALUE"""),7)</f>
        <v>7</v>
      </c>
      <c r="J246" s="1">
        <f ca="1">IFERROR(__xludf.DUMMYFUNCTION("""COMPUTED_VALUE"""),11)</f>
        <v>11</v>
      </c>
      <c r="K246" s="1">
        <f ca="1">IFERROR(__xludf.DUMMYFUNCTION("""COMPUTED_VALUE"""),3)</f>
        <v>3</v>
      </c>
      <c r="L246" s="1">
        <f ca="1">IFERROR(__xludf.DUMMYFUNCTION("""COMPUTED_VALUE"""),6)</f>
        <v>6</v>
      </c>
      <c r="M246" s="1">
        <f ca="1">IFERROR(__xludf.DUMMYFUNCTION("""COMPUTED_VALUE"""),8)</f>
        <v>8</v>
      </c>
      <c r="N246" s="1">
        <f ca="1">IFERROR(__xludf.DUMMYFUNCTION("""COMPUTED_VALUE"""),2475)</f>
        <v>2475</v>
      </c>
      <c r="O246" s="1">
        <f ca="1">IFERROR(__xludf.DUMMYFUNCTION("""COMPUTED_VALUE"""),2303)</f>
        <v>2303</v>
      </c>
      <c r="P246" s="1">
        <f ca="1">IFERROR(__xludf.DUMMYFUNCTION("""COMPUTED_VALUE"""),1455)</f>
        <v>1455</v>
      </c>
      <c r="Q246" s="1">
        <f ca="1">IFERROR(__xludf.DUMMYFUNCTION("""COMPUTED_VALUE"""),849)</f>
        <v>849</v>
      </c>
      <c r="R246" s="1">
        <f ca="1">IFERROR(__xludf.DUMMYFUNCTION("""COMPUTED_VALUE"""),1864)</f>
        <v>1864</v>
      </c>
      <c r="S246" s="1">
        <f ca="1">IFERROR(__xludf.DUMMYFUNCTION("""COMPUTED_VALUE"""),0.455)</f>
        <v>0.45500000000000002</v>
      </c>
      <c r="T246" s="1">
        <f ca="1">IFERROR(__xludf.DUMMYFUNCTION("""COMPUTED_VALUE"""),298)</f>
        <v>298</v>
      </c>
      <c r="U246" s="1">
        <f ca="1">IFERROR(__xludf.DUMMYFUNCTION("""COMPUTED_VALUE"""),796)</f>
        <v>796</v>
      </c>
      <c r="V246" s="1">
        <f ca="1">IFERROR(__xludf.DUMMYFUNCTION("""COMPUTED_VALUE"""),0.374)</f>
        <v>0.374</v>
      </c>
      <c r="W246" s="1">
        <f ca="1">IFERROR(__xludf.DUMMYFUNCTION("""COMPUTED_VALUE"""),479)</f>
        <v>479</v>
      </c>
      <c r="X246" s="1">
        <f ca="1">IFERROR(__xludf.DUMMYFUNCTION("""COMPUTED_VALUE"""),633)</f>
        <v>633</v>
      </c>
      <c r="Y246" s="1">
        <f ca="1">IFERROR(__xludf.DUMMYFUNCTION("""COMPUTED_VALUE"""),0.757)</f>
        <v>0.75700000000000001</v>
      </c>
      <c r="Z246" s="1">
        <f ca="1">IFERROR(__xludf.DUMMYFUNCTION("""COMPUTED_VALUE"""),195)</f>
        <v>195</v>
      </c>
      <c r="AA246" s="1">
        <f ca="1">IFERROR(__xludf.DUMMYFUNCTION("""COMPUTED_VALUE"""),1091)</f>
        <v>1091</v>
      </c>
      <c r="AB246" s="1">
        <f ca="1">IFERROR(__xludf.DUMMYFUNCTION("""COMPUTED_VALUE"""),429)</f>
        <v>429</v>
      </c>
      <c r="AC246" s="1">
        <f ca="1">IFERROR(__xludf.DUMMYFUNCTION("""COMPUTED_VALUE"""),204)</f>
        <v>204</v>
      </c>
      <c r="AD246" s="1">
        <f ca="1">IFERROR(__xludf.DUMMYFUNCTION("""COMPUTED_VALUE"""),94)</f>
        <v>94</v>
      </c>
      <c r="AE246" s="1">
        <f ca="1">IFERROR(__xludf.DUMMYFUNCTION("""COMPUTED_VALUE"""),357)</f>
        <v>357</v>
      </c>
      <c r="AF246" s="1">
        <f ca="1">IFERROR(__xludf.DUMMYFUNCTION("""COMPUTED_VALUE"""),560)</f>
        <v>560</v>
      </c>
    </row>
    <row r="247" spans="1:32" ht="12.5" x14ac:dyDescent="0.25">
      <c r="A247" s="1" t="str">
        <f ca="1">IFERROR(__xludf.DUMMYFUNCTION("""COMPUTED_VALUE"""),"Northern Kentucky")</f>
        <v>Northern Kentucky</v>
      </c>
      <c r="B247" s="1">
        <f ca="1">IFERROR(__xludf.DUMMYFUNCTION("""COMPUTED_VALUE"""),30)</f>
        <v>30</v>
      </c>
      <c r="C247" s="1">
        <f ca="1">IFERROR(__xludf.DUMMYFUNCTION("""COMPUTED_VALUE"""),9)</f>
        <v>9</v>
      </c>
      <c r="D247" s="1">
        <f ca="1">IFERROR(__xludf.DUMMYFUNCTION("""COMPUTED_VALUE"""),21)</f>
        <v>21</v>
      </c>
      <c r="E247" s="1">
        <f ca="1">IFERROR(__xludf.DUMMYFUNCTION("""COMPUTED_VALUE"""),0.3)</f>
        <v>0.3</v>
      </c>
      <c r="F247" s="1">
        <f ca="1">IFERROR(__xludf.DUMMYFUNCTION("""COMPUTED_VALUE"""),-6.87)</f>
        <v>-6.87</v>
      </c>
      <c r="G247" s="1">
        <f ca="1">IFERROR(__xludf.DUMMYFUNCTION("""COMPUTED_VALUE"""),-0.69)</f>
        <v>-0.69</v>
      </c>
      <c r="H247" s="1">
        <f ca="1">IFERROR(__xludf.DUMMYFUNCTION("""COMPUTED_VALUE"""),5)</f>
        <v>5</v>
      </c>
      <c r="I247" s="1">
        <f ca="1">IFERROR(__xludf.DUMMYFUNCTION("""COMPUTED_VALUE"""),13)</f>
        <v>13</v>
      </c>
      <c r="J247" s="1">
        <f ca="1">IFERROR(__xludf.DUMMYFUNCTION("""COMPUTED_VALUE"""),7)</f>
        <v>7</v>
      </c>
      <c r="K247" s="1">
        <f ca="1">IFERROR(__xludf.DUMMYFUNCTION("""COMPUTED_VALUE"""),7)</f>
        <v>7</v>
      </c>
      <c r="L247" s="1">
        <f ca="1">IFERROR(__xludf.DUMMYFUNCTION("""COMPUTED_VALUE"""),2)</f>
        <v>2</v>
      </c>
      <c r="M247" s="1">
        <f ca="1">IFERROR(__xludf.DUMMYFUNCTION("""COMPUTED_VALUE"""),13)</f>
        <v>13</v>
      </c>
      <c r="N247" s="1">
        <f ca="1">IFERROR(__xludf.DUMMYFUNCTION("""COMPUTED_VALUE"""),2116)</f>
        <v>2116</v>
      </c>
      <c r="O247" s="1">
        <f ca="1">IFERROR(__xludf.DUMMYFUNCTION("""COMPUTED_VALUE"""),2233)</f>
        <v>2233</v>
      </c>
      <c r="P247" s="1">
        <f ca="1">IFERROR(__xludf.DUMMYFUNCTION("""COMPUTED_VALUE"""),1210)</f>
        <v>1210</v>
      </c>
      <c r="Q247" s="1">
        <f ca="1">IFERROR(__xludf.DUMMYFUNCTION("""COMPUTED_VALUE"""),755)</f>
        <v>755</v>
      </c>
      <c r="R247" s="1">
        <f ca="1">IFERROR(__xludf.DUMMYFUNCTION("""COMPUTED_VALUE"""),1719)</f>
        <v>1719</v>
      </c>
      <c r="S247" s="1">
        <f ca="1">IFERROR(__xludf.DUMMYFUNCTION("""COMPUTED_VALUE"""),0.439)</f>
        <v>0.439</v>
      </c>
      <c r="T247" s="1">
        <f ca="1">IFERROR(__xludf.DUMMYFUNCTION("""COMPUTED_VALUE"""),234)</f>
        <v>234</v>
      </c>
      <c r="U247" s="1">
        <f ca="1">IFERROR(__xludf.DUMMYFUNCTION("""COMPUTED_VALUE"""),656)</f>
        <v>656</v>
      </c>
      <c r="V247" s="1">
        <f ca="1">IFERROR(__xludf.DUMMYFUNCTION("""COMPUTED_VALUE"""),0.357)</f>
        <v>0.35699999999999998</v>
      </c>
      <c r="W247" s="1">
        <f ca="1">IFERROR(__xludf.DUMMYFUNCTION("""COMPUTED_VALUE"""),372)</f>
        <v>372</v>
      </c>
      <c r="X247" s="1">
        <f ca="1">IFERROR(__xludf.DUMMYFUNCTION("""COMPUTED_VALUE"""),545)</f>
        <v>545</v>
      </c>
      <c r="Y247" s="1">
        <f ca="1">IFERROR(__xludf.DUMMYFUNCTION("""COMPUTED_VALUE"""),0.683)</f>
        <v>0.68300000000000005</v>
      </c>
      <c r="Z247" s="1">
        <f ca="1">IFERROR(__xludf.DUMMYFUNCTION("""COMPUTED_VALUE"""),281)</f>
        <v>281</v>
      </c>
      <c r="AA247" s="1">
        <f ca="1">IFERROR(__xludf.DUMMYFUNCTION("""COMPUTED_VALUE"""),1033)</f>
        <v>1033</v>
      </c>
      <c r="AB247" s="1">
        <f ca="1">IFERROR(__xludf.DUMMYFUNCTION("""COMPUTED_VALUE"""),439)</f>
        <v>439</v>
      </c>
      <c r="AC247" s="1">
        <f ca="1">IFERROR(__xludf.DUMMYFUNCTION("""COMPUTED_VALUE"""),142)</f>
        <v>142</v>
      </c>
      <c r="AD247" s="1">
        <f ca="1">IFERROR(__xludf.DUMMYFUNCTION("""COMPUTED_VALUE"""),88)</f>
        <v>88</v>
      </c>
      <c r="AE247" s="1">
        <f ca="1">IFERROR(__xludf.DUMMYFUNCTION("""COMPUTED_VALUE"""),406)</f>
        <v>406</v>
      </c>
      <c r="AF247" s="1">
        <f ca="1">IFERROR(__xludf.DUMMYFUNCTION("""COMPUTED_VALUE"""),615)</f>
        <v>615</v>
      </c>
    </row>
    <row r="248" spans="1:32" ht="12.5" x14ac:dyDescent="0.25">
      <c r="A248" s="1" t="str">
        <f ca="1">IFERROR(__xludf.DUMMYFUNCTION("""COMPUTED_VALUE"""),"Northwestern State")</f>
        <v>Northwestern State</v>
      </c>
      <c r="B248" s="1">
        <f ca="1">IFERROR(__xludf.DUMMYFUNCTION("""COMPUTED_VALUE"""),28)</f>
        <v>28</v>
      </c>
      <c r="C248" s="1">
        <f ca="1">IFERROR(__xludf.DUMMYFUNCTION("""COMPUTED_VALUE"""),8)</f>
        <v>8</v>
      </c>
      <c r="D248" s="1">
        <f ca="1">IFERROR(__xludf.DUMMYFUNCTION("""COMPUTED_VALUE"""),20)</f>
        <v>20</v>
      </c>
      <c r="E248" s="1">
        <f ca="1">IFERROR(__xludf.DUMMYFUNCTION("""COMPUTED_VALUE"""),0.286)</f>
        <v>0.28599999999999998</v>
      </c>
      <c r="F248" s="1">
        <f ca="1">IFERROR(__xludf.DUMMYFUNCTION("""COMPUTED_VALUE"""),-15.74)</f>
        <v>-15.74</v>
      </c>
      <c r="G248" s="1">
        <f ca="1">IFERROR(__xludf.DUMMYFUNCTION("""COMPUTED_VALUE"""),-5.66)</f>
        <v>-5.66</v>
      </c>
      <c r="H248" s="1">
        <f ca="1">IFERROR(__xludf.DUMMYFUNCTION("""COMPUTED_VALUE"""),5)</f>
        <v>5</v>
      </c>
      <c r="I248" s="1">
        <f ca="1">IFERROR(__xludf.DUMMYFUNCTION("""COMPUTED_VALUE"""),13)</f>
        <v>13</v>
      </c>
      <c r="J248" s="1">
        <f ca="1">IFERROR(__xludf.DUMMYFUNCTION("""COMPUTED_VALUE"""),6)</f>
        <v>6</v>
      </c>
      <c r="K248" s="1">
        <f ca="1">IFERROR(__xludf.DUMMYFUNCTION("""COMPUTED_VALUE"""),7)</f>
        <v>7</v>
      </c>
      <c r="L248" s="1">
        <f ca="1">IFERROR(__xludf.DUMMYFUNCTION("""COMPUTED_VALUE"""),2)</f>
        <v>2</v>
      </c>
      <c r="M248" s="1">
        <f ca="1">IFERROR(__xludf.DUMMYFUNCTION("""COMPUTED_VALUE"""),13)</f>
        <v>13</v>
      </c>
      <c r="N248" s="1">
        <f ca="1">IFERROR(__xludf.DUMMYFUNCTION("""COMPUTED_VALUE"""),2224)</f>
        <v>2224</v>
      </c>
      <c r="O248" s="1">
        <f ca="1">IFERROR(__xludf.DUMMYFUNCTION("""COMPUTED_VALUE"""),2413)</f>
        <v>2413</v>
      </c>
      <c r="P248" s="1">
        <f ca="1">IFERROR(__xludf.DUMMYFUNCTION("""COMPUTED_VALUE"""),1120)</f>
        <v>1120</v>
      </c>
      <c r="Q248" s="1">
        <f ca="1">IFERROR(__xludf.DUMMYFUNCTION("""COMPUTED_VALUE"""),770)</f>
        <v>770</v>
      </c>
      <c r="R248" s="1">
        <f ca="1">IFERROR(__xludf.DUMMYFUNCTION("""COMPUTED_VALUE"""),1688)</f>
        <v>1688</v>
      </c>
      <c r="S248" s="1">
        <f ca="1">IFERROR(__xludf.DUMMYFUNCTION("""COMPUTED_VALUE"""),0.456)</f>
        <v>0.45600000000000002</v>
      </c>
      <c r="T248" s="1">
        <f ca="1">IFERROR(__xludf.DUMMYFUNCTION("""COMPUTED_VALUE"""),207)</f>
        <v>207</v>
      </c>
      <c r="U248" s="1">
        <f ca="1">IFERROR(__xludf.DUMMYFUNCTION("""COMPUTED_VALUE"""),578)</f>
        <v>578</v>
      </c>
      <c r="V248" s="1">
        <f ca="1">IFERROR(__xludf.DUMMYFUNCTION("""COMPUTED_VALUE"""),0.358)</f>
        <v>0.35799999999999998</v>
      </c>
      <c r="W248" s="1">
        <f ca="1">IFERROR(__xludf.DUMMYFUNCTION("""COMPUTED_VALUE"""),477)</f>
        <v>477</v>
      </c>
      <c r="X248" s="1">
        <f ca="1">IFERROR(__xludf.DUMMYFUNCTION("""COMPUTED_VALUE"""),623)</f>
        <v>623</v>
      </c>
      <c r="Y248" s="1">
        <f ca="1">IFERROR(__xludf.DUMMYFUNCTION("""COMPUTED_VALUE"""),0.766)</f>
        <v>0.76600000000000001</v>
      </c>
      <c r="Z248" s="1">
        <f ca="1">IFERROR(__xludf.DUMMYFUNCTION("""COMPUTED_VALUE"""),286)</f>
        <v>286</v>
      </c>
      <c r="AA248" s="1">
        <f ca="1">IFERROR(__xludf.DUMMYFUNCTION("""COMPUTED_VALUE"""),919)</f>
        <v>919</v>
      </c>
      <c r="AB248" s="1">
        <f ca="1">IFERROR(__xludf.DUMMYFUNCTION("""COMPUTED_VALUE"""),433)</f>
        <v>433</v>
      </c>
      <c r="AC248" s="1">
        <f ca="1">IFERROR(__xludf.DUMMYFUNCTION("""COMPUTED_VALUE"""),174)</f>
        <v>174</v>
      </c>
      <c r="AD248" s="1">
        <f ca="1">IFERROR(__xludf.DUMMYFUNCTION("""COMPUTED_VALUE"""),90)</f>
        <v>90</v>
      </c>
      <c r="AE248" s="1">
        <f ca="1">IFERROR(__xludf.DUMMYFUNCTION("""COMPUTED_VALUE"""),407)</f>
        <v>407</v>
      </c>
      <c r="AF248" s="1">
        <f ca="1">IFERROR(__xludf.DUMMYFUNCTION("""COMPUTED_VALUE"""),560)</f>
        <v>560</v>
      </c>
    </row>
    <row r="249" spans="1:32" ht="12.5" x14ac:dyDescent="0.25">
      <c r="A249" s="1" t="str">
        <f ca="1">IFERROR(__xludf.DUMMYFUNCTION("""COMPUTED_VALUE"""),"Northwestern")</f>
        <v>Northwestern</v>
      </c>
      <c r="B249" s="1">
        <f ca="1">IFERROR(__xludf.DUMMYFUNCTION("""COMPUTED_VALUE"""),32)</f>
        <v>32</v>
      </c>
      <c r="C249" s="1">
        <f ca="1">IFERROR(__xludf.DUMMYFUNCTION("""COMPUTED_VALUE"""),20)</f>
        <v>20</v>
      </c>
      <c r="D249" s="1">
        <f ca="1">IFERROR(__xludf.DUMMYFUNCTION("""COMPUTED_VALUE"""),12)</f>
        <v>12</v>
      </c>
      <c r="E249" s="1">
        <f ca="1">IFERROR(__xludf.DUMMYFUNCTION("""COMPUTED_VALUE"""),0.625)</f>
        <v>0.625</v>
      </c>
      <c r="F249" s="1">
        <f ca="1">IFERROR(__xludf.DUMMYFUNCTION("""COMPUTED_VALUE"""),10.16)</f>
        <v>10.16</v>
      </c>
      <c r="G249" s="1">
        <f ca="1">IFERROR(__xludf.DUMMYFUNCTION("""COMPUTED_VALUE"""),4.12)</f>
        <v>4.12</v>
      </c>
      <c r="H249" s="1">
        <f ca="1">IFERROR(__xludf.DUMMYFUNCTION("""COMPUTED_VALUE"""),8)</f>
        <v>8</v>
      </c>
      <c r="I249" s="1">
        <f ca="1">IFERROR(__xludf.DUMMYFUNCTION("""COMPUTED_VALUE"""),10)</f>
        <v>10</v>
      </c>
      <c r="J249" s="1">
        <f ca="1">IFERROR(__xludf.DUMMYFUNCTION("""COMPUTED_VALUE"""),14)</f>
        <v>14</v>
      </c>
      <c r="K249" s="1">
        <f ca="1">IFERROR(__xludf.DUMMYFUNCTION("""COMPUTED_VALUE"""),4)</f>
        <v>4</v>
      </c>
      <c r="L249" s="1">
        <f ca="1">IFERROR(__xludf.DUMMYFUNCTION("""COMPUTED_VALUE"""),5)</f>
        <v>5</v>
      </c>
      <c r="M249" s="1">
        <f ca="1">IFERROR(__xludf.DUMMYFUNCTION("""COMPUTED_VALUE"""),6)</f>
        <v>6</v>
      </c>
      <c r="N249" s="1">
        <f ca="1">IFERROR(__xludf.DUMMYFUNCTION("""COMPUTED_VALUE"""),2304)</f>
        <v>2304</v>
      </c>
      <c r="O249" s="1">
        <f ca="1">IFERROR(__xludf.DUMMYFUNCTION("""COMPUTED_VALUE"""),2111)</f>
        <v>2111</v>
      </c>
      <c r="P249" s="1">
        <f ca="1">IFERROR(__xludf.DUMMYFUNCTION("""COMPUTED_VALUE"""),1305)</f>
        <v>1305</v>
      </c>
      <c r="Q249" s="1">
        <f ca="1">IFERROR(__xludf.DUMMYFUNCTION("""COMPUTED_VALUE"""),837)</f>
        <v>837</v>
      </c>
      <c r="R249" s="1">
        <f ca="1">IFERROR(__xludf.DUMMYFUNCTION("""COMPUTED_VALUE"""),1859)</f>
        <v>1859</v>
      </c>
      <c r="S249" s="1">
        <f ca="1">IFERROR(__xludf.DUMMYFUNCTION("""COMPUTED_VALUE"""),0.45)</f>
        <v>0.45</v>
      </c>
      <c r="T249" s="1">
        <f ca="1">IFERROR(__xludf.DUMMYFUNCTION("""COMPUTED_VALUE"""),278)</f>
        <v>278</v>
      </c>
      <c r="U249" s="1">
        <f ca="1">IFERROR(__xludf.DUMMYFUNCTION("""COMPUTED_VALUE"""),776)</f>
        <v>776</v>
      </c>
      <c r="V249" s="1">
        <f ca="1">IFERROR(__xludf.DUMMYFUNCTION("""COMPUTED_VALUE"""),0.358)</f>
        <v>0.35799999999999998</v>
      </c>
      <c r="W249" s="1">
        <f ca="1">IFERROR(__xludf.DUMMYFUNCTION("""COMPUTED_VALUE"""),352)</f>
        <v>352</v>
      </c>
      <c r="X249" s="1">
        <f ca="1">IFERROR(__xludf.DUMMYFUNCTION("""COMPUTED_VALUE"""),528)</f>
        <v>528</v>
      </c>
      <c r="Y249" s="1">
        <f ca="1">IFERROR(__xludf.DUMMYFUNCTION("""COMPUTED_VALUE"""),0.667)</f>
        <v>0.66700000000000004</v>
      </c>
      <c r="Z249" s="1">
        <f ca="1">IFERROR(__xludf.DUMMYFUNCTION("""COMPUTED_VALUE"""),342)</f>
        <v>342</v>
      </c>
      <c r="AA249" s="1">
        <f ca="1">IFERROR(__xludf.DUMMYFUNCTION("""COMPUTED_VALUE"""),1167)</f>
        <v>1167</v>
      </c>
      <c r="AB249" s="1">
        <f ca="1">IFERROR(__xludf.DUMMYFUNCTION("""COMPUTED_VALUE"""),527)</f>
        <v>527</v>
      </c>
      <c r="AC249" s="1">
        <f ca="1">IFERROR(__xludf.DUMMYFUNCTION("""COMPUTED_VALUE"""),124)</f>
        <v>124</v>
      </c>
      <c r="AD249" s="1">
        <f ca="1">IFERROR(__xludf.DUMMYFUNCTION("""COMPUTED_VALUE"""),121)</f>
        <v>121</v>
      </c>
      <c r="AE249" s="1">
        <f ca="1">IFERROR(__xludf.DUMMYFUNCTION("""COMPUTED_VALUE"""),331)</f>
        <v>331</v>
      </c>
      <c r="AF249" s="1">
        <f ca="1">IFERROR(__xludf.DUMMYFUNCTION("""COMPUTED_VALUE"""),605)</f>
        <v>605</v>
      </c>
    </row>
    <row r="250" spans="1:32" ht="12.5" x14ac:dyDescent="0.25">
      <c r="A250" s="1" t="str">
        <f ca="1">IFERROR(__xludf.DUMMYFUNCTION("""COMPUTED_VALUE"""),"Notre DameNCAA")</f>
        <v>Notre DameNCAA</v>
      </c>
      <c r="B250" s="1">
        <f ca="1">IFERROR(__xludf.DUMMYFUNCTION("""COMPUTED_VALUE"""),36)</f>
        <v>36</v>
      </c>
      <c r="C250" s="1">
        <f ca="1">IFERROR(__xludf.DUMMYFUNCTION("""COMPUTED_VALUE"""),24)</f>
        <v>24</v>
      </c>
      <c r="D250" s="1">
        <f ca="1">IFERROR(__xludf.DUMMYFUNCTION("""COMPUTED_VALUE"""),12)</f>
        <v>12</v>
      </c>
      <c r="E250" s="1">
        <f ca="1">IFERROR(__xludf.DUMMYFUNCTION("""COMPUTED_VALUE"""),0.667)</f>
        <v>0.66700000000000004</v>
      </c>
      <c r="F250" s="1">
        <f ca="1">IFERROR(__xludf.DUMMYFUNCTION("""COMPUTED_VALUE"""),14.1)</f>
        <v>14.1</v>
      </c>
      <c r="G250" s="1">
        <f ca="1">IFERROR(__xludf.DUMMYFUNCTION("""COMPUTED_VALUE"""),9.57)</f>
        <v>9.57</v>
      </c>
      <c r="H250" s="1">
        <f ca="1">IFERROR(__xludf.DUMMYFUNCTION("""COMPUTED_VALUE"""),11)</f>
        <v>11</v>
      </c>
      <c r="I250" s="1">
        <f ca="1">IFERROR(__xludf.DUMMYFUNCTION("""COMPUTED_VALUE"""),7)</f>
        <v>7</v>
      </c>
      <c r="J250" s="1">
        <f ca="1">IFERROR(__xludf.DUMMYFUNCTION("""COMPUTED_VALUE"""),14)</f>
        <v>14</v>
      </c>
      <c r="K250" s="1">
        <f ca="1">IFERROR(__xludf.DUMMYFUNCTION("""COMPUTED_VALUE"""),2)</f>
        <v>2</v>
      </c>
      <c r="L250" s="1">
        <f ca="1">IFERROR(__xludf.DUMMYFUNCTION("""COMPUTED_VALUE"""),5)</f>
        <v>5</v>
      </c>
      <c r="M250" s="1">
        <f ca="1">IFERROR(__xludf.DUMMYFUNCTION("""COMPUTED_VALUE"""),5)</f>
        <v>5</v>
      </c>
      <c r="N250" s="1">
        <f ca="1">IFERROR(__xludf.DUMMYFUNCTION("""COMPUTED_VALUE"""),2704)</f>
        <v>2704</v>
      </c>
      <c r="O250" s="1">
        <f ca="1">IFERROR(__xludf.DUMMYFUNCTION("""COMPUTED_VALUE"""),2541)</f>
        <v>2541</v>
      </c>
      <c r="P250" s="1">
        <f ca="1">IFERROR(__xludf.DUMMYFUNCTION("""COMPUTED_VALUE"""),1445)</f>
        <v>1445</v>
      </c>
      <c r="Q250" s="1">
        <f ca="1">IFERROR(__xludf.DUMMYFUNCTION("""COMPUTED_VALUE"""),972)</f>
        <v>972</v>
      </c>
      <c r="R250" s="1">
        <f ca="1">IFERROR(__xludf.DUMMYFUNCTION("""COMPUTED_VALUE"""),2042)</f>
        <v>2042</v>
      </c>
      <c r="S250" s="1">
        <f ca="1">IFERROR(__xludf.DUMMYFUNCTION("""COMPUTED_VALUE"""),0.476)</f>
        <v>0.47599999999999998</v>
      </c>
      <c r="T250" s="1">
        <f ca="1">IFERROR(__xludf.DUMMYFUNCTION("""COMPUTED_VALUE"""),262)</f>
        <v>262</v>
      </c>
      <c r="U250" s="1">
        <f ca="1">IFERROR(__xludf.DUMMYFUNCTION("""COMPUTED_VALUE"""),700)</f>
        <v>700</v>
      </c>
      <c r="V250" s="1">
        <f ca="1">IFERROR(__xludf.DUMMYFUNCTION("""COMPUTED_VALUE"""),0.374)</f>
        <v>0.374</v>
      </c>
      <c r="W250" s="1">
        <f ca="1">IFERROR(__xludf.DUMMYFUNCTION("""COMPUTED_VALUE"""),498)</f>
        <v>498</v>
      </c>
      <c r="X250" s="1">
        <f ca="1">IFERROR(__xludf.DUMMYFUNCTION("""COMPUTED_VALUE"""),671)</f>
        <v>671</v>
      </c>
      <c r="Y250" s="1">
        <f ca="1">IFERROR(__xludf.DUMMYFUNCTION("""COMPUTED_VALUE"""),0.742)</f>
        <v>0.74199999999999999</v>
      </c>
      <c r="Z250" s="1">
        <f ca="1">IFERROR(__xludf.DUMMYFUNCTION("""COMPUTED_VALUE"""),381)</f>
        <v>381</v>
      </c>
      <c r="AA250" s="1">
        <f ca="1">IFERROR(__xludf.DUMMYFUNCTION("""COMPUTED_VALUE"""),1265)</f>
        <v>1265</v>
      </c>
      <c r="AB250" s="1">
        <f ca="1">IFERROR(__xludf.DUMMYFUNCTION("""COMPUTED_VALUE"""),480)</f>
        <v>480</v>
      </c>
      <c r="AC250" s="1">
        <f ca="1">IFERROR(__xludf.DUMMYFUNCTION("""COMPUTED_VALUE"""),197)</f>
        <v>197</v>
      </c>
      <c r="AD250" s="1">
        <f ca="1">IFERROR(__xludf.DUMMYFUNCTION("""COMPUTED_VALUE"""),143)</f>
        <v>143</v>
      </c>
      <c r="AE250" s="1">
        <f ca="1">IFERROR(__xludf.DUMMYFUNCTION("""COMPUTED_VALUE"""),359)</f>
        <v>359</v>
      </c>
      <c r="AF250" s="1">
        <f ca="1">IFERROR(__xludf.DUMMYFUNCTION("""COMPUTED_VALUE"""),544)</f>
        <v>544</v>
      </c>
    </row>
    <row r="251" spans="1:32" ht="12.5" x14ac:dyDescent="0.25">
      <c r="A251" s="1" t="str">
        <f ca="1">IFERROR(__xludf.DUMMYFUNCTION("""COMPUTED_VALUE"""),"Oakland")</f>
        <v>Oakland</v>
      </c>
      <c r="B251" s="1">
        <f ca="1">IFERROR(__xludf.DUMMYFUNCTION("""COMPUTED_VALUE"""),35)</f>
        <v>35</v>
      </c>
      <c r="C251" s="1">
        <f ca="1">IFERROR(__xludf.DUMMYFUNCTION("""COMPUTED_VALUE"""),23)</f>
        <v>23</v>
      </c>
      <c r="D251" s="1">
        <f ca="1">IFERROR(__xludf.DUMMYFUNCTION("""COMPUTED_VALUE"""),12)</f>
        <v>12</v>
      </c>
      <c r="E251" s="1">
        <f ca="1">IFERROR(__xludf.DUMMYFUNCTION("""COMPUTED_VALUE"""),0.657)</f>
        <v>0.65700000000000003</v>
      </c>
      <c r="F251" s="1">
        <f ca="1">IFERROR(__xludf.DUMMYFUNCTION("""COMPUTED_VALUE"""),6.3)</f>
        <v>6.3</v>
      </c>
      <c r="G251" s="1">
        <f ca="1">IFERROR(__xludf.DUMMYFUNCTION("""COMPUTED_VALUE"""),-1.61)</f>
        <v>-1.61</v>
      </c>
      <c r="H251" s="1">
        <f ca="1">IFERROR(__xludf.DUMMYFUNCTION("""COMPUTED_VALUE"""),13)</f>
        <v>13</v>
      </c>
      <c r="I251" s="1">
        <f ca="1">IFERROR(__xludf.DUMMYFUNCTION("""COMPUTED_VALUE"""),5)</f>
        <v>5</v>
      </c>
      <c r="J251" s="1">
        <f ca="1">IFERROR(__xludf.DUMMYFUNCTION("""COMPUTED_VALUE"""),8)</f>
        <v>8</v>
      </c>
      <c r="K251" s="1">
        <f ca="1">IFERROR(__xludf.DUMMYFUNCTION("""COMPUTED_VALUE"""),4)</f>
        <v>4</v>
      </c>
      <c r="L251" s="1">
        <f ca="1">IFERROR(__xludf.DUMMYFUNCTION("""COMPUTED_VALUE"""),11)</f>
        <v>11</v>
      </c>
      <c r="M251" s="1">
        <f ca="1">IFERROR(__xludf.DUMMYFUNCTION("""COMPUTED_VALUE"""),5)</f>
        <v>5</v>
      </c>
      <c r="N251" s="1">
        <f ca="1">IFERROR(__xludf.DUMMYFUNCTION("""COMPUTED_VALUE"""),3023)</f>
        <v>3023</v>
      </c>
      <c r="O251" s="1">
        <f ca="1">IFERROR(__xludf.DUMMYFUNCTION("""COMPUTED_VALUE"""),2746)</f>
        <v>2746</v>
      </c>
      <c r="P251" s="1">
        <f ca="1">IFERROR(__xludf.DUMMYFUNCTION("""COMPUTED_VALUE"""),1405)</f>
        <v>1405</v>
      </c>
      <c r="Q251" s="1">
        <f ca="1">IFERROR(__xludf.DUMMYFUNCTION("""COMPUTED_VALUE"""),1002)</f>
        <v>1002</v>
      </c>
      <c r="R251" s="1">
        <f ca="1">IFERROR(__xludf.DUMMYFUNCTION("""COMPUTED_VALUE"""),2186)</f>
        <v>2186</v>
      </c>
      <c r="S251" s="1">
        <f ca="1">IFERROR(__xludf.DUMMYFUNCTION("""COMPUTED_VALUE"""),0.458)</f>
        <v>0.45800000000000002</v>
      </c>
      <c r="T251" s="1">
        <f ca="1">IFERROR(__xludf.DUMMYFUNCTION("""COMPUTED_VALUE"""),316)</f>
        <v>316</v>
      </c>
      <c r="U251" s="1">
        <f ca="1">IFERROR(__xludf.DUMMYFUNCTION("""COMPUTED_VALUE"""),794)</f>
        <v>794</v>
      </c>
      <c r="V251" s="1">
        <f ca="1">IFERROR(__xludf.DUMMYFUNCTION("""COMPUTED_VALUE"""),0.398)</f>
        <v>0.39800000000000002</v>
      </c>
      <c r="W251" s="1">
        <f ca="1">IFERROR(__xludf.DUMMYFUNCTION("""COMPUTED_VALUE"""),703)</f>
        <v>703</v>
      </c>
      <c r="X251" s="1">
        <f ca="1">IFERROR(__xludf.DUMMYFUNCTION("""COMPUTED_VALUE"""),913)</f>
        <v>913</v>
      </c>
      <c r="Y251" s="1">
        <f ca="1">IFERROR(__xludf.DUMMYFUNCTION("""COMPUTED_VALUE"""),0.77)</f>
        <v>0.77</v>
      </c>
      <c r="Z251" s="1">
        <f ca="1">IFERROR(__xludf.DUMMYFUNCTION("""COMPUTED_VALUE"""),399)</f>
        <v>399</v>
      </c>
      <c r="AA251" s="1">
        <f ca="1">IFERROR(__xludf.DUMMYFUNCTION("""COMPUTED_VALUE"""),1373)</f>
        <v>1373</v>
      </c>
      <c r="AB251" s="1">
        <f ca="1">IFERROR(__xludf.DUMMYFUNCTION("""COMPUTED_VALUE"""),545)</f>
        <v>545</v>
      </c>
      <c r="AC251" s="1">
        <f ca="1">IFERROR(__xludf.DUMMYFUNCTION("""COMPUTED_VALUE"""),215)</f>
        <v>215</v>
      </c>
      <c r="AD251" s="1">
        <f ca="1">IFERROR(__xludf.DUMMYFUNCTION("""COMPUTED_VALUE"""),116)</f>
        <v>116</v>
      </c>
      <c r="AE251" s="1">
        <f ca="1">IFERROR(__xludf.DUMMYFUNCTION("""COMPUTED_VALUE"""),399)</f>
        <v>399</v>
      </c>
      <c r="AF251" s="1">
        <f ca="1">IFERROR(__xludf.DUMMYFUNCTION("""COMPUTED_VALUE"""),667)</f>
        <v>667</v>
      </c>
    </row>
    <row r="252" spans="1:32" ht="12.5" x14ac:dyDescent="0.25">
      <c r="A252" s="1" t="str">
        <f ca="1">IFERROR(__xludf.DUMMYFUNCTION("""COMPUTED_VALUE"""),"Ohio State")</f>
        <v>Ohio State</v>
      </c>
      <c r="B252" s="1">
        <f ca="1">IFERROR(__xludf.DUMMYFUNCTION("""COMPUTED_VALUE"""),35)</f>
        <v>35</v>
      </c>
      <c r="C252" s="1">
        <f ca="1">IFERROR(__xludf.DUMMYFUNCTION("""COMPUTED_VALUE"""),21)</f>
        <v>21</v>
      </c>
      <c r="D252" s="1">
        <f ca="1">IFERROR(__xludf.DUMMYFUNCTION("""COMPUTED_VALUE"""),14)</f>
        <v>14</v>
      </c>
      <c r="E252" s="1">
        <f ca="1">IFERROR(__xludf.DUMMYFUNCTION("""COMPUTED_VALUE"""),0.6)</f>
        <v>0.6</v>
      </c>
      <c r="F252" s="1">
        <f ca="1">IFERROR(__xludf.DUMMYFUNCTION("""COMPUTED_VALUE"""),9.39)</f>
        <v>9.39</v>
      </c>
      <c r="G252" s="1">
        <f ca="1">IFERROR(__xludf.DUMMYFUNCTION("""COMPUTED_VALUE"""),7.08)</f>
        <v>7.08</v>
      </c>
      <c r="H252" s="1">
        <f ca="1">IFERROR(__xludf.DUMMYFUNCTION("""COMPUTED_VALUE"""),11)</f>
        <v>11</v>
      </c>
      <c r="I252" s="1">
        <f ca="1">IFERROR(__xludf.DUMMYFUNCTION("""COMPUTED_VALUE"""),7)</f>
        <v>7</v>
      </c>
      <c r="J252" s="1">
        <f ca="1">IFERROR(__xludf.DUMMYFUNCTION("""COMPUTED_VALUE"""),15)</f>
        <v>15</v>
      </c>
      <c r="K252" s="1">
        <f ca="1">IFERROR(__xludf.DUMMYFUNCTION("""COMPUTED_VALUE"""),6)</f>
        <v>6</v>
      </c>
      <c r="L252" s="1">
        <f ca="1">IFERROR(__xludf.DUMMYFUNCTION("""COMPUTED_VALUE"""),4)</f>
        <v>4</v>
      </c>
      <c r="M252" s="1">
        <f ca="1">IFERROR(__xludf.DUMMYFUNCTION("""COMPUTED_VALUE"""),6)</f>
        <v>6</v>
      </c>
      <c r="N252" s="1">
        <f ca="1">IFERROR(__xludf.DUMMYFUNCTION("""COMPUTED_VALUE"""),2462)</f>
        <v>2462</v>
      </c>
      <c r="O252" s="1">
        <f ca="1">IFERROR(__xludf.DUMMYFUNCTION("""COMPUTED_VALUE"""),2381)</f>
        <v>2381</v>
      </c>
      <c r="P252" s="1">
        <f ca="1">IFERROR(__xludf.DUMMYFUNCTION("""COMPUTED_VALUE"""),1420)</f>
        <v>1420</v>
      </c>
      <c r="Q252" s="1">
        <f ca="1">IFERROR(__xludf.DUMMYFUNCTION("""COMPUTED_VALUE"""),876)</f>
        <v>876</v>
      </c>
      <c r="R252" s="1">
        <f ca="1">IFERROR(__xludf.DUMMYFUNCTION("""COMPUTED_VALUE"""),1995)</f>
        <v>1995</v>
      </c>
      <c r="S252" s="1">
        <f ca="1">IFERROR(__xludf.DUMMYFUNCTION("""COMPUTED_VALUE"""),0.439)</f>
        <v>0.439</v>
      </c>
      <c r="T252" s="1">
        <f ca="1">IFERROR(__xludf.DUMMYFUNCTION("""COMPUTED_VALUE"""),219)</f>
        <v>219</v>
      </c>
      <c r="U252" s="1">
        <f ca="1">IFERROR(__xludf.DUMMYFUNCTION("""COMPUTED_VALUE"""),655)</f>
        <v>655</v>
      </c>
      <c r="V252" s="1">
        <f ca="1">IFERROR(__xludf.DUMMYFUNCTION("""COMPUTED_VALUE"""),0.334)</f>
        <v>0.33400000000000002</v>
      </c>
      <c r="W252" s="1">
        <f ca="1">IFERROR(__xludf.DUMMYFUNCTION("""COMPUTED_VALUE"""),491)</f>
        <v>491</v>
      </c>
      <c r="X252" s="1">
        <f ca="1">IFERROR(__xludf.DUMMYFUNCTION("""COMPUTED_VALUE"""),718)</f>
        <v>718</v>
      </c>
      <c r="Y252" s="1">
        <f ca="1">IFERROR(__xludf.DUMMYFUNCTION("""COMPUTED_VALUE"""),0.684)</f>
        <v>0.68400000000000005</v>
      </c>
      <c r="Z252" s="1">
        <f ca="1">IFERROR(__xludf.DUMMYFUNCTION("""COMPUTED_VALUE"""),379)</f>
        <v>379</v>
      </c>
      <c r="AA252" s="1">
        <f ca="1">IFERROR(__xludf.DUMMYFUNCTION("""COMPUTED_VALUE"""),1333)</f>
        <v>1333</v>
      </c>
      <c r="AB252" s="1">
        <f ca="1">IFERROR(__xludf.DUMMYFUNCTION("""COMPUTED_VALUE"""),397)</f>
        <v>397</v>
      </c>
      <c r="AC252" s="1">
        <f ca="1">IFERROR(__xludf.DUMMYFUNCTION("""COMPUTED_VALUE"""),191)</f>
        <v>191</v>
      </c>
      <c r="AD252" s="1">
        <f ca="1">IFERROR(__xludf.DUMMYFUNCTION("""COMPUTED_VALUE"""),183)</f>
        <v>183</v>
      </c>
      <c r="AE252" s="1">
        <f ca="1">IFERROR(__xludf.DUMMYFUNCTION("""COMPUTED_VALUE"""),451)</f>
        <v>451</v>
      </c>
      <c r="AF252" s="1">
        <f ca="1">IFERROR(__xludf.DUMMYFUNCTION("""COMPUTED_VALUE"""),620)</f>
        <v>620</v>
      </c>
    </row>
    <row r="253" spans="1:32" ht="12.5" x14ac:dyDescent="0.25">
      <c r="A253" s="1" t="str">
        <f ca="1">IFERROR(__xludf.DUMMYFUNCTION("""COMPUTED_VALUE"""),"Ohio")</f>
        <v>Ohio</v>
      </c>
      <c r="B253" s="1">
        <f ca="1">IFERROR(__xludf.DUMMYFUNCTION("""COMPUTED_VALUE"""),35)</f>
        <v>35</v>
      </c>
      <c r="C253" s="1">
        <f ca="1">IFERROR(__xludf.DUMMYFUNCTION("""COMPUTED_VALUE"""),23)</f>
        <v>23</v>
      </c>
      <c r="D253" s="1">
        <f ca="1">IFERROR(__xludf.DUMMYFUNCTION("""COMPUTED_VALUE"""),12)</f>
        <v>12</v>
      </c>
      <c r="E253" s="1">
        <f ca="1">IFERROR(__xludf.DUMMYFUNCTION("""COMPUTED_VALUE"""),0.657)</f>
        <v>0.65700000000000003</v>
      </c>
      <c r="F253" s="1">
        <f ca="1">IFERROR(__xludf.DUMMYFUNCTION("""COMPUTED_VALUE"""),1.9)</f>
        <v>1.9</v>
      </c>
      <c r="G253" s="1">
        <f ca="1">IFERROR(__xludf.DUMMYFUNCTION("""COMPUTED_VALUE"""),-1.18)</f>
        <v>-1.18</v>
      </c>
      <c r="H253" s="1">
        <f ca="1">IFERROR(__xludf.DUMMYFUNCTION("""COMPUTED_VALUE"""),11)</f>
        <v>11</v>
      </c>
      <c r="I253" s="1">
        <f ca="1">IFERROR(__xludf.DUMMYFUNCTION("""COMPUTED_VALUE"""),7)</f>
        <v>7</v>
      </c>
      <c r="J253" s="1">
        <f ca="1">IFERROR(__xludf.DUMMYFUNCTION("""COMPUTED_VALUE"""),16)</f>
        <v>16</v>
      </c>
      <c r="K253" s="1">
        <f ca="1">IFERROR(__xludf.DUMMYFUNCTION("""COMPUTED_VALUE"""),3)</f>
        <v>3</v>
      </c>
      <c r="L253" s="1">
        <f ca="1">IFERROR(__xludf.DUMMYFUNCTION("""COMPUTED_VALUE"""),5)</f>
        <v>5</v>
      </c>
      <c r="M253" s="1">
        <f ca="1">IFERROR(__xludf.DUMMYFUNCTION("""COMPUTED_VALUE"""),6)</f>
        <v>6</v>
      </c>
      <c r="N253" s="1">
        <f ca="1">IFERROR(__xludf.DUMMYFUNCTION("""COMPUTED_VALUE"""),2746)</f>
        <v>2746</v>
      </c>
      <c r="O253" s="1">
        <f ca="1">IFERROR(__xludf.DUMMYFUNCTION("""COMPUTED_VALUE"""),2617)</f>
        <v>2617</v>
      </c>
      <c r="P253" s="1">
        <f ca="1">IFERROR(__xludf.DUMMYFUNCTION("""COMPUTED_VALUE"""),1410)</f>
        <v>1410</v>
      </c>
      <c r="Q253" s="1">
        <f ca="1">IFERROR(__xludf.DUMMYFUNCTION("""COMPUTED_VALUE"""),937)</f>
        <v>937</v>
      </c>
      <c r="R253" s="1">
        <f ca="1">IFERROR(__xludf.DUMMYFUNCTION("""COMPUTED_VALUE"""),1993)</f>
        <v>1993</v>
      </c>
      <c r="S253" s="1">
        <f ca="1">IFERROR(__xludf.DUMMYFUNCTION("""COMPUTED_VALUE"""),0.47)</f>
        <v>0.47</v>
      </c>
      <c r="T253" s="1">
        <f ca="1">IFERROR(__xludf.DUMMYFUNCTION("""COMPUTED_VALUE"""),296)</f>
        <v>296</v>
      </c>
      <c r="U253" s="1">
        <f ca="1">IFERROR(__xludf.DUMMYFUNCTION("""COMPUTED_VALUE"""),767)</f>
        <v>767</v>
      </c>
      <c r="V253" s="1">
        <f ca="1">IFERROR(__xludf.DUMMYFUNCTION("""COMPUTED_VALUE"""),0.386)</f>
        <v>0.38600000000000001</v>
      </c>
      <c r="W253" s="1">
        <f ca="1">IFERROR(__xludf.DUMMYFUNCTION("""COMPUTED_VALUE"""),576)</f>
        <v>576</v>
      </c>
      <c r="X253" s="1">
        <f ca="1">IFERROR(__xludf.DUMMYFUNCTION("""COMPUTED_VALUE"""),759)</f>
        <v>759</v>
      </c>
      <c r="Y253" s="1">
        <f ca="1">IFERROR(__xludf.DUMMYFUNCTION("""COMPUTED_VALUE"""),0.759)</f>
        <v>0.75900000000000001</v>
      </c>
      <c r="Z253" s="1">
        <f ca="1">IFERROR(__xludf.DUMMYFUNCTION("""COMPUTED_VALUE"""),289)</f>
        <v>289</v>
      </c>
      <c r="AA253" s="1">
        <f ca="1">IFERROR(__xludf.DUMMYFUNCTION("""COMPUTED_VALUE"""),1251)</f>
        <v>1251</v>
      </c>
      <c r="AB253" s="1">
        <f ca="1">IFERROR(__xludf.DUMMYFUNCTION("""COMPUTED_VALUE"""),487)</f>
        <v>487</v>
      </c>
      <c r="AC253" s="1">
        <f ca="1">IFERROR(__xludf.DUMMYFUNCTION("""COMPUTED_VALUE"""),157)</f>
        <v>157</v>
      </c>
      <c r="AD253" s="1">
        <f ca="1">IFERROR(__xludf.DUMMYFUNCTION("""COMPUTED_VALUE"""),128)</f>
        <v>128</v>
      </c>
      <c r="AE253" s="1">
        <f ca="1">IFERROR(__xludf.DUMMYFUNCTION("""COMPUTED_VALUE"""),414)</f>
        <v>414</v>
      </c>
      <c r="AF253" s="1">
        <f ca="1">IFERROR(__xludf.DUMMYFUNCTION("""COMPUTED_VALUE"""),632)</f>
        <v>632</v>
      </c>
    </row>
    <row r="254" spans="1:32" ht="12.5" x14ac:dyDescent="0.25">
      <c r="A254" s="1" t="str">
        <f ca="1">IFERROR(__xludf.DUMMYFUNCTION("""COMPUTED_VALUE"""),"Oklahoma State")</f>
        <v>Oklahoma State</v>
      </c>
      <c r="B254" s="1">
        <f ca="1">IFERROR(__xludf.DUMMYFUNCTION("""COMPUTED_VALUE"""),32)</f>
        <v>32</v>
      </c>
      <c r="C254" s="1">
        <f ca="1">IFERROR(__xludf.DUMMYFUNCTION("""COMPUTED_VALUE"""),12)</f>
        <v>12</v>
      </c>
      <c r="D254" s="1">
        <f ca="1">IFERROR(__xludf.DUMMYFUNCTION("""COMPUTED_VALUE"""),20)</f>
        <v>20</v>
      </c>
      <c r="E254" s="1">
        <f ca="1">IFERROR(__xludf.DUMMYFUNCTION("""COMPUTED_VALUE"""),0.375)</f>
        <v>0.375</v>
      </c>
      <c r="F254" s="1">
        <f ca="1">IFERROR(__xludf.DUMMYFUNCTION("""COMPUTED_VALUE"""),8.18)</f>
        <v>8.18</v>
      </c>
      <c r="G254" s="1">
        <f ca="1">IFERROR(__xludf.DUMMYFUNCTION("""COMPUTED_VALUE"""),8.81)</f>
        <v>8.81</v>
      </c>
      <c r="H254" s="1">
        <f ca="1">IFERROR(__xludf.DUMMYFUNCTION("""COMPUTED_VALUE"""),3)</f>
        <v>3</v>
      </c>
      <c r="I254" s="1">
        <f ca="1">IFERROR(__xludf.DUMMYFUNCTION("""COMPUTED_VALUE"""),15)</f>
        <v>15</v>
      </c>
      <c r="J254" s="1">
        <f ca="1">IFERROR(__xludf.DUMMYFUNCTION("""COMPUTED_VALUE"""),8)</f>
        <v>8</v>
      </c>
      <c r="K254" s="1">
        <f ca="1">IFERROR(__xludf.DUMMYFUNCTION("""COMPUTED_VALUE"""),8)</f>
        <v>8</v>
      </c>
      <c r="L254" s="1">
        <f ca="1">IFERROR(__xludf.DUMMYFUNCTION("""COMPUTED_VALUE"""),1)</f>
        <v>1</v>
      </c>
      <c r="M254" s="1">
        <f ca="1">IFERROR(__xludf.DUMMYFUNCTION("""COMPUTED_VALUE"""),9)</f>
        <v>9</v>
      </c>
      <c r="N254" s="1">
        <f ca="1">IFERROR(__xludf.DUMMYFUNCTION("""COMPUTED_VALUE"""),2128)</f>
        <v>2128</v>
      </c>
      <c r="O254" s="1">
        <f ca="1">IFERROR(__xludf.DUMMYFUNCTION("""COMPUTED_VALUE"""),2148)</f>
        <v>2148</v>
      </c>
      <c r="P254" s="1">
        <f ca="1">IFERROR(__xludf.DUMMYFUNCTION("""COMPUTED_VALUE"""),1295)</f>
        <v>1295</v>
      </c>
      <c r="Q254" s="1">
        <f ca="1">IFERROR(__xludf.DUMMYFUNCTION("""COMPUTED_VALUE"""),723)</f>
        <v>723</v>
      </c>
      <c r="R254" s="1">
        <f ca="1">IFERROR(__xludf.DUMMYFUNCTION("""COMPUTED_VALUE"""),1709)</f>
        <v>1709</v>
      </c>
      <c r="S254" s="1">
        <f ca="1">IFERROR(__xludf.DUMMYFUNCTION("""COMPUTED_VALUE"""),0.423)</f>
        <v>0.42299999999999999</v>
      </c>
      <c r="T254" s="1">
        <f ca="1">IFERROR(__xludf.DUMMYFUNCTION("""COMPUTED_VALUE"""),205)</f>
        <v>205</v>
      </c>
      <c r="U254" s="1">
        <f ca="1">IFERROR(__xludf.DUMMYFUNCTION("""COMPUTED_VALUE"""),625)</f>
        <v>625</v>
      </c>
      <c r="V254" s="1">
        <f ca="1">IFERROR(__xludf.DUMMYFUNCTION("""COMPUTED_VALUE"""),0.328)</f>
        <v>0.32800000000000001</v>
      </c>
      <c r="W254" s="1">
        <f ca="1">IFERROR(__xludf.DUMMYFUNCTION("""COMPUTED_VALUE"""),477)</f>
        <v>477</v>
      </c>
      <c r="X254" s="1">
        <f ca="1">IFERROR(__xludf.DUMMYFUNCTION("""COMPUTED_VALUE"""),654)</f>
        <v>654</v>
      </c>
      <c r="Y254" s="1">
        <f ca="1">IFERROR(__xludf.DUMMYFUNCTION("""COMPUTED_VALUE"""),0.729)</f>
        <v>0.72899999999999998</v>
      </c>
      <c r="Z254" s="1">
        <f ca="1">IFERROR(__xludf.DUMMYFUNCTION("""COMPUTED_VALUE"""),310)</f>
        <v>310</v>
      </c>
      <c r="AA254" s="1">
        <f ca="1">IFERROR(__xludf.DUMMYFUNCTION("""COMPUTED_VALUE"""),1111)</f>
        <v>1111</v>
      </c>
      <c r="AB254" s="1">
        <f ca="1">IFERROR(__xludf.DUMMYFUNCTION("""COMPUTED_VALUE"""),389)</f>
        <v>389</v>
      </c>
      <c r="AC254" s="1">
        <f ca="1">IFERROR(__xludf.DUMMYFUNCTION("""COMPUTED_VALUE"""),179)</f>
        <v>179</v>
      </c>
      <c r="AD254" s="1">
        <f ca="1">IFERROR(__xludf.DUMMYFUNCTION("""COMPUTED_VALUE"""),132)</f>
        <v>132</v>
      </c>
      <c r="AE254" s="1">
        <f ca="1">IFERROR(__xludf.DUMMYFUNCTION("""COMPUTED_VALUE"""),402)</f>
        <v>402</v>
      </c>
      <c r="AF254" s="1">
        <f ca="1">IFERROR(__xludf.DUMMYFUNCTION("""COMPUTED_VALUE"""),636)</f>
        <v>636</v>
      </c>
    </row>
    <row r="255" spans="1:32" ht="12.5" x14ac:dyDescent="0.25">
      <c r="A255" s="1" t="str">
        <f ca="1">IFERROR(__xludf.DUMMYFUNCTION("""COMPUTED_VALUE"""),"OklahomaNCAA")</f>
        <v>OklahomaNCAA</v>
      </c>
      <c r="B255" s="1">
        <f ca="1">IFERROR(__xludf.DUMMYFUNCTION("""COMPUTED_VALUE"""),37)</f>
        <v>37</v>
      </c>
      <c r="C255" s="1">
        <f ca="1">IFERROR(__xludf.DUMMYFUNCTION("""COMPUTED_VALUE"""),29)</f>
        <v>29</v>
      </c>
      <c r="D255" s="1">
        <f ca="1">IFERROR(__xludf.DUMMYFUNCTION("""COMPUTED_VALUE"""),8)</f>
        <v>8</v>
      </c>
      <c r="E255" s="1">
        <f ca="1">IFERROR(__xludf.DUMMYFUNCTION("""COMPUTED_VALUE"""),0.784)</f>
        <v>0.78400000000000003</v>
      </c>
      <c r="F255" s="1">
        <f ca="1">IFERROR(__xludf.DUMMYFUNCTION("""COMPUTED_VALUE"""),19.76)</f>
        <v>19.760000000000002</v>
      </c>
      <c r="G255" s="1">
        <f ca="1">IFERROR(__xludf.DUMMYFUNCTION("""COMPUTED_VALUE"""),11.14)</f>
        <v>11.14</v>
      </c>
      <c r="H255" s="1">
        <f ca="1">IFERROR(__xludf.DUMMYFUNCTION("""COMPUTED_VALUE"""),12)</f>
        <v>12</v>
      </c>
      <c r="I255" s="1">
        <f ca="1">IFERROR(__xludf.DUMMYFUNCTION("""COMPUTED_VALUE"""),6)</f>
        <v>6</v>
      </c>
      <c r="J255" s="1">
        <f ca="1">IFERROR(__xludf.DUMMYFUNCTION("""COMPUTED_VALUE"""),14)</f>
        <v>14</v>
      </c>
      <c r="K255" s="1">
        <f ca="1">IFERROR(__xludf.DUMMYFUNCTION("""COMPUTED_VALUE"""),1)</f>
        <v>1</v>
      </c>
      <c r="L255" s="1">
        <f ca="1">IFERROR(__xludf.DUMMYFUNCTION("""COMPUTED_VALUE"""),7)</f>
        <v>7</v>
      </c>
      <c r="M255" s="1">
        <f ca="1">IFERROR(__xludf.DUMMYFUNCTION("""COMPUTED_VALUE"""),5)</f>
        <v>5</v>
      </c>
      <c r="N255" s="1">
        <f ca="1">IFERROR(__xludf.DUMMYFUNCTION("""COMPUTED_VALUE"""),2948)</f>
        <v>2948</v>
      </c>
      <c r="O255" s="1">
        <f ca="1">IFERROR(__xludf.DUMMYFUNCTION("""COMPUTED_VALUE"""),2629)</f>
        <v>2629</v>
      </c>
      <c r="P255" s="1">
        <f ca="1">IFERROR(__xludf.DUMMYFUNCTION("""COMPUTED_VALUE"""),1495)</f>
        <v>1495</v>
      </c>
      <c r="Q255" s="1">
        <f ca="1">IFERROR(__xludf.DUMMYFUNCTION("""COMPUTED_VALUE"""),1018)</f>
        <v>1018</v>
      </c>
      <c r="R255" s="1">
        <f ca="1">IFERROR(__xludf.DUMMYFUNCTION("""COMPUTED_VALUE"""),2225)</f>
        <v>2225</v>
      </c>
      <c r="S255" s="1">
        <f ca="1">IFERROR(__xludf.DUMMYFUNCTION("""COMPUTED_VALUE"""),0.458)</f>
        <v>0.45800000000000002</v>
      </c>
      <c r="T255" s="1">
        <f ca="1">IFERROR(__xludf.DUMMYFUNCTION("""COMPUTED_VALUE"""),382)</f>
        <v>382</v>
      </c>
      <c r="U255" s="1">
        <f ca="1">IFERROR(__xludf.DUMMYFUNCTION("""COMPUTED_VALUE"""),906)</f>
        <v>906</v>
      </c>
      <c r="V255" s="1">
        <f ca="1">IFERROR(__xludf.DUMMYFUNCTION("""COMPUTED_VALUE"""),0.422)</f>
        <v>0.42199999999999999</v>
      </c>
      <c r="W255" s="1">
        <f ca="1">IFERROR(__xludf.DUMMYFUNCTION("""COMPUTED_VALUE"""),530)</f>
        <v>530</v>
      </c>
      <c r="X255" s="1">
        <f ca="1">IFERROR(__xludf.DUMMYFUNCTION("""COMPUTED_VALUE"""),734)</f>
        <v>734</v>
      </c>
      <c r="Y255" s="1">
        <f ca="1">IFERROR(__xludf.DUMMYFUNCTION("""COMPUTED_VALUE"""),0.722)</f>
        <v>0.72199999999999998</v>
      </c>
      <c r="Z255" s="1">
        <f ca="1">IFERROR(__xludf.DUMMYFUNCTION("""COMPUTED_VALUE"""),407)</f>
        <v>407</v>
      </c>
      <c r="AA255" s="1">
        <f ca="1">IFERROR(__xludf.DUMMYFUNCTION("""COMPUTED_VALUE"""),1418)</f>
        <v>1418</v>
      </c>
      <c r="AB255" s="1">
        <f ca="1">IFERROR(__xludf.DUMMYFUNCTION("""COMPUTED_VALUE"""),537)</f>
        <v>537</v>
      </c>
      <c r="AC255" s="1">
        <f ca="1">IFERROR(__xludf.DUMMYFUNCTION("""COMPUTED_VALUE"""),247)</f>
        <v>247</v>
      </c>
      <c r="AD255" s="1">
        <f ca="1">IFERROR(__xludf.DUMMYFUNCTION("""COMPUTED_VALUE"""),188)</f>
        <v>188</v>
      </c>
      <c r="AE255" s="1">
        <f ca="1">IFERROR(__xludf.DUMMYFUNCTION("""COMPUTED_VALUE"""),484)</f>
        <v>484</v>
      </c>
      <c r="AF255" s="1">
        <f ca="1">IFERROR(__xludf.DUMMYFUNCTION("""COMPUTED_VALUE"""),630)</f>
        <v>630</v>
      </c>
    </row>
    <row r="256" spans="1:32" ht="12.5" x14ac:dyDescent="0.25">
      <c r="A256" s="1" t="str">
        <f ca="1">IFERROR(__xludf.DUMMYFUNCTION("""COMPUTED_VALUE"""),"Old Dominion")</f>
        <v>Old Dominion</v>
      </c>
      <c r="B256" s="1">
        <f ca="1">IFERROR(__xludf.DUMMYFUNCTION("""COMPUTED_VALUE"""),38)</f>
        <v>38</v>
      </c>
      <c r="C256" s="1">
        <f ca="1">IFERROR(__xludf.DUMMYFUNCTION("""COMPUTED_VALUE"""),25)</f>
        <v>25</v>
      </c>
      <c r="D256" s="1">
        <f ca="1">IFERROR(__xludf.DUMMYFUNCTION("""COMPUTED_VALUE"""),13)</f>
        <v>13</v>
      </c>
      <c r="E256" s="1">
        <f ca="1">IFERROR(__xludf.DUMMYFUNCTION("""COMPUTED_VALUE"""),0.658)</f>
        <v>0.65800000000000003</v>
      </c>
      <c r="F256" s="1">
        <f ca="1">IFERROR(__xludf.DUMMYFUNCTION("""COMPUTED_VALUE"""),4.66)</f>
        <v>4.66</v>
      </c>
      <c r="G256" s="1">
        <f ca="1">IFERROR(__xludf.DUMMYFUNCTION("""COMPUTED_VALUE"""),-2.31)</f>
        <v>-2.31</v>
      </c>
      <c r="H256" s="1">
        <f ca="1">IFERROR(__xludf.DUMMYFUNCTION("""COMPUTED_VALUE"""),12)</f>
        <v>12</v>
      </c>
      <c r="I256" s="1">
        <f ca="1">IFERROR(__xludf.DUMMYFUNCTION("""COMPUTED_VALUE"""),6)</f>
        <v>6</v>
      </c>
      <c r="J256" s="1">
        <f ca="1">IFERROR(__xludf.DUMMYFUNCTION("""COMPUTED_VALUE"""),11)</f>
        <v>11</v>
      </c>
      <c r="K256" s="1">
        <f ca="1">IFERROR(__xludf.DUMMYFUNCTION("""COMPUTED_VALUE"""),4)</f>
        <v>4</v>
      </c>
      <c r="L256" s="1">
        <f ca="1">IFERROR(__xludf.DUMMYFUNCTION("""COMPUTED_VALUE"""),7)</f>
        <v>7</v>
      </c>
      <c r="M256" s="1">
        <f ca="1">IFERROR(__xludf.DUMMYFUNCTION("""COMPUTED_VALUE"""),6)</f>
        <v>6</v>
      </c>
      <c r="N256" s="1">
        <f ca="1">IFERROR(__xludf.DUMMYFUNCTION("""COMPUTED_VALUE"""),2604)</f>
        <v>2604</v>
      </c>
      <c r="O256" s="1">
        <f ca="1">IFERROR(__xludf.DUMMYFUNCTION("""COMPUTED_VALUE"""),2339)</f>
        <v>2339</v>
      </c>
      <c r="P256" s="1">
        <f ca="1">IFERROR(__xludf.DUMMYFUNCTION("""COMPUTED_VALUE"""),1530)</f>
        <v>1530</v>
      </c>
      <c r="Q256" s="1">
        <f ca="1">IFERROR(__xludf.DUMMYFUNCTION("""COMPUTED_VALUE"""),987)</f>
        <v>987</v>
      </c>
      <c r="R256" s="1">
        <f ca="1">IFERROR(__xludf.DUMMYFUNCTION("""COMPUTED_VALUE"""),2227)</f>
        <v>2227</v>
      </c>
      <c r="S256" s="1">
        <f ca="1">IFERROR(__xludf.DUMMYFUNCTION("""COMPUTED_VALUE"""),0.443)</f>
        <v>0.443</v>
      </c>
      <c r="T256" s="1">
        <f ca="1">IFERROR(__xludf.DUMMYFUNCTION("""COMPUTED_VALUE"""),159)</f>
        <v>159</v>
      </c>
      <c r="U256" s="1">
        <f ca="1">IFERROR(__xludf.DUMMYFUNCTION("""COMPUTED_VALUE"""),528)</f>
        <v>528</v>
      </c>
      <c r="V256" s="1">
        <f ca="1">IFERROR(__xludf.DUMMYFUNCTION("""COMPUTED_VALUE"""),0.301)</f>
        <v>0.30099999999999999</v>
      </c>
      <c r="W256" s="1">
        <f ca="1">IFERROR(__xludf.DUMMYFUNCTION("""COMPUTED_VALUE"""),471)</f>
        <v>471</v>
      </c>
      <c r="X256" s="1">
        <f ca="1">IFERROR(__xludf.DUMMYFUNCTION("""COMPUTED_VALUE"""),691)</f>
        <v>691</v>
      </c>
      <c r="Y256" s="1">
        <f ca="1">IFERROR(__xludf.DUMMYFUNCTION("""COMPUTED_VALUE"""),0.682)</f>
        <v>0.68200000000000005</v>
      </c>
      <c r="Z256" s="1">
        <f ca="1">IFERROR(__xludf.DUMMYFUNCTION("""COMPUTED_VALUE"""),501)</f>
        <v>501</v>
      </c>
      <c r="AA256" s="1">
        <f ca="1">IFERROR(__xludf.DUMMYFUNCTION("""COMPUTED_VALUE"""),1474)</f>
        <v>1474</v>
      </c>
      <c r="AB256" s="1">
        <f ca="1">IFERROR(__xludf.DUMMYFUNCTION("""COMPUTED_VALUE"""),505)</f>
        <v>505</v>
      </c>
      <c r="AC256" s="1">
        <f ca="1">IFERROR(__xludf.DUMMYFUNCTION("""COMPUTED_VALUE"""),221)</f>
        <v>221</v>
      </c>
      <c r="AD256" s="1">
        <f ca="1">IFERROR(__xludf.DUMMYFUNCTION("""COMPUTED_VALUE"""),150)</f>
        <v>150</v>
      </c>
      <c r="AE256" s="1">
        <f ca="1">IFERROR(__xludf.DUMMYFUNCTION("""COMPUTED_VALUE"""),346)</f>
        <v>346</v>
      </c>
      <c r="AF256" s="1">
        <f ca="1">IFERROR(__xludf.DUMMYFUNCTION("""COMPUTED_VALUE"""),687)</f>
        <v>687</v>
      </c>
    </row>
    <row r="257" spans="1:32" ht="12.5" x14ac:dyDescent="0.25">
      <c r="A257" s="1" t="str">
        <f ca="1">IFERROR(__xludf.DUMMYFUNCTION("""COMPUTED_VALUE"""),"Oral Roberts")</f>
        <v>Oral Roberts</v>
      </c>
      <c r="B257" s="1">
        <f ca="1">IFERROR(__xludf.DUMMYFUNCTION("""COMPUTED_VALUE"""),31)</f>
        <v>31</v>
      </c>
      <c r="C257" s="1">
        <f ca="1">IFERROR(__xludf.DUMMYFUNCTION("""COMPUTED_VALUE"""),14)</f>
        <v>14</v>
      </c>
      <c r="D257" s="1">
        <f ca="1">IFERROR(__xludf.DUMMYFUNCTION("""COMPUTED_VALUE"""),17)</f>
        <v>17</v>
      </c>
      <c r="E257" s="1">
        <f ca="1">IFERROR(__xludf.DUMMYFUNCTION("""COMPUTED_VALUE"""),0.452)</f>
        <v>0.45200000000000001</v>
      </c>
      <c r="F257" s="1">
        <f ca="1">IFERROR(__xludf.DUMMYFUNCTION("""COMPUTED_VALUE"""),-2.69)</f>
        <v>-2.69</v>
      </c>
      <c r="G257" s="1">
        <f ca="1">IFERROR(__xludf.DUMMYFUNCTION("""COMPUTED_VALUE"""),0.59)</f>
        <v>0.59</v>
      </c>
      <c r="H257" s="1">
        <f ca="1">IFERROR(__xludf.DUMMYFUNCTION("""COMPUTED_VALUE"""),6)</f>
        <v>6</v>
      </c>
      <c r="I257" s="1">
        <f ca="1">IFERROR(__xludf.DUMMYFUNCTION("""COMPUTED_VALUE"""),10)</f>
        <v>10</v>
      </c>
      <c r="J257" s="1">
        <f ca="1">IFERROR(__xludf.DUMMYFUNCTION("""COMPUTED_VALUE"""),8)</f>
        <v>8</v>
      </c>
      <c r="K257" s="1">
        <f ca="1">IFERROR(__xludf.DUMMYFUNCTION("""COMPUTED_VALUE"""),4)</f>
        <v>4</v>
      </c>
      <c r="L257" s="1">
        <f ca="1">IFERROR(__xludf.DUMMYFUNCTION("""COMPUTED_VALUE"""),4)</f>
        <v>4</v>
      </c>
      <c r="M257" s="1">
        <f ca="1">IFERROR(__xludf.DUMMYFUNCTION("""COMPUTED_VALUE"""),12)</f>
        <v>12</v>
      </c>
      <c r="N257" s="1">
        <f ca="1">IFERROR(__xludf.DUMMYFUNCTION("""COMPUTED_VALUE"""),2356)</f>
        <v>2356</v>
      </c>
      <c r="O257" s="1">
        <f ca="1">IFERROR(__xludf.DUMMYFUNCTION("""COMPUTED_VALUE"""),2384)</f>
        <v>2384</v>
      </c>
      <c r="P257" s="1">
        <f ca="1">IFERROR(__xludf.DUMMYFUNCTION("""COMPUTED_VALUE"""),1245)</f>
        <v>1245</v>
      </c>
      <c r="Q257" s="1">
        <f ca="1">IFERROR(__xludf.DUMMYFUNCTION("""COMPUTED_VALUE"""),832)</f>
        <v>832</v>
      </c>
      <c r="R257" s="1">
        <f ca="1">IFERROR(__xludf.DUMMYFUNCTION("""COMPUTED_VALUE"""),1821)</f>
        <v>1821</v>
      </c>
      <c r="S257" s="1">
        <f ca="1">IFERROR(__xludf.DUMMYFUNCTION("""COMPUTED_VALUE"""),0.457)</f>
        <v>0.45700000000000002</v>
      </c>
      <c r="T257" s="1">
        <f ca="1">IFERROR(__xludf.DUMMYFUNCTION("""COMPUTED_VALUE"""),194)</f>
        <v>194</v>
      </c>
      <c r="U257" s="1">
        <f ca="1">IFERROR(__xludf.DUMMYFUNCTION("""COMPUTED_VALUE"""),514)</f>
        <v>514</v>
      </c>
      <c r="V257" s="1">
        <f ca="1">IFERROR(__xludf.DUMMYFUNCTION("""COMPUTED_VALUE"""),0.377)</f>
        <v>0.377</v>
      </c>
      <c r="W257" s="1">
        <f ca="1">IFERROR(__xludf.DUMMYFUNCTION("""COMPUTED_VALUE"""),498)</f>
        <v>498</v>
      </c>
      <c r="X257" s="1">
        <f ca="1">IFERROR(__xludf.DUMMYFUNCTION("""COMPUTED_VALUE"""),665)</f>
        <v>665</v>
      </c>
      <c r="Y257" s="1">
        <f ca="1">IFERROR(__xludf.DUMMYFUNCTION("""COMPUTED_VALUE"""),0.749)</f>
        <v>0.749</v>
      </c>
      <c r="Z257" s="1">
        <f ca="1">IFERROR(__xludf.DUMMYFUNCTION("""COMPUTED_VALUE"""),299)</f>
        <v>299</v>
      </c>
      <c r="AA257" s="1">
        <f ca="1">IFERROR(__xludf.DUMMYFUNCTION("""COMPUTED_VALUE"""),1101)</f>
        <v>1101</v>
      </c>
      <c r="AB257" s="1">
        <f ca="1">IFERROR(__xludf.DUMMYFUNCTION("""COMPUTED_VALUE"""),384)</f>
        <v>384</v>
      </c>
      <c r="AC257" s="1">
        <f ca="1">IFERROR(__xludf.DUMMYFUNCTION("""COMPUTED_VALUE"""),162)</f>
        <v>162</v>
      </c>
      <c r="AD257" s="1">
        <f ca="1">IFERROR(__xludf.DUMMYFUNCTION("""COMPUTED_VALUE"""),133)</f>
        <v>133</v>
      </c>
      <c r="AE257" s="1">
        <f ca="1">IFERROR(__xludf.DUMMYFUNCTION("""COMPUTED_VALUE"""),373)</f>
        <v>373</v>
      </c>
      <c r="AF257" s="1">
        <f ca="1">IFERROR(__xludf.DUMMYFUNCTION("""COMPUTED_VALUE"""),563)</f>
        <v>563</v>
      </c>
    </row>
    <row r="258" spans="1:32" ht="12.5" x14ac:dyDescent="0.25">
      <c r="A258" s="1" t="str">
        <f ca="1">IFERROR(__xludf.DUMMYFUNCTION("""COMPUTED_VALUE"""),"Oregon StateNCAA")</f>
        <v>Oregon StateNCAA</v>
      </c>
      <c r="B258" s="1">
        <f ca="1">IFERROR(__xludf.DUMMYFUNCTION("""COMPUTED_VALUE"""),32)</f>
        <v>32</v>
      </c>
      <c r="C258" s="1">
        <f ca="1">IFERROR(__xludf.DUMMYFUNCTION("""COMPUTED_VALUE"""),19)</f>
        <v>19</v>
      </c>
      <c r="D258" s="1">
        <f ca="1">IFERROR(__xludf.DUMMYFUNCTION("""COMPUTED_VALUE"""),13)</f>
        <v>13</v>
      </c>
      <c r="E258" s="1">
        <f ca="1">IFERROR(__xludf.DUMMYFUNCTION("""COMPUTED_VALUE"""),0.594)</f>
        <v>0.59399999999999997</v>
      </c>
      <c r="F258" s="1">
        <f ca="1">IFERROR(__xludf.DUMMYFUNCTION("""COMPUTED_VALUE"""),10.39)</f>
        <v>10.39</v>
      </c>
      <c r="G258" s="1">
        <f ca="1">IFERROR(__xludf.DUMMYFUNCTION("""COMPUTED_VALUE"""),9.26)</f>
        <v>9.26</v>
      </c>
      <c r="H258" s="1">
        <f ca="1">IFERROR(__xludf.DUMMYFUNCTION("""COMPUTED_VALUE"""),9)</f>
        <v>9</v>
      </c>
      <c r="I258" s="1">
        <f ca="1">IFERROR(__xludf.DUMMYFUNCTION("""COMPUTED_VALUE"""),9)</f>
        <v>9</v>
      </c>
      <c r="J258" s="1">
        <f ca="1">IFERROR(__xludf.DUMMYFUNCTION("""COMPUTED_VALUE"""),12)</f>
        <v>12</v>
      </c>
      <c r="K258" s="1">
        <f ca="1">IFERROR(__xludf.DUMMYFUNCTION("""COMPUTED_VALUE"""),3)</f>
        <v>3</v>
      </c>
      <c r="L258" s="1">
        <f ca="1">IFERROR(__xludf.DUMMYFUNCTION("""COMPUTED_VALUE"""),4)</f>
        <v>4</v>
      </c>
      <c r="M258" s="1">
        <f ca="1">IFERROR(__xludf.DUMMYFUNCTION("""COMPUTED_VALUE"""),7)</f>
        <v>7</v>
      </c>
      <c r="N258" s="1">
        <f ca="1">IFERROR(__xludf.DUMMYFUNCTION("""COMPUTED_VALUE"""),2301)</f>
        <v>2301</v>
      </c>
      <c r="O258" s="1">
        <f ca="1">IFERROR(__xludf.DUMMYFUNCTION("""COMPUTED_VALUE"""),2244)</f>
        <v>2244</v>
      </c>
      <c r="P258" s="1">
        <f ca="1">IFERROR(__xludf.DUMMYFUNCTION("""COMPUTED_VALUE"""),1280)</f>
        <v>1280</v>
      </c>
      <c r="Q258" s="1">
        <f ca="1">IFERROR(__xludf.DUMMYFUNCTION("""COMPUTED_VALUE"""),811)</f>
        <v>811</v>
      </c>
      <c r="R258" s="1">
        <f ca="1">IFERROR(__xludf.DUMMYFUNCTION("""COMPUTED_VALUE"""),1843)</f>
        <v>1843</v>
      </c>
      <c r="S258" s="1">
        <f ca="1">IFERROR(__xludf.DUMMYFUNCTION("""COMPUTED_VALUE"""),0.44)</f>
        <v>0.44</v>
      </c>
      <c r="T258" s="1">
        <f ca="1">IFERROR(__xludf.DUMMYFUNCTION("""COMPUTED_VALUE"""),218)</f>
        <v>218</v>
      </c>
      <c r="U258" s="1">
        <f ca="1">IFERROR(__xludf.DUMMYFUNCTION("""COMPUTED_VALUE"""),587)</f>
        <v>587</v>
      </c>
      <c r="V258" s="1">
        <f ca="1">IFERROR(__xludf.DUMMYFUNCTION("""COMPUTED_VALUE"""),0.371)</f>
        <v>0.371</v>
      </c>
      <c r="W258" s="1">
        <f ca="1">IFERROR(__xludf.DUMMYFUNCTION("""COMPUTED_VALUE"""),461)</f>
        <v>461</v>
      </c>
      <c r="X258" s="1">
        <f ca="1">IFERROR(__xludf.DUMMYFUNCTION("""COMPUTED_VALUE"""),687)</f>
        <v>687</v>
      </c>
      <c r="Y258" s="1">
        <f ca="1">IFERROR(__xludf.DUMMYFUNCTION("""COMPUTED_VALUE"""),0.671)</f>
        <v>0.67100000000000004</v>
      </c>
      <c r="Z258" s="1">
        <f ca="1">IFERROR(__xludf.DUMMYFUNCTION("""COMPUTED_VALUE"""),337)</f>
        <v>337</v>
      </c>
      <c r="AA258" s="1">
        <f ca="1">IFERROR(__xludf.DUMMYFUNCTION("""COMPUTED_VALUE"""),1102)</f>
        <v>1102</v>
      </c>
      <c r="AB258" s="1">
        <f ca="1">IFERROR(__xludf.DUMMYFUNCTION("""COMPUTED_VALUE"""),432)</f>
        <v>432</v>
      </c>
      <c r="AC258" s="1">
        <f ca="1">IFERROR(__xludf.DUMMYFUNCTION("""COMPUTED_VALUE"""),236)</f>
        <v>236</v>
      </c>
      <c r="AD258" s="1">
        <f ca="1">IFERROR(__xludf.DUMMYFUNCTION("""COMPUTED_VALUE"""),106)</f>
        <v>106</v>
      </c>
      <c r="AE258" s="1">
        <f ca="1">IFERROR(__xludf.DUMMYFUNCTION("""COMPUTED_VALUE"""),361)</f>
        <v>361</v>
      </c>
      <c r="AF258" s="1">
        <f ca="1">IFERROR(__xludf.DUMMYFUNCTION("""COMPUTED_VALUE"""),642)</f>
        <v>642</v>
      </c>
    </row>
    <row r="259" spans="1:32" ht="12.5" x14ac:dyDescent="0.25">
      <c r="A259" s="1" t="str">
        <f ca="1">IFERROR(__xludf.DUMMYFUNCTION("""COMPUTED_VALUE"""),"OregonNCAA")</f>
        <v>OregonNCAA</v>
      </c>
      <c r="B259" s="1">
        <f ca="1">IFERROR(__xludf.DUMMYFUNCTION("""COMPUTED_VALUE"""),38)</f>
        <v>38</v>
      </c>
      <c r="C259" s="1">
        <f ca="1">IFERROR(__xludf.DUMMYFUNCTION("""COMPUTED_VALUE"""),31)</f>
        <v>31</v>
      </c>
      <c r="D259" s="1">
        <f ca="1">IFERROR(__xludf.DUMMYFUNCTION("""COMPUTED_VALUE"""),7)</f>
        <v>7</v>
      </c>
      <c r="E259" s="1">
        <f ca="1">IFERROR(__xludf.DUMMYFUNCTION("""COMPUTED_VALUE"""),0.816)</f>
        <v>0.81599999999999995</v>
      </c>
      <c r="F259" s="1">
        <f ca="1">IFERROR(__xludf.DUMMYFUNCTION("""COMPUTED_VALUE"""),18.05)</f>
        <v>18.05</v>
      </c>
      <c r="G259" s="1">
        <f ca="1">IFERROR(__xludf.DUMMYFUNCTION("""COMPUTED_VALUE"""),8.64)</f>
        <v>8.64</v>
      </c>
      <c r="H259" s="1">
        <f ca="1">IFERROR(__xludf.DUMMYFUNCTION("""COMPUTED_VALUE"""),14)</f>
        <v>14</v>
      </c>
      <c r="I259" s="1">
        <f ca="1">IFERROR(__xludf.DUMMYFUNCTION("""COMPUTED_VALUE"""),4)</f>
        <v>4</v>
      </c>
      <c r="J259" s="1">
        <f ca="1">IFERROR(__xludf.DUMMYFUNCTION("""COMPUTED_VALUE"""),18)</f>
        <v>18</v>
      </c>
      <c r="K259" s="1">
        <f ca="1">IFERROR(__xludf.DUMMYFUNCTION("""COMPUTED_VALUE"""),0)</f>
        <v>0</v>
      </c>
      <c r="L259" s="1">
        <f ca="1">IFERROR(__xludf.DUMMYFUNCTION("""COMPUTED_VALUE"""),5)</f>
        <v>5</v>
      </c>
      <c r="M259" s="1">
        <f ca="1">IFERROR(__xludf.DUMMYFUNCTION("""COMPUTED_VALUE"""),5)</f>
        <v>5</v>
      </c>
      <c r="N259" s="1">
        <f ca="1">IFERROR(__xludf.DUMMYFUNCTION("""COMPUTED_VALUE"""),2990)</f>
        <v>2990</v>
      </c>
      <c r="O259" s="1">
        <f ca="1">IFERROR(__xludf.DUMMYFUNCTION("""COMPUTED_VALUE"""),2614)</f>
        <v>2614</v>
      </c>
      <c r="P259" s="1">
        <f ca="1">IFERROR(__xludf.DUMMYFUNCTION("""COMPUTED_VALUE"""),1525)</f>
        <v>1525</v>
      </c>
      <c r="Q259" s="1">
        <f ca="1">IFERROR(__xludf.DUMMYFUNCTION("""COMPUTED_VALUE"""),1041)</f>
        <v>1041</v>
      </c>
      <c r="R259" s="1">
        <f ca="1">IFERROR(__xludf.DUMMYFUNCTION("""COMPUTED_VALUE"""),2230)</f>
        <v>2230</v>
      </c>
      <c r="S259" s="1">
        <f ca="1">IFERROR(__xludf.DUMMYFUNCTION("""COMPUTED_VALUE"""),0.467)</f>
        <v>0.46700000000000003</v>
      </c>
      <c r="T259" s="1">
        <f ca="1">IFERROR(__xludf.DUMMYFUNCTION("""COMPUTED_VALUE"""),260)</f>
        <v>260</v>
      </c>
      <c r="U259" s="1">
        <f ca="1">IFERROR(__xludf.DUMMYFUNCTION("""COMPUTED_VALUE"""),758)</f>
        <v>758</v>
      </c>
      <c r="V259" s="1">
        <f ca="1">IFERROR(__xludf.DUMMYFUNCTION("""COMPUTED_VALUE"""),0.343)</f>
        <v>0.34300000000000003</v>
      </c>
      <c r="W259" s="1">
        <f ca="1">IFERROR(__xludf.DUMMYFUNCTION("""COMPUTED_VALUE"""),648)</f>
        <v>648</v>
      </c>
      <c r="X259" s="1">
        <f ca="1">IFERROR(__xludf.DUMMYFUNCTION("""COMPUTED_VALUE"""),906)</f>
        <v>906</v>
      </c>
      <c r="Y259" s="1">
        <f ca="1">IFERROR(__xludf.DUMMYFUNCTION("""COMPUTED_VALUE"""),0.715)</f>
        <v>0.71499999999999997</v>
      </c>
      <c r="Z259" s="1">
        <f ca="1">IFERROR(__xludf.DUMMYFUNCTION("""COMPUTED_VALUE"""),442)</f>
        <v>442</v>
      </c>
      <c r="AA259" s="1">
        <f ca="1">IFERROR(__xludf.DUMMYFUNCTION("""COMPUTED_VALUE"""),1382)</f>
        <v>1382</v>
      </c>
      <c r="AB259" s="1">
        <f ca="1">IFERROR(__xludf.DUMMYFUNCTION("""COMPUTED_VALUE"""),517)</f>
        <v>517</v>
      </c>
      <c r="AC259" s="1">
        <f ca="1">IFERROR(__xludf.DUMMYFUNCTION("""COMPUTED_VALUE"""),275)</f>
        <v>275</v>
      </c>
      <c r="AD259" s="1">
        <f ca="1">IFERROR(__xludf.DUMMYFUNCTION("""COMPUTED_VALUE"""),221)</f>
        <v>221</v>
      </c>
      <c r="AE259" s="1">
        <f ca="1">IFERROR(__xludf.DUMMYFUNCTION("""COMPUTED_VALUE"""),431)</f>
        <v>431</v>
      </c>
      <c r="AF259" s="1">
        <f ca="1">IFERROR(__xludf.DUMMYFUNCTION("""COMPUTED_VALUE"""),675)</f>
        <v>675</v>
      </c>
    </row>
    <row r="260" spans="1:32" ht="12.5" x14ac:dyDescent="0.25">
      <c r="A260" s="1" t="str">
        <f ca="1">IFERROR(__xludf.DUMMYFUNCTION("""COMPUTED_VALUE"""),"Pacific")</f>
        <v>Pacific</v>
      </c>
      <c r="B260" s="1">
        <f ca="1">IFERROR(__xludf.DUMMYFUNCTION("""COMPUTED_VALUE"""),28)</f>
        <v>28</v>
      </c>
      <c r="C260" s="1">
        <f ca="1">IFERROR(__xludf.DUMMYFUNCTION("""COMPUTED_VALUE"""),8)</f>
        <v>8</v>
      </c>
      <c r="D260" s="1">
        <f ca="1">IFERROR(__xludf.DUMMYFUNCTION("""COMPUTED_VALUE"""),20)</f>
        <v>20</v>
      </c>
      <c r="E260" s="1">
        <f ca="1">IFERROR(__xludf.DUMMYFUNCTION("""COMPUTED_VALUE"""),0.286)</f>
        <v>0.28599999999999998</v>
      </c>
      <c r="F260" s="1">
        <f ca="1">IFERROR(__xludf.DUMMYFUNCTION("""COMPUTED_VALUE"""),-3.57)</f>
        <v>-3.57</v>
      </c>
      <c r="G260" s="1">
        <f ca="1">IFERROR(__xludf.DUMMYFUNCTION("""COMPUTED_VALUE"""),2.35)</f>
        <v>2.35</v>
      </c>
      <c r="H260" s="1">
        <f ca="1">IFERROR(__xludf.DUMMYFUNCTION("""COMPUTED_VALUE"""),6)</f>
        <v>6</v>
      </c>
      <c r="I260" s="1">
        <f ca="1">IFERROR(__xludf.DUMMYFUNCTION("""COMPUTED_VALUE"""),12)</f>
        <v>12</v>
      </c>
      <c r="J260" s="1">
        <f ca="1">IFERROR(__xludf.DUMMYFUNCTION("""COMPUTED_VALUE"""),6)</f>
        <v>6</v>
      </c>
      <c r="K260" s="1">
        <f ca="1">IFERROR(__xludf.DUMMYFUNCTION("""COMPUTED_VALUE"""),8)</f>
        <v>8</v>
      </c>
      <c r="L260" s="1">
        <f ca="1">IFERROR(__xludf.DUMMYFUNCTION("""COMPUTED_VALUE"""),2)</f>
        <v>2</v>
      </c>
      <c r="M260" s="1">
        <f ca="1">IFERROR(__xludf.DUMMYFUNCTION("""COMPUTED_VALUE"""),11)</f>
        <v>11</v>
      </c>
      <c r="N260" s="1">
        <f ca="1">IFERROR(__xludf.DUMMYFUNCTION("""COMPUTED_VALUE"""),1948)</f>
        <v>1948</v>
      </c>
      <c r="O260" s="1">
        <f ca="1">IFERROR(__xludf.DUMMYFUNCTION("""COMPUTED_VALUE"""),2009)</f>
        <v>2009</v>
      </c>
      <c r="P260" s="1">
        <f ca="1">IFERROR(__xludf.DUMMYFUNCTION("""COMPUTED_VALUE"""),1140)</f>
        <v>1140</v>
      </c>
      <c r="Q260" s="1">
        <f ca="1">IFERROR(__xludf.DUMMYFUNCTION("""COMPUTED_VALUE"""),685)</f>
        <v>685</v>
      </c>
      <c r="R260" s="1">
        <f ca="1">IFERROR(__xludf.DUMMYFUNCTION("""COMPUTED_VALUE"""),1559)</f>
        <v>1559</v>
      </c>
      <c r="S260" s="1">
        <f ca="1">IFERROR(__xludf.DUMMYFUNCTION("""COMPUTED_VALUE"""),0.439)</f>
        <v>0.439</v>
      </c>
      <c r="T260" s="1">
        <f ca="1">IFERROR(__xludf.DUMMYFUNCTION("""COMPUTED_VALUE"""),190)</f>
        <v>190</v>
      </c>
      <c r="U260" s="1">
        <f ca="1">IFERROR(__xludf.DUMMYFUNCTION("""COMPUTED_VALUE"""),576)</f>
        <v>576</v>
      </c>
      <c r="V260" s="1">
        <f ca="1">IFERROR(__xludf.DUMMYFUNCTION("""COMPUTED_VALUE"""),0.33)</f>
        <v>0.33</v>
      </c>
      <c r="W260" s="1">
        <f ca="1">IFERROR(__xludf.DUMMYFUNCTION("""COMPUTED_VALUE"""),388)</f>
        <v>388</v>
      </c>
      <c r="X260" s="1">
        <f ca="1">IFERROR(__xludf.DUMMYFUNCTION("""COMPUTED_VALUE"""),575)</f>
        <v>575</v>
      </c>
      <c r="Y260" s="1">
        <f ca="1">IFERROR(__xludf.DUMMYFUNCTION("""COMPUTED_VALUE"""),0.675)</f>
        <v>0.67500000000000004</v>
      </c>
      <c r="Z260" s="1">
        <f ca="1">IFERROR(__xludf.DUMMYFUNCTION("""COMPUTED_VALUE"""),282)</f>
        <v>282</v>
      </c>
      <c r="AA260" s="1">
        <f ca="1">IFERROR(__xludf.DUMMYFUNCTION("""COMPUTED_VALUE"""),993)</f>
        <v>993</v>
      </c>
      <c r="AB260" s="1">
        <f ca="1">IFERROR(__xludf.DUMMYFUNCTION("""COMPUTED_VALUE"""),362)</f>
        <v>362</v>
      </c>
      <c r="AC260" s="1">
        <f ca="1">IFERROR(__xludf.DUMMYFUNCTION("""COMPUTED_VALUE"""),125)</f>
        <v>125</v>
      </c>
      <c r="AD260" s="1">
        <f ca="1">IFERROR(__xludf.DUMMYFUNCTION("""COMPUTED_VALUE"""),71)</f>
        <v>71</v>
      </c>
      <c r="AE260" s="1">
        <f ca="1">IFERROR(__xludf.DUMMYFUNCTION("""COMPUTED_VALUE"""),383)</f>
        <v>383</v>
      </c>
      <c r="AF260" s="1">
        <f ca="1">IFERROR(__xludf.DUMMYFUNCTION("""COMPUTED_VALUE"""),637)</f>
        <v>637</v>
      </c>
    </row>
    <row r="261" spans="1:32" ht="12.5" x14ac:dyDescent="0.25">
      <c r="A261" s="1" t="str">
        <f ca="1">IFERROR(__xludf.DUMMYFUNCTION("""COMPUTED_VALUE"""),"Penn State")</f>
        <v>Penn State</v>
      </c>
      <c r="B261" s="1">
        <f ca="1">IFERROR(__xludf.DUMMYFUNCTION("""COMPUTED_VALUE"""),32)</f>
        <v>32</v>
      </c>
      <c r="C261" s="1">
        <f ca="1">IFERROR(__xludf.DUMMYFUNCTION("""COMPUTED_VALUE"""),16)</f>
        <v>16</v>
      </c>
      <c r="D261" s="1">
        <f ca="1">IFERROR(__xludf.DUMMYFUNCTION("""COMPUTED_VALUE"""),16)</f>
        <v>16</v>
      </c>
      <c r="E261" s="1">
        <f ca="1">IFERROR(__xludf.DUMMYFUNCTION("""COMPUTED_VALUE"""),0.5)</f>
        <v>0.5</v>
      </c>
      <c r="F261" s="1">
        <f ca="1">IFERROR(__xludf.DUMMYFUNCTION("""COMPUTED_VALUE"""),3.17)</f>
        <v>3.17</v>
      </c>
      <c r="G261" s="1">
        <f ca="1">IFERROR(__xludf.DUMMYFUNCTION("""COMPUTED_VALUE"""),6.95)</f>
        <v>6.95</v>
      </c>
      <c r="H261" s="1">
        <f ca="1">IFERROR(__xludf.DUMMYFUNCTION("""COMPUTED_VALUE"""),7)</f>
        <v>7</v>
      </c>
      <c r="I261" s="1">
        <f ca="1">IFERROR(__xludf.DUMMYFUNCTION("""COMPUTED_VALUE"""),11)</f>
        <v>11</v>
      </c>
      <c r="J261" s="1">
        <f ca="1">IFERROR(__xludf.DUMMYFUNCTION("""COMPUTED_VALUE"""),11)</f>
        <v>11</v>
      </c>
      <c r="K261" s="1">
        <f ca="1">IFERROR(__xludf.DUMMYFUNCTION("""COMPUTED_VALUE"""),4)</f>
        <v>4</v>
      </c>
      <c r="L261" s="1">
        <f ca="1">IFERROR(__xludf.DUMMYFUNCTION("""COMPUTED_VALUE"""),3)</f>
        <v>3</v>
      </c>
      <c r="M261" s="1">
        <f ca="1">IFERROR(__xludf.DUMMYFUNCTION("""COMPUTED_VALUE"""),8)</f>
        <v>8</v>
      </c>
      <c r="N261" s="1">
        <f ca="1">IFERROR(__xludf.DUMMYFUNCTION("""COMPUTED_VALUE"""),2107)</f>
        <v>2107</v>
      </c>
      <c r="O261" s="1">
        <f ca="1">IFERROR(__xludf.DUMMYFUNCTION("""COMPUTED_VALUE"""),2228)</f>
        <v>2228</v>
      </c>
      <c r="P261" s="1">
        <f ca="1">IFERROR(__xludf.DUMMYFUNCTION("""COMPUTED_VALUE"""),1290)</f>
        <v>1290</v>
      </c>
      <c r="Q261" s="1">
        <f ca="1">IFERROR(__xludf.DUMMYFUNCTION("""COMPUTED_VALUE"""),732)</f>
        <v>732</v>
      </c>
      <c r="R261" s="1">
        <f ca="1">IFERROR(__xludf.DUMMYFUNCTION("""COMPUTED_VALUE"""),1799)</f>
        <v>1799</v>
      </c>
      <c r="S261" s="1">
        <f ca="1">IFERROR(__xludf.DUMMYFUNCTION("""COMPUTED_VALUE"""),0.407)</f>
        <v>0.40699999999999997</v>
      </c>
      <c r="T261" s="1">
        <f ca="1">IFERROR(__xludf.DUMMYFUNCTION("""COMPUTED_VALUE"""),211)</f>
        <v>211</v>
      </c>
      <c r="U261" s="1">
        <f ca="1">IFERROR(__xludf.DUMMYFUNCTION("""COMPUTED_VALUE"""),665)</f>
        <v>665</v>
      </c>
      <c r="V261" s="1">
        <f ca="1">IFERROR(__xludf.DUMMYFUNCTION("""COMPUTED_VALUE"""),0.317)</f>
        <v>0.317</v>
      </c>
      <c r="W261" s="1">
        <f ca="1">IFERROR(__xludf.DUMMYFUNCTION("""COMPUTED_VALUE"""),432)</f>
        <v>432</v>
      </c>
      <c r="X261" s="1">
        <f ca="1">IFERROR(__xludf.DUMMYFUNCTION("""COMPUTED_VALUE"""),621)</f>
        <v>621</v>
      </c>
      <c r="Y261" s="1">
        <f ca="1">IFERROR(__xludf.DUMMYFUNCTION("""COMPUTED_VALUE"""),0.696)</f>
        <v>0.69599999999999995</v>
      </c>
      <c r="Z261" s="1">
        <f ca="1">IFERROR(__xludf.DUMMYFUNCTION("""COMPUTED_VALUE"""),333)</f>
        <v>333</v>
      </c>
      <c r="AA261" s="1">
        <f ca="1">IFERROR(__xludf.DUMMYFUNCTION("""COMPUTED_VALUE"""),1109)</f>
        <v>1109</v>
      </c>
      <c r="AB261" s="1">
        <f ca="1">IFERROR(__xludf.DUMMYFUNCTION("""COMPUTED_VALUE"""),322)</f>
        <v>322</v>
      </c>
      <c r="AC261" s="1">
        <f ca="1">IFERROR(__xludf.DUMMYFUNCTION("""COMPUTED_VALUE"""),166)</f>
        <v>166</v>
      </c>
      <c r="AD261" s="1">
        <f ca="1">IFERROR(__xludf.DUMMYFUNCTION("""COMPUTED_VALUE"""),141)</f>
        <v>141</v>
      </c>
      <c r="AE261" s="1">
        <f ca="1">IFERROR(__xludf.DUMMYFUNCTION("""COMPUTED_VALUE"""),361)</f>
        <v>361</v>
      </c>
      <c r="AF261" s="1">
        <f ca="1">IFERROR(__xludf.DUMMYFUNCTION("""COMPUTED_VALUE"""),644)</f>
        <v>644</v>
      </c>
    </row>
    <row r="262" spans="1:32" ht="12.5" x14ac:dyDescent="0.25">
      <c r="A262" s="1" t="str">
        <f ca="1">IFERROR(__xludf.DUMMYFUNCTION("""COMPUTED_VALUE"""),"Pennsylvania")</f>
        <v>Pennsylvania</v>
      </c>
      <c r="B262" s="1">
        <f ca="1">IFERROR(__xludf.DUMMYFUNCTION("""COMPUTED_VALUE"""),28)</f>
        <v>28</v>
      </c>
      <c r="C262" s="1">
        <f ca="1">IFERROR(__xludf.DUMMYFUNCTION("""COMPUTED_VALUE"""),11)</f>
        <v>11</v>
      </c>
      <c r="D262" s="1">
        <f ca="1">IFERROR(__xludf.DUMMYFUNCTION("""COMPUTED_VALUE"""),17)</f>
        <v>17</v>
      </c>
      <c r="E262" s="1">
        <f ca="1">IFERROR(__xludf.DUMMYFUNCTION("""COMPUTED_VALUE"""),0.393)</f>
        <v>0.39300000000000002</v>
      </c>
      <c r="F262" s="1">
        <f ca="1">IFERROR(__xludf.DUMMYFUNCTION("""COMPUTED_VALUE"""),-6.18)</f>
        <v>-6.18</v>
      </c>
      <c r="G262" s="1">
        <f ca="1">IFERROR(__xludf.DUMMYFUNCTION("""COMPUTED_VALUE"""),-2.15)</f>
        <v>-2.15</v>
      </c>
      <c r="H262" s="1">
        <f ca="1">IFERROR(__xludf.DUMMYFUNCTION("""COMPUTED_VALUE"""),5)</f>
        <v>5</v>
      </c>
      <c r="I262" s="1">
        <f ca="1">IFERROR(__xludf.DUMMYFUNCTION("""COMPUTED_VALUE"""),9)</f>
        <v>9</v>
      </c>
      <c r="J262" s="1">
        <f ca="1">IFERROR(__xludf.DUMMYFUNCTION("""COMPUTED_VALUE"""),9)</f>
        <v>9</v>
      </c>
      <c r="K262" s="1">
        <f ca="1">IFERROR(__xludf.DUMMYFUNCTION("""COMPUTED_VALUE"""),6)</f>
        <v>6</v>
      </c>
      <c r="L262" s="1">
        <f ca="1">IFERROR(__xludf.DUMMYFUNCTION("""COMPUTED_VALUE"""),2)</f>
        <v>2</v>
      </c>
      <c r="M262" s="1">
        <f ca="1">IFERROR(__xludf.DUMMYFUNCTION("""COMPUTED_VALUE"""),11)</f>
        <v>11</v>
      </c>
      <c r="N262" s="1">
        <f ca="1">IFERROR(__xludf.DUMMYFUNCTION("""COMPUTED_VALUE"""),1911)</f>
        <v>1911</v>
      </c>
      <c r="O262" s="1">
        <f ca="1">IFERROR(__xludf.DUMMYFUNCTION("""COMPUTED_VALUE"""),2013)</f>
        <v>2013</v>
      </c>
      <c r="P262" s="1">
        <f ca="1">IFERROR(__xludf.DUMMYFUNCTION("""COMPUTED_VALUE"""),1130)</f>
        <v>1130</v>
      </c>
      <c r="Q262" s="1">
        <f ca="1">IFERROR(__xludf.DUMMYFUNCTION("""COMPUTED_VALUE"""),685)</f>
        <v>685</v>
      </c>
      <c r="R262" s="1">
        <f ca="1">IFERROR(__xludf.DUMMYFUNCTION("""COMPUTED_VALUE"""),1606)</f>
        <v>1606</v>
      </c>
      <c r="S262" s="1">
        <f ca="1">IFERROR(__xludf.DUMMYFUNCTION("""COMPUTED_VALUE"""),0.427)</f>
        <v>0.42699999999999999</v>
      </c>
      <c r="T262" s="1">
        <f ca="1">IFERROR(__xludf.DUMMYFUNCTION("""COMPUTED_VALUE"""),200)</f>
        <v>200</v>
      </c>
      <c r="U262" s="1">
        <f ca="1">IFERROR(__xludf.DUMMYFUNCTION("""COMPUTED_VALUE"""),657)</f>
        <v>657</v>
      </c>
      <c r="V262" s="1">
        <f ca="1">IFERROR(__xludf.DUMMYFUNCTION("""COMPUTED_VALUE"""),0.304)</f>
        <v>0.30399999999999999</v>
      </c>
      <c r="W262" s="1">
        <f ca="1">IFERROR(__xludf.DUMMYFUNCTION("""COMPUTED_VALUE"""),341)</f>
        <v>341</v>
      </c>
      <c r="X262" s="1">
        <f ca="1">IFERROR(__xludf.DUMMYFUNCTION("""COMPUTED_VALUE"""),508)</f>
        <v>508</v>
      </c>
      <c r="Y262" s="1">
        <f ca="1">IFERROR(__xludf.DUMMYFUNCTION("""COMPUTED_VALUE"""),0.671)</f>
        <v>0.67100000000000004</v>
      </c>
      <c r="Z262" s="1">
        <f ca="1">IFERROR(__xludf.DUMMYFUNCTION("""COMPUTED_VALUE"""),287)</f>
        <v>287</v>
      </c>
      <c r="AA262" s="1">
        <f ca="1">IFERROR(__xludf.DUMMYFUNCTION("""COMPUTED_VALUE"""),1001)</f>
        <v>1001</v>
      </c>
      <c r="AB262" s="1">
        <f ca="1">IFERROR(__xludf.DUMMYFUNCTION("""COMPUTED_VALUE"""),381)</f>
        <v>381</v>
      </c>
      <c r="AC262" s="1">
        <f ca="1">IFERROR(__xludf.DUMMYFUNCTION("""COMPUTED_VALUE"""),146)</f>
        <v>146</v>
      </c>
      <c r="AD262" s="1">
        <f ca="1">IFERROR(__xludf.DUMMYFUNCTION("""COMPUTED_VALUE"""),75)</f>
        <v>75</v>
      </c>
      <c r="AE262" s="1">
        <f ca="1">IFERROR(__xludf.DUMMYFUNCTION("""COMPUTED_VALUE"""),373)</f>
        <v>373</v>
      </c>
      <c r="AF262" s="1">
        <f ca="1">IFERROR(__xludf.DUMMYFUNCTION("""COMPUTED_VALUE"""),513)</f>
        <v>513</v>
      </c>
    </row>
    <row r="263" spans="1:32" ht="12.5" x14ac:dyDescent="0.25">
      <c r="A263" s="1" t="str">
        <f ca="1">IFERROR(__xludf.DUMMYFUNCTION("""COMPUTED_VALUE"""),"Pepperdine")</f>
        <v>Pepperdine</v>
      </c>
      <c r="B263" s="1">
        <f ca="1">IFERROR(__xludf.DUMMYFUNCTION("""COMPUTED_VALUE"""),32)</f>
        <v>32</v>
      </c>
      <c r="C263" s="1">
        <f ca="1">IFERROR(__xludf.DUMMYFUNCTION("""COMPUTED_VALUE"""),18)</f>
        <v>18</v>
      </c>
      <c r="D263" s="1">
        <f ca="1">IFERROR(__xludf.DUMMYFUNCTION("""COMPUTED_VALUE"""),14)</f>
        <v>14</v>
      </c>
      <c r="E263" s="1">
        <f ca="1">IFERROR(__xludf.DUMMYFUNCTION("""COMPUTED_VALUE"""),0.563)</f>
        <v>0.56299999999999994</v>
      </c>
      <c r="F263" s="1">
        <f ca="1">IFERROR(__xludf.DUMMYFUNCTION("""COMPUTED_VALUE"""),2.33)</f>
        <v>2.33</v>
      </c>
      <c r="G263" s="1">
        <f ca="1">IFERROR(__xludf.DUMMYFUNCTION("""COMPUTED_VALUE"""),1.68)</f>
        <v>1.68</v>
      </c>
      <c r="H263" s="1">
        <f ca="1">IFERROR(__xludf.DUMMYFUNCTION("""COMPUTED_VALUE"""),10)</f>
        <v>10</v>
      </c>
      <c r="I263" s="1">
        <f ca="1">IFERROR(__xludf.DUMMYFUNCTION("""COMPUTED_VALUE"""),8)</f>
        <v>8</v>
      </c>
      <c r="J263" s="1">
        <f ca="1">IFERROR(__xludf.DUMMYFUNCTION("""COMPUTED_VALUE"""),10)</f>
        <v>10</v>
      </c>
      <c r="K263" s="1">
        <f ca="1">IFERROR(__xludf.DUMMYFUNCTION("""COMPUTED_VALUE"""),3)</f>
        <v>3</v>
      </c>
      <c r="L263" s="1">
        <f ca="1">IFERROR(__xludf.DUMMYFUNCTION("""COMPUTED_VALUE"""),6)</f>
        <v>6</v>
      </c>
      <c r="M263" s="1">
        <f ca="1">IFERROR(__xludf.DUMMYFUNCTION("""COMPUTED_VALUE"""),8)</f>
        <v>8</v>
      </c>
      <c r="N263" s="1">
        <f ca="1">IFERROR(__xludf.DUMMYFUNCTION("""COMPUTED_VALUE"""),2349)</f>
        <v>2349</v>
      </c>
      <c r="O263" s="1">
        <f ca="1">IFERROR(__xludf.DUMMYFUNCTION("""COMPUTED_VALUE"""),2287)</f>
        <v>2287</v>
      </c>
      <c r="P263" s="1">
        <f ca="1">IFERROR(__xludf.DUMMYFUNCTION("""COMPUTED_VALUE"""),1300)</f>
        <v>1300</v>
      </c>
      <c r="Q263" s="1">
        <f ca="1">IFERROR(__xludf.DUMMYFUNCTION("""COMPUTED_VALUE"""),840)</f>
        <v>840</v>
      </c>
      <c r="R263" s="1">
        <f ca="1">IFERROR(__xludf.DUMMYFUNCTION("""COMPUTED_VALUE"""),1861)</f>
        <v>1861</v>
      </c>
      <c r="S263" s="1">
        <f ca="1">IFERROR(__xludf.DUMMYFUNCTION("""COMPUTED_VALUE"""),0.451)</f>
        <v>0.45100000000000001</v>
      </c>
      <c r="T263" s="1">
        <f ca="1">IFERROR(__xludf.DUMMYFUNCTION("""COMPUTED_VALUE"""),162)</f>
        <v>162</v>
      </c>
      <c r="U263" s="1">
        <f ca="1">IFERROR(__xludf.DUMMYFUNCTION("""COMPUTED_VALUE"""),469)</f>
        <v>469</v>
      </c>
      <c r="V263" s="1">
        <f ca="1">IFERROR(__xludf.DUMMYFUNCTION("""COMPUTED_VALUE"""),0.345)</f>
        <v>0.34499999999999997</v>
      </c>
      <c r="W263" s="1">
        <f ca="1">IFERROR(__xludf.DUMMYFUNCTION("""COMPUTED_VALUE"""),507)</f>
        <v>507</v>
      </c>
      <c r="X263" s="1">
        <f ca="1">IFERROR(__xludf.DUMMYFUNCTION("""COMPUTED_VALUE"""),754)</f>
        <v>754</v>
      </c>
      <c r="Y263" s="1">
        <f ca="1">IFERROR(__xludf.DUMMYFUNCTION("""COMPUTED_VALUE"""),0.672)</f>
        <v>0.67200000000000004</v>
      </c>
      <c r="Z263" s="1">
        <f ca="1">IFERROR(__xludf.DUMMYFUNCTION("""COMPUTED_VALUE"""),351)</f>
        <v>351</v>
      </c>
      <c r="AA263" s="1">
        <f ca="1">IFERROR(__xludf.DUMMYFUNCTION("""COMPUTED_VALUE"""),1182)</f>
        <v>1182</v>
      </c>
      <c r="AB263" s="1">
        <f ca="1">IFERROR(__xludf.DUMMYFUNCTION("""COMPUTED_VALUE"""),457)</f>
        <v>457</v>
      </c>
      <c r="AC263" s="1">
        <f ca="1">IFERROR(__xludf.DUMMYFUNCTION("""COMPUTED_VALUE"""),187)</f>
        <v>187</v>
      </c>
      <c r="AD263" s="1">
        <f ca="1">IFERROR(__xludf.DUMMYFUNCTION("""COMPUTED_VALUE"""),93)</f>
        <v>93</v>
      </c>
      <c r="AE263" s="1">
        <f ca="1">IFERROR(__xludf.DUMMYFUNCTION("""COMPUTED_VALUE"""),357)</f>
        <v>357</v>
      </c>
      <c r="AF263" s="1">
        <f ca="1">IFERROR(__xludf.DUMMYFUNCTION("""COMPUTED_VALUE"""),595)</f>
        <v>595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IFERROR(__xludf.DUMMYFUNCTION("""COMPUTED_VALUE"""),"PittsburghNCAA")</f>
        <v>PittsburghNCAA</v>
      </c>
      <c r="B266" s="1">
        <f ca="1">IFERROR(__xludf.DUMMYFUNCTION("""COMPUTED_VALUE"""),33)</f>
        <v>33</v>
      </c>
      <c r="C266" s="1">
        <f ca="1">IFERROR(__xludf.DUMMYFUNCTION("""COMPUTED_VALUE"""),21)</f>
        <v>21</v>
      </c>
      <c r="D266" s="1">
        <f ca="1">IFERROR(__xludf.DUMMYFUNCTION("""COMPUTED_VALUE"""),12)</f>
        <v>12</v>
      </c>
      <c r="E266" s="1">
        <f ca="1">IFERROR(__xludf.DUMMYFUNCTION("""COMPUTED_VALUE"""),0.636)</f>
        <v>0.63600000000000001</v>
      </c>
      <c r="F266" s="1">
        <f ca="1">IFERROR(__xludf.DUMMYFUNCTION("""COMPUTED_VALUE"""),15.47)</f>
        <v>15.47</v>
      </c>
      <c r="G266" s="1">
        <f ca="1">IFERROR(__xludf.DUMMYFUNCTION("""COMPUTED_VALUE"""),8.75)</f>
        <v>8.75</v>
      </c>
      <c r="H266" s="1">
        <f ca="1">IFERROR(__xludf.DUMMYFUNCTION("""COMPUTED_VALUE"""),9)</f>
        <v>9</v>
      </c>
      <c r="I266" s="1">
        <f ca="1">IFERROR(__xludf.DUMMYFUNCTION("""COMPUTED_VALUE"""),9)</f>
        <v>9</v>
      </c>
      <c r="J266" s="1">
        <f ca="1">IFERROR(__xludf.DUMMYFUNCTION("""COMPUTED_VALUE"""),15)</f>
        <v>15</v>
      </c>
      <c r="K266" s="1">
        <f ca="1">IFERROR(__xludf.DUMMYFUNCTION("""COMPUTED_VALUE"""),4)</f>
        <v>4</v>
      </c>
      <c r="L266" s="1">
        <f ca="1">IFERROR(__xludf.DUMMYFUNCTION("""COMPUTED_VALUE"""),3)</f>
        <v>3</v>
      </c>
      <c r="M266" s="1">
        <f ca="1">IFERROR(__xludf.DUMMYFUNCTION("""COMPUTED_VALUE"""),6)</f>
        <v>6</v>
      </c>
      <c r="N266" s="1">
        <f ca="1">IFERROR(__xludf.DUMMYFUNCTION("""COMPUTED_VALUE"""),2476)</f>
        <v>2476</v>
      </c>
      <c r="O266" s="1">
        <f ca="1">IFERROR(__xludf.DUMMYFUNCTION("""COMPUTED_VALUE"""),2220)</f>
        <v>2220</v>
      </c>
      <c r="P266" s="1">
        <f ca="1">IFERROR(__xludf.DUMMYFUNCTION("""COMPUTED_VALUE"""),1330)</f>
        <v>1330</v>
      </c>
      <c r="Q266" s="1">
        <f ca="1">IFERROR(__xludf.DUMMYFUNCTION("""COMPUTED_VALUE"""),878)</f>
        <v>878</v>
      </c>
      <c r="R266" s="1">
        <f ca="1">IFERROR(__xludf.DUMMYFUNCTION("""COMPUTED_VALUE"""),1919)</f>
        <v>1919</v>
      </c>
      <c r="S266" s="1">
        <f ca="1">IFERROR(__xludf.DUMMYFUNCTION("""COMPUTED_VALUE"""),0.458)</f>
        <v>0.45800000000000002</v>
      </c>
      <c r="T266" s="1">
        <f ca="1">IFERROR(__xludf.DUMMYFUNCTION("""COMPUTED_VALUE"""),204)</f>
        <v>204</v>
      </c>
      <c r="U266" s="1">
        <f ca="1">IFERROR(__xludf.DUMMYFUNCTION("""COMPUTED_VALUE"""),589)</f>
        <v>589</v>
      </c>
      <c r="V266" s="1">
        <f ca="1">IFERROR(__xludf.DUMMYFUNCTION("""COMPUTED_VALUE"""),0.346)</f>
        <v>0.34599999999999997</v>
      </c>
      <c r="W266" s="1">
        <f ca="1">IFERROR(__xludf.DUMMYFUNCTION("""COMPUTED_VALUE"""),516)</f>
        <v>516</v>
      </c>
      <c r="X266" s="1">
        <f ca="1">IFERROR(__xludf.DUMMYFUNCTION("""COMPUTED_VALUE"""),686)</f>
        <v>686</v>
      </c>
      <c r="Y266" s="1">
        <f ca="1">IFERROR(__xludf.DUMMYFUNCTION("""COMPUTED_VALUE"""),0.752)</f>
        <v>0.752</v>
      </c>
      <c r="Z266" s="1">
        <f ca="1">IFERROR(__xludf.DUMMYFUNCTION("""COMPUTED_VALUE"""),417)</f>
        <v>417</v>
      </c>
      <c r="AA266" s="1">
        <f ca="1">IFERROR(__xludf.DUMMYFUNCTION("""COMPUTED_VALUE"""),1257)</f>
        <v>1257</v>
      </c>
      <c r="AB266" s="1">
        <f ca="1">IFERROR(__xludf.DUMMYFUNCTION("""COMPUTED_VALUE"""),547)</f>
        <v>547</v>
      </c>
      <c r="AC266" s="1">
        <f ca="1">IFERROR(__xludf.DUMMYFUNCTION("""COMPUTED_VALUE"""),162)</f>
        <v>162</v>
      </c>
      <c r="AD266" s="1">
        <f ca="1">IFERROR(__xludf.DUMMYFUNCTION("""COMPUTED_VALUE"""),121)</f>
        <v>121</v>
      </c>
      <c r="AE266" s="1">
        <f ca="1">IFERROR(__xludf.DUMMYFUNCTION("""COMPUTED_VALUE"""),384)</f>
        <v>384</v>
      </c>
      <c r="AF266" s="1">
        <f ca="1">IFERROR(__xludf.DUMMYFUNCTION("""COMPUTED_VALUE"""),581)</f>
        <v>581</v>
      </c>
    </row>
    <row r="267" spans="1:32" ht="12.5" x14ac:dyDescent="0.25">
      <c r="A267" s="1" t="str">
        <f ca="1">IFERROR(__xludf.DUMMYFUNCTION("""COMPUTED_VALUE"""),"Portland State")</f>
        <v>Portland State</v>
      </c>
      <c r="B267" s="1">
        <f ca="1">IFERROR(__xludf.DUMMYFUNCTION("""COMPUTED_VALUE"""),31)</f>
        <v>31</v>
      </c>
      <c r="C267" s="1">
        <f ca="1">IFERROR(__xludf.DUMMYFUNCTION("""COMPUTED_VALUE"""),13)</f>
        <v>13</v>
      </c>
      <c r="D267" s="1">
        <f ca="1">IFERROR(__xludf.DUMMYFUNCTION("""COMPUTED_VALUE"""),18)</f>
        <v>18</v>
      </c>
      <c r="E267" s="1">
        <f ca="1">IFERROR(__xludf.DUMMYFUNCTION("""COMPUTED_VALUE"""),0.419)</f>
        <v>0.41899999999999998</v>
      </c>
      <c r="F267" s="1">
        <f ca="1">IFERROR(__xludf.DUMMYFUNCTION("""COMPUTED_VALUE"""),-8.15)</f>
        <v>-8.15</v>
      </c>
      <c r="G267" s="1">
        <f ca="1">IFERROR(__xludf.DUMMYFUNCTION("""COMPUTED_VALUE"""),-5.94)</f>
        <v>-5.94</v>
      </c>
      <c r="H267" s="1">
        <f ca="1">IFERROR(__xludf.DUMMYFUNCTION("""COMPUTED_VALUE"""),8)</f>
        <v>8</v>
      </c>
      <c r="I267" s="1">
        <f ca="1">IFERROR(__xludf.DUMMYFUNCTION("""COMPUTED_VALUE"""),10)</f>
        <v>10</v>
      </c>
      <c r="J267" s="1">
        <f ca="1">IFERROR(__xludf.DUMMYFUNCTION("""COMPUTED_VALUE"""),8)</f>
        <v>8</v>
      </c>
      <c r="K267" s="1">
        <f ca="1">IFERROR(__xludf.DUMMYFUNCTION("""COMPUTED_VALUE"""),6)</f>
        <v>6</v>
      </c>
      <c r="L267" s="1">
        <f ca="1">IFERROR(__xludf.DUMMYFUNCTION("""COMPUTED_VALUE"""),4)</f>
        <v>4</v>
      </c>
      <c r="M267" s="1">
        <f ca="1">IFERROR(__xludf.DUMMYFUNCTION("""COMPUTED_VALUE"""),11)</f>
        <v>11</v>
      </c>
      <c r="N267" s="1">
        <f ca="1">IFERROR(__xludf.DUMMYFUNCTION("""COMPUTED_VALUE"""),2408)</f>
        <v>2408</v>
      </c>
      <c r="O267" s="1">
        <f ca="1">IFERROR(__xludf.DUMMYFUNCTION("""COMPUTED_VALUE"""),2409)</f>
        <v>2409</v>
      </c>
      <c r="P267" s="1">
        <f ca="1">IFERROR(__xludf.DUMMYFUNCTION("""COMPUTED_VALUE"""),1240)</f>
        <v>1240</v>
      </c>
      <c r="Q267" s="1">
        <f ca="1">IFERROR(__xludf.DUMMYFUNCTION("""COMPUTED_VALUE"""),908)</f>
        <v>908</v>
      </c>
      <c r="R267" s="1">
        <f ca="1">IFERROR(__xludf.DUMMYFUNCTION("""COMPUTED_VALUE"""),1904)</f>
        <v>1904</v>
      </c>
      <c r="S267" s="1">
        <f ca="1">IFERROR(__xludf.DUMMYFUNCTION("""COMPUTED_VALUE"""),0.477)</f>
        <v>0.47699999999999998</v>
      </c>
      <c r="T267" s="1">
        <f ca="1">IFERROR(__xludf.DUMMYFUNCTION("""COMPUTED_VALUE"""),167)</f>
        <v>167</v>
      </c>
      <c r="U267" s="1">
        <f ca="1">IFERROR(__xludf.DUMMYFUNCTION("""COMPUTED_VALUE"""),519)</f>
        <v>519</v>
      </c>
      <c r="V267" s="1">
        <f ca="1">IFERROR(__xludf.DUMMYFUNCTION("""COMPUTED_VALUE"""),0.322)</f>
        <v>0.32200000000000001</v>
      </c>
      <c r="W267" s="1">
        <f ca="1">IFERROR(__xludf.DUMMYFUNCTION("""COMPUTED_VALUE"""),425)</f>
        <v>425</v>
      </c>
      <c r="X267" s="1">
        <f ca="1">IFERROR(__xludf.DUMMYFUNCTION("""COMPUTED_VALUE"""),645)</f>
        <v>645</v>
      </c>
      <c r="Y267" s="1">
        <f ca="1">IFERROR(__xludf.DUMMYFUNCTION("""COMPUTED_VALUE"""),0.659)</f>
        <v>0.65900000000000003</v>
      </c>
      <c r="Z267" s="1">
        <f ca="1">IFERROR(__xludf.DUMMYFUNCTION("""COMPUTED_VALUE"""),329)</f>
        <v>329</v>
      </c>
      <c r="AA267" s="1">
        <f ca="1">IFERROR(__xludf.DUMMYFUNCTION("""COMPUTED_VALUE"""),1096)</f>
        <v>1096</v>
      </c>
      <c r="AB267" s="1">
        <f ca="1">IFERROR(__xludf.DUMMYFUNCTION("""COMPUTED_VALUE"""),527)</f>
        <v>527</v>
      </c>
      <c r="AC267" s="1">
        <f ca="1">IFERROR(__xludf.DUMMYFUNCTION("""COMPUTED_VALUE"""),263)</f>
        <v>263</v>
      </c>
      <c r="AD267" s="1">
        <f ca="1">IFERROR(__xludf.DUMMYFUNCTION("""COMPUTED_VALUE"""),112)</f>
        <v>112</v>
      </c>
      <c r="AE267" s="1">
        <f ca="1">IFERROR(__xludf.DUMMYFUNCTION("""COMPUTED_VALUE"""),390)</f>
        <v>390</v>
      </c>
      <c r="AF267" s="1">
        <f ca="1">IFERROR(__xludf.DUMMYFUNCTION("""COMPUTED_VALUE"""),589)</f>
        <v>589</v>
      </c>
    </row>
    <row r="268" spans="1:32" ht="12.5" x14ac:dyDescent="0.25">
      <c r="A268" s="1" t="str">
        <f ca="1">IFERROR(__xludf.DUMMYFUNCTION("""COMPUTED_VALUE"""),"Portland")</f>
        <v>Portland</v>
      </c>
      <c r="B268" s="1">
        <f ca="1">IFERROR(__xludf.DUMMYFUNCTION("""COMPUTED_VALUE"""),32)</f>
        <v>32</v>
      </c>
      <c r="C268" s="1">
        <f ca="1">IFERROR(__xludf.DUMMYFUNCTION("""COMPUTED_VALUE"""),12)</f>
        <v>12</v>
      </c>
      <c r="D268" s="1">
        <f ca="1">IFERROR(__xludf.DUMMYFUNCTION("""COMPUTED_VALUE"""),20)</f>
        <v>20</v>
      </c>
      <c r="E268" s="1">
        <f ca="1">IFERROR(__xludf.DUMMYFUNCTION("""COMPUTED_VALUE"""),0.375)</f>
        <v>0.375</v>
      </c>
      <c r="F268" s="1">
        <f ca="1">IFERROR(__xludf.DUMMYFUNCTION("""COMPUTED_VALUE"""),-2.21)</f>
        <v>-2.21</v>
      </c>
      <c r="G268" s="1">
        <f ca="1">IFERROR(__xludf.DUMMYFUNCTION("""COMPUTED_VALUE"""),0.56)</f>
        <v>0.56000000000000005</v>
      </c>
      <c r="H268" s="1">
        <f ca="1">IFERROR(__xludf.DUMMYFUNCTION("""COMPUTED_VALUE"""),6)</f>
        <v>6</v>
      </c>
      <c r="I268" s="1">
        <f ca="1">IFERROR(__xludf.DUMMYFUNCTION("""COMPUTED_VALUE"""),12)</f>
        <v>12</v>
      </c>
      <c r="J268" s="1">
        <f ca="1">IFERROR(__xludf.DUMMYFUNCTION("""COMPUTED_VALUE"""),8)</f>
        <v>8</v>
      </c>
      <c r="K268" s="1">
        <f ca="1">IFERROR(__xludf.DUMMYFUNCTION("""COMPUTED_VALUE"""),7)</f>
        <v>7</v>
      </c>
      <c r="L268" s="1">
        <f ca="1">IFERROR(__xludf.DUMMYFUNCTION("""COMPUTED_VALUE"""),3)</f>
        <v>3</v>
      </c>
      <c r="M268" s="1">
        <f ca="1">IFERROR(__xludf.DUMMYFUNCTION("""COMPUTED_VALUE"""),9)</f>
        <v>9</v>
      </c>
      <c r="N268" s="1">
        <f ca="1">IFERROR(__xludf.DUMMYFUNCTION("""COMPUTED_VALUE"""),2483)</f>
        <v>2483</v>
      </c>
      <c r="O268" s="1">
        <f ca="1">IFERROR(__xludf.DUMMYFUNCTION("""COMPUTED_VALUE"""),2552)</f>
        <v>2552</v>
      </c>
      <c r="P268" s="1">
        <f ca="1">IFERROR(__xludf.DUMMYFUNCTION("""COMPUTED_VALUE"""),1285)</f>
        <v>1285</v>
      </c>
      <c r="Q268" s="1">
        <f ca="1">IFERROR(__xludf.DUMMYFUNCTION("""COMPUTED_VALUE"""),868)</f>
        <v>868</v>
      </c>
      <c r="R268" s="1">
        <f ca="1">IFERROR(__xludf.DUMMYFUNCTION("""COMPUTED_VALUE"""),2012)</f>
        <v>2012</v>
      </c>
      <c r="S268" s="1">
        <f ca="1">IFERROR(__xludf.DUMMYFUNCTION("""COMPUTED_VALUE"""),0.431)</f>
        <v>0.43099999999999999</v>
      </c>
      <c r="T268" s="1">
        <f ca="1">IFERROR(__xludf.DUMMYFUNCTION("""COMPUTED_VALUE"""),289)</f>
        <v>289</v>
      </c>
      <c r="U268" s="1">
        <f ca="1">IFERROR(__xludf.DUMMYFUNCTION("""COMPUTED_VALUE"""),787)</f>
        <v>787</v>
      </c>
      <c r="V268" s="1">
        <f ca="1">IFERROR(__xludf.DUMMYFUNCTION("""COMPUTED_VALUE"""),0.367)</f>
        <v>0.36699999999999999</v>
      </c>
      <c r="W268" s="1">
        <f ca="1">IFERROR(__xludf.DUMMYFUNCTION("""COMPUTED_VALUE"""),458)</f>
        <v>458</v>
      </c>
      <c r="X268" s="1">
        <f ca="1">IFERROR(__xludf.DUMMYFUNCTION("""COMPUTED_VALUE"""),633)</f>
        <v>633</v>
      </c>
      <c r="Y268" s="1">
        <f ca="1">IFERROR(__xludf.DUMMYFUNCTION("""COMPUTED_VALUE"""),0.724)</f>
        <v>0.72399999999999998</v>
      </c>
      <c r="Z268" s="1">
        <f ca="1">IFERROR(__xludf.DUMMYFUNCTION("""COMPUTED_VALUE"""),369)</f>
        <v>369</v>
      </c>
      <c r="AA268" s="1">
        <f ca="1">IFERROR(__xludf.DUMMYFUNCTION("""COMPUTED_VALUE"""),1130)</f>
        <v>1130</v>
      </c>
      <c r="AB268" s="1">
        <f ca="1">IFERROR(__xludf.DUMMYFUNCTION("""COMPUTED_VALUE"""),425)</f>
        <v>425</v>
      </c>
      <c r="AC268" s="1">
        <f ca="1">IFERROR(__xludf.DUMMYFUNCTION("""COMPUTED_VALUE"""),208)</f>
        <v>208</v>
      </c>
      <c r="AD268" s="1">
        <f ca="1">IFERROR(__xludf.DUMMYFUNCTION("""COMPUTED_VALUE"""),128)</f>
        <v>128</v>
      </c>
      <c r="AE268" s="1">
        <f ca="1">IFERROR(__xludf.DUMMYFUNCTION("""COMPUTED_VALUE"""),389)</f>
        <v>389</v>
      </c>
      <c r="AF268" s="1">
        <f ca="1">IFERROR(__xludf.DUMMYFUNCTION("""COMPUTED_VALUE"""),697)</f>
        <v>697</v>
      </c>
    </row>
    <row r="269" spans="1:32" ht="12.5" x14ac:dyDescent="0.25">
      <c r="A269" s="1" t="str">
        <f ca="1">IFERROR(__xludf.DUMMYFUNCTION("""COMPUTED_VALUE"""),"Prairie View")</f>
        <v>Prairie View</v>
      </c>
      <c r="B269" s="1">
        <f ca="1">IFERROR(__xludf.DUMMYFUNCTION("""COMPUTED_VALUE"""),31)</f>
        <v>31</v>
      </c>
      <c r="C269" s="1">
        <f ca="1">IFERROR(__xludf.DUMMYFUNCTION("""COMPUTED_VALUE"""),7)</f>
        <v>7</v>
      </c>
      <c r="D269" s="1">
        <f ca="1">IFERROR(__xludf.DUMMYFUNCTION("""COMPUTED_VALUE"""),24)</f>
        <v>24</v>
      </c>
      <c r="E269" s="1">
        <f ca="1">IFERROR(__xludf.DUMMYFUNCTION("""COMPUTED_VALUE"""),0.226)</f>
        <v>0.22600000000000001</v>
      </c>
      <c r="F269" s="1">
        <f ca="1">IFERROR(__xludf.DUMMYFUNCTION("""COMPUTED_VALUE"""),-17.43)</f>
        <v>-17.43</v>
      </c>
      <c r="G269" s="1">
        <f ca="1">IFERROR(__xludf.DUMMYFUNCTION("""COMPUTED_VALUE"""),-6.82)</f>
        <v>-6.82</v>
      </c>
      <c r="H269" s="1">
        <f ca="1">IFERROR(__xludf.DUMMYFUNCTION("""COMPUTED_VALUE"""),7)</f>
        <v>7</v>
      </c>
      <c r="I269" s="1">
        <f ca="1">IFERROR(__xludf.DUMMYFUNCTION("""COMPUTED_VALUE"""),11)</f>
        <v>11</v>
      </c>
      <c r="J269" s="1">
        <f ca="1">IFERROR(__xludf.DUMMYFUNCTION("""COMPUTED_VALUE"""),4)</f>
        <v>4</v>
      </c>
      <c r="K269" s="1">
        <f ca="1">IFERROR(__xludf.DUMMYFUNCTION("""COMPUTED_VALUE"""),6)</f>
        <v>6</v>
      </c>
      <c r="L269" s="1">
        <f ca="1">IFERROR(__xludf.DUMMYFUNCTION("""COMPUTED_VALUE"""),3)</f>
        <v>3</v>
      </c>
      <c r="M269" s="1">
        <f ca="1">IFERROR(__xludf.DUMMYFUNCTION("""COMPUTED_VALUE"""),16)</f>
        <v>16</v>
      </c>
      <c r="N269" s="1">
        <f ca="1">IFERROR(__xludf.DUMMYFUNCTION("""COMPUTED_VALUE"""),1873)</f>
        <v>1873</v>
      </c>
      <c r="O269" s="1">
        <f ca="1">IFERROR(__xludf.DUMMYFUNCTION("""COMPUTED_VALUE"""),2202)</f>
        <v>2202</v>
      </c>
      <c r="P269" s="1">
        <f ca="1">IFERROR(__xludf.DUMMYFUNCTION("""COMPUTED_VALUE"""),1240)</f>
        <v>1240</v>
      </c>
      <c r="Q269" s="1">
        <f ca="1">IFERROR(__xludf.DUMMYFUNCTION("""COMPUTED_VALUE"""),657)</f>
        <v>657</v>
      </c>
      <c r="R269" s="1">
        <f ca="1">IFERROR(__xludf.DUMMYFUNCTION("""COMPUTED_VALUE"""),1727)</f>
        <v>1727</v>
      </c>
      <c r="S269" s="1">
        <f ca="1">IFERROR(__xludf.DUMMYFUNCTION("""COMPUTED_VALUE"""),0.38)</f>
        <v>0.38</v>
      </c>
      <c r="T269" s="1">
        <f ca="1">IFERROR(__xludf.DUMMYFUNCTION("""COMPUTED_VALUE"""),127)</f>
        <v>127</v>
      </c>
      <c r="U269" s="1">
        <f ca="1">IFERROR(__xludf.DUMMYFUNCTION("""COMPUTED_VALUE"""),467)</f>
        <v>467</v>
      </c>
      <c r="V269" s="1">
        <f ca="1">IFERROR(__xludf.DUMMYFUNCTION("""COMPUTED_VALUE"""),0.272)</f>
        <v>0.27200000000000002</v>
      </c>
      <c r="W269" s="1">
        <f ca="1">IFERROR(__xludf.DUMMYFUNCTION("""COMPUTED_VALUE"""),432)</f>
        <v>432</v>
      </c>
      <c r="X269" s="1">
        <f ca="1">IFERROR(__xludf.DUMMYFUNCTION("""COMPUTED_VALUE"""),630)</f>
        <v>630</v>
      </c>
      <c r="Y269" s="1">
        <f ca="1">IFERROR(__xludf.DUMMYFUNCTION("""COMPUTED_VALUE"""),0.686)</f>
        <v>0.68600000000000005</v>
      </c>
      <c r="Z269" s="1">
        <f ca="1">IFERROR(__xludf.DUMMYFUNCTION("""COMPUTED_VALUE"""),355)</f>
        <v>355</v>
      </c>
      <c r="AA269" s="1">
        <f ca="1">IFERROR(__xludf.DUMMYFUNCTION("""COMPUTED_VALUE"""),998)</f>
        <v>998</v>
      </c>
      <c r="AB269" s="1">
        <f ca="1">IFERROR(__xludf.DUMMYFUNCTION("""COMPUTED_VALUE"""),269)</f>
        <v>269</v>
      </c>
      <c r="AC269" s="1">
        <f ca="1">IFERROR(__xludf.DUMMYFUNCTION("""COMPUTED_VALUE"""),239)</f>
        <v>239</v>
      </c>
      <c r="AD269" s="1">
        <f ca="1">IFERROR(__xludf.DUMMYFUNCTION("""COMPUTED_VALUE"""),84)</f>
        <v>84</v>
      </c>
      <c r="AE269" s="1">
        <f ca="1">IFERROR(__xludf.DUMMYFUNCTION("""COMPUTED_VALUE"""),465)</f>
        <v>465</v>
      </c>
      <c r="AF269" s="1">
        <f ca="1">IFERROR(__xludf.DUMMYFUNCTION("""COMPUTED_VALUE"""),691)</f>
        <v>691</v>
      </c>
    </row>
    <row r="270" spans="1:32" ht="12.5" x14ac:dyDescent="0.25">
      <c r="A270" s="1" t="str">
        <f ca="1">IFERROR(__xludf.DUMMYFUNCTION("""COMPUTED_VALUE"""),"Presbyterian")</f>
        <v>Presbyterian</v>
      </c>
      <c r="B270" s="1">
        <f ca="1">IFERROR(__xludf.DUMMYFUNCTION("""COMPUTED_VALUE"""),31)</f>
        <v>31</v>
      </c>
      <c r="C270" s="1">
        <f ca="1">IFERROR(__xludf.DUMMYFUNCTION("""COMPUTED_VALUE"""),11)</f>
        <v>11</v>
      </c>
      <c r="D270" s="1">
        <f ca="1">IFERROR(__xludf.DUMMYFUNCTION("""COMPUTED_VALUE"""),20)</f>
        <v>20</v>
      </c>
      <c r="E270" s="1">
        <f ca="1">IFERROR(__xludf.DUMMYFUNCTION("""COMPUTED_VALUE"""),0.355)</f>
        <v>0.35499999999999998</v>
      </c>
      <c r="F270" s="1">
        <f ca="1">IFERROR(__xludf.DUMMYFUNCTION("""COMPUTED_VALUE"""),-13.38)</f>
        <v>-13.38</v>
      </c>
      <c r="G270" s="1">
        <f ca="1">IFERROR(__xludf.DUMMYFUNCTION("""COMPUTED_VALUE"""),-4.98)</f>
        <v>-4.9800000000000004</v>
      </c>
      <c r="H270" s="1">
        <f ca="1">IFERROR(__xludf.DUMMYFUNCTION("""COMPUTED_VALUE"""),5)</f>
        <v>5</v>
      </c>
      <c r="I270" s="1">
        <f ca="1">IFERROR(__xludf.DUMMYFUNCTION("""COMPUTED_VALUE"""),13)</f>
        <v>13</v>
      </c>
      <c r="J270" s="1">
        <f ca="1">IFERROR(__xludf.DUMMYFUNCTION("""COMPUTED_VALUE"""),7)</f>
        <v>7</v>
      </c>
      <c r="K270" s="1">
        <f ca="1">IFERROR(__xludf.DUMMYFUNCTION("""COMPUTED_VALUE"""),8)</f>
        <v>8</v>
      </c>
      <c r="L270" s="1">
        <f ca="1">IFERROR(__xludf.DUMMYFUNCTION("""COMPUTED_VALUE"""),3)</f>
        <v>3</v>
      </c>
      <c r="M270" s="1">
        <f ca="1">IFERROR(__xludf.DUMMYFUNCTION("""COMPUTED_VALUE"""),11)</f>
        <v>11</v>
      </c>
      <c r="N270" s="1">
        <f ca="1">IFERROR(__xludf.DUMMYFUNCTION("""COMPUTED_VALUE"""),2093)</f>
        <v>2093</v>
      </c>
      <c r="O270" s="1">
        <f ca="1">IFERROR(__xludf.DUMMYFUNCTION("""COMPUTED_VALUE"""),2259)</f>
        <v>2259</v>
      </c>
      <c r="P270" s="1">
        <f ca="1">IFERROR(__xludf.DUMMYFUNCTION("""COMPUTED_VALUE"""),1245)</f>
        <v>1245</v>
      </c>
      <c r="Q270" s="1">
        <f ca="1">IFERROR(__xludf.DUMMYFUNCTION("""COMPUTED_VALUE"""),754)</f>
        <v>754</v>
      </c>
      <c r="R270" s="1">
        <f ca="1">IFERROR(__xludf.DUMMYFUNCTION("""COMPUTED_VALUE"""),1743)</f>
        <v>1743</v>
      </c>
      <c r="S270" s="1">
        <f ca="1">IFERROR(__xludf.DUMMYFUNCTION("""COMPUTED_VALUE"""),0.433)</f>
        <v>0.433</v>
      </c>
      <c r="T270" s="1">
        <f ca="1">IFERROR(__xludf.DUMMYFUNCTION("""COMPUTED_VALUE"""),148)</f>
        <v>148</v>
      </c>
      <c r="U270" s="1">
        <f ca="1">IFERROR(__xludf.DUMMYFUNCTION("""COMPUTED_VALUE"""),502)</f>
        <v>502</v>
      </c>
      <c r="V270" s="1">
        <f ca="1">IFERROR(__xludf.DUMMYFUNCTION("""COMPUTED_VALUE"""),0.295)</f>
        <v>0.29499999999999998</v>
      </c>
      <c r="W270" s="1">
        <f ca="1">IFERROR(__xludf.DUMMYFUNCTION("""COMPUTED_VALUE"""),437)</f>
        <v>437</v>
      </c>
      <c r="X270" s="1">
        <f ca="1">IFERROR(__xludf.DUMMYFUNCTION("""COMPUTED_VALUE"""),615)</f>
        <v>615</v>
      </c>
      <c r="Y270" s="1">
        <f ca="1">IFERROR(__xludf.DUMMYFUNCTION("""COMPUTED_VALUE"""),0.711)</f>
        <v>0.71099999999999997</v>
      </c>
      <c r="Z270" s="1">
        <f ca="1">IFERROR(__xludf.DUMMYFUNCTION("""COMPUTED_VALUE"""),298)</f>
        <v>298</v>
      </c>
      <c r="AA270" s="1">
        <f ca="1">IFERROR(__xludf.DUMMYFUNCTION("""COMPUTED_VALUE"""),1047)</f>
        <v>1047</v>
      </c>
      <c r="AB270" s="1">
        <f ca="1">IFERROR(__xludf.DUMMYFUNCTION("""COMPUTED_VALUE"""),350)</f>
        <v>350</v>
      </c>
      <c r="AC270" s="1">
        <f ca="1">IFERROR(__xludf.DUMMYFUNCTION("""COMPUTED_VALUE"""),206)</f>
        <v>206</v>
      </c>
      <c r="AD270" s="1">
        <f ca="1">IFERROR(__xludf.DUMMYFUNCTION("""COMPUTED_VALUE"""),60)</f>
        <v>60</v>
      </c>
      <c r="AE270" s="1">
        <f ca="1">IFERROR(__xludf.DUMMYFUNCTION("""COMPUTED_VALUE"""),441)</f>
        <v>441</v>
      </c>
      <c r="AF270" s="1">
        <f ca="1">IFERROR(__xludf.DUMMYFUNCTION("""COMPUTED_VALUE"""),595)</f>
        <v>595</v>
      </c>
    </row>
    <row r="271" spans="1:32" ht="12.5" x14ac:dyDescent="0.25">
      <c r="A271" s="1" t="str">
        <f ca="1">IFERROR(__xludf.DUMMYFUNCTION("""COMPUTED_VALUE"""),"Princeton")</f>
        <v>Princeton</v>
      </c>
      <c r="B271" s="1">
        <f ca="1">IFERROR(__xludf.DUMMYFUNCTION("""COMPUTED_VALUE"""),29)</f>
        <v>29</v>
      </c>
      <c r="C271" s="1">
        <f ca="1">IFERROR(__xludf.DUMMYFUNCTION("""COMPUTED_VALUE"""),22)</f>
        <v>22</v>
      </c>
      <c r="D271" s="1">
        <f ca="1">IFERROR(__xludf.DUMMYFUNCTION("""COMPUTED_VALUE"""),7)</f>
        <v>7</v>
      </c>
      <c r="E271" s="1">
        <f ca="1">IFERROR(__xludf.DUMMYFUNCTION("""COMPUTED_VALUE"""),0.759)</f>
        <v>0.75900000000000001</v>
      </c>
      <c r="F271" s="1">
        <f ca="1">IFERROR(__xludf.DUMMYFUNCTION("""COMPUTED_VALUE"""),7.17)</f>
        <v>7.17</v>
      </c>
      <c r="G271" s="1">
        <f ca="1">IFERROR(__xludf.DUMMYFUNCTION("""COMPUTED_VALUE"""),-1.72)</f>
        <v>-1.72</v>
      </c>
      <c r="H271" s="1">
        <f ca="1">IFERROR(__xludf.DUMMYFUNCTION("""COMPUTED_VALUE"""),12)</f>
        <v>12</v>
      </c>
      <c r="I271" s="1">
        <f ca="1">IFERROR(__xludf.DUMMYFUNCTION("""COMPUTED_VALUE"""),2)</f>
        <v>2</v>
      </c>
      <c r="J271" s="1">
        <f ca="1">IFERROR(__xludf.DUMMYFUNCTION("""COMPUTED_VALUE"""),13)</f>
        <v>13</v>
      </c>
      <c r="K271" s="1">
        <f ca="1">IFERROR(__xludf.DUMMYFUNCTION("""COMPUTED_VALUE"""),0)</f>
        <v>0</v>
      </c>
      <c r="L271" s="1">
        <f ca="1">IFERROR(__xludf.DUMMYFUNCTION("""COMPUTED_VALUE"""),9)</f>
        <v>9</v>
      </c>
      <c r="M271" s="1">
        <f ca="1">IFERROR(__xludf.DUMMYFUNCTION("""COMPUTED_VALUE"""),6)</f>
        <v>6</v>
      </c>
      <c r="N271" s="1">
        <f ca="1">IFERROR(__xludf.DUMMYFUNCTION("""COMPUTED_VALUE"""),2294)</f>
        <v>2294</v>
      </c>
      <c r="O271" s="1">
        <f ca="1">IFERROR(__xludf.DUMMYFUNCTION("""COMPUTED_VALUE"""),1989)</f>
        <v>1989</v>
      </c>
      <c r="P271" s="1">
        <f ca="1">IFERROR(__xludf.DUMMYFUNCTION("""COMPUTED_VALUE"""),1175)</f>
        <v>1175</v>
      </c>
      <c r="Q271" s="1">
        <f ca="1">IFERROR(__xludf.DUMMYFUNCTION("""COMPUTED_VALUE"""),800)</f>
        <v>800</v>
      </c>
      <c r="R271" s="1">
        <f ca="1">IFERROR(__xludf.DUMMYFUNCTION("""COMPUTED_VALUE"""),1725)</f>
        <v>1725</v>
      </c>
      <c r="S271" s="1">
        <f ca="1">IFERROR(__xludf.DUMMYFUNCTION("""COMPUTED_VALUE"""),0.464)</f>
        <v>0.46400000000000002</v>
      </c>
      <c r="T271" s="1">
        <f ca="1">IFERROR(__xludf.DUMMYFUNCTION("""COMPUTED_VALUE"""),282)</f>
        <v>282</v>
      </c>
      <c r="U271" s="1">
        <f ca="1">IFERROR(__xludf.DUMMYFUNCTION("""COMPUTED_VALUE"""),736)</f>
        <v>736</v>
      </c>
      <c r="V271" s="1">
        <f ca="1">IFERROR(__xludf.DUMMYFUNCTION("""COMPUTED_VALUE"""),0.383)</f>
        <v>0.38300000000000001</v>
      </c>
      <c r="W271" s="1">
        <f ca="1">IFERROR(__xludf.DUMMYFUNCTION("""COMPUTED_VALUE"""),412)</f>
        <v>412</v>
      </c>
      <c r="X271" s="1">
        <f ca="1">IFERROR(__xludf.DUMMYFUNCTION("""COMPUTED_VALUE"""),579)</f>
        <v>579</v>
      </c>
      <c r="Y271" s="1">
        <f ca="1">IFERROR(__xludf.DUMMYFUNCTION("""COMPUTED_VALUE"""),0.712)</f>
        <v>0.71199999999999997</v>
      </c>
      <c r="Z271" s="1">
        <f ca="1">IFERROR(__xludf.DUMMYFUNCTION("""COMPUTED_VALUE"""),288)</f>
        <v>288</v>
      </c>
      <c r="AA271" s="1">
        <f ca="1">IFERROR(__xludf.DUMMYFUNCTION("""COMPUTED_VALUE"""),1069)</f>
        <v>1069</v>
      </c>
      <c r="AB271" s="1">
        <f ca="1">IFERROR(__xludf.DUMMYFUNCTION("""COMPUTED_VALUE"""),431)</f>
        <v>431</v>
      </c>
      <c r="AC271" s="1">
        <f ca="1">IFERROR(__xludf.DUMMYFUNCTION("""COMPUTED_VALUE"""),206)</f>
        <v>206</v>
      </c>
      <c r="AD271" s="1">
        <f ca="1">IFERROR(__xludf.DUMMYFUNCTION("""COMPUTED_VALUE"""),104)</f>
        <v>104</v>
      </c>
      <c r="AE271" s="1">
        <f ca="1">IFERROR(__xludf.DUMMYFUNCTION("""COMPUTED_VALUE"""),330)</f>
        <v>330</v>
      </c>
      <c r="AF271" s="1">
        <f ca="1">IFERROR(__xludf.DUMMYFUNCTION("""COMPUTED_VALUE"""),503)</f>
        <v>503</v>
      </c>
    </row>
    <row r="272" spans="1:32" ht="12.5" x14ac:dyDescent="0.25">
      <c r="A272" s="1" t="str">
        <f ca="1">IFERROR(__xludf.DUMMYFUNCTION("""COMPUTED_VALUE"""),"ProvidenceNCAA")</f>
        <v>ProvidenceNCAA</v>
      </c>
      <c r="B272" s="1">
        <f ca="1">IFERROR(__xludf.DUMMYFUNCTION("""COMPUTED_VALUE"""),35)</f>
        <v>35</v>
      </c>
      <c r="C272" s="1">
        <f ca="1">IFERROR(__xludf.DUMMYFUNCTION("""COMPUTED_VALUE"""),24)</f>
        <v>24</v>
      </c>
      <c r="D272" s="1">
        <f ca="1">IFERROR(__xludf.DUMMYFUNCTION("""COMPUTED_VALUE"""),11)</f>
        <v>11</v>
      </c>
      <c r="E272" s="1">
        <f ca="1">IFERROR(__xludf.DUMMYFUNCTION("""COMPUTED_VALUE"""),0.686)</f>
        <v>0.68600000000000005</v>
      </c>
      <c r="F272" s="1">
        <f ca="1">IFERROR(__xludf.DUMMYFUNCTION("""COMPUTED_VALUE"""),11.94)</f>
        <v>11.94</v>
      </c>
      <c r="G272" s="1">
        <f ca="1">IFERROR(__xludf.DUMMYFUNCTION("""COMPUTED_VALUE"""),8.46)</f>
        <v>8.4600000000000009</v>
      </c>
      <c r="H272" s="1">
        <f ca="1">IFERROR(__xludf.DUMMYFUNCTION("""COMPUTED_VALUE"""),10)</f>
        <v>10</v>
      </c>
      <c r="I272" s="1">
        <f ca="1">IFERROR(__xludf.DUMMYFUNCTION("""COMPUTED_VALUE"""),8)</f>
        <v>8</v>
      </c>
      <c r="J272" s="1">
        <f ca="1">IFERROR(__xludf.DUMMYFUNCTION("""COMPUTED_VALUE"""),13)</f>
        <v>13</v>
      </c>
      <c r="K272" s="1">
        <f ca="1">IFERROR(__xludf.DUMMYFUNCTION("""COMPUTED_VALUE"""),4)</f>
        <v>4</v>
      </c>
      <c r="L272" s="1">
        <f ca="1">IFERROR(__xludf.DUMMYFUNCTION("""COMPUTED_VALUE"""),7)</f>
        <v>7</v>
      </c>
      <c r="M272" s="1">
        <f ca="1">IFERROR(__xludf.DUMMYFUNCTION("""COMPUTED_VALUE"""),4)</f>
        <v>4</v>
      </c>
      <c r="N272" s="1">
        <f ca="1">IFERROR(__xludf.DUMMYFUNCTION("""COMPUTED_VALUE"""),2577)</f>
        <v>2577</v>
      </c>
      <c r="O272" s="1">
        <f ca="1">IFERROR(__xludf.DUMMYFUNCTION("""COMPUTED_VALUE"""),2455)</f>
        <v>2455</v>
      </c>
      <c r="P272" s="1">
        <f ca="1">IFERROR(__xludf.DUMMYFUNCTION("""COMPUTED_VALUE"""),1415)</f>
        <v>1415</v>
      </c>
      <c r="Q272" s="1">
        <f ca="1">IFERROR(__xludf.DUMMYFUNCTION("""COMPUTED_VALUE"""),881)</f>
        <v>881</v>
      </c>
      <c r="R272" s="1">
        <f ca="1">IFERROR(__xludf.DUMMYFUNCTION("""COMPUTED_VALUE"""),2093)</f>
        <v>2093</v>
      </c>
      <c r="S272" s="1">
        <f ca="1">IFERROR(__xludf.DUMMYFUNCTION("""COMPUTED_VALUE"""),0.421)</f>
        <v>0.42099999999999999</v>
      </c>
      <c r="T272" s="1">
        <f ca="1">IFERROR(__xludf.DUMMYFUNCTION("""COMPUTED_VALUE"""),249)</f>
        <v>249</v>
      </c>
      <c r="U272" s="1">
        <f ca="1">IFERROR(__xludf.DUMMYFUNCTION("""COMPUTED_VALUE"""),776)</f>
        <v>776</v>
      </c>
      <c r="V272" s="1">
        <f ca="1">IFERROR(__xludf.DUMMYFUNCTION("""COMPUTED_VALUE"""),0.321)</f>
        <v>0.32100000000000001</v>
      </c>
      <c r="W272" s="1">
        <f ca="1">IFERROR(__xludf.DUMMYFUNCTION("""COMPUTED_VALUE"""),566)</f>
        <v>566</v>
      </c>
      <c r="X272" s="1">
        <f ca="1">IFERROR(__xludf.DUMMYFUNCTION("""COMPUTED_VALUE"""),781)</f>
        <v>781</v>
      </c>
      <c r="Y272" s="1">
        <f ca="1">IFERROR(__xludf.DUMMYFUNCTION("""COMPUTED_VALUE"""),0.725)</f>
        <v>0.72499999999999998</v>
      </c>
      <c r="Z272" s="1">
        <f ca="1">IFERROR(__xludf.DUMMYFUNCTION("""COMPUTED_VALUE"""),402)</f>
        <v>402</v>
      </c>
      <c r="AA272" s="1">
        <f ca="1">IFERROR(__xludf.DUMMYFUNCTION("""COMPUTED_VALUE"""),1263)</f>
        <v>1263</v>
      </c>
      <c r="AB272" s="1">
        <f ca="1">IFERROR(__xludf.DUMMYFUNCTION("""COMPUTED_VALUE"""),550)</f>
        <v>550</v>
      </c>
      <c r="AC272" s="1">
        <f ca="1">IFERROR(__xludf.DUMMYFUNCTION("""COMPUTED_VALUE"""),229)</f>
        <v>229</v>
      </c>
      <c r="AD272" s="1">
        <f ca="1">IFERROR(__xludf.DUMMYFUNCTION("""COMPUTED_VALUE"""),123)</f>
        <v>123</v>
      </c>
      <c r="AE272" s="1">
        <f ca="1">IFERROR(__xludf.DUMMYFUNCTION("""COMPUTED_VALUE"""),397)</f>
        <v>397</v>
      </c>
      <c r="AF272" s="1">
        <f ca="1">IFERROR(__xludf.DUMMYFUNCTION("""COMPUTED_VALUE"""),591)</f>
        <v>591</v>
      </c>
    </row>
    <row r="273" spans="1:32" ht="12.5" x14ac:dyDescent="0.25">
      <c r="A273" s="1" t="str">
        <f ca="1">IFERROR(__xludf.DUMMYFUNCTION("""COMPUTED_VALUE"""),"PurdueNCAA")</f>
        <v>PurdueNCAA</v>
      </c>
      <c r="B273" s="1">
        <f ca="1">IFERROR(__xludf.DUMMYFUNCTION("""COMPUTED_VALUE"""),35)</f>
        <v>35</v>
      </c>
      <c r="C273" s="1">
        <f ca="1">IFERROR(__xludf.DUMMYFUNCTION("""COMPUTED_VALUE"""),26)</f>
        <v>26</v>
      </c>
      <c r="D273" s="1">
        <f ca="1">IFERROR(__xludf.DUMMYFUNCTION("""COMPUTED_VALUE"""),9)</f>
        <v>9</v>
      </c>
      <c r="E273" s="1">
        <f ca="1">IFERROR(__xludf.DUMMYFUNCTION("""COMPUTED_VALUE"""),0.743)</f>
        <v>0.74299999999999999</v>
      </c>
      <c r="F273" s="1">
        <f ca="1">IFERROR(__xludf.DUMMYFUNCTION("""COMPUTED_VALUE"""),20.17)</f>
        <v>20.170000000000002</v>
      </c>
      <c r="G273" s="1">
        <f ca="1">IFERROR(__xludf.DUMMYFUNCTION("""COMPUTED_VALUE"""),7.46)</f>
        <v>7.46</v>
      </c>
      <c r="H273" s="1">
        <f ca="1">IFERROR(__xludf.DUMMYFUNCTION("""COMPUTED_VALUE"""),12)</f>
        <v>12</v>
      </c>
      <c r="I273" s="1">
        <f ca="1">IFERROR(__xludf.DUMMYFUNCTION("""COMPUTED_VALUE"""),6)</f>
        <v>6</v>
      </c>
      <c r="J273" s="1">
        <f ca="1">IFERROR(__xludf.DUMMYFUNCTION("""COMPUTED_VALUE"""),17)</f>
        <v>17</v>
      </c>
      <c r="K273" s="1">
        <f ca="1">IFERROR(__xludf.DUMMYFUNCTION("""COMPUTED_VALUE"""),1)</f>
        <v>1</v>
      </c>
      <c r="L273" s="1">
        <f ca="1">IFERROR(__xludf.DUMMYFUNCTION("""COMPUTED_VALUE"""),5)</f>
        <v>5</v>
      </c>
      <c r="M273" s="1">
        <f ca="1">IFERROR(__xludf.DUMMYFUNCTION("""COMPUTED_VALUE"""),5)</f>
        <v>5</v>
      </c>
      <c r="N273" s="1">
        <f ca="1">IFERROR(__xludf.DUMMYFUNCTION("""COMPUTED_VALUE"""),2726)</f>
        <v>2726</v>
      </c>
      <c r="O273" s="1">
        <f ca="1">IFERROR(__xludf.DUMMYFUNCTION("""COMPUTED_VALUE"""),2281)</f>
        <v>2281</v>
      </c>
      <c r="P273" s="1">
        <f ca="1">IFERROR(__xludf.DUMMYFUNCTION("""COMPUTED_VALUE"""),1415)</f>
        <v>1415</v>
      </c>
      <c r="Q273" s="1">
        <f ca="1">IFERROR(__xludf.DUMMYFUNCTION("""COMPUTED_VALUE"""),960)</f>
        <v>960</v>
      </c>
      <c r="R273" s="1">
        <f ca="1">IFERROR(__xludf.DUMMYFUNCTION("""COMPUTED_VALUE"""),2042)</f>
        <v>2042</v>
      </c>
      <c r="S273" s="1">
        <f ca="1">IFERROR(__xludf.DUMMYFUNCTION("""COMPUTED_VALUE"""),0.47)</f>
        <v>0.47</v>
      </c>
      <c r="T273" s="1">
        <f ca="1">IFERROR(__xludf.DUMMYFUNCTION("""COMPUTED_VALUE"""),268)</f>
        <v>268</v>
      </c>
      <c r="U273" s="1">
        <f ca="1">IFERROR(__xludf.DUMMYFUNCTION("""COMPUTED_VALUE"""),731)</f>
        <v>731</v>
      </c>
      <c r="V273" s="1">
        <f ca="1">IFERROR(__xludf.DUMMYFUNCTION("""COMPUTED_VALUE"""),0.367)</f>
        <v>0.36699999999999999</v>
      </c>
      <c r="W273" s="1">
        <f ca="1">IFERROR(__xludf.DUMMYFUNCTION("""COMPUTED_VALUE"""),538)</f>
        <v>538</v>
      </c>
      <c r="X273" s="1">
        <f ca="1">IFERROR(__xludf.DUMMYFUNCTION("""COMPUTED_VALUE"""),723)</f>
        <v>723</v>
      </c>
      <c r="Y273" s="1">
        <f ca="1">IFERROR(__xludf.DUMMYFUNCTION("""COMPUTED_VALUE"""),0.744)</f>
        <v>0.74399999999999999</v>
      </c>
      <c r="Z273" s="1">
        <f ca="1">IFERROR(__xludf.DUMMYFUNCTION("""COMPUTED_VALUE"""),407)</f>
        <v>407</v>
      </c>
      <c r="AA273" s="1">
        <f ca="1">IFERROR(__xludf.DUMMYFUNCTION("""COMPUTED_VALUE"""),1443)</f>
        <v>1443</v>
      </c>
      <c r="AB273" s="1">
        <f ca="1">IFERROR(__xludf.DUMMYFUNCTION("""COMPUTED_VALUE"""),615)</f>
        <v>615</v>
      </c>
      <c r="AC273" s="1">
        <f ca="1">IFERROR(__xludf.DUMMYFUNCTION("""COMPUTED_VALUE"""),147)</f>
        <v>147</v>
      </c>
      <c r="AD273" s="1">
        <f ca="1">IFERROR(__xludf.DUMMYFUNCTION("""COMPUTED_VALUE"""),165)</f>
        <v>165</v>
      </c>
      <c r="AE273" s="1">
        <f ca="1">IFERROR(__xludf.DUMMYFUNCTION("""COMPUTED_VALUE"""),419)</f>
        <v>419</v>
      </c>
      <c r="AF273" s="1">
        <f ca="1">IFERROR(__xludf.DUMMYFUNCTION("""COMPUTED_VALUE"""),607)</f>
        <v>607</v>
      </c>
    </row>
    <row r="274" spans="1:32" ht="12.5" x14ac:dyDescent="0.25">
      <c r="A274" s="1" t="str">
        <f ca="1">IFERROR(__xludf.DUMMYFUNCTION("""COMPUTED_VALUE"""),"Quinnipiac")</f>
        <v>Quinnipiac</v>
      </c>
      <c r="B274" s="1">
        <f ca="1">IFERROR(__xludf.DUMMYFUNCTION("""COMPUTED_VALUE"""),30)</f>
        <v>30</v>
      </c>
      <c r="C274" s="1">
        <f ca="1">IFERROR(__xludf.DUMMYFUNCTION("""COMPUTED_VALUE"""),9)</f>
        <v>9</v>
      </c>
      <c r="D274" s="1">
        <f ca="1">IFERROR(__xludf.DUMMYFUNCTION("""COMPUTED_VALUE"""),21)</f>
        <v>21</v>
      </c>
      <c r="E274" s="1">
        <f ca="1">IFERROR(__xludf.DUMMYFUNCTION("""COMPUTED_VALUE"""),0.3)</f>
        <v>0.3</v>
      </c>
      <c r="F274" s="1">
        <f ca="1">IFERROR(__xludf.DUMMYFUNCTION("""COMPUTED_VALUE"""),-10.38)</f>
        <v>-10.38</v>
      </c>
      <c r="G274" s="1">
        <f ca="1">IFERROR(__xludf.DUMMYFUNCTION("""COMPUTED_VALUE"""),-4.98)</f>
        <v>-4.9800000000000004</v>
      </c>
      <c r="H274" s="1">
        <f ca="1">IFERROR(__xludf.DUMMYFUNCTION("""COMPUTED_VALUE"""),6)</f>
        <v>6</v>
      </c>
      <c r="I274" s="1">
        <f ca="1">IFERROR(__xludf.DUMMYFUNCTION("""COMPUTED_VALUE"""),14)</f>
        <v>14</v>
      </c>
      <c r="J274" s="1">
        <f ca="1">IFERROR(__xludf.DUMMYFUNCTION("""COMPUTED_VALUE"""),6)</f>
        <v>6</v>
      </c>
      <c r="K274" s="1">
        <f ca="1">IFERROR(__xludf.DUMMYFUNCTION("""COMPUTED_VALUE"""),8)</f>
        <v>8</v>
      </c>
      <c r="L274" s="1">
        <f ca="1">IFERROR(__xludf.DUMMYFUNCTION("""COMPUTED_VALUE"""),3)</f>
        <v>3</v>
      </c>
      <c r="M274" s="1">
        <f ca="1">IFERROR(__xludf.DUMMYFUNCTION("""COMPUTED_VALUE"""),11)</f>
        <v>11</v>
      </c>
      <c r="N274" s="1">
        <f ca="1">IFERROR(__xludf.DUMMYFUNCTION("""COMPUTED_VALUE"""),1969)</f>
        <v>1969</v>
      </c>
      <c r="O274" s="1">
        <f ca="1">IFERROR(__xludf.DUMMYFUNCTION("""COMPUTED_VALUE"""),2131)</f>
        <v>2131</v>
      </c>
      <c r="P274" s="1">
        <f ca="1">IFERROR(__xludf.DUMMYFUNCTION("""COMPUTED_VALUE"""),1215)</f>
        <v>1215</v>
      </c>
      <c r="Q274" s="1">
        <f ca="1">IFERROR(__xludf.DUMMYFUNCTION("""COMPUTED_VALUE"""),698)</f>
        <v>698</v>
      </c>
      <c r="R274" s="1">
        <f ca="1">IFERROR(__xludf.DUMMYFUNCTION("""COMPUTED_VALUE"""),1897)</f>
        <v>1897</v>
      </c>
      <c r="S274" s="1">
        <f ca="1">IFERROR(__xludf.DUMMYFUNCTION("""COMPUTED_VALUE"""),0.368)</f>
        <v>0.36799999999999999</v>
      </c>
      <c r="T274" s="1">
        <f ca="1">IFERROR(__xludf.DUMMYFUNCTION("""COMPUTED_VALUE"""),229)</f>
        <v>229</v>
      </c>
      <c r="U274" s="1">
        <f ca="1">IFERROR(__xludf.DUMMYFUNCTION("""COMPUTED_VALUE"""),671)</f>
        <v>671</v>
      </c>
      <c r="V274" s="1">
        <f ca="1">IFERROR(__xludf.DUMMYFUNCTION("""COMPUTED_VALUE"""),0.341)</f>
        <v>0.34100000000000003</v>
      </c>
      <c r="W274" s="1">
        <f ca="1">IFERROR(__xludf.DUMMYFUNCTION("""COMPUTED_VALUE"""),344)</f>
        <v>344</v>
      </c>
      <c r="X274" s="1">
        <f ca="1">IFERROR(__xludf.DUMMYFUNCTION("""COMPUTED_VALUE"""),532)</f>
        <v>532</v>
      </c>
      <c r="Y274" s="1">
        <f ca="1">IFERROR(__xludf.DUMMYFUNCTION("""COMPUTED_VALUE"""),0.647)</f>
        <v>0.64700000000000002</v>
      </c>
      <c r="Z274" s="1">
        <f ca="1">IFERROR(__xludf.DUMMYFUNCTION("""COMPUTED_VALUE"""),498)</f>
        <v>498</v>
      </c>
      <c r="AA274" s="1">
        <f ca="1">IFERROR(__xludf.DUMMYFUNCTION("""COMPUTED_VALUE"""),1299)</f>
        <v>1299</v>
      </c>
      <c r="AB274" s="1">
        <f ca="1">IFERROR(__xludf.DUMMYFUNCTION("""COMPUTED_VALUE"""),377)</f>
        <v>377</v>
      </c>
      <c r="AC274" s="1">
        <f ca="1">IFERROR(__xludf.DUMMYFUNCTION("""COMPUTED_VALUE"""),146)</f>
        <v>146</v>
      </c>
      <c r="AD274" s="1">
        <f ca="1">IFERROR(__xludf.DUMMYFUNCTION("""COMPUTED_VALUE"""),141)</f>
        <v>141</v>
      </c>
      <c r="AE274" s="1">
        <f ca="1">IFERROR(__xludf.DUMMYFUNCTION("""COMPUTED_VALUE"""),459)</f>
        <v>459</v>
      </c>
      <c r="AF274" s="1">
        <f ca="1">IFERROR(__xludf.DUMMYFUNCTION("""COMPUTED_VALUE"""),611)</f>
        <v>611</v>
      </c>
    </row>
    <row r="275" spans="1:32" ht="12.5" x14ac:dyDescent="0.25">
      <c r="A275" s="1" t="str">
        <f ca="1">IFERROR(__xludf.DUMMYFUNCTION("""COMPUTED_VALUE"""),"Radford")</f>
        <v>Radford</v>
      </c>
      <c r="B275" s="1">
        <f ca="1">IFERROR(__xludf.DUMMYFUNCTION("""COMPUTED_VALUE"""),31)</f>
        <v>31</v>
      </c>
      <c r="C275" s="1">
        <f ca="1">IFERROR(__xludf.DUMMYFUNCTION("""COMPUTED_VALUE"""),16)</f>
        <v>16</v>
      </c>
      <c r="D275" s="1">
        <f ca="1">IFERROR(__xludf.DUMMYFUNCTION("""COMPUTED_VALUE"""),15)</f>
        <v>15</v>
      </c>
      <c r="E275" s="1">
        <f ca="1">IFERROR(__xludf.DUMMYFUNCTION("""COMPUTED_VALUE"""),0.516)</f>
        <v>0.51600000000000001</v>
      </c>
      <c r="F275" s="1">
        <f ca="1">IFERROR(__xludf.DUMMYFUNCTION("""COMPUTED_VALUE"""),-5.17)</f>
        <v>-5.17</v>
      </c>
      <c r="G275" s="1">
        <f ca="1">IFERROR(__xludf.DUMMYFUNCTION("""COMPUTED_VALUE"""),-3.45)</f>
        <v>-3.45</v>
      </c>
      <c r="H275" s="1">
        <f ca="1">IFERROR(__xludf.DUMMYFUNCTION("""COMPUTED_VALUE"""),9)</f>
        <v>9</v>
      </c>
      <c r="I275" s="1">
        <f ca="1">IFERROR(__xludf.DUMMYFUNCTION("""COMPUTED_VALUE"""),9)</f>
        <v>9</v>
      </c>
      <c r="J275" s="1">
        <f ca="1">IFERROR(__xludf.DUMMYFUNCTION("""COMPUTED_VALUE"""),8)</f>
        <v>8</v>
      </c>
      <c r="K275" s="1">
        <f ca="1">IFERROR(__xludf.DUMMYFUNCTION("""COMPUTED_VALUE"""),6)</f>
        <v>6</v>
      </c>
      <c r="L275" s="1">
        <f ca="1">IFERROR(__xludf.DUMMYFUNCTION("""COMPUTED_VALUE"""),7)</f>
        <v>7</v>
      </c>
      <c r="M275" s="1">
        <f ca="1">IFERROR(__xludf.DUMMYFUNCTION("""COMPUTED_VALUE"""),7)</f>
        <v>7</v>
      </c>
      <c r="N275" s="1">
        <f ca="1">IFERROR(__xludf.DUMMYFUNCTION("""COMPUTED_VALUE"""),2266)</f>
        <v>2266</v>
      </c>
      <c r="O275" s="1">
        <f ca="1">IFERROR(__xludf.DUMMYFUNCTION("""COMPUTED_VALUE"""),2248)</f>
        <v>2248</v>
      </c>
      <c r="P275" s="1">
        <f ca="1">IFERROR(__xludf.DUMMYFUNCTION("""COMPUTED_VALUE"""),1270)</f>
        <v>1270</v>
      </c>
      <c r="Q275" s="1">
        <f ca="1">IFERROR(__xludf.DUMMYFUNCTION("""COMPUTED_VALUE"""),844)</f>
        <v>844</v>
      </c>
      <c r="R275" s="1">
        <f ca="1">IFERROR(__xludf.DUMMYFUNCTION("""COMPUTED_VALUE"""),1885)</f>
        <v>1885</v>
      </c>
      <c r="S275" s="1">
        <f ca="1">IFERROR(__xludf.DUMMYFUNCTION("""COMPUTED_VALUE"""),0.448)</f>
        <v>0.44800000000000001</v>
      </c>
      <c r="T275" s="1">
        <f ca="1">IFERROR(__xludf.DUMMYFUNCTION("""COMPUTED_VALUE"""),226)</f>
        <v>226</v>
      </c>
      <c r="U275" s="1">
        <f ca="1">IFERROR(__xludf.DUMMYFUNCTION("""COMPUTED_VALUE"""),658)</f>
        <v>658</v>
      </c>
      <c r="V275" s="1">
        <f ca="1">IFERROR(__xludf.DUMMYFUNCTION("""COMPUTED_VALUE"""),0.343)</f>
        <v>0.34300000000000003</v>
      </c>
      <c r="W275" s="1">
        <f ca="1">IFERROR(__xludf.DUMMYFUNCTION("""COMPUTED_VALUE"""),352)</f>
        <v>352</v>
      </c>
      <c r="X275" s="1">
        <f ca="1">IFERROR(__xludf.DUMMYFUNCTION("""COMPUTED_VALUE"""),541)</f>
        <v>541</v>
      </c>
      <c r="Y275" s="1">
        <f ca="1">IFERROR(__xludf.DUMMYFUNCTION("""COMPUTED_VALUE"""),0.651)</f>
        <v>0.65100000000000002</v>
      </c>
      <c r="Z275" s="1">
        <f ca="1">IFERROR(__xludf.DUMMYFUNCTION("""COMPUTED_VALUE"""),408)</f>
        <v>408</v>
      </c>
      <c r="AA275" s="1">
        <f ca="1">IFERROR(__xludf.DUMMYFUNCTION("""COMPUTED_VALUE"""),1174)</f>
        <v>1174</v>
      </c>
      <c r="AB275" s="1">
        <f ca="1">IFERROR(__xludf.DUMMYFUNCTION("""COMPUTED_VALUE"""),410)</f>
        <v>410</v>
      </c>
      <c r="AC275" s="1">
        <f ca="1">IFERROR(__xludf.DUMMYFUNCTION("""COMPUTED_VALUE"""),183)</f>
        <v>183</v>
      </c>
      <c r="AD275" s="1">
        <f ca="1">IFERROR(__xludf.DUMMYFUNCTION("""COMPUTED_VALUE"""),138)</f>
        <v>138</v>
      </c>
      <c r="AE275" s="1">
        <f ca="1">IFERROR(__xludf.DUMMYFUNCTION("""COMPUTED_VALUE"""),416)</f>
        <v>416</v>
      </c>
      <c r="AF275" s="1">
        <f ca="1">IFERROR(__xludf.DUMMYFUNCTION("""COMPUTED_VALUE"""),580)</f>
        <v>580</v>
      </c>
    </row>
    <row r="276" spans="1:32" ht="12.5" x14ac:dyDescent="0.25">
      <c r="A276" s="1" t="str">
        <f ca="1">IFERROR(__xludf.DUMMYFUNCTION("""COMPUTED_VALUE"""),"Rhode Island")</f>
        <v>Rhode Island</v>
      </c>
      <c r="B276" s="1">
        <f ca="1">IFERROR(__xludf.DUMMYFUNCTION("""COMPUTED_VALUE"""),32)</f>
        <v>32</v>
      </c>
      <c r="C276" s="1">
        <f ca="1">IFERROR(__xludf.DUMMYFUNCTION("""COMPUTED_VALUE"""),17)</f>
        <v>17</v>
      </c>
      <c r="D276" s="1">
        <f ca="1">IFERROR(__xludf.DUMMYFUNCTION("""COMPUTED_VALUE"""),15)</f>
        <v>15</v>
      </c>
      <c r="E276" s="1">
        <f ca="1">IFERROR(__xludf.DUMMYFUNCTION("""COMPUTED_VALUE"""),0.531)</f>
        <v>0.53100000000000003</v>
      </c>
      <c r="F276" s="1">
        <f ca="1">IFERROR(__xludf.DUMMYFUNCTION("""COMPUTED_VALUE"""),7.92)</f>
        <v>7.92</v>
      </c>
      <c r="G276" s="1">
        <f ca="1">IFERROR(__xludf.DUMMYFUNCTION("""COMPUTED_VALUE"""),3.29)</f>
        <v>3.29</v>
      </c>
      <c r="H276" s="1">
        <f ca="1">IFERROR(__xludf.DUMMYFUNCTION("""COMPUTED_VALUE"""),9)</f>
        <v>9</v>
      </c>
      <c r="I276" s="1">
        <f ca="1">IFERROR(__xludf.DUMMYFUNCTION("""COMPUTED_VALUE"""),9)</f>
        <v>9</v>
      </c>
      <c r="J276" s="1">
        <f ca="1">IFERROR(__xludf.DUMMYFUNCTION("""COMPUTED_VALUE"""),13)</f>
        <v>13</v>
      </c>
      <c r="K276" s="1">
        <f ca="1">IFERROR(__xludf.DUMMYFUNCTION("""COMPUTED_VALUE"""),4)</f>
        <v>4</v>
      </c>
      <c r="L276" s="1">
        <f ca="1">IFERROR(__xludf.DUMMYFUNCTION("""COMPUTED_VALUE"""),3)</f>
        <v>3</v>
      </c>
      <c r="M276" s="1">
        <f ca="1">IFERROR(__xludf.DUMMYFUNCTION("""COMPUTED_VALUE"""),9)</f>
        <v>9</v>
      </c>
      <c r="N276" s="1">
        <f ca="1">IFERROR(__xludf.DUMMYFUNCTION("""COMPUTED_VALUE"""),2220)</f>
        <v>2220</v>
      </c>
      <c r="O276" s="1">
        <f ca="1">IFERROR(__xludf.DUMMYFUNCTION("""COMPUTED_VALUE"""),2072)</f>
        <v>2072</v>
      </c>
      <c r="P276" s="1">
        <f ca="1">IFERROR(__xludf.DUMMYFUNCTION("""COMPUTED_VALUE"""),1295)</f>
        <v>1295</v>
      </c>
      <c r="Q276" s="1">
        <f ca="1">IFERROR(__xludf.DUMMYFUNCTION("""COMPUTED_VALUE"""),782)</f>
        <v>782</v>
      </c>
      <c r="R276" s="1">
        <f ca="1">IFERROR(__xludf.DUMMYFUNCTION("""COMPUTED_VALUE"""),1762)</f>
        <v>1762</v>
      </c>
      <c r="S276" s="1">
        <f ca="1">IFERROR(__xludf.DUMMYFUNCTION("""COMPUTED_VALUE"""),0.444)</f>
        <v>0.44400000000000001</v>
      </c>
      <c r="T276" s="1">
        <f ca="1">IFERROR(__xludf.DUMMYFUNCTION("""COMPUTED_VALUE"""),213)</f>
        <v>213</v>
      </c>
      <c r="U276" s="1">
        <f ca="1">IFERROR(__xludf.DUMMYFUNCTION("""COMPUTED_VALUE"""),584)</f>
        <v>584</v>
      </c>
      <c r="V276" s="1">
        <f ca="1">IFERROR(__xludf.DUMMYFUNCTION("""COMPUTED_VALUE"""),0.365)</f>
        <v>0.36499999999999999</v>
      </c>
      <c r="W276" s="1">
        <f ca="1">IFERROR(__xludf.DUMMYFUNCTION("""COMPUTED_VALUE"""),443)</f>
        <v>443</v>
      </c>
      <c r="X276" s="1">
        <f ca="1">IFERROR(__xludf.DUMMYFUNCTION("""COMPUTED_VALUE"""),662)</f>
        <v>662</v>
      </c>
      <c r="Y276" s="1">
        <f ca="1">IFERROR(__xludf.DUMMYFUNCTION("""COMPUTED_VALUE"""),0.669)</f>
        <v>0.66900000000000004</v>
      </c>
      <c r="Z276" s="1">
        <f ca="1">IFERROR(__xludf.DUMMYFUNCTION("""COMPUTED_VALUE"""),335)</f>
        <v>335</v>
      </c>
      <c r="AA276" s="1">
        <f ca="1">IFERROR(__xludf.DUMMYFUNCTION("""COMPUTED_VALUE"""),1118)</f>
        <v>1118</v>
      </c>
      <c r="AB276" s="1">
        <f ca="1">IFERROR(__xludf.DUMMYFUNCTION("""COMPUTED_VALUE"""),391)</f>
        <v>391</v>
      </c>
      <c r="AC276" s="1">
        <f ca="1">IFERROR(__xludf.DUMMYFUNCTION("""COMPUTED_VALUE"""),170)</f>
        <v>170</v>
      </c>
      <c r="AD276" s="1">
        <f ca="1">IFERROR(__xludf.DUMMYFUNCTION("""COMPUTED_VALUE"""),159)</f>
        <v>159</v>
      </c>
      <c r="AE276" s="1">
        <f ca="1">IFERROR(__xludf.DUMMYFUNCTION("""COMPUTED_VALUE"""),368)</f>
        <v>368</v>
      </c>
      <c r="AF276" s="1">
        <f ca="1">IFERROR(__xludf.DUMMYFUNCTION("""COMPUTED_VALUE"""),606)</f>
        <v>606</v>
      </c>
    </row>
    <row r="277" spans="1:32" ht="12.5" x14ac:dyDescent="0.25">
      <c r="A277" s="1" t="str">
        <f ca="1">IFERROR(__xludf.DUMMYFUNCTION("""COMPUTED_VALUE"""),"Rice")</f>
        <v>Rice</v>
      </c>
      <c r="B277" s="1">
        <f ca="1">IFERROR(__xludf.DUMMYFUNCTION("""COMPUTED_VALUE"""),32)</f>
        <v>32</v>
      </c>
      <c r="C277" s="1">
        <f ca="1">IFERROR(__xludf.DUMMYFUNCTION("""COMPUTED_VALUE"""),12)</f>
        <v>12</v>
      </c>
      <c r="D277" s="1">
        <f ca="1">IFERROR(__xludf.DUMMYFUNCTION("""COMPUTED_VALUE"""),20)</f>
        <v>20</v>
      </c>
      <c r="E277" s="1">
        <f ca="1">IFERROR(__xludf.DUMMYFUNCTION("""COMPUTED_VALUE"""),0.375)</f>
        <v>0.375</v>
      </c>
      <c r="F277" s="1">
        <f ca="1">IFERROR(__xludf.DUMMYFUNCTION("""COMPUTED_VALUE"""),-8.8)</f>
        <v>-8.8000000000000007</v>
      </c>
      <c r="G277" s="1">
        <f ca="1">IFERROR(__xludf.DUMMYFUNCTION("""COMPUTED_VALUE"""),-2.7)</f>
        <v>-2.7</v>
      </c>
      <c r="H277" s="1">
        <f ca="1">IFERROR(__xludf.DUMMYFUNCTION("""COMPUTED_VALUE"""),7)</f>
        <v>7</v>
      </c>
      <c r="I277" s="1">
        <f ca="1">IFERROR(__xludf.DUMMYFUNCTION("""COMPUTED_VALUE"""),11)</f>
        <v>11</v>
      </c>
      <c r="J277" s="1">
        <f ca="1">IFERROR(__xludf.DUMMYFUNCTION("""COMPUTED_VALUE"""),9)</f>
        <v>9</v>
      </c>
      <c r="K277" s="1">
        <f ca="1">IFERROR(__xludf.DUMMYFUNCTION("""COMPUTED_VALUE"""),8)</f>
        <v>8</v>
      </c>
      <c r="L277" s="1">
        <f ca="1">IFERROR(__xludf.DUMMYFUNCTION("""COMPUTED_VALUE"""),3)</f>
        <v>3</v>
      </c>
      <c r="M277" s="1">
        <f ca="1">IFERROR(__xludf.DUMMYFUNCTION("""COMPUTED_VALUE"""),11)</f>
        <v>11</v>
      </c>
      <c r="N277" s="1">
        <f ca="1">IFERROR(__xludf.DUMMYFUNCTION("""COMPUTED_VALUE"""),2427)</f>
        <v>2427</v>
      </c>
      <c r="O277" s="1">
        <f ca="1">IFERROR(__xludf.DUMMYFUNCTION("""COMPUTED_VALUE"""),2576)</f>
        <v>2576</v>
      </c>
      <c r="P277" s="1">
        <f ca="1">IFERROR(__xludf.DUMMYFUNCTION("""COMPUTED_VALUE"""),1285)</f>
        <v>1285</v>
      </c>
      <c r="Q277" s="1">
        <f ca="1">IFERROR(__xludf.DUMMYFUNCTION("""COMPUTED_VALUE"""),813)</f>
        <v>813</v>
      </c>
      <c r="R277" s="1">
        <f ca="1">IFERROR(__xludf.DUMMYFUNCTION("""COMPUTED_VALUE"""),1798)</f>
        <v>1798</v>
      </c>
      <c r="S277" s="1">
        <f ca="1">IFERROR(__xludf.DUMMYFUNCTION("""COMPUTED_VALUE"""),0.452)</f>
        <v>0.45200000000000001</v>
      </c>
      <c r="T277" s="1">
        <f ca="1">IFERROR(__xludf.DUMMYFUNCTION("""COMPUTED_VALUE"""),228)</f>
        <v>228</v>
      </c>
      <c r="U277" s="1">
        <f ca="1">IFERROR(__xludf.DUMMYFUNCTION("""COMPUTED_VALUE"""),716)</f>
        <v>716</v>
      </c>
      <c r="V277" s="1">
        <f ca="1">IFERROR(__xludf.DUMMYFUNCTION("""COMPUTED_VALUE"""),0.318)</f>
        <v>0.318</v>
      </c>
      <c r="W277" s="1">
        <f ca="1">IFERROR(__xludf.DUMMYFUNCTION("""COMPUTED_VALUE"""),573)</f>
        <v>573</v>
      </c>
      <c r="X277" s="1">
        <f ca="1">IFERROR(__xludf.DUMMYFUNCTION("""COMPUTED_VALUE"""),773)</f>
        <v>773</v>
      </c>
      <c r="Y277" s="1">
        <f ca="1">IFERROR(__xludf.DUMMYFUNCTION("""COMPUTED_VALUE"""),0.741)</f>
        <v>0.74099999999999999</v>
      </c>
      <c r="Z277" s="1">
        <f ca="1">IFERROR(__xludf.DUMMYFUNCTION("""COMPUTED_VALUE"""),294)</f>
        <v>294</v>
      </c>
      <c r="AA277" s="1">
        <f ca="1">IFERROR(__xludf.DUMMYFUNCTION("""COMPUTED_VALUE"""),1052)</f>
        <v>1052</v>
      </c>
      <c r="AB277" s="1">
        <f ca="1">IFERROR(__xludf.DUMMYFUNCTION("""COMPUTED_VALUE"""),419)</f>
        <v>419</v>
      </c>
      <c r="AC277" s="1">
        <f ca="1">IFERROR(__xludf.DUMMYFUNCTION("""COMPUTED_VALUE"""),205)</f>
        <v>205</v>
      </c>
      <c r="AD277" s="1">
        <f ca="1">IFERROR(__xludf.DUMMYFUNCTION("""COMPUTED_VALUE"""),89)</f>
        <v>89</v>
      </c>
      <c r="AE277" s="1">
        <f ca="1">IFERROR(__xludf.DUMMYFUNCTION("""COMPUTED_VALUE"""),419)</f>
        <v>419</v>
      </c>
      <c r="AF277" s="1">
        <f ca="1">IFERROR(__xludf.DUMMYFUNCTION("""COMPUTED_VALUE"""),562)</f>
        <v>562</v>
      </c>
    </row>
    <row r="278" spans="1:32" ht="12.5" x14ac:dyDescent="0.25">
      <c r="A278" s="1" t="str">
        <f ca="1">IFERROR(__xludf.DUMMYFUNCTION("""COMPUTED_VALUE"""),"Richmond")</f>
        <v>Richmond</v>
      </c>
      <c r="B278" s="1">
        <f ca="1">IFERROR(__xludf.DUMMYFUNCTION("""COMPUTED_VALUE"""),32)</f>
        <v>32</v>
      </c>
      <c r="C278" s="1">
        <f ca="1">IFERROR(__xludf.DUMMYFUNCTION("""COMPUTED_VALUE"""),16)</f>
        <v>16</v>
      </c>
      <c r="D278" s="1">
        <f ca="1">IFERROR(__xludf.DUMMYFUNCTION("""COMPUTED_VALUE"""),16)</f>
        <v>16</v>
      </c>
      <c r="E278" s="1">
        <f ca="1">IFERROR(__xludf.DUMMYFUNCTION("""COMPUTED_VALUE"""),0.5)</f>
        <v>0.5</v>
      </c>
      <c r="F278" s="1">
        <f ca="1">IFERROR(__xludf.DUMMYFUNCTION("""COMPUTED_VALUE"""),7.28)</f>
        <v>7.28</v>
      </c>
      <c r="G278" s="1">
        <f ca="1">IFERROR(__xludf.DUMMYFUNCTION("""COMPUTED_VALUE"""),4.56)</f>
        <v>4.5599999999999996</v>
      </c>
      <c r="H278" s="1">
        <f ca="1">IFERROR(__xludf.DUMMYFUNCTION("""COMPUTED_VALUE"""),7)</f>
        <v>7</v>
      </c>
      <c r="I278" s="1">
        <f ca="1">IFERROR(__xludf.DUMMYFUNCTION("""COMPUTED_VALUE"""),11)</f>
        <v>11</v>
      </c>
      <c r="J278" s="1">
        <f ca="1">IFERROR(__xludf.DUMMYFUNCTION("""COMPUTED_VALUE"""),9)</f>
        <v>9</v>
      </c>
      <c r="K278" s="1">
        <f ca="1">IFERROR(__xludf.DUMMYFUNCTION("""COMPUTED_VALUE"""),7)</f>
        <v>7</v>
      </c>
      <c r="L278" s="1">
        <f ca="1">IFERROR(__xludf.DUMMYFUNCTION("""COMPUTED_VALUE"""),5)</f>
        <v>5</v>
      </c>
      <c r="M278" s="1">
        <f ca="1">IFERROR(__xludf.DUMMYFUNCTION("""COMPUTED_VALUE"""),7)</f>
        <v>7</v>
      </c>
      <c r="N278" s="1">
        <f ca="1">IFERROR(__xludf.DUMMYFUNCTION("""COMPUTED_VALUE"""),2450)</f>
        <v>2450</v>
      </c>
      <c r="O278" s="1">
        <f ca="1">IFERROR(__xludf.DUMMYFUNCTION("""COMPUTED_VALUE"""),2363)</f>
        <v>2363</v>
      </c>
      <c r="P278" s="1">
        <f ca="1">IFERROR(__xludf.DUMMYFUNCTION("""COMPUTED_VALUE"""),1295)</f>
        <v>1295</v>
      </c>
      <c r="Q278" s="1">
        <f ca="1">IFERROR(__xludf.DUMMYFUNCTION("""COMPUTED_VALUE"""),890)</f>
        <v>890</v>
      </c>
      <c r="R278" s="1">
        <f ca="1">IFERROR(__xludf.DUMMYFUNCTION("""COMPUTED_VALUE"""),1848)</f>
        <v>1848</v>
      </c>
      <c r="S278" s="1">
        <f ca="1">IFERROR(__xludf.DUMMYFUNCTION("""COMPUTED_VALUE"""),0.482)</f>
        <v>0.48199999999999998</v>
      </c>
      <c r="T278" s="1">
        <f ca="1">IFERROR(__xludf.DUMMYFUNCTION("""COMPUTED_VALUE"""),240)</f>
        <v>240</v>
      </c>
      <c r="U278" s="1">
        <f ca="1">IFERROR(__xludf.DUMMYFUNCTION("""COMPUTED_VALUE"""),674)</f>
        <v>674</v>
      </c>
      <c r="V278" s="1">
        <f ca="1">IFERROR(__xludf.DUMMYFUNCTION("""COMPUTED_VALUE"""),0.356)</f>
        <v>0.35599999999999998</v>
      </c>
      <c r="W278" s="1">
        <f ca="1">IFERROR(__xludf.DUMMYFUNCTION("""COMPUTED_VALUE"""),430)</f>
        <v>430</v>
      </c>
      <c r="X278" s="1">
        <f ca="1">IFERROR(__xludf.DUMMYFUNCTION("""COMPUTED_VALUE"""),652)</f>
        <v>652</v>
      </c>
      <c r="Y278" s="1">
        <f ca="1">IFERROR(__xludf.DUMMYFUNCTION("""COMPUTED_VALUE"""),0.66)</f>
        <v>0.66</v>
      </c>
      <c r="Z278" s="1">
        <f ca="1">IFERROR(__xludf.DUMMYFUNCTION("""COMPUTED_VALUE"""),251)</f>
        <v>251</v>
      </c>
      <c r="AA278" s="1">
        <f ca="1">IFERROR(__xludf.DUMMYFUNCTION("""COMPUTED_VALUE"""),1021)</f>
        <v>1021</v>
      </c>
      <c r="AB278" s="1">
        <f ca="1">IFERROR(__xludf.DUMMYFUNCTION("""COMPUTED_VALUE"""),531)</f>
        <v>531</v>
      </c>
      <c r="AC278" s="1">
        <f ca="1">IFERROR(__xludf.DUMMYFUNCTION("""COMPUTED_VALUE"""),210)</f>
        <v>210</v>
      </c>
      <c r="AD278" s="1">
        <f ca="1">IFERROR(__xludf.DUMMYFUNCTION("""COMPUTED_VALUE"""),74)</f>
        <v>74</v>
      </c>
      <c r="AE278" s="1">
        <f ca="1">IFERROR(__xludf.DUMMYFUNCTION("""COMPUTED_VALUE"""),327)</f>
        <v>327</v>
      </c>
      <c r="AF278" s="1">
        <f ca="1">IFERROR(__xludf.DUMMYFUNCTION("""COMPUTED_VALUE"""),610)</f>
        <v>610</v>
      </c>
    </row>
    <row r="279" spans="1:32" ht="12.5" x14ac:dyDescent="0.25">
      <c r="A279" s="1" t="str">
        <f ca="1">IFERROR(__xludf.DUMMYFUNCTION("""COMPUTED_VALUE"""),"Rider")</f>
        <v>Rider</v>
      </c>
      <c r="B279" s="1">
        <f ca="1">IFERROR(__xludf.DUMMYFUNCTION("""COMPUTED_VALUE"""),33)</f>
        <v>33</v>
      </c>
      <c r="C279" s="1">
        <f ca="1">IFERROR(__xludf.DUMMYFUNCTION("""COMPUTED_VALUE"""),13)</f>
        <v>13</v>
      </c>
      <c r="D279" s="1">
        <f ca="1">IFERROR(__xludf.DUMMYFUNCTION("""COMPUTED_VALUE"""),20)</f>
        <v>20</v>
      </c>
      <c r="E279" s="1">
        <f ca="1">IFERROR(__xludf.DUMMYFUNCTION("""COMPUTED_VALUE"""),0.394)</f>
        <v>0.39400000000000002</v>
      </c>
      <c r="F279" s="1">
        <f ca="1">IFERROR(__xludf.DUMMYFUNCTION("""COMPUTED_VALUE"""),-5)</f>
        <v>-5</v>
      </c>
      <c r="G279" s="1">
        <f ca="1">IFERROR(__xludf.DUMMYFUNCTION("""COMPUTED_VALUE"""),-3.6)</f>
        <v>-3.6</v>
      </c>
      <c r="H279" s="1">
        <f ca="1">IFERROR(__xludf.DUMMYFUNCTION("""COMPUTED_VALUE"""),8)</f>
        <v>8</v>
      </c>
      <c r="I279" s="1">
        <f ca="1">IFERROR(__xludf.DUMMYFUNCTION("""COMPUTED_VALUE"""),12)</f>
        <v>12</v>
      </c>
      <c r="J279" s="1">
        <f ca="1">IFERROR(__xludf.DUMMYFUNCTION("""COMPUTED_VALUE"""),7)</f>
        <v>7</v>
      </c>
      <c r="K279" s="1">
        <f ca="1">IFERROR(__xludf.DUMMYFUNCTION("""COMPUTED_VALUE"""),6)</f>
        <v>6</v>
      </c>
      <c r="L279" s="1">
        <f ca="1">IFERROR(__xludf.DUMMYFUNCTION("""COMPUTED_VALUE"""),4)</f>
        <v>4</v>
      </c>
      <c r="M279" s="1">
        <f ca="1">IFERROR(__xludf.DUMMYFUNCTION("""COMPUTED_VALUE"""),12)</f>
        <v>12</v>
      </c>
      <c r="N279" s="1">
        <f ca="1">IFERROR(__xludf.DUMMYFUNCTION("""COMPUTED_VALUE"""),2177)</f>
        <v>2177</v>
      </c>
      <c r="O279" s="1">
        <f ca="1">IFERROR(__xludf.DUMMYFUNCTION("""COMPUTED_VALUE"""),2223)</f>
        <v>2223</v>
      </c>
      <c r="P279" s="1">
        <f ca="1">IFERROR(__xludf.DUMMYFUNCTION("""COMPUTED_VALUE"""),1340)</f>
        <v>1340</v>
      </c>
      <c r="Q279" s="1">
        <f ca="1">IFERROR(__xludf.DUMMYFUNCTION("""COMPUTED_VALUE"""),769)</f>
        <v>769</v>
      </c>
      <c r="R279" s="1">
        <f ca="1">IFERROR(__xludf.DUMMYFUNCTION("""COMPUTED_VALUE"""),1803)</f>
        <v>1803</v>
      </c>
      <c r="S279" s="1">
        <f ca="1">IFERROR(__xludf.DUMMYFUNCTION("""COMPUTED_VALUE"""),0.427)</f>
        <v>0.42699999999999999</v>
      </c>
      <c r="T279" s="1">
        <f ca="1">IFERROR(__xludf.DUMMYFUNCTION("""COMPUTED_VALUE"""),204)</f>
        <v>204</v>
      </c>
      <c r="U279" s="1">
        <f ca="1">IFERROR(__xludf.DUMMYFUNCTION("""COMPUTED_VALUE"""),647)</f>
        <v>647</v>
      </c>
      <c r="V279" s="1">
        <f ca="1">IFERROR(__xludf.DUMMYFUNCTION("""COMPUTED_VALUE"""),0.315)</f>
        <v>0.315</v>
      </c>
      <c r="W279" s="1">
        <f ca="1">IFERROR(__xludf.DUMMYFUNCTION("""COMPUTED_VALUE"""),435)</f>
        <v>435</v>
      </c>
      <c r="X279" s="1">
        <f ca="1">IFERROR(__xludf.DUMMYFUNCTION("""COMPUTED_VALUE"""),638)</f>
        <v>638</v>
      </c>
      <c r="Y279" s="1">
        <f ca="1">IFERROR(__xludf.DUMMYFUNCTION("""COMPUTED_VALUE"""),0.682)</f>
        <v>0.68200000000000005</v>
      </c>
      <c r="Z279" s="1">
        <f ca="1">IFERROR(__xludf.DUMMYFUNCTION("""COMPUTED_VALUE"""),330)</f>
        <v>330</v>
      </c>
      <c r="AA279" s="1">
        <f ca="1">IFERROR(__xludf.DUMMYFUNCTION("""COMPUTED_VALUE"""),1170)</f>
        <v>1170</v>
      </c>
      <c r="AB279" s="1">
        <f ca="1">IFERROR(__xludf.DUMMYFUNCTION("""COMPUTED_VALUE"""),416)</f>
        <v>416</v>
      </c>
      <c r="AC279" s="1">
        <f ca="1">IFERROR(__xludf.DUMMYFUNCTION("""COMPUTED_VALUE"""),189)</f>
        <v>189</v>
      </c>
      <c r="AD279" s="1">
        <f ca="1">IFERROR(__xludf.DUMMYFUNCTION("""COMPUTED_VALUE"""),124)</f>
        <v>124</v>
      </c>
      <c r="AE279" s="1">
        <f ca="1">IFERROR(__xludf.DUMMYFUNCTION("""COMPUTED_VALUE"""),421)</f>
        <v>421</v>
      </c>
      <c r="AF279" s="1">
        <f ca="1">IFERROR(__xludf.DUMMYFUNCTION("""COMPUTED_VALUE"""),587)</f>
        <v>587</v>
      </c>
    </row>
    <row r="280" spans="1:32" ht="12.5" x14ac:dyDescent="0.25">
      <c r="A280" s="1" t="str">
        <f ca="1">IFERROR(__xludf.DUMMYFUNCTION("""COMPUTED_VALUE"""),"Robert Morris")</f>
        <v>Robert Morris</v>
      </c>
      <c r="B280" s="1">
        <f ca="1">IFERROR(__xludf.DUMMYFUNCTION("""COMPUTED_VALUE"""),32)</f>
        <v>32</v>
      </c>
      <c r="C280" s="1">
        <f ca="1">IFERROR(__xludf.DUMMYFUNCTION("""COMPUTED_VALUE"""),10)</f>
        <v>10</v>
      </c>
      <c r="D280" s="1">
        <f ca="1">IFERROR(__xludf.DUMMYFUNCTION("""COMPUTED_VALUE"""),22)</f>
        <v>22</v>
      </c>
      <c r="E280" s="1">
        <f ca="1">IFERROR(__xludf.DUMMYFUNCTION("""COMPUTED_VALUE"""),0.313)</f>
        <v>0.313</v>
      </c>
      <c r="F280" s="1">
        <f ca="1">IFERROR(__xludf.DUMMYFUNCTION("""COMPUTED_VALUE"""),-13.53)</f>
        <v>-13.53</v>
      </c>
      <c r="G280" s="1">
        <f ca="1">IFERROR(__xludf.DUMMYFUNCTION("""COMPUTED_VALUE"""),-7.75)</f>
        <v>-7.75</v>
      </c>
      <c r="H280" s="1">
        <f ca="1">IFERROR(__xludf.DUMMYFUNCTION("""COMPUTED_VALUE"""),8)</f>
        <v>8</v>
      </c>
      <c r="I280" s="1">
        <f ca="1">IFERROR(__xludf.DUMMYFUNCTION("""COMPUTED_VALUE"""),10)</f>
        <v>10</v>
      </c>
      <c r="J280" s="1">
        <f ca="1">IFERROR(__xludf.DUMMYFUNCTION("""COMPUTED_VALUE"""),4)</f>
        <v>4</v>
      </c>
      <c r="K280" s="1">
        <f ca="1">IFERROR(__xludf.DUMMYFUNCTION("""COMPUTED_VALUE"""),8)</f>
        <v>8</v>
      </c>
      <c r="L280" s="1">
        <f ca="1">IFERROR(__xludf.DUMMYFUNCTION("""COMPUTED_VALUE"""),5)</f>
        <v>5</v>
      </c>
      <c r="M280" s="1">
        <f ca="1">IFERROR(__xludf.DUMMYFUNCTION("""COMPUTED_VALUE"""),14)</f>
        <v>14</v>
      </c>
      <c r="N280" s="1">
        <f ca="1">IFERROR(__xludf.DUMMYFUNCTION("""COMPUTED_VALUE"""),2082)</f>
        <v>2082</v>
      </c>
      <c r="O280" s="1">
        <f ca="1">IFERROR(__xludf.DUMMYFUNCTION("""COMPUTED_VALUE"""),2267)</f>
        <v>2267</v>
      </c>
      <c r="P280" s="1">
        <f ca="1">IFERROR(__xludf.DUMMYFUNCTION("""COMPUTED_VALUE"""),1285)</f>
        <v>1285</v>
      </c>
      <c r="Q280" s="1">
        <f ca="1">IFERROR(__xludf.DUMMYFUNCTION("""COMPUTED_VALUE"""),741)</f>
        <v>741</v>
      </c>
      <c r="R280" s="1">
        <f ca="1">IFERROR(__xludf.DUMMYFUNCTION("""COMPUTED_VALUE"""),1780)</f>
        <v>1780</v>
      </c>
      <c r="S280" s="1">
        <f ca="1">IFERROR(__xludf.DUMMYFUNCTION("""COMPUTED_VALUE"""),0.416)</f>
        <v>0.41599999999999998</v>
      </c>
      <c r="T280" s="1">
        <f ca="1">IFERROR(__xludf.DUMMYFUNCTION("""COMPUTED_VALUE"""),178)</f>
        <v>178</v>
      </c>
      <c r="U280" s="1">
        <f ca="1">IFERROR(__xludf.DUMMYFUNCTION("""COMPUTED_VALUE"""),645)</f>
        <v>645</v>
      </c>
      <c r="V280" s="1">
        <f ca="1">IFERROR(__xludf.DUMMYFUNCTION("""COMPUTED_VALUE"""),0.276)</f>
        <v>0.27600000000000002</v>
      </c>
      <c r="W280" s="1">
        <f ca="1">IFERROR(__xludf.DUMMYFUNCTION("""COMPUTED_VALUE"""),422)</f>
        <v>422</v>
      </c>
      <c r="X280" s="1">
        <f ca="1">IFERROR(__xludf.DUMMYFUNCTION("""COMPUTED_VALUE"""),633)</f>
        <v>633</v>
      </c>
      <c r="Y280" s="1">
        <f ca="1">IFERROR(__xludf.DUMMYFUNCTION("""COMPUTED_VALUE"""),0.667)</f>
        <v>0.66700000000000004</v>
      </c>
      <c r="Z280" s="1">
        <f ca="1">IFERROR(__xludf.DUMMYFUNCTION("""COMPUTED_VALUE"""),303)</f>
        <v>303</v>
      </c>
      <c r="AA280" s="1">
        <f ca="1">IFERROR(__xludf.DUMMYFUNCTION("""COMPUTED_VALUE"""),1042)</f>
        <v>1042</v>
      </c>
      <c r="AB280" s="1">
        <f ca="1">IFERROR(__xludf.DUMMYFUNCTION("""COMPUTED_VALUE"""),400)</f>
        <v>400</v>
      </c>
      <c r="AC280" s="1">
        <f ca="1">IFERROR(__xludf.DUMMYFUNCTION("""COMPUTED_VALUE"""),265)</f>
        <v>265</v>
      </c>
      <c r="AD280" s="1">
        <f ca="1">IFERROR(__xludf.DUMMYFUNCTION("""COMPUTED_VALUE"""),127)</f>
        <v>127</v>
      </c>
      <c r="AE280" s="1">
        <f ca="1">IFERROR(__xludf.DUMMYFUNCTION("""COMPUTED_VALUE"""),454)</f>
        <v>454</v>
      </c>
      <c r="AF280" s="1">
        <f ca="1">IFERROR(__xludf.DUMMYFUNCTION("""COMPUTED_VALUE"""),552)</f>
        <v>552</v>
      </c>
    </row>
    <row r="281" spans="1:32" ht="12.5" x14ac:dyDescent="0.25">
      <c r="A281" s="1" t="str">
        <f ca="1">IFERROR(__xludf.DUMMYFUNCTION("""COMPUTED_VALUE"""),"Rutgers")</f>
        <v>Rutgers</v>
      </c>
      <c r="B281" s="1">
        <f ca="1">IFERROR(__xludf.DUMMYFUNCTION("""COMPUTED_VALUE"""),32)</f>
        <v>32</v>
      </c>
      <c r="C281" s="1">
        <f ca="1">IFERROR(__xludf.DUMMYFUNCTION("""COMPUTED_VALUE"""),7)</f>
        <v>7</v>
      </c>
      <c r="D281" s="1">
        <f ca="1">IFERROR(__xludf.DUMMYFUNCTION("""COMPUTED_VALUE"""),25)</f>
        <v>25</v>
      </c>
      <c r="E281" s="1">
        <f ca="1">IFERROR(__xludf.DUMMYFUNCTION("""COMPUTED_VALUE"""),0.219)</f>
        <v>0.219</v>
      </c>
      <c r="F281" s="1">
        <f ca="1">IFERROR(__xludf.DUMMYFUNCTION("""COMPUTED_VALUE"""),-7.06)</f>
        <v>-7.06</v>
      </c>
      <c r="G281" s="1">
        <f ca="1">IFERROR(__xludf.DUMMYFUNCTION("""COMPUTED_VALUE"""),6.43)</f>
        <v>6.43</v>
      </c>
      <c r="H281" s="1">
        <f ca="1">IFERROR(__xludf.DUMMYFUNCTION("""COMPUTED_VALUE"""),1)</f>
        <v>1</v>
      </c>
      <c r="I281" s="1">
        <f ca="1">IFERROR(__xludf.DUMMYFUNCTION("""COMPUTED_VALUE"""),17)</f>
        <v>17</v>
      </c>
      <c r="J281" s="1">
        <f ca="1">IFERROR(__xludf.DUMMYFUNCTION("""COMPUTED_VALUE"""),7)</f>
        <v>7</v>
      </c>
      <c r="K281" s="1">
        <f ca="1">IFERROR(__xludf.DUMMYFUNCTION("""COMPUTED_VALUE"""),11)</f>
        <v>11</v>
      </c>
      <c r="L281" s="1">
        <f ca="1">IFERROR(__xludf.DUMMYFUNCTION("""COMPUTED_VALUE"""),0)</f>
        <v>0</v>
      </c>
      <c r="M281" s="1">
        <f ca="1">IFERROR(__xludf.DUMMYFUNCTION("""COMPUTED_VALUE"""),11)</f>
        <v>11</v>
      </c>
      <c r="N281" s="1">
        <f ca="1">IFERROR(__xludf.DUMMYFUNCTION("""COMPUTED_VALUE"""),2166)</f>
        <v>2166</v>
      </c>
      <c r="O281" s="1">
        <f ca="1">IFERROR(__xludf.DUMMYFUNCTION("""COMPUTED_VALUE"""),2571)</f>
        <v>2571</v>
      </c>
      <c r="P281" s="1">
        <f ca="1">IFERROR(__xludf.DUMMYFUNCTION("""COMPUTED_VALUE"""),1295)</f>
        <v>1295</v>
      </c>
      <c r="Q281" s="1">
        <f ca="1">IFERROR(__xludf.DUMMYFUNCTION("""COMPUTED_VALUE"""),785)</f>
        <v>785</v>
      </c>
      <c r="R281" s="1">
        <f ca="1">IFERROR(__xludf.DUMMYFUNCTION("""COMPUTED_VALUE"""),1878)</f>
        <v>1878</v>
      </c>
      <c r="S281" s="1">
        <f ca="1">IFERROR(__xludf.DUMMYFUNCTION("""COMPUTED_VALUE"""),0.418)</f>
        <v>0.41799999999999998</v>
      </c>
      <c r="T281" s="1">
        <f ca="1">IFERROR(__xludf.DUMMYFUNCTION("""COMPUTED_VALUE"""),161)</f>
        <v>161</v>
      </c>
      <c r="U281" s="1">
        <f ca="1">IFERROR(__xludf.DUMMYFUNCTION("""COMPUTED_VALUE"""),503)</f>
        <v>503</v>
      </c>
      <c r="V281" s="1">
        <f ca="1">IFERROR(__xludf.DUMMYFUNCTION("""COMPUTED_VALUE"""),0.32)</f>
        <v>0.32</v>
      </c>
      <c r="W281" s="1">
        <f ca="1">IFERROR(__xludf.DUMMYFUNCTION("""COMPUTED_VALUE"""),435)</f>
        <v>435</v>
      </c>
      <c r="X281" s="1">
        <f ca="1">IFERROR(__xludf.DUMMYFUNCTION("""COMPUTED_VALUE"""),640)</f>
        <v>640</v>
      </c>
      <c r="Y281" s="1">
        <f ca="1">IFERROR(__xludf.DUMMYFUNCTION("""COMPUTED_VALUE"""),0.68)</f>
        <v>0.68</v>
      </c>
      <c r="Z281" s="1">
        <f ca="1">IFERROR(__xludf.DUMMYFUNCTION("""COMPUTED_VALUE"""),314)</f>
        <v>314</v>
      </c>
      <c r="AA281" s="1">
        <f ca="1">IFERROR(__xludf.DUMMYFUNCTION("""COMPUTED_VALUE"""),1113)</f>
        <v>1113</v>
      </c>
      <c r="AB281" s="1">
        <f ca="1">IFERROR(__xludf.DUMMYFUNCTION("""COMPUTED_VALUE"""),377)</f>
        <v>377</v>
      </c>
      <c r="AC281" s="1">
        <f ca="1">IFERROR(__xludf.DUMMYFUNCTION("""COMPUTED_VALUE"""),195)</f>
        <v>195</v>
      </c>
      <c r="AD281" s="1">
        <f ca="1">IFERROR(__xludf.DUMMYFUNCTION("""COMPUTED_VALUE"""),113)</f>
        <v>113</v>
      </c>
      <c r="AE281" s="1">
        <f ca="1">IFERROR(__xludf.DUMMYFUNCTION("""COMPUTED_VALUE"""),443)</f>
        <v>443</v>
      </c>
      <c r="AF281" s="1">
        <f ca="1">IFERROR(__xludf.DUMMYFUNCTION("""COMPUTED_VALUE"""),562)</f>
        <v>562</v>
      </c>
    </row>
    <row r="282" spans="1:32" ht="12.5" x14ac:dyDescent="0.25">
      <c r="A282" s="1" t="str">
        <f ca="1">IFERROR(__xludf.DUMMYFUNCTION("""COMPUTED_VALUE"""),"Sacramento State")</f>
        <v>Sacramento State</v>
      </c>
      <c r="B282" s="1">
        <f ca="1">IFERROR(__xludf.DUMMYFUNCTION("""COMPUTED_VALUE"""),31)</f>
        <v>31</v>
      </c>
      <c r="C282" s="1">
        <f ca="1">IFERROR(__xludf.DUMMYFUNCTION("""COMPUTED_VALUE"""),14)</f>
        <v>14</v>
      </c>
      <c r="D282" s="1">
        <f ca="1">IFERROR(__xludf.DUMMYFUNCTION("""COMPUTED_VALUE"""),17)</f>
        <v>17</v>
      </c>
      <c r="E282" s="1">
        <f ca="1">IFERROR(__xludf.DUMMYFUNCTION("""COMPUTED_VALUE"""),0.452)</f>
        <v>0.45200000000000001</v>
      </c>
      <c r="F282" s="1">
        <f ca="1">IFERROR(__xludf.DUMMYFUNCTION("""COMPUTED_VALUE"""),-8.63)</f>
        <v>-8.6300000000000008</v>
      </c>
      <c r="G282" s="1">
        <f ca="1">IFERROR(__xludf.DUMMYFUNCTION("""COMPUTED_VALUE"""),-5.32)</f>
        <v>-5.32</v>
      </c>
      <c r="H282" s="1">
        <f ca="1">IFERROR(__xludf.DUMMYFUNCTION("""COMPUTED_VALUE"""),6)</f>
        <v>6</v>
      </c>
      <c r="I282" s="1">
        <f ca="1">IFERROR(__xludf.DUMMYFUNCTION("""COMPUTED_VALUE"""),12)</f>
        <v>12</v>
      </c>
      <c r="J282" s="1">
        <f ca="1">IFERROR(__xludf.DUMMYFUNCTION("""COMPUTED_VALUE"""),10)</f>
        <v>10</v>
      </c>
      <c r="K282" s="1">
        <f ca="1">IFERROR(__xludf.DUMMYFUNCTION("""COMPUTED_VALUE"""),5)</f>
        <v>5</v>
      </c>
      <c r="L282" s="1">
        <f ca="1">IFERROR(__xludf.DUMMYFUNCTION("""COMPUTED_VALUE"""),3)</f>
        <v>3</v>
      </c>
      <c r="M282" s="1">
        <f ca="1">IFERROR(__xludf.DUMMYFUNCTION("""COMPUTED_VALUE"""),11)</f>
        <v>11</v>
      </c>
      <c r="N282" s="1">
        <f ca="1">IFERROR(__xludf.DUMMYFUNCTION("""COMPUTED_VALUE"""),2210)</f>
        <v>2210</v>
      </c>
      <c r="O282" s="1">
        <f ca="1">IFERROR(__xludf.DUMMYFUNCTION("""COMPUTED_VALUE"""),2237)</f>
        <v>2237</v>
      </c>
      <c r="P282" s="1">
        <f ca="1">IFERROR(__xludf.DUMMYFUNCTION("""COMPUTED_VALUE"""),1245)</f>
        <v>1245</v>
      </c>
      <c r="Q282" s="1">
        <f ca="1">IFERROR(__xludf.DUMMYFUNCTION("""COMPUTED_VALUE"""),790)</f>
        <v>790</v>
      </c>
      <c r="R282" s="1">
        <f ca="1">IFERROR(__xludf.DUMMYFUNCTION("""COMPUTED_VALUE"""),1784)</f>
        <v>1784</v>
      </c>
      <c r="S282" s="1">
        <f ca="1">IFERROR(__xludf.DUMMYFUNCTION("""COMPUTED_VALUE"""),0.443)</f>
        <v>0.443</v>
      </c>
      <c r="T282" s="1">
        <f ca="1">IFERROR(__xludf.DUMMYFUNCTION("""COMPUTED_VALUE"""),209)</f>
        <v>209</v>
      </c>
      <c r="U282" s="1">
        <f ca="1">IFERROR(__xludf.DUMMYFUNCTION("""COMPUTED_VALUE"""),618)</f>
        <v>618</v>
      </c>
      <c r="V282" s="1">
        <f ca="1">IFERROR(__xludf.DUMMYFUNCTION("""COMPUTED_VALUE"""),0.338)</f>
        <v>0.33800000000000002</v>
      </c>
      <c r="W282" s="1">
        <f ca="1">IFERROR(__xludf.DUMMYFUNCTION("""COMPUTED_VALUE"""),421)</f>
        <v>421</v>
      </c>
      <c r="X282" s="1">
        <f ca="1">IFERROR(__xludf.DUMMYFUNCTION("""COMPUTED_VALUE"""),627)</f>
        <v>627</v>
      </c>
      <c r="Y282" s="1">
        <f ca="1">IFERROR(__xludf.DUMMYFUNCTION("""COMPUTED_VALUE"""),0.671)</f>
        <v>0.67100000000000004</v>
      </c>
      <c r="Z282" s="1">
        <f ca="1">IFERROR(__xludf.DUMMYFUNCTION("""COMPUTED_VALUE"""),302)</f>
        <v>302</v>
      </c>
      <c r="AA282" s="1">
        <f ca="1">IFERROR(__xludf.DUMMYFUNCTION("""COMPUTED_VALUE"""),1112)</f>
        <v>1112</v>
      </c>
      <c r="AB282" s="1">
        <f ca="1">IFERROR(__xludf.DUMMYFUNCTION("""COMPUTED_VALUE"""),434)</f>
        <v>434</v>
      </c>
      <c r="AC282" s="1">
        <f ca="1">IFERROR(__xludf.DUMMYFUNCTION("""COMPUTED_VALUE"""),175)</f>
        <v>175</v>
      </c>
      <c r="AD282" s="1">
        <f ca="1">IFERROR(__xludf.DUMMYFUNCTION("""COMPUTED_VALUE"""),130)</f>
        <v>130</v>
      </c>
      <c r="AE282" s="1">
        <f ca="1">IFERROR(__xludf.DUMMYFUNCTION("""COMPUTED_VALUE"""),367)</f>
        <v>367</v>
      </c>
      <c r="AF282" s="1">
        <f ca="1">IFERROR(__xludf.DUMMYFUNCTION("""COMPUTED_VALUE"""),631)</f>
        <v>631</v>
      </c>
    </row>
    <row r="283" spans="1:32" ht="12.5" x14ac:dyDescent="0.25">
      <c r="A283" s="1" t="str">
        <f ca="1">IFERROR(__xludf.DUMMYFUNCTION("""COMPUTED_VALUE"""),"Sacred Heart")</f>
        <v>Sacred Heart</v>
      </c>
      <c r="B283" s="1">
        <f ca="1">IFERROR(__xludf.DUMMYFUNCTION("""COMPUTED_VALUE"""),30)</f>
        <v>30</v>
      </c>
      <c r="C283" s="1">
        <f ca="1">IFERROR(__xludf.DUMMYFUNCTION("""COMPUTED_VALUE"""),12)</f>
        <v>12</v>
      </c>
      <c r="D283" s="1">
        <f ca="1">IFERROR(__xludf.DUMMYFUNCTION("""COMPUTED_VALUE"""),18)</f>
        <v>18</v>
      </c>
      <c r="E283" s="1">
        <f ca="1">IFERROR(__xludf.DUMMYFUNCTION("""COMPUTED_VALUE"""),0.4)</f>
        <v>0.4</v>
      </c>
      <c r="F283" s="1">
        <f ca="1">IFERROR(__xludf.DUMMYFUNCTION("""COMPUTED_VALUE"""),-13.01)</f>
        <v>-13.01</v>
      </c>
      <c r="G283" s="1">
        <f ca="1">IFERROR(__xludf.DUMMYFUNCTION("""COMPUTED_VALUE"""),-9.05)</f>
        <v>-9.0500000000000007</v>
      </c>
      <c r="H283" s="1">
        <f ca="1">IFERROR(__xludf.DUMMYFUNCTION("""COMPUTED_VALUE"""),11)</f>
        <v>11</v>
      </c>
      <c r="I283" s="1">
        <f ca="1">IFERROR(__xludf.DUMMYFUNCTION("""COMPUTED_VALUE"""),7)</f>
        <v>7</v>
      </c>
      <c r="J283" s="1">
        <f ca="1">IFERROR(__xludf.DUMMYFUNCTION("""COMPUTED_VALUE"""),6)</f>
        <v>6</v>
      </c>
      <c r="K283" s="1">
        <f ca="1">IFERROR(__xludf.DUMMYFUNCTION("""COMPUTED_VALUE"""),5)</f>
        <v>5</v>
      </c>
      <c r="L283" s="1">
        <f ca="1">IFERROR(__xludf.DUMMYFUNCTION("""COMPUTED_VALUE"""),5)</f>
        <v>5</v>
      </c>
      <c r="M283" s="1">
        <f ca="1">IFERROR(__xludf.DUMMYFUNCTION("""COMPUTED_VALUE"""),13)</f>
        <v>13</v>
      </c>
      <c r="N283" s="1">
        <f ca="1">IFERROR(__xludf.DUMMYFUNCTION("""COMPUTED_VALUE"""),2217)</f>
        <v>2217</v>
      </c>
      <c r="O283" s="1">
        <f ca="1">IFERROR(__xludf.DUMMYFUNCTION("""COMPUTED_VALUE"""),2336)</f>
        <v>2336</v>
      </c>
      <c r="P283" s="1">
        <f ca="1">IFERROR(__xludf.DUMMYFUNCTION("""COMPUTED_VALUE"""),1210)</f>
        <v>1210</v>
      </c>
      <c r="Q283" s="1">
        <f ca="1">IFERROR(__xludf.DUMMYFUNCTION("""COMPUTED_VALUE"""),785)</f>
        <v>785</v>
      </c>
      <c r="R283" s="1">
        <f ca="1">IFERROR(__xludf.DUMMYFUNCTION("""COMPUTED_VALUE"""),1795)</f>
        <v>1795</v>
      </c>
      <c r="S283" s="1">
        <f ca="1">IFERROR(__xludf.DUMMYFUNCTION("""COMPUTED_VALUE"""),0.437)</f>
        <v>0.437</v>
      </c>
      <c r="T283" s="1">
        <f ca="1">IFERROR(__xludf.DUMMYFUNCTION("""COMPUTED_VALUE"""),169)</f>
        <v>169</v>
      </c>
      <c r="U283" s="1">
        <f ca="1">IFERROR(__xludf.DUMMYFUNCTION("""COMPUTED_VALUE"""),544)</f>
        <v>544</v>
      </c>
      <c r="V283" s="1">
        <f ca="1">IFERROR(__xludf.DUMMYFUNCTION("""COMPUTED_VALUE"""),0.311)</f>
        <v>0.311</v>
      </c>
      <c r="W283" s="1">
        <f ca="1">IFERROR(__xludf.DUMMYFUNCTION("""COMPUTED_VALUE"""),478)</f>
        <v>478</v>
      </c>
      <c r="X283" s="1">
        <f ca="1">IFERROR(__xludf.DUMMYFUNCTION("""COMPUTED_VALUE"""),695)</f>
        <v>695</v>
      </c>
      <c r="Y283" s="1">
        <f ca="1">IFERROR(__xludf.DUMMYFUNCTION("""COMPUTED_VALUE"""),0.688)</f>
        <v>0.68799999999999994</v>
      </c>
      <c r="Z283" s="1">
        <f ca="1">IFERROR(__xludf.DUMMYFUNCTION("""COMPUTED_VALUE"""),378)</f>
        <v>378</v>
      </c>
      <c r="AA283" s="1">
        <f ca="1">IFERROR(__xludf.DUMMYFUNCTION("""COMPUTED_VALUE"""),1128)</f>
        <v>1128</v>
      </c>
      <c r="AB283" s="1">
        <f ca="1">IFERROR(__xludf.DUMMYFUNCTION("""COMPUTED_VALUE"""),363)</f>
        <v>363</v>
      </c>
      <c r="AC283" s="1">
        <f ca="1">IFERROR(__xludf.DUMMYFUNCTION("""COMPUTED_VALUE"""),190)</f>
        <v>190</v>
      </c>
      <c r="AD283" s="1">
        <f ca="1">IFERROR(__xludf.DUMMYFUNCTION("""COMPUTED_VALUE"""),77)</f>
        <v>77</v>
      </c>
      <c r="AE283" s="1">
        <f ca="1">IFERROR(__xludf.DUMMYFUNCTION("""COMPUTED_VALUE"""),442)</f>
        <v>442</v>
      </c>
      <c r="AF283" s="1">
        <f ca="1">IFERROR(__xludf.DUMMYFUNCTION("""COMPUTED_VALUE"""),625)</f>
        <v>625</v>
      </c>
    </row>
    <row r="284" spans="1:32" ht="12.5" x14ac:dyDescent="0.25">
      <c r="A284" s="1" t="str">
        <f ca="1">IFERROR(__xludf.DUMMYFUNCTION("""COMPUTED_VALUE"""),"Saint Francis (PA)")</f>
        <v>Saint Francis (PA)</v>
      </c>
      <c r="B284" s="1">
        <f ca="1">IFERROR(__xludf.DUMMYFUNCTION("""COMPUTED_VALUE"""),30)</f>
        <v>30</v>
      </c>
      <c r="C284" s="1">
        <f ca="1">IFERROR(__xludf.DUMMYFUNCTION("""COMPUTED_VALUE"""),13)</f>
        <v>13</v>
      </c>
      <c r="D284" s="1">
        <f ca="1">IFERROR(__xludf.DUMMYFUNCTION("""COMPUTED_VALUE"""),17)</f>
        <v>17</v>
      </c>
      <c r="E284" s="1">
        <f ca="1">IFERROR(__xludf.DUMMYFUNCTION("""COMPUTED_VALUE"""),0.433)</f>
        <v>0.433</v>
      </c>
      <c r="F284" s="1">
        <f ca="1">IFERROR(__xludf.DUMMYFUNCTION("""COMPUTED_VALUE"""),-12.57)</f>
        <v>-12.57</v>
      </c>
      <c r="G284" s="1">
        <f ca="1">IFERROR(__xludf.DUMMYFUNCTION("""COMPUTED_VALUE"""),-9.06)</f>
        <v>-9.06</v>
      </c>
      <c r="H284" s="1">
        <f ca="1">IFERROR(__xludf.DUMMYFUNCTION("""COMPUTED_VALUE"""),9)</f>
        <v>9</v>
      </c>
      <c r="I284" s="1">
        <f ca="1">IFERROR(__xludf.DUMMYFUNCTION("""COMPUTED_VALUE"""),9)</f>
        <v>9</v>
      </c>
      <c r="J284" s="1">
        <f ca="1">IFERROR(__xludf.DUMMYFUNCTION("""COMPUTED_VALUE"""),8)</f>
        <v>8</v>
      </c>
      <c r="K284" s="1">
        <f ca="1">IFERROR(__xludf.DUMMYFUNCTION("""COMPUTED_VALUE"""),6)</f>
        <v>6</v>
      </c>
      <c r="L284" s="1">
        <f ca="1">IFERROR(__xludf.DUMMYFUNCTION("""COMPUTED_VALUE"""),5)</f>
        <v>5</v>
      </c>
      <c r="M284" s="1">
        <f ca="1">IFERROR(__xludf.DUMMYFUNCTION("""COMPUTED_VALUE"""),11)</f>
        <v>11</v>
      </c>
      <c r="N284" s="1">
        <f ca="1">IFERROR(__xludf.DUMMYFUNCTION("""COMPUTED_VALUE"""),2110)</f>
        <v>2110</v>
      </c>
      <c r="O284" s="1">
        <f ca="1">IFERROR(__xludf.DUMMYFUNCTION("""COMPUTED_VALUE"""),2181)</f>
        <v>2181</v>
      </c>
      <c r="P284" s="1">
        <f ca="1">IFERROR(__xludf.DUMMYFUNCTION("""COMPUTED_VALUE"""),1210)</f>
        <v>1210</v>
      </c>
      <c r="Q284" s="1">
        <f ca="1">IFERROR(__xludf.DUMMYFUNCTION("""COMPUTED_VALUE"""),716)</f>
        <v>716</v>
      </c>
      <c r="R284" s="1">
        <f ca="1">IFERROR(__xludf.DUMMYFUNCTION("""COMPUTED_VALUE"""),1700)</f>
        <v>1700</v>
      </c>
      <c r="S284" s="1">
        <f ca="1">IFERROR(__xludf.DUMMYFUNCTION("""COMPUTED_VALUE"""),0.421)</f>
        <v>0.42099999999999999</v>
      </c>
      <c r="T284" s="1">
        <f ca="1">IFERROR(__xludf.DUMMYFUNCTION("""COMPUTED_VALUE"""),218)</f>
        <v>218</v>
      </c>
      <c r="U284" s="1">
        <f ca="1">IFERROR(__xludf.DUMMYFUNCTION("""COMPUTED_VALUE"""),607)</f>
        <v>607</v>
      </c>
      <c r="V284" s="1">
        <f ca="1">IFERROR(__xludf.DUMMYFUNCTION("""COMPUTED_VALUE"""),0.359)</f>
        <v>0.35899999999999999</v>
      </c>
      <c r="W284" s="1">
        <f ca="1">IFERROR(__xludf.DUMMYFUNCTION("""COMPUTED_VALUE"""),460)</f>
        <v>460</v>
      </c>
      <c r="X284" s="1">
        <f ca="1">IFERROR(__xludf.DUMMYFUNCTION("""COMPUTED_VALUE"""),662)</f>
        <v>662</v>
      </c>
      <c r="Y284" s="1">
        <f ca="1">IFERROR(__xludf.DUMMYFUNCTION("""COMPUTED_VALUE"""),0.695)</f>
        <v>0.69499999999999995</v>
      </c>
      <c r="Z284" s="1">
        <f ca="1">IFERROR(__xludf.DUMMYFUNCTION("""COMPUTED_VALUE"""),349)</f>
        <v>349</v>
      </c>
      <c r="AA284" s="1">
        <f ca="1">IFERROR(__xludf.DUMMYFUNCTION("""COMPUTED_VALUE"""),1093)</f>
        <v>1093</v>
      </c>
      <c r="AB284" s="1">
        <f ca="1">IFERROR(__xludf.DUMMYFUNCTION("""COMPUTED_VALUE"""),356)</f>
        <v>356</v>
      </c>
      <c r="AC284" s="1">
        <f ca="1">IFERROR(__xludf.DUMMYFUNCTION("""COMPUTED_VALUE"""),140)</f>
        <v>140</v>
      </c>
      <c r="AD284" s="1">
        <f ca="1">IFERROR(__xludf.DUMMYFUNCTION("""COMPUTED_VALUE"""),95)</f>
        <v>95</v>
      </c>
      <c r="AE284" s="1">
        <f ca="1">IFERROR(__xludf.DUMMYFUNCTION("""COMPUTED_VALUE"""),379)</f>
        <v>379</v>
      </c>
      <c r="AF284" s="1">
        <f ca="1">IFERROR(__xludf.DUMMYFUNCTION("""COMPUTED_VALUE"""),515)</f>
        <v>515</v>
      </c>
    </row>
    <row r="285" spans="1:32" ht="12.5" x14ac:dyDescent="0.25">
      <c r="A285" s="1" t="str">
        <f ca="1">IFERROR(__xludf.DUMMYFUNCTION("""COMPUTED_VALUE"""),"Saint Joseph'sNCAA")</f>
        <v>Saint Joseph'sNCAA</v>
      </c>
      <c r="B285" s="1">
        <f ca="1">IFERROR(__xludf.DUMMYFUNCTION("""COMPUTED_VALUE"""),36)</f>
        <v>36</v>
      </c>
      <c r="C285" s="1">
        <f ca="1">IFERROR(__xludf.DUMMYFUNCTION("""COMPUTED_VALUE"""),28)</f>
        <v>28</v>
      </c>
      <c r="D285" s="1">
        <f ca="1">IFERROR(__xludf.DUMMYFUNCTION("""COMPUTED_VALUE"""),8)</f>
        <v>8</v>
      </c>
      <c r="E285" s="1">
        <f ca="1">IFERROR(__xludf.DUMMYFUNCTION("""COMPUTED_VALUE"""),0.778)</f>
        <v>0.77800000000000002</v>
      </c>
      <c r="F285" s="1">
        <f ca="1">IFERROR(__xludf.DUMMYFUNCTION("""COMPUTED_VALUE"""),12.1)</f>
        <v>12.1</v>
      </c>
      <c r="G285" s="1">
        <f ca="1">IFERROR(__xludf.DUMMYFUNCTION("""COMPUTED_VALUE"""),4.93)</f>
        <v>4.93</v>
      </c>
      <c r="H285" s="1">
        <f ca="1">IFERROR(__xludf.DUMMYFUNCTION("""COMPUTED_VALUE"""),13)</f>
        <v>13</v>
      </c>
      <c r="I285" s="1">
        <f ca="1">IFERROR(__xludf.DUMMYFUNCTION("""COMPUTED_VALUE"""),5)</f>
        <v>5</v>
      </c>
      <c r="J285" s="1">
        <f ca="1">IFERROR(__xludf.DUMMYFUNCTION("""COMPUTED_VALUE"""),12)</f>
        <v>12</v>
      </c>
      <c r="K285" s="1">
        <f ca="1">IFERROR(__xludf.DUMMYFUNCTION("""COMPUTED_VALUE"""),4)</f>
        <v>4</v>
      </c>
      <c r="L285" s="1">
        <f ca="1">IFERROR(__xludf.DUMMYFUNCTION("""COMPUTED_VALUE"""),10)</f>
        <v>10</v>
      </c>
      <c r="M285" s="1">
        <f ca="1">IFERROR(__xludf.DUMMYFUNCTION("""COMPUTED_VALUE"""),2)</f>
        <v>2</v>
      </c>
      <c r="N285" s="1">
        <f ca="1">IFERROR(__xludf.DUMMYFUNCTION("""COMPUTED_VALUE"""),2780)</f>
        <v>2780</v>
      </c>
      <c r="O285" s="1">
        <f ca="1">IFERROR(__xludf.DUMMYFUNCTION("""COMPUTED_VALUE"""),2522)</f>
        <v>2522</v>
      </c>
      <c r="P285" s="1">
        <f ca="1">IFERROR(__xludf.DUMMYFUNCTION("""COMPUTED_VALUE"""),1445)</f>
        <v>1445</v>
      </c>
      <c r="Q285" s="1">
        <f ca="1">IFERROR(__xludf.DUMMYFUNCTION("""COMPUTED_VALUE"""),976)</f>
        <v>976</v>
      </c>
      <c r="R285" s="1">
        <f ca="1">IFERROR(__xludf.DUMMYFUNCTION("""COMPUTED_VALUE"""),2153)</f>
        <v>2153</v>
      </c>
      <c r="S285" s="1">
        <f ca="1">IFERROR(__xludf.DUMMYFUNCTION("""COMPUTED_VALUE"""),0.453)</f>
        <v>0.45300000000000001</v>
      </c>
      <c r="T285" s="1">
        <f ca="1">IFERROR(__xludf.DUMMYFUNCTION("""COMPUTED_VALUE"""),251)</f>
        <v>251</v>
      </c>
      <c r="U285" s="1">
        <f ca="1">IFERROR(__xludf.DUMMYFUNCTION("""COMPUTED_VALUE"""),767)</f>
        <v>767</v>
      </c>
      <c r="V285" s="1">
        <f ca="1">IFERROR(__xludf.DUMMYFUNCTION("""COMPUTED_VALUE"""),0.327)</f>
        <v>0.32700000000000001</v>
      </c>
      <c r="W285" s="1">
        <f ca="1">IFERROR(__xludf.DUMMYFUNCTION("""COMPUTED_VALUE"""),577)</f>
        <v>577</v>
      </c>
      <c r="X285" s="1">
        <f ca="1">IFERROR(__xludf.DUMMYFUNCTION("""COMPUTED_VALUE"""),806)</f>
        <v>806</v>
      </c>
      <c r="Y285" s="1">
        <f ca="1">IFERROR(__xludf.DUMMYFUNCTION("""COMPUTED_VALUE"""),0.716)</f>
        <v>0.71599999999999997</v>
      </c>
      <c r="Z285" s="1">
        <f ca="1">IFERROR(__xludf.DUMMYFUNCTION("""COMPUTED_VALUE"""),364)</f>
        <v>364</v>
      </c>
      <c r="AA285" s="1">
        <f ca="1">IFERROR(__xludf.DUMMYFUNCTION("""COMPUTED_VALUE"""),1378)</f>
        <v>1378</v>
      </c>
      <c r="AB285" s="1">
        <f ca="1">IFERROR(__xludf.DUMMYFUNCTION("""COMPUTED_VALUE"""),534)</f>
        <v>534</v>
      </c>
      <c r="AC285" s="1">
        <f ca="1">IFERROR(__xludf.DUMMYFUNCTION("""COMPUTED_VALUE"""),184)</f>
        <v>184</v>
      </c>
      <c r="AD285" s="1">
        <f ca="1">IFERROR(__xludf.DUMMYFUNCTION("""COMPUTED_VALUE"""),119)</f>
        <v>119</v>
      </c>
      <c r="AE285" s="1">
        <f ca="1">IFERROR(__xludf.DUMMYFUNCTION("""COMPUTED_VALUE"""),355)</f>
        <v>355</v>
      </c>
      <c r="AF285" s="1">
        <f ca="1">IFERROR(__xludf.DUMMYFUNCTION("""COMPUTED_VALUE"""),583)</f>
        <v>583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IFERROR(__xludf.DUMMYFUNCTION("""COMPUTED_VALUE"""),"Saint Louis")</f>
        <v>Saint Louis</v>
      </c>
      <c r="B288" s="1">
        <f ca="1">IFERROR(__xludf.DUMMYFUNCTION("""COMPUTED_VALUE"""),32)</f>
        <v>32</v>
      </c>
      <c r="C288" s="1">
        <f ca="1">IFERROR(__xludf.DUMMYFUNCTION("""COMPUTED_VALUE"""),11)</f>
        <v>11</v>
      </c>
      <c r="D288" s="1">
        <f ca="1">IFERROR(__xludf.DUMMYFUNCTION("""COMPUTED_VALUE"""),21)</f>
        <v>21</v>
      </c>
      <c r="E288" s="1">
        <f ca="1">IFERROR(__xludf.DUMMYFUNCTION("""COMPUTED_VALUE"""),0.344)</f>
        <v>0.34399999999999997</v>
      </c>
      <c r="F288" s="1">
        <f ca="1">IFERROR(__xludf.DUMMYFUNCTION("""COMPUTED_VALUE"""),-2.73)</f>
        <v>-2.73</v>
      </c>
      <c r="G288" s="1">
        <f ca="1">IFERROR(__xludf.DUMMYFUNCTION("""COMPUTED_VALUE"""),3.49)</f>
        <v>3.49</v>
      </c>
      <c r="H288" s="1">
        <f ca="1">IFERROR(__xludf.DUMMYFUNCTION("""COMPUTED_VALUE"""),5)</f>
        <v>5</v>
      </c>
      <c r="I288" s="1">
        <f ca="1">IFERROR(__xludf.DUMMYFUNCTION("""COMPUTED_VALUE"""),13)</f>
        <v>13</v>
      </c>
      <c r="J288" s="1">
        <f ca="1">IFERROR(__xludf.DUMMYFUNCTION("""COMPUTED_VALUE"""),7)</f>
        <v>7</v>
      </c>
      <c r="K288" s="1">
        <f ca="1">IFERROR(__xludf.DUMMYFUNCTION("""COMPUTED_VALUE"""),11)</f>
        <v>11</v>
      </c>
      <c r="L288" s="1">
        <f ca="1">IFERROR(__xludf.DUMMYFUNCTION("""COMPUTED_VALUE"""),3)</f>
        <v>3</v>
      </c>
      <c r="M288" s="1">
        <f ca="1">IFERROR(__xludf.DUMMYFUNCTION("""COMPUTED_VALUE"""),8)</f>
        <v>8</v>
      </c>
      <c r="N288" s="1">
        <f ca="1">IFERROR(__xludf.DUMMYFUNCTION("""COMPUTED_VALUE"""),2106)</f>
        <v>2106</v>
      </c>
      <c r="O288" s="1">
        <f ca="1">IFERROR(__xludf.DUMMYFUNCTION("""COMPUTED_VALUE"""),2305)</f>
        <v>2305</v>
      </c>
      <c r="P288" s="1">
        <f ca="1">IFERROR(__xludf.DUMMYFUNCTION("""COMPUTED_VALUE"""),1290)</f>
        <v>1290</v>
      </c>
      <c r="Q288" s="1">
        <f ca="1">IFERROR(__xludf.DUMMYFUNCTION("""COMPUTED_VALUE"""),724)</f>
        <v>724</v>
      </c>
      <c r="R288" s="1">
        <f ca="1">IFERROR(__xludf.DUMMYFUNCTION("""COMPUTED_VALUE"""),1726)</f>
        <v>1726</v>
      </c>
      <c r="S288" s="1">
        <f ca="1">IFERROR(__xludf.DUMMYFUNCTION("""COMPUTED_VALUE"""),0.419)</f>
        <v>0.41899999999999998</v>
      </c>
      <c r="T288" s="1">
        <f ca="1">IFERROR(__xludf.DUMMYFUNCTION("""COMPUTED_VALUE"""),199)</f>
        <v>199</v>
      </c>
      <c r="U288" s="1">
        <f ca="1">IFERROR(__xludf.DUMMYFUNCTION("""COMPUTED_VALUE"""),607)</f>
        <v>607</v>
      </c>
      <c r="V288" s="1">
        <f ca="1">IFERROR(__xludf.DUMMYFUNCTION("""COMPUTED_VALUE"""),0.328)</f>
        <v>0.32800000000000001</v>
      </c>
      <c r="W288" s="1">
        <f ca="1">IFERROR(__xludf.DUMMYFUNCTION("""COMPUTED_VALUE"""),459)</f>
        <v>459</v>
      </c>
      <c r="X288" s="1">
        <f ca="1">IFERROR(__xludf.DUMMYFUNCTION("""COMPUTED_VALUE"""),653)</f>
        <v>653</v>
      </c>
      <c r="Y288" s="1">
        <f ca="1">IFERROR(__xludf.DUMMYFUNCTION("""COMPUTED_VALUE"""),0.703)</f>
        <v>0.70299999999999996</v>
      </c>
      <c r="Z288" s="1">
        <f ca="1">IFERROR(__xludf.DUMMYFUNCTION("""COMPUTED_VALUE"""),230)</f>
        <v>230</v>
      </c>
      <c r="AA288" s="1">
        <f ca="1">IFERROR(__xludf.DUMMYFUNCTION("""COMPUTED_VALUE"""),1045)</f>
        <v>1045</v>
      </c>
      <c r="AB288" s="1">
        <f ca="1">IFERROR(__xludf.DUMMYFUNCTION("""COMPUTED_VALUE"""),426)</f>
        <v>426</v>
      </c>
      <c r="AC288" s="1">
        <f ca="1">IFERROR(__xludf.DUMMYFUNCTION("""COMPUTED_VALUE"""),175)</f>
        <v>175</v>
      </c>
      <c r="AD288" s="1">
        <f ca="1">IFERROR(__xludf.DUMMYFUNCTION("""COMPUTED_VALUE"""),66)</f>
        <v>66</v>
      </c>
      <c r="AE288" s="1">
        <f ca="1">IFERROR(__xludf.DUMMYFUNCTION("""COMPUTED_VALUE"""),436)</f>
        <v>436</v>
      </c>
      <c r="AF288" s="1">
        <f ca="1">IFERROR(__xludf.DUMMYFUNCTION("""COMPUTED_VALUE"""),646)</f>
        <v>646</v>
      </c>
    </row>
    <row r="289" spans="1:32" ht="12.5" x14ac:dyDescent="0.25">
      <c r="A289" s="1" t="str">
        <f ca="1">IFERROR(__xludf.DUMMYFUNCTION("""COMPUTED_VALUE"""),"Saint Mary's (CA)")</f>
        <v>Saint Mary's (CA)</v>
      </c>
      <c r="B289" s="1">
        <f ca="1">IFERROR(__xludf.DUMMYFUNCTION("""COMPUTED_VALUE"""),35)</f>
        <v>35</v>
      </c>
      <c r="C289" s="1">
        <f ca="1">IFERROR(__xludf.DUMMYFUNCTION("""COMPUTED_VALUE"""),29)</f>
        <v>29</v>
      </c>
      <c r="D289" s="1">
        <f ca="1">IFERROR(__xludf.DUMMYFUNCTION("""COMPUTED_VALUE"""),6)</f>
        <v>6</v>
      </c>
      <c r="E289" s="1">
        <f ca="1">IFERROR(__xludf.DUMMYFUNCTION("""COMPUTED_VALUE"""),0.829)</f>
        <v>0.82899999999999996</v>
      </c>
      <c r="F289" s="1">
        <f ca="1">IFERROR(__xludf.DUMMYFUNCTION("""COMPUTED_VALUE"""),13.6)</f>
        <v>13.6</v>
      </c>
      <c r="G289" s="1">
        <f ca="1">IFERROR(__xludf.DUMMYFUNCTION("""COMPUTED_VALUE"""),1.24)</f>
        <v>1.24</v>
      </c>
      <c r="H289" s="1">
        <f ca="1">IFERROR(__xludf.DUMMYFUNCTION("""COMPUTED_VALUE"""),15)</f>
        <v>15</v>
      </c>
      <c r="I289" s="1">
        <f ca="1">IFERROR(__xludf.DUMMYFUNCTION("""COMPUTED_VALUE"""),3)</f>
        <v>3</v>
      </c>
      <c r="J289" s="1">
        <f ca="1">IFERROR(__xludf.DUMMYFUNCTION("""COMPUTED_VALUE"""),20)</f>
        <v>20</v>
      </c>
      <c r="K289" s="1">
        <f ca="1">IFERROR(__xludf.DUMMYFUNCTION("""COMPUTED_VALUE"""),1)</f>
        <v>1</v>
      </c>
      <c r="L289" s="1">
        <f ca="1">IFERROR(__xludf.DUMMYFUNCTION("""COMPUTED_VALUE"""),7)</f>
        <v>7</v>
      </c>
      <c r="M289" s="1">
        <f ca="1">IFERROR(__xludf.DUMMYFUNCTION("""COMPUTED_VALUE"""),4)</f>
        <v>4</v>
      </c>
      <c r="N289" s="1">
        <f ca="1">IFERROR(__xludf.DUMMYFUNCTION("""COMPUTED_VALUE"""),2576)</f>
        <v>2576</v>
      </c>
      <c r="O289" s="1">
        <f ca="1">IFERROR(__xludf.DUMMYFUNCTION("""COMPUTED_VALUE"""),2132)</f>
        <v>2132</v>
      </c>
      <c r="P289" s="1">
        <f ca="1">IFERROR(__xludf.DUMMYFUNCTION("""COMPUTED_VALUE"""),1400)</f>
        <v>1400</v>
      </c>
      <c r="Q289" s="1">
        <f ca="1">IFERROR(__xludf.DUMMYFUNCTION("""COMPUTED_VALUE"""),951)</f>
        <v>951</v>
      </c>
      <c r="R289" s="1">
        <f ca="1">IFERROR(__xludf.DUMMYFUNCTION("""COMPUTED_VALUE"""),1887)</f>
        <v>1887</v>
      </c>
      <c r="S289" s="1">
        <f ca="1">IFERROR(__xludf.DUMMYFUNCTION("""COMPUTED_VALUE"""),0.504)</f>
        <v>0.504</v>
      </c>
      <c r="T289" s="1">
        <f ca="1">IFERROR(__xludf.DUMMYFUNCTION("""COMPUTED_VALUE"""),303)</f>
        <v>303</v>
      </c>
      <c r="U289" s="1">
        <f ca="1">IFERROR(__xludf.DUMMYFUNCTION("""COMPUTED_VALUE"""),747)</f>
        <v>747</v>
      </c>
      <c r="V289" s="1">
        <f ca="1">IFERROR(__xludf.DUMMYFUNCTION("""COMPUTED_VALUE"""),0.406)</f>
        <v>0.40600000000000003</v>
      </c>
      <c r="W289" s="1">
        <f ca="1">IFERROR(__xludf.DUMMYFUNCTION("""COMPUTED_VALUE"""),371)</f>
        <v>371</v>
      </c>
      <c r="X289" s="1">
        <f ca="1">IFERROR(__xludf.DUMMYFUNCTION("""COMPUTED_VALUE"""),539)</f>
        <v>539</v>
      </c>
      <c r="Y289" s="1">
        <f ca="1">IFERROR(__xludf.DUMMYFUNCTION("""COMPUTED_VALUE"""),0.688)</f>
        <v>0.68799999999999994</v>
      </c>
      <c r="Z289" s="1">
        <f ca="1">IFERROR(__xludf.DUMMYFUNCTION("""COMPUTED_VALUE"""),310)</f>
        <v>310</v>
      </c>
      <c r="AA289" s="1">
        <f ca="1">IFERROR(__xludf.DUMMYFUNCTION("""COMPUTED_VALUE"""),1225)</f>
        <v>1225</v>
      </c>
      <c r="AB289" s="1">
        <f ca="1">IFERROR(__xludf.DUMMYFUNCTION("""COMPUTED_VALUE"""),583)</f>
        <v>583</v>
      </c>
      <c r="AC289" s="1">
        <f ca="1">IFERROR(__xludf.DUMMYFUNCTION("""COMPUTED_VALUE"""),169)</f>
        <v>169</v>
      </c>
      <c r="AD289" s="1">
        <f ca="1">IFERROR(__xludf.DUMMYFUNCTION("""COMPUTED_VALUE"""),119)</f>
        <v>119</v>
      </c>
      <c r="AE289" s="1">
        <f ca="1">IFERROR(__xludf.DUMMYFUNCTION("""COMPUTED_VALUE"""),335)</f>
        <v>335</v>
      </c>
      <c r="AF289" s="1">
        <f ca="1">IFERROR(__xludf.DUMMYFUNCTION("""COMPUTED_VALUE"""),539)</f>
        <v>539</v>
      </c>
    </row>
    <row r="290" spans="1:32" ht="12.5" x14ac:dyDescent="0.25">
      <c r="A290" s="1" t="str">
        <f ca="1">IFERROR(__xludf.DUMMYFUNCTION("""COMPUTED_VALUE"""),"Saint Peter's")</f>
        <v>Saint Peter's</v>
      </c>
      <c r="B290" s="1">
        <f ca="1">IFERROR(__xludf.DUMMYFUNCTION("""COMPUTED_VALUE"""),30)</f>
        <v>30</v>
      </c>
      <c r="C290" s="1">
        <f ca="1">IFERROR(__xludf.DUMMYFUNCTION("""COMPUTED_VALUE"""),14)</f>
        <v>14</v>
      </c>
      <c r="D290" s="1">
        <f ca="1">IFERROR(__xludf.DUMMYFUNCTION("""COMPUTED_VALUE"""),16)</f>
        <v>16</v>
      </c>
      <c r="E290" s="1">
        <f ca="1">IFERROR(__xludf.DUMMYFUNCTION("""COMPUTED_VALUE"""),0.467)</f>
        <v>0.46700000000000003</v>
      </c>
      <c r="F290" s="1">
        <f ca="1">IFERROR(__xludf.DUMMYFUNCTION("""COMPUTED_VALUE"""),-5)</f>
        <v>-5</v>
      </c>
      <c r="G290" s="1">
        <f ca="1">IFERROR(__xludf.DUMMYFUNCTION("""COMPUTED_VALUE"""),-4.3)</f>
        <v>-4.3</v>
      </c>
      <c r="H290" s="1">
        <f ca="1">IFERROR(__xludf.DUMMYFUNCTION("""COMPUTED_VALUE"""),12)</f>
        <v>12</v>
      </c>
      <c r="I290" s="1">
        <f ca="1">IFERROR(__xludf.DUMMYFUNCTION("""COMPUTED_VALUE"""),8)</f>
        <v>8</v>
      </c>
      <c r="J290" s="1">
        <f ca="1">IFERROR(__xludf.DUMMYFUNCTION("""COMPUTED_VALUE"""),9)</f>
        <v>9</v>
      </c>
      <c r="K290" s="1">
        <f ca="1">IFERROR(__xludf.DUMMYFUNCTION("""COMPUTED_VALUE"""),5)</f>
        <v>5</v>
      </c>
      <c r="L290" s="1">
        <f ca="1">IFERROR(__xludf.DUMMYFUNCTION("""COMPUTED_VALUE"""),5)</f>
        <v>5</v>
      </c>
      <c r="M290" s="1">
        <f ca="1">IFERROR(__xludf.DUMMYFUNCTION("""COMPUTED_VALUE"""),10)</f>
        <v>10</v>
      </c>
      <c r="N290" s="1">
        <f ca="1">IFERROR(__xludf.DUMMYFUNCTION("""COMPUTED_VALUE"""),1966)</f>
        <v>1966</v>
      </c>
      <c r="O290" s="1">
        <f ca="1">IFERROR(__xludf.DUMMYFUNCTION("""COMPUTED_VALUE"""),1987)</f>
        <v>1987</v>
      </c>
      <c r="P290" s="1">
        <f ca="1">IFERROR(__xludf.DUMMYFUNCTION("""COMPUTED_VALUE"""),1210)</f>
        <v>1210</v>
      </c>
      <c r="Q290" s="1">
        <f ca="1">IFERROR(__xludf.DUMMYFUNCTION("""COMPUTED_VALUE"""),700)</f>
        <v>700</v>
      </c>
      <c r="R290" s="1">
        <f ca="1">IFERROR(__xludf.DUMMYFUNCTION("""COMPUTED_VALUE"""),1660)</f>
        <v>1660</v>
      </c>
      <c r="S290" s="1">
        <f ca="1">IFERROR(__xludf.DUMMYFUNCTION("""COMPUTED_VALUE"""),0.422)</f>
        <v>0.42199999999999999</v>
      </c>
      <c r="T290" s="1">
        <f ca="1">IFERROR(__xludf.DUMMYFUNCTION("""COMPUTED_VALUE"""),183)</f>
        <v>183</v>
      </c>
      <c r="U290" s="1">
        <f ca="1">IFERROR(__xludf.DUMMYFUNCTION("""COMPUTED_VALUE"""),560)</f>
        <v>560</v>
      </c>
      <c r="V290" s="1">
        <f ca="1">IFERROR(__xludf.DUMMYFUNCTION("""COMPUTED_VALUE"""),0.327)</f>
        <v>0.32700000000000001</v>
      </c>
      <c r="W290" s="1">
        <f ca="1">IFERROR(__xludf.DUMMYFUNCTION("""COMPUTED_VALUE"""),383)</f>
        <v>383</v>
      </c>
      <c r="X290" s="1">
        <f ca="1">IFERROR(__xludf.DUMMYFUNCTION("""COMPUTED_VALUE"""),582)</f>
        <v>582</v>
      </c>
      <c r="Y290" s="1">
        <f ca="1">IFERROR(__xludf.DUMMYFUNCTION("""COMPUTED_VALUE"""),0.658)</f>
        <v>0.65800000000000003</v>
      </c>
      <c r="Z290" s="1">
        <f ca="1">IFERROR(__xludf.DUMMYFUNCTION("""COMPUTED_VALUE"""),322)</f>
        <v>322</v>
      </c>
      <c r="AA290" s="1">
        <f ca="1">IFERROR(__xludf.DUMMYFUNCTION("""COMPUTED_VALUE"""),1102)</f>
        <v>1102</v>
      </c>
      <c r="AB290" s="1">
        <f ca="1">IFERROR(__xludf.DUMMYFUNCTION("""COMPUTED_VALUE"""),357)</f>
        <v>357</v>
      </c>
      <c r="AC290" s="1">
        <f ca="1">IFERROR(__xludf.DUMMYFUNCTION("""COMPUTED_VALUE"""),164)</f>
        <v>164</v>
      </c>
      <c r="AD290" s="1">
        <f ca="1">IFERROR(__xludf.DUMMYFUNCTION("""COMPUTED_VALUE"""),96)</f>
        <v>96</v>
      </c>
      <c r="AE290" s="1">
        <f ca="1">IFERROR(__xludf.DUMMYFUNCTION("""COMPUTED_VALUE"""),392)</f>
        <v>392</v>
      </c>
      <c r="AF290" s="1">
        <f ca="1">IFERROR(__xludf.DUMMYFUNCTION("""COMPUTED_VALUE"""),528)</f>
        <v>528</v>
      </c>
    </row>
    <row r="291" spans="1:32" ht="12.5" x14ac:dyDescent="0.25">
      <c r="A291" s="1" t="str">
        <f ca="1">IFERROR(__xludf.DUMMYFUNCTION("""COMPUTED_VALUE"""),"Sam Houston State")</f>
        <v>Sam Houston State</v>
      </c>
      <c r="B291" s="1">
        <f ca="1">IFERROR(__xludf.DUMMYFUNCTION("""COMPUTED_VALUE"""),34)</f>
        <v>34</v>
      </c>
      <c r="C291" s="1">
        <f ca="1">IFERROR(__xludf.DUMMYFUNCTION("""COMPUTED_VALUE"""),18)</f>
        <v>18</v>
      </c>
      <c r="D291" s="1">
        <f ca="1">IFERROR(__xludf.DUMMYFUNCTION("""COMPUTED_VALUE"""),16)</f>
        <v>16</v>
      </c>
      <c r="E291" s="1">
        <f ca="1">IFERROR(__xludf.DUMMYFUNCTION("""COMPUTED_VALUE"""),0.529)</f>
        <v>0.52900000000000003</v>
      </c>
      <c r="F291" s="1">
        <f ca="1">IFERROR(__xludf.DUMMYFUNCTION("""COMPUTED_VALUE"""),-6.06)</f>
        <v>-6.06</v>
      </c>
      <c r="G291" s="1">
        <f ca="1">IFERROR(__xludf.DUMMYFUNCTION("""COMPUTED_VALUE"""),-6.5)</f>
        <v>-6.5</v>
      </c>
      <c r="H291" s="1">
        <f ca="1">IFERROR(__xludf.DUMMYFUNCTION("""COMPUTED_VALUE"""),12)</f>
        <v>12</v>
      </c>
      <c r="I291" s="1">
        <f ca="1">IFERROR(__xludf.DUMMYFUNCTION("""COMPUTED_VALUE"""),6)</f>
        <v>6</v>
      </c>
      <c r="J291" s="1">
        <f ca="1">IFERROR(__xludf.DUMMYFUNCTION("""COMPUTED_VALUE"""),10)</f>
        <v>10</v>
      </c>
      <c r="K291" s="1">
        <f ca="1">IFERROR(__xludf.DUMMYFUNCTION("""COMPUTED_VALUE"""),5)</f>
        <v>5</v>
      </c>
      <c r="L291" s="1">
        <f ca="1">IFERROR(__xludf.DUMMYFUNCTION("""COMPUTED_VALUE"""),6)</f>
        <v>6</v>
      </c>
      <c r="M291" s="1">
        <f ca="1">IFERROR(__xludf.DUMMYFUNCTION("""COMPUTED_VALUE"""),9)</f>
        <v>9</v>
      </c>
      <c r="N291" s="1">
        <f ca="1">IFERROR(__xludf.DUMMYFUNCTION("""COMPUTED_VALUE"""),2551)</f>
        <v>2551</v>
      </c>
      <c r="O291" s="1">
        <f ca="1">IFERROR(__xludf.DUMMYFUNCTION("""COMPUTED_VALUE"""),2427)</f>
        <v>2427</v>
      </c>
      <c r="P291" s="1">
        <f ca="1">IFERROR(__xludf.DUMMYFUNCTION("""COMPUTED_VALUE"""),1370)</f>
        <v>1370</v>
      </c>
      <c r="Q291" s="1">
        <f ca="1">IFERROR(__xludf.DUMMYFUNCTION("""COMPUTED_VALUE"""),876)</f>
        <v>876</v>
      </c>
      <c r="R291" s="1">
        <f ca="1">IFERROR(__xludf.DUMMYFUNCTION("""COMPUTED_VALUE"""),2013)</f>
        <v>2013</v>
      </c>
      <c r="S291" s="1">
        <f ca="1">IFERROR(__xludf.DUMMYFUNCTION("""COMPUTED_VALUE"""),0.435)</f>
        <v>0.435</v>
      </c>
      <c r="T291" s="1">
        <f ca="1">IFERROR(__xludf.DUMMYFUNCTION("""COMPUTED_VALUE"""),264)</f>
        <v>264</v>
      </c>
      <c r="U291" s="1">
        <f ca="1">IFERROR(__xludf.DUMMYFUNCTION("""COMPUTED_VALUE"""),775)</f>
        <v>775</v>
      </c>
      <c r="V291" s="1">
        <f ca="1">IFERROR(__xludf.DUMMYFUNCTION("""COMPUTED_VALUE"""),0.341)</f>
        <v>0.34100000000000003</v>
      </c>
      <c r="W291" s="1">
        <f ca="1">IFERROR(__xludf.DUMMYFUNCTION("""COMPUTED_VALUE"""),535)</f>
        <v>535</v>
      </c>
      <c r="X291" s="1">
        <f ca="1">IFERROR(__xludf.DUMMYFUNCTION("""COMPUTED_VALUE"""),767)</f>
        <v>767</v>
      </c>
      <c r="Y291" s="1">
        <f ca="1">IFERROR(__xludf.DUMMYFUNCTION("""COMPUTED_VALUE"""),0.698)</f>
        <v>0.69799999999999995</v>
      </c>
      <c r="Z291" s="1">
        <f ca="1">IFERROR(__xludf.DUMMYFUNCTION("""COMPUTED_VALUE"""),382)</f>
        <v>382</v>
      </c>
      <c r="AA291" s="1">
        <f ca="1">IFERROR(__xludf.DUMMYFUNCTION("""COMPUTED_VALUE"""),1261)</f>
        <v>1261</v>
      </c>
      <c r="AB291" s="1">
        <f ca="1">IFERROR(__xludf.DUMMYFUNCTION("""COMPUTED_VALUE"""),575)</f>
        <v>575</v>
      </c>
      <c r="AC291" s="1">
        <f ca="1">IFERROR(__xludf.DUMMYFUNCTION("""COMPUTED_VALUE"""),188)</f>
        <v>188</v>
      </c>
      <c r="AD291" s="1">
        <f ca="1">IFERROR(__xludf.DUMMYFUNCTION("""COMPUTED_VALUE"""),57)</f>
        <v>57</v>
      </c>
      <c r="AE291" s="1">
        <f ca="1">IFERROR(__xludf.DUMMYFUNCTION("""COMPUTED_VALUE"""),400)</f>
        <v>400</v>
      </c>
      <c r="AF291" s="1">
        <f ca="1">IFERROR(__xludf.DUMMYFUNCTION("""COMPUTED_VALUE"""),742)</f>
        <v>742</v>
      </c>
    </row>
    <row r="292" spans="1:32" ht="12.5" x14ac:dyDescent="0.25">
      <c r="A292" s="1" t="str">
        <f ca="1">IFERROR(__xludf.DUMMYFUNCTION("""COMPUTED_VALUE"""),"Samford")</f>
        <v>Samford</v>
      </c>
      <c r="B292" s="1">
        <f ca="1">IFERROR(__xludf.DUMMYFUNCTION("""COMPUTED_VALUE"""),33)</f>
        <v>33</v>
      </c>
      <c r="C292" s="1">
        <f ca="1">IFERROR(__xludf.DUMMYFUNCTION("""COMPUTED_VALUE"""),14)</f>
        <v>14</v>
      </c>
      <c r="D292" s="1">
        <f ca="1">IFERROR(__xludf.DUMMYFUNCTION("""COMPUTED_VALUE"""),19)</f>
        <v>19</v>
      </c>
      <c r="E292" s="1">
        <f ca="1">IFERROR(__xludf.DUMMYFUNCTION("""COMPUTED_VALUE"""),0.424)</f>
        <v>0.42399999999999999</v>
      </c>
      <c r="F292" s="1">
        <f ca="1">IFERROR(__xludf.DUMMYFUNCTION("""COMPUTED_VALUE"""),-5.94)</f>
        <v>-5.94</v>
      </c>
      <c r="G292" s="1">
        <f ca="1">IFERROR(__xludf.DUMMYFUNCTION("""COMPUTED_VALUE"""),-4.49)</f>
        <v>-4.49</v>
      </c>
      <c r="H292" s="1">
        <f ca="1">IFERROR(__xludf.DUMMYFUNCTION("""COMPUTED_VALUE"""),4)</f>
        <v>4</v>
      </c>
      <c r="I292" s="1">
        <f ca="1">IFERROR(__xludf.DUMMYFUNCTION("""COMPUTED_VALUE"""),14)</f>
        <v>14</v>
      </c>
      <c r="J292" s="1">
        <f ca="1">IFERROR(__xludf.DUMMYFUNCTION("""COMPUTED_VALUE"""),6)</f>
        <v>6</v>
      </c>
      <c r="K292" s="1">
        <f ca="1">IFERROR(__xludf.DUMMYFUNCTION("""COMPUTED_VALUE"""),7)</f>
        <v>7</v>
      </c>
      <c r="L292" s="1">
        <f ca="1">IFERROR(__xludf.DUMMYFUNCTION("""COMPUTED_VALUE"""),5)</f>
        <v>5</v>
      </c>
      <c r="M292" s="1">
        <f ca="1">IFERROR(__xludf.DUMMYFUNCTION("""COMPUTED_VALUE"""),11)</f>
        <v>11</v>
      </c>
      <c r="N292" s="1">
        <f ca="1">IFERROR(__xludf.DUMMYFUNCTION("""COMPUTED_VALUE"""),2440)</f>
        <v>2440</v>
      </c>
      <c r="O292" s="1">
        <f ca="1">IFERROR(__xludf.DUMMYFUNCTION("""COMPUTED_VALUE"""),2442)</f>
        <v>2442</v>
      </c>
      <c r="P292" s="1">
        <f ca="1">IFERROR(__xludf.DUMMYFUNCTION("""COMPUTED_VALUE"""),1345)</f>
        <v>1345</v>
      </c>
      <c r="Q292" s="1">
        <f ca="1">IFERROR(__xludf.DUMMYFUNCTION("""COMPUTED_VALUE"""),845)</f>
        <v>845</v>
      </c>
      <c r="R292" s="1">
        <f ca="1">IFERROR(__xludf.DUMMYFUNCTION("""COMPUTED_VALUE"""),1857)</f>
        <v>1857</v>
      </c>
      <c r="S292" s="1">
        <f ca="1">IFERROR(__xludf.DUMMYFUNCTION("""COMPUTED_VALUE"""),0.455)</f>
        <v>0.45500000000000002</v>
      </c>
      <c r="T292" s="1">
        <f ca="1">IFERROR(__xludf.DUMMYFUNCTION("""COMPUTED_VALUE"""),177)</f>
        <v>177</v>
      </c>
      <c r="U292" s="1">
        <f ca="1">IFERROR(__xludf.DUMMYFUNCTION("""COMPUTED_VALUE"""),548)</f>
        <v>548</v>
      </c>
      <c r="V292" s="1">
        <f ca="1">IFERROR(__xludf.DUMMYFUNCTION("""COMPUTED_VALUE"""),0.323)</f>
        <v>0.32300000000000001</v>
      </c>
      <c r="W292" s="1">
        <f ca="1">IFERROR(__xludf.DUMMYFUNCTION("""COMPUTED_VALUE"""),573)</f>
        <v>573</v>
      </c>
      <c r="X292" s="1">
        <f ca="1">IFERROR(__xludf.DUMMYFUNCTION("""COMPUTED_VALUE"""),798)</f>
        <v>798</v>
      </c>
      <c r="Y292" s="1">
        <f ca="1">IFERROR(__xludf.DUMMYFUNCTION("""COMPUTED_VALUE"""),0.718)</f>
        <v>0.71799999999999997</v>
      </c>
      <c r="Z292" s="1">
        <f ca="1">IFERROR(__xludf.DUMMYFUNCTION("""COMPUTED_VALUE"""),346)</f>
        <v>346</v>
      </c>
      <c r="AA292" s="1">
        <f ca="1">IFERROR(__xludf.DUMMYFUNCTION("""COMPUTED_VALUE"""),1143)</f>
        <v>1143</v>
      </c>
      <c r="AB292" s="1">
        <f ca="1">IFERROR(__xludf.DUMMYFUNCTION("""COMPUTED_VALUE"""),435)</f>
        <v>435</v>
      </c>
      <c r="AC292" s="1">
        <f ca="1">IFERROR(__xludf.DUMMYFUNCTION("""COMPUTED_VALUE"""),226)</f>
        <v>226</v>
      </c>
      <c r="AD292" s="1">
        <f ca="1">IFERROR(__xludf.DUMMYFUNCTION("""COMPUTED_VALUE"""),113)</f>
        <v>113</v>
      </c>
      <c r="AE292" s="1">
        <f ca="1">IFERROR(__xludf.DUMMYFUNCTION("""COMPUTED_VALUE"""),455)</f>
        <v>455</v>
      </c>
      <c r="AF292" s="1">
        <f ca="1">IFERROR(__xludf.DUMMYFUNCTION("""COMPUTED_VALUE"""),691)</f>
        <v>691</v>
      </c>
    </row>
    <row r="293" spans="1:32" ht="12.5" x14ac:dyDescent="0.25">
      <c r="A293" s="1" t="str">
        <f ca="1">IFERROR(__xludf.DUMMYFUNCTION("""COMPUTED_VALUE"""),"San Diego State")</f>
        <v>San Diego State</v>
      </c>
      <c r="B293" s="1">
        <f ca="1">IFERROR(__xludf.DUMMYFUNCTION("""COMPUTED_VALUE"""),38)</f>
        <v>38</v>
      </c>
      <c r="C293" s="1">
        <f ca="1">IFERROR(__xludf.DUMMYFUNCTION("""COMPUTED_VALUE"""),28)</f>
        <v>28</v>
      </c>
      <c r="D293" s="1">
        <f ca="1">IFERROR(__xludf.DUMMYFUNCTION("""COMPUTED_VALUE"""),10)</f>
        <v>10</v>
      </c>
      <c r="E293" s="1">
        <f ca="1">IFERROR(__xludf.DUMMYFUNCTION("""COMPUTED_VALUE"""),0.737)</f>
        <v>0.73699999999999999</v>
      </c>
      <c r="F293" s="1">
        <f ca="1">IFERROR(__xludf.DUMMYFUNCTION("""COMPUTED_VALUE"""),11.89)</f>
        <v>11.89</v>
      </c>
      <c r="G293" s="1">
        <f ca="1">IFERROR(__xludf.DUMMYFUNCTION("""COMPUTED_VALUE"""),4.33)</f>
        <v>4.33</v>
      </c>
      <c r="H293" s="1">
        <f ca="1">IFERROR(__xludf.DUMMYFUNCTION("""COMPUTED_VALUE"""),16)</f>
        <v>16</v>
      </c>
      <c r="I293" s="1">
        <f ca="1">IFERROR(__xludf.DUMMYFUNCTION("""COMPUTED_VALUE"""),2)</f>
        <v>2</v>
      </c>
      <c r="J293" s="1">
        <f ca="1">IFERROR(__xludf.DUMMYFUNCTION("""COMPUTED_VALUE"""),16)</f>
        <v>16</v>
      </c>
      <c r="K293" s="1">
        <f ca="1">IFERROR(__xludf.DUMMYFUNCTION("""COMPUTED_VALUE"""),4)</f>
        <v>4</v>
      </c>
      <c r="L293" s="1">
        <f ca="1">IFERROR(__xludf.DUMMYFUNCTION("""COMPUTED_VALUE"""),9)</f>
        <v>9</v>
      </c>
      <c r="M293" s="1">
        <f ca="1">IFERROR(__xludf.DUMMYFUNCTION("""COMPUTED_VALUE"""),2)</f>
        <v>2</v>
      </c>
      <c r="N293" s="1">
        <f ca="1">IFERROR(__xludf.DUMMYFUNCTION("""COMPUTED_VALUE"""),2605)</f>
        <v>2605</v>
      </c>
      <c r="O293" s="1">
        <f ca="1">IFERROR(__xludf.DUMMYFUNCTION("""COMPUTED_VALUE"""),2303)</f>
        <v>2303</v>
      </c>
      <c r="P293" s="1">
        <f ca="1">IFERROR(__xludf.DUMMYFUNCTION("""COMPUTED_VALUE"""),1530)</f>
        <v>1530</v>
      </c>
      <c r="Q293" s="1">
        <f ca="1">IFERROR(__xludf.DUMMYFUNCTION("""COMPUTED_VALUE"""),885)</f>
        <v>885</v>
      </c>
      <c r="R293" s="1">
        <f ca="1">IFERROR(__xludf.DUMMYFUNCTION("""COMPUTED_VALUE"""),2100)</f>
        <v>2100</v>
      </c>
      <c r="S293" s="1">
        <f ca="1">IFERROR(__xludf.DUMMYFUNCTION("""COMPUTED_VALUE"""),0.421)</f>
        <v>0.42099999999999999</v>
      </c>
      <c r="T293" s="1">
        <f ca="1">IFERROR(__xludf.DUMMYFUNCTION("""COMPUTED_VALUE"""),222)</f>
        <v>222</v>
      </c>
      <c r="U293" s="1">
        <f ca="1">IFERROR(__xludf.DUMMYFUNCTION("""COMPUTED_VALUE"""),687)</f>
        <v>687</v>
      </c>
      <c r="V293" s="1">
        <f ca="1">IFERROR(__xludf.DUMMYFUNCTION("""COMPUTED_VALUE"""),0.323)</f>
        <v>0.32300000000000001</v>
      </c>
      <c r="W293" s="1">
        <f ca="1">IFERROR(__xludf.DUMMYFUNCTION("""COMPUTED_VALUE"""),613)</f>
        <v>613</v>
      </c>
      <c r="X293" s="1">
        <f ca="1">IFERROR(__xludf.DUMMYFUNCTION("""COMPUTED_VALUE"""),892)</f>
        <v>892</v>
      </c>
      <c r="Y293" s="1">
        <f ca="1">IFERROR(__xludf.DUMMYFUNCTION("""COMPUTED_VALUE"""),0.687)</f>
        <v>0.68700000000000006</v>
      </c>
      <c r="Z293" s="1">
        <f ca="1">IFERROR(__xludf.DUMMYFUNCTION("""COMPUTED_VALUE"""),453)</f>
        <v>453</v>
      </c>
      <c r="AA293" s="1">
        <f ca="1">IFERROR(__xludf.DUMMYFUNCTION("""COMPUTED_VALUE"""),1475)</f>
        <v>1475</v>
      </c>
      <c r="AB293" s="1">
        <f ca="1">IFERROR(__xludf.DUMMYFUNCTION("""COMPUTED_VALUE"""),405)</f>
        <v>405</v>
      </c>
      <c r="AC293" s="1">
        <f ca="1">IFERROR(__xludf.DUMMYFUNCTION("""COMPUTED_VALUE"""),210)</f>
        <v>210</v>
      </c>
      <c r="AD293" s="1">
        <f ca="1">IFERROR(__xludf.DUMMYFUNCTION("""COMPUTED_VALUE"""),207)</f>
        <v>207</v>
      </c>
      <c r="AE293" s="1">
        <f ca="1">IFERROR(__xludf.DUMMYFUNCTION("""COMPUTED_VALUE"""),467)</f>
        <v>467</v>
      </c>
      <c r="AF293" s="1">
        <f ca="1">IFERROR(__xludf.DUMMYFUNCTION("""COMPUTED_VALUE"""),648)</f>
        <v>648</v>
      </c>
    </row>
    <row r="294" spans="1:32" ht="12.5" x14ac:dyDescent="0.25">
      <c r="A294" s="1" t="str">
        <f ca="1">IFERROR(__xludf.DUMMYFUNCTION("""COMPUTED_VALUE"""),"San Diego")</f>
        <v>San Diego</v>
      </c>
      <c r="B294" s="1">
        <f ca="1">IFERROR(__xludf.DUMMYFUNCTION("""COMPUTED_VALUE"""),30)</f>
        <v>30</v>
      </c>
      <c r="C294" s="1">
        <f ca="1">IFERROR(__xludf.DUMMYFUNCTION("""COMPUTED_VALUE"""),9)</f>
        <v>9</v>
      </c>
      <c r="D294" s="1">
        <f ca="1">IFERROR(__xludf.DUMMYFUNCTION("""COMPUTED_VALUE"""),21)</f>
        <v>21</v>
      </c>
      <c r="E294" s="1">
        <f ca="1">IFERROR(__xludf.DUMMYFUNCTION("""COMPUTED_VALUE"""),0.3)</f>
        <v>0.3</v>
      </c>
      <c r="F294" s="1">
        <f ca="1">IFERROR(__xludf.DUMMYFUNCTION("""COMPUTED_VALUE"""),-7.78)</f>
        <v>-7.78</v>
      </c>
      <c r="G294" s="1">
        <f ca="1">IFERROR(__xludf.DUMMYFUNCTION("""COMPUTED_VALUE"""),1.42)</f>
        <v>1.42</v>
      </c>
      <c r="H294" s="1">
        <f ca="1">IFERROR(__xludf.DUMMYFUNCTION("""COMPUTED_VALUE"""),4)</f>
        <v>4</v>
      </c>
      <c r="I294" s="1">
        <f ca="1">IFERROR(__xludf.DUMMYFUNCTION("""COMPUTED_VALUE"""),14)</f>
        <v>14</v>
      </c>
      <c r="J294" s="1">
        <f ca="1">IFERROR(__xludf.DUMMYFUNCTION("""COMPUTED_VALUE"""),6)</f>
        <v>6</v>
      </c>
      <c r="K294" s="1">
        <f ca="1">IFERROR(__xludf.DUMMYFUNCTION("""COMPUTED_VALUE"""),7)</f>
        <v>7</v>
      </c>
      <c r="L294" s="1">
        <f ca="1">IFERROR(__xludf.DUMMYFUNCTION("""COMPUTED_VALUE"""),1)</f>
        <v>1</v>
      </c>
      <c r="M294" s="1">
        <f ca="1">IFERROR(__xludf.DUMMYFUNCTION("""COMPUTED_VALUE"""),11)</f>
        <v>11</v>
      </c>
      <c r="N294" s="1">
        <f ca="1">IFERROR(__xludf.DUMMYFUNCTION("""COMPUTED_VALUE"""),1822)</f>
        <v>1822</v>
      </c>
      <c r="O294" s="1">
        <f ca="1">IFERROR(__xludf.DUMMYFUNCTION("""COMPUTED_VALUE"""),2074)</f>
        <v>2074</v>
      </c>
      <c r="P294" s="1">
        <f ca="1">IFERROR(__xludf.DUMMYFUNCTION("""COMPUTED_VALUE"""),1200)</f>
        <v>1200</v>
      </c>
      <c r="Q294" s="1">
        <f ca="1">IFERROR(__xludf.DUMMYFUNCTION("""COMPUTED_VALUE"""),630)</f>
        <v>630</v>
      </c>
      <c r="R294" s="1">
        <f ca="1">IFERROR(__xludf.DUMMYFUNCTION("""COMPUTED_VALUE"""),1614)</f>
        <v>1614</v>
      </c>
      <c r="S294" s="1">
        <f ca="1">IFERROR(__xludf.DUMMYFUNCTION("""COMPUTED_VALUE"""),0.39)</f>
        <v>0.39</v>
      </c>
      <c r="T294" s="1">
        <f ca="1">IFERROR(__xludf.DUMMYFUNCTION("""COMPUTED_VALUE"""),192)</f>
        <v>192</v>
      </c>
      <c r="U294" s="1">
        <f ca="1">IFERROR(__xludf.DUMMYFUNCTION("""COMPUTED_VALUE"""),673)</f>
        <v>673</v>
      </c>
      <c r="V294" s="1">
        <f ca="1">IFERROR(__xludf.DUMMYFUNCTION("""COMPUTED_VALUE"""),0.285)</f>
        <v>0.28499999999999998</v>
      </c>
      <c r="W294" s="1">
        <f ca="1">IFERROR(__xludf.DUMMYFUNCTION("""COMPUTED_VALUE"""),370)</f>
        <v>370</v>
      </c>
      <c r="X294" s="1">
        <f ca="1">IFERROR(__xludf.DUMMYFUNCTION("""COMPUTED_VALUE"""),559)</f>
        <v>559</v>
      </c>
      <c r="Y294" s="1">
        <f ca="1">IFERROR(__xludf.DUMMYFUNCTION("""COMPUTED_VALUE"""),0.662)</f>
        <v>0.66200000000000003</v>
      </c>
      <c r="Z294" s="1">
        <f ca="1">IFERROR(__xludf.DUMMYFUNCTION("""COMPUTED_VALUE"""),289)</f>
        <v>289</v>
      </c>
      <c r="AA294" s="1">
        <f ca="1">IFERROR(__xludf.DUMMYFUNCTION("""COMPUTED_VALUE"""),995)</f>
        <v>995</v>
      </c>
      <c r="AB294" s="1">
        <f ca="1">IFERROR(__xludf.DUMMYFUNCTION("""COMPUTED_VALUE"""),328)</f>
        <v>328</v>
      </c>
      <c r="AC294" s="1">
        <f ca="1">IFERROR(__xludf.DUMMYFUNCTION("""COMPUTED_VALUE"""),139)</f>
        <v>139</v>
      </c>
      <c r="AD294" s="1">
        <f ca="1">IFERROR(__xludf.DUMMYFUNCTION("""COMPUTED_VALUE"""),118)</f>
        <v>118</v>
      </c>
      <c r="AE294" s="1">
        <f ca="1">IFERROR(__xludf.DUMMYFUNCTION("""COMPUTED_VALUE"""),410)</f>
        <v>410</v>
      </c>
      <c r="AF294" s="1">
        <f ca="1">IFERROR(__xludf.DUMMYFUNCTION("""COMPUTED_VALUE"""),640)</f>
        <v>640</v>
      </c>
    </row>
    <row r="295" spans="1:32" ht="12.5" x14ac:dyDescent="0.25">
      <c r="A295" s="1" t="str">
        <f ca="1">IFERROR(__xludf.DUMMYFUNCTION("""COMPUTED_VALUE"""),"San Francisco")</f>
        <v>San Francisco</v>
      </c>
      <c r="B295" s="1">
        <f ca="1">IFERROR(__xludf.DUMMYFUNCTION("""COMPUTED_VALUE"""),30)</f>
        <v>30</v>
      </c>
      <c r="C295" s="1">
        <f ca="1">IFERROR(__xludf.DUMMYFUNCTION("""COMPUTED_VALUE"""),15)</f>
        <v>15</v>
      </c>
      <c r="D295" s="1">
        <f ca="1">IFERROR(__xludf.DUMMYFUNCTION("""COMPUTED_VALUE"""),15)</f>
        <v>15</v>
      </c>
      <c r="E295" s="1">
        <f ca="1">IFERROR(__xludf.DUMMYFUNCTION("""COMPUTED_VALUE"""),0.5)</f>
        <v>0.5</v>
      </c>
      <c r="F295" s="1">
        <f ca="1">IFERROR(__xludf.DUMMYFUNCTION("""COMPUTED_VALUE"""),-2.92)</f>
        <v>-2.92</v>
      </c>
      <c r="G295" s="1">
        <f ca="1">IFERROR(__xludf.DUMMYFUNCTION("""COMPUTED_VALUE"""),-0.68)</f>
        <v>-0.68</v>
      </c>
      <c r="H295" s="1">
        <f ca="1">IFERROR(__xludf.DUMMYFUNCTION("""COMPUTED_VALUE"""),8)</f>
        <v>8</v>
      </c>
      <c r="I295" s="1">
        <f ca="1">IFERROR(__xludf.DUMMYFUNCTION("""COMPUTED_VALUE"""),10)</f>
        <v>10</v>
      </c>
      <c r="J295" s="1">
        <f ca="1">IFERROR(__xludf.DUMMYFUNCTION("""COMPUTED_VALUE"""),10)</f>
        <v>10</v>
      </c>
      <c r="K295" s="1">
        <f ca="1">IFERROR(__xludf.DUMMYFUNCTION("""COMPUTED_VALUE"""),7)</f>
        <v>7</v>
      </c>
      <c r="L295" s="1">
        <f ca="1">IFERROR(__xludf.DUMMYFUNCTION("""COMPUTED_VALUE"""),5)</f>
        <v>5</v>
      </c>
      <c r="M295" s="1">
        <f ca="1">IFERROR(__xludf.DUMMYFUNCTION("""COMPUTED_VALUE"""),7)</f>
        <v>7</v>
      </c>
      <c r="N295" s="1">
        <f ca="1">IFERROR(__xludf.DUMMYFUNCTION("""COMPUTED_VALUE"""),2329)</f>
        <v>2329</v>
      </c>
      <c r="O295" s="1">
        <f ca="1">IFERROR(__xludf.DUMMYFUNCTION("""COMPUTED_VALUE"""),2362)</f>
        <v>2362</v>
      </c>
      <c r="P295" s="1">
        <f ca="1">IFERROR(__xludf.DUMMYFUNCTION("""COMPUTED_VALUE"""),1220)</f>
        <v>1220</v>
      </c>
      <c r="Q295" s="1">
        <f ca="1">IFERROR(__xludf.DUMMYFUNCTION("""COMPUTED_VALUE"""),808)</f>
        <v>808</v>
      </c>
      <c r="R295" s="1">
        <f ca="1">IFERROR(__xludf.DUMMYFUNCTION("""COMPUTED_VALUE"""),1839)</f>
        <v>1839</v>
      </c>
      <c r="S295" s="1">
        <f ca="1">IFERROR(__xludf.DUMMYFUNCTION("""COMPUTED_VALUE"""),0.439)</f>
        <v>0.439</v>
      </c>
      <c r="T295" s="1">
        <f ca="1">IFERROR(__xludf.DUMMYFUNCTION("""COMPUTED_VALUE"""),233)</f>
        <v>233</v>
      </c>
      <c r="U295" s="1">
        <f ca="1">IFERROR(__xludf.DUMMYFUNCTION("""COMPUTED_VALUE"""),659)</f>
        <v>659</v>
      </c>
      <c r="V295" s="1">
        <f ca="1">IFERROR(__xludf.DUMMYFUNCTION("""COMPUTED_VALUE"""),0.354)</f>
        <v>0.35399999999999998</v>
      </c>
      <c r="W295" s="1">
        <f ca="1">IFERROR(__xludf.DUMMYFUNCTION("""COMPUTED_VALUE"""),480)</f>
        <v>480</v>
      </c>
      <c r="X295" s="1">
        <f ca="1">IFERROR(__xludf.DUMMYFUNCTION("""COMPUTED_VALUE"""),708)</f>
        <v>708</v>
      </c>
      <c r="Y295" s="1">
        <f ca="1">IFERROR(__xludf.DUMMYFUNCTION("""COMPUTED_VALUE"""),0.678)</f>
        <v>0.67800000000000005</v>
      </c>
      <c r="Z295" s="1">
        <f ca="1">IFERROR(__xludf.DUMMYFUNCTION("""COMPUTED_VALUE"""),388)</f>
        <v>388</v>
      </c>
      <c r="AA295" s="1">
        <f ca="1">IFERROR(__xludf.DUMMYFUNCTION("""COMPUTED_VALUE"""),1181)</f>
        <v>1181</v>
      </c>
      <c r="AB295" s="1">
        <f ca="1">IFERROR(__xludf.DUMMYFUNCTION("""COMPUTED_VALUE"""),371)</f>
        <v>371</v>
      </c>
      <c r="AC295" s="1">
        <f ca="1">IFERROR(__xludf.DUMMYFUNCTION("""COMPUTED_VALUE"""),162)</f>
        <v>162</v>
      </c>
      <c r="AD295" s="1">
        <f ca="1">IFERROR(__xludf.DUMMYFUNCTION("""COMPUTED_VALUE"""),88)</f>
        <v>88</v>
      </c>
      <c r="AE295" s="1">
        <f ca="1">IFERROR(__xludf.DUMMYFUNCTION("""COMPUTED_VALUE"""),379)</f>
        <v>379</v>
      </c>
      <c r="AF295" s="1">
        <f ca="1">IFERROR(__xludf.DUMMYFUNCTION("""COMPUTED_VALUE"""),619)</f>
        <v>619</v>
      </c>
    </row>
    <row r="296" spans="1:32" ht="12.5" x14ac:dyDescent="0.25">
      <c r="A296" s="1" t="str">
        <f ca="1">IFERROR(__xludf.DUMMYFUNCTION("""COMPUTED_VALUE"""),"San Jose State")</f>
        <v>San Jose State</v>
      </c>
      <c r="B296" s="1">
        <f ca="1">IFERROR(__xludf.DUMMYFUNCTION("""COMPUTED_VALUE"""),31)</f>
        <v>31</v>
      </c>
      <c r="C296" s="1">
        <f ca="1">IFERROR(__xludf.DUMMYFUNCTION("""COMPUTED_VALUE"""),9)</f>
        <v>9</v>
      </c>
      <c r="D296" s="1">
        <f ca="1">IFERROR(__xludf.DUMMYFUNCTION("""COMPUTED_VALUE"""),22)</f>
        <v>22</v>
      </c>
      <c r="E296" s="1">
        <f ca="1">IFERROR(__xludf.DUMMYFUNCTION("""COMPUTED_VALUE"""),0.29)</f>
        <v>0.28999999999999998</v>
      </c>
      <c r="F296" s="1">
        <f ca="1">IFERROR(__xludf.DUMMYFUNCTION("""COMPUTED_VALUE"""),-5.79)</f>
        <v>-5.79</v>
      </c>
      <c r="G296" s="1">
        <f ca="1">IFERROR(__xludf.DUMMYFUNCTION("""COMPUTED_VALUE"""),1.35)</f>
        <v>1.35</v>
      </c>
      <c r="H296" s="1">
        <f ca="1">IFERROR(__xludf.DUMMYFUNCTION("""COMPUTED_VALUE"""),4)</f>
        <v>4</v>
      </c>
      <c r="I296" s="1">
        <f ca="1">IFERROR(__xludf.DUMMYFUNCTION("""COMPUTED_VALUE"""),14)</f>
        <v>14</v>
      </c>
      <c r="J296" s="1">
        <f ca="1">IFERROR(__xludf.DUMMYFUNCTION("""COMPUTED_VALUE"""),7)</f>
        <v>7</v>
      </c>
      <c r="K296" s="1">
        <f ca="1">IFERROR(__xludf.DUMMYFUNCTION("""COMPUTED_VALUE"""),7)</f>
        <v>7</v>
      </c>
      <c r="L296" s="1">
        <f ca="1">IFERROR(__xludf.DUMMYFUNCTION("""COMPUTED_VALUE"""),1)</f>
        <v>1</v>
      </c>
      <c r="M296" s="1">
        <f ca="1">IFERROR(__xludf.DUMMYFUNCTION("""COMPUTED_VALUE"""),13)</f>
        <v>13</v>
      </c>
      <c r="N296" s="1">
        <f ca="1">IFERROR(__xludf.DUMMYFUNCTION("""COMPUTED_VALUE"""),2186)</f>
        <v>2186</v>
      </c>
      <c r="O296" s="1">
        <f ca="1">IFERROR(__xludf.DUMMYFUNCTION("""COMPUTED_VALUE"""),2290)</f>
        <v>2290</v>
      </c>
      <c r="P296" s="1">
        <f ca="1">IFERROR(__xludf.DUMMYFUNCTION("""COMPUTED_VALUE"""),1245)</f>
        <v>1245</v>
      </c>
      <c r="Q296" s="1">
        <f ca="1">IFERROR(__xludf.DUMMYFUNCTION("""COMPUTED_VALUE"""),756)</f>
        <v>756</v>
      </c>
      <c r="R296" s="1">
        <f ca="1">IFERROR(__xludf.DUMMYFUNCTION("""COMPUTED_VALUE"""),1783)</f>
        <v>1783</v>
      </c>
      <c r="S296" s="1">
        <f ca="1">IFERROR(__xludf.DUMMYFUNCTION("""COMPUTED_VALUE"""),0.424)</f>
        <v>0.42399999999999999</v>
      </c>
      <c r="T296" s="1">
        <f ca="1">IFERROR(__xludf.DUMMYFUNCTION("""COMPUTED_VALUE"""),212)</f>
        <v>212</v>
      </c>
      <c r="U296" s="1">
        <f ca="1">IFERROR(__xludf.DUMMYFUNCTION("""COMPUTED_VALUE"""),690)</f>
        <v>690</v>
      </c>
      <c r="V296" s="1">
        <f ca="1">IFERROR(__xludf.DUMMYFUNCTION("""COMPUTED_VALUE"""),0.307)</f>
        <v>0.307</v>
      </c>
      <c r="W296" s="1">
        <f ca="1">IFERROR(__xludf.DUMMYFUNCTION("""COMPUTED_VALUE"""),462)</f>
        <v>462</v>
      </c>
      <c r="X296" s="1">
        <f ca="1">IFERROR(__xludf.DUMMYFUNCTION("""COMPUTED_VALUE"""),701)</f>
        <v>701</v>
      </c>
      <c r="Y296" s="1">
        <f ca="1">IFERROR(__xludf.DUMMYFUNCTION("""COMPUTED_VALUE"""),0.659)</f>
        <v>0.65900000000000003</v>
      </c>
      <c r="Z296" s="1">
        <f ca="1">IFERROR(__xludf.DUMMYFUNCTION("""COMPUTED_VALUE"""),327)</f>
        <v>327</v>
      </c>
      <c r="AA296" s="1">
        <f ca="1">IFERROR(__xludf.DUMMYFUNCTION("""COMPUTED_VALUE"""),1130)</f>
        <v>1130</v>
      </c>
      <c r="AB296" s="1">
        <f ca="1">IFERROR(__xludf.DUMMYFUNCTION("""COMPUTED_VALUE"""),449)</f>
        <v>449</v>
      </c>
      <c r="AC296" s="1">
        <f ca="1">IFERROR(__xludf.DUMMYFUNCTION("""COMPUTED_VALUE"""),186)</f>
        <v>186</v>
      </c>
      <c r="AD296" s="1">
        <f ca="1">IFERROR(__xludf.DUMMYFUNCTION("""COMPUTED_VALUE"""),120)</f>
        <v>120</v>
      </c>
      <c r="AE296" s="1">
        <f ca="1">IFERROR(__xludf.DUMMYFUNCTION("""COMPUTED_VALUE"""),430)</f>
        <v>430</v>
      </c>
      <c r="AF296" s="1">
        <f ca="1">IFERROR(__xludf.DUMMYFUNCTION("""COMPUTED_VALUE"""),687)</f>
        <v>687</v>
      </c>
    </row>
    <row r="297" spans="1:32" ht="12.5" x14ac:dyDescent="0.25">
      <c r="A297" s="1" t="str">
        <f ca="1">IFERROR(__xludf.DUMMYFUNCTION("""COMPUTED_VALUE"""),"Santa Clara")</f>
        <v>Santa Clara</v>
      </c>
      <c r="B297" s="1">
        <f ca="1">IFERROR(__xludf.DUMMYFUNCTION("""COMPUTED_VALUE"""),31)</f>
        <v>31</v>
      </c>
      <c r="C297" s="1">
        <f ca="1">IFERROR(__xludf.DUMMYFUNCTION("""COMPUTED_VALUE"""),11)</f>
        <v>11</v>
      </c>
      <c r="D297" s="1">
        <f ca="1">IFERROR(__xludf.DUMMYFUNCTION("""COMPUTED_VALUE"""),20)</f>
        <v>20</v>
      </c>
      <c r="E297" s="1">
        <f ca="1">IFERROR(__xludf.DUMMYFUNCTION("""COMPUTED_VALUE"""),0.355)</f>
        <v>0.35499999999999998</v>
      </c>
      <c r="F297" s="1">
        <f ca="1">IFERROR(__xludf.DUMMYFUNCTION("""COMPUTED_VALUE"""),-4.67)</f>
        <v>-4.67</v>
      </c>
      <c r="G297" s="1">
        <f ca="1">IFERROR(__xludf.DUMMYFUNCTION("""COMPUTED_VALUE"""),1.86)</f>
        <v>1.86</v>
      </c>
      <c r="H297" s="1">
        <f ca="1">IFERROR(__xludf.DUMMYFUNCTION("""COMPUTED_VALUE"""),7)</f>
        <v>7</v>
      </c>
      <c r="I297" s="1">
        <f ca="1">IFERROR(__xludf.DUMMYFUNCTION("""COMPUTED_VALUE"""),11)</f>
        <v>11</v>
      </c>
      <c r="J297" s="1">
        <f ca="1">IFERROR(__xludf.DUMMYFUNCTION("""COMPUTED_VALUE"""),7)</f>
        <v>7</v>
      </c>
      <c r="K297" s="1">
        <f ca="1">IFERROR(__xludf.DUMMYFUNCTION("""COMPUTED_VALUE"""),8)</f>
        <v>8</v>
      </c>
      <c r="L297" s="1">
        <f ca="1">IFERROR(__xludf.DUMMYFUNCTION("""COMPUTED_VALUE"""),3)</f>
        <v>3</v>
      </c>
      <c r="M297" s="1">
        <f ca="1">IFERROR(__xludf.DUMMYFUNCTION("""COMPUTED_VALUE"""),9)</f>
        <v>9</v>
      </c>
      <c r="N297" s="1">
        <f ca="1">IFERROR(__xludf.DUMMYFUNCTION("""COMPUTED_VALUE"""),2083)</f>
        <v>2083</v>
      </c>
      <c r="O297" s="1">
        <f ca="1">IFERROR(__xludf.DUMMYFUNCTION("""COMPUTED_VALUE"""),2272)</f>
        <v>2272</v>
      </c>
      <c r="P297" s="1">
        <f ca="1">IFERROR(__xludf.DUMMYFUNCTION("""COMPUTED_VALUE"""),1265)</f>
        <v>1265</v>
      </c>
      <c r="Q297" s="1">
        <f ca="1">IFERROR(__xludf.DUMMYFUNCTION("""COMPUTED_VALUE"""),713)</f>
        <v>713</v>
      </c>
      <c r="R297" s="1">
        <f ca="1">IFERROR(__xludf.DUMMYFUNCTION("""COMPUTED_VALUE"""),1741)</f>
        <v>1741</v>
      </c>
      <c r="S297" s="1">
        <f ca="1">IFERROR(__xludf.DUMMYFUNCTION("""COMPUTED_VALUE"""),0.41)</f>
        <v>0.41</v>
      </c>
      <c r="T297" s="1">
        <f ca="1">IFERROR(__xludf.DUMMYFUNCTION("""COMPUTED_VALUE"""),232)</f>
        <v>232</v>
      </c>
      <c r="U297" s="1">
        <f ca="1">IFERROR(__xludf.DUMMYFUNCTION("""COMPUTED_VALUE"""),675)</f>
        <v>675</v>
      </c>
      <c r="V297" s="1">
        <f ca="1">IFERROR(__xludf.DUMMYFUNCTION("""COMPUTED_VALUE"""),0.344)</f>
        <v>0.34399999999999997</v>
      </c>
      <c r="W297" s="1">
        <f ca="1">IFERROR(__xludf.DUMMYFUNCTION("""COMPUTED_VALUE"""),425)</f>
        <v>425</v>
      </c>
      <c r="X297" s="1">
        <f ca="1">IFERROR(__xludf.DUMMYFUNCTION("""COMPUTED_VALUE"""),592)</f>
        <v>592</v>
      </c>
      <c r="Y297" s="1">
        <f ca="1">IFERROR(__xludf.DUMMYFUNCTION("""COMPUTED_VALUE"""),0.718)</f>
        <v>0.71799999999999997</v>
      </c>
      <c r="Z297" s="1">
        <f ca="1">IFERROR(__xludf.DUMMYFUNCTION("""COMPUTED_VALUE"""),279)</f>
        <v>279</v>
      </c>
      <c r="AA297" s="1">
        <f ca="1">IFERROR(__xludf.DUMMYFUNCTION("""COMPUTED_VALUE"""),1047)</f>
        <v>1047</v>
      </c>
      <c r="AB297" s="1">
        <f ca="1">IFERROR(__xludf.DUMMYFUNCTION("""COMPUTED_VALUE"""),383)</f>
        <v>383</v>
      </c>
      <c r="AC297" s="1">
        <f ca="1">IFERROR(__xludf.DUMMYFUNCTION("""COMPUTED_VALUE"""),134)</f>
        <v>134</v>
      </c>
      <c r="AD297" s="1">
        <f ca="1">IFERROR(__xludf.DUMMYFUNCTION("""COMPUTED_VALUE"""),83)</f>
        <v>83</v>
      </c>
      <c r="AE297" s="1">
        <f ca="1">IFERROR(__xludf.DUMMYFUNCTION("""COMPUTED_VALUE"""),350)</f>
        <v>350</v>
      </c>
      <c r="AF297" s="1">
        <f ca="1">IFERROR(__xludf.DUMMYFUNCTION("""COMPUTED_VALUE"""),613)</f>
        <v>613</v>
      </c>
    </row>
    <row r="298" spans="1:32" ht="12.5" x14ac:dyDescent="0.25">
      <c r="A298" s="1" t="str">
        <f ca="1">IFERROR(__xludf.DUMMYFUNCTION("""COMPUTED_VALUE"""),"Savannah State")</f>
        <v>Savannah State</v>
      </c>
      <c r="B298" s="1">
        <f ca="1">IFERROR(__xludf.DUMMYFUNCTION("""COMPUTED_VALUE"""),32)</f>
        <v>32</v>
      </c>
      <c r="C298" s="1">
        <f ca="1">IFERROR(__xludf.DUMMYFUNCTION("""COMPUTED_VALUE"""),16)</f>
        <v>16</v>
      </c>
      <c r="D298" s="1">
        <f ca="1">IFERROR(__xludf.DUMMYFUNCTION("""COMPUTED_VALUE"""),16)</f>
        <v>16</v>
      </c>
      <c r="E298" s="1">
        <f ca="1">IFERROR(__xludf.DUMMYFUNCTION("""COMPUTED_VALUE"""),0.5)</f>
        <v>0.5</v>
      </c>
      <c r="F298" s="1">
        <f ca="1">IFERROR(__xludf.DUMMYFUNCTION("""COMPUTED_VALUE"""),-15.39)</f>
        <v>-15.39</v>
      </c>
      <c r="G298" s="1">
        <f ca="1">IFERROR(__xludf.DUMMYFUNCTION("""COMPUTED_VALUE"""),-8.59)</f>
        <v>-8.59</v>
      </c>
      <c r="H298" s="1">
        <f ca="1">IFERROR(__xludf.DUMMYFUNCTION("""COMPUTED_VALUE"""),9)</f>
        <v>9</v>
      </c>
      <c r="I298" s="1">
        <f ca="1">IFERROR(__xludf.DUMMYFUNCTION("""COMPUTED_VALUE"""),7)</f>
        <v>7</v>
      </c>
      <c r="J298" s="1">
        <f ca="1">IFERROR(__xludf.DUMMYFUNCTION("""COMPUTED_VALUE"""),12)</f>
        <v>12</v>
      </c>
      <c r="K298" s="1">
        <f ca="1">IFERROR(__xludf.DUMMYFUNCTION("""COMPUTED_VALUE"""),3)</f>
        <v>3</v>
      </c>
      <c r="L298" s="1">
        <f ca="1">IFERROR(__xludf.DUMMYFUNCTION("""COMPUTED_VALUE"""),2)</f>
        <v>2</v>
      </c>
      <c r="M298" s="1">
        <f ca="1">IFERROR(__xludf.DUMMYFUNCTION("""COMPUTED_VALUE"""),12)</f>
        <v>12</v>
      </c>
      <c r="N298" s="1">
        <f ca="1">IFERROR(__xludf.DUMMYFUNCTION("""COMPUTED_VALUE"""),1992)</f>
        <v>1992</v>
      </c>
      <c r="O298" s="1">
        <f ca="1">IFERROR(__xludf.DUMMYFUNCTION("""COMPUTED_VALUE"""),2167)</f>
        <v>2167</v>
      </c>
      <c r="P298" s="1">
        <f ca="1">IFERROR(__xludf.DUMMYFUNCTION("""COMPUTED_VALUE"""),1285)</f>
        <v>1285</v>
      </c>
      <c r="Q298" s="1">
        <f ca="1">IFERROR(__xludf.DUMMYFUNCTION("""COMPUTED_VALUE"""),667)</f>
        <v>667</v>
      </c>
      <c r="R298" s="1">
        <f ca="1">IFERROR(__xludf.DUMMYFUNCTION("""COMPUTED_VALUE"""),1685)</f>
        <v>1685</v>
      </c>
      <c r="S298" s="1">
        <f ca="1">IFERROR(__xludf.DUMMYFUNCTION("""COMPUTED_VALUE"""),0.396)</f>
        <v>0.39600000000000002</v>
      </c>
      <c r="T298" s="1">
        <f ca="1">IFERROR(__xludf.DUMMYFUNCTION("""COMPUTED_VALUE"""),204)</f>
        <v>204</v>
      </c>
      <c r="U298" s="1">
        <f ca="1">IFERROR(__xludf.DUMMYFUNCTION("""COMPUTED_VALUE"""),647)</f>
        <v>647</v>
      </c>
      <c r="V298" s="1">
        <f ca="1">IFERROR(__xludf.DUMMYFUNCTION("""COMPUTED_VALUE"""),0.315)</f>
        <v>0.315</v>
      </c>
      <c r="W298" s="1">
        <f ca="1">IFERROR(__xludf.DUMMYFUNCTION("""COMPUTED_VALUE"""),452)</f>
        <v>452</v>
      </c>
      <c r="X298" s="1">
        <f ca="1">IFERROR(__xludf.DUMMYFUNCTION("""COMPUTED_VALUE"""),686)</f>
        <v>686</v>
      </c>
      <c r="Y298" s="1">
        <f ca="1">IFERROR(__xludf.DUMMYFUNCTION("""COMPUTED_VALUE"""),0.659)</f>
        <v>0.65900000000000003</v>
      </c>
      <c r="Z298" s="1">
        <f ca="1">IFERROR(__xludf.DUMMYFUNCTION("""COMPUTED_VALUE"""),297)</f>
        <v>297</v>
      </c>
      <c r="AA298" s="1">
        <f ca="1">IFERROR(__xludf.DUMMYFUNCTION("""COMPUTED_VALUE"""),1022)</f>
        <v>1022</v>
      </c>
      <c r="AB298" s="1">
        <f ca="1">IFERROR(__xludf.DUMMYFUNCTION("""COMPUTED_VALUE"""),330)</f>
        <v>330</v>
      </c>
      <c r="AC298" s="1">
        <f ca="1">IFERROR(__xludf.DUMMYFUNCTION("""COMPUTED_VALUE"""),201)</f>
        <v>201</v>
      </c>
      <c r="AD298" s="1">
        <f ca="1">IFERROR(__xludf.DUMMYFUNCTION("""COMPUTED_VALUE"""),84)</f>
        <v>84</v>
      </c>
      <c r="AE298" s="1">
        <f ca="1">IFERROR(__xludf.DUMMYFUNCTION("""COMPUTED_VALUE"""),473)</f>
        <v>473</v>
      </c>
      <c r="AF298" s="1">
        <f ca="1">IFERROR(__xludf.DUMMYFUNCTION("""COMPUTED_VALUE"""),632)</f>
        <v>632</v>
      </c>
    </row>
    <row r="299" spans="1:32" ht="12.5" x14ac:dyDescent="0.25">
      <c r="A299" s="1" t="str">
        <f ca="1">IFERROR(__xludf.DUMMYFUNCTION("""COMPUTED_VALUE"""),"Seattle")</f>
        <v>Seattle</v>
      </c>
      <c r="B299" s="1">
        <f ca="1">IFERROR(__xludf.DUMMYFUNCTION("""COMPUTED_VALUE"""),32)</f>
        <v>32</v>
      </c>
      <c r="C299" s="1">
        <f ca="1">IFERROR(__xludf.DUMMYFUNCTION("""COMPUTED_VALUE"""),15)</f>
        <v>15</v>
      </c>
      <c r="D299" s="1">
        <f ca="1">IFERROR(__xludf.DUMMYFUNCTION("""COMPUTED_VALUE"""),17)</f>
        <v>17</v>
      </c>
      <c r="E299" s="1">
        <f ca="1">IFERROR(__xludf.DUMMYFUNCTION("""COMPUTED_VALUE"""),0.469)</f>
        <v>0.46899999999999997</v>
      </c>
      <c r="F299" s="1">
        <f ca="1">IFERROR(__xludf.DUMMYFUNCTION("""COMPUTED_VALUE"""),-9.62)</f>
        <v>-9.6199999999999992</v>
      </c>
      <c r="G299" s="1">
        <f ca="1">IFERROR(__xludf.DUMMYFUNCTION("""COMPUTED_VALUE"""),-5.02)</f>
        <v>-5.0199999999999996</v>
      </c>
      <c r="H299" s="1">
        <f ca="1">IFERROR(__xludf.DUMMYFUNCTION("""COMPUTED_VALUE"""),7)</f>
        <v>7</v>
      </c>
      <c r="I299" s="1">
        <f ca="1">IFERROR(__xludf.DUMMYFUNCTION("""COMPUTED_VALUE"""),7)</f>
        <v>7</v>
      </c>
      <c r="J299" s="1">
        <f ca="1">IFERROR(__xludf.DUMMYFUNCTION("""COMPUTED_VALUE"""),10)</f>
        <v>10</v>
      </c>
      <c r="K299" s="1">
        <f ca="1">IFERROR(__xludf.DUMMYFUNCTION("""COMPUTED_VALUE"""),8)</f>
        <v>8</v>
      </c>
      <c r="L299" s="1">
        <f ca="1">IFERROR(__xludf.DUMMYFUNCTION("""COMPUTED_VALUE"""),3)</f>
        <v>3</v>
      </c>
      <c r="M299" s="1">
        <f ca="1">IFERROR(__xludf.DUMMYFUNCTION("""COMPUTED_VALUE"""),8)</f>
        <v>8</v>
      </c>
      <c r="N299" s="1">
        <f ca="1">IFERROR(__xludf.DUMMYFUNCTION("""COMPUTED_VALUE"""),2074)</f>
        <v>2074</v>
      </c>
      <c r="O299" s="1">
        <f ca="1">IFERROR(__xludf.DUMMYFUNCTION("""COMPUTED_VALUE"""),2140)</f>
        <v>2140</v>
      </c>
      <c r="P299" s="1">
        <f ca="1">IFERROR(__xludf.DUMMYFUNCTION("""COMPUTED_VALUE"""),1285)</f>
        <v>1285</v>
      </c>
      <c r="Q299" s="1">
        <f ca="1">IFERROR(__xludf.DUMMYFUNCTION("""COMPUTED_VALUE"""),735)</f>
        <v>735</v>
      </c>
      <c r="R299" s="1">
        <f ca="1">IFERROR(__xludf.DUMMYFUNCTION("""COMPUTED_VALUE"""),1732)</f>
        <v>1732</v>
      </c>
      <c r="S299" s="1">
        <f ca="1">IFERROR(__xludf.DUMMYFUNCTION("""COMPUTED_VALUE"""),0.424)</f>
        <v>0.42399999999999999</v>
      </c>
      <c r="T299" s="1">
        <f ca="1">IFERROR(__xludf.DUMMYFUNCTION("""COMPUTED_VALUE"""),197)</f>
        <v>197</v>
      </c>
      <c r="U299" s="1">
        <f ca="1">IFERROR(__xludf.DUMMYFUNCTION("""COMPUTED_VALUE"""),550)</f>
        <v>550</v>
      </c>
      <c r="V299" s="1">
        <f ca="1">IFERROR(__xludf.DUMMYFUNCTION("""COMPUTED_VALUE"""),0.358)</f>
        <v>0.35799999999999998</v>
      </c>
      <c r="W299" s="1">
        <f ca="1">IFERROR(__xludf.DUMMYFUNCTION("""COMPUTED_VALUE"""),407)</f>
        <v>407</v>
      </c>
      <c r="X299" s="1">
        <f ca="1">IFERROR(__xludf.DUMMYFUNCTION("""COMPUTED_VALUE"""),612)</f>
        <v>612</v>
      </c>
      <c r="Y299" s="1">
        <f ca="1">IFERROR(__xludf.DUMMYFUNCTION("""COMPUTED_VALUE"""),0.665)</f>
        <v>0.66500000000000004</v>
      </c>
      <c r="Z299" s="1">
        <f ca="1">IFERROR(__xludf.DUMMYFUNCTION("""COMPUTED_VALUE"""),364)</f>
        <v>364</v>
      </c>
      <c r="AA299" s="1">
        <f ca="1">IFERROR(__xludf.DUMMYFUNCTION("""COMPUTED_VALUE"""),1174)</f>
        <v>1174</v>
      </c>
      <c r="AB299" s="1">
        <f ca="1">IFERROR(__xludf.DUMMYFUNCTION("""COMPUTED_VALUE"""),415)</f>
        <v>415</v>
      </c>
      <c r="AC299" s="1">
        <f ca="1">IFERROR(__xludf.DUMMYFUNCTION("""COMPUTED_VALUE"""),193)</f>
        <v>193</v>
      </c>
      <c r="AD299" s="1">
        <f ca="1">IFERROR(__xludf.DUMMYFUNCTION("""COMPUTED_VALUE"""),51)</f>
        <v>51</v>
      </c>
      <c r="AE299" s="1">
        <f ca="1">IFERROR(__xludf.DUMMYFUNCTION("""COMPUTED_VALUE"""),505)</f>
        <v>505</v>
      </c>
      <c r="AF299" s="1">
        <f ca="1">IFERROR(__xludf.DUMMYFUNCTION("""COMPUTED_VALUE"""),584)</f>
        <v>584</v>
      </c>
    </row>
    <row r="300" spans="1:32" ht="12.5" x14ac:dyDescent="0.25">
      <c r="A300" s="1" t="str">
        <f ca="1">IFERROR(__xludf.DUMMYFUNCTION("""COMPUTED_VALUE"""),"Seton HallNCAA")</f>
        <v>Seton HallNCAA</v>
      </c>
      <c r="B300" s="1">
        <f ca="1">IFERROR(__xludf.DUMMYFUNCTION("""COMPUTED_VALUE"""),34)</f>
        <v>34</v>
      </c>
      <c r="C300" s="1">
        <f ca="1">IFERROR(__xludf.DUMMYFUNCTION("""COMPUTED_VALUE"""),25)</f>
        <v>25</v>
      </c>
      <c r="D300" s="1">
        <f ca="1">IFERROR(__xludf.DUMMYFUNCTION("""COMPUTED_VALUE"""),9)</f>
        <v>9</v>
      </c>
      <c r="E300" s="1">
        <f ca="1">IFERROR(__xludf.DUMMYFUNCTION("""COMPUTED_VALUE"""),0.735)</f>
        <v>0.73499999999999999</v>
      </c>
      <c r="F300" s="1">
        <f ca="1">IFERROR(__xludf.DUMMYFUNCTION("""COMPUTED_VALUE"""),14.66)</f>
        <v>14.66</v>
      </c>
      <c r="G300" s="1">
        <f ca="1">IFERROR(__xludf.DUMMYFUNCTION("""COMPUTED_VALUE"""),8.28)</f>
        <v>8.2799999999999994</v>
      </c>
      <c r="H300" s="1">
        <f ca="1">IFERROR(__xludf.DUMMYFUNCTION("""COMPUTED_VALUE"""),12)</f>
        <v>12</v>
      </c>
      <c r="I300" s="1">
        <f ca="1">IFERROR(__xludf.DUMMYFUNCTION("""COMPUTED_VALUE"""),6)</f>
        <v>6</v>
      </c>
      <c r="J300" s="1">
        <f ca="1">IFERROR(__xludf.DUMMYFUNCTION("""COMPUTED_VALUE"""),13)</f>
        <v>13</v>
      </c>
      <c r="K300" s="1">
        <f ca="1">IFERROR(__xludf.DUMMYFUNCTION("""COMPUTED_VALUE"""),3)</f>
        <v>3</v>
      </c>
      <c r="L300" s="1">
        <f ca="1">IFERROR(__xludf.DUMMYFUNCTION("""COMPUTED_VALUE"""),7)</f>
        <v>7</v>
      </c>
      <c r="M300" s="1">
        <f ca="1">IFERROR(__xludf.DUMMYFUNCTION("""COMPUTED_VALUE"""),4)</f>
        <v>4</v>
      </c>
      <c r="N300" s="1">
        <f ca="1">IFERROR(__xludf.DUMMYFUNCTION("""COMPUTED_VALUE"""),2522)</f>
        <v>2522</v>
      </c>
      <c r="O300" s="1">
        <f ca="1">IFERROR(__xludf.DUMMYFUNCTION("""COMPUTED_VALUE"""),2305)</f>
        <v>2305</v>
      </c>
      <c r="P300" s="1">
        <f ca="1">IFERROR(__xludf.DUMMYFUNCTION("""COMPUTED_VALUE"""),1365)</f>
        <v>1365</v>
      </c>
      <c r="Q300" s="1">
        <f ca="1">IFERROR(__xludf.DUMMYFUNCTION("""COMPUTED_VALUE"""),892)</f>
        <v>892</v>
      </c>
      <c r="R300" s="1">
        <f ca="1">IFERROR(__xludf.DUMMYFUNCTION("""COMPUTED_VALUE"""),1999)</f>
        <v>1999</v>
      </c>
      <c r="S300" s="1">
        <f ca="1">IFERROR(__xludf.DUMMYFUNCTION("""COMPUTED_VALUE"""),0.446)</f>
        <v>0.44600000000000001</v>
      </c>
      <c r="T300" s="1">
        <f ca="1">IFERROR(__xludf.DUMMYFUNCTION("""COMPUTED_VALUE"""),206)</f>
        <v>206</v>
      </c>
      <c r="U300" s="1">
        <f ca="1">IFERROR(__xludf.DUMMYFUNCTION("""COMPUTED_VALUE"""),594)</f>
        <v>594</v>
      </c>
      <c r="V300" s="1">
        <f ca="1">IFERROR(__xludf.DUMMYFUNCTION("""COMPUTED_VALUE"""),0.347)</f>
        <v>0.34699999999999998</v>
      </c>
      <c r="W300" s="1">
        <f ca="1">IFERROR(__xludf.DUMMYFUNCTION("""COMPUTED_VALUE"""),532)</f>
        <v>532</v>
      </c>
      <c r="X300" s="1">
        <f ca="1">IFERROR(__xludf.DUMMYFUNCTION("""COMPUTED_VALUE"""),808)</f>
        <v>808</v>
      </c>
      <c r="Y300" s="1">
        <f ca="1">IFERROR(__xludf.DUMMYFUNCTION("""COMPUTED_VALUE"""),0.658)</f>
        <v>0.65800000000000003</v>
      </c>
      <c r="Z300" s="1">
        <f ca="1">IFERROR(__xludf.DUMMYFUNCTION("""COMPUTED_VALUE"""),438)</f>
        <v>438</v>
      </c>
      <c r="AA300" s="1">
        <f ca="1">IFERROR(__xludf.DUMMYFUNCTION("""COMPUTED_VALUE"""),1355)</f>
        <v>1355</v>
      </c>
      <c r="AB300" s="1">
        <f ca="1">IFERROR(__xludf.DUMMYFUNCTION("""COMPUTED_VALUE"""),455)</f>
        <v>455</v>
      </c>
      <c r="AC300" s="1">
        <f ca="1">IFERROR(__xludf.DUMMYFUNCTION("""COMPUTED_VALUE"""),251)</f>
        <v>251</v>
      </c>
      <c r="AD300" s="1">
        <f ca="1">IFERROR(__xludf.DUMMYFUNCTION("""COMPUTED_VALUE"""),155)</f>
        <v>155</v>
      </c>
      <c r="AE300" s="1">
        <f ca="1">IFERROR(__xludf.DUMMYFUNCTION("""COMPUTED_VALUE"""),469)</f>
        <v>469</v>
      </c>
      <c r="AF300" s="1">
        <f ca="1">IFERROR(__xludf.DUMMYFUNCTION("""COMPUTED_VALUE"""),636)</f>
        <v>636</v>
      </c>
    </row>
    <row r="301" spans="1:32" ht="12.5" x14ac:dyDescent="0.25">
      <c r="A301" s="1" t="str">
        <f ca="1">IFERROR(__xludf.DUMMYFUNCTION("""COMPUTED_VALUE"""),"Siena")</f>
        <v>Siena</v>
      </c>
      <c r="B301" s="1">
        <f ca="1">IFERROR(__xludf.DUMMYFUNCTION("""COMPUTED_VALUE"""),34)</f>
        <v>34</v>
      </c>
      <c r="C301" s="1">
        <f ca="1">IFERROR(__xludf.DUMMYFUNCTION("""COMPUTED_VALUE"""),21)</f>
        <v>21</v>
      </c>
      <c r="D301" s="1">
        <f ca="1">IFERROR(__xludf.DUMMYFUNCTION("""COMPUTED_VALUE"""),13)</f>
        <v>13</v>
      </c>
      <c r="E301" s="1">
        <f ca="1">IFERROR(__xludf.DUMMYFUNCTION("""COMPUTED_VALUE"""),0.618)</f>
        <v>0.61799999999999999</v>
      </c>
      <c r="F301" s="1">
        <f ca="1">IFERROR(__xludf.DUMMYFUNCTION("""COMPUTED_VALUE"""),1.73)</f>
        <v>1.73</v>
      </c>
      <c r="G301" s="1">
        <f ca="1">IFERROR(__xludf.DUMMYFUNCTION("""COMPUTED_VALUE"""),-3.19)</f>
        <v>-3.19</v>
      </c>
      <c r="H301" s="1">
        <f ca="1">IFERROR(__xludf.DUMMYFUNCTION("""COMPUTED_VALUE"""),13)</f>
        <v>13</v>
      </c>
      <c r="I301" s="1">
        <f ca="1">IFERROR(__xludf.DUMMYFUNCTION("""COMPUTED_VALUE"""),7)</f>
        <v>7</v>
      </c>
      <c r="J301" s="1">
        <f ca="1">IFERROR(__xludf.DUMMYFUNCTION("""COMPUTED_VALUE"""),12)</f>
        <v>12</v>
      </c>
      <c r="K301" s="1">
        <f ca="1">IFERROR(__xludf.DUMMYFUNCTION("""COMPUTED_VALUE"""),3)</f>
        <v>3</v>
      </c>
      <c r="L301" s="1">
        <f ca="1">IFERROR(__xludf.DUMMYFUNCTION("""COMPUTED_VALUE"""),7)</f>
        <v>7</v>
      </c>
      <c r="M301" s="1">
        <f ca="1">IFERROR(__xludf.DUMMYFUNCTION("""COMPUTED_VALUE"""),9)</f>
        <v>9</v>
      </c>
      <c r="N301" s="1">
        <f ca="1">IFERROR(__xludf.DUMMYFUNCTION("""COMPUTED_VALUE"""),2659)</f>
        <v>2659</v>
      </c>
      <c r="O301" s="1">
        <f ca="1">IFERROR(__xludf.DUMMYFUNCTION("""COMPUTED_VALUE"""),2492)</f>
        <v>2492</v>
      </c>
      <c r="P301" s="1">
        <f ca="1">IFERROR(__xludf.DUMMYFUNCTION("""COMPUTED_VALUE"""),1385)</f>
        <v>1385</v>
      </c>
      <c r="Q301" s="1">
        <f ca="1">IFERROR(__xludf.DUMMYFUNCTION("""COMPUTED_VALUE"""),929)</f>
        <v>929</v>
      </c>
      <c r="R301" s="1">
        <f ca="1">IFERROR(__xludf.DUMMYFUNCTION("""COMPUTED_VALUE"""),1992)</f>
        <v>1992</v>
      </c>
      <c r="S301" s="1">
        <f ca="1">IFERROR(__xludf.DUMMYFUNCTION("""COMPUTED_VALUE"""),0.466)</f>
        <v>0.46600000000000003</v>
      </c>
      <c r="T301" s="1">
        <f ca="1">IFERROR(__xludf.DUMMYFUNCTION("""COMPUTED_VALUE"""),215)</f>
        <v>215</v>
      </c>
      <c r="U301" s="1">
        <f ca="1">IFERROR(__xludf.DUMMYFUNCTION("""COMPUTED_VALUE"""),585)</f>
        <v>585</v>
      </c>
      <c r="V301" s="1">
        <f ca="1">IFERROR(__xludf.DUMMYFUNCTION("""COMPUTED_VALUE"""),0.368)</f>
        <v>0.36799999999999999</v>
      </c>
      <c r="W301" s="1">
        <f ca="1">IFERROR(__xludf.DUMMYFUNCTION("""COMPUTED_VALUE"""),586)</f>
        <v>586</v>
      </c>
      <c r="X301" s="1">
        <f ca="1">IFERROR(__xludf.DUMMYFUNCTION("""COMPUTED_VALUE"""),812)</f>
        <v>812</v>
      </c>
      <c r="Y301" s="1">
        <f ca="1">IFERROR(__xludf.DUMMYFUNCTION("""COMPUTED_VALUE"""),0.722)</f>
        <v>0.72199999999999998</v>
      </c>
      <c r="Z301" s="1">
        <f ca="1">IFERROR(__xludf.DUMMYFUNCTION("""COMPUTED_VALUE"""),455)</f>
        <v>455</v>
      </c>
      <c r="AA301" s="1">
        <f ca="1">IFERROR(__xludf.DUMMYFUNCTION("""COMPUTED_VALUE"""),1362)</f>
        <v>1362</v>
      </c>
      <c r="AB301" s="1">
        <f ca="1">IFERROR(__xludf.DUMMYFUNCTION("""COMPUTED_VALUE"""),492)</f>
        <v>492</v>
      </c>
      <c r="AC301" s="1">
        <f ca="1">IFERROR(__xludf.DUMMYFUNCTION("""COMPUTED_VALUE"""),210)</f>
        <v>210</v>
      </c>
      <c r="AD301" s="1">
        <f ca="1">IFERROR(__xludf.DUMMYFUNCTION("""COMPUTED_VALUE"""),155)</f>
        <v>155</v>
      </c>
      <c r="AE301" s="1">
        <f ca="1">IFERROR(__xludf.DUMMYFUNCTION("""COMPUTED_VALUE"""),546)</f>
        <v>546</v>
      </c>
      <c r="AF301" s="1">
        <f ca="1">IFERROR(__xludf.DUMMYFUNCTION("""COMPUTED_VALUE"""),714)</f>
        <v>714</v>
      </c>
    </row>
    <row r="302" spans="1:32" ht="12.5" x14ac:dyDescent="0.25">
      <c r="A302" s="1" t="str">
        <f ca="1">IFERROR(__xludf.DUMMYFUNCTION("""COMPUTED_VALUE"""),"South Alabama")</f>
        <v>South Alabama</v>
      </c>
      <c r="B302" s="1">
        <f ca="1">IFERROR(__xludf.DUMMYFUNCTION("""COMPUTED_VALUE"""),33)</f>
        <v>33</v>
      </c>
      <c r="C302" s="1">
        <f ca="1">IFERROR(__xludf.DUMMYFUNCTION("""COMPUTED_VALUE"""),14)</f>
        <v>14</v>
      </c>
      <c r="D302" s="1">
        <f ca="1">IFERROR(__xludf.DUMMYFUNCTION("""COMPUTED_VALUE"""),19)</f>
        <v>19</v>
      </c>
      <c r="E302" s="1">
        <f ca="1">IFERROR(__xludf.DUMMYFUNCTION("""COMPUTED_VALUE"""),0.424)</f>
        <v>0.42399999999999999</v>
      </c>
      <c r="F302" s="1">
        <f ca="1">IFERROR(__xludf.DUMMYFUNCTION("""COMPUTED_VALUE"""),-8.18)</f>
        <v>-8.18</v>
      </c>
      <c r="G302" s="1">
        <f ca="1">IFERROR(__xludf.DUMMYFUNCTION("""COMPUTED_VALUE"""),-2.02)</f>
        <v>-2.02</v>
      </c>
      <c r="H302" s="1">
        <f ca="1">IFERROR(__xludf.DUMMYFUNCTION("""COMPUTED_VALUE"""),8)</f>
        <v>8</v>
      </c>
      <c r="I302" s="1">
        <f ca="1">IFERROR(__xludf.DUMMYFUNCTION("""COMPUTED_VALUE"""),12)</f>
        <v>12</v>
      </c>
      <c r="J302" s="1">
        <f ca="1">IFERROR(__xludf.DUMMYFUNCTION("""COMPUTED_VALUE"""),8)</f>
        <v>8</v>
      </c>
      <c r="K302" s="1">
        <f ca="1">IFERROR(__xludf.DUMMYFUNCTION("""COMPUTED_VALUE"""),6)</f>
        <v>6</v>
      </c>
      <c r="L302" s="1">
        <f ca="1">IFERROR(__xludf.DUMMYFUNCTION("""COMPUTED_VALUE"""),4)</f>
        <v>4</v>
      </c>
      <c r="M302" s="1">
        <f ca="1">IFERROR(__xludf.DUMMYFUNCTION("""COMPUTED_VALUE"""),11)</f>
        <v>11</v>
      </c>
      <c r="N302" s="1">
        <f ca="1">IFERROR(__xludf.DUMMYFUNCTION("""COMPUTED_VALUE"""),2284)</f>
        <v>2284</v>
      </c>
      <c r="O302" s="1">
        <f ca="1">IFERROR(__xludf.DUMMYFUNCTION("""COMPUTED_VALUE"""),2426)</f>
        <v>2426</v>
      </c>
      <c r="P302" s="1">
        <f ca="1">IFERROR(__xludf.DUMMYFUNCTION("""COMPUTED_VALUE"""),1345)</f>
        <v>1345</v>
      </c>
      <c r="Q302" s="1">
        <f ca="1">IFERROR(__xludf.DUMMYFUNCTION("""COMPUTED_VALUE"""),784)</f>
        <v>784</v>
      </c>
      <c r="R302" s="1">
        <f ca="1">IFERROR(__xludf.DUMMYFUNCTION("""COMPUTED_VALUE"""),1917)</f>
        <v>1917</v>
      </c>
      <c r="S302" s="1">
        <f ca="1">IFERROR(__xludf.DUMMYFUNCTION("""COMPUTED_VALUE"""),0.409)</f>
        <v>0.40899999999999997</v>
      </c>
      <c r="T302" s="1">
        <f ca="1">IFERROR(__xludf.DUMMYFUNCTION("""COMPUTED_VALUE"""),213)</f>
        <v>213</v>
      </c>
      <c r="U302" s="1">
        <f ca="1">IFERROR(__xludf.DUMMYFUNCTION("""COMPUTED_VALUE"""),660)</f>
        <v>660</v>
      </c>
      <c r="V302" s="1">
        <f ca="1">IFERROR(__xludf.DUMMYFUNCTION("""COMPUTED_VALUE"""),0.323)</f>
        <v>0.32300000000000001</v>
      </c>
      <c r="W302" s="1">
        <f ca="1">IFERROR(__xludf.DUMMYFUNCTION("""COMPUTED_VALUE"""),503)</f>
        <v>503</v>
      </c>
      <c r="X302" s="1">
        <f ca="1">IFERROR(__xludf.DUMMYFUNCTION("""COMPUTED_VALUE"""),747)</f>
        <v>747</v>
      </c>
      <c r="Y302" s="1">
        <f ca="1">IFERROR(__xludf.DUMMYFUNCTION("""COMPUTED_VALUE"""),0.673)</f>
        <v>0.67300000000000004</v>
      </c>
      <c r="Z302" s="1">
        <f ca="1">IFERROR(__xludf.DUMMYFUNCTION("""COMPUTED_VALUE"""),390)</f>
        <v>390</v>
      </c>
      <c r="AA302" s="1">
        <f ca="1">IFERROR(__xludf.DUMMYFUNCTION("""COMPUTED_VALUE"""),1228)</f>
        <v>1228</v>
      </c>
      <c r="AB302" s="1">
        <f ca="1">IFERROR(__xludf.DUMMYFUNCTION("""COMPUTED_VALUE"""),350)</f>
        <v>350</v>
      </c>
      <c r="AC302" s="1">
        <f ca="1">IFERROR(__xludf.DUMMYFUNCTION("""COMPUTED_VALUE"""),221)</f>
        <v>221</v>
      </c>
      <c r="AD302" s="1">
        <f ca="1">IFERROR(__xludf.DUMMYFUNCTION("""COMPUTED_VALUE"""),132)</f>
        <v>132</v>
      </c>
      <c r="AE302" s="1">
        <f ca="1">IFERROR(__xludf.DUMMYFUNCTION("""COMPUTED_VALUE"""),483)</f>
        <v>483</v>
      </c>
      <c r="AF302" s="1">
        <f ca="1">IFERROR(__xludf.DUMMYFUNCTION("""COMPUTED_VALUE"""),664)</f>
        <v>664</v>
      </c>
    </row>
    <row r="303" spans="1:32" ht="12.5" x14ac:dyDescent="0.25">
      <c r="A303" s="1" t="str">
        <f ca="1">IFERROR(__xludf.DUMMYFUNCTION("""COMPUTED_VALUE"""),"South Carolina State")</f>
        <v>South Carolina State</v>
      </c>
      <c r="B303" s="1">
        <f ca="1">IFERROR(__xludf.DUMMYFUNCTION("""COMPUTED_VALUE"""),34)</f>
        <v>34</v>
      </c>
      <c r="C303" s="1">
        <f ca="1">IFERROR(__xludf.DUMMYFUNCTION("""COMPUTED_VALUE"""),19)</f>
        <v>19</v>
      </c>
      <c r="D303" s="1">
        <f ca="1">IFERROR(__xludf.DUMMYFUNCTION("""COMPUTED_VALUE"""),15)</f>
        <v>15</v>
      </c>
      <c r="E303" s="1">
        <f ca="1">IFERROR(__xludf.DUMMYFUNCTION("""COMPUTED_VALUE"""),0.559)</f>
        <v>0.55900000000000005</v>
      </c>
      <c r="F303" s="1">
        <f ca="1">IFERROR(__xludf.DUMMYFUNCTION("""COMPUTED_VALUE"""),-9.99)</f>
        <v>-9.99</v>
      </c>
      <c r="G303" s="1">
        <f ca="1">IFERROR(__xludf.DUMMYFUNCTION("""COMPUTED_VALUE"""),-8.24)</f>
        <v>-8.24</v>
      </c>
      <c r="H303" s="1">
        <f ca="1">IFERROR(__xludf.DUMMYFUNCTION("""COMPUTED_VALUE"""),12)</f>
        <v>12</v>
      </c>
      <c r="I303" s="1">
        <f ca="1">IFERROR(__xludf.DUMMYFUNCTION("""COMPUTED_VALUE"""),4)</f>
        <v>4</v>
      </c>
      <c r="J303" s="1">
        <f ca="1">IFERROR(__xludf.DUMMYFUNCTION("""COMPUTED_VALUE"""),10)</f>
        <v>10</v>
      </c>
      <c r="K303" s="1">
        <f ca="1">IFERROR(__xludf.DUMMYFUNCTION("""COMPUTED_VALUE"""),1)</f>
        <v>1</v>
      </c>
      <c r="L303" s="1">
        <f ca="1">IFERROR(__xludf.DUMMYFUNCTION("""COMPUTED_VALUE"""),6)</f>
        <v>6</v>
      </c>
      <c r="M303" s="1">
        <f ca="1">IFERROR(__xludf.DUMMYFUNCTION("""COMPUTED_VALUE"""),12)</f>
        <v>12</v>
      </c>
      <c r="N303" s="1">
        <f ca="1">IFERROR(__xludf.DUMMYFUNCTION("""COMPUTED_VALUE"""),2485)</f>
        <v>2485</v>
      </c>
      <c r="O303" s="1">
        <f ca="1">IFERROR(__xludf.DUMMYFUNCTION("""COMPUTED_VALUE"""),2485)</f>
        <v>2485</v>
      </c>
      <c r="P303" s="1">
        <f ca="1">IFERROR(__xludf.DUMMYFUNCTION("""COMPUTED_VALUE"""),1360)</f>
        <v>1360</v>
      </c>
      <c r="Q303" s="1">
        <f ca="1">IFERROR(__xludf.DUMMYFUNCTION("""COMPUTED_VALUE"""),885)</f>
        <v>885</v>
      </c>
      <c r="R303" s="1">
        <f ca="1">IFERROR(__xludf.DUMMYFUNCTION("""COMPUTED_VALUE"""),1955)</f>
        <v>1955</v>
      </c>
      <c r="S303" s="1">
        <f ca="1">IFERROR(__xludf.DUMMYFUNCTION("""COMPUTED_VALUE"""),0.453)</f>
        <v>0.45300000000000001</v>
      </c>
      <c r="T303" s="1">
        <f ca="1">IFERROR(__xludf.DUMMYFUNCTION("""COMPUTED_VALUE"""),201)</f>
        <v>201</v>
      </c>
      <c r="U303" s="1">
        <f ca="1">IFERROR(__xludf.DUMMYFUNCTION("""COMPUTED_VALUE"""),589)</f>
        <v>589</v>
      </c>
      <c r="V303" s="1">
        <f ca="1">IFERROR(__xludf.DUMMYFUNCTION("""COMPUTED_VALUE"""),0.341)</f>
        <v>0.34100000000000003</v>
      </c>
      <c r="W303" s="1">
        <f ca="1">IFERROR(__xludf.DUMMYFUNCTION("""COMPUTED_VALUE"""),514)</f>
        <v>514</v>
      </c>
      <c r="X303" s="1">
        <f ca="1">IFERROR(__xludf.DUMMYFUNCTION("""COMPUTED_VALUE"""),716)</f>
        <v>716</v>
      </c>
      <c r="Y303" s="1">
        <f ca="1">IFERROR(__xludf.DUMMYFUNCTION("""COMPUTED_VALUE"""),0.718)</f>
        <v>0.71799999999999997</v>
      </c>
      <c r="Z303" s="1">
        <f ca="1">IFERROR(__xludf.DUMMYFUNCTION("""COMPUTED_VALUE"""),342)</f>
        <v>342</v>
      </c>
      <c r="AA303" s="1">
        <f ca="1">IFERROR(__xludf.DUMMYFUNCTION("""COMPUTED_VALUE"""),1145)</f>
        <v>1145</v>
      </c>
      <c r="AB303" s="1">
        <f ca="1">IFERROR(__xludf.DUMMYFUNCTION("""COMPUTED_VALUE"""),432)</f>
        <v>432</v>
      </c>
      <c r="AC303" s="1">
        <f ca="1">IFERROR(__xludf.DUMMYFUNCTION("""COMPUTED_VALUE"""),156)</f>
        <v>156</v>
      </c>
      <c r="AD303" s="1">
        <f ca="1">IFERROR(__xludf.DUMMYFUNCTION("""COMPUTED_VALUE"""),94)</f>
        <v>94</v>
      </c>
      <c r="AE303" s="1">
        <f ca="1">IFERROR(__xludf.DUMMYFUNCTION("""COMPUTED_VALUE"""),400)</f>
        <v>400</v>
      </c>
      <c r="AF303" s="1">
        <f ca="1">IFERROR(__xludf.DUMMYFUNCTION("""COMPUTED_VALUE"""),656)</f>
        <v>656</v>
      </c>
    </row>
    <row r="304" spans="1:32" ht="12.5" x14ac:dyDescent="0.25">
      <c r="A304" s="1" t="str">
        <f ca="1">IFERROR(__xludf.DUMMYFUNCTION("""COMPUTED_VALUE"""),"South Carolina Upstate")</f>
        <v>South Carolina Upstate</v>
      </c>
      <c r="B304" s="1">
        <f ca="1">IFERROR(__xludf.DUMMYFUNCTION("""COMPUTED_VALUE"""),32)</f>
        <v>32</v>
      </c>
      <c r="C304" s="1">
        <f ca="1">IFERROR(__xludf.DUMMYFUNCTION("""COMPUTED_VALUE"""),10)</f>
        <v>10</v>
      </c>
      <c r="D304" s="1">
        <f ca="1">IFERROR(__xludf.DUMMYFUNCTION("""COMPUTED_VALUE"""),22)</f>
        <v>22</v>
      </c>
      <c r="E304" s="1">
        <f ca="1">IFERROR(__xludf.DUMMYFUNCTION("""COMPUTED_VALUE"""),0.313)</f>
        <v>0.313</v>
      </c>
      <c r="F304" s="1">
        <f ca="1">IFERROR(__xludf.DUMMYFUNCTION("""COMPUTED_VALUE"""),-13.78)</f>
        <v>-13.78</v>
      </c>
      <c r="G304" s="1">
        <f ca="1">IFERROR(__xludf.DUMMYFUNCTION("""COMPUTED_VALUE"""),-4.39)</f>
        <v>-4.3899999999999997</v>
      </c>
      <c r="H304" s="1">
        <f ca="1">IFERROR(__xludf.DUMMYFUNCTION("""COMPUTED_VALUE"""),4)</f>
        <v>4</v>
      </c>
      <c r="I304" s="1">
        <f ca="1">IFERROR(__xludf.DUMMYFUNCTION("""COMPUTED_VALUE"""),10)</f>
        <v>10</v>
      </c>
      <c r="J304" s="1">
        <f ca="1">IFERROR(__xludf.DUMMYFUNCTION("""COMPUTED_VALUE"""),7)</f>
        <v>7</v>
      </c>
      <c r="K304" s="1">
        <f ca="1">IFERROR(__xludf.DUMMYFUNCTION("""COMPUTED_VALUE"""),10)</f>
        <v>10</v>
      </c>
      <c r="L304" s="1">
        <f ca="1">IFERROR(__xludf.DUMMYFUNCTION("""COMPUTED_VALUE"""),3)</f>
        <v>3</v>
      </c>
      <c r="M304" s="1">
        <f ca="1">IFERROR(__xludf.DUMMYFUNCTION("""COMPUTED_VALUE"""),12)</f>
        <v>12</v>
      </c>
      <c r="N304" s="1">
        <f ca="1">IFERROR(__xludf.DUMMYFUNCTION("""COMPUTED_VALUE"""),2315)</f>
        <v>2315</v>
      </c>
      <c r="O304" s="1">
        <f ca="1">IFERROR(__xludf.DUMMYFUNCTION("""COMPUTED_VALUE"""),2495)</f>
        <v>2495</v>
      </c>
      <c r="P304" s="1">
        <f ca="1">IFERROR(__xludf.DUMMYFUNCTION("""COMPUTED_VALUE"""),1290)</f>
        <v>1290</v>
      </c>
      <c r="Q304" s="1">
        <f ca="1">IFERROR(__xludf.DUMMYFUNCTION("""COMPUTED_VALUE"""),860)</f>
        <v>860</v>
      </c>
      <c r="R304" s="1">
        <f ca="1">IFERROR(__xludf.DUMMYFUNCTION("""COMPUTED_VALUE"""),1914)</f>
        <v>1914</v>
      </c>
      <c r="S304" s="1">
        <f ca="1">IFERROR(__xludf.DUMMYFUNCTION("""COMPUTED_VALUE"""),0.449)</f>
        <v>0.44900000000000001</v>
      </c>
      <c r="T304" s="1">
        <f ca="1">IFERROR(__xludf.DUMMYFUNCTION("""COMPUTED_VALUE"""),218)</f>
        <v>218</v>
      </c>
      <c r="U304" s="1">
        <f ca="1">IFERROR(__xludf.DUMMYFUNCTION("""COMPUTED_VALUE"""),640)</f>
        <v>640</v>
      </c>
      <c r="V304" s="1">
        <f ca="1">IFERROR(__xludf.DUMMYFUNCTION("""COMPUTED_VALUE"""),0.341)</f>
        <v>0.34100000000000003</v>
      </c>
      <c r="W304" s="1">
        <f ca="1">IFERROR(__xludf.DUMMYFUNCTION("""COMPUTED_VALUE"""),377)</f>
        <v>377</v>
      </c>
      <c r="X304" s="1">
        <f ca="1">IFERROR(__xludf.DUMMYFUNCTION("""COMPUTED_VALUE"""),590)</f>
        <v>590</v>
      </c>
      <c r="Y304" s="1">
        <f ca="1">IFERROR(__xludf.DUMMYFUNCTION("""COMPUTED_VALUE"""),0.639)</f>
        <v>0.63900000000000001</v>
      </c>
      <c r="Z304" s="1">
        <f ca="1">IFERROR(__xludf.DUMMYFUNCTION("""COMPUTED_VALUE"""),417)</f>
        <v>417</v>
      </c>
      <c r="AA304" s="1">
        <f ca="1">IFERROR(__xludf.DUMMYFUNCTION("""COMPUTED_VALUE"""),1228)</f>
        <v>1228</v>
      </c>
      <c r="AB304" s="1">
        <f ca="1">IFERROR(__xludf.DUMMYFUNCTION("""COMPUTED_VALUE"""),484)</f>
        <v>484</v>
      </c>
      <c r="AC304" s="1">
        <f ca="1">IFERROR(__xludf.DUMMYFUNCTION("""COMPUTED_VALUE"""),175)</f>
        <v>175</v>
      </c>
      <c r="AD304" s="1">
        <f ca="1">IFERROR(__xludf.DUMMYFUNCTION("""COMPUTED_VALUE"""),106)</f>
        <v>106</v>
      </c>
      <c r="AE304" s="1">
        <f ca="1">IFERROR(__xludf.DUMMYFUNCTION("""COMPUTED_VALUE"""),449)</f>
        <v>449</v>
      </c>
      <c r="AF304" s="1">
        <f ca="1">IFERROR(__xludf.DUMMYFUNCTION("""COMPUTED_VALUE"""),623)</f>
        <v>623</v>
      </c>
    </row>
    <row r="305" spans="1:32" ht="12.5" x14ac:dyDescent="0.25">
      <c r="A305" s="1" t="str">
        <f ca="1">IFERROR(__xludf.DUMMYFUNCTION("""COMPUTED_VALUE"""),"South Carolina")</f>
        <v>South Carolina</v>
      </c>
      <c r="B305" s="1">
        <f ca="1">IFERROR(__xludf.DUMMYFUNCTION("""COMPUTED_VALUE"""),34)</f>
        <v>34</v>
      </c>
      <c r="C305" s="1">
        <f ca="1">IFERROR(__xludf.DUMMYFUNCTION("""COMPUTED_VALUE"""),25)</f>
        <v>25</v>
      </c>
      <c r="D305" s="1">
        <f ca="1">IFERROR(__xludf.DUMMYFUNCTION("""COMPUTED_VALUE"""),9)</f>
        <v>9</v>
      </c>
      <c r="E305" s="1">
        <f ca="1">IFERROR(__xludf.DUMMYFUNCTION("""COMPUTED_VALUE"""),0.735)</f>
        <v>0.73499999999999999</v>
      </c>
      <c r="F305" s="1">
        <f ca="1">IFERROR(__xludf.DUMMYFUNCTION("""COMPUTED_VALUE"""),12.01)</f>
        <v>12.01</v>
      </c>
      <c r="G305" s="1">
        <f ca="1">IFERROR(__xludf.DUMMYFUNCTION("""COMPUTED_VALUE"""),5.83)</f>
        <v>5.83</v>
      </c>
      <c r="H305" s="1">
        <f ca="1">IFERROR(__xludf.DUMMYFUNCTION("""COMPUTED_VALUE"""),11)</f>
        <v>11</v>
      </c>
      <c r="I305" s="1">
        <f ca="1">IFERROR(__xludf.DUMMYFUNCTION("""COMPUTED_VALUE"""),7)</f>
        <v>7</v>
      </c>
      <c r="J305" s="1">
        <f ca="1">IFERROR(__xludf.DUMMYFUNCTION("""COMPUTED_VALUE"""),16)</f>
        <v>16</v>
      </c>
      <c r="K305" s="1">
        <f ca="1">IFERROR(__xludf.DUMMYFUNCTION("""COMPUTED_VALUE"""),3)</f>
        <v>3</v>
      </c>
      <c r="L305" s="1">
        <f ca="1">IFERROR(__xludf.DUMMYFUNCTION("""COMPUTED_VALUE"""),5)</f>
        <v>5</v>
      </c>
      <c r="M305" s="1">
        <f ca="1">IFERROR(__xludf.DUMMYFUNCTION("""COMPUTED_VALUE"""),5)</f>
        <v>5</v>
      </c>
      <c r="N305" s="1">
        <f ca="1">IFERROR(__xludf.DUMMYFUNCTION("""COMPUTED_VALUE"""),2583)</f>
        <v>2583</v>
      </c>
      <c r="O305" s="1">
        <f ca="1">IFERROR(__xludf.DUMMYFUNCTION("""COMPUTED_VALUE"""),2357)</f>
        <v>2357</v>
      </c>
      <c r="P305" s="1">
        <f ca="1">IFERROR(__xludf.DUMMYFUNCTION("""COMPUTED_VALUE"""),1370)</f>
        <v>1370</v>
      </c>
      <c r="Q305" s="1">
        <f ca="1">IFERROR(__xludf.DUMMYFUNCTION("""COMPUTED_VALUE"""),882)</f>
        <v>882</v>
      </c>
      <c r="R305" s="1">
        <f ca="1">IFERROR(__xludf.DUMMYFUNCTION("""COMPUTED_VALUE"""),2040)</f>
        <v>2040</v>
      </c>
      <c r="S305" s="1">
        <f ca="1">IFERROR(__xludf.DUMMYFUNCTION("""COMPUTED_VALUE"""),0.432)</f>
        <v>0.432</v>
      </c>
      <c r="T305" s="1">
        <f ca="1">IFERROR(__xludf.DUMMYFUNCTION("""COMPUTED_VALUE"""),216)</f>
        <v>216</v>
      </c>
      <c r="U305" s="1">
        <f ca="1">IFERROR(__xludf.DUMMYFUNCTION("""COMPUTED_VALUE"""),614)</f>
        <v>614</v>
      </c>
      <c r="V305" s="1">
        <f ca="1">IFERROR(__xludf.DUMMYFUNCTION("""COMPUTED_VALUE"""),0.352)</f>
        <v>0.35199999999999998</v>
      </c>
      <c r="W305" s="1">
        <f ca="1">IFERROR(__xludf.DUMMYFUNCTION("""COMPUTED_VALUE"""),603)</f>
        <v>603</v>
      </c>
      <c r="X305" s="1">
        <f ca="1">IFERROR(__xludf.DUMMYFUNCTION("""COMPUTED_VALUE"""),883)</f>
        <v>883</v>
      </c>
      <c r="Y305" s="1">
        <f ca="1">IFERROR(__xludf.DUMMYFUNCTION("""COMPUTED_VALUE"""),0.683)</f>
        <v>0.68300000000000005</v>
      </c>
      <c r="Z305" s="1">
        <f ca="1">IFERROR(__xludf.DUMMYFUNCTION("""COMPUTED_VALUE"""),472)</f>
        <v>472</v>
      </c>
      <c r="AA305" s="1">
        <f ca="1">IFERROR(__xludf.DUMMYFUNCTION("""COMPUTED_VALUE"""),1372)</f>
        <v>1372</v>
      </c>
      <c r="AB305" s="1">
        <f ca="1">IFERROR(__xludf.DUMMYFUNCTION("""COMPUTED_VALUE"""),461)</f>
        <v>461</v>
      </c>
      <c r="AC305" s="1">
        <f ca="1">IFERROR(__xludf.DUMMYFUNCTION("""COMPUTED_VALUE"""),230)</f>
        <v>230</v>
      </c>
      <c r="AD305" s="1">
        <f ca="1">IFERROR(__xludf.DUMMYFUNCTION("""COMPUTED_VALUE"""),151)</f>
        <v>151</v>
      </c>
      <c r="AE305" s="1">
        <f ca="1">IFERROR(__xludf.DUMMYFUNCTION("""COMPUTED_VALUE"""),464)</f>
        <v>464</v>
      </c>
      <c r="AF305" s="1">
        <f ca="1">IFERROR(__xludf.DUMMYFUNCTION("""COMPUTED_VALUE"""),672)</f>
        <v>672</v>
      </c>
    </row>
    <row r="306" spans="1:32" ht="12.5" x14ac:dyDescent="0.25">
      <c r="A306" s="1" t="str">
        <f ca="1">IFERROR(__xludf.DUMMYFUNCTION("""COMPUTED_VALUE"""),"South Dakota StateNCAA")</f>
        <v>South Dakota StateNCAA</v>
      </c>
      <c r="B306" s="1">
        <f ca="1">IFERROR(__xludf.DUMMYFUNCTION("""COMPUTED_VALUE"""),34)</f>
        <v>34</v>
      </c>
      <c r="C306" s="1">
        <f ca="1">IFERROR(__xludf.DUMMYFUNCTION("""COMPUTED_VALUE"""),26)</f>
        <v>26</v>
      </c>
      <c r="D306" s="1">
        <f ca="1">IFERROR(__xludf.DUMMYFUNCTION("""COMPUTED_VALUE"""),8)</f>
        <v>8</v>
      </c>
      <c r="E306" s="1">
        <f ca="1">IFERROR(__xludf.DUMMYFUNCTION("""COMPUTED_VALUE"""),0.765)</f>
        <v>0.76500000000000001</v>
      </c>
      <c r="F306" s="1">
        <f ca="1">IFERROR(__xludf.DUMMYFUNCTION("""COMPUTED_VALUE"""),5.44)</f>
        <v>5.44</v>
      </c>
      <c r="G306" s="1">
        <f ca="1">IFERROR(__xludf.DUMMYFUNCTION("""COMPUTED_VALUE"""),-1.22)</f>
        <v>-1.22</v>
      </c>
      <c r="H306" s="1">
        <f ca="1">IFERROR(__xludf.DUMMYFUNCTION("""COMPUTED_VALUE"""),12)</f>
        <v>12</v>
      </c>
      <c r="I306" s="1">
        <f ca="1">IFERROR(__xludf.DUMMYFUNCTION("""COMPUTED_VALUE"""),4)</f>
        <v>4</v>
      </c>
      <c r="J306" s="1">
        <f ca="1">IFERROR(__xludf.DUMMYFUNCTION("""COMPUTED_VALUE"""),13)</f>
        <v>13</v>
      </c>
      <c r="K306" s="1">
        <f ca="1">IFERROR(__xludf.DUMMYFUNCTION("""COMPUTED_VALUE"""),0)</f>
        <v>0</v>
      </c>
      <c r="L306" s="1">
        <f ca="1">IFERROR(__xludf.DUMMYFUNCTION("""COMPUTED_VALUE"""),8)</f>
        <v>8</v>
      </c>
      <c r="M306" s="1">
        <f ca="1">IFERROR(__xludf.DUMMYFUNCTION("""COMPUTED_VALUE"""),7)</f>
        <v>7</v>
      </c>
      <c r="N306" s="1">
        <f ca="1">IFERROR(__xludf.DUMMYFUNCTION("""COMPUTED_VALUE"""),2591)</f>
        <v>2591</v>
      </c>
      <c r="O306" s="1">
        <f ca="1">IFERROR(__xludf.DUMMYFUNCTION("""COMPUTED_VALUE"""),2316)</f>
        <v>2316</v>
      </c>
      <c r="P306" s="1">
        <f ca="1">IFERROR(__xludf.DUMMYFUNCTION("""COMPUTED_VALUE"""),1360)</f>
        <v>1360</v>
      </c>
      <c r="Q306" s="1">
        <f ca="1">IFERROR(__xludf.DUMMYFUNCTION("""COMPUTED_VALUE"""),877)</f>
        <v>877</v>
      </c>
      <c r="R306" s="1">
        <f ca="1">IFERROR(__xludf.DUMMYFUNCTION("""COMPUTED_VALUE"""),1950)</f>
        <v>1950</v>
      </c>
      <c r="S306" s="1">
        <f ca="1">IFERROR(__xludf.DUMMYFUNCTION("""COMPUTED_VALUE"""),0.45)</f>
        <v>0.45</v>
      </c>
      <c r="T306" s="1">
        <f ca="1">IFERROR(__xludf.DUMMYFUNCTION("""COMPUTED_VALUE"""),255)</f>
        <v>255</v>
      </c>
      <c r="U306" s="1">
        <f ca="1">IFERROR(__xludf.DUMMYFUNCTION("""COMPUTED_VALUE"""),715)</f>
        <v>715</v>
      </c>
      <c r="V306" s="1">
        <f ca="1">IFERROR(__xludf.DUMMYFUNCTION("""COMPUTED_VALUE"""),0.357)</f>
        <v>0.35699999999999998</v>
      </c>
      <c r="W306" s="1">
        <f ca="1">IFERROR(__xludf.DUMMYFUNCTION("""COMPUTED_VALUE"""),582)</f>
        <v>582</v>
      </c>
      <c r="X306" s="1">
        <f ca="1">IFERROR(__xludf.DUMMYFUNCTION("""COMPUTED_VALUE"""),783)</f>
        <v>783</v>
      </c>
      <c r="Y306" s="1">
        <f ca="1">IFERROR(__xludf.DUMMYFUNCTION("""COMPUTED_VALUE"""),0.743)</f>
        <v>0.74299999999999999</v>
      </c>
      <c r="Z306" s="1">
        <f ca="1">IFERROR(__xludf.DUMMYFUNCTION("""COMPUTED_VALUE"""),381)</f>
        <v>381</v>
      </c>
      <c r="AA306" s="1">
        <f ca="1">IFERROR(__xludf.DUMMYFUNCTION("""COMPUTED_VALUE"""),1279)</f>
        <v>1279</v>
      </c>
      <c r="AB306" s="1">
        <f ca="1">IFERROR(__xludf.DUMMYFUNCTION("""COMPUTED_VALUE"""),381)</f>
        <v>381</v>
      </c>
      <c r="AC306" s="1">
        <f ca="1">IFERROR(__xludf.DUMMYFUNCTION("""COMPUTED_VALUE"""),169)</f>
        <v>169</v>
      </c>
      <c r="AD306" s="1">
        <f ca="1">IFERROR(__xludf.DUMMYFUNCTION("""COMPUTED_VALUE"""),84)</f>
        <v>84</v>
      </c>
      <c r="AE306" s="1">
        <f ca="1">IFERROR(__xludf.DUMMYFUNCTION("""COMPUTED_VALUE"""),399)</f>
        <v>399</v>
      </c>
      <c r="AF306" s="1">
        <f ca="1">IFERROR(__xludf.DUMMYFUNCTION("""COMPUTED_VALUE"""),670)</f>
        <v>670</v>
      </c>
    </row>
    <row r="307" spans="1:32" ht="12.5" x14ac:dyDescent="0.25">
      <c r="A307" s="1" t="str">
        <f ca="1">IFERROR(__xludf.DUMMYFUNCTION("""COMPUTED_VALUE"""),"South Dakota")</f>
        <v>South Dakota</v>
      </c>
      <c r="B307" s="1">
        <f ca="1">IFERROR(__xludf.DUMMYFUNCTION("""COMPUTED_VALUE"""),32)</f>
        <v>32</v>
      </c>
      <c r="C307" s="1">
        <f ca="1">IFERROR(__xludf.DUMMYFUNCTION("""COMPUTED_VALUE"""),14)</f>
        <v>14</v>
      </c>
      <c r="D307" s="1">
        <f ca="1">IFERROR(__xludf.DUMMYFUNCTION("""COMPUTED_VALUE"""),18)</f>
        <v>18</v>
      </c>
      <c r="E307" s="1">
        <f ca="1">IFERROR(__xludf.DUMMYFUNCTION("""COMPUTED_VALUE"""),0.438)</f>
        <v>0.438</v>
      </c>
      <c r="F307" s="1">
        <f ca="1">IFERROR(__xludf.DUMMYFUNCTION("""COMPUTED_VALUE"""),-5.58)</f>
        <v>-5.58</v>
      </c>
      <c r="G307" s="1">
        <f ca="1">IFERROR(__xludf.DUMMYFUNCTION("""COMPUTED_VALUE"""),-0.88)</f>
        <v>-0.88</v>
      </c>
      <c r="H307" s="1">
        <f ca="1">IFERROR(__xludf.DUMMYFUNCTION("""COMPUTED_VALUE"""),5)</f>
        <v>5</v>
      </c>
      <c r="I307" s="1">
        <f ca="1">IFERROR(__xludf.DUMMYFUNCTION("""COMPUTED_VALUE"""),11)</f>
        <v>11</v>
      </c>
      <c r="J307" s="1">
        <f ca="1">IFERROR(__xludf.DUMMYFUNCTION("""COMPUTED_VALUE"""),6)</f>
        <v>6</v>
      </c>
      <c r="K307" s="1">
        <f ca="1">IFERROR(__xludf.DUMMYFUNCTION("""COMPUTED_VALUE"""),6)</f>
        <v>6</v>
      </c>
      <c r="L307" s="1">
        <f ca="1">IFERROR(__xludf.DUMMYFUNCTION("""COMPUTED_VALUE"""),5)</f>
        <v>5</v>
      </c>
      <c r="M307" s="1">
        <f ca="1">IFERROR(__xludf.DUMMYFUNCTION("""COMPUTED_VALUE"""),10)</f>
        <v>10</v>
      </c>
      <c r="N307" s="1">
        <f ca="1">IFERROR(__xludf.DUMMYFUNCTION("""COMPUTED_VALUE"""),2443)</f>
        <v>2443</v>
      </c>
      <c r="O307" s="1">
        <f ca="1">IFERROR(__xludf.DUMMYFUNCTION("""COMPUTED_VALUE"""),2537)</f>
        <v>2537</v>
      </c>
      <c r="P307" s="1">
        <f ca="1">IFERROR(__xludf.DUMMYFUNCTION("""COMPUTED_VALUE"""),1305)</f>
        <v>1305</v>
      </c>
      <c r="Q307" s="1">
        <f ca="1">IFERROR(__xludf.DUMMYFUNCTION("""COMPUTED_VALUE"""),912)</f>
        <v>912</v>
      </c>
      <c r="R307" s="1">
        <f ca="1">IFERROR(__xludf.DUMMYFUNCTION("""COMPUTED_VALUE"""),1954)</f>
        <v>1954</v>
      </c>
      <c r="S307" s="1">
        <f ca="1">IFERROR(__xludf.DUMMYFUNCTION("""COMPUTED_VALUE"""),0.467)</f>
        <v>0.46700000000000003</v>
      </c>
      <c r="T307" s="1">
        <f ca="1">IFERROR(__xludf.DUMMYFUNCTION("""COMPUTED_VALUE"""),201)</f>
        <v>201</v>
      </c>
      <c r="U307" s="1">
        <f ca="1">IFERROR(__xludf.DUMMYFUNCTION("""COMPUTED_VALUE"""),565)</f>
        <v>565</v>
      </c>
      <c r="V307" s="1">
        <f ca="1">IFERROR(__xludf.DUMMYFUNCTION("""COMPUTED_VALUE"""),0.356)</f>
        <v>0.35599999999999998</v>
      </c>
      <c r="W307" s="1">
        <f ca="1">IFERROR(__xludf.DUMMYFUNCTION("""COMPUTED_VALUE"""),418)</f>
        <v>418</v>
      </c>
      <c r="X307" s="1">
        <f ca="1">IFERROR(__xludf.DUMMYFUNCTION("""COMPUTED_VALUE"""),596)</f>
        <v>596</v>
      </c>
      <c r="Y307" s="1">
        <f ca="1">IFERROR(__xludf.DUMMYFUNCTION("""COMPUTED_VALUE"""),0.701)</f>
        <v>0.70099999999999996</v>
      </c>
      <c r="Z307" s="1">
        <f ca="1">IFERROR(__xludf.DUMMYFUNCTION("""COMPUTED_VALUE"""),289)</f>
        <v>289</v>
      </c>
      <c r="AA307" s="1">
        <f ca="1">IFERROR(__xludf.DUMMYFUNCTION("""COMPUTED_VALUE"""),1077)</f>
        <v>1077</v>
      </c>
      <c r="AB307" s="1">
        <f ca="1">IFERROR(__xludf.DUMMYFUNCTION("""COMPUTED_VALUE"""),492)</f>
        <v>492</v>
      </c>
      <c r="AC307" s="1">
        <f ca="1">IFERROR(__xludf.DUMMYFUNCTION("""COMPUTED_VALUE"""),209)</f>
        <v>209</v>
      </c>
      <c r="AD307" s="1">
        <f ca="1">IFERROR(__xludf.DUMMYFUNCTION("""COMPUTED_VALUE"""),113)</f>
        <v>113</v>
      </c>
      <c r="AE307" s="1">
        <f ca="1">IFERROR(__xludf.DUMMYFUNCTION("""COMPUTED_VALUE"""),388)</f>
        <v>388</v>
      </c>
      <c r="AF307" s="1">
        <f ca="1">IFERROR(__xludf.DUMMYFUNCTION("""COMPUTED_VALUE"""),662)</f>
        <v>662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 Florida")</f>
        <v>South Florida</v>
      </c>
      <c r="B310" s="1">
        <f ca="1">IFERROR(__xludf.DUMMYFUNCTION("""COMPUTED_VALUE"""),33)</f>
        <v>33</v>
      </c>
      <c r="C310" s="1">
        <f ca="1">IFERROR(__xludf.DUMMYFUNCTION("""COMPUTED_VALUE"""),8)</f>
        <v>8</v>
      </c>
      <c r="D310" s="1">
        <f ca="1">IFERROR(__xludf.DUMMYFUNCTION("""COMPUTED_VALUE"""),25)</f>
        <v>25</v>
      </c>
      <c r="E310" s="1">
        <f ca="1">IFERROR(__xludf.DUMMYFUNCTION("""COMPUTED_VALUE"""),0.242)</f>
        <v>0.24199999999999999</v>
      </c>
      <c r="F310" s="1">
        <f ca="1">IFERROR(__xludf.DUMMYFUNCTION("""COMPUTED_VALUE"""),-2.85)</f>
        <v>-2.85</v>
      </c>
      <c r="G310" s="1">
        <f ca="1">IFERROR(__xludf.DUMMYFUNCTION("""COMPUTED_VALUE"""),5.24)</f>
        <v>5.24</v>
      </c>
      <c r="H310" s="1">
        <f ca="1">IFERROR(__xludf.DUMMYFUNCTION("""COMPUTED_VALUE"""),4)</f>
        <v>4</v>
      </c>
      <c r="I310" s="1">
        <f ca="1">IFERROR(__xludf.DUMMYFUNCTION("""COMPUTED_VALUE"""),14)</f>
        <v>14</v>
      </c>
      <c r="J310" s="1">
        <f ca="1">IFERROR(__xludf.DUMMYFUNCTION("""COMPUTED_VALUE"""),4)</f>
        <v>4</v>
      </c>
      <c r="K310" s="1">
        <f ca="1">IFERROR(__xludf.DUMMYFUNCTION("""COMPUTED_VALUE"""),14)</f>
        <v>14</v>
      </c>
      <c r="L310" s="1">
        <f ca="1">IFERROR(__xludf.DUMMYFUNCTION("""COMPUTED_VALUE"""),3)</f>
        <v>3</v>
      </c>
      <c r="M310" s="1">
        <f ca="1">IFERROR(__xludf.DUMMYFUNCTION("""COMPUTED_VALUE"""),9)</f>
        <v>9</v>
      </c>
      <c r="N310" s="1">
        <f ca="1">IFERROR(__xludf.DUMMYFUNCTION("""COMPUTED_VALUE"""),2085)</f>
        <v>2085</v>
      </c>
      <c r="O310" s="1">
        <f ca="1">IFERROR(__xludf.DUMMYFUNCTION("""COMPUTED_VALUE"""),2352)</f>
        <v>2352</v>
      </c>
      <c r="P310" s="1">
        <f ca="1">IFERROR(__xludf.DUMMYFUNCTION("""COMPUTED_VALUE"""),1320)</f>
        <v>1320</v>
      </c>
      <c r="Q310" s="1">
        <f ca="1">IFERROR(__xludf.DUMMYFUNCTION("""COMPUTED_VALUE"""),774)</f>
        <v>774</v>
      </c>
      <c r="R310" s="1">
        <f ca="1">IFERROR(__xludf.DUMMYFUNCTION("""COMPUTED_VALUE"""),1852)</f>
        <v>1852</v>
      </c>
      <c r="S310" s="1">
        <f ca="1">IFERROR(__xludf.DUMMYFUNCTION("""COMPUTED_VALUE"""),0.418)</f>
        <v>0.41799999999999998</v>
      </c>
      <c r="T310" s="1">
        <f ca="1">IFERROR(__xludf.DUMMYFUNCTION("""COMPUTED_VALUE"""),133)</f>
        <v>133</v>
      </c>
      <c r="U310" s="1">
        <f ca="1">IFERROR(__xludf.DUMMYFUNCTION("""COMPUTED_VALUE"""),465)</f>
        <v>465</v>
      </c>
      <c r="V310" s="1">
        <f ca="1">IFERROR(__xludf.DUMMYFUNCTION("""COMPUTED_VALUE"""),0.286)</f>
        <v>0.28599999999999998</v>
      </c>
      <c r="W310" s="1">
        <f ca="1">IFERROR(__xludf.DUMMYFUNCTION("""COMPUTED_VALUE"""),404)</f>
        <v>404</v>
      </c>
      <c r="X310" s="1">
        <f ca="1">IFERROR(__xludf.DUMMYFUNCTION("""COMPUTED_VALUE"""),612)</f>
        <v>612</v>
      </c>
      <c r="Y310" s="1">
        <f ca="1">IFERROR(__xludf.DUMMYFUNCTION("""COMPUTED_VALUE"""),0.66)</f>
        <v>0.66</v>
      </c>
      <c r="Z310" s="1">
        <f ca="1">IFERROR(__xludf.DUMMYFUNCTION("""COMPUTED_VALUE"""),413)</f>
        <v>413</v>
      </c>
      <c r="AA310" s="1">
        <f ca="1">IFERROR(__xludf.DUMMYFUNCTION("""COMPUTED_VALUE"""),1271)</f>
        <v>1271</v>
      </c>
      <c r="AB310" s="1">
        <f ca="1">IFERROR(__xludf.DUMMYFUNCTION("""COMPUTED_VALUE"""),331)</f>
        <v>331</v>
      </c>
      <c r="AC310" s="1">
        <f ca="1">IFERROR(__xludf.DUMMYFUNCTION("""COMPUTED_VALUE"""),150)</f>
        <v>150</v>
      </c>
      <c r="AD310" s="1">
        <f ca="1">IFERROR(__xludf.DUMMYFUNCTION("""COMPUTED_VALUE"""),176)</f>
        <v>176</v>
      </c>
      <c r="AE310" s="1">
        <f ca="1">IFERROR(__xludf.DUMMYFUNCTION("""COMPUTED_VALUE"""),485)</f>
        <v>485</v>
      </c>
      <c r="AF310" s="1">
        <f ca="1">IFERROR(__xludf.DUMMYFUNCTION("""COMPUTED_VALUE"""),588)</f>
        <v>588</v>
      </c>
    </row>
    <row r="311" spans="1:32" ht="12.5" x14ac:dyDescent="0.25">
      <c r="A311" s="1" t="str">
        <f ca="1">IFERROR(__xludf.DUMMYFUNCTION("""COMPUTED_VALUE"""),"Southeast Missouri State")</f>
        <v>Southeast Missouri State</v>
      </c>
      <c r="B311" s="1">
        <f ca="1">IFERROR(__xludf.DUMMYFUNCTION("""COMPUTED_VALUE"""),29)</f>
        <v>29</v>
      </c>
      <c r="C311" s="1">
        <f ca="1">IFERROR(__xludf.DUMMYFUNCTION("""COMPUTED_VALUE"""),5)</f>
        <v>5</v>
      </c>
      <c r="D311" s="1">
        <f ca="1">IFERROR(__xludf.DUMMYFUNCTION("""COMPUTED_VALUE"""),24)</f>
        <v>24</v>
      </c>
      <c r="E311" s="1">
        <f ca="1">IFERROR(__xludf.DUMMYFUNCTION("""COMPUTED_VALUE"""),0.172)</f>
        <v>0.17199999999999999</v>
      </c>
      <c r="F311" s="1">
        <f ca="1">IFERROR(__xludf.DUMMYFUNCTION("""COMPUTED_VALUE"""),-16.05)</f>
        <v>-16.05</v>
      </c>
      <c r="G311" s="1">
        <f ca="1">IFERROR(__xludf.DUMMYFUNCTION("""COMPUTED_VALUE"""),-3.43)</f>
        <v>-3.43</v>
      </c>
      <c r="H311" s="1">
        <f ca="1">IFERROR(__xludf.DUMMYFUNCTION("""COMPUTED_VALUE"""),2)</f>
        <v>2</v>
      </c>
      <c r="I311" s="1">
        <f ca="1">IFERROR(__xludf.DUMMYFUNCTION("""COMPUTED_VALUE"""),14)</f>
        <v>14</v>
      </c>
      <c r="J311" s="1">
        <f ca="1">IFERROR(__xludf.DUMMYFUNCTION("""COMPUTED_VALUE"""),3)</f>
        <v>3</v>
      </c>
      <c r="K311" s="1">
        <f ca="1">IFERROR(__xludf.DUMMYFUNCTION("""COMPUTED_VALUE"""),10)</f>
        <v>10</v>
      </c>
      <c r="L311" s="1">
        <f ca="1">IFERROR(__xludf.DUMMYFUNCTION("""COMPUTED_VALUE"""),2)</f>
        <v>2</v>
      </c>
      <c r="M311" s="1">
        <f ca="1">IFERROR(__xludf.DUMMYFUNCTION("""COMPUTED_VALUE"""),14)</f>
        <v>14</v>
      </c>
      <c r="N311" s="1">
        <f ca="1">IFERROR(__xludf.DUMMYFUNCTION("""COMPUTED_VALUE"""),1944)</f>
        <v>1944</v>
      </c>
      <c r="O311" s="1">
        <f ca="1">IFERROR(__xludf.DUMMYFUNCTION("""COMPUTED_VALUE"""),2252)</f>
        <v>2252</v>
      </c>
      <c r="P311" s="1">
        <f ca="1">IFERROR(__xludf.DUMMYFUNCTION("""COMPUTED_VALUE"""),1165)</f>
        <v>1165</v>
      </c>
      <c r="Q311" s="1">
        <f ca="1">IFERROR(__xludf.DUMMYFUNCTION("""COMPUTED_VALUE"""),699)</f>
        <v>699</v>
      </c>
      <c r="R311" s="1">
        <f ca="1">IFERROR(__xludf.DUMMYFUNCTION("""COMPUTED_VALUE"""),1710)</f>
        <v>1710</v>
      </c>
      <c r="S311" s="1">
        <f ca="1">IFERROR(__xludf.DUMMYFUNCTION("""COMPUTED_VALUE"""),0.409)</f>
        <v>0.40899999999999997</v>
      </c>
      <c r="T311" s="1">
        <f ca="1">IFERROR(__xludf.DUMMYFUNCTION("""COMPUTED_VALUE"""),154)</f>
        <v>154</v>
      </c>
      <c r="U311" s="1">
        <f ca="1">IFERROR(__xludf.DUMMYFUNCTION("""COMPUTED_VALUE"""),513)</f>
        <v>513</v>
      </c>
      <c r="V311" s="1">
        <f ca="1">IFERROR(__xludf.DUMMYFUNCTION("""COMPUTED_VALUE"""),0.3)</f>
        <v>0.3</v>
      </c>
      <c r="W311" s="1">
        <f ca="1">IFERROR(__xludf.DUMMYFUNCTION("""COMPUTED_VALUE"""),392)</f>
        <v>392</v>
      </c>
      <c r="X311" s="1">
        <f ca="1">IFERROR(__xludf.DUMMYFUNCTION("""COMPUTED_VALUE"""),612)</f>
        <v>612</v>
      </c>
      <c r="Y311" s="1">
        <f ca="1">IFERROR(__xludf.DUMMYFUNCTION("""COMPUTED_VALUE"""),0.641)</f>
        <v>0.64100000000000001</v>
      </c>
      <c r="Z311" s="1">
        <f ca="1">IFERROR(__xludf.DUMMYFUNCTION("""COMPUTED_VALUE"""),326)</f>
        <v>326</v>
      </c>
      <c r="AA311" s="1">
        <f ca="1">IFERROR(__xludf.DUMMYFUNCTION("""COMPUTED_VALUE"""),1022)</f>
        <v>1022</v>
      </c>
      <c r="AB311" s="1">
        <f ca="1">IFERROR(__xludf.DUMMYFUNCTION("""COMPUTED_VALUE"""),358)</f>
        <v>358</v>
      </c>
      <c r="AC311" s="1">
        <f ca="1">IFERROR(__xludf.DUMMYFUNCTION("""COMPUTED_VALUE"""),218)</f>
        <v>218</v>
      </c>
      <c r="AD311" s="1">
        <f ca="1">IFERROR(__xludf.DUMMYFUNCTION("""COMPUTED_VALUE"""),46)</f>
        <v>46</v>
      </c>
      <c r="AE311" s="1">
        <f ca="1">IFERROR(__xludf.DUMMYFUNCTION("""COMPUTED_VALUE"""),402)</f>
        <v>402</v>
      </c>
      <c r="AF311" s="1">
        <f ca="1">IFERROR(__xludf.DUMMYFUNCTION("""COMPUTED_VALUE"""),514)</f>
        <v>514</v>
      </c>
    </row>
    <row r="312" spans="1:32" ht="12.5" x14ac:dyDescent="0.25">
      <c r="A312" s="1" t="str">
        <f ca="1">IFERROR(__xludf.DUMMYFUNCTION("""COMPUTED_VALUE"""),"Southeastern Louisiana")</f>
        <v>Southeastern Louisiana</v>
      </c>
      <c r="B312" s="1">
        <f ca="1">IFERROR(__xludf.DUMMYFUNCTION("""COMPUTED_VALUE"""),33)</f>
        <v>33</v>
      </c>
      <c r="C312" s="1">
        <f ca="1">IFERROR(__xludf.DUMMYFUNCTION("""COMPUTED_VALUE"""),12)</f>
        <v>12</v>
      </c>
      <c r="D312" s="1">
        <f ca="1">IFERROR(__xludf.DUMMYFUNCTION("""COMPUTED_VALUE"""),21)</f>
        <v>21</v>
      </c>
      <c r="E312" s="1">
        <f ca="1">IFERROR(__xludf.DUMMYFUNCTION("""COMPUTED_VALUE"""),0.364)</f>
        <v>0.36399999999999999</v>
      </c>
      <c r="F312" s="1">
        <f ca="1">IFERROR(__xludf.DUMMYFUNCTION("""COMPUTED_VALUE"""),-13.61)</f>
        <v>-13.61</v>
      </c>
      <c r="G312" s="1">
        <f ca="1">IFERROR(__xludf.DUMMYFUNCTION("""COMPUTED_VALUE"""),-7.55)</f>
        <v>-7.55</v>
      </c>
      <c r="H312" s="1">
        <f ca="1">IFERROR(__xludf.DUMMYFUNCTION("""COMPUTED_VALUE"""),9)</f>
        <v>9</v>
      </c>
      <c r="I312" s="1">
        <f ca="1">IFERROR(__xludf.DUMMYFUNCTION("""COMPUTED_VALUE"""),9)</f>
        <v>9</v>
      </c>
      <c r="J312" s="1">
        <f ca="1">IFERROR(__xludf.DUMMYFUNCTION("""COMPUTED_VALUE"""),9)</f>
        <v>9</v>
      </c>
      <c r="K312" s="1">
        <f ca="1">IFERROR(__xludf.DUMMYFUNCTION("""COMPUTED_VALUE"""),3)</f>
        <v>3</v>
      </c>
      <c r="L312" s="1">
        <f ca="1">IFERROR(__xludf.DUMMYFUNCTION("""COMPUTED_VALUE"""),2)</f>
        <v>2</v>
      </c>
      <c r="M312" s="1">
        <f ca="1">IFERROR(__xludf.DUMMYFUNCTION("""COMPUTED_VALUE"""),15)</f>
        <v>15</v>
      </c>
      <c r="N312" s="1">
        <f ca="1">IFERROR(__xludf.DUMMYFUNCTION("""COMPUTED_VALUE"""),2344)</f>
        <v>2344</v>
      </c>
      <c r="O312" s="1">
        <f ca="1">IFERROR(__xludf.DUMMYFUNCTION("""COMPUTED_VALUE"""),2489)</f>
        <v>2489</v>
      </c>
      <c r="P312" s="1">
        <f ca="1">IFERROR(__xludf.DUMMYFUNCTION("""COMPUTED_VALUE"""),1325)</f>
        <v>1325</v>
      </c>
      <c r="Q312" s="1">
        <f ca="1">IFERROR(__xludf.DUMMYFUNCTION("""COMPUTED_VALUE"""),831)</f>
        <v>831</v>
      </c>
      <c r="R312" s="1">
        <f ca="1">IFERROR(__xludf.DUMMYFUNCTION("""COMPUTED_VALUE"""),1833)</f>
        <v>1833</v>
      </c>
      <c r="S312" s="1">
        <f ca="1">IFERROR(__xludf.DUMMYFUNCTION("""COMPUTED_VALUE"""),0.453)</f>
        <v>0.45300000000000001</v>
      </c>
      <c r="T312" s="1">
        <f ca="1">IFERROR(__xludf.DUMMYFUNCTION("""COMPUTED_VALUE"""),241)</f>
        <v>241</v>
      </c>
      <c r="U312" s="1">
        <f ca="1">IFERROR(__xludf.DUMMYFUNCTION("""COMPUTED_VALUE"""),648)</f>
        <v>648</v>
      </c>
      <c r="V312" s="1">
        <f ca="1">IFERROR(__xludf.DUMMYFUNCTION("""COMPUTED_VALUE"""),0.372)</f>
        <v>0.372</v>
      </c>
      <c r="W312" s="1">
        <f ca="1">IFERROR(__xludf.DUMMYFUNCTION("""COMPUTED_VALUE"""),441)</f>
        <v>441</v>
      </c>
      <c r="X312" s="1">
        <f ca="1">IFERROR(__xludf.DUMMYFUNCTION("""COMPUTED_VALUE"""),694)</f>
        <v>694</v>
      </c>
      <c r="Y312" s="1">
        <f ca="1">IFERROR(__xludf.DUMMYFUNCTION("""COMPUTED_VALUE"""),0.635)</f>
        <v>0.63500000000000001</v>
      </c>
      <c r="Z312" s="1">
        <f ca="1">IFERROR(__xludf.DUMMYFUNCTION("""COMPUTED_VALUE"""),336)</f>
        <v>336</v>
      </c>
      <c r="AA312" s="1">
        <f ca="1">IFERROR(__xludf.DUMMYFUNCTION("""COMPUTED_VALUE"""),1140)</f>
        <v>1140</v>
      </c>
      <c r="AB312" s="1">
        <f ca="1">IFERROR(__xludf.DUMMYFUNCTION("""COMPUTED_VALUE"""),472)</f>
        <v>472</v>
      </c>
      <c r="AC312" s="1">
        <f ca="1">IFERROR(__xludf.DUMMYFUNCTION("""COMPUTED_VALUE"""),211)</f>
        <v>211</v>
      </c>
      <c r="AD312" s="1">
        <f ca="1">IFERROR(__xludf.DUMMYFUNCTION("""COMPUTED_VALUE"""),89)</f>
        <v>89</v>
      </c>
      <c r="AE312" s="1">
        <f ca="1">IFERROR(__xludf.DUMMYFUNCTION("""COMPUTED_VALUE"""),504)</f>
        <v>504</v>
      </c>
      <c r="AF312" s="1">
        <f ca="1">IFERROR(__xludf.DUMMYFUNCTION("""COMPUTED_VALUE"""),688)</f>
        <v>688</v>
      </c>
    </row>
    <row r="313" spans="1:32" ht="12.5" x14ac:dyDescent="0.25">
      <c r="A313" s="1" t="str">
        <f ca="1">IFERROR(__xludf.DUMMYFUNCTION("""COMPUTED_VALUE"""),"Southern CaliforniaNCAA")</f>
        <v>Southern CaliforniaNCAA</v>
      </c>
      <c r="B313" s="1">
        <f ca="1">IFERROR(__xludf.DUMMYFUNCTION("""COMPUTED_VALUE"""),34)</f>
        <v>34</v>
      </c>
      <c r="C313" s="1">
        <f ca="1">IFERROR(__xludf.DUMMYFUNCTION("""COMPUTED_VALUE"""),21)</f>
        <v>21</v>
      </c>
      <c r="D313" s="1">
        <f ca="1">IFERROR(__xludf.DUMMYFUNCTION("""COMPUTED_VALUE"""),13)</f>
        <v>13</v>
      </c>
      <c r="E313" s="1">
        <f ca="1">IFERROR(__xludf.DUMMYFUNCTION("""COMPUTED_VALUE"""),0.618)</f>
        <v>0.61799999999999999</v>
      </c>
      <c r="F313" s="1">
        <f ca="1">IFERROR(__xludf.DUMMYFUNCTION("""COMPUTED_VALUE"""),13.52)</f>
        <v>13.52</v>
      </c>
      <c r="G313" s="1">
        <f ca="1">IFERROR(__xludf.DUMMYFUNCTION("""COMPUTED_VALUE"""),7.64)</f>
        <v>7.64</v>
      </c>
      <c r="H313" s="1">
        <f ca="1">IFERROR(__xludf.DUMMYFUNCTION("""COMPUTED_VALUE"""),9)</f>
        <v>9</v>
      </c>
      <c r="I313" s="1">
        <f ca="1">IFERROR(__xludf.DUMMYFUNCTION("""COMPUTED_VALUE"""),9)</f>
        <v>9</v>
      </c>
      <c r="J313" s="1">
        <f ca="1">IFERROR(__xludf.DUMMYFUNCTION("""COMPUTED_VALUE"""),16)</f>
        <v>16</v>
      </c>
      <c r="K313" s="1">
        <f ca="1">IFERROR(__xludf.DUMMYFUNCTION("""COMPUTED_VALUE"""),2)</f>
        <v>2</v>
      </c>
      <c r="L313" s="1">
        <f ca="1">IFERROR(__xludf.DUMMYFUNCTION("""COMPUTED_VALUE"""),3)</f>
        <v>3</v>
      </c>
      <c r="M313" s="1">
        <f ca="1">IFERROR(__xludf.DUMMYFUNCTION("""COMPUTED_VALUE"""),7)</f>
        <v>7</v>
      </c>
      <c r="N313" s="1">
        <f ca="1">IFERROR(__xludf.DUMMYFUNCTION("""COMPUTED_VALUE"""),2737)</f>
        <v>2737</v>
      </c>
      <c r="O313" s="1">
        <f ca="1">IFERROR(__xludf.DUMMYFUNCTION("""COMPUTED_VALUE"""),2537)</f>
        <v>2537</v>
      </c>
      <c r="P313" s="1">
        <f ca="1">IFERROR(__xludf.DUMMYFUNCTION("""COMPUTED_VALUE"""),1380)</f>
        <v>1380</v>
      </c>
      <c r="Q313" s="1">
        <f ca="1">IFERROR(__xludf.DUMMYFUNCTION("""COMPUTED_VALUE"""),982)</f>
        <v>982</v>
      </c>
      <c r="R313" s="1">
        <f ca="1">IFERROR(__xludf.DUMMYFUNCTION("""COMPUTED_VALUE"""),2138)</f>
        <v>2138</v>
      </c>
      <c r="S313" s="1">
        <f ca="1">IFERROR(__xludf.DUMMYFUNCTION("""COMPUTED_VALUE"""),0.459)</f>
        <v>0.45900000000000002</v>
      </c>
      <c r="T313" s="1">
        <f ca="1">IFERROR(__xludf.DUMMYFUNCTION("""COMPUTED_VALUE"""),266)</f>
        <v>266</v>
      </c>
      <c r="U313" s="1">
        <f ca="1">IFERROR(__xludf.DUMMYFUNCTION("""COMPUTED_VALUE"""),688)</f>
        <v>688</v>
      </c>
      <c r="V313" s="1">
        <f ca="1">IFERROR(__xludf.DUMMYFUNCTION("""COMPUTED_VALUE"""),0.387)</f>
        <v>0.38700000000000001</v>
      </c>
      <c r="W313" s="1">
        <f ca="1">IFERROR(__xludf.DUMMYFUNCTION("""COMPUTED_VALUE"""),507)</f>
        <v>507</v>
      </c>
      <c r="X313" s="1">
        <f ca="1">IFERROR(__xludf.DUMMYFUNCTION("""COMPUTED_VALUE"""),750)</f>
        <v>750</v>
      </c>
      <c r="Y313" s="1">
        <f ca="1">IFERROR(__xludf.DUMMYFUNCTION("""COMPUTED_VALUE"""),0.676)</f>
        <v>0.67600000000000005</v>
      </c>
      <c r="Z313" s="1">
        <f ca="1">IFERROR(__xludf.DUMMYFUNCTION("""COMPUTED_VALUE"""),401)</f>
        <v>401</v>
      </c>
      <c r="AA313" s="1">
        <f ca="1">IFERROR(__xludf.DUMMYFUNCTION("""COMPUTED_VALUE"""),1337)</f>
        <v>1337</v>
      </c>
      <c r="AB313" s="1">
        <f ca="1">IFERROR(__xludf.DUMMYFUNCTION("""COMPUTED_VALUE"""),504)</f>
        <v>504</v>
      </c>
      <c r="AC313" s="1">
        <f ca="1">IFERROR(__xludf.DUMMYFUNCTION("""COMPUTED_VALUE"""),215)</f>
        <v>215</v>
      </c>
      <c r="AD313" s="1">
        <f ca="1">IFERROR(__xludf.DUMMYFUNCTION("""COMPUTED_VALUE"""),181)</f>
        <v>181</v>
      </c>
      <c r="AE313" s="1">
        <f ca="1">IFERROR(__xludf.DUMMYFUNCTION("""COMPUTED_VALUE"""),415)</f>
        <v>415</v>
      </c>
      <c r="AF313" s="1">
        <f ca="1">IFERROR(__xludf.DUMMYFUNCTION("""COMPUTED_VALUE"""),590)</f>
        <v>590</v>
      </c>
    </row>
    <row r="314" spans="1:32" ht="12.5" x14ac:dyDescent="0.25">
      <c r="A314" s="1" t="str">
        <f ca="1">IFERROR(__xludf.DUMMYFUNCTION("""COMPUTED_VALUE"""),"SIU Edwardsville")</f>
        <v>SIU Edwardsville</v>
      </c>
      <c r="B314" s="1">
        <f ca="1">IFERROR(__xludf.DUMMYFUNCTION("""COMPUTED_VALUE"""),28)</f>
        <v>28</v>
      </c>
      <c r="C314" s="1">
        <f ca="1">IFERROR(__xludf.DUMMYFUNCTION("""COMPUTED_VALUE"""),6)</f>
        <v>6</v>
      </c>
      <c r="D314" s="1">
        <f ca="1">IFERROR(__xludf.DUMMYFUNCTION("""COMPUTED_VALUE"""),22)</f>
        <v>22</v>
      </c>
      <c r="E314" s="1">
        <f ca="1">IFERROR(__xludf.DUMMYFUNCTION("""COMPUTED_VALUE"""),0.214)</f>
        <v>0.214</v>
      </c>
      <c r="F314" s="1">
        <f ca="1">IFERROR(__xludf.DUMMYFUNCTION("""COMPUTED_VALUE"""),-10.78)</f>
        <v>-10.78</v>
      </c>
      <c r="G314" s="1">
        <f ca="1">IFERROR(__xludf.DUMMYFUNCTION("""COMPUTED_VALUE"""),-2.6)</f>
        <v>-2.6</v>
      </c>
      <c r="H314" s="1">
        <f ca="1">IFERROR(__xludf.DUMMYFUNCTION("""COMPUTED_VALUE"""),3)</f>
        <v>3</v>
      </c>
      <c r="I314" s="1">
        <f ca="1">IFERROR(__xludf.DUMMYFUNCTION("""COMPUTED_VALUE"""),13)</f>
        <v>13</v>
      </c>
      <c r="J314" s="1">
        <f ca="1">IFERROR(__xludf.DUMMYFUNCTION("""COMPUTED_VALUE"""),3)</f>
        <v>3</v>
      </c>
      <c r="K314" s="1">
        <f ca="1">IFERROR(__xludf.DUMMYFUNCTION("""COMPUTED_VALUE"""),11)</f>
        <v>11</v>
      </c>
      <c r="L314" s="1">
        <f ca="1">IFERROR(__xludf.DUMMYFUNCTION("""COMPUTED_VALUE"""),3)</f>
        <v>3</v>
      </c>
      <c r="M314" s="1">
        <f ca="1">IFERROR(__xludf.DUMMYFUNCTION("""COMPUTED_VALUE"""),11)</f>
        <v>11</v>
      </c>
      <c r="N314" s="1">
        <f ca="1">IFERROR(__xludf.DUMMYFUNCTION("""COMPUTED_VALUE"""),1839)</f>
        <v>1839</v>
      </c>
      <c r="O314" s="1">
        <f ca="1">IFERROR(__xludf.DUMMYFUNCTION("""COMPUTED_VALUE"""),2068)</f>
        <v>2068</v>
      </c>
      <c r="P314" s="1">
        <f ca="1">IFERROR(__xludf.DUMMYFUNCTION("""COMPUTED_VALUE"""),1130)</f>
        <v>1130</v>
      </c>
      <c r="Q314" s="1">
        <f ca="1">IFERROR(__xludf.DUMMYFUNCTION("""COMPUTED_VALUE"""),634)</f>
        <v>634</v>
      </c>
      <c r="R314" s="1">
        <f ca="1">IFERROR(__xludf.DUMMYFUNCTION("""COMPUTED_VALUE"""),1591)</f>
        <v>1591</v>
      </c>
      <c r="S314" s="1">
        <f ca="1">IFERROR(__xludf.DUMMYFUNCTION("""COMPUTED_VALUE"""),0.398)</f>
        <v>0.39800000000000002</v>
      </c>
      <c r="T314" s="1">
        <f ca="1">IFERROR(__xludf.DUMMYFUNCTION("""COMPUTED_VALUE"""),158)</f>
        <v>158</v>
      </c>
      <c r="U314" s="1">
        <f ca="1">IFERROR(__xludf.DUMMYFUNCTION("""COMPUTED_VALUE"""),519)</f>
        <v>519</v>
      </c>
      <c r="V314" s="1">
        <f ca="1">IFERROR(__xludf.DUMMYFUNCTION("""COMPUTED_VALUE"""),0.304)</f>
        <v>0.30399999999999999</v>
      </c>
      <c r="W314" s="1">
        <f ca="1">IFERROR(__xludf.DUMMYFUNCTION("""COMPUTED_VALUE"""),413)</f>
        <v>413</v>
      </c>
      <c r="X314" s="1">
        <f ca="1">IFERROR(__xludf.DUMMYFUNCTION("""COMPUTED_VALUE"""),587)</f>
        <v>587</v>
      </c>
      <c r="Y314" s="1">
        <f ca="1">IFERROR(__xludf.DUMMYFUNCTION("""COMPUTED_VALUE"""),0.704)</f>
        <v>0.70399999999999996</v>
      </c>
      <c r="Z314" s="1">
        <f ca="1">IFERROR(__xludf.DUMMYFUNCTION("""COMPUTED_VALUE"""),339)</f>
        <v>339</v>
      </c>
      <c r="AA314" s="1">
        <f ca="1">IFERROR(__xludf.DUMMYFUNCTION("""COMPUTED_VALUE"""),1001)</f>
        <v>1001</v>
      </c>
      <c r="AB314" s="1">
        <f ca="1">IFERROR(__xludf.DUMMYFUNCTION("""COMPUTED_VALUE"""),303)</f>
        <v>303</v>
      </c>
      <c r="AC314" s="1">
        <f ca="1">IFERROR(__xludf.DUMMYFUNCTION("""COMPUTED_VALUE"""),138)</f>
        <v>138</v>
      </c>
      <c r="AD314" s="1">
        <f ca="1">IFERROR(__xludf.DUMMYFUNCTION("""COMPUTED_VALUE"""),112)</f>
        <v>112</v>
      </c>
      <c r="AE314" s="1">
        <f ca="1">IFERROR(__xludf.DUMMYFUNCTION("""COMPUTED_VALUE"""),377)</f>
        <v>377</v>
      </c>
      <c r="AF314" s="1">
        <f ca="1">IFERROR(__xludf.DUMMYFUNCTION("""COMPUTED_VALUE"""),619)</f>
        <v>619</v>
      </c>
    </row>
    <row r="315" spans="1:32" ht="12.5" x14ac:dyDescent="0.25">
      <c r="A315" s="1" t="str">
        <f ca="1">IFERROR(__xludf.DUMMYFUNCTION("""COMPUTED_VALUE"""),"Southern Illinois")</f>
        <v>Southern Illinois</v>
      </c>
      <c r="B315" s="1">
        <f ca="1">IFERROR(__xludf.DUMMYFUNCTION("""COMPUTED_VALUE"""),32)</f>
        <v>32</v>
      </c>
      <c r="C315" s="1">
        <f ca="1">IFERROR(__xludf.DUMMYFUNCTION("""COMPUTED_VALUE"""),22)</f>
        <v>22</v>
      </c>
      <c r="D315" s="1">
        <f ca="1">IFERROR(__xludf.DUMMYFUNCTION("""COMPUTED_VALUE"""),10)</f>
        <v>10</v>
      </c>
      <c r="E315" s="1">
        <f ca="1">IFERROR(__xludf.DUMMYFUNCTION("""COMPUTED_VALUE"""),0.688)</f>
        <v>0.68799999999999994</v>
      </c>
      <c r="F315" s="1">
        <f ca="1">IFERROR(__xludf.DUMMYFUNCTION("""COMPUTED_VALUE"""),2.79)</f>
        <v>2.79</v>
      </c>
      <c r="G315" s="1">
        <f ca="1">IFERROR(__xludf.DUMMYFUNCTION("""COMPUTED_VALUE"""),-1.3)</f>
        <v>-1.3</v>
      </c>
      <c r="H315" s="1">
        <f ca="1">IFERROR(__xludf.DUMMYFUNCTION("""COMPUTED_VALUE"""),11)</f>
        <v>11</v>
      </c>
      <c r="I315" s="1">
        <f ca="1">IFERROR(__xludf.DUMMYFUNCTION("""COMPUTED_VALUE"""),7)</f>
        <v>7</v>
      </c>
      <c r="J315" s="1">
        <f ca="1">IFERROR(__xludf.DUMMYFUNCTION("""COMPUTED_VALUE"""),12)</f>
        <v>12</v>
      </c>
      <c r="K315" s="1">
        <f ca="1">IFERROR(__xludf.DUMMYFUNCTION("""COMPUTED_VALUE"""),4)</f>
        <v>4</v>
      </c>
      <c r="L315" s="1">
        <f ca="1">IFERROR(__xludf.DUMMYFUNCTION("""COMPUTED_VALUE"""),9)</f>
        <v>9</v>
      </c>
      <c r="M315" s="1">
        <f ca="1">IFERROR(__xludf.DUMMYFUNCTION("""COMPUTED_VALUE"""),4)</f>
        <v>4</v>
      </c>
      <c r="N315" s="1">
        <f ca="1">IFERROR(__xludf.DUMMYFUNCTION("""COMPUTED_VALUE"""),2360)</f>
        <v>2360</v>
      </c>
      <c r="O315" s="1">
        <f ca="1">IFERROR(__xludf.DUMMYFUNCTION("""COMPUTED_VALUE"""),2229)</f>
        <v>2229</v>
      </c>
      <c r="P315" s="1">
        <f ca="1">IFERROR(__xludf.DUMMYFUNCTION("""COMPUTED_VALUE"""),1290)</f>
        <v>1290</v>
      </c>
      <c r="Q315" s="1">
        <f ca="1">IFERROR(__xludf.DUMMYFUNCTION("""COMPUTED_VALUE"""),828)</f>
        <v>828</v>
      </c>
      <c r="R315" s="1">
        <f ca="1">IFERROR(__xludf.DUMMYFUNCTION("""COMPUTED_VALUE"""),1827)</f>
        <v>1827</v>
      </c>
      <c r="S315" s="1">
        <f ca="1">IFERROR(__xludf.DUMMYFUNCTION("""COMPUTED_VALUE"""),0.453)</f>
        <v>0.45300000000000001</v>
      </c>
      <c r="T315" s="1">
        <f ca="1">IFERROR(__xludf.DUMMYFUNCTION("""COMPUTED_VALUE"""),212)</f>
        <v>212</v>
      </c>
      <c r="U315" s="1">
        <f ca="1">IFERROR(__xludf.DUMMYFUNCTION("""COMPUTED_VALUE"""),618)</f>
        <v>618</v>
      </c>
      <c r="V315" s="1">
        <f ca="1">IFERROR(__xludf.DUMMYFUNCTION("""COMPUTED_VALUE"""),0.343)</f>
        <v>0.34300000000000003</v>
      </c>
      <c r="W315" s="1">
        <f ca="1">IFERROR(__xludf.DUMMYFUNCTION("""COMPUTED_VALUE"""),492)</f>
        <v>492</v>
      </c>
      <c r="X315" s="1">
        <f ca="1">IFERROR(__xludf.DUMMYFUNCTION("""COMPUTED_VALUE"""),718)</f>
        <v>718</v>
      </c>
      <c r="Y315" s="1">
        <f ca="1">IFERROR(__xludf.DUMMYFUNCTION("""COMPUTED_VALUE"""),0.685)</f>
        <v>0.68500000000000005</v>
      </c>
      <c r="Z315" s="1">
        <f ca="1">IFERROR(__xludf.DUMMYFUNCTION("""COMPUTED_VALUE"""),357)</f>
        <v>357</v>
      </c>
      <c r="AA315" s="1">
        <f ca="1">IFERROR(__xludf.DUMMYFUNCTION("""COMPUTED_VALUE"""),1135)</f>
        <v>1135</v>
      </c>
      <c r="AB315" s="1">
        <f ca="1">IFERROR(__xludf.DUMMYFUNCTION("""COMPUTED_VALUE"""),371)</f>
        <v>371</v>
      </c>
      <c r="AC315" s="1">
        <f ca="1">IFERROR(__xludf.DUMMYFUNCTION("""COMPUTED_VALUE"""),232)</f>
        <v>232</v>
      </c>
      <c r="AD315" s="1">
        <f ca="1">IFERROR(__xludf.DUMMYFUNCTION("""COMPUTED_VALUE"""),63)</f>
        <v>63</v>
      </c>
      <c r="AE315" s="1">
        <f ca="1">IFERROR(__xludf.DUMMYFUNCTION("""COMPUTED_VALUE"""),438)</f>
        <v>438</v>
      </c>
      <c r="AF315" s="1">
        <f ca="1">IFERROR(__xludf.DUMMYFUNCTION("""COMPUTED_VALUE"""),685)</f>
        <v>685</v>
      </c>
    </row>
    <row r="316" spans="1:32" ht="12.5" x14ac:dyDescent="0.25">
      <c r="A316" s="1" t="str">
        <f ca="1">IFERROR(__xludf.DUMMYFUNCTION("""COMPUTED_VALUE"""),"Southern Methodist")</f>
        <v>Southern Methodist</v>
      </c>
      <c r="B316" s="1">
        <f ca="1">IFERROR(__xludf.DUMMYFUNCTION("""COMPUTED_VALUE"""),30)</f>
        <v>30</v>
      </c>
      <c r="C316" s="1">
        <f ca="1">IFERROR(__xludf.DUMMYFUNCTION("""COMPUTED_VALUE"""),25)</f>
        <v>25</v>
      </c>
      <c r="D316" s="1">
        <f ca="1">IFERROR(__xludf.DUMMYFUNCTION("""COMPUTED_VALUE"""),5)</f>
        <v>5</v>
      </c>
      <c r="E316" s="1">
        <f ca="1">IFERROR(__xludf.DUMMYFUNCTION("""COMPUTED_VALUE"""),0.833)</f>
        <v>0.83299999999999996</v>
      </c>
      <c r="F316" s="1">
        <f ca="1">IFERROR(__xludf.DUMMYFUNCTION("""COMPUTED_VALUE"""),18.42)</f>
        <v>18.420000000000002</v>
      </c>
      <c r="G316" s="1">
        <f ca="1">IFERROR(__xludf.DUMMYFUNCTION("""COMPUTED_VALUE"""),4.56)</f>
        <v>4.5599999999999996</v>
      </c>
      <c r="H316" s="1">
        <f ca="1">IFERROR(__xludf.DUMMYFUNCTION("""COMPUTED_VALUE"""),13)</f>
        <v>13</v>
      </c>
      <c r="I316" s="1">
        <f ca="1">IFERROR(__xludf.DUMMYFUNCTION("""COMPUTED_VALUE"""),5)</f>
        <v>5</v>
      </c>
      <c r="J316" s="1">
        <f ca="1">IFERROR(__xludf.DUMMYFUNCTION("""COMPUTED_VALUE"""),16)</f>
        <v>16</v>
      </c>
      <c r="K316" s="1">
        <f ca="1">IFERROR(__xludf.DUMMYFUNCTION("""COMPUTED_VALUE"""),1)</f>
        <v>1</v>
      </c>
      <c r="L316" s="1">
        <f ca="1">IFERROR(__xludf.DUMMYFUNCTION("""COMPUTED_VALUE"""),7)</f>
        <v>7</v>
      </c>
      <c r="M316" s="1">
        <f ca="1">IFERROR(__xludf.DUMMYFUNCTION("""COMPUTED_VALUE"""),4)</f>
        <v>4</v>
      </c>
      <c r="N316" s="1">
        <f ca="1">IFERROR(__xludf.DUMMYFUNCTION("""COMPUTED_VALUE"""),2319)</f>
        <v>2319</v>
      </c>
      <c r="O316" s="1">
        <f ca="1">IFERROR(__xludf.DUMMYFUNCTION("""COMPUTED_VALUE"""),1903)</f>
        <v>1903</v>
      </c>
      <c r="P316" s="1">
        <f ca="1">IFERROR(__xludf.DUMMYFUNCTION("""COMPUTED_VALUE"""),1200)</f>
        <v>1200</v>
      </c>
      <c r="Q316" s="1">
        <f ca="1">IFERROR(__xludf.DUMMYFUNCTION("""COMPUTED_VALUE"""),858)</f>
        <v>858</v>
      </c>
      <c r="R316" s="1">
        <f ca="1">IFERROR(__xludf.DUMMYFUNCTION("""COMPUTED_VALUE"""),1727)</f>
        <v>1727</v>
      </c>
      <c r="S316" s="1">
        <f ca="1">IFERROR(__xludf.DUMMYFUNCTION("""COMPUTED_VALUE"""),0.497)</f>
        <v>0.497</v>
      </c>
      <c r="T316" s="1">
        <f ca="1">IFERROR(__xludf.DUMMYFUNCTION("""COMPUTED_VALUE"""),194)</f>
        <v>194</v>
      </c>
      <c r="U316" s="1">
        <f ca="1">IFERROR(__xludf.DUMMYFUNCTION("""COMPUTED_VALUE"""),462)</f>
        <v>462</v>
      </c>
      <c r="V316" s="1">
        <f ca="1">IFERROR(__xludf.DUMMYFUNCTION("""COMPUTED_VALUE"""),0.42)</f>
        <v>0.42</v>
      </c>
      <c r="W316" s="1">
        <f ca="1">IFERROR(__xludf.DUMMYFUNCTION("""COMPUTED_VALUE"""),409)</f>
        <v>409</v>
      </c>
      <c r="X316" s="1">
        <f ca="1">IFERROR(__xludf.DUMMYFUNCTION("""COMPUTED_VALUE"""),584)</f>
        <v>584</v>
      </c>
      <c r="Y316" s="1">
        <f ca="1">IFERROR(__xludf.DUMMYFUNCTION("""COMPUTED_VALUE"""),0.7)</f>
        <v>0.7</v>
      </c>
      <c r="Z316" s="1">
        <f ca="1">IFERROR(__xludf.DUMMYFUNCTION("""COMPUTED_VALUE"""),396)</f>
        <v>396</v>
      </c>
      <c r="AA316" s="1">
        <f ca="1">IFERROR(__xludf.DUMMYFUNCTION("""COMPUTED_VALUE"""),1183)</f>
        <v>1183</v>
      </c>
      <c r="AB316" s="1">
        <f ca="1">IFERROR(__xludf.DUMMYFUNCTION("""COMPUTED_VALUE"""),528)</f>
        <v>528</v>
      </c>
      <c r="AC316" s="1">
        <f ca="1">IFERROR(__xludf.DUMMYFUNCTION("""COMPUTED_VALUE"""),182)</f>
        <v>182</v>
      </c>
      <c r="AD316" s="1">
        <f ca="1">IFERROR(__xludf.DUMMYFUNCTION("""COMPUTED_VALUE"""),137)</f>
        <v>137</v>
      </c>
      <c r="AE316" s="1">
        <f ca="1">IFERROR(__xludf.DUMMYFUNCTION("""COMPUTED_VALUE"""),372)</f>
        <v>372</v>
      </c>
      <c r="AF316" s="1">
        <f ca="1">IFERROR(__xludf.DUMMYFUNCTION("""COMPUTED_VALUE"""),472)</f>
        <v>472</v>
      </c>
    </row>
    <row r="317" spans="1:32" ht="12.5" x14ac:dyDescent="0.25">
      <c r="A317" s="1" t="str">
        <f ca="1">IFERROR(__xludf.DUMMYFUNCTION("""COMPUTED_VALUE"""),"Southern Mississippi")</f>
        <v>Southern Mississippi</v>
      </c>
      <c r="B317" s="1">
        <f ca="1">IFERROR(__xludf.DUMMYFUNCTION("""COMPUTED_VALUE"""),29)</f>
        <v>29</v>
      </c>
      <c r="C317" s="1">
        <f ca="1">IFERROR(__xludf.DUMMYFUNCTION("""COMPUTED_VALUE"""),8)</f>
        <v>8</v>
      </c>
      <c r="D317" s="1">
        <f ca="1">IFERROR(__xludf.DUMMYFUNCTION("""COMPUTED_VALUE"""),21)</f>
        <v>21</v>
      </c>
      <c r="E317" s="1">
        <f ca="1">IFERROR(__xludf.DUMMYFUNCTION("""COMPUTED_VALUE"""),0.276)</f>
        <v>0.27600000000000002</v>
      </c>
      <c r="F317" s="1">
        <f ca="1">IFERROR(__xludf.DUMMYFUNCTION("""COMPUTED_VALUE"""),-10.58)</f>
        <v>-10.58</v>
      </c>
      <c r="G317" s="1">
        <f ca="1">IFERROR(__xludf.DUMMYFUNCTION("""COMPUTED_VALUE"""),-3.66)</f>
        <v>-3.66</v>
      </c>
      <c r="H317" s="1">
        <f ca="1">IFERROR(__xludf.DUMMYFUNCTION("""COMPUTED_VALUE"""),5)</f>
        <v>5</v>
      </c>
      <c r="I317" s="1">
        <f ca="1">IFERROR(__xludf.DUMMYFUNCTION("""COMPUTED_VALUE"""),13)</f>
        <v>13</v>
      </c>
      <c r="J317" s="1">
        <f ca="1">IFERROR(__xludf.DUMMYFUNCTION("""COMPUTED_VALUE"""),6)</f>
        <v>6</v>
      </c>
      <c r="K317" s="1">
        <f ca="1">IFERROR(__xludf.DUMMYFUNCTION("""COMPUTED_VALUE"""),9)</f>
        <v>9</v>
      </c>
      <c r="L317" s="1">
        <f ca="1">IFERROR(__xludf.DUMMYFUNCTION("""COMPUTED_VALUE"""),2)</f>
        <v>2</v>
      </c>
      <c r="M317" s="1">
        <f ca="1">IFERROR(__xludf.DUMMYFUNCTION("""COMPUTED_VALUE"""),12)</f>
        <v>12</v>
      </c>
      <c r="N317" s="1">
        <f ca="1">IFERROR(__xludf.DUMMYFUNCTION("""COMPUTED_VALUE"""),1866)</f>
        <v>1866</v>
      </c>
      <c r="O317" s="1">
        <f ca="1">IFERROR(__xludf.DUMMYFUNCTION("""COMPUTED_VALUE"""),2045)</f>
        <v>2045</v>
      </c>
      <c r="P317" s="1">
        <f ca="1">IFERROR(__xludf.DUMMYFUNCTION("""COMPUTED_VALUE"""),1180)</f>
        <v>1180</v>
      </c>
      <c r="Q317" s="1">
        <f ca="1">IFERROR(__xludf.DUMMYFUNCTION("""COMPUTED_VALUE"""),612)</f>
        <v>612</v>
      </c>
      <c r="R317" s="1">
        <f ca="1">IFERROR(__xludf.DUMMYFUNCTION("""COMPUTED_VALUE"""),1496)</f>
        <v>1496</v>
      </c>
      <c r="S317" s="1">
        <f ca="1">IFERROR(__xludf.DUMMYFUNCTION("""COMPUTED_VALUE"""),0.409)</f>
        <v>0.40899999999999997</v>
      </c>
      <c r="T317" s="1">
        <f ca="1">IFERROR(__xludf.DUMMYFUNCTION("""COMPUTED_VALUE"""),257)</f>
        <v>257</v>
      </c>
      <c r="U317" s="1">
        <f ca="1">IFERROR(__xludf.DUMMYFUNCTION("""COMPUTED_VALUE"""),721)</f>
        <v>721</v>
      </c>
      <c r="V317" s="1">
        <f ca="1">IFERROR(__xludf.DUMMYFUNCTION("""COMPUTED_VALUE"""),0.356)</f>
        <v>0.35599999999999998</v>
      </c>
      <c r="W317" s="1">
        <f ca="1">IFERROR(__xludf.DUMMYFUNCTION("""COMPUTED_VALUE"""),385)</f>
        <v>385</v>
      </c>
      <c r="X317" s="1">
        <f ca="1">IFERROR(__xludf.DUMMYFUNCTION("""COMPUTED_VALUE"""),540)</f>
        <v>540</v>
      </c>
      <c r="Y317" s="1">
        <f ca="1">IFERROR(__xludf.DUMMYFUNCTION("""COMPUTED_VALUE"""),0.713)</f>
        <v>0.71299999999999997</v>
      </c>
      <c r="Z317" s="1">
        <f ca="1">IFERROR(__xludf.DUMMYFUNCTION("""COMPUTED_VALUE"""),228)</f>
        <v>228</v>
      </c>
      <c r="AA317" s="1">
        <f ca="1">IFERROR(__xludf.DUMMYFUNCTION("""COMPUTED_VALUE"""),920)</f>
        <v>920</v>
      </c>
      <c r="AB317" s="1">
        <f ca="1">IFERROR(__xludf.DUMMYFUNCTION("""COMPUTED_VALUE"""),353)</f>
        <v>353</v>
      </c>
      <c r="AC317" s="1">
        <f ca="1">IFERROR(__xludf.DUMMYFUNCTION("""COMPUTED_VALUE"""),156)</f>
        <v>156</v>
      </c>
      <c r="AD317" s="1">
        <f ca="1">IFERROR(__xludf.DUMMYFUNCTION("""COMPUTED_VALUE"""),63)</f>
        <v>63</v>
      </c>
      <c r="AE317" s="1">
        <f ca="1">IFERROR(__xludf.DUMMYFUNCTION("""COMPUTED_VALUE"""),388)</f>
        <v>388</v>
      </c>
      <c r="AF317" s="1">
        <f ca="1">IFERROR(__xludf.DUMMYFUNCTION("""COMPUTED_VALUE"""),543)</f>
        <v>543</v>
      </c>
    </row>
    <row r="318" spans="1:32" ht="12.5" x14ac:dyDescent="0.25">
      <c r="A318" s="1" t="str">
        <f ca="1">IFERROR(__xludf.DUMMYFUNCTION("""COMPUTED_VALUE"""),"Southern Utah")</f>
        <v>Southern Utah</v>
      </c>
      <c r="B318" s="1">
        <f ca="1">IFERROR(__xludf.DUMMYFUNCTION("""COMPUTED_VALUE"""),30)</f>
        <v>30</v>
      </c>
      <c r="C318" s="1">
        <f ca="1">IFERROR(__xludf.DUMMYFUNCTION("""COMPUTED_VALUE"""),6)</f>
        <v>6</v>
      </c>
      <c r="D318" s="1">
        <f ca="1">IFERROR(__xludf.DUMMYFUNCTION("""COMPUTED_VALUE"""),24)</f>
        <v>24</v>
      </c>
      <c r="E318" s="1">
        <f ca="1">IFERROR(__xludf.DUMMYFUNCTION("""COMPUTED_VALUE"""),0.2)</f>
        <v>0.2</v>
      </c>
      <c r="F318" s="1">
        <f ca="1">IFERROR(__xludf.DUMMYFUNCTION("""COMPUTED_VALUE"""),-17.36)</f>
        <v>-17.36</v>
      </c>
      <c r="G318" s="1">
        <f ca="1">IFERROR(__xludf.DUMMYFUNCTION("""COMPUTED_VALUE"""),-4.22)</f>
        <v>-4.22</v>
      </c>
      <c r="H318" s="1">
        <f ca="1">IFERROR(__xludf.DUMMYFUNCTION("""COMPUTED_VALUE"""),3)</f>
        <v>3</v>
      </c>
      <c r="I318" s="1">
        <f ca="1">IFERROR(__xludf.DUMMYFUNCTION("""COMPUTED_VALUE"""),15)</f>
        <v>15</v>
      </c>
      <c r="J318" s="1">
        <f ca="1">IFERROR(__xludf.DUMMYFUNCTION("""COMPUTED_VALUE"""),3)</f>
        <v>3</v>
      </c>
      <c r="K318" s="1">
        <f ca="1">IFERROR(__xludf.DUMMYFUNCTION("""COMPUTED_VALUE"""),10)</f>
        <v>10</v>
      </c>
      <c r="L318" s="1">
        <f ca="1">IFERROR(__xludf.DUMMYFUNCTION("""COMPUTED_VALUE"""),3)</f>
        <v>3</v>
      </c>
      <c r="M318" s="1">
        <f ca="1">IFERROR(__xludf.DUMMYFUNCTION("""COMPUTED_VALUE"""),13)</f>
        <v>13</v>
      </c>
      <c r="N318" s="1">
        <f ca="1">IFERROR(__xludf.DUMMYFUNCTION("""COMPUTED_VALUE"""),2119)</f>
        <v>2119</v>
      </c>
      <c r="O318" s="1">
        <f ca="1">IFERROR(__xludf.DUMMYFUNCTION("""COMPUTED_VALUE"""),2429)</f>
        <v>2429</v>
      </c>
      <c r="P318" s="1">
        <f ca="1">IFERROR(__xludf.DUMMYFUNCTION("""COMPUTED_VALUE"""),1210)</f>
        <v>1210</v>
      </c>
      <c r="Q318" s="1">
        <f ca="1">IFERROR(__xludf.DUMMYFUNCTION("""COMPUTED_VALUE"""),739)</f>
        <v>739</v>
      </c>
      <c r="R318" s="1">
        <f ca="1">IFERROR(__xludf.DUMMYFUNCTION("""COMPUTED_VALUE"""),1682)</f>
        <v>1682</v>
      </c>
      <c r="S318" s="1">
        <f ca="1">IFERROR(__xludf.DUMMYFUNCTION("""COMPUTED_VALUE"""),0.439)</f>
        <v>0.439</v>
      </c>
      <c r="T318" s="1">
        <f ca="1">IFERROR(__xludf.DUMMYFUNCTION("""COMPUTED_VALUE"""),210)</f>
        <v>210</v>
      </c>
      <c r="U318" s="1">
        <f ca="1">IFERROR(__xludf.DUMMYFUNCTION("""COMPUTED_VALUE"""),577)</f>
        <v>577</v>
      </c>
      <c r="V318" s="1">
        <f ca="1">IFERROR(__xludf.DUMMYFUNCTION("""COMPUTED_VALUE"""),0.364)</f>
        <v>0.36399999999999999</v>
      </c>
      <c r="W318" s="1">
        <f ca="1">IFERROR(__xludf.DUMMYFUNCTION("""COMPUTED_VALUE"""),431)</f>
        <v>431</v>
      </c>
      <c r="X318" s="1">
        <f ca="1">IFERROR(__xludf.DUMMYFUNCTION("""COMPUTED_VALUE"""),607)</f>
        <v>607</v>
      </c>
      <c r="Y318" s="1">
        <f ca="1">IFERROR(__xludf.DUMMYFUNCTION("""COMPUTED_VALUE"""),0.71)</f>
        <v>0.71</v>
      </c>
      <c r="Z318" s="1">
        <f ca="1">IFERROR(__xludf.DUMMYFUNCTION("""COMPUTED_VALUE"""),238)</f>
        <v>238</v>
      </c>
      <c r="AA318" s="1">
        <f ca="1">IFERROR(__xludf.DUMMYFUNCTION("""COMPUTED_VALUE"""),926)</f>
        <v>926</v>
      </c>
      <c r="AB318" s="1">
        <f ca="1">IFERROR(__xludf.DUMMYFUNCTION("""COMPUTED_VALUE"""),356)</f>
        <v>356</v>
      </c>
      <c r="AC318" s="1">
        <f ca="1">IFERROR(__xludf.DUMMYFUNCTION("""COMPUTED_VALUE"""),170)</f>
        <v>170</v>
      </c>
      <c r="AD318" s="1">
        <f ca="1">IFERROR(__xludf.DUMMYFUNCTION("""COMPUTED_VALUE"""),86)</f>
        <v>86</v>
      </c>
      <c r="AE318" s="1">
        <f ca="1">IFERROR(__xludf.DUMMYFUNCTION("""COMPUTED_VALUE"""),381)</f>
        <v>381</v>
      </c>
      <c r="AF318" s="1">
        <f ca="1">IFERROR(__xludf.DUMMYFUNCTION("""COMPUTED_VALUE"""),621)</f>
        <v>621</v>
      </c>
    </row>
    <row r="319" spans="1:32" ht="12.5" x14ac:dyDescent="0.25">
      <c r="A319" s="1" t="str">
        <f ca="1">IFERROR(__xludf.DUMMYFUNCTION("""COMPUTED_VALUE"""),"SouthernNCAA")</f>
        <v>SouthernNCAA</v>
      </c>
      <c r="B319" s="1">
        <f ca="1">IFERROR(__xludf.DUMMYFUNCTION("""COMPUTED_VALUE"""),35)</f>
        <v>35</v>
      </c>
      <c r="C319" s="1">
        <f ca="1">IFERROR(__xludf.DUMMYFUNCTION("""COMPUTED_VALUE"""),22)</f>
        <v>22</v>
      </c>
      <c r="D319" s="1">
        <f ca="1">IFERROR(__xludf.DUMMYFUNCTION("""COMPUTED_VALUE"""),13)</f>
        <v>13</v>
      </c>
      <c r="E319" s="1">
        <f ca="1">IFERROR(__xludf.DUMMYFUNCTION("""COMPUTED_VALUE"""),0.629)</f>
        <v>0.629</v>
      </c>
      <c r="F319" s="1">
        <f ca="1">IFERROR(__xludf.DUMMYFUNCTION("""COMPUTED_VALUE"""),-7.68)</f>
        <v>-7.68</v>
      </c>
      <c r="G319" s="1">
        <f ca="1">IFERROR(__xludf.DUMMYFUNCTION("""COMPUTED_VALUE"""),-9.37)</f>
        <v>-9.3699999999999992</v>
      </c>
      <c r="H319" s="1">
        <f ca="1">IFERROR(__xludf.DUMMYFUNCTION("""COMPUTED_VALUE"""),11)</f>
        <v>11</v>
      </c>
      <c r="I319" s="1">
        <f ca="1">IFERROR(__xludf.DUMMYFUNCTION("""COMPUTED_VALUE"""),7)</f>
        <v>7</v>
      </c>
      <c r="J319" s="1">
        <f ca="1">IFERROR(__xludf.DUMMYFUNCTION("""COMPUTED_VALUE"""),12)</f>
        <v>12</v>
      </c>
      <c r="K319" s="1">
        <f ca="1">IFERROR(__xludf.DUMMYFUNCTION("""COMPUTED_VALUE"""),1)</f>
        <v>1</v>
      </c>
      <c r="L319" s="1">
        <f ca="1">IFERROR(__xludf.DUMMYFUNCTION("""COMPUTED_VALUE"""),6)</f>
        <v>6</v>
      </c>
      <c r="M319" s="1">
        <f ca="1">IFERROR(__xludf.DUMMYFUNCTION("""COMPUTED_VALUE"""),10)</f>
        <v>10</v>
      </c>
      <c r="N319" s="1">
        <f ca="1">IFERROR(__xludf.DUMMYFUNCTION("""COMPUTED_VALUE"""),2534)</f>
        <v>2534</v>
      </c>
      <c r="O319" s="1">
        <f ca="1">IFERROR(__xludf.DUMMYFUNCTION("""COMPUTED_VALUE"""),2406)</f>
        <v>2406</v>
      </c>
      <c r="P319" s="1">
        <f ca="1">IFERROR(__xludf.DUMMYFUNCTION("""COMPUTED_VALUE"""),1400)</f>
        <v>1400</v>
      </c>
      <c r="Q319" s="1">
        <f ca="1">IFERROR(__xludf.DUMMYFUNCTION("""COMPUTED_VALUE"""),909)</f>
        <v>909</v>
      </c>
      <c r="R319" s="1">
        <f ca="1">IFERROR(__xludf.DUMMYFUNCTION("""COMPUTED_VALUE"""),2046)</f>
        <v>2046</v>
      </c>
      <c r="S319" s="1">
        <f ca="1">IFERROR(__xludf.DUMMYFUNCTION("""COMPUTED_VALUE"""),0.444)</f>
        <v>0.44400000000000001</v>
      </c>
      <c r="T319" s="1">
        <f ca="1">IFERROR(__xludf.DUMMYFUNCTION("""COMPUTED_VALUE"""),211)</f>
        <v>211</v>
      </c>
      <c r="U319" s="1">
        <f ca="1">IFERROR(__xludf.DUMMYFUNCTION("""COMPUTED_VALUE"""),610)</f>
        <v>610</v>
      </c>
      <c r="V319" s="1">
        <f ca="1">IFERROR(__xludf.DUMMYFUNCTION("""COMPUTED_VALUE"""),0.346)</f>
        <v>0.34599999999999997</v>
      </c>
      <c r="W319" s="1">
        <f ca="1">IFERROR(__xludf.DUMMYFUNCTION("""COMPUTED_VALUE"""),505)</f>
        <v>505</v>
      </c>
      <c r="X319" s="1">
        <f ca="1">IFERROR(__xludf.DUMMYFUNCTION("""COMPUTED_VALUE"""),754)</f>
        <v>754</v>
      </c>
      <c r="Y319" s="1">
        <f ca="1">IFERROR(__xludf.DUMMYFUNCTION("""COMPUTED_VALUE"""),0.67)</f>
        <v>0.67</v>
      </c>
      <c r="Z319" s="1">
        <f ca="1">IFERROR(__xludf.DUMMYFUNCTION("""COMPUTED_VALUE"""),365)</f>
        <v>365</v>
      </c>
      <c r="AA319" s="1">
        <f ca="1">IFERROR(__xludf.DUMMYFUNCTION("""COMPUTED_VALUE"""),1258)</f>
        <v>1258</v>
      </c>
      <c r="AB319" s="1">
        <f ca="1">IFERROR(__xludf.DUMMYFUNCTION("""COMPUTED_VALUE"""),381)</f>
        <v>381</v>
      </c>
      <c r="AC319" s="1">
        <f ca="1">IFERROR(__xludf.DUMMYFUNCTION("""COMPUTED_VALUE"""),258)</f>
        <v>258</v>
      </c>
      <c r="AD319" s="1">
        <f ca="1">IFERROR(__xludf.DUMMYFUNCTION("""COMPUTED_VALUE"""),123)</f>
        <v>123</v>
      </c>
      <c r="AE319" s="1">
        <f ca="1">IFERROR(__xludf.DUMMYFUNCTION("""COMPUTED_VALUE"""),391)</f>
        <v>391</v>
      </c>
      <c r="AF319" s="1">
        <f ca="1">IFERROR(__xludf.DUMMYFUNCTION("""COMPUTED_VALUE"""),680)</f>
        <v>680</v>
      </c>
    </row>
    <row r="320" spans="1:32" ht="12.5" x14ac:dyDescent="0.25">
      <c r="A320" s="1" t="str">
        <f ca="1">IFERROR(__xludf.DUMMYFUNCTION("""COMPUTED_VALUE"""),"St. Bonaventure")</f>
        <v>St. Bonaventure</v>
      </c>
      <c r="B320" s="1">
        <f ca="1">IFERROR(__xludf.DUMMYFUNCTION("""COMPUTED_VALUE"""),31)</f>
        <v>31</v>
      </c>
      <c r="C320" s="1">
        <f ca="1">IFERROR(__xludf.DUMMYFUNCTION("""COMPUTED_VALUE"""),22)</f>
        <v>22</v>
      </c>
      <c r="D320" s="1">
        <f ca="1">IFERROR(__xludf.DUMMYFUNCTION("""COMPUTED_VALUE"""),9)</f>
        <v>9</v>
      </c>
      <c r="E320" s="1">
        <f ca="1">IFERROR(__xludf.DUMMYFUNCTION("""COMPUTED_VALUE"""),0.71)</f>
        <v>0.71</v>
      </c>
      <c r="F320" s="1">
        <f ca="1">IFERROR(__xludf.DUMMYFUNCTION("""COMPUTED_VALUE"""),6.55)</f>
        <v>6.55</v>
      </c>
      <c r="G320" s="1">
        <f ca="1">IFERROR(__xludf.DUMMYFUNCTION("""COMPUTED_VALUE"""),1.87)</f>
        <v>1.87</v>
      </c>
      <c r="H320" s="1">
        <f ca="1">IFERROR(__xludf.DUMMYFUNCTION("""COMPUTED_VALUE"""),14)</f>
        <v>14</v>
      </c>
      <c r="I320" s="1">
        <f ca="1">IFERROR(__xludf.DUMMYFUNCTION("""COMPUTED_VALUE"""),4)</f>
        <v>4</v>
      </c>
      <c r="J320" s="1">
        <f ca="1">IFERROR(__xludf.DUMMYFUNCTION("""COMPUTED_VALUE"""),14)</f>
        <v>14</v>
      </c>
      <c r="K320" s="1">
        <f ca="1">IFERROR(__xludf.DUMMYFUNCTION("""COMPUTED_VALUE"""),3)</f>
        <v>3</v>
      </c>
      <c r="L320" s="1">
        <f ca="1">IFERROR(__xludf.DUMMYFUNCTION("""COMPUTED_VALUE"""),8)</f>
        <v>8</v>
      </c>
      <c r="M320" s="1">
        <f ca="1">IFERROR(__xludf.DUMMYFUNCTION("""COMPUTED_VALUE"""),5)</f>
        <v>5</v>
      </c>
      <c r="N320" s="1">
        <f ca="1">IFERROR(__xludf.DUMMYFUNCTION("""COMPUTED_VALUE"""),2409)</f>
        <v>2409</v>
      </c>
      <c r="O320" s="1">
        <f ca="1">IFERROR(__xludf.DUMMYFUNCTION("""COMPUTED_VALUE"""),2264)</f>
        <v>2264</v>
      </c>
      <c r="P320" s="1">
        <f ca="1">IFERROR(__xludf.DUMMYFUNCTION("""COMPUTED_VALUE"""),1250)</f>
        <v>1250</v>
      </c>
      <c r="Q320" s="1">
        <f ca="1">IFERROR(__xludf.DUMMYFUNCTION("""COMPUTED_VALUE"""),812)</f>
        <v>812</v>
      </c>
      <c r="R320" s="1">
        <f ca="1">IFERROR(__xludf.DUMMYFUNCTION("""COMPUTED_VALUE"""),1826)</f>
        <v>1826</v>
      </c>
      <c r="S320" s="1">
        <f ca="1">IFERROR(__xludf.DUMMYFUNCTION("""COMPUTED_VALUE"""),0.445)</f>
        <v>0.44500000000000001</v>
      </c>
      <c r="T320" s="1">
        <f ca="1">IFERROR(__xludf.DUMMYFUNCTION("""COMPUTED_VALUE"""),256)</f>
        <v>256</v>
      </c>
      <c r="U320" s="1">
        <f ca="1">IFERROR(__xludf.DUMMYFUNCTION("""COMPUTED_VALUE"""),687)</f>
        <v>687</v>
      </c>
      <c r="V320" s="1">
        <f ca="1">IFERROR(__xludf.DUMMYFUNCTION("""COMPUTED_VALUE"""),0.373)</f>
        <v>0.373</v>
      </c>
      <c r="W320" s="1">
        <f ca="1">IFERROR(__xludf.DUMMYFUNCTION("""COMPUTED_VALUE"""),529)</f>
        <v>529</v>
      </c>
      <c r="X320" s="1">
        <f ca="1">IFERROR(__xludf.DUMMYFUNCTION("""COMPUTED_VALUE"""),684)</f>
        <v>684</v>
      </c>
      <c r="Y320" s="1">
        <f ca="1">IFERROR(__xludf.DUMMYFUNCTION("""COMPUTED_VALUE"""),0.773)</f>
        <v>0.77300000000000002</v>
      </c>
      <c r="Z320" s="1">
        <f ca="1">IFERROR(__xludf.DUMMYFUNCTION("""COMPUTED_VALUE"""),345)</f>
        <v>345</v>
      </c>
      <c r="AA320" s="1">
        <f ca="1">IFERROR(__xludf.DUMMYFUNCTION("""COMPUTED_VALUE"""),1102)</f>
        <v>1102</v>
      </c>
      <c r="AB320" s="1">
        <f ca="1">IFERROR(__xludf.DUMMYFUNCTION("""COMPUTED_VALUE"""),418)</f>
        <v>418</v>
      </c>
      <c r="AC320" s="1">
        <f ca="1">IFERROR(__xludf.DUMMYFUNCTION("""COMPUTED_VALUE"""),184)</f>
        <v>184</v>
      </c>
      <c r="AD320" s="1">
        <f ca="1">IFERROR(__xludf.DUMMYFUNCTION("""COMPUTED_VALUE"""),132)</f>
        <v>132</v>
      </c>
      <c r="AE320" s="1">
        <f ca="1">IFERROR(__xludf.DUMMYFUNCTION("""COMPUTED_VALUE"""),357)</f>
        <v>357</v>
      </c>
      <c r="AF320" s="1">
        <f ca="1">IFERROR(__xludf.DUMMYFUNCTION("""COMPUTED_VALUE"""),602)</f>
        <v>602</v>
      </c>
    </row>
    <row r="321" spans="1:32" ht="12.5" x14ac:dyDescent="0.25">
      <c r="A321" s="1" t="str">
        <f ca="1">IFERROR(__xludf.DUMMYFUNCTION("""COMPUTED_VALUE"""),"St. Francis (NY)")</f>
        <v>St. Francis (NY)</v>
      </c>
      <c r="B321" s="1">
        <f ca="1">IFERROR(__xludf.DUMMYFUNCTION("""COMPUTED_VALUE"""),32)</f>
        <v>32</v>
      </c>
      <c r="C321" s="1">
        <f ca="1">IFERROR(__xludf.DUMMYFUNCTION("""COMPUTED_VALUE"""),15)</f>
        <v>15</v>
      </c>
      <c r="D321" s="1">
        <f ca="1">IFERROR(__xludf.DUMMYFUNCTION("""COMPUTED_VALUE"""),17)</f>
        <v>17</v>
      </c>
      <c r="E321" s="1">
        <f ca="1">IFERROR(__xludf.DUMMYFUNCTION("""COMPUTED_VALUE"""),0.469)</f>
        <v>0.46899999999999997</v>
      </c>
      <c r="F321" s="1">
        <f ca="1">IFERROR(__xludf.DUMMYFUNCTION("""COMPUTED_VALUE"""),-11.24)</f>
        <v>-11.24</v>
      </c>
      <c r="G321" s="1">
        <f ca="1">IFERROR(__xludf.DUMMYFUNCTION("""COMPUTED_VALUE"""),-9.24)</f>
        <v>-9.24</v>
      </c>
      <c r="H321" s="1">
        <f ca="1">IFERROR(__xludf.DUMMYFUNCTION("""COMPUTED_VALUE"""),11)</f>
        <v>11</v>
      </c>
      <c r="I321" s="1">
        <f ca="1">IFERROR(__xludf.DUMMYFUNCTION("""COMPUTED_VALUE"""),7)</f>
        <v>7</v>
      </c>
      <c r="J321" s="1">
        <f ca="1">IFERROR(__xludf.DUMMYFUNCTION("""COMPUTED_VALUE"""),9)</f>
        <v>9</v>
      </c>
      <c r="K321" s="1">
        <f ca="1">IFERROR(__xludf.DUMMYFUNCTION("""COMPUTED_VALUE"""),5)</f>
        <v>5</v>
      </c>
      <c r="L321" s="1">
        <f ca="1">IFERROR(__xludf.DUMMYFUNCTION("""COMPUTED_VALUE"""),6)</f>
        <v>6</v>
      </c>
      <c r="M321" s="1">
        <f ca="1">IFERROR(__xludf.DUMMYFUNCTION("""COMPUTED_VALUE"""),11)</f>
        <v>11</v>
      </c>
      <c r="N321" s="1">
        <f ca="1">IFERROR(__xludf.DUMMYFUNCTION("""COMPUTED_VALUE"""),2095)</f>
        <v>2095</v>
      </c>
      <c r="O321" s="1">
        <f ca="1">IFERROR(__xludf.DUMMYFUNCTION("""COMPUTED_VALUE"""),2131)</f>
        <v>2131</v>
      </c>
      <c r="P321" s="1">
        <f ca="1">IFERROR(__xludf.DUMMYFUNCTION("""COMPUTED_VALUE"""),1290)</f>
        <v>1290</v>
      </c>
      <c r="Q321" s="1">
        <f ca="1">IFERROR(__xludf.DUMMYFUNCTION("""COMPUTED_VALUE"""),710)</f>
        <v>710</v>
      </c>
      <c r="R321" s="1">
        <f ca="1">IFERROR(__xludf.DUMMYFUNCTION("""COMPUTED_VALUE"""),1787)</f>
        <v>1787</v>
      </c>
      <c r="S321" s="1">
        <f ca="1">IFERROR(__xludf.DUMMYFUNCTION("""COMPUTED_VALUE"""),0.397)</f>
        <v>0.39700000000000002</v>
      </c>
      <c r="T321" s="1">
        <f ca="1">IFERROR(__xludf.DUMMYFUNCTION("""COMPUTED_VALUE"""),240)</f>
        <v>240</v>
      </c>
      <c r="U321" s="1">
        <f ca="1">IFERROR(__xludf.DUMMYFUNCTION("""COMPUTED_VALUE"""),776)</f>
        <v>776</v>
      </c>
      <c r="V321" s="1">
        <f ca="1">IFERROR(__xludf.DUMMYFUNCTION("""COMPUTED_VALUE"""),0.309)</f>
        <v>0.309</v>
      </c>
      <c r="W321" s="1">
        <f ca="1">IFERROR(__xludf.DUMMYFUNCTION("""COMPUTED_VALUE"""),435)</f>
        <v>435</v>
      </c>
      <c r="X321" s="1">
        <f ca="1">IFERROR(__xludf.DUMMYFUNCTION("""COMPUTED_VALUE"""),652)</f>
        <v>652</v>
      </c>
      <c r="Y321" s="1">
        <f ca="1">IFERROR(__xludf.DUMMYFUNCTION("""COMPUTED_VALUE"""),0.667)</f>
        <v>0.66700000000000004</v>
      </c>
      <c r="Z321" s="1">
        <f ca="1">IFERROR(__xludf.DUMMYFUNCTION("""COMPUTED_VALUE"""),390)</f>
        <v>390</v>
      </c>
      <c r="AA321" s="1">
        <f ca="1">IFERROR(__xludf.DUMMYFUNCTION("""COMPUTED_VALUE"""),1185)</f>
        <v>1185</v>
      </c>
      <c r="AB321" s="1">
        <f ca="1">IFERROR(__xludf.DUMMYFUNCTION("""COMPUTED_VALUE"""),370)</f>
        <v>370</v>
      </c>
      <c r="AC321" s="1">
        <f ca="1">IFERROR(__xludf.DUMMYFUNCTION("""COMPUTED_VALUE"""),191)</f>
        <v>191</v>
      </c>
      <c r="AD321" s="1">
        <f ca="1">IFERROR(__xludf.DUMMYFUNCTION("""COMPUTED_VALUE"""),161)</f>
        <v>161</v>
      </c>
      <c r="AE321" s="1">
        <f ca="1">IFERROR(__xludf.DUMMYFUNCTION("""COMPUTED_VALUE"""),442)</f>
        <v>442</v>
      </c>
      <c r="AF321" s="1">
        <f ca="1">IFERROR(__xludf.DUMMYFUNCTION("""COMPUTED_VALUE"""),600)</f>
        <v>600</v>
      </c>
    </row>
    <row r="322" spans="1:32" ht="12.5" x14ac:dyDescent="0.25">
      <c r="A322" s="1" t="str">
        <f ca="1">IFERROR(__xludf.DUMMYFUNCTION("""COMPUTED_VALUE"""),"St. John's (NY)")</f>
        <v>St. John's (NY)</v>
      </c>
      <c r="B322" s="1">
        <f ca="1">IFERROR(__xludf.DUMMYFUNCTION("""COMPUTED_VALUE"""),32)</f>
        <v>32</v>
      </c>
      <c r="C322" s="1">
        <f ca="1">IFERROR(__xludf.DUMMYFUNCTION("""COMPUTED_VALUE"""),8)</f>
        <v>8</v>
      </c>
      <c r="D322" s="1">
        <f ca="1">IFERROR(__xludf.DUMMYFUNCTION("""COMPUTED_VALUE"""),24)</f>
        <v>24</v>
      </c>
      <c r="E322" s="1">
        <f ca="1">IFERROR(__xludf.DUMMYFUNCTION("""COMPUTED_VALUE"""),0.25)</f>
        <v>0.25</v>
      </c>
      <c r="F322" s="1">
        <f ca="1">IFERROR(__xludf.DUMMYFUNCTION("""COMPUTED_VALUE"""),-1.9)</f>
        <v>-1.9</v>
      </c>
      <c r="G322" s="1">
        <f ca="1">IFERROR(__xludf.DUMMYFUNCTION("""COMPUTED_VALUE"""),7.94)</f>
        <v>7.94</v>
      </c>
      <c r="H322" s="1">
        <f ca="1">IFERROR(__xludf.DUMMYFUNCTION("""COMPUTED_VALUE"""),1)</f>
        <v>1</v>
      </c>
      <c r="I322" s="1">
        <f ca="1">IFERROR(__xludf.DUMMYFUNCTION("""COMPUTED_VALUE"""),17)</f>
        <v>17</v>
      </c>
      <c r="J322" s="1">
        <f ca="1">IFERROR(__xludf.DUMMYFUNCTION("""COMPUTED_VALUE"""),6)</f>
        <v>6</v>
      </c>
      <c r="K322" s="1">
        <f ca="1">IFERROR(__xludf.DUMMYFUNCTION("""COMPUTED_VALUE"""),10)</f>
        <v>10</v>
      </c>
      <c r="L322" s="1">
        <f ca="1">IFERROR(__xludf.DUMMYFUNCTION("""COMPUTED_VALUE"""),0)</f>
        <v>0</v>
      </c>
      <c r="M322" s="1">
        <f ca="1">IFERROR(__xludf.DUMMYFUNCTION("""COMPUTED_VALUE"""),10)</f>
        <v>10</v>
      </c>
      <c r="N322" s="1">
        <f ca="1">IFERROR(__xludf.DUMMYFUNCTION("""COMPUTED_VALUE"""),2174)</f>
        <v>2174</v>
      </c>
      <c r="O322" s="1">
        <f ca="1">IFERROR(__xludf.DUMMYFUNCTION("""COMPUTED_VALUE"""),2472)</f>
        <v>2472</v>
      </c>
      <c r="P322" s="1">
        <f ca="1">IFERROR(__xludf.DUMMYFUNCTION("""COMPUTED_VALUE"""),1280)</f>
        <v>1280</v>
      </c>
      <c r="Q322" s="1">
        <f ca="1">IFERROR(__xludf.DUMMYFUNCTION("""COMPUTED_VALUE"""),757)</f>
        <v>757</v>
      </c>
      <c r="R322" s="1">
        <f ca="1">IFERROR(__xludf.DUMMYFUNCTION("""COMPUTED_VALUE"""),1864)</f>
        <v>1864</v>
      </c>
      <c r="S322" s="1">
        <f ca="1">IFERROR(__xludf.DUMMYFUNCTION("""COMPUTED_VALUE"""),0.406)</f>
        <v>0.40600000000000003</v>
      </c>
      <c r="T322" s="1">
        <f ca="1">IFERROR(__xludf.DUMMYFUNCTION("""COMPUTED_VALUE"""),206)</f>
        <v>206</v>
      </c>
      <c r="U322" s="1">
        <f ca="1">IFERROR(__xludf.DUMMYFUNCTION("""COMPUTED_VALUE"""),633)</f>
        <v>633</v>
      </c>
      <c r="V322" s="1">
        <f ca="1">IFERROR(__xludf.DUMMYFUNCTION("""COMPUTED_VALUE"""),0.325)</f>
        <v>0.32500000000000001</v>
      </c>
      <c r="W322" s="1">
        <f ca="1">IFERROR(__xludf.DUMMYFUNCTION("""COMPUTED_VALUE"""),454)</f>
        <v>454</v>
      </c>
      <c r="X322" s="1">
        <f ca="1">IFERROR(__xludf.DUMMYFUNCTION("""COMPUTED_VALUE"""),714)</f>
        <v>714</v>
      </c>
      <c r="Y322" s="1">
        <f ca="1">IFERROR(__xludf.DUMMYFUNCTION("""COMPUTED_VALUE"""),0.636)</f>
        <v>0.63600000000000001</v>
      </c>
      <c r="Z322" s="1">
        <f ca="1">IFERROR(__xludf.DUMMYFUNCTION("""COMPUTED_VALUE"""),345)</f>
        <v>345</v>
      </c>
      <c r="AA322" s="1">
        <f ca="1">IFERROR(__xludf.DUMMYFUNCTION("""COMPUTED_VALUE"""),1142)</f>
        <v>1142</v>
      </c>
      <c r="AB322" s="1">
        <f ca="1">IFERROR(__xludf.DUMMYFUNCTION("""COMPUTED_VALUE"""),413)</f>
        <v>413</v>
      </c>
      <c r="AC322" s="1">
        <f ca="1">IFERROR(__xludf.DUMMYFUNCTION("""COMPUTED_VALUE"""),202)</f>
        <v>202</v>
      </c>
      <c r="AD322" s="1">
        <f ca="1">IFERROR(__xludf.DUMMYFUNCTION("""COMPUTED_VALUE"""),175)</f>
        <v>175</v>
      </c>
      <c r="AE322" s="1">
        <f ca="1">IFERROR(__xludf.DUMMYFUNCTION("""COMPUTED_VALUE"""),491)</f>
        <v>491</v>
      </c>
      <c r="AF322" s="1">
        <f ca="1">IFERROR(__xludf.DUMMYFUNCTION("""COMPUTED_VALUE"""),680)</f>
        <v>680</v>
      </c>
    </row>
    <row r="323" spans="1:32" ht="12.5" x14ac:dyDescent="0.25">
      <c r="A323" s="1" t="str">
        <f ca="1">IFERROR(__xludf.DUMMYFUNCTION("""COMPUTED_VALUE"""),"Stanford")</f>
        <v>Stanford</v>
      </c>
      <c r="B323" s="1">
        <f ca="1">IFERROR(__xludf.DUMMYFUNCTION("""COMPUTED_VALUE"""),30)</f>
        <v>30</v>
      </c>
      <c r="C323" s="1">
        <f ca="1">IFERROR(__xludf.DUMMYFUNCTION("""COMPUTED_VALUE"""),15)</f>
        <v>15</v>
      </c>
      <c r="D323" s="1">
        <f ca="1">IFERROR(__xludf.DUMMYFUNCTION("""COMPUTED_VALUE"""),15)</f>
        <v>15</v>
      </c>
      <c r="E323" s="1">
        <f ca="1">IFERROR(__xludf.DUMMYFUNCTION("""COMPUTED_VALUE"""),0.5)</f>
        <v>0.5</v>
      </c>
      <c r="F323" s="1">
        <f ca="1">IFERROR(__xludf.DUMMYFUNCTION("""COMPUTED_VALUE"""),8.06)</f>
        <v>8.06</v>
      </c>
      <c r="G323" s="1">
        <f ca="1">IFERROR(__xludf.DUMMYFUNCTION("""COMPUTED_VALUE"""),10.41)</f>
        <v>10.41</v>
      </c>
      <c r="H323" s="1">
        <f ca="1">IFERROR(__xludf.DUMMYFUNCTION("""COMPUTED_VALUE"""),8)</f>
        <v>8</v>
      </c>
      <c r="I323" s="1">
        <f ca="1">IFERROR(__xludf.DUMMYFUNCTION("""COMPUTED_VALUE"""),10)</f>
        <v>10</v>
      </c>
      <c r="J323" s="1">
        <f ca="1">IFERROR(__xludf.DUMMYFUNCTION("""COMPUTED_VALUE"""),12)</f>
        <v>12</v>
      </c>
      <c r="K323" s="1">
        <f ca="1">IFERROR(__xludf.DUMMYFUNCTION("""COMPUTED_VALUE"""),5)</f>
        <v>5</v>
      </c>
      <c r="L323" s="1">
        <f ca="1">IFERROR(__xludf.DUMMYFUNCTION("""COMPUTED_VALUE"""),2)</f>
        <v>2</v>
      </c>
      <c r="M323" s="1">
        <f ca="1">IFERROR(__xludf.DUMMYFUNCTION("""COMPUTED_VALUE"""),8)</f>
        <v>8</v>
      </c>
      <c r="N323" s="1">
        <f ca="1">IFERROR(__xludf.DUMMYFUNCTION("""COMPUTED_VALUE"""),2088)</f>
        <v>2088</v>
      </c>
      <c r="O323" s="1">
        <f ca="1">IFERROR(__xludf.DUMMYFUNCTION("""COMPUTED_VALUE"""),2111)</f>
        <v>2111</v>
      </c>
      <c r="P323" s="1">
        <f ca="1">IFERROR(__xludf.DUMMYFUNCTION("""COMPUTED_VALUE"""),1210)</f>
        <v>1210</v>
      </c>
      <c r="Q323" s="1">
        <f ca="1">IFERROR(__xludf.DUMMYFUNCTION("""COMPUTED_VALUE"""),704)</f>
        <v>704</v>
      </c>
      <c r="R323" s="1">
        <f ca="1">IFERROR(__xludf.DUMMYFUNCTION("""COMPUTED_VALUE"""),1653)</f>
        <v>1653</v>
      </c>
      <c r="S323" s="1">
        <f ca="1">IFERROR(__xludf.DUMMYFUNCTION("""COMPUTED_VALUE"""),0.426)</f>
        <v>0.42599999999999999</v>
      </c>
      <c r="T323" s="1">
        <f ca="1">IFERROR(__xludf.DUMMYFUNCTION("""COMPUTED_VALUE"""),172)</f>
        <v>172</v>
      </c>
      <c r="U323" s="1">
        <f ca="1">IFERROR(__xludf.DUMMYFUNCTION("""COMPUTED_VALUE"""),538)</f>
        <v>538</v>
      </c>
      <c r="V323" s="1">
        <f ca="1">IFERROR(__xludf.DUMMYFUNCTION("""COMPUTED_VALUE"""),0.32)</f>
        <v>0.32</v>
      </c>
      <c r="W323" s="1">
        <f ca="1">IFERROR(__xludf.DUMMYFUNCTION("""COMPUTED_VALUE"""),508)</f>
        <v>508</v>
      </c>
      <c r="X323" s="1">
        <f ca="1">IFERROR(__xludf.DUMMYFUNCTION("""COMPUTED_VALUE"""),742)</f>
        <v>742</v>
      </c>
      <c r="Y323" s="1">
        <f ca="1">IFERROR(__xludf.DUMMYFUNCTION("""COMPUTED_VALUE"""),0.685)</f>
        <v>0.68500000000000005</v>
      </c>
      <c r="Z323" s="1">
        <f ca="1">IFERROR(__xludf.DUMMYFUNCTION("""COMPUTED_VALUE"""),328)</f>
        <v>328</v>
      </c>
      <c r="AA323" s="1">
        <f ca="1">IFERROR(__xludf.DUMMYFUNCTION("""COMPUTED_VALUE"""),1030)</f>
        <v>1030</v>
      </c>
      <c r="AB323" s="1">
        <f ca="1">IFERROR(__xludf.DUMMYFUNCTION("""COMPUTED_VALUE"""),350)</f>
        <v>350</v>
      </c>
      <c r="AC323" s="1">
        <f ca="1">IFERROR(__xludf.DUMMYFUNCTION("""COMPUTED_VALUE"""),203)</f>
        <v>203</v>
      </c>
      <c r="AD323" s="1">
        <f ca="1">IFERROR(__xludf.DUMMYFUNCTION("""COMPUTED_VALUE"""),94)</f>
        <v>94</v>
      </c>
      <c r="AE323" s="1">
        <f ca="1">IFERROR(__xludf.DUMMYFUNCTION("""COMPUTED_VALUE"""),355)</f>
        <v>355</v>
      </c>
      <c r="AF323" s="1">
        <f ca="1">IFERROR(__xludf.DUMMYFUNCTION("""COMPUTED_VALUE"""),600)</f>
        <v>600</v>
      </c>
    </row>
    <row r="324" spans="1:32" ht="12.5" x14ac:dyDescent="0.25">
      <c r="A324" s="1" t="str">
        <f ca="1">IFERROR(__xludf.DUMMYFUNCTION("""COMPUTED_VALUE"""),"Stephen F. AustinNCAA")</f>
        <v>Stephen F. AustinNCAA</v>
      </c>
      <c r="B324" s="1">
        <f ca="1">IFERROR(__xludf.DUMMYFUNCTION("""COMPUTED_VALUE"""),34)</f>
        <v>34</v>
      </c>
      <c r="C324" s="1">
        <f ca="1">IFERROR(__xludf.DUMMYFUNCTION("""COMPUTED_VALUE"""),28)</f>
        <v>28</v>
      </c>
      <c r="D324" s="1">
        <f ca="1">IFERROR(__xludf.DUMMYFUNCTION("""COMPUTED_VALUE"""),6)</f>
        <v>6</v>
      </c>
      <c r="E324" s="1">
        <f ca="1">IFERROR(__xludf.DUMMYFUNCTION("""COMPUTED_VALUE"""),0.824)</f>
        <v>0.82399999999999995</v>
      </c>
      <c r="F324" s="1">
        <f ca="1">IFERROR(__xludf.DUMMYFUNCTION("""COMPUTED_VALUE"""),9.23)</f>
        <v>9.23</v>
      </c>
      <c r="G324" s="1">
        <f ca="1">IFERROR(__xludf.DUMMYFUNCTION("""COMPUTED_VALUE"""),-5.47)</f>
        <v>-5.47</v>
      </c>
      <c r="H324" s="1">
        <f ca="1">IFERROR(__xludf.DUMMYFUNCTION("""COMPUTED_VALUE"""),18)</f>
        <v>18</v>
      </c>
      <c r="I324" s="1">
        <f ca="1">IFERROR(__xludf.DUMMYFUNCTION("""COMPUTED_VALUE"""),0)</f>
        <v>0</v>
      </c>
      <c r="J324" s="1">
        <f ca="1">IFERROR(__xludf.DUMMYFUNCTION("""COMPUTED_VALUE"""),14)</f>
        <v>14</v>
      </c>
      <c r="K324" s="1">
        <f ca="1">IFERROR(__xludf.DUMMYFUNCTION("""COMPUTED_VALUE"""),0)</f>
        <v>0</v>
      </c>
      <c r="L324" s="1">
        <f ca="1">IFERROR(__xludf.DUMMYFUNCTION("""COMPUTED_VALUE"""),9)</f>
        <v>9</v>
      </c>
      <c r="M324" s="1">
        <f ca="1">IFERROR(__xludf.DUMMYFUNCTION("""COMPUTED_VALUE"""),4)</f>
        <v>4</v>
      </c>
      <c r="N324" s="1">
        <f ca="1">IFERROR(__xludf.DUMMYFUNCTION("""COMPUTED_VALUE"""),2728)</f>
        <v>2728</v>
      </c>
      <c r="O324" s="1">
        <f ca="1">IFERROR(__xludf.DUMMYFUNCTION("""COMPUTED_VALUE"""),2153)</f>
        <v>2153</v>
      </c>
      <c r="P324" s="1">
        <f ca="1">IFERROR(__xludf.DUMMYFUNCTION("""COMPUTED_VALUE"""),1360)</f>
        <v>1360</v>
      </c>
      <c r="Q324" s="1">
        <f ca="1">IFERROR(__xludf.DUMMYFUNCTION("""COMPUTED_VALUE"""),972)</f>
        <v>972</v>
      </c>
      <c r="R324" s="1">
        <f ca="1">IFERROR(__xludf.DUMMYFUNCTION("""COMPUTED_VALUE"""),2032)</f>
        <v>2032</v>
      </c>
      <c r="S324" s="1">
        <f ca="1">IFERROR(__xludf.DUMMYFUNCTION("""COMPUTED_VALUE"""),0.478)</f>
        <v>0.47799999999999998</v>
      </c>
      <c r="T324" s="1">
        <f ca="1">IFERROR(__xludf.DUMMYFUNCTION("""COMPUTED_VALUE"""),269)</f>
        <v>269</v>
      </c>
      <c r="U324" s="1">
        <f ca="1">IFERROR(__xludf.DUMMYFUNCTION("""COMPUTED_VALUE"""),741)</f>
        <v>741</v>
      </c>
      <c r="V324" s="1">
        <f ca="1">IFERROR(__xludf.DUMMYFUNCTION("""COMPUTED_VALUE"""),0.363)</f>
        <v>0.36299999999999999</v>
      </c>
      <c r="W324" s="1">
        <f ca="1">IFERROR(__xludf.DUMMYFUNCTION("""COMPUTED_VALUE"""),515)</f>
        <v>515</v>
      </c>
      <c r="X324" s="1">
        <f ca="1">IFERROR(__xludf.DUMMYFUNCTION("""COMPUTED_VALUE"""),701)</f>
        <v>701</v>
      </c>
      <c r="Y324" s="1">
        <f ca="1">IFERROR(__xludf.DUMMYFUNCTION("""COMPUTED_VALUE"""),0.735)</f>
        <v>0.73499999999999999</v>
      </c>
      <c r="Z324" s="1">
        <f ca="1">IFERROR(__xludf.DUMMYFUNCTION("""COMPUTED_VALUE"""),405)</f>
        <v>405</v>
      </c>
      <c r="AA324" s="1">
        <f ca="1">IFERROR(__xludf.DUMMYFUNCTION("""COMPUTED_VALUE"""),1188)</f>
        <v>1188</v>
      </c>
      <c r="AB324" s="1">
        <f ca="1">IFERROR(__xludf.DUMMYFUNCTION("""COMPUTED_VALUE"""),635)</f>
        <v>635</v>
      </c>
      <c r="AC324" s="1">
        <f ca="1">IFERROR(__xludf.DUMMYFUNCTION("""COMPUTED_VALUE"""),310)</f>
        <v>310</v>
      </c>
      <c r="AD324" s="1">
        <f ca="1">IFERROR(__xludf.DUMMYFUNCTION("""COMPUTED_VALUE"""),122)</f>
        <v>122</v>
      </c>
      <c r="AE324" s="1">
        <f ca="1">IFERROR(__xludf.DUMMYFUNCTION("""COMPUTED_VALUE"""),411)</f>
        <v>411</v>
      </c>
      <c r="AF324" s="1">
        <f ca="1">IFERROR(__xludf.DUMMYFUNCTION("""COMPUTED_VALUE"""),700)</f>
        <v>700</v>
      </c>
    </row>
    <row r="325" spans="1:32" ht="12.5" x14ac:dyDescent="0.25">
      <c r="A325" s="1" t="str">
        <f ca="1">IFERROR(__xludf.DUMMYFUNCTION("""COMPUTED_VALUE"""),"Stetson")</f>
        <v>Stetson</v>
      </c>
      <c r="B325" s="1">
        <f ca="1">IFERROR(__xludf.DUMMYFUNCTION("""COMPUTED_VALUE"""),34)</f>
        <v>34</v>
      </c>
      <c r="C325" s="1">
        <f ca="1">IFERROR(__xludf.DUMMYFUNCTION("""COMPUTED_VALUE"""),12)</f>
        <v>12</v>
      </c>
      <c r="D325" s="1">
        <f ca="1">IFERROR(__xludf.DUMMYFUNCTION("""COMPUTED_VALUE"""),22)</f>
        <v>22</v>
      </c>
      <c r="E325" s="1">
        <f ca="1">IFERROR(__xludf.DUMMYFUNCTION("""COMPUTED_VALUE"""),0.353)</f>
        <v>0.35299999999999998</v>
      </c>
      <c r="F325" s="1">
        <f ca="1">IFERROR(__xludf.DUMMYFUNCTION("""COMPUTED_VALUE"""),-10.78)</f>
        <v>-10.78</v>
      </c>
      <c r="G325" s="1">
        <f ca="1">IFERROR(__xludf.DUMMYFUNCTION("""COMPUTED_VALUE"""),-4.35)</f>
        <v>-4.3499999999999996</v>
      </c>
      <c r="H325" s="1">
        <f ca="1">IFERROR(__xludf.DUMMYFUNCTION("""COMPUTED_VALUE"""),4)</f>
        <v>4</v>
      </c>
      <c r="I325" s="1">
        <f ca="1">IFERROR(__xludf.DUMMYFUNCTION("""COMPUTED_VALUE"""),10)</f>
        <v>10</v>
      </c>
      <c r="J325" s="1">
        <f ca="1">IFERROR(__xludf.DUMMYFUNCTION("""COMPUTED_VALUE"""),6)</f>
        <v>6</v>
      </c>
      <c r="K325" s="1">
        <f ca="1">IFERROR(__xludf.DUMMYFUNCTION("""COMPUTED_VALUE"""),8)</f>
        <v>8</v>
      </c>
      <c r="L325" s="1">
        <f ca="1">IFERROR(__xludf.DUMMYFUNCTION("""COMPUTED_VALUE"""),5)</f>
        <v>5</v>
      </c>
      <c r="M325" s="1">
        <f ca="1">IFERROR(__xludf.DUMMYFUNCTION("""COMPUTED_VALUE"""),13)</f>
        <v>13</v>
      </c>
      <c r="N325" s="1">
        <f ca="1">IFERROR(__xludf.DUMMYFUNCTION("""COMPUTED_VALUE"""),2729)</f>
        <v>2729</v>
      </c>
      <c r="O325" s="1">
        <f ca="1">IFERROR(__xludf.DUMMYFUNCTION("""COMPUTED_VALUE"""),2807)</f>
        <v>2807</v>
      </c>
      <c r="P325" s="1">
        <f ca="1">IFERROR(__xludf.DUMMYFUNCTION("""COMPUTED_VALUE"""),1390)</f>
        <v>1390</v>
      </c>
      <c r="Q325" s="1">
        <f ca="1">IFERROR(__xludf.DUMMYFUNCTION("""COMPUTED_VALUE"""),962)</f>
        <v>962</v>
      </c>
      <c r="R325" s="1">
        <f ca="1">IFERROR(__xludf.DUMMYFUNCTION("""COMPUTED_VALUE"""),2124)</f>
        <v>2124</v>
      </c>
      <c r="S325" s="1">
        <f ca="1">IFERROR(__xludf.DUMMYFUNCTION("""COMPUTED_VALUE"""),0.453)</f>
        <v>0.45300000000000001</v>
      </c>
      <c r="T325" s="1">
        <f ca="1">IFERROR(__xludf.DUMMYFUNCTION("""COMPUTED_VALUE"""),282)</f>
        <v>282</v>
      </c>
      <c r="U325" s="1">
        <f ca="1">IFERROR(__xludf.DUMMYFUNCTION("""COMPUTED_VALUE"""),773)</f>
        <v>773</v>
      </c>
      <c r="V325" s="1">
        <f ca="1">IFERROR(__xludf.DUMMYFUNCTION("""COMPUTED_VALUE"""),0.365)</f>
        <v>0.36499999999999999</v>
      </c>
      <c r="W325" s="1">
        <f ca="1">IFERROR(__xludf.DUMMYFUNCTION("""COMPUTED_VALUE"""),523)</f>
        <v>523</v>
      </c>
      <c r="X325" s="1">
        <f ca="1">IFERROR(__xludf.DUMMYFUNCTION("""COMPUTED_VALUE"""),725)</f>
        <v>725</v>
      </c>
      <c r="Y325" s="1">
        <f ca="1">IFERROR(__xludf.DUMMYFUNCTION("""COMPUTED_VALUE"""),0.721)</f>
        <v>0.72099999999999997</v>
      </c>
      <c r="Z325" s="1">
        <f ca="1">IFERROR(__xludf.DUMMYFUNCTION("""COMPUTED_VALUE"""),331)</f>
        <v>331</v>
      </c>
      <c r="AA325" s="1">
        <f ca="1">IFERROR(__xludf.DUMMYFUNCTION("""COMPUTED_VALUE"""),1213)</f>
        <v>1213</v>
      </c>
      <c r="AB325" s="1">
        <f ca="1">IFERROR(__xludf.DUMMYFUNCTION("""COMPUTED_VALUE"""),519)</f>
        <v>519</v>
      </c>
      <c r="AC325" s="1">
        <f ca="1">IFERROR(__xludf.DUMMYFUNCTION("""COMPUTED_VALUE"""),215)</f>
        <v>215</v>
      </c>
      <c r="AD325" s="1">
        <f ca="1">IFERROR(__xludf.DUMMYFUNCTION("""COMPUTED_VALUE"""),83)</f>
        <v>83</v>
      </c>
      <c r="AE325" s="1">
        <f ca="1">IFERROR(__xludf.DUMMYFUNCTION("""COMPUTED_VALUE"""),418)</f>
        <v>418</v>
      </c>
      <c r="AF325" s="1">
        <f ca="1">IFERROR(__xludf.DUMMYFUNCTION("""COMPUTED_VALUE"""),614)</f>
        <v>614</v>
      </c>
    </row>
    <row r="326" spans="1:32" ht="12.5" x14ac:dyDescent="0.25">
      <c r="A326" s="1" t="str">
        <f ca="1">IFERROR(__xludf.DUMMYFUNCTION("""COMPUTED_VALUE"""),"Stony BrookNCAA")</f>
        <v>Stony BrookNCAA</v>
      </c>
      <c r="B326" s="1">
        <f ca="1">IFERROR(__xludf.DUMMYFUNCTION("""COMPUTED_VALUE"""),33)</f>
        <v>33</v>
      </c>
      <c r="C326" s="1">
        <f ca="1">IFERROR(__xludf.DUMMYFUNCTION("""COMPUTED_VALUE"""),26)</f>
        <v>26</v>
      </c>
      <c r="D326" s="1">
        <f ca="1">IFERROR(__xludf.DUMMYFUNCTION("""COMPUTED_VALUE"""),7)</f>
        <v>7</v>
      </c>
      <c r="E326" s="1">
        <f ca="1">IFERROR(__xludf.DUMMYFUNCTION("""COMPUTED_VALUE"""),0.788)</f>
        <v>0.78800000000000003</v>
      </c>
      <c r="F326" s="1">
        <f ca="1">IFERROR(__xludf.DUMMYFUNCTION("""COMPUTED_VALUE"""),3.75)</f>
        <v>3.75</v>
      </c>
      <c r="G326" s="1">
        <f ca="1">IFERROR(__xludf.DUMMYFUNCTION("""COMPUTED_VALUE"""),-5.28)</f>
        <v>-5.28</v>
      </c>
      <c r="H326" s="1">
        <f ca="1">IFERROR(__xludf.DUMMYFUNCTION("""COMPUTED_VALUE"""),14)</f>
        <v>14</v>
      </c>
      <c r="I326" s="1">
        <f ca="1">IFERROR(__xludf.DUMMYFUNCTION("""COMPUTED_VALUE"""),2)</f>
        <v>2</v>
      </c>
      <c r="J326" s="1">
        <f ca="1">IFERROR(__xludf.DUMMYFUNCTION("""COMPUTED_VALUE"""),15)</f>
        <v>15</v>
      </c>
      <c r="K326" s="1">
        <f ca="1">IFERROR(__xludf.DUMMYFUNCTION("""COMPUTED_VALUE"""),1)</f>
        <v>1</v>
      </c>
      <c r="L326" s="1">
        <f ca="1">IFERROR(__xludf.DUMMYFUNCTION("""COMPUTED_VALUE"""),11)</f>
        <v>11</v>
      </c>
      <c r="M326" s="1">
        <f ca="1">IFERROR(__xludf.DUMMYFUNCTION("""COMPUTED_VALUE"""),5)</f>
        <v>5</v>
      </c>
      <c r="N326" s="1">
        <f ca="1">IFERROR(__xludf.DUMMYFUNCTION("""COMPUTED_VALUE"""),2515)</f>
        <v>2515</v>
      </c>
      <c r="O326" s="1">
        <f ca="1">IFERROR(__xludf.DUMMYFUNCTION("""COMPUTED_VALUE"""),2115)</f>
        <v>2115</v>
      </c>
      <c r="P326" s="1">
        <f ca="1">IFERROR(__xludf.DUMMYFUNCTION("""COMPUTED_VALUE"""),1325)</f>
        <v>1325</v>
      </c>
      <c r="Q326" s="1">
        <f ca="1">IFERROR(__xludf.DUMMYFUNCTION("""COMPUTED_VALUE"""),933)</f>
        <v>933</v>
      </c>
      <c r="R326" s="1">
        <f ca="1">IFERROR(__xludf.DUMMYFUNCTION("""COMPUTED_VALUE"""),1992)</f>
        <v>1992</v>
      </c>
      <c r="S326" s="1">
        <f ca="1">IFERROR(__xludf.DUMMYFUNCTION("""COMPUTED_VALUE"""),0.468)</f>
        <v>0.46800000000000003</v>
      </c>
      <c r="T326" s="1">
        <f ca="1">IFERROR(__xludf.DUMMYFUNCTION("""COMPUTED_VALUE"""),220)</f>
        <v>220</v>
      </c>
      <c r="U326" s="1">
        <f ca="1">IFERROR(__xludf.DUMMYFUNCTION("""COMPUTED_VALUE"""),598)</f>
        <v>598</v>
      </c>
      <c r="V326" s="1">
        <f ca="1">IFERROR(__xludf.DUMMYFUNCTION("""COMPUTED_VALUE"""),0.368)</f>
        <v>0.36799999999999999</v>
      </c>
      <c r="W326" s="1">
        <f ca="1">IFERROR(__xludf.DUMMYFUNCTION("""COMPUTED_VALUE"""),429)</f>
        <v>429</v>
      </c>
      <c r="X326" s="1">
        <f ca="1">IFERROR(__xludf.DUMMYFUNCTION("""COMPUTED_VALUE"""),637)</f>
        <v>637</v>
      </c>
      <c r="Y326" s="1">
        <f ca="1">IFERROR(__xludf.DUMMYFUNCTION("""COMPUTED_VALUE"""),0.673)</f>
        <v>0.67300000000000004</v>
      </c>
      <c r="Z326" s="1">
        <f ca="1">IFERROR(__xludf.DUMMYFUNCTION("""COMPUTED_VALUE"""),426)</f>
        <v>426</v>
      </c>
      <c r="AA326" s="1">
        <f ca="1">IFERROR(__xludf.DUMMYFUNCTION("""COMPUTED_VALUE"""),1312)</f>
        <v>1312</v>
      </c>
      <c r="AB326" s="1">
        <f ca="1">IFERROR(__xludf.DUMMYFUNCTION("""COMPUTED_VALUE"""),541)</f>
        <v>541</v>
      </c>
      <c r="AC326" s="1">
        <f ca="1">IFERROR(__xludf.DUMMYFUNCTION("""COMPUTED_VALUE"""),204)</f>
        <v>204</v>
      </c>
      <c r="AD326" s="1">
        <f ca="1">IFERROR(__xludf.DUMMYFUNCTION("""COMPUTED_VALUE"""),150)</f>
        <v>150</v>
      </c>
      <c r="AE326" s="1">
        <f ca="1">IFERROR(__xludf.DUMMYFUNCTION("""COMPUTED_VALUE"""),379)</f>
        <v>379</v>
      </c>
      <c r="AF326" s="1">
        <f ca="1">IFERROR(__xludf.DUMMYFUNCTION("""COMPUTED_VALUE"""),523)</f>
        <v>523</v>
      </c>
    </row>
    <row r="327" spans="1:32" ht="12.5" x14ac:dyDescent="0.25">
      <c r="A327" s="1" t="str">
        <f ca="1">IFERROR(__xludf.DUMMYFUNCTION("""COMPUTED_VALUE"""),"SyracuseNCAA")</f>
        <v>SyracuseNCAA</v>
      </c>
      <c r="B327" s="1">
        <f ca="1">IFERROR(__xludf.DUMMYFUNCTION("""COMPUTED_VALUE"""),37)</f>
        <v>37</v>
      </c>
      <c r="C327" s="1">
        <f ca="1">IFERROR(__xludf.DUMMYFUNCTION("""COMPUTED_VALUE"""),23)</f>
        <v>23</v>
      </c>
      <c r="D327" s="1">
        <f ca="1">IFERROR(__xludf.DUMMYFUNCTION("""COMPUTED_VALUE"""),14)</f>
        <v>14</v>
      </c>
      <c r="E327" s="1">
        <f ca="1">IFERROR(__xludf.DUMMYFUNCTION("""COMPUTED_VALUE"""),0.622)</f>
        <v>0.622</v>
      </c>
      <c r="F327" s="1">
        <f ca="1">IFERROR(__xludf.DUMMYFUNCTION("""COMPUTED_VALUE"""),14.62)</f>
        <v>14.62</v>
      </c>
      <c r="G327" s="1">
        <f ca="1">IFERROR(__xludf.DUMMYFUNCTION("""COMPUTED_VALUE"""),9.75)</f>
        <v>9.75</v>
      </c>
      <c r="H327" s="1">
        <f ca="1">IFERROR(__xludf.DUMMYFUNCTION("""COMPUTED_VALUE"""),9)</f>
        <v>9</v>
      </c>
      <c r="I327" s="1">
        <f ca="1">IFERROR(__xludf.DUMMYFUNCTION("""COMPUTED_VALUE"""),9)</f>
        <v>9</v>
      </c>
      <c r="J327" s="1">
        <f ca="1">IFERROR(__xludf.DUMMYFUNCTION("""COMPUTED_VALUE"""),13)</f>
        <v>13</v>
      </c>
      <c r="K327" s="1">
        <f ca="1">IFERROR(__xludf.DUMMYFUNCTION("""COMPUTED_VALUE"""),4)</f>
        <v>4</v>
      </c>
      <c r="L327" s="1">
        <f ca="1">IFERROR(__xludf.DUMMYFUNCTION("""COMPUTED_VALUE"""),3)</f>
        <v>3</v>
      </c>
      <c r="M327" s="1">
        <f ca="1">IFERROR(__xludf.DUMMYFUNCTION("""COMPUTED_VALUE"""),7)</f>
        <v>7</v>
      </c>
      <c r="N327" s="1">
        <f ca="1">IFERROR(__xludf.DUMMYFUNCTION("""COMPUTED_VALUE"""),2589)</f>
        <v>2589</v>
      </c>
      <c r="O327" s="1">
        <f ca="1">IFERROR(__xludf.DUMMYFUNCTION("""COMPUTED_VALUE"""),2409)</f>
        <v>2409</v>
      </c>
      <c r="P327" s="1">
        <f ca="1">IFERROR(__xludf.DUMMYFUNCTION("""COMPUTED_VALUE"""),1495)</f>
        <v>1495</v>
      </c>
      <c r="Q327" s="1">
        <f ca="1">IFERROR(__xludf.DUMMYFUNCTION("""COMPUTED_VALUE"""),884)</f>
        <v>884</v>
      </c>
      <c r="R327" s="1">
        <f ca="1">IFERROR(__xludf.DUMMYFUNCTION("""COMPUTED_VALUE"""),2080)</f>
        <v>2080</v>
      </c>
      <c r="S327" s="1">
        <f ca="1">IFERROR(__xludf.DUMMYFUNCTION("""COMPUTED_VALUE"""),0.425)</f>
        <v>0.42499999999999999</v>
      </c>
      <c r="T327" s="1">
        <f ca="1">IFERROR(__xludf.DUMMYFUNCTION("""COMPUTED_VALUE"""),315)</f>
        <v>315</v>
      </c>
      <c r="U327" s="1">
        <f ca="1">IFERROR(__xludf.DUMMYFUNCTION("""COMPUTED_VALUE"""),876)</f>
        <v>876</v>
      </c>
      <c r="V327" s="1">
        <f ca="1">IFERROR(__xludf.DUMMYFUNCTION("""COMPUTED_VALUE"""),0.36)</f>
        <v>0.36</v>
      </c>
      <c r="W327" s="1">
        <f ca="1">IFERROR(__xludf.DUMMYFUNCTION("""COMPUTED_VALUE"""),506)</f>
        <v>506</v>
      </c>
      <c r="X327" s="1">
        <f ca="1">IFERROR(__xludf.DUMMYFUNCTION("""COMPUTED_VALUE"""),736)</f>
        <v>736</v>
      </c>
      <c r="Y327" s="1">
        <f ca="1">IFERROR(__xludf.DUMMYFUNCTION("""COMPUTED_VALUE"""),0.688)</f>
        <v>0.68799999999999994</v>
      </c>
      <c r="Z327" s="1">
        <f ca="1">IFERROR(__xludf.DUMMYFUNCTION("""COMPUTED_VALUE"""),445)</f>
        <v>445</v>
      </c>
      <c r="AA327" s="1">
        <f ca="1">IFERROR(__xludf.DUMMYFUNCTION("""COMPUTED_VALUE"""),1319)</f>
        <v>1319</v>
      </c>
      <c r="AB327" s="1">
        <f ca="1">IFERROR(__xludf.DUMMYFUNCTION("""COMPUTED_VALUE"""),493)</f>
        <v>493</v>
      </c>
      <c r="AC327" s="1">
        <f ca="1">IFERROR(__xludf.DUMMYFUNCTION("""COMPUTED_VALUE"""),300)</f>
        <v>300</v>
      </c>
      <c r="AD327" s="1">
        <f ca="1">IFERROR(__xludf.DUMMYFUNCTION("""COMPUTED_VALUE"""),162)</f>
        <v>162</v>
      </c>
      <c r="AE327" s="1">
        <f ca="1">IFERROR(__xludf.DUMMYFUNCTION("""COMPUTED_VALUE"""),440)</f>
        <v>440</v>
      </c>
      <c r="AF327" s="1">
        <f ca="1">IFERROR(__xludf.DUMMYFUNCTION("""COMPUTED_VALUE"""),598)</f>
        <v>598</v>
      </c>
    </row>
    <row r="328" spans="1:32" ht="12.5" x14ac:dyDescent="0.25">
      <c r="A328" s="1" t="str">
        <f ca="1">IFERROR(__xludf.DUMMYFUNCTION("""COMPUTED_VALUE"""),"TempleNCAA")</f>
        <v>TempleNCAA</v>
      </c>
      <c r="B328" s="1">
        <f ca="1">IFERROR(__xludf.DUMMYFUNCTION("""COMPUTED_VALUE"""),33)</f>
        <v>33</v>
      </c>
      <c r="C328" s="1">
        <f ca="1">IFERROR(__xludf.DUMMYFUNCTION("""COMPUTED_VALUE"""),21)</f>
        <v>21</v>
      </c>
      <c r="D328" s="1">
        <f ca="1">IFERROR(__xludf.DUMMYFUNCTION("""COMPUTED_VALUE"""),12)</f>
        <v>12</v>
      </c>
      <c r="E328" s="1">
        <f ca="1">IFERROR(__xludf.DUMMYFUNCTION("""COMPUTED_VALUE"""),0.636)</f>
        <v>0.63600000000000001</v>
      </c>
      <c r="F328" s="1">
        <f ca="1">IFERROR(__xludf.DUMMYFUNCTION("""COMPUTED_VALUE"""),7.69)</f>
        <v>7.69</v>
      </c>
      <c r="G328" s="1">
        <f ca="1">IFERROR(__xludf.DUMMYFUNCTION("""COMPUTED_VALUE"""),6.57)</f>
        <v>6.57</v>
      </c>
      <c r="H328" s="1">
        <f ca="1">IFERROR(__xludf.DUMMYFUNCTION("""COMPUTED_VALUE"""),14)</f>
        <v>14</v>
      </c>
      <c r="I328" s="1">
        <f ca="1">IFERROR(__xludf.DUMMYFUNCTION("""COMPUTED_VALUE"""),4)</f>
        <v>4</v>
      </c>
      <c r="J328" s="1">
        <f ca="1">IFERROR(__xludf.DUMMYFUNCTION("""COMPUTED_VALUE"""),11)</f>
        <v>11</v>
      </c>
      <c r="K328" s="1">
        <f ca="1">IFERROR(__xludf.DUMMYFUNCTION("""COMPUTED_VALUE"""),3)</f>
        <v>3</v>
      </c>
      <c r="L328" s="1">
        <f ca="1">IFERROR(__xludf.DUMMYFUNCTION("""COMPUTED_VALUE"""),8)</f>
        <v>8</v>
      </c>
      <c r="M328" s="1">
        <f ca="1">IFERROR(__xludf.DUMMYFUNCTION("""COMPUTED_VALUE"""),4)</f>
        <v>4</v>
      </c>
      <c r="N328" s="1">
        <f ca="1">IFERROR(__xludf.DUMMYFUNCTION("""COMPUTED_VALUE"""),2267)</f>
        <v>2267</v>
      </c>
      <c r="O328" s="1">
        <f ca="1">IFERROR(__xludf.DUMMYFUNCTION("""COMPUTED_VALUE"""),2230)</f>
        <v>2230</v>
      </c>
      <c r="P328" s="1">
        <f ca="1">IFERROR(__xludf.DUMMYFUNCTION("""COMPUTED_VALUE"""),1345)</f>
        <v>1345</v>
      </c>
      <c r="Q328" s="1">
        <f ca="1">IFERROR(__xludf.DUMMYFUNCTION("""COMPUTED_VALUE"""),822)</f>
        <v>822</v>
      </c>
      <c r="R328" s="1">
        <f ca="1">IFERROR(__xludf.DUMMYFUNCTION("""COMPUTED_VALUE"""),2021)</f>
        <v>2021</v>
      </c>
      <c r="S328" s="1">
        <f ca="1">IFERROR(__xludf.DUMMYFUNCTION("""COMPUTED_VALUE"""),0.407)</f>
        <v>0.40699999999999997</v>
      </c>
      <c r="T328" s="1">
        <f ca="1">IFERROR(__xludf.DUMMYFUNCTION("""COMPUTED_VALUE"""),255)</f>
        <v>255</v>
      </c>
      <c r="U328" s="1">
        <f ca="1">IFERROR(__xludf.DUMMYFUNCTION("""COMPUTED_VALUE"""),757)</f>
        <v>757</v>
      </c>
      <c r="V328" s="1">
        <f ca="1">IFERROR(__xludf.DUMMYFUNCTION("""COMPUTED_VALUE"""),0.337)</f>
        <v>0.33700000000000002</v>
      </c>
      <c r="W328" s="1">
        <f ca="1">IFERROR(__xludf.DUMMYFUNCTION("""COMPUTED_VALUE"""),368)</f>
        <v>368</v>
      </c>
      <c r="X328" s="1">
        <f ca="1">IFERROR(__xludf.DUMMYFUNCTION("""COMPUTED_VALUE"""),538)</f>
        <v>538</v>
      </c>
      <c r="Y328" s="1">
        <f ca="1">IFERROR(__xludf.DUMMYFUNCTION("""COMPUTED_VALUE"""),0.684)</f>
        <v>0.68400000000000005</v>
      </c>
      <c r="Z328" s="1">
        <f ca="1">IFERROR(__xludf.DUMMYFUNCTION("""COMPUTED_VALUE"""),371)</f>
        <v>371</v>
      </c>
      <c r="AA328" s="1">
        <f ca="1">IFERROR(__xludf.DUMMYFUNCTION("""COMPUTED_VALUE"""),1225)</f>
        <v>1225</v>
      </c>
      <c r="AB328" s="1">
        <f ca="1">IFERROR(__xludf.DUMMYFUNCTION("""COMPUTED_VALUE"""),445)</f>
        <v>445</v>
      </c>
      <c r="AC328" s="1">
        <f ca="1">IFERROR(__xludf.DUMMYFUNCTION("""COMPUTED_VALUE"""),173)</f>
        <v>173</v>
      </c>
      <c r="AD328" s="1">
        <f ca="1">IFERROR(__xludf.DUMMYFUNCTION("""COMPUTED_VALUE"""),103)</f>
        <v>103</v>
      </c>
      <c r="AE328" s="1">
        <f ca="1">IFERROR(__xludf.DUMMYFUNCTION("""COMPUTED_VALUE"""),305)</f>
        <v>305</v>
      </c>
      <c r="AF328" s="1">
        <f ca="1">IFERROR(__xludf.DUMMYFUNCTION("""COMPUTED_VALUE"""),535)</f>
        <v>535</v>
      </c>
    </row>
    <row r="329" spans="1:32" ht="12.5" x14ac:dyDescent="0.25">
      <c r="A329" s="1" t="str">
        <f ca="1">IFERROR(__xludf.DUMMYFUNCTION("""COMPUTED_VALUE"""),"Tennessee-Martin")</f>
        <v>Tennessee-Martin</v>
      </c>
      <c r="B329" s="1">
        <f ca="1">IFERROR(__xludf.DUMMYFUNCTION("""COMPUTED_VALUE"""),35)</f>
        <v>35</v>
      </c>
      <c r="C329" s="1">
        <f ca="1">IFERROR(__xludf.DUMMYFUNCTION("""COMPUTED_VALUE"""),20)</f>
        <v>20</v>
      </c>
      <c r="D329" s="1">
        <f ca="1">IFERROR(__xludf.DUMMYFUNCTION("""COMPUTED_VALUE"""),15)</f>
        <v>15</v>
      </c>
      <c r="E329" s="1">
        <f ca="1">IFERROR(__xludf.DUMMYFUNCTION("""COMPUTED_VALUE"""),0.571)</f>
        <v>0.57099999999999995</v>
      </c>
      <c r="F329" s="1">
        <f ca="1">IFERROR(__xludf.DUMMYFUNCTION("""COMPUTED_VALUE"""),-5.57)</f>
        <v>-5.57</v>
      </c>
      <c r="G329" s="1">
        <f ca="1">IFERROR(__xludf.DUMMYFUNCTION("""COMPUTED_VALUE"""),-4.72)</f>
        <v>-4.72</v>
      </c>
      <c r="H329" s="1">
        <f ca="1">IFERROR(__xludf.DUMMYFUNCTION("""COMPUTED_VALUE"""),10)</f>
        <v>10</v>
      </c>
      <c r="I329" s="1">
        <f ca="1">IFERROR(__xludf.DUMMYFUNCTION("""COMPUTED_VALUE"""),6)</f>
        <v>6</v>
      </c>
      <c r="J329" s="1">
        <f ca="1">IFERROR(__xludf.DUMMYFUNCTION("""COMPUTED_VALUE"""),11)</f>
        <v>11</v>
      </c>
      <c r="K329" s="1">
        <f ca="1">IFERROR(__xludf.DUMMYFUNCTION("""COMPUTED_VALUE"""),2)</f>
        <v>2</v>
      </c>
      <c r="L329" s="1">
        <f ca="1">IFERROR(__xludf.DUMMYFUNCTION("""COMPUTED_VALUE"""),8)</f>
        <v>8</v>
      </c>
      <c r="M329" s="1">
        <f ca="1">IFERROR(__xludf.DUMMYFUNCTION("""COMPUTED_VALUE"""),10)</f>
        <v>10</v>
      </c>
      <c r="N329" s="1">
        <f ca="1">IFERROR(__xludf.DUMMYFUNCTION("""COMPUTED_VALUE"""),2554)</f>
        <v>2554</v>
      </c>
      <c r="O329" s="1">
        <f ca="1">IFERROR(__xludf.DUMMYFUNCTION("""COMPUTED_VALUE"""),2494)</f>
        <v>2494</v>
      </c>
      <c r="P329" s="1">
        <f ca="1">IFERROR(__xludf.DUMMYFUNCTION("""COMPUTED_VALUE"""),1420)</f>
        <v>1420</v>
      </c>
      <c r="Q329" s="1">
        <f ca="1">IFERROR(__xludf.DUMMYFUNCTION("""COMPUTED_VALUE"""),888)</f>
        <v>888</v>
      </c>
      <c r="R329" s="1">
        <f ca="1">IFERROR(__xludf.DUMMYFUNCTION("""COMPUTED_VALUE"""),2000)</f>
        <v>2000</v>
      </c>
      <c r="S329" s="1">
        <f ca="1">IFERROR(__xludf.DUMMYFUNCTION("""COMPUTED_VALUE"""),0.444)</f>
        <v>0.44400000000000001</v>
      </c>
      <c r="T329" s="1">
        <f ca="1">IFERROR(__xludf.DUMMYFUNCTION("""COMPUTED_VALUE"""),274)</f>
        <v>274</v>
      </c>
      <c r="U329" s="1">
        <f ca="1">IFERROR(__xludf.DUMMYFUNCTION("""COMPUTED_VALUE"""),789)</f>
        <v>789</v>
      </c>
      <c r="V329" s="1">
        <f ca="1">IFERROR(__xludf.DUMMYFUNCTION("""COMPUTED_VALUE"""),0.347)</f>
        <v>0.34699999999999998</v>
      </c>
      <c r="W329" s="1">
        <f ca="1">IFERROR(__xludf.DUMMYFUNCTION("""COMPUTED_VALUE"""),504)</f>
        <v>504</v>
      </c>
      <c r="X329" s="1">
        <f ca="1">IFERROR(__xludf.DUMMYFUNCTION("""COMPUTED_VALUE"""),711)</f>
        <v>711</v>
      </c>
      <c r="Y329" s="1">
        <f ca="1">IFERROR(__xludf.DUMMYFUNCTION("""COMPUTED_VALUE"""),0.709)</f>
        <v>0.70899999999999996</v>
      </c>
      <c r="Z329" s="1">
        <f ca="1">IFERROR(__xludf.DUMMYFUNCTION("""COMPUTED_VALUE"""),371)</f>
        <v>371</v>
      </c>
      <c r="AA329" s="1">
        <f ca="1">IFERROR(__xludf.DUMMYFUNCTION("""COMPUTED_VALUE"""),1279)</f>
        <v>1279</v>
      </c>
      <c r="AB329" s="1">
        <f ca="1">IFERROR(__xludf.DUMMYFUNCTION("""COMPUTED_VALUE"""),425)</f>
        <v>425</v>
      </c>
      <c r="AC329" s="1">
        <f ca="1">IFERROR(__xludf.DUMMYFUNCTION("""COMPUTED_VALUE"""),203)</f>
        <v>203</v>
      </c>
      <c r="AD329" s="1">
        <f ca="1">IFERROR(__xludf.DUMMYFUNCTION("""COMPUTED_VALUE"""),70)</f>
        <v>70</v>
      </c>
      <c r="AE329" s="1">
        <f ca="1">IFERROR(__xludf.DUMMYFUNCTION("""COMPUTED_VALUE"""),426)</f>
        <v>426</v>
      </c>
      <c r="AF329" s="1">
        <f ca="1">IFERROR(__xludf.DUMMYFUNCTION("""COMPUTED_VALUE"""),609)</f>
        <v>609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IFERROR(__xludf.DUMMYFUNCTION("""COMPUTED_VALUE"""),"Tennessee State")</f>
        <v>Tennessee State</v>
      </c>
      <c r="B332" s="1">
        <f ca="1">IFERROR(__xludf.DUMMYFUNCTION("""COMPUTED_VALUE"""),31)</f>
        <v>31</v>
      </c>
      <c r="C332" s="1">
        <f ca="1">IFERROR(__xludf.DUMMYFUNCTION("""COMPUTED_VALUE"""),20)</f>
        <v>20</v>
      </c>
      <c r="D332" s="1">
        <f ca="1">IFERROR(__xludf.DUMMYFUNCTION("""COMPUTED_VALUE"""),11)</f>
        <v>11</v>
      </c>
      <c r="E332" s="1">
        <f ca="1">IFERROR(__xludf.DUMMYFUNCTION("""COMPUTED_VALUE"""),0.645)</f>
        <v>0.64500000000000002</v>
      </c>
      <c r="F332" s="1">
        <f ca="1">IFERROR(__xludf.DUMMYFUNCTION("""COMPUTED_VALUE"""),-1.81)</f>
        <v>-1.81</v>
      </c>
      <c r="G332" s="1">
        <f ca="1">IFERROR(__xludf.DUMMYFUNCTION("""COMPUTED_VALUE"""),-5.3)</f>
        <v>-5.3</v>
      </c>
      <c r="H332" s="1">
        <f ca="1">IFERROR(__xludf.DUMMYFUNCTION("""COMPUTED_VALUE"""),11)</f>
        <v>11</v>
      </c>
      <c r="I332" s="1">
        <f ca="1">IFERROR(__xludf.DUMMYFUNCTION("""COMPUTED_VALUE"""),5)</f>
        <v>5</v>
      </c>
      <c r="J332" s="1">
        <f ca="1">IFERROR(__xludf.DUMMYFUNCTION("""COMPUTED_VALUE"""),11)</f>
        <v>11</v>
      </c>
      <c r="K332" s="1">
        <f ca="1">IFERROR(__xludf.DUMMYFUNCTION("""COMPUTED_VALUE"""),3)</f>
        <v>3</v>
      </c>
      <c r="L332" s="1">
        <f ca="1">IFERROR(__xludf.DUMMYFUNCTION("""COMPUTED_VALUE"""),7)</f>
        <v>7</v>
      </c>
      <c r="M332" s="1">
        <f ca="1">IFERROR(__xludf.DUMMYFUNCTION("""COMPUTED_VALUE"""),7)</f>
        <v>7</v>
      </c>
      <c r="N332" s="1">
        <f ca="1">IFERROR(__xludf.DUMMYFUNCTION("""COMPUTED_VALUE"""),2273)</f>
        <v>2273</v>
      </c>
      <c r="O332" s="1">
        <f ca="1">IFERROR(__xludf.DUMMYFUNCTION("""COMPUTED_VALUE"""),2134)</f>
        <v>2134</v>
      </c>
      <c r="P332" s="1">
        <f ca="1">IFERROR(__xludf.DUMMYFUNCTION("""COMPUTED_VALUE"""),1260)</f>
        <v>1260</v>
      </c>
      <c r="Q332" s="1">
        <f ca="1">IFERROR(__xludf.DUMMYFUNCTION("""COMPUTED_VALUE"""),795)</f>
        <v>795</v>
      </c>
      <c r="R332" s="1">
        <f ca="1">IFERROR(__xludf.DUMMYFUNCTION("""COMPUTED_VALUE"""),1760)</f>
        <v>1760</v>
      </c>
      <c r="S332" s="1">
        <f ca="1">IFERROR(__xludf.DUMMYFUNCTION("""COMPUTED_VALUE"""),0.452)</f>
        <v>0.45200000000000001</v>
      </c>
      <c r="T332" s="1">
        <f ca="1">IFERROR(__xludf.DUMMYFUNCTION("""COMPUTED_VALUE"""),173)</f>
        <v>173</v>
      </c>
      <c r="U332" s="1">
        <f ca="1">IFERROR(__xludf.DUMMYFUNCTION("""COMPUTED_VALUE"""),517)</f>
        <v>517</v>
      </c>
      <c r="V332" s="1">
        <f ca="1">IFERROR(__xludf.DUMMYFUNCTION("""COMPUTED_VALUE"""),0.335)</f>
        <v>0.33500000000000002</v>
      </c>
      <c r="W332" s="1">
        <f ca="1">IFERROR(__xludf.DUMMYFUNCTION("""COMPUTED_VALUE"""),510)</f>
        <v>510</v>
      </c>
      <c r="X332" s="1">
        <f ca="1">IFERROR(__xludf.DUMMYFUNCTION("""COMPUTED_VALUE"""),734)</f>
        <v>734</v>
      </c>
      <c r="Y332" s="1">
        <f ca="1">IFERROR(__xludf.DUMMYFUNCTION("""COMPUTED_VALUE"""),0.695)</f>
        <v>0.69499999999999995</v>
      </c>
      <c r="Z332" s="1">
        <f ca="1">IFERROR(__xludf.DUMMYFUNCTION("""COMPUTED_VALUE"""),352)</f>
        <v>352</v>
      </c>
      <c r="AA332" s="1">
        <f ca="1">IFERROR(__xludf.DUMMYFUNCTION("""COMPUTED_VALUE"""),1149)</f>
        <v>1149</v>
      </c>
      <c r="AB332" s="1">
        <f ca="1">IFERROR(__xludf.DUMMYFUNCTION("""COMPUTED_VALUE"""),328)</f>
        <v>328</v>
      </c>
      <c r="AC332" s="1">
        <f ca="1">IFERROR(__xludf.DUMMYFUNCTION("""COMPUTED_VALUE"""),250)</f>
        <v>250</v>
      </c>
      <c r="AD332" s="1">
        <f ca="1">IFERROR(__xludf.DUMMYFUNCTION("""COMPUTED_VALUE"""),113)</f>
        <v>113</v>
      </c>
      <c r="AE332" s="1">
        <f ca="1">IFERROR(__xludf.DUMMYFUNCTION("""COMPUTED_VALUE"""),426)</f>
        <v>426</v>
      </c>
      <c r="AF332" s="1">
        <f ca="1">IFERROR(__xludf.DUMMYFUNCTION("""COMPUTED_VALUE"""),639)</f>
        <v>639</v>
      </c>
    </row>
    <row r="333" spans="1:32" ht="12.5" x14ac:dyDescent="0.25">
      <c r="A333" s="1" t="str">
        <f ca="1">IFERROR(__xludf.DUMMYFUNCTION("""COMPUTED_VALUE"""),"Tennessee Tech")</f>
        <v>Tennessee Tech</v>
      </c>
      <c r="B333" s="1">
        <f ca="1">IFERROR(__xludf.DUMMYFUNCTION("""COMPUTED_VALUE"""),31)</f>
        <v>31</v>
      </c>
      <c r="C333" s="1">
        <f ca="1">IFERROR(__xludf.DUMMYFUNCTION("""COMPUTED_VALUE"""),19)</f>
        <v>19</v>
      </c>
      <c r="D333" s="1">
        <f ca="1">IFERROR(__xludf.DUMMYFUNCTION("""COMPUTED_VALUE"""),12)</f>
        <v>12</v>
      </c>
      <c r="E333" s="1">
        <f ca="1">IFERROR(__xludf.DUMMYFUNCTION("""COMPUTED_VALUE"""),0.613)</f>
        <v>0.61299999999999999</v>
      </c>
      <c r="F333" s="1">
        <f ca="1">IFERROR(__xludf.DUMMYFUNCTION("""COMPUTED_VALUE"""),-3.21)</f>
        <v>-3.21</v>
      </c>
      <c r="G333" s="1">
        <f ca="1">IFERROR(__xludf.DUMMYFUNCTION("""COMPUTED_VALUE"""),-3.66)</f>
        <v>-3.66</v>
      </c>
      <c r="H333" s="1">
        <f ca="1">IFERROR(__xludf.DUMMYFUNCTION("""COMPUTED_VALUE"""),11)</f>
        <v>11</v>
      </c>
      <c r="I333" s="1">
        <f ca="1">IFERROR(__xludf.DUMMYFUNCTION("""COMPUTED_VALUE"""),5)</f>
        <v>5</v>
      </c>
      <c r="J333" s="1">
        <f ca="1">IFERROR(__xludf.DUMMYFUNCTION("""COMPUTED_VALUE"""),14)</f>
        <v>14</v>
      </c>
      <c r="K333" s="1">
        <f ca="1">IFERROR(__xludf.DUMMYFUNCTION("""COMPUTED_VALUE"""),1)</f>
        <v>1</v>
      </c>
      <c r="L333" s="1">
        <f ca="1">IFERROR(__xludf.DUMMYFUNCTION("""COMPUTED_VALUE"""),5)</f>
        <v>5</v>
      </c>
      <c r="M333" s="1">
        <f ca="1">IFERROR(__xludf.DUMMYFUNCTION("""COMPUTED_VALUE"""),9)</f>
        <v>9</v>
      </c>
      <c r="N333" s="1">
        <f ca="1">IFERROR(__xludf.DUMMYFUNCTION("""COMPUTED_VALUE"""),2416)</f>
        <v>2416</v>
      </c>
      <c r="O333" s="1">
        <f ca="1">IFERROR(__xludf.DUMMYFUNCTION("""COMPUTED_VALUE"""),2340)</f>
        <v>2340</v>
      </c>
      <c r="P333" s="1">
        <f ca="1">IFERROR(__xludf.DUMMYFUNCTION("""COMPUTED_VALUE"""),1245)</f>
        <v>1245</v>
      </c>
      <c r="Q333" s="1">
        <f ca="1">IFERROR(__xludf.DUMMYFUNCTION("""COMPUTED_VALUE"""),792)</f>
        <v>792</v>
      </c>
      <c r="R333" s="1">
        <f ca="1">IFERROR(__xludf.DUMMYFUNCTION("""COMPUTED_VALUE"""),1730)</f>
        <v>1730</v>
      </c>
      <c r="S333" s="1">
        <f ca="1">IFERROR(__xludf.DUMMYFUNCTION("""COMPUTED_VALUE"""),0.458)</f>
        <v>0.45800000000000002</v>
      </c>
      <c r="T333" s="1">
        <f ca="1">IFERROR(__xludf.DUMMYFUNCTION("""COMPUTED_VALUE"""),266)</f>
        <v>266</v>
      </c>
      <c r="U333" s="1">
        <f ca="1">IFERROR(__xludf.DUMMYFUNCTION("""COMPUTED_VALUE"""),731)</f>
        <v>731</v>
      </c>
      <c r="V333" s="1">
        <f ca="1">IFERROR(__xludf.DUMMYFUNCTION("""COMPUTED_VALUE"""),0.364)</f>
        <v>0.36399999999999999</v>
      </c>
      <c r="W333" s="1">
        <f ca="1">IFERROR(__xludf.DUMMYFUNCTION("""COMPUTED_VALUE"""),566)</f>
        <v>566</v>
      </c>
      <c r="X333" s="1">
        <f ca="1">IFERROR(__xludf.DUMMYFUNCTION("""COMPUTED_VALUE"""),762)</f>
        <v>762</v>
      </c>
      <c r="Y333" s="1">
        <f ca="1">IFERROR(__xludf.DUMMYFUNCTION("""COMPUTED_VALUE"""),0.743)</f>
        <v>0.74299999999999999</v>
      </c>
      <c r="Z333" s="1">
        <f ca="1">IFERROR(__xludf.DUMMYFUNCTION("""COMPUTED_VALUE"""),291)</f>
        <v>291</v>
      </c>
      <c r="AA333" s="1">
        <f ca="1">IFERROR(__xludf.DUMMYFUNCTION("""COMPUTED_VALUE"""),1102)</f>
        <v>1102</v>
      </c>
      <c r="AB333" s="1">
        <f ca="1">IFERROR(__xludf.DUMMYFUNCTION("""COMPUTED_VALUE"""),442)</f>
        <v>442</v>
      </c>
      <c r="AC333" s="1">
        <f ca="1">IFERROR(__xludf.DUMMYFUNCTION("""COMPUTED_VALUE"""),159)</f>
        <v>159</v>
      </c>
      <c r="AD333" s="1">
        <f ca="1">IFERROR(__xludf.DUMMYFUNCTION("""COMPUTED_VALUE"""),119)</f>
        <v>119</v>
      </c>
      <c r="AE333" s="1">
        <f ca="1">IFERROR(__xludf.DUMMYFUNCTION("""COMPUTED_VALUE"""),383)</f>
        <v>383</v>
      </c>
      <c r="AF333" s="1">
        <f ca="1">IFERROR(__xludf.DUMMYFUNCTION("""COMPUTED_VALUE"""),600)</f>
        <v>600</v>
      </c>
    </row>
    <row r="334" spans="1:32" ht="12.5" x14ac:dyDescent="0.25">
      <c r="A334" s="1" t="str">
        <f ca="1">IFERROR(__xludf.DUMMYFUNCTION("""COMPUTED_VALUE"""),"Tennessee")</f>
        <v>Tennessee</v>
      </c>
      <c r="B334" s="1">
        <f ca="1">IFERROR(__xludf.DUMMYFUNCTION("""COMPUTED_VALUE"""),34)</f>
        <v>34</v>
      </c>
      <c r="C334" s="1">
        <f ca="1">IFERROR(__xludf.DUMMYFUNCTION("""COMPUTED_VALUE"""),15)</f>
        <v>15</v>
      </c>
      <c r="D334" s="1">
        <f ca="1">IFERROR(__xludf.DUMMYFUNCTION("""COMPUTED_VALUE"""),19)</f>
        <v>19</v>
      </c>
      <c r="E334" s="1">
        <f ca="1">IFERROR(__xludf.DUMMYFUNCTION("""COMPUTED_VALUE"""),0.441)</f>
        <v>0.441</v>
      </c>
      <c r="F334" s="1">
        <f ca="1">IFERROR(__xludf.DUMMYFUNCTION("""COMPUTED_VALUE"""),7.8)</f>
        <v>7.8</v>
      </c>
      <c r="G334" s="1">
        <f ca="1">IFERROR(__xludf.DUMMYFUNCTION("""COMPUTED_VALUE"""),7.86)</f>
        <v>7.86</v>
      </c>
      <c r="H334" s="1">
        <f ca="1">IFERROR(__xludf.DUMMYFUNCTION("""COMPUTED_VALUE"""),6)</f>
        <v>6</v>
      </c>
      <c r="I334" s="1">
        <f ca="1">IFERROR(__xludf.DUMMYFUNCTION("""COMPUTED_VALUE"""),12)</f>
        <v>12</v>
      </c>
      <c r="J334" s="1">
        <f ca="1">IFERROR(__xludf.DUMMYFUNCTION("""COMPUTED_VALUE"""),12)</f>
        <v>12</v>
      </c>
      <c r="K334" s="1">
        <f ca="1">IFERROR(__xludf.DUMMYFUNCTION("""COMPUTED_VALUE"""),4)</f>
        <v>4</v>
      </c>
      <c r="L334" s="1">
        <f ca="1">IFERROR(__xludf.DUMMYFUNCTION("""COMPUTED_VALUE"""),1)</f>
        <v>1</v>
      </c>
      <c r="M334" s="1">
        <f ca="1">IFERROR(__xludf.DUMMYFUNCTION("""COMPUTED_VALUE"""),11)</f>
        <v>11</v>
      </c>
      <c r="N334" s="1">
        <f ca="1">IFERROR(__xludf.DUMMYFUNCTION("""COMPUTED_VALUE"""),2554)</f>
        <v>2554</v>
      </c>
      <c r="O334" s="1">
        <f ca="1">IFERROR(__xludf.DUMMYFUNCTION("""COMPUTED_VALUE"""),2556)</f>
        <v>2556</v>
      </c>
      <c r="P334" s="1">
        <f ca="1">IFERROR(__xludf.DUMMYFUNCTION("""COMPUTED_VALUE"""),1360)</f>
        <v>1360</v>
      </c>
      <c r="Q334" s="1">
        <f ca="1">IFERROR(__xludf.DUMMYFUNCTION("""COMPUTED_VALUE"""),890)</f>
        <v>890</v>
      </c>
      <c r="R334" s="1">
        <f ca="1">IFERROR(__xludf.DUMMYFUNCTION("""COMPUTED_VALUE"""),2116)</f>
        <v>2116</v>
      </c>
      <c r="S334" s="1">
        <f ca="1">IFERROR(__xludf.DUMMYFUNCTION("""COMPUTED_VALUE"""),0.421)</f>
        <v>0.42099999999999999</v>
      </c>
      <c r="T334" s="1">
        <f ca="1">IFERROR(__xludf.DUMMYFUNCTION("""COMPUTED_VALUE"""),251)</f>
        <v>251</v>
      </c>
      <c r="U334" s="1">
        <f ca="1">IFERROR(__xludf.DUMMYFUNCTION("""COMPUTED_VALUE"""),767)</f>
        <v>767</v>
      </c>
      <c r="V334" s="1">
        <f ca="1">IFERROR(__xludf.DUMMYFUNCTION("""COMPUTED_VALUE"""),0.327)</f>
        <v>0.32700000000000001</v>
      </c>
      <c r="W334" s="1">
        <f ca="1">IFERROR(__xludf.DUMMYFUNCTION("""COMPUTED_VALUE"""),523)</f>
        <v>523</v>
      </c>
      <c r="X334" s="1">
        <f ca="1">IFERROR(__xludf.DUMMYFUNCTION("""COMPUTED_VALUE"""),721)</f>
        <v>721</v>
      </c>
      <c r="Y334" s="1">
        <f ca="1">IFERROR(__xludf.DUMMYFUNCTION("""COMPUTED_VALUE"""),0.725)</f>
        <v>0.72499999999999998</v>
      </c>
      <c r="Z334" s="1">
        <f ca="1">IFERROR(__xludf.DUMMYFUNCTION("""COMPUTED_VALUE"""),428)</f>
        <v>428</v>
      </c>
      <c r="AA334" s="1">
        <f ca="1">IFERROR(__xludf.DUMMYFUNCTION("""COMPUTED_VALUE"""),1292)</f>
        <v>1292</v>
      </c>
      <c r="AB334" s="1">
        <f ca="1">IFERROR(__xludf.DUMMYFUNCTION("""COMPUTED_VALUE"""),459)</f>
        <v>459</v>
      </c>
      <c r="AC334" s="1">
        <f ca="1">IFERROR(__xludf.DUMMYFUNCTION("""COMPUTED_VALUE"""),180)</f>
        <v>180</v>
      </c>
      <c r="AD334" s="1">
        <f ca="1">IFERROR(__xludf.DUMMYFUNCTION("""COMPUTED_VALUE"""),156)</f>
        <v>156</v>
      </c>
      <c r="AE334" s="1">
        <f ca="1">IFERROR(__xludf.DUMMYFUNCTION("""COMPUTED_VALUE"""),380)</f>
        <v>380</v>
      </c>
      <c r="AF334" s="1">
        <f ca="1">IFERROR(__xludf.DUMMYFUNCTION("""COMPUTED_VALUE"""),662)</f>
        <v>662</v>
      </c>
    </row>
    <row r="335" spans="1:32" ht="12.5" x14ac:dyDescent="0.25">
      <c r="A335" s="1" t="str">
        <f ca="1">IFERROR(__xludf.DUMMYFUNCTION("""COMPUTED_VALUE"""),"Texas A&amp;M-Corpus Christi")</f>
        <v>Texas A&amp;M-Corpus Christi</v>
      </c>
      <c r="B335" s="1">
        <f ca="1">IFERROR(__xludf.DUMMYFUNCTION("""COMPUTED_VALUE"""),33)</f>
        <v>33</v>
      </c>
      <c r="C335" s="1">
        <f ca="1">IFERROR(__xludf.DUMMYFUNCTION("""COMPUTED_VALUE"""),25)</f>
        <v>25</v>
      </c>
      <c r="D335" s="1">
        <f ca="1">IFERROR(__xludf.DUMMYFUNCTION("""COMPUTED_VALUE"""),8)</f>
        <v>8</v>
      </c>
      <c r="E335" s="1">
        <f ca="1">IFERROR(__xludf.DUMMYFUNCTION("""COMPUTED_VALUE"""),0.758)</f>
        <v>0.75800000000000001</v>
      </c>
      <c r="F335" s="1">
        <f ca="1">IFERROR(__xludf.DUMMYFUNCTION("""COMPUTED_VALUE"""),-3.18)</f>
        <v>-3.18</v>
      </c>
      <c r="G335" s="1">
        <f ca="1">IFERROR(__xludf.DUMMYFUNCTION("""COMPUTED_VALUE"""),-5.44)</f>
        <v>-5.44</v>
      </c>
      <c r="H335" s="1">
        <f ca="1">IFERROR(__xludf.DUMMYFUNCTION("""COMPUTED_VALUE"""),15)</f>
        <v>15</v>
      </c>
      <c r="I335" s="1">
        <f ca="1">IFERROR(__xludf.DUMMYFUNCTION("""COMPUTED_VALUE"""),3)</f>
        <v>3</v>
      </c>
      <c r="J335" s="1">
        <f ca="1">IFERROR(__xludf.DUMMYFUNCTION("""COMPUTED_VALUE"""),13)</f>
        <v>13</v>
      </c>
      <c r="K335" s="1">
        <f ca="1">IFERROR(__xludf.DUMMYFUNCTION("""COMPUTED_VALUE"""),1)</f>
        <v>1</v>
      </c>
      <c r="L335" s="1">
        <f ca="1">IFERROR(__xludf.DUMMYFUNCTION("""COMPUTED_VALUE"""),10)</f>
        <v>10</v>
      </c>
      <c r="M335" s="1">
        <f ca="1">IFERROR(__xludf.DUMMYFUNCTION("""COMPUTED_VALUE"""),6)</f>
        <v>6</v>
      </c>
      <c r="N335" s="1">
        <f ca="1">IFERROR(__xludf.DUMMYFUNCTION("""COMPUTED_VALUE"""),2428)</f>
        <v>2428</v>
      </c>
      <c r="O335" s="1">
        <f ca="1">IFERROR(__xludf.DUMMYFUNCTION("""COMPUTED_VALUE"""),2308)</f>
        <v>2308</v>
      </c>
      <c r="P335" s="1">
        <f ca="1">IFERROR(__xludf.DUMMYFUNCTION("""COMPUTED_VALUE"""),1320)</f>
        <v>1320</v>
      </c>
      <c r="Q335" s="1">
        <f ca="1">IFERROR(__xludf.DUMMYFUNCTION("""COMPUTED_VALUE"""),838)</f>
        <v>838</v>
      </c>
      <c r="R335" s="1">
        <f ca="1">IFERROR(__xludf.DUMMYFUNCTION("""COMPUTED_VALUE"""),1918)</f>
        <v>1918</v>
      </c>
      <c r="S335" s="1">
        <f ca="1">IFERROR(__xludf.DUMMYFUNCTION("""COMPUTED_VALUE"""),0.437)</f>
        <v>0.437</v>
      </c>
      <c r="T335" s="1">
        <f ca="1">IFERROR(__xludf.DUMMYFUNCTION("""COMPUTED_VALUE"""),215)</f>
        <v>215</v>
      </c>
      <c r="U335" s="1">
        <f ca="1">IFERROR(__xludf.DUMMYFUNCTION("""COMPUTED_VALUE"""),631)</f>
        <v>631</v>
      </c>
      <c r="V335" s="1">
        <f ca="1">IFERROR(__xludf.DUMMYFUNCTION("""COMPUTED_VALUE"""),0.341)</f>
        <v>0.34100000000000003</v>
      </c>
      <c r="W335" s="1">
        <f ca="1">IFERROR(__xludf.DUMMYFUNCTION("""COMPUTED_VALUE"""),537)</f>
        <v>537</v>
      </c>
      <c r="X335" s="1">
        <f ca="1">IFERROR(__xludf.DUMMYFUNCTION("""COMPUTED_VALUE"""),728)</f>
        <v>728</v>
      </c>
      <c r="Y335" s="1">
        <f ca="1">IFERROR(__xludf.DUMMYFUNCTION("""COMPUTED_VALUE"""),0.738)</f>
        <v>0.73799999999999999</v>
      </c>
      <c r="Z335" s="1">
        <f ca="1">IFERROR(__xludf.DUMMYFUNCTION("""COMPUTED_VALUE"""),373)</f>
        <v>373</v>
      </c>
      <c r="AA335" s="1">
        <f ca="1">IFERROR(__xludf.DUMMYFUNCTION("""COMPUTED_VALUE"""),1159)</f>
        <v>1159</v>
      </c>
      <c r="AB335" s="1">
        <f ca="1">IFERROR(__xludf.DUMMYFUNCTION("""COMPUTED_VALUE"""),421)</f>
        <v>421</v>
      </c>
      <c r="AC335" s="1">
        <f ca="1">IFERROR(__xludf.DUMMYFUNCTION("""COMPUTED_VALUE"""),306)</f>
        <v>306</v>
      </c>
      <c r="AD335" s="1">
        <f ca="1">IFERROR(__xludf.DUMMYFUNCTION("""COMPUTED_VALUE"""),149)</f>
        <v>149</v>
      </c>
      <c r="AE335" s="1">
        <f ca="1">IFERROR(__xludf.DUMMYFUNCTION("""COMPUTED_VALUE"""),419)</f>
        <v>419</v>
      </c>
      <c r="AF335" s="1">
        <f ca="1">IFERROR(__xludf.DUMMYFUNCTION("""COMPUTED_VALUE"""),700)</f>
        <v>700</v>
      </c>
    </row>
    <row r="336" spans="1:32" ht="12.5" x14ac:dyDescent="0.25">
      <c r="A336" s="1" t="str">
        <f ca="1">IFERROR(__xludf.DUMMYFUNCTION("""COMPUTED_VALUE"""),"Texas A&amp;MNCAA")</f>
        <v>Texas A&amp;MNCAA</v>
      </c>
      <c r="B336" s="1">
        <f ca="1">IFERROR(__xludf.DUMMYFUNCTION("""COMPUTED_VALUE"""),37)</f>
        <v>37</v>
      </c>
      <c r="C336" s="1">
        <f ca="1">IFERROR(__xludf.DUMMYFUNCTION("""COMPUTED_VALUE"""),28)</f>
        <v>28</v>
      </c>
      <c r="D336" s="1">
        <f ca="1">IFERROR(__xludf.DUMMYFUNCTION("""COMPUTED_VALUE"""),9)</f>
        <v>9</v>
      </c>
      <c r="E336" s="1">
        <f ca="1">IFERROR(__xludf.DUMMYFUNCTION("""COMPUTED_VALUE"""),0.757)</f>
        <v>0.75700000000000001</v>
      </c>
      <c r="F336" s="1">
        <f ca="1">IFERROR(__xludf.DUMMYFUNCTION("""COMPUTED_VALUE"""),18.45)</f>
        <v>18.45</v>
      </c>
      <c r="G336" s="1">
        <f ca="1">IFERROR(__xludf.DUMMYFUNCTION("""COMPUTED_VALUE"""),8.45)</f>
        <v>8.4499999999999993</v>
      </c>
      <c r="H336" s="1">
        <f ca="1">IFERROR(__xludf.DUMMYFUNCTION("""COMPUTED_VALUE"""),13)</f>
        <v>13</v>
      </c>
      <c r="I336" s="1">
        <f ca="1">IFERROR(__xludf.DUMMYFUNCTION("""COMPUTED_VALUE"""),5)</f>
        <v>5</v>
      </c>
      <c r="J336" s="1">
        <f ca="1">IFERROR(__xludf.DUMMYFUNCTION("""COMPUTED_VALUE"""),17)</f>
        <v>17</v>
      </c>
      <c r="K336" s="1">
        <f ca="1">IFERROR(__xludf.DUMMYFUNCTION("""COMPUTED_VALUE"""),1)</f>
        <v>1</v>
      </c>
      <c r="L336" s="1">
        <f ca="1">IFERROR(__xludf.DUMMYFUNCTION("""COMPUTED_VALUE"""),5)</f>
        <v>5</v>
      </c>
      <c r="M336" s="1">
        <f ca="1">IFERROR(__xludf.DUMMYFUNCTION("""COMPUTED_VALUE"""),5)</f>
        <v>5</v>
      </c>
      <c r="N336" s="1">
        <f ca="1">IFERROR(__xludf.DUMMYFUNCTION("""COMPUTED_VALUE"""),2828)</f>
        <v>2828</v>
      </c>
      <c r="O336" s="1">
        <f ca="1">IFERROR(__xludf.DUMMYFUNCTION("""COMPUTED_VALUE"""),2458)</f>
        <v>2458</v>
      </c>
      <c r="P336" s="1">
        <f ca="1">IFERROR(__xludf.DUMMYFUNCTION("""COMPUTED_VALUE"""),1500)</f>
        <v>1500</v>
      </c>
      <c r="Q336" s="1">
        <f ca="1">IFERROR(__xludf.DUMMYFUNCTION("""COMPUTED_VALUE"""),991)</f>
        <v>991</v>
      </c>
      <c r="R336" s="1">
        <f ca="1">IFERROR(__xludf.DUMMYFUNCTION("""COMPUTED_VALUE"""),2208)</f>
        <v>2208</v>
      </c>
      <c r="S336" s="1">
        <f ca="1">IFERROR(__xludf.DUMMYFUNCTION("""COMPUTED_VALUE"""),0.449)</f>
        <v>0.44900000000000001</v>
      </c>
      <c r="T336" s="1">
        <f ca="1">IFERROR(__xludf.DUMMYFUNCTION("""COMPUTED_VALUE"""),281)</f>
        <v>281</v>
      </c>
      <c r="U336" s="1">
        <f ca="1">IFERROR(__xludf.DUMMYFUNCTION("""COMPUTED_VALUE"""),824)</f>
        <v>824</v>
      </c>
      <c r="V336" s="1">
        <f ca="1">IFERROR(__xludf.DUMMYFUNCTION("""COMPUTED_VALUE"""),0.341)</f>
        <v>0.34100000000000003</v>
      </c>
      <c r="W336" s="1">
        <f ca="1">IFERROR(__xludf.DUMMYFUNCTION("""COMPUTED_VALUE"""),565)</f>
        <v>565</v>
      </c>
      <c r="X336" s="1">
        <f ca="1">IFERROR(__xludf.DUMMYFUNCTION("""COMPUTED_VALUE"""),841)</f>
        <v>841</v>
      </c>
      <c r="Y336" s="1">
        <f ca="1">IFERROR(__xludf.DUMMYFUNCTION("""COMPUTED_VALUE"""),0.672)</f>
        <v>0.67200000000000004</v>
      </c>
      <c r="Z336" s="1">
        <f ca="1">IFERROR(__xludf.DUMMYFUNCTION("""COMPUTED_VALUE"""),477)</f>
        <v>477</v>
      </c>
      <c r="AA336" s="1">
        <f ca="1">IFERROR(__xludf.DUMMYFUNCTION("""COMPUTED_VALUE"""),1461)</f>
        <v>1461</v>
      </c>
      <c r="AB336" s="1">
        <f ca="1">IFERROR(__xludf.DUMMYFUNCTION("""COMPUTED_VALUE"""),612)</f>
        <v>612</v>
      </c>
      <c r="AC336" s="1">
        <f ca="1">IFERROR(__xludf.DUMMYFUNCTION("""COMPUTED_VALUE"""),260)</f>
        <v>260</v>
      </c>
      <c r="AD336" s="1">
        <f ca="1">IFERROR(__xludf.DUMMYFUNCTION("""COMPUTED_VALUE"""),133)</f>
        <v>133</v>
      </c>
      <c r="AE336" s="1">
        <f ca="1">IFERROR(__xludf.DUMMYFUNCTION("""COMPUTED_VALUE"""),434)</f>
        <v>434</v>
      </c>
      <c r="AF336" s="1">
        <f ca="1">IFERROR(__xludf.DUMMYFUNCTION("""COMPUTED_VALUE"""),668)</f>
        <v>668</v>
      </c>
    </row>
    <row r="337" spans="1:32" ht="12.5" x14ac:dyDescent="0.25">
      <c r="A337" s="1" t="str">
        <f ca="1">IFERROR(__xludf.DUMMYFUNCTION("""COMPUTED_VALUE"""),"Texas-Arlington")</f>
        <v>Texas-Arlington</v>
      </c>
      <c r="B337" s="1">
        <f ca="1">IFERROR(__xludf.DUMMYFUNCTION("""COMPUTED_VALUE"""),35)</f>
        <v>35</v>
      </c>
      <c r="C337" s="1">
        <f ca="1">IFERROR(__xludf.DUMMYFUNCTION("""COMPUTED_VALUE"""),24)</f>
        <v>24</v>
      </c>
      <c r="D337" s="1">
        <f ca="1">IFERROR(__xludf.DUMMYFUNCTION("""COMPUTED_VALUE"""),11)</f>
        <v>11</v>
      </c>
      <c r="E337" s="1">
        <f ca="1">IFERROR(__xludf.DUMMYFUNCTION("""COMPUTED_VALUE"""),0.686)</f>
        <v>0.68600000000000005</v>
      </c>
      <c r="F337" s="1">
        <f ca="1">IFERROR(__xludf.DUMMYFUNCTION("""COMPUTED_VALUE"""),5.02)</f>
        <v>5.0199999999999996</v>
      </c>
      <c r="G337" s="1">
        <f ca="1">IFERROR(__xludf.DUMMYFUNCTION("""COMPUTED_VALUE"""),-3.42)</f>
        <v>-3.42</v>
      </c>
      <c r="H337" s="1">
        <f ca="1">IFERROR(__xludf.DUMMYFUNCTION("""COMPUTED_VALUE"""),13)</f>
        <v>13</v>
      </c>
      <c r="I337" s="1">
        <f ca="1">IFERROR(__xludf.DUMMYFUNCTION("""COMPUTED_VALUE"""),7)</f>
        <v>7</v>
      </c>
      <c r="J337" s="1">
        <f ca="1">IFERROR(__xludf.DUMMYFUNCTION("""COMPUTED_VALUE"""),13)</f>
        <v>13</v>
      </c>
      <c r="K337" s="1">
        <f ca="1">IFERROR(__xludf.DUMMYFUNCTION("""COMPUTED_VALUE"""),2)</f>
        <v>2</v>
      </c>
      <c r="L337" s="1">
        <f ca="1">IFERROR(__xludf.DUMMYFUNCTION("""COMPUTED_VALUE"""),10)</f>
        <v>10</v>
      </c>
      <c r="M337" s="1">
        <f ca="1">IFERROR(__xludf.DUMMYFUNCTION("""COMPUTED_VALUE"""),8)</f>
        <v>8</v>
      </c>
      <c r="N337" s="1">
        <f ca="1">IFERROR(__xludf.DUMMYFUNCTION("""COMPUTED_VALUE"""),2762)</f>
        <v>2762</v>
      </c>
      <c r="O337" s="1">
        <f ca="1">IFERROR(__xludf.DUMMYFUNCTION("""COMPUTED_VALUE"""),2417)</f>
        <v>2417</v>
      </c>
      <c r="P337" s="1">
        <f ca="1">IFERROR(__xludf.DUMMYFUNCTION("""COMPUTED_VALUE"""),1415)</f>
        <v>1415</v>
      </c>
      <c r="Q337" s="1">
        <f ca="1">IFERROR(__xludf.DUMMYFUNCTION("""COMPUTED_VALUE"""),956)</f>
        <v>956</v>
      </c>
      <c r="R337" s="1">
        <f ca="1">IFERROR(__xludf.DUMMYFUNCTION("""COMPUTED_VALUE"""),2249)</f>
        <v>2249</v>
      </c>
      <c r="S337" s="1">
        <f ca="1">IFERROR(__xludf.DUMMYFUNCTION("""COMPUTED_VALUE"""),0.425)</f>
        <v>0.42499999999999999</v>
      </c>
      <c r="T337" s="1">
        <f ca="1">IFERROR(__xludf.DUMMYFUNCTION("""COMPUTED_VALUE"""),307)</f>
        <v>307</v>
      </c>
      <c r="U337" s="1">
        <f ca="1">IFERROR(__xludf.DUMMYFUNCTION("""COMPUTED_VALUE"""),942)</f>
        <v>942</v>
      </c>
      <c r="V337" s="1">
        <f ca="1">IFERROR(__xludf.DUMMYFUNCTION("""COMPUTED_VALUE"""),0.326)</f>
        <v>0.32600000000000001</v>
      </c>
      <c r="W337" s="1">
        <f ca="1">IFERROR(__xludf.DUMMYFUNCTION("""COMPUTED_VALUE"""),543)</f>
        <v>543</v>
      </c>
      <c r="X337" s="1">
        <f ca="1">IFERROR(__xludf.DUMMYFUNCTION("""COMPUTED_VALUE"""),780)</f>
        <v>780</v>
      </c>
      <c r="Y337" s="1">
        <f ca="1">IFERROR(__xludf.DUMMYFUNCTION("""COMPUTED_VALUE"""),0.696)</f>
        <v>0.69599999999999995</v>
      </c>
      <c r="Z337" s="1">
        <f ca="1">IFERROR(__xludf.DUMMYFUNCTION("""COMPUTED_VALUE"""),520)</f>
        <v>520</v>
      </c>
      <c r="AA337" s="1">
        <f ca="1">IFERROR(__xludf.DUMMYFUNCTION("""COMPUTED_VALUE"""),1530)</f>
        <v>1530</v>
      </c>
      <c r="AB337" s="1">
        <f ca="1">IFERROR(__xludf.DUMMYFUNCTION("""COMPUTED_VALUE"""),590)</f>
        <v>590</v>
      </c>
      <c r="AC337" s="1">
        <f ca="1">IFERROR(__xludf.DUMMYFUNCTION("""COMPUTED_VALUE"""),261)</f>
        <v>261</v>
      </c>
      <c r="AD337" s="1">
        <f ca="1">IFERROR(__xludf.DUMMYFUNCTION("""COMPUTED_VALUE"""),99)</f>
        <v>99</v>
      </c>
      <c r="AE337" s="1">
        <f ca="1">IFERROR(__xludf.DUMMYFUNCTION("""COMPUTED_VALUE"""),482)</f>
        <v>482</v>
      </c>
      <c r="AF337" s="1">
        <f ca="1">IFERROR(__xludf.DUMMYFUNCTION("""COMPUTED_VALUE"""),730)</f>
        <v>730</v>
      </c>
    </row>
    <row r="338" spans="1:32" ht="12.5" x14ac:dyDescent="0.25">
      <c r="A338" s="1" t="str">
        <f ca="1">IFERROR(__xludf.DUMMYFUNCTION("""COMPUTED_VALUE"""),"Texas Christian")</f>
        <v>Texas Christian</v>
      </c>
      <c r="B338" s="1">
        <f ca="1">IFERROR(__xludf.DUMMYFUNCTION("""COMPUTED_VALUE"""),33)</f>
        <v>33</v>
      </c>
      <c r="C338" s="1">
        <f ca="1">IFERROR(__xludf.DUMMYFUNCTION("""COMPUTED_VALUE"""),12)</f>
        <v>12</v>
      </c>
      <c r="D338" s="1">
        <f ca="1">IFERROR(__xludf.DUMMYFUNCTION("""COMPUTED_VALUE"""),21)</f>
        <v>21</v>
      </c>
      <c r="E338" s="1">
        <f ca="1">IFERROR(__xludf.DUMMYFUNCTION("""COMPUTED_VALUE"""),0.364)</f>
        <v>0.36399999999999999</v>
      </c>
      <c r="F338" s="1">
        <f ca="1">IFERROR(__xludf.DUMMYFUNCTION("""COMPUTED_VALUE"""),4.07)</f>
        <v>4.07</v>
      </c>
      <c r="G338" s="1">
        <f ca="1">IFERROR(__xludf.DUMMYFUNCTION("""COMPUTED_VALUE"""),8.62)</f>
        <v>8.6199999999999992</v>
      </c>
      <c r="H338" s="1">
        <f ca="1">IFERROR(__xludf.DUMMYFUNCTION("""COMPUTED_VALUE"""),2)</f>
        <v>2</v>
      </c>
      <c r="I338" s="1">
        <f ca="1">IFERROR(__xludf.DUMMYFUNCTION("""COMPUTED_VALUE"""),16)</f>
        <v>16</v>
      </c>
      <c r="J338" s="1">
        <f ca="1">IFERROR(__xludf.DUMMYFUNCTION("""COMPUTED_VALUE"""),9)</f>
        <v>9</v>
      </c>
      <c r="K338" s="1">
        <f ca="1">IFERROR(__xludf.DUMMYFUNCTION("""COMPUTED_VALUE"""),9)</f>
        <v>9</v>
      </c>
      <c r="L338" s="1">
        <f ca="1">IFERROR(__xludf.DUMMYFUNCTION("""COMPUTED_VALUE"""),1)</f>
        <v>1</v>
      </c>
      <c r="M338" s="1">
        <f ca="1">IFERROR(__xludf.DUMMYFUNCTION("""COMPUTED_VALUE"""),10)</f>
        <v>10</v>
      </c>
      <c r="N338" s="1">
        <f ca="1">IFERROR(__xludf.DUMMYFUNCTION("""COMPUTED_VALUE"""),2209)</f>
        <v>2209</v>
      </c>
      <c r="O338" s="1">
        <f ca="1">IFERROR(__xludf.DUMMYFUNCTION("""COMPUTED_VALUE"""),2359)</f>
        <v>2359</v>
      </c>
      <c r="P338" s="1">
        <f ca="1">IFERROR(__xludf.DUMMYFUNCTION("""COMPUTED_VALUE"""),1320)</f>
        <v>1320</v>
      </c>
      <c r="Q338" s="1">
        <f ca="1">IFERROR(__xludf.DUMMYFUNCTION("""COMPUTED_VALUE"""),734)</f>
        <v>734</v>
      </c>
      <c r="R338" s="1">
        <f ca="1">IFERROR(__xludf.DUMMYFUNCTION("""COMPUTED_VALUE"""),1810)</f>
        <v>1810</v>
      </c>
      <c r="S338" s="1">
        <f ca="1">IFERROR(__xludf.DUMMYFUNCTION("""COMPUTED_VALUE"""),0.406)</f>
        <v>0.40600000000000003</v>
      </c>
      <c r="T338" s="1">
        <f ca="1">IFERROR(__xludf.DUMMYFUNCTION("""COMPUTED_VALUE"""),187)</f>
        <v>187</v>
      </c>
      <c r="U338" s="1">
        <f ca="1">IFERROR(__xludf.DUMMYFUNCTION("""COMPUTED_VALUE"""),558)</f>
        <v>558</v>
      </c>
      <c r="V338" s="1">
        <f ca="1">IFERROR(__xludf.DUMMYFUNCTION("""COMPUTED_VALUE"""),0.335)</f>
        <v>0.33500000000000002</v>
      </c>
      <c r="W338" s="1">
        <f ca="1">IFERROR(__xludf.DUMMYFUNCTION("""COMPUTED_VALUE"""),554)</f>
        <v>554</v>
      </c>
      <c r="X338" s="1">
        <f ca="1">IFERROR(__xludf.DUMMYFUNCTION("""COMPUTED_VALUE"""),826)</f>
        <v>826</v>
      </c>
      <c r="Y338" s="1">
        <f ca="1">IFERROR(__xludf.DUMMYFUNCTION("""COMPUTED_VALUE"""),0.671)</f>
        <v>0.67100000000000004</v>
      </c>
      <c r="Z338" s="1">
        <f ca="1">IFERROR(__xludf.DUMMYFUNCTION("""COMPUTED_VALUE"""),355)</f>
        <v>355</v>
      </c>
      <c r="AA338" s="1">
        <f ca="1">IFERROR(__xludf.DUMMYFUNCTION("""COMPUTED_VALUE"""),1111)</f>
        <v>1111</v>
      </c>
      <c r="AB338" s="1">
        <f ca="1">IFERROR(__xludf.DUMMYFUNCTION("""COMPUTED_VALUE"""),382)</f>
        <v>382</v>
      </c>
      <c r="AC338" s="1">
        <f ca="1">IFERROR(__xludf.DUMMYFUNCTION("""COMPUTED_VALUE"""),213)</f>
        <v>213</v>
      </c>
      <c r="AD338" s="1">
        <f ca="1">IFERROR(__xludf.DUMMYFUNCTION("""COMPUTED_VALUE"""),126)</f>
        <v>126</v>
      </c>
      <c r="AE338" s="1">
        <f ca="1">IFERROR(__xludf.DUMMYFUNCTION("""COMPUTED_VALUE"""),478)</f>
        <v>478</v>
      </c>
      <c r="AF338" s="1">
        <f ca="1">IFERROR(__xludf.DUMMYFUNCTION("""COMPUTED_VALUE"""),675)</f>
        <v>675</v>
      </c>
    </row>
    <row r="339" spans="1:32" ht="12.5" x14ac:dyDescent="0.25">
      <c r="A339" s="1" t="str">
        <f ca="1">IFERROR(__xludf.DUMMYFUNCTION("""COMPUTED_VALUE"""),"Texas-El Paso")</f>
        <v>Texas-El Paso</v>
      </c>
      <c r="B339" s="1">
        <f ca="1">IFERROR(__xludf.DUMMYFUNCTION("""COMPUTED_VALUE"""),33)</f>
        <v>33</v>
      </c>
      <c r="C339" s="1">
        <f ca="1">IFERROR(__xludf.DUMMYFUNCTION("""COMPUTED_VALUE"""),19)</f>
        <v>19</v>
      </c>
      <c r="D339" s="1">
        <f ca="1">IFERROR(__xludf.DUMMYFUNCTION("""COMPUTED_VALUE"""),14)</f>
        <v>14</v>
      </c>
      <c r="E339" s="1">
        <f ca="1">IFERROR(__xludf.DUMMYFUNCTION("""COMPUTED_VALUE"""),0.576)</f>
        <v>0.57599999999999996</v>
      </c>
      <c r="F339" s="1">
        <f ca="1">IFERROR(__xludf.DUMMYFUNCTION("""COMPUTED_VALUE"""),-3.81)</f>
        <v>-3.81</v>
      </c>
      <c r="G339" s="1">
        <f ca="1">IFERROR(__xludf.DUMMYFUNCTION("""COMPUTED_VALUE"""),-4.93)</f>
        <v>-4.93</v>
      </c>
      <c r="H339" s="1">
        <f ca="1">IFERROR(__xludf.DUMMYFUNCTION("""COMPUTED_VALUE"""),10)</f>
        <v>10</v>
      </c>
      <c r="I339" s="1">
        <f ca="1">IFERROR(__xludf.DUMMYFUNCTION("""COMPUTED_VALUE"""),8)</f>
        <v>8</v>
      </c>
      <c r="J339" s="1">
        <f ca="1">IFERROR(__xludf.DUMMYFUNCTION("""COMPUTED_VALUE"""),14)</f>
        <v>14</v>
      </c>
      <c r="K339" s="1">
        <f ca="1">IFERROR(__xludf.DUMMYFUNCTION("""COMPUTED_VALUE"""),4)</f>
        <v>4</v>
      </c>
      <c r="L339" s="1">
        <f ca="1">IFERROR(__xludf.DUMMYFUNCTION("""COMPUTED_VALUE"""),2)</f>
        <v>2</v>
      </c>
      <c r="M339" s="1">
        <f ca="1">IFERROR(__xludf.DUMMYFUNCTION("""COMPUTED_VALUE"""),9)</f>
        <v>9</v>
      </c>
      <c r="N339" s="1">
        <f ca="1">IFERROR(__xludf.DUMMYFUNCTION("""COMPUTED_VALUE"""),2554)</f>
        <v>2554</v>
      </c>
      <c r="O339" s="1">
        <f ca="1">IFERROR(__xludf.DUMMYFUNCTION("""COMPUTED_VALUE"""),2471)</f>
        <v>2471</v>
      </c>
      <c r="P339" s="1">
        <f ca="1">IFERROR(__xludf.DUMMYFUNCTION("""COMPUTED_VALUE"""),1335)</f>
        <v>1335</v>
      </c>
      <c r="Q339" s="1">
        <f ca="1">IFERROR(__xludf.DUMMYFUNCTION("""COMPUTED_VALUE"""),896)</f>
        <v>896</v>
      </c>
      <c r="R339" s="1">
        <f ca="1">IFERROR(__xludf.DUMMYFUNCTION("""COMPUTED_VALUE"""),1926)</f>
        <v>1926</v>
      </c>
      <c r="S339" s="1">
        <f ca="1">IFERROR(__xludf.DUMMYFUNCTION("""COMPUTED_VALUE"""),0.465)</f>
        <v>0.46500000000000002</v>
      </c>
      <c r="T339" s="1">
        <f ca="1">IFERROR(__xludf.DUMMYFUNCTION("""COMPUTED_VALUE"""),223)</f>
        <v>223</v>
      </c>
      <c r="U339" s="1">
        <f ca="1">IFERROR(__xludf.DUMMYFUNCTION("""COMPUTED_VALUE"""),618)</f>
        <v>618</v>
      </c>
      <c r="V339" s="1">
        <f ca="1">IFERROR(__xludf.DUMMYFUNCTION("""COMPUTED_VALUE"""),0.361)</f>
        <v>0.36099999999999999</v>
      </c>
      <c r="W339" s="1">
        <f ca="1">IFERROR(__xludf.DUMMYFUNCTION("""COMPUTED_VALUE"""),539)</f>
        <v>539</v>
      </c>
      <c r="X339" s="1">
        <f ca="1">IFERROR(__xludf.DUMMYFUNCTION("""COMPUTED_VALUE"""),809)</f>
        <v>809</v>
      </c>
      <c r="Y339" s="1">
        <f ca="1">IFERROR(__xludf.DUMMYFUNCTION("""COMPUTED_VALUE"""),0.666)</f>
        <v>0.66600000000000004</v>
      </c>
      <c r="Z339" s="1">
        <f ca="1">IFERROR(__xludf.DUMMYFUNCTION("""COMPUTED_VALUE"""),299)</f>
        <v>299</v>
      </c>
      <c r="AA339" s="1">
        <f ca="1">IFERROR(__xludf.DUMMYFUNCTION("""COMPUTED_VALUE"""),1197)</f>
        <v>1197</v>
      </c>
      <c r="AB339" s="1">
        <f ca="1">IFERROR(__xludf.DUMMYFUNCTION("""COMPUTED_VALUE"""),512)</f>
        <v>512</v>
      </c>
      <c r="AC339" s="1">
        <f ca="1">IFERROR(__xludf.DUMMYFUNCTION("""COMPUTED_VALUE"""),197)</f>
        <v>197</v>
      </c>
      <c r="AD339" s="1">
        <f ca="1">IFERROR(__xludf.DUMMYFUNCTION("""COMPUTED_VALUE"""),116)</f>
        <v>116</v>
      </c>
      <c r="AE339" s="1">
        <f ca="1">IFERROR(__xludf.DUMMYFUNCTION("""COMPUTED_VALUE"""),417)</f>
        <v>417</v>
      </c>
      <c r="AF339" s="1">
        <f ca="1">IFERROR(__xludf.DUMMYFUNCTION("""COMPUTED_VALUE"""),672)</f>
        <v>672</v>
      </c>
    </row>
    <row r="340" spans="1:32" ht="12.5" x14ac:dyDescent="0.25">
      <c r="A340" s="1" t="str">
        <f ca="1">IFERROR(__xludf.DUMMYFUNCTION("""COMPUTED_VALUE"""),"Texas-Rio Grande Valley")</f>
        <v>Texas-Rio Grande Valley</v>
      </c>
      <c r="B340" s="1">
        <f ca="1">IFERROR(__xludf.DUMMYFUNCTION("""COMPUTED_VALUE"""),30)</f>
        <v>30</v>
      </c>
      <c r="C340" s="1">
        <f ca="1">IFERROR(__xludf.DUMMYFUNCTION("""COMPUTED_VALUE"""),8)</f>
        <v>8</v>
      </c>
      <c r="D340" s="1">
        <f ca="1">IFERROR(__xludf.DUMMYFUNCTION("""COMPUTED_VALUE"""),22)</f>
        <v>22</v>
      </c>
      <c r="E340" s="1">
        <f ca="1">IFERROR(__xludf.DUMMYFUNCTION("""COMPUTED_VALUE"""),0.267)</f>
        <v>0.26700000000000002</v>
      </c>
      <c r="F340" s="1">
        <f ca="1">IFERROR(__xludf.DUMMYFUNCTION("""COMPUTED_VALUE"""),-17.88)</f>
        <v>-17.88</v>
      </c>
      <c r="G340" s="1">
        <f ca="1">IFERROR(__xludf.DUMMYFUNCTION("""COMPUTED_VALUE"""),-4.25)</f>
        <v>-4.25</v>
      </c>
      <c r="H340" s="1">
        <f ca="1">IFERROR(__xludf.DUMMYFUNCTION("""COMPUTED_VALUE"""),4)</f>
        <v>4</v>
      </c>
      <c r="I340" s="1">
        <f ca="1">IFERROR(__xludf.DUMMYFUNCTION("""COMPUTED_VALUE"""),10)</f>
        <v>10</v>
      </c>
      <c r="J340" s="1">
        <f ca="1">IFERROR(__xludf.DUMMYFUNCTION("""COMPUTED_VALUE"""),7)</f>
        <v>7</v>
      </c>
      <c r="K340" s="1">
        <f ca="1">IFERROR(__xludf.DUMMYFUNCTION("""COMPUTED_VALUE"""),6)</f>
        <v>6</v>
      </c>
      <c r="L340" s="1">
        <f ca="1">IFERROR(__xludf.DUMMYFUNCTION("""COMPUTED_VALUE"""),1)</f>
        <v>1</v>
      </c>
      <c r="M340" s="1">
        <f ca="1">IFERROR(__xludf.DUMMYFUNCTION("""COMPUTED_VALUE"""),13)</f>
        <v>13</v>
      </c>
      <c r="N340" s="1">
        <f ca="1">IFERROR(__xludf.DUMMYFUNCTION("""COMPUTED_VALUE"""),1993)</f>
        <v>1993</v>
      </c>
      <c r="O340" s="1">
        <f ca="1">IFERROR(__xludf.DUMMYFUNCTION("""COMPUTED_VALUE"""),2330)</f>
        <v>2330</v>
      </c>
      <c r="P340" s="1">
        <f ca="1">IFERROR(__xludf.DUMMYFUNCTION("""COMPUTED_VALUE"""),1200)</f>
        <v>1200</v>
      </c>
      <c r="Q340" s="1">
        <f ca="1">IFERROR(__xludf.DUMMYFUNCTION("""COMPUTED_VALUE"""),716)</f>
        <v>716</v>
      </c>
      <c r="R340" s="1">
        <f ca="1">IFERROR(__xludf.DUMMYFUNCTION("""COMPUTED_VALUE"""),1712)</f>
        <v>1712</v>
      </c>
      <c r="S340" s="1">
        <f ca="1">IFERROR(__xludf.DUMMYFUNCTION("""COMPUTED_VALUE"""),0.418)</f>
        <v>0.41799999999999998</v>
      </c>
      <c r="T340" s="1">
        <f ca="1">IFERROR(__xludf.DUMMYFUNCTION("""COMPUTED_VALUE"""),212)</f>
        <v>212</v>
      </c>
      <c r="U340" s="1">
        <f ca="1">IFERROR(__xludf.DUMMYFUNCTION("""COMPUTED_VALUE"""),633)</f>
        <v>633</v>
      </c>
      <c r="V340" s="1">
        <f ca="1">IFERROR(__xludf.DUMMYFUNCTION("""COMPUTED_VALUE"""),0.335)</f>
        <v>0.33500000000000002</v>
      </c>
      <c r="W340" s="1">
        <f ca="1">IFERROR(__xludf.DUMMYFUNCTION("""COMPUTED_VALUE"""),349)</f>
        <v>349</v>
      </c>
      <c r="X340" s="1">
        <f ca="1">IFERROR(__xludf.DUMMYFUNCTION("""COMPUTED_VALUE"""),520)</f>
        <v>520</v>
      </c>
      <c r="Y340" s="1">
        <f ca="1">IFERROR(__xludf.DUMMYFUNCTION("""COMPUTED_VALUE"""),0.671)</f>
        <v>0.67100000000000004</v>
      </c>
      <c r="Z340" s="1">
        <f ca="1">IFERROR(__xludf.DUMMYFUNCTION("""COMPUTED_VALUE"""),257)</f>
        <v>257</v>
      </c>
      <c r="AA340" s="1">
        <f ca="1">IFERROR(__xludf.DUMMYFUNCTION("""COMPUTED_VALUE"""),1004)</f>
        <v>1004</v>
      </c>
      <c r="AB340" s="1">
        <f ca="1">IFERROR(__xludf.DUMMYFUNCTION("""COMPUTED_VALUE"""),459)</f>
        <v>459</v>
      </c>
      <c r="AC340" s="1">
        <f ca="1">IFERROR(__xludf.DUMMYFUNCTION("""COMPUTED_VALUE"""),143)</f>
        <v>143</v>
      </c>
      <c r="AD340" s="1">
        <f ca="1">IFERROR(__xludf.DUMMYFUNCTION("""COMPUTED_VALUE"""),91)</f>
        <v>91</v>
      </c>
      <c r="AE340" s="1">
        <f ca="1">IFERROR(__xludf.DUMMYFUNCTION("""COMPUTED_VALUE"""),374)</f>
        <v>374</v>
      </c>
      <c r="AF340" s="1">
        <f ca="1">IFERROR(__xludf.DUMMYFUNCTION("""COMPUTED_VALUE"""),536)</f>
        <v>536</v>
      </c>
    </row>
    <row r="341" spans="1:32" ht="12.5" x14ac:dyDescent="0.25">
      <c r="A341" s="1" t="str">
        <f ca="1">IFERROR(__xludf.DUMMYFUNCTION("""COMPUTED_VALUE"""),"Texas-San Antonio")</f>
        <v>Texas-San Antonio</v>
      </c>
      <c r="B341" s="1">
        <f ca="1">IFERROR(__xludf.DUMMYFUNCTION("""COMPUTED_VALUE"""),32)</f>
        <v>32</v>
      </c>
      <c r="C341" s="1">
        <f ca="1">IFERROR(__xludf.DUMMYFUNCTION("""COMPUTED_VALUE"""),5)</f>
        <v>5</v>
      </c>
      <c r="D341" s="1">
        <f ca="1">IFERROR(__xludf.DUMMYFUNCTION("""COMPUTED_VALUE"""),27)</f>
        <v>27</v>
      </c>
      <c r="E341" s="1">
        <f ca="1">IFERROR(__xludf.DUMMYFUNCTION("""COMPUTED_VALUE"""),0.156)</f>
        <v>0.156</v>
      </c>
      <c r="F341" s="1">
        <f ca="1">IFERROR(__xludf.DUMMYFUNCTION("""COMPUTED_VALUE"""),-16.36)</f>
        <v>-16.36</v>
      </c>
      <c r="G341" s="1">
        <f ca="1">IFERROR(__xludf.DUMMYFUNCTION("""COMPUTED_VALUE"""),-3.36)</f>
        <v>-3.36</v>
      </c>
      <c r="H341" s="1">
        <f ca="1">IFERROR(__xludf.DUMMYFUNCTION("""COMPUTED_VALUE"""),3)</f>
        <v>3</v>
      </c>
      <c r="I341" s="1">
        <f ca="1">IFERROR(__xludf.DUMMYFUNCTION("""COMPUTED_VALUE"""),15)</f>
        <v>15</v>
      </c>
      <c r="J341" s="1">
        <f ca="1">IFERROR(__xludf.DUMMYFUNCTION("""COMPUTED_VALUE"""),4)</f>
        <v>4</v>
      </c>
      <c r="K341" s="1">
        <f ca="1">IFERROR(__xludf.DUMMYFUNCTION("""COMPUTED_VALUE"""),10)</f>
        <v>10</v>
      </c>
      <c r="L341" s="1">
        <f ca="1">IFERROR(__xludf.DUMMYFUNCTION("""COMPUTED_VALUE"""),1)</f>
        <v>1</v>
      </c>
      <c r="M341" s="1">
        <f ca="1">IFERROR(__xludf.DUMMYFUNCTION("""COMPUTED_VALUE"""),14)</f>
        <v>14</v>
      </c>
      <c r="N341" s="1">
        <f ca="1">IFERROR(__xludf.DUMMYFUNCTION("""COMPUTED_VALUE"""),2317)</f>
        <v>2317</v>
      </c>
      <c r="O341" s="1">
        <f ca="1">IFERROR(__xludf.DUMMYFUNCTION("""COMPUTED_VALUE"""),2698)</f>
        <v>2698</v>
      </c>
      <c r="P341" s="1">
        <f ca="1">IFERROR(__xludf.DUMMYFUNCTION("""COMPUTED_VALUE"""),1290)</f>
        <v>1290</v>
      </c>
      <c r="Q341" s="1">
        <f ca="1">IFERROR(__xludf.DUMMYFUNCTION("""COMPUTED_VALUE"""),796)</f>
        <v>796</v>
      </c>
      <c r="R341" s="1">
        <f ca="1">IFERROR(__xludf.DUMMYFUNCTION("""COMPUTED_VALUE"""),1915)</f>
        <v>1915</v>
      </c>
      <c r="S341" s="1">
        <f ca="1">IFERROR(__xludf.DUMMYFUNCTION("""COMPUTED_VALUE"""),0.416)</f>
        <v>0.41599999999999998</v>
      </c>
      <c r="T341" s="1">
        <f ca="1">IFERROR(__xludf.DUMMYFUNCTION("""COMPUTED_VALUE"""),220)</f>
        <v>220</v>
      </c>
      <c r="U341" s="1">
        <f ca="1">IFERROR(__xludf.DUMMYFUNCTION("""COMPUTED_VALUE"""),691)</f>
        <v>691</v>
      </c>
      <c r="V341" s="1">
        <f ca="1">IFERROR(__xludf.DUMMYFUNCTION("""COMPUTED_VALUE"""),0.318)</f>
        <v>0.318</v>
      </c>
      <c r="W341" s="1">
        <f ca="1">IFERROR(__xludf.DUMMYFUNCTION("""COMPUTED_VALUE"""),505)</f>
        <v>505</v>
      </c>
      <c r="X341" s="1">
        <f ca="1">IFERROR(__xludf.DUMMYFUNCTION("""COMPUTED_VALUE"""),719)</f>
        <v>719</v>
      </c>
      <c r="Y341" s="1">
        <f ca="1">IFERROR(__xludf.DUMMYFUNCTION("""COMPUTED_VALUE"""),0.702)</f>
        <v>0.70199999999999996</v>
      </c>
      <c r="Z341" s="1">
        <f ca="1">IFERROR(__xludf.DUMMYFUNCTION("""COMPUTED_VALUE"""),327)</f>
        <v>327</v>
      </c>
      <c r="AA341" s="1">
        <f ca="1">IFERROR(__xludf.DUMMYFUNCTION("""COMPUTED_VALUE"""),1086)</f>
        <v>1086</v>
      </c>
      <c r="AB341" s="1">
        <f ca="1">IFERROR(__xludf.DUMMYFUNCTION("""COMPUTED_VALUE"""),366)</f>
        <v>366</v>
      </c>
      <c r="AC341" s="1">
        <f ca="1">IFERROR(__xludf.DUMMYFUNCTION("""COMPUTED_VALUE"""),206)</f>
        <v>206</v>
      </c>
      <c r="AD341" s="1">
        <f ca="1">IFERROR(__xludf.DUMMYFUNCTION("""COMPUTED_VALUE"""),80)</f>
        <v>80</v>
      </c>
      <c r="AE341" s="1">
        <f ca="1">IFERROR(__xludf.DUMMYFUNCTION("""COMPUTED_VALUE"""),435)</f>
        <v>435</v>
      </c>
      <c r="AF341" s="1">
        <f ca="1">IFERROR(__xludf.DUMMYFUNCTION("""COMPUTED_VALUE"""),701)</f>
        <v>701</v>
      </c>
    </row>
    <row r="342" spans="1:32" ht="12.5" x14ac:dyDescent="0.25">
      <c r="A342" s="1" t="str">
        <f ca="1">IFERROR(__xludf.DUMMYFUNCTION("""COMPUTED_VALUE"""),"Texas Southern")</f>
        <v>Texas Southern</v>
      </c>
      <c r="B342" s="1">
        <f ca="1">IFERROR(__xludf.DUMMYFUNCTION("""COMPUTED_VALUE"""),33)</f>
        <v>33</v>
      </c>
      <c r="C342" s="1">
        <f ca="1">IFERROR(__xludf.DUMMYFUNCTION("""COMPUTED_VALUE"""),18)</f>
        <v>18</v>
      </c>
      <c r="D342" s="1">
        <f ca="1">IFERROR(__xludf.DUMMYFUNCTION("""COMPUTED_VALUE"""),15)</f>
        <v>15</v>
      </c>
      <c r="E342" s="1">
        <f ca="1">IFERROR(__xludf.DUMMYFUNCTION("""COMPUTED_VALUE"""),0.545)</f>
        <v>0.54500000000000004</v>
      </c>
      <c r="F342" s="1">
        <f ca="1">IFERROR(__xludf.DUMMYFUNCTION("""COMPUTED_VALUE"""),-4.64)</f>
        <v>-4.6399999999999997</v>
      </c>
      <c r="G342" s="1">
        <f ca="1">IFERROR(__xludf.DUMMYFUNCTION("""COMPUTED_VALUE"""),-6.94)</f>
        <v>-6.94</v>
      </c>
      <c r="H342" s="1">
        <f ca="1">IFERROR(__xludf.DUMMYFUNCTION("""COMPUTED_VALUE"""),16)</f>
        <v>16</v>
      </c>
      <c r="I342" s="1">
        <f ca="1">IFERROR(__xludf.DUMMYFUNCTION("""COMPUTED_VALUE"""),2)</f>
        <v>2</v>
      </c>
      <c r="J342" s="1">
        <f ca="1">IFERROR(__xludf.DUMMYFUNCTION("""COMPUTED_VALUE"""),9)</f>
        <v>9</v>
      </c>
      <c r="K342" s="1">
        <f ca="1">IFERROR(__xludf.DUMMYFUNCTION("""COMPUTED_VALUE"""),0)</f>
        <v>0</v>
      </c>
      <c r="L342" s="1">
        <f ca="1">IFERROR(__xludf.DUMMYFUNCTION("""COMPUTED_VALUE"""),7)</f>
        <v>7</v>
      </c>
      <c r="M342" s="1">
        <f ca="1">IFERROR(__xludf.DUMMYFUNCTION("""COMPUTED_VALUE"""),13)</f>
        <v>13</v>
      </c>
      <c r="N342" s="1">
        <f ca="1">IFERROR(__xludf.DUMMYFUNCTION("""COMPUTED_VALUE"""),2403)</f>
        <v>2403</v>
      </c>
      <c r="O342" s="1">
        <f ca="1">IFERROR(__xludf.DUMMYFUNCTION("""COMPUTED_VALUE"""),2327)</f>
        <v>2327</v>
      </c>
      <c r="P342" s="1">
        <f ca="1">IFERROR(__xludf.DUMMYFUNCTION("""COMPUTED_VALUE"""),1320)</f>
        <v>1320</v>
      </c>
      <c r="Q342" s="1">
        <f ca="1">IFERROR(__xludf.DUMMYFUNCTION("""COMPUTED_VALUE"""),848)</f>
        <v>848</v>
      </c>
      <c r="R342" s="1">
        <f ca="1">IFERROR(__xludf.DUMMYFUNCTION("""COMPUTED_VALUE"""),1853)</f>
        <v>1853</v>
      </c>
      <c r="S342" s="1">
        <f ca="1">IFERROR(__xludf.DUMMYFUNCTION("""COMPUTED_VALUE"""),0.458)</f>
        <v>0.45800000000000002</v>
      </c>
      <c r="T342" s="1">
        <f ca="1">IFERROR(__xludf.DUMMYFUNCTION("""COMPUTED_VALUE"""),222)</f>
        <v>222</v>
      </c>
      <c r="U342" s="1">
        <f ca="1">IFERROR(__xludf.DUMMYFUNCTION("""COMPUTED_VALUE"""),657)</f>
        <v>657</v>
      </c>
      <c r="V342" s="1">
        <f ca="1">IFERROR(__xludf.DUMMYFUNCTION("""COMPUTED_VALUE"""),0.338)</f>
        <v>0.33800000000000002</v>
      </c>
      <c r="W342" s="1">
        <f ca="1">IFERROR(__xludf.DUMMYFUNCTION("""COMPUTED_VALUE"""),485)</f>
        <v>485</v>
      </c>
      <c r="X342" s="1">
        <f ca="1">IFERROR(__xludf.DUMMYFUNCTION("""COMPUTED_VALUE"""),769)</f>
        <v>769</v>
      </c>
      <c r="Y342" s="1">
        <f ca="1">IFERROR(__xludf.DUMMYFUNCTION("""COMPUTED_VALUE"""),0.631)</f>
        <v>0.63100000000000001</v>
      </c>
      <c r="Z342" s="1">
        <f ca="1">IFERROR(__xludf.DUMMYFUNCTION("""COMPUTED_VALUE"""),408)</f>
        <v>408</v>
      </c>
      <c r="AA342" s="1">
        <f ca="1">IFERROR(__xludf.DUMMYFUNCTION("""COMPUTED_VALUE"""),1249)</f>
        <v>1249</v>
      </c>
      <c r="AB342" s="1">
        <f ca="1">IFERROR(__xludf.DUMMYFUNCTION("""COMPUTED_VALUE"""),469)</f>
        <v>469</v>
      </c>
      <c r="AC342" s="1">
        <f ca="1">IFERROR(__xludf.DUMMYFUNCTION("""COMPUTED_VALUE"""),146)</f>
        <v>146</v>
      </c>
      <c r="AD342" s="1">
        <f ca="1">IFERROR(__xludf.DUMMYFUNCTION("""COMPUTED_VALUE"""),101)</f>
        <v>101</v>
      </c>
      <c r="AE342" s="1">
        <f ca="1">IFERROR(__xludf.DUMMYFUNCTION("""COMPUTED_VALUE"""),434)</f>
        <v>434</v>
      </c>
      <c r="AF342" s="1">
        <f ca="1">IFERROR(__xludf.DUMMYFUNCTION("""COMPUTED_VALUE"""),505)</f>
        <v>505</v>
      </c>
    </row>
    <row r="343" spans="1:32" ht="12.5" x14ac:dyDescent="0.25">
      <c r="A343" s="1" t="str">
        <f ca="1">IFERROR(__xludf.DUMMYFUNCTION("""COMPUTED_VALUE"""),"Texas State")</f>
        <v>Texas State</v>
      </c>
      <c r="B343" s="1">
        <f ca="1">IFERROR(__xludf.DUMMYFUNCTION("""COMPUTED_VALUE"""),31)</f>
        <v>31</v>
      </c>
      <c r="C343" s="1">
        <f ca="1">IFERROR(__xludf.DUMMYFUNCTION("""COMPUTED_VALUE"""),15)</f>
        <v>15</v>
      </c>
      <c r="D343" s="1">
        <f ca="1">IFERROR(__xludf.DUMMYFUNCTION("""COMPUTED_VALUE"""),16)</f>
        <v>16</v>
      </c>
      <c r="E343" s="1">
        <f ca="1">IFERROR(__xludf.DUMMYFUNCTION("""COMPUTED_VALUE"""),0.484)</f>
        <v>0.48399999999999999</v>
      </c>
      <c r="F343" s="1">
        <f ca="1">IFERROR(__xludf.DUMMYFUNCTION("""COMPUTED_VALUE"""),-5.36)</f>
        <v>-5.36</v>
      </c>
      <c r="G343" s="1">
        <f ca="1">IFERROR(__xludf.DUMMYFUNCTION("""COMPUTED_VALUE"""),-4.29)</f>
        <v>-4.29</v>
      </c>
      <c r="H343" s="1">
        <f ca="1">IFERROR(__xludf.DUMMYFUNCTION("""COMPUTED_VALUE"""),8)</f>
        <v>8</v>
      </c>
      <c r="I343" s="1">
        <f ca="1">IFERROR(__xludf.DUMMYFUNCTION("""COMPUTED_VALUE"""),12)</f>
        <v>12</v>
      </c>
      <c r="J343" s="1">
        <f ca="1">IFERROR(__xludf.DUMMYFUNCTION("""COMPUTED_VALUE"""),10)</f>
        <v>10</v>
      </c>
      <c r="K343" s="1">
        <f ca="1">IFERROR(__xludf.DUMMYFUNCTION("""COMPUTED_VALUE"""),4)</f>
        <v>4</v>
      </c>
      <c r="L343" s="1">
        <f ca="1">IFERROR(__xludf.DUMMYFUNCTION("""COMPUTED_VALUE"""),4)</f>
        <v>4</v>
      </c>
      <c r="M343" s="1">
        <f ca="1">IFERROR(__xludf.DUMMYFUNCTION("""COMPUTED_VALUE"""),11)</f>
        <v>11</v>
      </c>
      <c r="N343" s="1">
        <f ca="1">IFERROR(__xludf.DUMMYFUNCTION("""COMPUTED_VALUE"""),2046)</f>
        <v>2046</v>
      </c>
      <c r="O343" s="1">
        <f ca="1">IFERROR(__xludf.DUMMYFUNCTION("""COMPUTED_VALUE"""),1993)</f>
        <v>1993</v>
      </c>
      <c r="P343" s="1">
        <f ca="1">IFERROR(__xludf.DUMMYFUNCTION("""COMPUTED_VALUE"""),1250)</f>
        <v>1250</v>
      </c>
      <c r="Q343" s="1">
        <f ca="1">IFERROR(__xludf.DUMMYFUNCTION("""COMPUTED_VALUE"""),727)</f>
        <v>727</v>
      </c>
      <c r="R343" s="1">
        <f ca="1">IFERROR(__xludf.DUMMYFUNCTION("""COMPUTED_VALUE"""),1692)</f>
        <v>1692</v>
      </c>
      <c r="S343" s="1">
        <f ca="1">IFERROR(__xludf.DUMMYFUNCTION("""COMPUTED_VALUE"""),0.43)</f>
        <v>0.43</v>
      </c>
      <c r="T343" s="1">
        <f ca="1">IFERROR(__xludf.DUMMYFUNCTION("""COMPUTED_VALUE"""),149)</f>
        <v>149</v>
      </c>
      <c r="U343" s="1">
        <f ca="1">IFERROR(__xludf.DUMMYFUNCTION("""COMPUTED_VALUE"""),459)</f>
        <v>459</v>
      </c>
      <c r="V343" s="1">
        <f ca="1">IFERROR(__xludf.DUMMYFUNCTION("""COMPUTED_VALUE"""),0.325)</f>
        <v>0.32500000000000001</v>
      </c>
      <c r="W343" s="1">
        <f ca="1">IFERROR(__xludf.DUMMYFUNCTION("""COMPUTED_VALUE"""),443)</f>
        <v>443</v>
      </c>
      <c r="X343" s="1">
        <f ca="1">IFERROR(__xludf.DUMMYFUNCTION("""COMPUTED_VALUE"""),658)</f>
        <v>658</v>
      </c>
      <c r="Y343" s="1">
        <f ca="1">IFERROR(__xludf.DUMMYFUNCTION("""COMPUTED_VALUE"""),0.673)</f>
        <v>0.67300000000000004</v>
      </c>
      <c r="Z343" s="1">
        <f ca="1">IFERROR(__xludf.DUMMYFUNCTION("""COMPUTED_VALUE"""),336)</f>
        <v>336</v>
      </c>
      <c r="AA343" s="1">
        <f ca="1">IFERROR(__xludf.DUMMYFUNCTION("""COMPUTED_VALUE"""),1063)</f>
        <v>1063</v>
      </c>
      <c r="AB343" s="1">
        <f ca="1">IFERROR(__xludf.DUMMYFUNCTION("""COMPUTED_VALUE"""),366)</f>
        <v>366</v>
      </c>
      <c r="AC343" s="1">
        <f ca="1">IFERROR(__xludf.DUMMYFUNCTION("""COMPUTED_VALUE"""),189)</f>
        <v>189</v>
      </c>
      <c r="AD343" s="1">
        <f ca="1">IFERROR(__xludf.DUMMYFUNCTION("""COMPUTED_VALUE"""),96)</f>
        <v>96</v>
      </c>
      <c r="AE343" s="1">
        <f ca="1">IFERROR(__xludf.DUMMYFUNCTION("""COMPUTED_VALUE"""),370)</f>
        <v>370</v>
      </c>
      <c r="AF343" s="1">
        <f ca="1">IFERROR(__xludf.DUMMYFUNCTION("""COMPUTED_VALUE"""),576)</f>
        <v>576</v>
      </c>
    </row>
    <row r="344" spans="1:32" ht="12.5" x14ac:dyDescent="0.25">
      <c r="A344" s="1" t="str">
        <f ca="1">IFERROR(__xludf.DUMMYFUNCTION("""COMPUTED_VALUE"""),"Texas TechNCAA")</f>
        <v>Texas TechNCAA</v>
      </c>
      <c r="B344" s="1">
        <f ca="1">IFERROR(__xludf.DUMMYFUNCTION("""COMPUTED_VALUE"""),32)</f>
        <v>32</v>
      </c>
      <c r="C344" s="1">
        <f ca="1">IFERROR(__xludf.DUMMYFUNCTION("""COMPUTED_VALUE"""),19)</f>
        <v>19</v>
      </c>
      <c r="D344" s="1">
        <f ca="1">IFERROR(__xludf.DUMMYFUNCTION("""COMPUTED_VALUE"""),13)</f>
        <v>13</v>
      </c>
      <c r="E344" s="1">
        <f ca="1">IFERROR(__xludf.DUMMYFUNCTION("""COMPUTED_VALUE"""),0.594)</f>
        <v>0.59399999999999997</v>
      </c>
      <c r="F344" s="1">
        <f ca="1">IFERROR(__xludf.DUMMYFUNCTION("""COMPUTED_VALUE"""),12.41)</f>
        <v>12.41</v>
      </c>
      <c r="G344" s="1">
        <f ca="1">IFERROR(__xludf.DUMMYFUNCTION("""COMPUTED_VALUE"""),10.25)</f>
        <v>10.25</v>
      </c>
      <c r="H344" s="1">
        <f ca="1">IFERROR(__xludf.DUMMYFUNCTION("""COMPUTED_VALUE"""),9)</f>
        <v>9</v>
      </c>
      <c r="I344" s="1">
        <f ca="1">IFERROR(__xludf.DUMMYFUNCTION("""COMPUTED_VALUE"""),9)</f>
        <v>9</v>
      </c>
      <c r="J344" s="1">
        <f ca="1">IFERROR(__xludf.DUMMYFUNCTION("""COMPUTED_VALUE"""),14)</f>
        <v>14</v>
      </c>
      <c r="K344" s="1">
        <f ca="1">IFERROR(__xludf.DUMMYFUNCTION("""COMPUTED_VALUE"""),3)</f>
        <v>3</v>
      </c>
      <c r="L344" s="1">
        <f ca="1">IFERROR(__xludf.DUMMYFUNCTION("""COMPUTED_VALUE"""),3)</f>
        <v>3</v>
      </c>
      <c r="M344" s="1">
        <f ca="1">IFERROR(__xludf.DUMMYFUNCTION("""COMPUTED_VALUE"""),7)</f>
        <v>7</v>
      </c>
      <c r="N344" s="1">
        <f ca="1">IFERROR(__xludf.DUMMYFUNCTION("""COMPUTED_VALUE"""),2305)</f>
        <v>2305</v>
      </c>
      <c r="O344" s="1">
        <f ca="1">IFERROR(__xludf.DUMMYFUNCTION("""COMPUTED_VALUE"""),2236)</f>
        <v>2236</v>
      </c>
      <c r="P344" s="1">
        <f ca="1">IFERROR(__xludf.DUMMYFUNCTION("""COMPUTED_VALUE"""),1295)</f>
        <v>1295</v>
      </c>
      <c r="Q344" s="1">
        <f ca="1">IFERROR(__xludf.DUMMYFUNCTION("""COMPUTED_VALUE"""),785)</f>
        <v>785</v>
      </c>
      <c r="R344" s="1">
        <f ca="1">IFERROR(__xludf.DUMMYFUNCTION("""COMPUTED_VALUE"""),1754)</f>
        <v>1754</v>
      </c>
      <c r="S344" s="1">
        <f ca="1">IFERROR(__xludf.DUMMYFUNCTION("""COMPUTED_VALUE"""),0.448)</f>
        <v>0.44800000000000001</v>
      </c>
      <c r="T344" s="1">
        <f ca="1">IFERROR(__xludf.DUMMYFUNCTION("""COMPUTED_VALUE"""),185)</f>
        <v>185</v>
      </c>
      <c r="U344" s="1">
        <f ca="1">IFERROR(__xludf.DUMMYFUNCTION("""COMPUTED_VALUE"""),534)</f>
        <v>534</v>
      </c>
      <c r="V344" s="1">
        <f ca="1">IFERROR(__xludf.DUMMYFUNCTION("""COMPUTED_VALUE"""),0.346)</f>
        <v>0.34599999999999997</v>
      </c>
      <c r="W344" s="1">
        <f ca="1">IFERROR(__xludf.DUMMYFUNCTION("""COMPUTED_VALUE"""),550)</f>
        <v>550</v>
      </c>
      <c r="X344" s="1">
        <f ca="1">IFERROR(__xludf.DUMMYFUNCTION("""COMPUTED_VALUE"""),741)</f>
        <v>741</v>
      </c>
      <c r="Y344" s="1">
        <f ca="1">IFERROR(__xludf.DUMMYFUNCTION("""COMPUTED_VALUE"""),0.742)</f>
        <v>0.74199999999999999</v>
      </c>
      <c r="Z344" s="1">
        <f ca="1">IFERROR(__xludf.DUMMYFUNCTION("""COMPUTED_VALUE"""),326)</f>
        <v>326</v>
      </c>
      <c r="AA344" s="1">
        <f ca="1">IFERROR(__xludf.DUMMYFUNCTION("""COMPUTED_VALUE"""),1086)</f>
        <v>1086</v>
      </c>
      <c r="AB344" s="1">
        <f ca="1">IFERROR(__xludf.DUMMYFUNCTION("""COMPUTED_VALUE"""),418)</f>
        <v>418</v>
      </c>
      <c r="AC344" s="1">
        <f ca="1">IFERROR(__xludf.DUMMYFUNCTION("""COMPUTED_VALUE"""),190)</f>
        <v>190</v>
      </c>
      <c r="AD344" s="1">
        <f ca="1">IFERROR(__xludf.DUMMYFUNCTION("""COMPUTED_VALUE"""),134)</f>
        <v>134</v>
      </c>
      <c r="AE344" s="1">
        <f ca="1">IFERROR(__xludf.DUMMYFUNCTION("""COMPUTED_VALUE"""),385)</f>
        <v>385</v>
      </c>
      <c r="AF344" s="1">
        <f ca="1">IFERROR(__xludf.DUMMYFUNCTION("""COMPUTED_VALUE"""),589)</f>
        <v>589</v>
      </c>
    </row>
    <row r="345" spans="1:32" ht="12.5" x14ac:dyDescent="0.25">
      <c r="A345" s="1" t="str">
        <f ca="1">IFERROR(__xludf.DUMMYFUNCTION("""COMPUTED_VALUE"""),"TexasNCAA")</f>
        <v>TexasNCAA</v>
      </c>
      <c r="B345" s="1">
        <f ca="1">IFERROR(__xludf.DUMMYFUNCTION("""COMPUTED_VALUE"""),33)</f>
        <v>33</v>
      </c>
      <c r="C345" s="1">
        <f ca="1">IFERROR(__xludf.DUMMYFUNCTION("""COMPUTED_VALUE"""),20)</f>
        <v>20</v>
      </c>
      <c r="D345" s="1">
        <f ca="1">IFERROR(__xludf.DUMMYFUNCTION("""COMPUTED_VALUE"""),13)</f>
        <v>13</v>
      </c>
      <c r="E345" s="1">
        <f ca="1">IFERROR(__xludf.DUMMYFUNCTION("""COMPUTED_VALUE"""),0.606)</f>
        <v>0.60599999999999998</v>
      </c>
      <c r="F345" s="1">
        <f ca="1">IFERROR(__xludf.DUMMYFUNCTION("""COMPUTED_VALUE"""),14.8)</f>
        <v>14.8</v>
      </c>
      <c r="G345" s="1">
        <f ca="1">IFERROR(__xludf.DUMMYFUNCTION("""COMPUTED_VALUE"""),11.71)</f>
        <v>11.71</v>
      </c>
      <c r="H345" s="1">
        <f ca="1">IFERROR(__xludf.DUMMYFUNCTION("""COMPUTED_VALUE"""),11)</f>
        <v>11</v>
      </c>
      <c r="I345" s="1">
        <f ca="1">IFERROR(__xludf.DUMMYFUNCTION("""COMPUTED_VALUE"""),7)</f>
        <v>7</v>
      </c>
      <c r="J345" s="1">
        <f ca="1">IFERROR(__xludf.DUMMYFUNCTION("""COMPUTED_VALUE"""),14)</f>
        <v>14</v>
      </c>
      <c r="K345" s="1">
        <f ca="1">IFERROR(__xludf.DUMMYFUNCTION("""COMPUTED_VALUE"""),3)</f>
        <v>3</v>
      </c>
      <c r="L345" s="1">
        <f ca="1">IFERROR(__xludf.DUMMYFUNCTION("""COMPUTED_VALUE"""),5)</f>
        <v>5</v>
      </c>
      <c r="M345" s="1">
        <f ca="1">IFERROR(__xludf.DUMMYFUNCTION("""COMPUTED_VALUE"""),5)</f>
        <v>5</v>
      </c>
      <c r="N345" s="1">
        <f ca="1">IFERROR(__xludf.DUMMYFUNCTION("""COMPUTED_VALUE"""),2355)</f>
        <v>2355</v>
      </c>
      <c r="O345" s="1">
        <f ca="1">IFERROR(__xludf.DUMMYFUNCTION("""COMPUTED_VALUE"""),2253)</f>
        <v>2253</v>
      </c>
      <c r="P345" s="1">
        <f ca="1">IFERROR(__xludf.DUMMYFUNCTION("""COMPUTED_VALUE"""),1330)</f>
        <v>1330</v>
      </c>
      <c r="Q345" s="1">
        <f ca="1">IFERROR(__xludf.DUMMYFUNCTION("""COMPUTED_VALUE"""),814)</f>
        <v>814</v>
      </c>
      <c r="R345" s="1">
        <f ca="1">IFERROR(__xludf.DUMMYFUNCTION("""COMPUTED_VALUE"""),1884)</f>
        <v>1884</v>
      </c>
      <c r="S345" s="1">
        <f ca="1">IFERROR(__xludf.DUMMYFUNCTION("""COMPUTED_VALUE"""),0.432)</f>
        <v>0.432</v>
      </c>
      <c r="T345" s="1">
        <f ca="1">IFERROR(__xludf.DUMMYFUNCTION("""COMPUTED_VALUE"""),232)</f>
        <v>232</v>
      </c>
      <c r="U345" s="1">
        <f ca="1">IFERROR(__xludf.DUMMYFUNCTION("""COMPUTED_VALUE"""),681)</f>
        <v>681</v>
      </c>
      <c r="V345" s="1">
        <f ca="1">IFERROR(__xludf.DUMMYFUNCTION("""COMPUTED_VALUE"""),0.341)</f>
        <v>0.34100000000000003</v>
      </c>
      <c r="W345" s="1">
        <f ca="1">IFERROR(__xludf.DUMMYFUNCTION("""COMPUTED_VALUE"""),495)</f>
        <v>495</v>
      </c>
      <c r="X345" s="1">
        <f ca="1">IFERROR(__xludf.DUMMYFUNCTION("""COMPUTED_VALUE"""),743)</f>
        <v>743</v>
      </c>
      <c r="Y345" s="1">
        <f ca="1">IFERROR(__xludf.DUMMYFUNCTION("""COMPUTED_VALUE"""),0.666)</f>
        <v>0.66600000000000004</v>
      </c>
      <c r="Z345" s="1">
        <f ca="1">IFERROR(__xludf.DUMMYFUNCTION("""COMPUTED_VALUE"""),363)</f>
        <v>363</v>
      </c>
      <c r="AA345" s="1">
        <f ca="1">IFERROR(__xludf.DUMMYFUNCTION("""COMPUTED_VALUE"""),1139)</f>
        <v>1139</v>
      </c>
      <c r="AB345" s="1">
        <f ca="1">IFERROR(__xludf.DUMMYFUNCTION("""COMPUTED_VALUE"""),377)</f>
        <v>377</v>
      </c>
      <c r="AC345" s="1">
        <f ca="1">IFERROR(__xludf.DUMMYFUNCTION("""COMPUTED_VALUE"""),167)</f>
        <v>167</v>
      </c>
      <c r="AD345" s="1">
        <f ca="1">IFERROR(__xludf.DUMMYFUNCTION("""COMPUTED_VALUE"""),144)</f>
        <v>144</v>
      </c>
      <c r="AE345" s="1">
        <f ca="1">IFERROR(__xludf.DUMMYFUNCTION("""COMPUTED_VALUE"""),341)</f>
        <v>341</v>
      </c>
      <c r="AF345" s="1">
        <f ca="1">IFERROR(__xludf.DUMMYFUNCTION("""COMPUTED_VALUE"""),688)</f>
        <v>688</v>
      </c>
    </row>
    <row r="346" spans="1:32" ht="12.5" x14ac:dyDescent="0.25">
      <c r="A346" s="1" t="str">
        <f ca="1">IFERROR(__xludf.DUMMYFUNCTION("""COMPUTED_VALUE"""),"Toledo")</f>
        <v>Toledo</v>
      </c>
      <c r="B346" s="1">
        <f ca="1">IFERROR(__xludf.DUMMYFUNCTION("""COMPUTED_VALUE"""),32)</f>
        <v>32</v>
      </c>
      <c r="C346" s="1">
        <f ca="1">IFERROR(__xludf.DUMMYFUNCTION("""COMPUTED_VALUE"""),17)</f>
        <v>17</v>
      </c>
      <c r="D346" s="1">
        <f ca="1">IFERROR(__xludf.DUMMYFUNCTION("""COMPUTED_VALUE"""),15)</f>
        <v>15</v>
      </c>
      <c r="E346" s="1">
        <f ca="1">IFERROR(__xludf.DUMMYFUNCTION("""COMPUTED_VALUE"""),0.531)</f>
        <v>0.53100000000000003</v>
      </c>
      <c r="F346" s="1">
        <f ca="1">IFERROR(__xludf.DUMMYFUNCTION("""COMPUTED_VALUE"""),2.96)</f>
        <v>2.96</v>
      </c>
      <c r="G346" s="1">
        <f ca="1">IFERROR(__xludf.DUMMYFUNCTION("""COMPUTED_VALUE"""),-2.36)</f>
        <v>-2.36</v>
      </c>
      <c r="H346" s="1">
        <f ca="1">IFERROR(__xludf.DUMMYFUNCTION("""COMPUTED_VALUE"""),8)</f>
        <v>8</v>
      </c>
      <c r="I346" s="1">
        <f ca="1">IFERROR(__xludf.DUMMYFUNCTION("""COMPUTED_VALUE"""),10)</f>
        <v>10</v>
      </c>
      <c r="J346" s="1">
        <f ca="1">IFERROR(__xludf.DUMMYFUNCTION("""COMPUTED_VALUE"""),9)</f>
        <v>9</v>
      </c>
      <c r="K346" s="1">
        <f ca="1">IFERROR(__xludf.DUMMYFUNCTION("""COMPUTED_VALUE"""),6)</f>
        <v>6</v>
      </c>
      <c r="L346" s="1">
        <f ca="1">IFERROR(__xludf.DUMMYFUNCTION("""COMPUTED_VALUE"""),6)</f>
        <v>6</v>
      </c>
      <c r="M346" s="1">
        <f ca="1">IFERROR(__xludf.DUMMYFUNCTION("""COMPUTED_VALUE"""),8)</f>
        <v>8</v>
      </c>
      <c r="N346" s="1">
        <f ca="1">IFERROR(__xludf.DUMMYFUNCTION("""COMPUTED_VALUE"""),2482)</f>
        <v>2482</v>
      </c>
      <c r="O346" s="1">
        <f ca="1">IFERROR(__xludf.DUMMYFUNCTION("""COMPUTED_VALUE"""),2286)</f>
        <v>2286</v>
      </c>
      <c r="P346" s="1">
        <f ca="1">IFERROR(__xludf.DUMMYFUNCTION("""COMPUTED_VALUE"""),1280)</f>
        <v>1280</v>
      </c>
      <c r="Q346" s="1">
        <f ca="1">IFERROR(__xludf.DUMMYFUNCTION("""COMPUTED_VALUE"""),865)</f>
        <v>865</v>
      </c>
      <c r="R346" s="1">
        <f ca="1">IFERROR(__xludf.DUMMYFUNCTION("""COMPUTED_VALUE"""),1881)</f>
        <v>1881</v>
      </c>
      <c r="S346" s="1">
        <f ca="1">IFERROR(__xludf.DUMMYFUNCTION("""COMPUTED_VALUE"""),0.46)</f>
        <v>0.46</v>
      </c>
      <c r="T346" s="1">
        <f ca="1">IFERROR(__xludf.DUMMYFUNCTION("""COMPUTED_VALUE"""),263)</f>
        <v>263</v>
      </c>
      <c r="U346" s="1">
        <f ca="1">IFERROR(__xludf.DUMMYFUNCTION("""COMPUTED_VALUE"""),722)</f>
        <v>722</v>
      </c>
      <c r="V346" s="1">
        <f ca="1">IFERROR(__xludf.DUMMYFUNCTION("""COMPUTED_VALUE"""),0.364)</f>
        <v>0.36399999999999999</v>
      </c>
      <c r="W346" s="1">
        <f ca="1">IFERROR(__xludf.DUMMYFUNCTION("""COMPUTED_VALUE"""),489)</f>
        <v>489</v>
      </c>
      <c r="X346" s="1">
        <f ca="1">IFERROR(__xludf.DUMMYFUNCTION("""COMPUTED_VALUE"""),655)</f>
        <v>655</v>
      </c>
      <c r="Y346" s="1">
        <f ca="1">IFERROR(__xludf.DUMMYFUNCTION("""COMPUTED_VALUE"""),0.747)</f>
        <v>0.747</v>
      </c>
      <c r="Z346" s="1">
        <f ca="1">IFERROR(__xludf.DUMMYFUNCTION("""COMPUTED_VALUE"""),306)</f>
        <v>306</v>
      </c>
      <c r="AA346" s="1">
        <f ca="1">IFERROR(__xludf.DUMMYFUNCTION("""COMPUTED_VALUE"""),1161)</f>
        <v>1161</v>
      </c>
      <c r="AB346" s="1">
        <f ca="1">IFERROR(__xludf.DUMMYFUNCTION("""COMPUTED_VALUE"""),523)</f>
        <v>523</v>
      </c>
      <c r="AC346" s="1">
        <f ca="1">IFERROR(__xludf.DUMMYFUNCTION("""COMPUTED_VALUE"""),167)</f>
        <v>167</v>
      </c>
      <c r="AD346" s="1">
        <f ca="1">IFERROR(__xludf.DUMMYFUNCTION("""COMPUTED_VALUE"""),63)</f>
        <v>63</v>
      </c>
      <c r="AE346" s="1">
        <f ca="1">IFERROR(__xludf.DUMMYFUNCTION("""COMPUTED_VALUE"""),373)</f>
        <v>373</v>
      </c>
      <c r="AF346" s="1">
        <f ca="1">IFERROR(__xludf.DUMMYFUNCTION("""COMPUTED_VALUE"""),552)</f>
        <v>552</v>
      </c>
    </row>
    <row r="347" spans="1:32" ht="12.5" x14ac:dyDescent="0.25">
      <c r="A347" s="1" t="str">
        <f ca="1">IFERROR(__xludf.DUMMYFUNCTION("""COMPUTED_VALUE"""),"Towson")</f>
        <v>Towson</v>
      </c>
      <c r="B347" s="1">
        <f ca="1">IFERROR(__xludf.DUMMYFUNCTION("""COMPUTED_VALUE"""),33)</f>
        <v>33</v>
      </c>
      <c r="C347" s="1">
        <f ca="1">IFERROR(__xludf.DUMMYFUNCTION("""COMPUTED_VALUE"""),20)</f>
        <v>20</v>
      </c>
      <c r="D347" s="1">
        <f ca="1">IFERROR(__xludf.DUMMYFUNCTION("""COMPUTED_VALUE"""),13)</f>
        <v>13</v>
      </c>
      <c r="E347" s="1">
        <f ca="1">IFERROR(__xludf.DUMMYFUNCTION("""COMPUTED_VALUE"""),0.606)</f>
        <v>0.60599999999999998</v>
      </c>
      <c r="F347" s="1">
        <f ca="1">IFERROR(__xludf.DUMMYFUNCTION("""COMPUTED_VALUE"""),-0.06)</f>
        <v>-0.06</v>
      </c>
      <c r="G347" s="1">
        <f ca="1">IFERROR(__xludf.DUMMYFUNCTION("""COMPUTED_VALUE"""),-1.57)</f>
        <v>-1.57</v>
      </c>
      <c r="H347" s="1">
        <f ca="1">IFERROR(__xludf.DUMMYFUNCTION("""COMPUTED_VALUE"""),11)</f>
        <v>11</v>
      </c>
      <c r="I347" s="1">
        <f ca="1">IFERROR(__xludf.DUMMYFUNCTION("""COMPUTED_VALUE"""),7)</f>
        <v>7</v>
      </c>
      <c r="J347" s="1">
        <f ca="1">IFERROR(__xludf.DUMMYFUNCTION("""COMPUTED_VALUE"""),12)</f>
        <v>12</v>
      </c>
      <c r="K347" s="1">
        <f ca="1">IFERROR(__xludf.DUMMYFUNCTION("""COMPUTED_VALUE"""),3)</f>
        <v>3</v>
      </c>
      <c r="L347" s="1">
        <f ca="1">IFERROR(__xludf.DUMMYFUNCTION("""COMPUTED_VALUE"""),7)</f>
        <v>7</v>
      </c>
      <c r="M347" s="1">
        <f ca="1">IFERROR(__xludf.DUMMYFUNCTION("""COMPUTED_VALUE"""),6)</f>
        <v>6</v>
      </c>
      <c r="N347" s="1">
        <f ca="1">IFERROR(__xludf.DUMMYFUNCTION("""COMPUTED_VALUE"""),2358)</f>
        <v>2358</v>
      </c>
      <c r="O347" s="1">
        <f ca="1">IFERROR(__xludf.DUMMYFUNCTION("""COMPUTED_VALUE"""),2227)</f>
        <v>2227</v>
      </c>
      <c r="P347" s="1">
        <f ca="1">IFERROR(__xludf.DUMMYFUNCTION("""COMPUTED_VALUE"""),1330)</f>
        <v>1330</v>
      </c>
      <c r="Q347" s="1">
        <f ca="1">IFERROR(__xludf.DUMMYFUNCTION("""COMPUTED_VALUE"""),805)</f>
        <v>805</v>
      </c>
      <c r="R347" s="1">
        <f ca="1">IFERROR(__xludf.DUMMYFUNCTION("""COMPUTED_VALUE"""),1888)</f>
        <v>1888</v>
      </c>
      <c r="S347" s="1">
        <f ca="1">IFERROR(__xludf.DUMMYFUNCTION("""COMPUTED_VALUE"""),0.426)</f>
        <v>0.42599999999999999</v>
      </c>
      <c r="T347" s="1">
        <f ca="1">IFERROR(__xludf.DUMMYFUNCTION("""COMPUTED_VALUE"""),182)</f>
        <v>182</v>
      </c>
      <c r="U347" s="1">
        <f ca="1">IFERROR(__xludf.DUMMYFUNCTION("""COMPUTED_VALUE"""),574)</f>
        <v>574</v>
      </c>
      <c r="V347" s="1">
        <f ca="1">IFERROR(__xludf.DUMMYFUNCTION("""COMPUTED_VALUE"""),0.317)</f>
        <v>0.317</v>
      </c>
      <c r="W347" s="1">
        <f ca="1">IFERROR(__xludf.DUMMYFUNCTION("""COMPUTED_VALUE"""),566)</f>
        <v>566</v>
      </c>
      <c r="X347" s="1">
        <f ca="1">IFERROR(__xludf.DUMMYFUNCTION("""COMPUTED_VALUE"""),840)</f>
        <v>840</v>
      </c>
      <c r="Y347" s="1">
        <f ca="1">IFERROR(__xludf.DUMMYFUNCTION("""COMPUTED_VALUE"""),0.674)</f>
        <v>0.67400000000000004</v>
      </c>
      <c r="Z347" s="1">
        <f ca="1">IFERROR(__xludf.DUMMYFUNCTION("""COMPUTED_VALUE"""),472)</f>
        <v>472</v>
      </c>
      <c r="AA347" s="1">
        <f ca="1">IFERROR(__xludf.DUMMYFUNCTION("""COMPUTED_VALUE"""),1295)</f>
        <v>1295</v>
      </c>
      <c r="AB347" s="1">
        <f ca="1">IFERROR(__xludf.DUMMYFUNCTION("""COMPUTED_VALUE"""),371)</f>
        <v>371</v>
      </c>
      <c r="AC347" s="1">
        <f ca="1">IFERROR(__xludf.DUMMYFUNCTION("""COMPUTED_VALUE"""),203)</f>
        <v>203</v>
      </c>
      <c r="AD347" s="1">
        <f ca="1">IFERROR(__xludf.DUMMYFUNCTION("""COMPUTED_VALUE"""),155)</f>
        <v>155</v>
      </c>
      <c r="AE347" s="1">
        <f ca="1">IFERROR(__xludf.DUMMYFUNCTION("""COMPUTED_VALUE"""),401)</f>
        <v>401</v>
      </c>
      <c r="AF347" s="1">
        <f ca="1">IFERROR(__xludf.DUMMYFUNCTION("""COMPUTED_VALUE"""),677)</f>
        <v>677</v>
      </c>
    </row>
    <row r="348" spans="1:32" ht="12.5" x14ac:dyDescent="0.25">
      <c r="A348" s="1" t="str">
        <f ca="1">IFERROR(__xludf.DUMMYFUNCTION("""COMPUTED_VALUE"""),"Troy")</f>
        <v>Troy</v>
      </c>
      <c r="B348" s="1">
        <f ca="1">IFERROR(__xludf.DUMMYFUNCTION("""COMPUTED_VALUE"""),31)</f>
        <v>31</v>
      </c>
      <c r="C348" s="1">
        <f ca="1">IFERROR(__xludf.DUMMYFUNCTION("""COMPUTED_VALUE"""),9)</f>
        <v>9</v>
      </c>
      <c r="D348" s="1">
        <f ca="1">IFERROR(__xludf.DUMMYFUNCTION("""COMPUTED_VALUE"""),22)</f>
        <v>22</v>
      </c>
      <c r="E348" s="1">
        <f ca="1">IFERROR(__xludf.DUMMYFUNCTION("""COMPUTED_VALUE"""),0.29)</f>
        <v>0.28999999999999998</v>
      </c>
      <c r="F348" s="1">
        <f ca="1">IFERROR(__xludf.DUMMYFUNCTION("""COMPUTED_VALUE"""),-9.21)</f>
        <v>-9.2100000000000009</v>
      </c>
      <c r="G348" s="1">
        <f ca="1">IFERROR(__xludf.DUMMYFUNCTION("""COMPUTED_VALUE"""),-2.07)</f>
        <v>-2.0699999999999998</v>
      </c>
      <c r="H348" s="1">
        <f ca="1">IFERROR(__xludf.DUMMYFUNCTION("""COMPUTED_VALUE"""),4)</f>
        <v>4</v>
      </c>
      <c r="I348" s="1">
        <f ca="1">IFERROR(__xludf.DUMMYFUNCTION("""COMPUTED_VALUE"""),16)</f>
        <v>16</v>
      </c>
      <c r="J348" s="1">
        <f ca="1">IFERROR(__xludf.DUMMYFUNCTION("""COMPUTED_VALUE"""),4)</f>
        <v>4</v>
      </c>
      <c r="K348" s="1">
        <f ca="1">IFERROR(__xludf.DUMMYFUNCTION("""COMPUTED_VALUE"""),10)</f>
        <v>10</v>
      </c>
      <c r="L348" s="1">
        <f ca="1">IFERROR(__xludf.DUMMYFUNCTION("""COMPUTED_VALUE"""),4)</f>
        <v>4</v>
      </c>
      <c r="M348" s="1">
        <f ca="1">IFERROR(__xludf.DUMMYFUNCTION("""COMPUTED_VALUE"""),10)</f>
        <v>10</v>
      </c>
      <c r="N348" s="1">
        <f ca="1">IFERROR(__xludf.DUMMYFUNCTION("""COMPUTED_VALUE"""),2145)</f>
        <v>2145</v>
      </c>
      <c r="O348" s="1">
        <f ca="1">IFERROR(__xludf.DUMMYFUNCTION("""COMPUTED_VALUE"""),2329)</f>
        <v>2329</v>
      </c>
      <c r="P348" s="1">
        <f ca="1">IFERROR(__xludf.DUMMYFUNCTION("""COMPUTED_VALUE"""),1250)</f>
        <v>1250</v>
      </c>
      <c r="Q348" s="1">
        <f ca="1">IFERROR(__xludf.DUMMYFUNCTION("""COMPUTED_VALUE"""),740)</f>
        <v>740</v>
      </c>
      <c r="R348" s="1">
        <f ca="1">IFERROR(__xludf.DUMMYFUNCTION("""COMPUTED_VALUE"""),1817)</f>
        <v>1817</v>
      </c>
      <c r="S348" s="1">
        <f ca="1">IFERROR(__xludf.DUMMYFUNCTION("""COMPUTED_VALUE"""),0.407)</f>
        <v>0.40699999999999997</v>
      </c>
      <c r="T348" s="1">
        <f ca="1">IFERROR(__xludf.DUMMYFUNCTION("""COMPUTED_VALUE"""),208)</f>
        <v>208</v>
      </c>
      <c r="U348" s="1">
        <f ca="1">IFERROR(__xludf.DUMMYFUNCTION("""COMPUTED_VALUE"""),675)</f>
        <v>675</v>
      </c>
      <c r="V348" s="1">
        <f ca="1">IFERROR(__xludf.DUMMYFUNCTION("""COMPUTED_VALUE"""),0.308)</f>
        <v>0.308</v>
      </c>
      <c r="W348" s="1">
        <f ca="1">IFERROR(__xludf.DUMMYFUNCTION("""COMPUTED_VALUE"""),457)</f>
        <v>457</v>
      </c>
      <c r="X348" s="1">
        <f ca="1">IFERROR(__xludf.DUMMYFUNCTION("""COMPUTED_VALUE"""),713)</f>
        <v>713</v>
      </c>
      <c r="Y348" s="1">
        <f ca="1">IFERROR(__xludf.DUMMYFUNCTION("""COMPUTED_VALUE"""),0.641)</f>
        <v>0.64100000000000001</v>
      </c>
      <c r="Z348" s="1">
        <f ca="1">IFERROR(__xludf.DUMMYFUNCTION("""COMPUTED_VALUE"""),349)</f>
        <v>349</v>
      </c>
      <c r="AA348" s="1">
        <f ca="1">IFERROR(__xludf.DUMMYFUNCTION("""COMPUTED_VALUE"""),1132)</f>
        <v>1132</v>
      </c>
      <c r="AB348" s="1">
        <f ca="1">IFERROR(__xludf.DUMMYFUNCTION("""COMPUTED_VALUE"""),349)</f>
        <v>349</v>
      </c>
      <c r="AC348" s="1">
        <f ca="1">IFERROR(__xludf.DUMMYFUNCTION("""COMPUTED_VALUE"""),185)</f>
        <v>185</v>
      </c>
      <c r="AD348" s="1">
        <f ca="1">IFERROR(__xludf.DUMMYFUNCTION("""COMPUTED_VALUE"""),88)</f>
        <v>88</v>
      </c>
      <c r="AE348" s="1">
        <f ca="1">IFERROR(__xludf.DUMMYFUNCTION("""COMPUTED_VALUE"""),376)</f>
        <v>376</v>
      </c>
      <c r="AF348" s="1">
        <f ca="1">IFERROR(__xludf.DUMMYFUNCTION("""COMPUTED_VALUE"""),582)</f>
        <v>582</v>
      </c>
    </row>
    <row r="349" spans="1:32" ht="12.5" x14ac:dyDescent="0.25">
      <c r="A349" s="1" t="str">
        <f ca="1">IFERROR(__xludf.DUMMYFUNCTION("""COMPUTED_VALUE"""),"Tulane")</f>
        <v>Tulane</v>
      </c>
      <c r="B349" s="1">
        <f ca="1">IFERROR(__xludf.DUMMYFUNCTION("""COMPUTED_VALUE"""),34)</f>
        <v>34</v>
      </c>
      <c r="C349" s="1">
        <f ca="1">IFERROR(__xludf.DUMMYFUNCTION("""COMPUTED_VALUE"""),12)</f>
        <v>12</v>
      </c>
      <c r="D349" s="1">
        <f ca="1">IFERROR(__xludf.DUMMYFUNCTION("""COMPUTED_VALUE"""),22)</f>
        <v>22</v>
      </c>
      <c r="E349" s="1">
        <f ca="1">IFERROR(__xludf.DUMMYFUNCTION("""COMPUTED_VALUE"""),0.353)</f>
        <v>0.35299999999999998</v>
      </c>
      <c r="F349" s="1">
        <f ca="1">IFERROR(__xludf.DUMMYFUNCTION("""COMPUTED_VALUE"""),-0.85)</f>
        <v>-0.85</v>
      </c>
      <c r="G349" s="1">
        <f ca="1">IFERROR(__xludf.DUMMYFUNCTION("""COMPUTED_VALUE"""),3.79)</f>
        <v>3.79</v>
      </c>
      <c r="H349" s="1">
        <f ca="1">IFERROR(__xludf.DUMMYFUNCTION("""COMPUTED_VALUE"""),3)</f>
        <v>3</v>
      </c>
      <c r="I349" s="1">
        <f ca="1">IFERROR(__xludf.DUMMYFUNCTION("""COMPUTED_VALUE"""),15)</f>
        <v>15</v>
      </c>
      <c r="J349" s="1">
        <f ca="1">IFERROR(__xludf.DUMMYFUNCTION("""COMPUTED_VALUE"""),6)</f>
        <v>6</v>
      </c>
      <c r="K349" s="1">
        <f ca="1">IFERROR(__xludf.DUMMYFUNCTION("""COMPUTED_VALUE"""),10)</f>
        <v>10</v>
      </c>
      <c r="L349" s="1">
        <f ca="1">IFERROR(__xludf.DUMMYFUNCTION("""COMPUTED_VALUE"""),2)</f>
        <v>2</v>
      </c>
      <c r="M349" s="1">
        <f ca="1">IFERROR(__xludf.DUMMYFUNCTION("""COMPUTED_VALUE"""),10)</f>
        <v>10</v>
      </c>
      <c r="N349" s="1">
        <f ca="1">IFERROR(__xludf.DUMMYFUNCTION("""COMPUTED_VALUE"""),2240)</f>
        <v>2240</v>
      </c>
      <c r="O349" s="1">
        <f ca="1">IFERROR(__xludf.DUMMYFUNCTION("""COMPUTED_VALUE"""),2398)</f>
        <v>2398</v>
      </c>
      <c r="P349" s="1">
        <f ca="1">IFERROR(__xludf.DUMMYFUNCTION("""COMPUTED_VALUE"""),1390)</f>
        <v>1390</v>
      </c>
      <c r="Q349" s="1">
        <f ca="1">IFERROR(__xludf.DUMMYFUNCTION("""COMPUTED_VALUE"""),802)</f>
        <v>802</v>
      </c>
      <c r="R349" s="1">
        <f ca="1">IFERROR(__xludf.DUMMYFUNCTION("""COMPUTED_VALUE"""),2021)</f>
        <v>2021</v>
      </c>
      <c r="S349" s="1">
        <f ca="1">IFERROR(__xludf.DUMMYFUNCTION("""COMPUTED_VALUE"""),0.397)</f>
        <v>0.39700000000000002</v>
      </c>
      <c r="T349" s="1">
        <f ca="1">IFERROR(__xludf.DUMMYFUNCTION("""COMPUTED_VALUE"""),216)</f>
        <v>216</v>
      </c>
      <c r="U349" s="1">
        <f ca="1">IFERROR(__xludf.DUMMYFUNCTION("""COMPUTED_VALUE"""),719)</f>
        <v>719</v>
      </c>
      <c r="V349" s="1">
        <f ca="1">IFERROR(__xludf.DUMMYFUNCTION("""COMPUTED_VALUE"""),0.3)</f>
        <v>0.3</v>
      </c>
      <c r="W349" s="1">
        <f ca="1">IFERROR(__xludf.DUMMYFUNCTION("""COMPUTED_VALUE"""),420)</f>
        <v>420</v>
      </c>
      <c r="X349" s="1">
        <f ca="1">IFERROR(__xludf.DUMMYFUNCTION("""COMPUTED_VALUE"""),621)</f>
        <v>621</v>
      </c>
      <c r="Y349" s="1">
        <f ca="1">IFERROR(__xludf.DUMMYFUNCTION("""COMPUTED_VALUE"""),0.676)</f>
        <v>0.67600000000000005</v>
      </c>
      <c r="Z349" s="1">
        <f ca="1">IFERROR(__xludf.DUMMYFUNCTION("""COMPUTED_VALUE"""),415)</f>
        <v>415</v>
      </c>
      <c r="AA349" s="1">
        <f ca="1">IFERROR(__xludf.DUMMYFUNCTION("""COMPUTED_VALUE"""),1268)</f>
        <v>1268</v>
      </c>
      <c r="AB349" s="1">
        <f ca="1">IFERROR(__xludf.DUMMYFUNCTION("""COMPUTED_VALUE"""),372)</f>
        <v>372</v>
      </c>
      <c r="AC349" s="1">
        <f ca="1">IFERROR(__xludf.DUMMYFUNCTION("""COMPUTED_VALUE"""),218)</f>
        <v>218</v>
      </c>
      <c r="AD349" s="1">
        <f ca="1">IFERROR(__xludf.DUMMYFUNCTION("""COMPUTED_VALUE"""),131)</f>
        <v>131</v>
      </c>
      <c r="AE349" s="1">
        <f ca="1">IFERROR(__xludf.DUMMYFUNCTION("""COMPUTED_VALUE"""),451)</f>
        <v>451</v>
      </c>
      <c r="AF349" s="1">
        <f ca="1">IFERROR(__xludf.DUMMYFUNCTION("""COMPUTED_VALUE"""),649)</f>
        <v>649</v>
      </c>
    </row>
    <row r="350" spans="1:32" ht="12.5" x14ac:dyDescent="0.25">
      <c r="A350" s="1" t="str">
        <f ca="1">IFERROR(__xludf.DUMMYFUNCTION("""COMPUTED_VALUE"""),"TulsaNCAA")</f>
        <v>TulsaNCAA</v>
      </c>
      <c r="B350" s="1">
        <f ca="1">IFERROR(__xludf.DUMMYFUNCTION("""COMPUTED_VALUE"""),32)</f>
        <v>32</v>
      </c>
      <c r="C350" s="1">
        <f ca="1">IFERROR(__xludf.DUMMYFUNCTION("""COMPUTED_VALUE"""),20)</f>
        <v>20</v>
      </c>
      <c r="D350" s="1">
        <f ca="1">IFERROR(__xludf.DUMMYFUNCTION("""COMPUTED_VALUE"""),12)</f>
        <v>12</v>
      </c>
      <c r="E350" s="1">
        <f ca="1">IFERROR(__xludf.DUMMYFUNCTION("""COMPUTED_VALUE"""),0.625)</f>
        <v>0.625</v>
      </c>
      <c r="F350" s="1">
        <f ca="1">IFERROR(__xludf.DUMMYFUNCTION("""COMPUTED_VALUE"""),9.79)</f>
        <v>9.7899999999999991</v>
      </c>
      <c r="G350" s="1">
        <f ca="1">IFERROR(__xludf.DUMMYFUNCTION("""COMPUTED_VALUE"""),5.76)</f>
        <v>5.76</v>
      </c>
      <c r="H350" s="1">
        <f ca="1">IFERROR(__xludf.DUMMYFUNCTION("""COMPUTED_VALUE"""),12)</f>
        <v>12</v>
      </c>
      <c r="I350" s="1">
        <f ca="1">IFERROR(__xludf.DUMMYFUNCTION("""COMPUTED_VALUE"""),6)</f>
        <v>6</v>
      </c>
      <c r="J350" s="1">
        <f ca="1">IFERROR(__xludf.DUMMYFUNCTION("""COMPUTED_VALUE"""),12)</f>
        <v>12</v>
      </c>
      <c r="K350" s="1">
        <f ca="1">IFERROR(__xludf.DUMMYFUNCTION("""COMPUTED_VALUE"""),3)</f>
        <v>3</v>
      </c>
      <c r="L350" s="1">
        <f ca="1">IFERROR(__xludf.DUMMYFUNCTION("""COMPUTED_VALUE"""),6)</f>
        <v>6</v>
      </c>
      <c r="M350" s="1">
        <f ca="1">IFERROR(__xludf.DUMMYFUNCTION("""COMPUTED_VALUE"""),5)</f>
        <v>5</v>
      </c>
      <c r="N350" s="1">
        <f ca="1">IFERROR(__xludf.DUMMYFUNCTION("""COMPUTED_VALUE"""),2356)</f>
        <v>2356</v>
      </c>
      <c r="O350" s="1">
        <f ca="1">IFERROR(__xludf.DUMMYFUNCTION("""COMPUTED_VALUE"""),2227)</f>
        <v>2227</v>
      </c>
      <c r="P350" s="1">
        <f ca="1">IFERROR(__xludf.DUMMYFUNCTION("""COMPUTED_VALUE"""),1290)</f>
        <v>1290</v>
      </c>
      <c r="Q350" s="1">
        <f ca="1">IFERROR(__xludf.DUMMYFUNCTION("""COMPUTED_VALUE"""),821)</f>
        <v>821</v>
      </c>
      <c r="R350" s="1">
        <f ca="1">IFERROR(__xludf.DUMMYFUNCTION("""COMPUTED_VALUE"""),1849)</f>
        <v>1849</v>
      </c>
      <c r="S350" s="1">
        <f ca="1">IFERROR(__xludf.DUMMYFUNCTION("""COMPUTED_VALUE"""),0.444)</f>
        <v>0.44400000000000001</v>
      </c>
      <c r="T350" s="1">
        <f ca="1">IFERROR(__xludf.DUMMYFUNCTION("""COMPUTED_VALUE"""),219)</f>
        <v>219</v>
      </c>
      <c r="U350" s="1">
        <f ca="1">IFERROR(__xludf.DUMMYFUNCTION("""COMPUTED_VALUE"""),671)</f>
        <v>671</v>
      </c>
      <c r="V350" s="1">
        <f ca="1">IFERROR(__xludf.DUMMYFUNCTION("""COMPUTED_VALUE"""),0.326)</f>
        <v>0.32600000000000001</v>
      </c>
      <c r="W350" s="1">
        <f ca="1">IFERROR(__xludf.DUMMYFUNCTION("""COMPUTED_VALUE"""),495)</f>
        <v>495</v>
      </c>
      <c r="X350" s="1">
        <f ca="1">IFERROR(__xludf.DUMMYFUNCTION("""COMPUTED_VALUE"""),731)</f>
        <v>731</v>
      </c>
      <c r="Y350" s="1">
        <f ca="1">IFERROR(__xludf.DUMMYFUNCTION("""COMPUTED_VALUE"""),0.677)</f>
        <v>0.67700000000000005</v>
      </c>
      <c r="Z350" s="1">
        <f ca="1">IFERROR(__xludf.DUMMYFUNCTION("""COMPUTED_VALUE"""),323)</f>
        <v>323</v>
      </c>
      <c r="AA350" s="1">
        <f ca="1">IFERROR(__xludf.DUMMYFUNCTION("""COMPUTED_VALUE"""),1123)</f>
        <v>1123</v>
      </c>
      <c r="AB350" s="1">
        <f ca="1">IFERROR(__xludf.DUMMYFUNCTION("""COMPUTED_VALUE"""),435)</f>
        <v>435</v>
      </c>
      <c r="AC350" s="1">
        <f ca="1">IFERROR(__xludf.DUMMYFUNCTION("""COMPUTED_VALUE"""),216)</f>
        <v>216</v>
      </c>
      <c r="AD350" s="1">
        <f ca="1">IFERROR(__xludf.DUMMYFUNCTION("""COMPUTED_VALUE"""),88)</f>
        <v>88</v>
      </c>
      <c r="AE350" s="1">
        <f ca="1">IFERROR(__xludf.DUMMYFUNCTION("""COMPUTED_VALUE"""),346)</f>
        <v>346</v>
      </c>
      <c r="AF350" s="1">
        <f ca="1">IFERROR(__xludf.DUMMYFUNCTION("""COMPUTED_VALUE"""),563)</f>
        <v>563</v>
      </c>
    </row>
    <row r="351" spans="1:32" ht="12.5" x14ac:dyDescent="0.25">
      <c r="A351" s="1" t="str">
        <f ca="1">IFERROR(__xludf.DUMMYFUNCTION("""COMPUTED_VALUE"""),"UCLA")</f>
        <v>UCLA</v>
      </c>
      <c r="B351" s="1">
        <f ca="1">IFERROR(__xludf.DUMMYFUNCTION("""COMPUTED_VALUE"""),32)</f>
        <v>32</v>
      </c>
      <c r="C351" s="1">
        <f ca="1">IFERROR(__xludf.DUMMYFUNCTION("""COMPUTED_VALUE"""),15)</f>
        <v>15</v>
      </c>
      <c r="D351" s="1">
        <f ca="1">IFERROR(__xludf.DUMMYFUNCTION("""COMPUTED_VALUE"""),17)</f>
        <v>17</v>
      </c>
      <c r="E351" s="1">
        <f ca="1">IFERROR(__xludf.DUMMYFUNCTION("""COMPUTED_VALUE"""),0.469)</f>
        <v>0.46899999999999997</v>
      </c>
      <c r="F351" s="1">
        <f ca="1">IFERROR(__xludf.DUMMYFUNCTION("""COMPUTED_VALUE"""),10.48)</f>
        <v>10.48</v>
      </c>
      <c r="G351" s="1">
        <f ca="1">IFERROR(__xludf.DUMMYFUNCTION("""COMPUTED_VALUE"""),9.69)</f>
        <v>9.69</v>
      </c>
      <c r="H351" s="1">
        <f ca="1">IFERROR(__xludf.DUMMYFUNCTION("""COMPUTED_VALUE"""),6)</f>
        <v>6</v>
      </c>
      <c r="I351" s="1">
        <f ca="1">IFERROR(__xludf.DUMMYFUNCTION("""COMPUTED_VALUE"""),12)</f>
        <v>12</v>
      </c>
      <c r="J351" s="1">
        <f ca="1">IFERROR(__xludf.DUMMYFUNCTION("""COMPUTED_VALUE"""),11)</f>
        <v>11</v>
      </c>
      <c r="K351" s="1">
        <f ca="1">IFERROR(__xludf.DUMMYFUNCTION("""COMPUTED_VALUE"""),6)</f>
        <v>6</v>
      </c>
      <c r="L351" s="1">
        <f ca="1">IFERROR(__xludf.DUMMYFUNCTION("""COMPUTED_VALUE"""),3)</f>
        <v>3</v>
      </c>
      <c r="M351" s="1">
        <f ca="1">IFERROR(__xludf.DUMMYFUNCTION("""COMPUTED_VALUE"""),7)</f>
        <v>7</v>
      </c>
      <c r="N351" s="1">
        <f ca="1">IFERROR(__xludf.DUMMYFUNCTION("""COMPUTED_VALUE"""),2480)</f>
        <v>2480</v>
      </c>
      <c r="O351" s="1">
        <f ca="1">IFERROR(__xludf.DUMMYFUNCTION("""COMPUTED_VALUE"""),2455)</f>
        <v>2455</v>
      </c>
      <c r="P351" s="1">
        <f ca="1">IFERROR(__xludf.DUMMYFUNCTION("""COMPUTED_VALUE"""),1295)</f>
        <v>1295</v>
      </c>
      <c r="Q351" s="1">
        <f ca="1">IFERROR(__xludf.DUMMYFUNCTION("""COMPUTED_VALUE"""),915)</f>
        <v>915</v>
      </c>
      <c r="R351" s="1">
        <f ca="1">IFERROR(__xludf.DUMMYFUNCTION("""COMPUTED_VALUE"""),2016)</f>
        <v>2016</v>
      </c>
      <c r="S351" s="1">
        <f ca="1">IFERROR(__xludf.DUMMYFUNCTION("""COMPUTED_VALUE"""),0.454)</f>
        <v>0.45400000000000001</v>
      </c>
      <c r="T351" s="1">
        <f ca="1">IFERROR(__xludf.DUMMYFUNCTION("""COMPUTED_VALUE"""),200)</f>
        <v>200</v>
      </c>
      <c r="U351" s="1">
        <f ca="1">IFERROR(__xludf.DUMMYFUNCTION("""COMPUTED_VALUE"""),551)</f>
        <v>551</v>
      </c>
      <c r="V351" s="1">
        <f ca="1">IFERROR(__xludf.DUMMYFUNCTION("""COMPUTED_VALUE"""),0.363)</f>
        <v>0.36299999999999999</v>
      </c>
      <c r="W351" s="1">
        <f ca="1">IFERROR(__xludf.DUMMYFUNCTION("""COMPUTED_VALUE"""),450)</f>
        <v>450</v>
      </c>
      <c r="X351" s="1">
        <f ca="1">IFERROR(__xludf.DUMMYFUNCTION("""COMPUTED_VALUE"""),651)</f>
        <v>651</v>
      </c>
      <c r="Y351" s="1">
        <f ca="1">IFERROR(__xludf.DUMMYFUNCTION("""COMPUTED_VALUE"""),0.691)</f>
        <v>0.69099999999999995</v>
      </c>
      <c r="Z351" s="1">
        <f ca="1">IFERROR(__xludf.DUMMYFUNCTION("""COMPUTED_VALUE"""),393)</f>
        <v>393</v>
      </c>
      <c r="AA351" s="1">
        <f ca="1">IFERROR(__xludf.DUMMYFUNCTION("""COMPUTED_VALUE"""),1266)</f>
        <v>1266</v>
      </c>
      <c r="AB351" s="1">
        <f ca="1">IFERROR(__xludf.DUMMYFUNCTION("""COMPUTED_VALUE"""),502)</f>
        <v>502</v>
      </c>
      <c r="AC351" s="1">
        <f ca="1">IFERROR(__xludf.DUMMYFUNCTION("""COMPUTED_VALUE"""),175)</f>
        <v>175</v>
      </c>
      <c r="AD351" s="1">
        <f ca="1">IFERROR(__xludf.DUMMYFUNCTION("""COMPUTED_VALUE"""),110)</f>
        <v>110</v>
      </c>
      <c r="AE351" s="1">
        <f ca="1">IFERROR(__xludf.DUMMYFUNCTION("""COMPUTED_VALUE"""),392)</f>
        <v>392</v>
      </c>
      <c r="AF351" s="1">
        <f ca="1">IFERROR(__xludf.DUMMYFUNCTION("""COMPUTED_VALUE"""),595)</f>
        <v>595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IFERROR(__xludf.DUMMYFUNCTION("""COMPUTED_VALUE"""),"Utah State")</f>
        <v>Utah State</v>
      </c>
      <c r="B354" s="1">
        <f ca="1">IFERROR(__xludf.DUMMYFUNCTION("""COMPUTED_VALUE"""),31)</f>
        <v>31</v>
      </c>
      <c r="C354" s="1">
        <f ca="1">IFERROR(__xludf.DUMMYFUNCTION("""COMPUTED_VALUE"""),16)</f>
        <v>16</v>
      </c>
      <c r="D354" s="1">
        <f ca="1">IFERROR(__xludf.DUMMYFUNCTION("""COMPUTED_VALUE"""),15)</f>
        <v>15</v>
      </c>
      <c r="E354" s="1">
        <f ca="1">IFERROR(__xludf.DUMMYFUNCTION("""COMPUTED_VALUE"""),0.516)</f>
        <v>0.51600000000000001</v>
      </c>
      <c r="F354" s="1">
        <f ca="1">IFERROR(__xludf.DUMMYFUNCTION("""COMPUTED_VALUE"""),2.68)</f>
        <v>2.68</v>
      </c>
      <c r="G354" s="1">
        <f ca="1">IFERROR(__xludf.DUMMYFUNCTION("""COMPUTED_VALUE"""),2.06)</f>
        <v>2.06</v>
      </c>
      <c r="H354" s="1">
        <f ca="1">IFERROR(__xludf.DUMMYFUNCTION("""COMPUTED_VALUE"""),7)</f>
        <v>7</v>
      </c>
      <c r="I354" s="1">
        <f ca="1">IFERROR(__xludf.DUMMYFUNCTION("""COMPUTED_VALUE"""),11)</f>
        <v>11</v>
      </c>
      <c r="J354" s="1">
        <f ca="1">IFERROR(__xludf.DUMMYFUNCTION("""COMPUTED_VALUE"""),10)</f>
        <v>10</v>
      </c>
      <c r="K354" s="1">
        <f ca="1">IFERROR(__xludf.DUMMYFUNCTION("""COMPUTED_VALUE"""),6)</f>
        <v>6</v>
      </c>
      <c r="L354" s="1">
        <f ca="1">IFERROR(__xludf.DUMMYFUNCTION("""COMPUTED_VALUE"""),5)</f>
        <v>5</v>
      </c>
      <c r="M354" s="1">
        <f ca="1">IFERROR(__xludf.DUMMYFUNCTION("""COMPUTED_VALUE"""),8)</f>
        <v>8</v>
      </c>
      <c r="N354" s="1">
        <f ca="1">IFERROR(__xludf.DUMMYFUNCTION("""COMPUTED_VALUE"""),2274)</f>
        <v>2274</v>
      </c>
      <c r="O354" s="1">
        <f ca="1">IFERROR(__xludf.DUMMYFUNCTION("""COMPUTED_VALUE"""),2217)</f>
        <v>2217</v>
      </c>
      <c r="P354" s="1">
        <f ca="1">IFERROR(__xludf.DUMMYFUNCTION("""COMPUTED_VALUE"""),1240)</f>
        <v>1240</v>
      </c>
      <c r="Q354" s="1">
        <f ca="1">IFERROR(__xludf.DUMMYFUNCTION("""COMPUTED_VALUE"""),802)</f>
        <v>802</v>
      </c>
      <c r="R354" s="1">
        <f ca="1">IFERROR(__xludf.DUMMYFUNCTION("""COMPUTED_VALUE"""),1779)</f>
        <v>1779</v>
      </c>
      <c r="S354" s="1">
        <f ca="1">IFERROR(__xludf.DUMMYFUNCTION("""COMPUTED_VALUE"""),0.451)</f>
        <v>0.45100000000000001</v>
      </c>
      <c r="T354" s="1">
        <f ca="1">IFERROR(__xludf.DUMMYFUNCTION("""COMPUTED_VALUE"""),257)</f>
        <v>257</v>
      </c>
      <c r="U354" s="1">
        <f ca="1">IFERROR(__xludf.DUMMYFUNCTION("""COMPUTED_VALUE"""),695)</f>
        <v>695</v>
      </c>
      <c r="V354" s="1">
        <f ca="1">IFERROR(__xludf.DUMMYFUNCTION("""COMPUTED_VALUE"""),0.37)</f>
        <v>0.37</v>
      </c>
      <c r="W354" s="1">
        <f ca="1">IFERROR(__xludf.DUMMYFUNCTION("""COMPUTED_VALUE"""),413)</f>
        <v>413</v>
      </c>
      <c r="X354" s="1">
        <f ca="1">IFERROR(__xludf.DUMMYFUNCTION("""COMPUTED_VALUE"""),597)</f>
        <v>597</v>
      </c>
      <c r="Y354" s="1">
        <f ca="1">IFERROR(__xludf.DUMMYFUNCTION("""COMPUTED_VALUE"""),0.692)</f>
        <v>0.69199999999999995</v>
      </c>
      <c r="Z354" s="1">
        <f ca="1">IFERROR(__xludf.DUMMYFUNCTION("""COMPUTED_VALUE"""),319)</f>
        <v>319</v>
      </c>
      <c r="AA354" s="1">
        <f ca="1">IFERROR(__xludf.DUMMYFUNCTION("""COMPUTED_VALUE"""),1108)</f>
        <v>1108</v>
      </c>
      <c r="AB354" s="1">
        <f ca="1">IFERROR(__xludf.DUMMYFUNCTION("""COMPUTED_VALUE"""),454)</f>
        <v>454</v>
      </c>
      <c r="AC354" s="1">
        <f ca="1">IFERROR(__xludf.DUMMYFUNCTION("""COMPUTED_VALUE"""),171)</f>
        <v>171</v>
      </c>
      <c r="AD354" s="1">
        <f ca="1">IFERROR(__xludf.DUMMYFUNCTION("""COMPUTED_VALUE"""),81)</f>
        <v>81</v>
      </c>
      <c r="AE354" s="1">
        <f ca="1">IFERROR(__xludf.DUMMYFUNCTION("""COMPUTED_VALUE"""),373)</f>
        <v>373</v>
      </c>
      <c r="AF354" s="1">
        <f ca="1">IFERROR(__xludf.DUMMYFUNCTION("""COMPUTED_VALUE"""),546)</f>
        <v>546</v>
      </c>
    </row>
    <row r="355" spans="1:32" ht="12.5" x14ac:dyDescent="0.25">
      <c r="A355" s="1" t="str">
        <f ca="1">IFERROR(__xludf.DUMMYFUNCTION("""COMPUTED_VALUE"""),"Utah Valley")</f>
        <v>Utah Valley</v>
      </c>
      <c r="B355" s="1">
        <f ca="1">IFERROR(__xludf.DUMMYFUNCTION("""COMPUTED_VALUE"""),30)</f>
        <v>30</v>
      </c>
      <c r="C355" s="1">
        <f ca="1">IFERROR(__xludf.DUMMYFUNCTION("""COMPUTED_VALUE"""),12)</f>
        <v>12</v>
      </c>
      <c r="D355" s="1">
        <f ca="1">IFERROR(__xludf.DUMMYFUNCTION("""COMPUTED_VALUE"""),18)</f>
        <v>18</v>
      </c>
      <c r="E355" s="1">
        <f ca="1">IFERROR(__xludf.DUMMYFUNCTION("""COMPUTED_VALUE"""),0.4)</f>
        <v>0.4</v>
      </c>
      <c r="F355" s="1">
        <f ca="1">IFERROR(__xludf.DUMMYFUNCTION("""COMPUTED_VALUE"""),-9.58)</f>
        <v>-9.58</v>
      </c>
      <c r="G355" s="1">
        <f ca="1">IFERROR(__xludf.DUMMYFUNCTION("""COMPUTED_VALUE"""),-3.58)</f>
        <v>-3.58</v>
      </c>
      <c r="H355" s="1">
        <f ca="1">IFERROR(__xludf.DUMMYFUNCTION("""COMPUTED_VALUE"""),6)</f>
        <v>6</v>
      </c>
      <c r="I355" s="1">
        <f ca="1">IFERROR(__xludf.DUMMYFUNCTION("""COMPUTED_VALUE"""),8)</f>
        <v>8</v>
      </c>
      <c r="J355" s="1">
        <f ca="1">IFERROR(__xludf.DUMMYFUNCTION("""COMPUTED_VALUE"""),7)</f>
        <v>7</v>
      </c>
      <c r="K355" s="1">
        <f ca="1">IFERROR(__xludf.DUMMYFUNCTION("""COMPUTED_VALUE"""),7)</f>
        <v>7</v>
      </c>
      <c r="L355" s="1">
        <f ca="1">IFERROR(__xludf.DUMMYFUNCTION("""COMPUTED_VALUE"""),5)</f>
        <v>5</v>
      </c>
      <c r="M355" s="1">
        <f ca="1">IFERROR(__xludf.DUMMYFUNCTION("""COMPUTED_VALUE"""),9)</f>
        <v>9</v>
      </c>
      <c r="N355" s="1">
        <f ca="1">IFERROR(__xludf.DUMMYFUNCTION("""COMPUTED_VALUE"""),2280)</f>
        <v>2280</v>
      </c>
      <c r="O355" s="1">
        <f ca="1">IFERROR(__xludf.DUMMYFUNCTION("""COMPUTED_VALUE"""),2360)</f>
        <v>2360</v>
      </c>
      <c r="P355" s="1">
        <f ca="1">IFERROR(__xludf.DUMMYFUNCTION("""COMPUTED_VALUE"""),1210)</f>
        <v>1210</v>
      </c>
      <c r="Q355" s="1">
        <f ca="1">IFERROR(__xludf.DUMMYFUNCTION("""COMPUTED_VALUE"""),785)</f>
        <v>785</v>
      </c>
      <c r="R355" s="1">
        <f ca="1">IFERROR(__xludf.DUMMYFUNCTION("""COMPUTED_VALUE"""),1833)</f>
        <v>1833</v>
      </c>
      <c r="S355" s="1">
        <f ca="1">IFERROR(__xludf.DUMMYFUNCTION("""COMPUTED_VALUE"""),0.428)</f>
        <v>0.42799999999999999</v>
      </c>
      <c r="T355" s="1">
        <f ca="1">IFERROR(__xludf.DUMMYFUNCTION("""COMPUTED_VALUE"""),256)</f>
        <v>256</v>
      </c>
      <c r="U355" s="1">
        <f ca="1">IFERROR(__xludf.DUMMYFUNCTION("""COMPUTED_VALUE"""),729)</f>
        <v>729</v>
      </c>
      <c r="V355" s="1">
        <f ca="1">IFERROR(__xludf.DUMMYFUNCTION("""COMPUTED_VALUE"""),0.351)</f>
        <v>0.35099999999999998</v>
      </c>
      <c r="W355" s="1">
        <f ca="1">IFERROR(__xludf.DUMMYFUNCTION("""COMPUTED_VALUE"""),454)</f>
        <v>454</v>
      </c>
      <c r="X355" s="1">
        <f ca="1">IFERROR(__xludf.DUMMYFUNCTION("""COMPUTED_VALUE"""),628)</f>
        <v>628</v>
      </c>
      <c r="Y355" s="1">
        <f ca="1">IFERROR(__xludf.DUMMYFUNCTION("""COMPUTED_VALUE"""),0.723)</f>
        <v>0.72299999999999998</v>
      </c>
      <c r="Z355" s="1">
        <f ca="1">IFERROR(__xludf.DUMMYFUNCTION("""COMPUTED_VALUE"""),277)</f>
        <v>277</v>
      </c>
      <c r="AA355" s="1">
        <f ca="1">IFERROR(__xludf.DUMMYFUNCTION("""COMPUTED_VALUE"""),1100)</f>
        <v>1100</v>
      </c>
      <c r="AB355" s="1">
        <f ca="1">IFERROR(__xludf.DUMMYFUNCTION("""COMPUTED_VALUE"""),435)</f>
        <v>435</v>
      </c>
      <c r="AC355" s="1">
        <f ca="1">IFERROR(__xludf.DUMMYFUNCTION("""COMPUTED_VALUE"""),176)</f>
        <v>176</v>
      </c>
      <c r="AD355" s="1">
        <f ca="1">IFERROR(__xludf.DUMMYFUNCTION("""COMPUTED_VALUE"""),95)</f>
        <v>95</v>
      </c>
      <c r="AE355" s="1">
        <f ca="1">IFERROR(__xludf.DUMMYFUNCTION("""COMPUTED_VALUE"""),399)</f>
        <v>399</v>
      </c>
      <c r="AF355" s="1">
        <f ca="1">IFERROR(__xludf.DUMMYFUNCTION("""COMPUTED_VALUE"""),627)</f>
        <v>627</v>
      </c>
    </row>
    <row r="356" spans="1:32" ht="12.5" x14ac:dyDescent="0.25">
      <c r="A356" s="1" t="str">
        <f ca="1">IFERROR(__xludf.DUMMYFUNCTION("""COMPUTED_VALUE"""),"UtahNCAA")</f>
        <v>UtahNCAA</v>
      </c>
      <c r="B356" s="1">
        <f ca="1">IFERROR(__xludf.DUMMYFUNCTION("""COMPUTED_VALUE"""),36)</f>
        <v>36</v>
      </c>
      <c r="C356" s="1">
        <f ca="1">IFERROR(__xludf.DUMMYFUNCTION("""COMPUTED_VALUE"""),27)</f>
        <v>27</v>
      </c>
      <c r="D356" s="1">
        <f ca="1">IFERROR(__xludf.DUMMYFUNCTION("""COMPUTED_VALUE"""),9)</f>
        <v>9</v>
      </c>
      <c r="E356" s="1">
        <f ca="1">IFERROR(__xludf.DUMMYFUNCTION("""COMPUTED_VALUE"""),0.75)</f>
        <v>0.75</v>
      </c>
      <c r="F356" s="1">
        <f ca="1">IFERROR(__xludf.DUMMYFUNCTION("""COMPUTED_VALUE"""),15.5)</f>
        <v>15.5</v>
      </c>
      <c r="G356" s="1">
        <f ca="1">IFERROR(__xludf.DUMMYFUNCTION("""COMPUTED_VALUE"""),8.79)</f>
        <v>8.7899999999999991</v>
      </c>
      <c r="H356" s="1">
        <f ca="1">IFERROR(__xludf.DUMMYFUNCTION("""COMPUTED_VALUE"""),13)</f>
        <v>13</v>
      </c>
      <c r="I356" s="1">
        <f ca="1">IFERROR(__xludf.DUMMYFUNCTION("""COMPUTED_VALUE"""),5)</f>
        <v>5</v>
      </c>
      <c r="J356" s="1">
        <f ca="1">IFERROR(__xludf.DUMMYFUNCTION("""COMPUTED_VALUE"""),16)</f>
        <v>16</v>
      </c>
      <c r="K356" s="1">
        <f ca="1">IFERROR(__xludf.DUMMYFUNCTION("""COMPUTED_VALUE"""),1)</f>
        <v>1</v>
      </c>
      <c r="L356" s="1">
        <f ca="1">IFERROR(__xludf.DUMMYFUNCTION("""COMPUTED_VALUE"""),5)</f>
        <v>5</v>
      </c>
      <c r="M356" s="1">
        <f ca="1">IFERROR(__xludf.DUMMYFUNCTION("""COMPUTED_VALUE"""),5)</f>
        <v>5</v>
      </c>
      <c r="N356" s="1">
        <f ca="1">IFERROR(__xludf.DUMMYFUNCTION("""COMPUTED_VALUE"""),2778)</f>
        <v>2778</v>
      </c>
      <c r="O356" s="1">
        <f ca="1">IFERROR(__xludf.DUMMYFUNCTION("""COMPUTED_VALUE"""),2502)</f>
        <v>2502</v>
      </c>
      <c r="P356" s="1">
        <f ca="1">IFERROR(__xludf.DUMMYFUNCTION("""COMPUTED_VALUE"""),1460)</f>
        <v>1460</v>
      </c>
      <c r="Q356" s="1">
        <f ca="1">IFERROR(__xludf.DUMMYFUNCTION("""COMPUTED_VALUE"""),977)</f>
        <v>977</v>
      </c>
      <c r="R356" s="1">
        <f ca="1">IFERROR(__xludf.DUMMYFUNCTION("""COMPUTED_VALUE"""),2000)</f>
        <v>2000</v>
      </c>
      <c r="S356" s="1">
        <f ca="1">IFERROR(__xludf.DUMMYFUNCTION("""COMPUTED_VALUE"""),0.489)</f>
        <v>0.48899999999999999</v>
      </c>
      <c r="T356" s="1">
        <f ca="1">IFERROR(__xludf.DUMMYFUNCTION("""COMPUTED_VALUE"""),273)</f>
        <v>273</v>
      </c>
      <c r="U356" s="1">
        <f ca="1">IFERROR(__xludf.DUMMYFUNCTION("""COMPUTED_VALUE"""),746)</f>
        <v>746</v>
      </c>
      <c r="V356" s="1">
        <f ca="1">IFERROR(__xludf.DUMMYFUNCTION("""COMPUTED_VALUE"""),0.366)</f>
        <v>0.36599999999999999</v>
      </c>
      <c r="W356" s="1">
        <f ca="1">IFERROR(__xludf.DUMMYFUNCTION("""COMPUTED_VALUE"""),551)</f>
        <v>551</v>
      </c>
      <c r="X356" s="1">
        <f ca="1">IFERROR(__xludf.DUMMYFUNCTION("""COMPUTED_VALUE"""),764)</f>
        <v>764</v>
      </c>
      <c r="Y356" s="1">
        <f ca="1">IFERROR(__xludf.DUMMYFUNCTION("""COMPUTED_VALUE"""),0.721)</f>
        <v>0.72099999999999997</v>
      </c>
      <c r="Z356" s="1">
        <f ca="1">IFERROR(__xludf.DUMMYFUNCTION("""COMPUTED_VALUE"""),347)</f>
        <v>347</v>
      </c>
      <c r="AA356" s="1">
        <f ca="1">IFERROR(__xludf.DUMMYFUNCTION("""COMPUTED_VALUE"""),1335)</f>
        <v>1335</v>
      </c>
      <c r="AB356" s="1">
        <f ca="1">IFERROR(__xludf.DUMMYFUNCTION("""COMPUTED_VALUE"""),557)</f>
        <v>557</v>
      </c>
      <c r="AC356" s="1">
        <f ca="1">IFERROR(__xludf.DUMMYFUNCTION("""COMPUTED_VALUE"""),199)</f>
        <v>199</v>
      </c>
      <c r="AD356" s="1">
        <f ca="1">IFERROR(__xludf.DUMMYFUNCTION("""COMPUTED_VALUE"""),149)</f>
        <v>149</v>
      </c>
      <c r="AE356" s="1">
        <f ca="1">IFERROR(__xludf.DUMMYFUNCTION("""COMPUTED_VALUE"""),451)</f>
        <v>451</v>
      </c>
      <c r="AF356" s="1">
        <f ca="1">IFERROR(__xludf.DUMMYFUNCTION("""COMPUTED_VALUE"""),549)</f>
        <v>549</v>
      </c>
    </row>
    <row r="357" spans="1:32" ht="12.5" x14ac:dyDescent="0.25">
      <c r="A357" s="1" t="str">
        <f ca="1">IFERROR(__xludf.DUMMYFUNCTION("""COMPUTED_VALUE"""),"Valparaiso")</f>
        <v>Valparaiso</v>
      </c>
      <c r="B357" s="1">
        <f ca="1">IFERROR(__xludf.DUMMYFUNCTION("""COMPUTED_VALUE"""),37)</f>
        <v>37</v>
      </c>
      <c r="C357" s="1">
        <f ca="1">IFERROR(__xludf.DUMMYFUNCTION("""COMPUTED_VALUE"""),30)</f>
        <v>30</v>
      </c>
      <c r="D357" s="1">
        <f ca="1">IFERROR(__xludf.DUMMYFUNCTION("""COMPUTED_VALUE"""),7)</f>
        <v>7</v>
      </c>
      <c r="E357" s="1">
        <f ca="1">IFERROR(__xludf.DUMMYFUNCTION("""COMPUTED_VALUE"""),0.811)</f>
        <v>0.81100000000000005</v>
      </c>
      <c r="F357" s="1">
        <f ca="1">IFERROR(__xludf.DUMMYFUNCTION("""COMPUTED_VALUE"""),10.71)</f>
        <v>10.71</v>
      </c>
      <c r="G357" s="1">
        <f ca="1">IFERROR(__xludf.DUMMYFUNCTION("""COMPUTED_VALUE"""),0.02)</f>
        <v>0.02</v>
      </c>
      <c r="H357" s="1">
        <f ca="1">IFERROR(__xludf.DUMMYFUNCTION("""COMPUTED_VALUE"""),16)</f>
        <v>16</v>
      </c>
      <c r="I357" s="1">
        <f ca="1">IFERROR(__xludf.DUMMYFUNCTION("""COMPUTED_VALUE"""),2)</f>
        <v>2</v>
      </c>
      <c r="J357" s="1">
        <f ca="1">IFERROR(__xludf.DUMMYFUNCTION("""COMPUTED_VALUE"""),17)</f>
        <v>17</v>
      </c>
      <c r="K357" s="1">
        <f ca="1">IFERROR(__xludf.DUMMYFUNCTION("""COMPUTED_VALUE"""),1)</f>
        <v>1</v>
      </c>
      <c r="L357" s="1">
        <f ca="1">IFERROR(__xludf.DUMMYFUNCTION("""COMPUTED_VALUE"""),12)</f>
        <v>12</v>
      </c>
      <c r="M357" s="1">
        <f ca="1">IFERROR(__xludf.DUMMYFUNCTION("""COMPUTED_VALUE"""),4)</f>
        <v>4</v>
      </c>
      <c r="N357" s="1">
        <f ca="1">IFERROR(__xludf.DUMMYFUNCTION("""COMPUTED_VALUE"""),2782)</f>
        <v>2782</v>
      </c>
      <c r="O357" s="1">
        <f ca="1">IFERROR(__xludf.DUMMYFUNCTION("""COMPUTED_VALUE"""),2323)</f>
        <v>2323</v>
      </c>
      <c r="P357" s="1">
        <f ca="1">IFERROR(__xludf.DUMMYFUNCTION("""COMPUTED_VALUE"""),1490)</f>
        <v>1490</v>
      </c>
      <c r="Q357" s="1">
        <f ca="1">IFERROR(__xludf.DUMMYFUNCTION("""COMPUTED_VALUE"""),964)</f>
        <v>964</v>
      </c>
      <c r="R357" s="1">
        <f ca="1">IFERROR(__xludf.DUMMYFUNCTION("""COMPUTED_VALUE"""),2178)</f>
        <v>2178</v>
      </c>
      <c r="S357" s="1">
        <f ca="1">IFERROR(__xludf.DUMMYFUNCTION("""COMPUTED_VALUE"""),0.443)</f>
        <v>0.443</v>
      </c>
      <c r="T357" s="1">
        <f ca="1">IFERROR(__xludf.DUMMYFUNCTION("""COMPUTED_VALUE"""),298)</f>
        <v>298</v>
      </c>
      <c r="U357" s="1">
        <f ca="1">IFERROR(__xludf.DUMMYFUNCTION("""COMPUTED_VALUE"""),829)</f>
        <v>829</v>
      </c>
      <c r="V357" s="1">
        <f ca="1">IFERROR(__xludf.DUMMYFUNCTION("""COMPUTED_VALUE"""),0.359)</f>
        <v>0.35899999999999999</v>
      </c>
      <c r="W357" s="1">
        <f ca="1">IFERROR(__xludf.DUMMYFUNCTION("""COMPUTED_VALUE"""),556)</f>
        <v>556</v>
      </c>
      <c r="X357" s="1">
        <f ca="1">IFERROR(__xludf.DUMMYFUNCTION("""COMPUTED_VALUE"""),769)</f>
        <v>769</v>
      </c>
      <c r="Y357" s="1">
        <f ca="1">IFERROR(__xludf.DUMMYFUNCTION("""COMPUTED_VALUE"""),0.723)</f>
        <v>0.72299999999999998</v>
      </c>
      <c r="Z357" s="1">
        <f ca="1">IFERROR(__xludf.DUMMYFUNCTION("""COMPUTED_VALUE"""),468)</f>
        <v>468</v>
      </c>
      <c r="AA357" s="1">
        <f ca="1">IFERROR(__xludf.DUMMYFUNCTION("""COMPUTED_VALUE"""),1533)</f>
        <v>1533</v>
      </c>
      <c r="AB357" s="1">
        <f ca="1">IFERROR(__xludf.DUMMYFUNCTION("""COMPUTED_VALUE"""),526)</f>
        <v>526</v>
      </c>
      <c r="AC357" s="1">
        <f ca="1">IFERROR(__xludf.DUMMYFUNCTION("""COMPUTED_VALUE"""),246)</f>
        <v>246</v>
      </c>
      <c r="AD357" s="1">
        <f ca="1">IFERROR(__xludf.DUMMYFUNCTION("""COMPUTED_VALUE"""),175)</f>
        <v>175</v>
      </c>
      <c r="AE357" s="1">
        <f ca="1">IFERROR(__xludf.DUMMYFUNCTION("""COMPUTED_VALUE"""),479)</f>
        <v>479</v>
      </c>
      <c r="AF357" s="1">
        <f ca="1">IFERROR(__xludf.DUMMYFUNCTION("""COMPUTED_VALUE"""),731)</f>
        <v>731</v>
      </c>
    </row>
    <row r="358" spans="1:32" ht="12.5" x14ac:dyDescent="0.25">
      <c r="A358" s="1" t="str">
        <f ca="1">IFERROR(__xludf.DUMMYFUNCTION("""COMPUTED_VALUE"""),"VanderbiltNCAA")</f>
        <v>VanderbiltNCAA</v>
      </c>
      <c r="B358" s="1">
        <f ca="1">IFERROR(__xludf.DUMMYFUNCTION("""COMPUTED_VALUE"""),33)</f>
        <v>33</v>
      </c>
      <c r="C358" s="1">
        <f ca="1">IFERROR(__xludf.DUMMYFUNCTION("""COMPUTED_VALUE"""),19)</f>
        <v>19</v>
      </c>
      <c r="D358" s="1">
        <f ca="1">IFERROR(__xludf.DUMMYFUNCTION("""COMPUTED_VALUE"""),14)</f>
        <v>14</v>
      </c>
      <c r="E358" s="1">
        <f ca="1">IFERROR(__xludf.DUMMYFUNCTION("""COMPUTED_VALUE"""),0.576)</f>
        <v>0.57599999999999996</v>
      </c>
      <c r="F358" s="1">
        <f ca="1">IFERROR(__xludf.DUMMYFUNCTION("""COMPUTED_VALUE"""),17.2)</f>
        <v>17.2</v>
      </c>
      <c r="G358" s="1">
        <f ca="1">IFERROR(__xludf.DUMMYFUNCTION("""COMPUTED_VALUE"""),8.68)</f>
        <v>8.68</v>
      </c>
      <c r="H358" s="1">
        <f ca="1">IFERROR(__xludf.DUMMYFUNCTION("""COMPUTED_VALUE"""),11)</f>
        <v>11</v>
      </c>
      <c r="I358" s="1">
        <f ca="1">IFERROR(__xludf.DUMMYFUNCTION("""COMPUTED_VALUE"""),7)</f>
        <v>7</v>
      </c>
      <c r="J358" s="1">
        <f ca="1">IFERROR(__xludf.DUMMYFUNCTION("""COMPUTED_VALUE"""),14)</f>
        <v>14</v>
      </c>
      <c r="K358" s="1">
        <f ca="1">IFERROR(__xludf.DUMMYFUNCTION("""COMPUTED_VALUE"""),2)</f>
        <v>2</v>
      </c>
      <c r="L358" s="1">
        <f ca="1">IFERROR(__xludf.DUMMYFUNCTION("""COMPUTED_VALUE"""),3)</f>
        <v>3</v>
      </c>
      <c r="M358" s="1">
        <f ca="1">IFERROR(__xludf.DUMMYFUNCTION("""COMPUTED_VALUE"""),9)</f>
        <v>9</v>
      </c>
      <c r="N358" s="1">
        <f ca="1">IFERROR(__xludf.DUMMYFUNCTION("""COMPUTED_VALUE"""),2506)</f>
        <v>2506</v>
      </c>
      <c r="O358" s="1">
        <f ca="1">IFERROR(__xludf.DUMMYFUNCTION("""COMPUTED_VALUE"""),2225)</f>
        <v>2225</v>
      </c>
      <c r="P358" s="1">
        <f ca="1">IFERROR(__xludf.DUMMYFUNCTION("""COMPUTED_VALUE"""),1330)</f>
        <v>1330</v>
      </c>
      <c r="Q358" s="1">
        <f ca="1">IFERROR(__xludf.DUMMYFUNCTION("""COMPUTED_VALUE"""),857)</f>
        <v>857</v>
      </c>
      <c r="R358" s="1">
        <f ca="1">IFERROR(__xludf.DUMMYFUNCTION("""COMPUTED_VALUE"""),1879)</f>
        <v>1879</v>
      </c>
      <c r="S358" s="1">
        <f ca="1">IFERROR(__xludf.DUMMYFUNCTION("""COMPUTED_VALUE"""),0.456)</f>
        <v>0.45600000000000002</v>
      </c>
      <c r="T358" s="1">
        <f ca="1">IFERROR(__xludf.DUMMYFUNCTION("""COMPUTED_VALUE"""),273)</f>
        <v>273</v>
      </c>
      <c r="U358" s="1">
        <f ca="1">IFERROR(__xludf.DUMMYFUNCTION("""COMPUTED_VALUE"""),714)</f>
        <v>714</v>
      </c>
      <c r="V358" s="1">
        <f ca="1">IFERROR(__xludf.DUMMYFUNCTION("""COMPUTED_VALUE"""),0.382)</f>
        <v>0.38200000000000001</v>
      </c>
      <c r="W358" s="1">
        <f ca="1">IFERROR(__xludf.DUMMYFUNCTION("""COMPUTED_VALUE"""),519)</f>
        <v>519</v>
      </c>
      <c r="X358" s="1">
        <f ca="1">IFERROR(__xludf.DUMMYFUNCTION("""COMPUTED_VALUE"""),747)</f>
        <v>747</v>
      </c>
      <c r="Y358" s="1">
        <f ca="1">IFERROR(__xludf.DUMMYFUNCTION("""COMPUTED_VALUE"""),0.695)</f>
        <v>0.69499999999999995</v>
      </c>
      <c r="Z358" s="1">
        <f ca="1">IFERROR(__xludf.DUMMYFUNCTION("""COMPUTED_VALUE"""),313)</f>
        <v>313</v>
      </c>
      <c r="AA358" s="1">
        <f ca="1">IFERROR(__xludf.DUMMYFUNCTION("""COMPUTED_VALUE"""),1273)</f>
        <v>1273</v>
      </c>
      <c r="AB358" s="1">
        <f ca="1">IFERROR(__xludf.DUMMYFUNCTION("""COMPUTED_VALUE"""),487)</f>
        <v>487</v>
      </c>
      <c r="AC358" s="1">
        <f ca="1">IFERROR(__xludf.DUMMYFUNCTION("""COMPUTED_VALUE"""),139)</f>
        <v>139</v>
      </c>
      <c r="AD358" s="1">
        <f ca="1">IFERROR(__xludf.DUMMYFUNCTION("""COMPUTED_VALUE"""),182)</f>
        <v>182</v>
      </c>
      <c r="AE358" s="1">
        <f ca="1">IFERROR(__xludf.DUMMYFUNCTION("""COMPUTED_VALUE"""),386)</f>
        <v>386</v>
      </c>
      <c r="AF358" s="1">
        <f ca="1">IFERROR(__xludf.DUMMYFUNCTION("""COMPUTED_VALUE"""),632)</f>
        <v>632</v>
      </c>
    </row>
    <row r="359" spans="1:32" ht="12.5" x14ac:dyDescent="0.25">
      <c r="A359" s="1" t="str">
        <f ca="1">IFERROR(__xludf.DUMMYFUNCTION("""COMPUTED_VALUE"""),"Vermont")</f>
        <v>Vermont</v>
      </c>
      <c r="B359" s="1">
        <f ca="1">IFERROR(__xludf.DUMMYFUNCTION("""COMPUTED_VALUE"""),37)</f>
        <v>37</v>
      </c>
      <c r="C359" s="1">
        <f ca="1">IFERROR(__xludf.DUMMYFUNCTION("""COMPUTED_VALUE"""),23)</f>
        <v>23</v>
      </c>
      <c r="D359" s="1">
        <f ca="1">IFERROR(__xludf.DUMMYFUNCTION("""COMPUTED_VALUE"""),14)</f>
        <v>14</v>
      </c>
      <c r="E359" s="1">
        <f ca="1">IFERROR(__xludf.DUMMYFUNCTION("""COMPUTED_VALUE"""),0.622)</f>
        <v>0.622</v>
      </c>
      <c r="F359" s="1">
        <f ca="1">IFERROR(__xludf.DUMMYFUNCTION("""COMPUTED_VALUE"""),-1.51)</f>
        <v>-1.51</v>
      </c>
      <c r="G359" s="1">
        <f ca="1">IFERROR(__xludf.DUMMYFUNCTION("""COMPUTED_VALUE"""),-4.73)</f>
        <v>-4.7300000000000004</v>
      </c>
      <c r="H359" s="1">
        <f ca="1">IFERROR(__xludf.DUMMYFUNCTION("""COMPUTED_VALUE"""),11)</f>
        <v>11</v>
      </c>
      <c r="I359" s="1">
        <f ca="1">IFERROR(__xludf.DUMMYFUNCTION("""COMPUTED_VALUE"""),5)</f>
        <v>5</v>
      </c>
      <c r="J359" s="1">
        <f ca="1">IFERROR(__xludf.DUMMYFUNCTION("""COMPUTED_VALUE"""),13)</f>
        <v>13</v>
      </c>
      <c r="K359" s="1">
        <f ca="1">IFERROR(__xludf.DUMMYFUNCTION("""COMPUTED_VALUE"""),3)</f>
        <v>3</v>
      </c>
      <c r="L359" s="1">
        <f ca="1">IFERROR(__xludf.DUMMYFUNCTION("""COMPUTED_VALUE"""),9)</f>
        <v>9</v>
      </c>
      <c r="M359" s="1">
        <f ca="1">IFERROR(__xludf.DUMMYFUNCTION("""COMPUTED_VALUE"""),10)</f>
        <v>10</v>
      </c>
      <c r="N359" s="1">
        <f ca="1">IFERROR(__xludf.DUMMYFUNCTION("""COMPUTED_VALUE"""),2774)</f>
        <v>2774</v>
      </c>
      <c r="O359" s="1">
        <f ca="1">IFERROR(__xludf.DUMMYFUNCTION("""COMPUTED_VALUE"""),2611)</f>
        <v>2611</v>
      </c>
      <c r="P359" s="1">
        <f ca="1">IFERROR(__xludf.DUMMYFUNCTION("""COMPUTED_VALUE"""),1480)</f>
        <v>1480</v>
      </c>
      <c r="Q359" s="1">
        <f ca="1">IFERROR(__xludf.DUMMYFUNCTION("""COMPUTED_VALUE"""),986)</f>
        <v>986</v>
      </c>
      <c r="R359" s="1">
        <f ca="1">IFERROR(__xludf.DUMMYFUNCTION("""COMPUTED_VALUE"""),2051)</f>
        <v>2051</v>
      </c>
      <c r="S359" s="1">
        <f ca="1">IFERROR(__xludf.DUMMYFUNCTION("""COMPUTED_VALUE"""),0.481)</f>
        <v>0.48099999999999998</v>
      </c>
      <c r="T359" s="1">
        <f ca="1">IFERROR(__xludf.DUMMYFUNCTION("""COMPUTED_VALUE"""),255)</f>
        <v>255</v>
      </c>
      <c r="U359" s="1">
        <f ca="1">IFERROR(__xludf.DUMMYFUNCTION("""COMPUTED_VALUE"""),666)</f>
        <v>666</v>
      </c>
      <c r="V359" s="1">
        <f ca="1">IFERROR(__xludf.DUMMYFUNCTION("""COMPUTED_VALUE"""),0.383)</f>
        <v>0.38300000000000001</v>
      </c>
      <c r="W359" s="1">
        <f ca="1">IFERROR(__xludf.DUMMYFUNCTION("""COMPUTED_VALUE"""),547)</f>
        <v>547</v>
      </c>
      <c r="X359" s="1">
        <f ca="1">IFERROR(__xludf.DUMMYFUNCTION("""COMPUTED_VALUE"""),772)</f>
        <v>772</v>
      </c>
      <c r="Y359" s="1">
        <f ca="1">IFERROR(__xludf.DUMMYFUNCTION("""COMPUTED_VALUE"""),0.709)</f>
        <v>0.70899999999999996</v>
      </c>
      <c r="Z359" s="1">
        <f ca="1">IFERROR(__xludf.DUMMYFUNCTION("""COMPUTED_VALUE"""),343)</f>
        <v>343</v>
      </c>
      <c r="AA359" s="1">
        <f ca="1">IFERROR(__xludf.DUMMYFUNCTION("""COMPUTED_VALUE"""),1321)</f>
        <v>1321</v>
      </c>
      <c r="AB359" s="1">
        <f ca="1">IFERROR(__xludf.DUMMYFUNCTION("""COMPUTED_VALUE"""),495)</f>
        <v>495</v>
      </c>
      <c r="AC359" s="1">
        <f ca="1">IFERROR(__xludf.DUMMYFUNCTION("""COMPUTED_VALUE"""),212)</f>
        <v>212</v>
      </c>
      <c r="AD359" s="1">
        <f ca="1">IFERROR(__xludf.DUMMYFUNCTION("""COMPUTED_VALUE"""),161)</f>
        <v>161</v>
      </c>
      <c r="AE359" s="1">
        <f ca="1">IFERROR(__xludf.DUMMYFUNCTION("""COMPUTED_VALUE"""),490)</f>
        <v>490</v>
      </c>
      <c r="AF359" s="1">
        <f ca="1">IFERROR(__xludf.DUMMYFUNCTION("""COMPUTED_VALUE"""),719)</f>
        <v>719</v>
      </c>
    </row>
    <row r="360" spans="1:32" ht="12.5" x14ac:dyDescent="0.25">
      <c r="A360" s="1" t="str">
        <f ca="1">IFERROR(__xludf.DUMMYFUNCTION("""COMPUTED_VALUE"""),"VillanovaNCAA")</f>
        <v>VillanovaNCAA</v>
      </c>
      <c r="B360" s="1">
        <f ca="1">IFERROR(__xludf.DUMMYFUNCTION("""COMPUTED_VALUE"""),40)</f>
        <v>40</v>
      </c>
      <c r="C360" s="1">
        <f ca="1">IFERROR(__xludf.DUMMYFUNCTION("""COMPUTED_VALUE"""),35)</f>
        <v>35</v>
      </c>
      <c r="D360" s="1">
        <f ca="1">IFERROR(__xludf.DUMMYFUNCTION("""COMPUTED_VALUE"""),5)</f>
        <v>5</v>
      </c>
      <c r="E360" s="1">
        <f ca="1">IFERROR(__xludf.DUMMYFUNCTION("""COMPUTED_VALUE"""),0.875)</f>
        <v>0.875</v>
      </c>
      <c r="F360" s="1">
        <f ca="1">IFERROR(__xludf.DUMMYFUNCTION("""COMPUTED_VALUE"""),24.08)</f>
        <v>24.08</v>
      </c>
      <c r="G360" s="1">
        <f ca="1">IFERROR(__xludf.DUMMYFUNCTION("""COMPUTED_VALUE"""),9.71)</f>
        <v>9.7100000000000009</v>
      </c>
      <c r="H360" s="1">
        <f ca="1">IFERROR(__xludf.DUMMYFUNCTION("""COMPUTED_VALUE"""),16)</f>
        <v>16</v>
      </c>
      <c r="I360" s="1">
        <f ca="1">IFERROR(__xludf.DUMMYFUNCTION("""COMPUTED_VALUE"""),2)</f>
        <v>2</v>
      </c>
      <c r="J360" s="1">
        <f ca="1">IFERROR(__xludf.DUMMYFUNCTION("""COMPUTED_VALUE"""),15)</f>
        <v>15</v>
      </c>
      <c r="K360" s="1">
        <f ca="1">IFERROR(__xludf.DUMMYFUNCTION("""COMPUTED_VALUE"""),1)</f>
        <v>1</v>
      </c>
      <c r="L360" s="1">
        <f ca="1">IFERROR(__xludf.DUMMYFUNCTION("""COMPUTED_VALUE"""),10)</f>
        <v>10</v>
      </c>
      <c r="M360" s="1">
        <f ca="1">IFERROR(__xludf.DUMMYFUNCTION("""COMPUTED_VALUE"""),2)</f>
        <v>2</v>
      </c>
      <c r="N360" s="1">
        <f ca="1">IFERROR(__xludf.DUMMYFUNCTION("""COMPUTED_VALUE"""),3118)</f>
        <v>3118</v>
      </c>
      <c r="O360" s="1">
        <f ca="1">IFERROR(__xludf.DUMMYFUNCTION("""COMPUTED_VALUE"""),2543)</f>
        <v>2543</v>
      </c>
      <c r="P360" s="1">
        <f ca="1">IFERROR(__xludf.DUMMYFUNCTION("""COMPUTED_VALUE"""),1605)</f>
        <v>1605</v>
      </c>
      <c r="Q360" s="1">
        <f ca="1">IFERROR(__xludf.DUMMYFUNCTION("""COMPUTED_VALUE"""),1086)</f>
        <v>1086</v>
      </c>
      <c r="R360" s="1">
        <f ca="1">IFERROR(__xludf.DUMMYFUNCTION("""COMPUTED_VALUE"""),2247)</f>
        <v>2247</v>
      </c>
      <c r="S360" s="1">
        <f ca="1">IFERROR(__xludf.DUMMYFUNCTION("""COMPUTED_VALUE"""),0.483)</f>
        <v>0.48299999999999998</v>
      </c>
      <c r="T360" s="1">
        <f ca="1">IFERROR(__xludf.DUMMYFUNCTION("""COMPUTED_VALUE"""),347)</f>
        <v>347</v>
      </c>
      <c r="U360" s="1">
        <f ca="1">IFERROR(__xludf.DUMMYFUNCTION("""COMPUTED_VALUE"""),959)</f>
        <v>959</v>
      </c>
      <c r="V360" s="1">
        <f ca="1">IFERROR(__xludf.DUMMYFUNCTION("""COMPUTED_VALUE"""),0.362)</f>
        <v>0.36199999999999999</v>
      </c>
      <c r="W360" s="1">
        <f ca="1">IFERROR(__xludf.DUMMYFUNCTION("""COMPUTED_VALUE"""),599)</f>
        <v>599</v>
      </c>
      <c r="X360" s="1">
        <f ca="1">IFERROR(__xludf.DUMMYFUNCTION("""COMPUTED_VALUE"""),766)</f>
        <v>766</v>
      </c>
      <c r="Y360" s="1">
        <f ca="1">IFERROR(__xludf.DUMMYFUNCTION("""COMPUTED_VALUE"""),0.782)</f>
        <v>0.78200000000000003</v>
      </c>
      <c r="Z360" s="1">
        <f ca="1">IFERROR(__xludf.DUMMYFUNCTION("""COMPUTED_VALUE"""),351)</f>
        <v>351</v>
      </c>
      <c r="AA360" s="1">
        <f ca="1">IFERROR(__xludf.DUMMYFUNCTION("""COMPUTED_VALUE"""),1385)</f>
        <v>1385</v>
      </c>
      <c r="AB360" s="1">
        <f ca="1">IFERROR(__xludf.DUMMYFUNCTION("""COMPUTED_VALUE"""),637)</f>
        <v>637</v>
      </c>
      <c r="AC360" s="1">
        <f ca="1">IFERROR(__xludf.DUMMYFUNCTION("""COMPUTED_VALUE"""),282)</f>
        <v>282</v>
      </c>
      <c r="AD360" s="1">
        <f ca="1">IFERROR(__xludf.DUMMYFUNCTION("""COMPUTED_VALUE"""),136)</f>
        <v>136</v>
      </c>
      <c r="AE360" s="1">
        <f ca="1">IFERROR(__xludf.DUMMYFUNCTION("""COMPUTED_VALUE"""),440)</f>
        <v>440</v>
      </c>
      <c r="AF360" s="1">
        <f ca="1">IFERROR(__xludf.DUMMYFUNCTION("""COMPUTED_VALUE"""),681)</f>
        <v>681</v>
      </c>
    </row>
    <row r="361" spans="1:32" ht="12.5" x14ac:dyDescent="0.25">
      <c r="A361" s="1" t="str">
        <f ca="1">IFERROR(__xludf.DUMMYFUNCTION("""COMPUTED_VALUE"""),"Virginia CommonwealthNCAA")</f>
        <v>Virginia CommonwealthNCAA</v>
      </c>
      <c r="B361" s="1">
        <f ca="1">IFERROR(__xludf.DUMMYFUNCTION("""COMPUTED_VALUE"""),36)</f>
        <v>36</v>
      </c>
      <c r="C361" s="1">
        <f ca="1">IFERROR(__xludf.DUMMYFUNCTION("""COMPUTED_VALUE"""),25)</f>
        <v>25</v>
      </c>
      <c r="D361" s="1">
        <f ca="1">IFERROR(__xludf.DUMMYFUNCTION("""COMPUTED_VALUE"""),11)</f>
        <v>11</v>
      </c>
      <c r="E361" s="1">
        <f ca="1">IFERROR(__xludf.DUMMYFUNCTION("""COMPUTED_VALUE"""),0.694)</f>
        <v>0.69399999999999995</v>
      </c>
      <c r="F361" s="1">
        <f ca="1">IFERROR(__xludf.DUMMYFUNCTION("""COMPUTED_VALUE"""),13.83)</f>
        <v>13.83</v>
      </c>
      <c r="G361" s="1">
        <f ca="1">IFERROR(__xludf.DUMMYFUNCTION("""COMPUTED_VALUE"""),4.35)</f>
        <v>4.3499999999999996</v>
      </c>
      <c r="H361" s="1">
        <f ca="1">IFERROR(__xludf.DUMMYFUNCTION("""COMPUTED_VALUE"""),14)</f>
        <v>14</v>
      </c>
      <c r="I361" s="1">
        <f ca="1">IFERROR(__xludf.DUMMYFUNCTION("""COMPUTED_VALUE"""),4)</f>
        <v>4</v>
      </c>
      <c r="J361" s="1">
        <f ca="1">IFERROR(__xludf.DUMMYFUNCTION("""COMPUTED_VALUE"""),15)</f>
        <v>15</v>
      </c>
      <c r="K361" s="1">
        <f ca="1">IFERROR(__xludf.DUMMYFUNCTION("""COMPUTED_VALUE"""),2)</f>
        <v>2</v>
      </c>
      <c r="L361" s="1">
        <f ca="1">IFERROR(__xludf.DUMMYFUNCTION("""COMPUTED_VALUE"""),7)</f>
        <v>7</v>
      </c>
      <c r="M361" s="1">
        <f ca="1">IFERROR(__xludf.DUMMYFUNCTION("""COMPUTED_VALUE"""),4)</f>
        <v>4</v>
      </c>
      <c r="N361" s="1">
        <f ca="1">IFERROR(__xludf.DUMMYFUNCTION("""COMPUTED_VALUE"""),2781)</f>
        <v>2781</v>
      </c>
      <c r="O361" s="1">
        <f ca="1">IFERROR(__xludf.DUMMYFUNCTION("""COMPUTED_VALUE"""),2440)</f>
        <v>2440</v>
      </c>
      <c r="P361" s="1">
        <f ca="1">IFERROR(__xludf.DUMMYFUNCTION("""COMPUTED_VALUE"""),1450)</f>
        <v>1450</v>
      </c>
      <c r="Q361" s="1">
        <f ca="1">IFERROR(__xludf.DUMMYFUNCTION("""COMPUTED_VALUE"""),1010)</f>
        <v>1010</v>
      </c>
      <c r="R361" s="1">
        <f ca="1">IFERROR(__xludf.DUMMYFUNCTION("""COMPUTED_VALUE"""),2238)</f>
        <v>2238</v>
      </c>
      <c r="S361" s="1">
        <f ca="1">IFERROR(__xludf.DUMMYFUNCTION("""COMPUTED_VALUE"""),0.451)</f>
        <v>0.45100000000000001</v>
      </c>
      <c r="T361" s="1">
        <f ca="1">IFERROR(__xludf.DUMMYFUNCTION("""COMPUTED_VALUE"""),262)</f>
        <v>262</v>
      </c>
      <c r="U361" s="1">
        <f ca="1">IFERROR(__xludf.DUMMYFUNCTION("""COMPUTED_VALUE"""),745)</f>
        <v>745</v>
      </c>
      <c r="V361" s="1">
        <f ca="1">IFERROR(__xludf.DUMMYFUNCTION("""COMPUTED_VALUE"""),0.352)</f>
        <v>0.35199999999999998</v>
      </c>
      <c r="W361" s="1">
        <f ca="1">IFERROR(__xludf.DUMMYFUNCTION("""COMPUTED_VALUE"""),499)</f>
        <v>499</v>
      </c>
      <c r="X361" s="1">
        <f ca="1">IFERROR(__xludf.DUMMYFUNCTION("""COMPUTED_VALUE"""),721)</f>
        <v>721</v>
      </c>
      <c r="Y361" s="1">
        <f ca="1">IFERROR(__xludf.DUMMYFUNCTION("""COMPUTED_VALUE"""),0.692)</f>
        <v>0.69199999999999995</v>
      </c>
      <c r="Z361" s="1">
        <f ca="1">IFERROR(__xludf.DUMMYFUNCTION("""COMPUTED_VALUE"""),447)</f>
        <v>447</v>
      </c>
      <c r="AA361" s="1">
        <f ca="1">IFERROR(__xludf.DUMMYFUNCTION("""COMPUTED_VALUE"""),1347)</f>
        <v>1347</v>
      </c>
      <c r="AB361" s="1">
        <f ca="1">IFERROR(__xludf.DUMMYFUNCTION("""COMPUTED_VALUE"""),515)</f>
        <v>515</v>
      </c>
      <c r="AC361" s="1">
        <f ca="1">IFERROR(__xludf.DUMMYFUNCTION("""COMPUTED_VALUE"""),309)</f>
        <v>309</v>
      </c>
      <c r="AD361" s="1">
        <f ca="1">IFERROR(__xludf.DUMMYFUNCTION("""COMPUTED_VALUE"""),135)</f>
        <v>135</v>
      </c>
      <c r="AE361" s="1">
        <f ca="1">IFERROR(__xludf.DUMMYFUNCTION("""COMPUTED_VALUE"""),405)</f>
        <v>405</v>
      </c>
      <c r="AF361" s="1">
        <f ca="1">IFERROR(__xludf.DUMMYFUNCTION("""COMPUTED_VALUE"""),706)</f>
        <v>706</v>
      </c>
    </row>
    <row r="362" spans="1:32" ht="12.5" x14ac:dyDescent="0.25">
      <c r="A362" s="1" t="str">
        <f ca="1">IFERROR(__xludf.DUMMYFUNCTION("""COMPUTED_VALUE"""),"VMI")</f>
        <v>VMI</v>
      </c>
      <c r="B362" s="1">
        <f ca="1">IFERROR(__xludf.DUMMYFUNCTION("""COMPUTED_VALUE"""),30)</f>
        <v>30</v>
      </c>
      <c r="C362" s="1">
        <f ca="1">IFERROR(__xludf.DUMMYFUNCTION("""COMPUTED_VALUE"""),9)</f>
        <v>9</v>
      </c>
      <c r="D362" s="1">
        <f ca="1">IFERROR(__xludf.DUMMYFUNCTION("""COMPUTED_VALUE"""),21)</f>
        <v>21</v>
      </c>
      <c r="E362" s="1">
        <f ca="1">IFERROR(__xludf.DUMMYFUNCTION("""COMPUTED_VALUE"""),0.3)</f>
        <v>0.3</v>
      </c>
      <c r="F362" s="1">
        <f ca="1">IFERROR(__xludf.DUMMYFUNCTION("""COMPUTED_VALUE"""),-12.96)</f>
        <v>-12.96</v>
      </c>
      <c r="G362" s="1">
        <f ca="1">IFERROR(__xludf.DUMMYFUNCTION("""COMPUTED_VALUE"""),-3.15)</f>
        <v>-3.15</v>
      </c>
      <c r="H362" s="1">
        <f ca="1">IFERROR(__xludf.DUMMYFUNCTION("""COMPUTED_VALUE"""),4)</f>
        <v>4</v>
      </c>
      <c r="I362" s="1">
        <f ca="1">IFERROR(__xludf.DUMMYFUNCTION("""COMPUTED_VALUE"""),14)</f>
        <v>14</v>
      </c>
      <c r="J362" s="1">
        <f ca="1">IFERROR(__xludf.DUMMYFUNCTION("""COMPUTED_VALUE"""),8)</f>
        <v>8</v>
      </c>
      <c r="K362" s="1">
        <f ca="1">IFERROR(__xludf.DUMMYFUNCTION("""COMPUTED_VALUE"""),6)</f>
        <v>6</v>
      </c>
      <c r="L362" s="1">
        <f ca="1">IFERROR(__xludf.DUMMYFUNCTION("""COMPUTED_VALUE"""),1)</f>
        <v>1</v>
      </c>
      <c r="M362" s="1">
        <f ca="1">IFERROR(__xludf.DUMMYFUNCTION("""COMPUTED_VALUE"""),14)</f>
        <v>14</v>
      </c>
      <c r="N362" s="1">
        <f ca="1">IFERROR(__xludf.DUMMYFUNCTION("""COMPUTED_VALUE"""),2081)</f>
        <v>2081</v>
      </c>
      <c r="O362" s="1">
        <f ca="1">IFERROR(__xludf.DUMMYFUNCTION("""COMPUTED_VALUE"""),2264)</f>
        <v>2264</v>
      </c>
      <c r="P362" s="1">
        <f ca="1">IFERROR(__xludf.DUMMYFUNCTION("""COMPUTED_VALUE"""),1205)</f>
        <v>1205</v>
      </c>
      <c r="Q362" s="1">
        <f ca="1">IFERROR(__xludf.DUMMYFUNCTION("""COMPUTED_VALUE"""),729)</f>
        <v>729</v>
      </c>
      <c r="R362" s="1">
        <f ca="1">IFERROR(__xludf.DUMMYFUNCTION("""COMPUTED_VALUE"""),1770)</f>
        <v>1770</v>
      </c>
      <c r="S362" s="1">
        <f ca="1">IFERROR(__xludf.DUMMYFUNCTION("""COMPUTED_VALUE"""),0.412)</f>
        <v>0.41199999999999998</v>
      </c>
      <c r="T362" s="1">
        <f ca="1">IFERROR(__xludf.DUMMYFUNCTION("""COMPUTED_VALUE"""),263)</f>
        <v>263</v>
      </c>
      <c r="U362" s="1">
        <f ca="1">IFERROR(__xludf.DUMMYFUNCTION("""COMPUTED_VALUE"""),783)</f>
        <v>783</v>
      </c>
      <c r="V362" s="1">
        <f ca="1">IFERROR(__xludf.DUMMYFUNCTION("""COMPUTED_VALUE"""),0.336)</f>
        <v>0.33600000000000002</v>
      </c>
      <c r="W362" s="1">
        <f ca="1">IFERROR(__xludf.DUMMYFUNCTION("""COMPUTED_VALUE"""),360)</f>
        <v>360</v>
      </c>
      <c r="X362" s="1">
        <f ca="1">IFERROR(__xludf.DUMMYFUNCTION("""COMPUTED_VALUE"""),498)</f>
        <v>498</v>
      </c>
      <c r="Y362" s="1">
        <f ca="1">IFERROR(__xludf.DUMMYFUNCTION("""COMPUTED_VALUE"""),0.723)</f>
        <v>0.72299999999999998</v>
      </c>
      <c r="Z362" s="1">
        <f ca="1">IFERROR(__xludf.DUMMYFUNCTION("""COMPUTED_VALUE"""),290)</f>
        <v>290</v>
      </c>
      <c r="AA362" s="1">
        <f ca="1">IFERROR(__xludf.DUMMYFUNCTION("""COMPUTED_VALUE"""),996)</f>
        <v>996</v>
      </c>
      <c r="AB362" s="1">
        <f ca="1">IFERROR(__xludf.DUMMYFUNCTION("""COMPUTED_VALUE"""),330)</f>
        <v>330</v>
      </c>
      <c r="AC362" s="1">
        <f ca="1">IFERROR(__xludf.DUMMYFUNCTION("""COMPUTED_VALUE"""),184)</f>
        <v>184</v>
      </c>
      <c r="AD362" s="1">
        <f ca="1">IFERROR(__xludf.DUMMYFUNCTION("""COMPUTED_VALUE"""),126)</f>
        <v>126</v>
      </c>
      <c r="AE362" s="1">
        <f ca="1">IFERROR(__xludf.DUMMYFUNCTION("""COMPUTED_VALUE"""),397)</f>
        <v>397</v>
      </c>
      <c r="AF362" s="1">
        <f ca="1">IFERROR(__xludf.DUMMYFUNCTION("""COMPUTED_VALUE"""),586)</f>
        <v>586</v>
      </c>
    </row>
    <row r="363" spans="1:32" ht="12.5" x14ac:dyDescent="0.25">
      <c r="A363" s="1" t="str">
        <f ca="1">IFERROR(__xludf.DUMMYFUNCTION("""COMPUTED_VALUE"""),"Virginia Tech")</f>
        <v>Virginia Tech</v>
      </c>
      <c r="B363" s="1">
        <f ca="1">IFERROR(__xludf.DUMMYFUNCTION("""COMPUTED_VALUE"""),35)</f>
        <v>35</v>
      </c>
      <c r="C363" s="1">
        <f ca="1">IFERROR(__xludf.DUMMYFUNCTION("""COMPUTED_VALUE"""),20)</f>
        <v>20</v>
      </c>
      <c r="D363" s="1">
        <f ca="1">IFERROR(__xludf.DUMMYFUNCTION("""COMPUTED_VALUE"""),15)</f>
        <v>15</v>
      </c>
      <c r="E363" s="1">
        <f ca="1">IFERROR(__xludf.DUMMYFUNCTION("""COMPUTED_VALUE"""),0.571)</f>
        <v>0.57099999999999995</v>
      </c>
      <c r="F363" s="1">
        <f ca="1">IFERROR(__xludf.DUMMYFUNCTION("""COMPUTED_VALUE"""),9.93)</f>
        <v>9.93</v>
      </c>
      <c r="G363" s="1">
        <f ca="1">IFERROR(__xludf.DUMMYFUNCTION("""COMPUTED_VALUE"""),7.53)</f>
        <v>7.53</v>
      </c>
      <c r="H363" s="1">
        <f ca="1">IFERROR(__xludf.DUMMYFUNCTION("""COMPUTED_VALUE"""),10)</f>
        <v>10</v>
      </c>
      <c r="I363" s="1">
        <f ca="1">IFERROR(__xludf.DUMMYFUNCTION("""COMPUTED_VALUE"""),8)</f>
        <v>8</v>
      </c>
      <c r="J363" s="1">
        <f ca="1">IFERROR(__xludf.DUMMYFUNCTION("""COMPUTED_VALUE"""),14)</f>
        <v>14</v>
      </c>
      <c r="K363" s="1">
        <f ca="1">IFERROR(__xludf.DUMMYFUNCTION("""COMPUTED_VALUE"""),5)</f>
        <v>5</v>
      </c>
      <c r="L363" s="1">
        <f ca="1">IFERROR(__xludf.DUMMYFUNCTION("""COMPUTED_VALUE"""),4)</f>
        <v>4</v>
      </c>
      <c r="M363" s="1">
        <f ca="1">IFERROR(__xludf.DUMMYFUNCTION("""COMPUTED_VALUE"""),7)</f>
        <v>7</v>
      </c>
      <c r="N363" s="1">
        <f ca="1">IFERROR(__xludf.DUMMYFUNCTION("""COMPUTED_VALUE"""),2624)</f>
        <v>2624</v>
      </c>
      <c r="O363" s="1">
        <f ca="1">IFERROR(__xludf.DUMMYFUNCTION("""COMPUTED_VALUE"""),2540)</f>
        <v>2540</v>
      </c>
      <c r="P363" s="1">
        <f ca="1">IFERROR(__xludf.DUMMYFUNCTION("""COMPUTED_VALUE"""),1425)</f>
        <v>1425</v>
      </c>
      <c r="Q363" s="1">
        <f ca="1">IFERROR(__xludf.DUMMYFUNCTION("""COMPUTED_VALUE"""),876)</f>
        <v>876</v>
      </c>
      <c r="R363" s="1">
        <f ca="1">IFERROR(__xludf.DUMMYFUNCTION("""COMPUTED_VALUE"""),1953)</f>
        <v>1953</v>
      </c>
      <c r="S363" s="1">
        <f ca="1">IFERROR(__xludf.DUMMYFUNCTION("""COMPUTED_VALUE"""),0.449)</f>
        <v>0.44900000000000001</v>
      </c>
      <c r="T363" s="1">
        <f ca="1">IFERROR(__xludf.DUMMYFUNCTION("""COMPUTED_VALUE"""),200)</f>
        <v>200</v>
      </c>
      <c r="U363" s="1">
        <f ca="1">IFERROR(__xludf.DUMMYFUNCTION("""COMPUTED_VALUE"""),575)</f>
        <v>575</v>
      </c>
      <c r="V363" s="1">
        <f ca="1">IFERROR(__xludf.DUMMYFUNCTION("""COMPUTED_VALUE"""),0.348)</f>
        <v>0.34799999999999998</v>
      </c>
      <c r="W363" s="1">
        <f ca="1">IFERROR(__xludf.DUMMYFUNCTION("""COMPUTED_VALUE"""),672)</f>
        <v>672</v>
      </c>
      <c r="X363" s="1">
        <f ca="1">IFERROR(__xludf.DUMMYFUNCTION("""COMPUTED_VALUE"""),964)</f>
        <v>964</v>
      </c>
      <c r="Y363" s="1">
        <f ca="1">IFERROR(__xludf.DUMMYFUNCTION("""COMPUTED_VALUE"""),0.697)</f>
        <v>0.69699999999999995</v>
      </c>
      <c r="Z363" s="1">
        <f ca="1">IFERROR(__xludf.DUMMYFUNCTION("""COMPUTED_VALUE"""),371)</f>
        <v>371</v>
      </c>
      <c r="AA363" s="1">
        <f ca="1">IFERROR(__xludf.DUMMYFUNCTION("""COMPUTED_VALUE"""),1230)</f>
        <v>1230</v>
      </c>
      <c r="AB363" s="1">
        <f ca="1">IFERROR(__xludf.DUMMYFUNCTION("""COMPUTED_VALUE"""),426)</f>
        <v>426</v>
      </c>
      <c r="AC363" s="1">
        <f ca="1">IFERROR(__xludf.DUMMYFUNCTION("""COMPUTED_VALUE"""),188)</f>
        <v>188</v>
      </c>
      <c r="AD363" s="1">
        <f ca="1">IFERROR(__xludf.DUMMYFUNCTION("""COMPUTED_VALUE"""),125)</f>
        <v>125</v>
      </c>
      <c r="AE363" s="1">
        <f ca="1">IFERROR(__xludf.DUMMYFUNCTION("""COMPUTED_VALUE"""),447)</f>
        <v>447</v>
      </c>
      <c r="AF363" s="1">
        <f ca="1">IFERROR(__xludf.DUMMYFUNCTION("""COMPUTED_VALUE"""),673)</f>
        <v>673</v>
      </c>
    </row>
    <row r="364" spans="1:32" ht="12.5" x14ac:dyDescent="0.25">
      <c r="A364" s="1" t="str">
        <f ca="1">IFERROR(__xludf.DUMMYFUNCTION("""COMPUTED_VALUE"""),"VirginiaNCAA")</f>
        <v>VirginiaNCAA</v>
      </c>
      <c r="B364" s="1">
        <f ca="1">IFERROR(__xludf.DUMMYFUNCTION("""COMPUTED_VALUE"""),37)</f>
        <v>37</v>
      </c>
      <c r="C364" s="1">
        <f ca="1">IFERROR(__xludf.DUMMYFUNCTION("""COMPUTED_VALUE"""),29)</f>
        <v>29</v>
      </c>
      <c r="D364" s="1">
        <f ca="1">IFERROR(__xludf.DUMMYFUNCTION("""COMPUTED_VALUE"""),8)</f>
        <v>8</v>
      </c>
      <c r="E364" s="1">
        <f ca="1">IFERROR(__xludf.DUMMYFUNCTION("""COMPUTED_VALUE"""),0.784)</f>
        <v>0.78400000000000003</v>
      </c>
      <c r="F364" s="1">
        <f ca="1">IFERROR(__xludf.DUMMYFUNCTION("""COMPUTED_VALUE"""),22.04)</f>
        <v>22.04</v>
      </c>
      <c r="G364" s="1">
        <f ca="1">IFERROR(__xludf.DUMMYFUNCTION("""COMPUTED_VALUE"""),11.12)</f>
        <v>11.12</v>
      </c>
      <c r="H364" s="1">
        <f ca="1">IFERROR(__xludf.DUMMYFUNCTION("""COMPUTED_VALUE"""),13)</f>
        <v>13</v>
      </c>
      <c r="I364" s="1">
        <f ca="1">IFERROR(__xludf.DUMMYFUNCTION("""COMPUTED_VALUE"""),5)</f>
        <v>5</v>
      </c>
      <c r="J364" s="1">
        <f ca="1">IFERROR(__xludf.DUMMYFUNCTION("""COMPUTED_VALUE"""),15)</f>
        <v>15</v>
      </c>
      <c r="K364" s="1">
        <f ca="1">IFERROR(__xludf.DUMMYFUNCTION("""COMPUTED_VALUE"""),0)</f>
        <v>0</v>
      </c>
      <c r="L364" s="1">
        <f ca="1">IFERROR(__xludf.DUMMYFUNCTION("""COMPUTED_VALUE"""),5)</f>
        <v>5</v>
      </c>
      <c r="M364" s="1">
        <f ca="1">IFERROR(__xludf.DUMMYFUNCTION("""COMPUTED_VALUE"""),6)</f>
        <v>6</v>
      </c>
      <c r="N364" s="1">
        <f ca="1">IFERROR(__xludf.DUMMYFUNCTION("""COMPUTED_VALUE"""),2626)</f>
        <v>2626</v>
      </c>
      <c r="O364" s="1">
        <f ca="1">IFERROR(__xludf.DUMMYFUNCTION("""COMPUTED_VALUE"""),2222)</f>
        <v>2222</v>
      </c>
      <c r="P364" s="1">
        <f ca="1">IFERROR(__xludf.DUMMYFUNCTION("""COMPUTED_VALUE"""),1485)</f>
        <v>1485</v>
      </c>
      <c r="Q364" s="1">
        <f ca="1">IFERROR(__xludf.DUMMYFUNCTION("""COMPUTED_VALUE"""),964)</f>
        <v>964</v>
      </c>
      <c r="R364" s="1">
        <f ca="1">IFERROR(__xludf.DUMMYFUNCTION("""COMPUTED_VALUE"""),1964)</f>
        <v>1964</v>
      </c>
      <c r="S364" s="1">
        <f ca="1">IFERROR(__xludf.DUMMYFUNCTION("""COMPUTED_VALUE"""),0.491)</f>
        <v>0.49099999999999999</v>
      </c>
      <c r="T364" s="1">
        <f ca="1">IFERROR(__xludf.DUMMYFUNCTION("""COMPUTED_VALUE"""),224)</f>
        <v>224</v>
      </c>
      <c r="U364" s="1">
        <f ca="1">IFERROR(__xludf.DUMMYFUNCTION("""COMPUTED_VALUE"""),557)</f>
        <v>557</v>
      </c>
      <c r="V364" s="1">
        <f ca="1">IFERROR(__xludf.DUMMYFUNCTION("""COMPUTED_VALUE"""),0.402)</f>
        <v>0.40200000000000002</v>
      </c>
      <c r="W364" s="1">
        <f ca="1">IFERROR(__xludf.DUMMYFUNCTION("""COMPUTED_VALUE"""),474)</f>
        <v>474</v>
      </c>
      <c r="X364" s="1">
        <f ca="1">IFERROR(__xludf.DUMMYFUNCTION("""COMPUTED_VALUE"""),630)</f>
        <v>630</v>
      </c>
      <c r="Y364" s="1">
        <f ca="1">IFERROR(__xludf.DUMMYFUNCTION("""COMPUTED_VALUE"""),0.752)</f>
        <v>0.752</v>
      </c>
      <c r="Z364" s="1">
        <f ca="1">IFERROR(__xludf.DUMMYFUNCTION("""COMPUTED_VALUE"""),323)</f>
        <v>323</v>
      </c>
      <c r="AA364" s="1">
        <f ca="1">IFERROR(__xludf.DUMMYFUNCTION("""COMPUTED_VALUE"""),1189)</f>
        <v>1189</v>
      </c>
      <c r="AB364" s="1">
        <f ca="1">IFERROR(__xludf.DUMMYFUNCTION("""COMPUTED_VALUE"""),551)</f>
        <v>551</v>
      </c>
      <c r="AC364" s="1">
        <f ca="1">IFERROR(__xludf.DUMMYFUNCTION("""COMPUTED_VALUE"""),199)</f>
        <v>199</v>
      </c>
      <c r="AD364" s="1">
        <f ca="1">IFERROR(__xludf.DUMMYFUNCTION("""COMPUTED_VALUE"""),119)</f>
        <v>119</v>
      </c>
      <c r="AE364" s="1">
        <f ca="1">IFERROR(__xludf.DUMMYFUNCTION("""COMPUTED_VALUE"""),345)</f>
        <v>345</v>
      </c>
      <c r="AF364" s="1">
        <f ca="1">IFERROR(__xludf.DUMMYFUNCTION("""COMPUTED_VALUE"""),596)</f>
        <v>596</v>
      </c>
    </row>
    <row r="365" spans="1:32" ht="12.5" x14ac:dyDescent="0.25">
      <c r="A365" s="1" t="str">
        <f ca="1">IFERROR(__xludf.DUMMYFUNCTION("""COMPUTED_VALUE"""),"Wagner")</f>
        <v>Wagner</v>
      </c>
      <c r="B365" s="1">
        <f ca="1">IFERROR(__xludf.DUMMYFUNCTION("""COMPUTED_VALUE"""),34)</f>
        <v>34</v>
      </c>
      <c r="C365" s="1">
        <f ca="1">IFERROR(__xludf.DUMMYFUNCTION("""COMPUTED_VALUE"""),23)</f>
        <v>23</v>
      </c>
      <c r="D365" s="1">
        <f ca="1">IFERROR(__xludf.DUMMYFUNCTION("""COMPUTED_VALUE"""),11)</f>
        <v>11</v>
      </c>
      <c r="E365" s="1">
        <f ca="1">IFERROR(__xludf.DUMMYFUNCTION("""COMPUTED_VALUE"""),0.676)</f>
        <v>0.67600000000000005</v>
      </c>
      <c r="F365" s="1">
        <f ca="1">IFERROR(__xludf.DUMMYFUNCTION("""COMPUTED_VALUE"""),-4.79)</f>
        <v>-4.79</v>
      </c>
      <c r="G365" s="1">
        <f ca="1">IFERROR(__xludf.DUMMYFUNCTION("""COMPUTED_VALUE"""),-9.52)</f>
        <v>-9.52</v>
      </c>
      <c r="H365" s="1">
        <f ca="1">IFERROR(__xludf.DUMMYFUNCTION("""COMPUTED_VALUE"""),13)</f>
        <v>13</v>
      </c>
      <c r="I365" s="1">
        <f ca="1">IFERROR(__xludf.DUMMYFUNCTION("""COMPUTED_VALUE"""),5)</f>
        <v>5</v>
      </c>
      <c r="J365" s="1">
        <f ca="1">IFERROR(__xludf.DUMMYFUNCTION("""COMPUTED_VALUE"""),13)</f>
        <v>13</v>
      </c>
      <c r="K365" s="1">
        <f ca="1">IFERROR(__xludf.DUMMYFUNCTION("""COMPUTED_VALUE"""),4)</f>
        <v>4</v>
      </c>
      <c r="L365" s="1">
        <f ca="1">IFERROR(__xludf.DUMMYFUNCTION("""COMPUTED_VALUE"""),10)</f>
        <v>10</v>
      </c>
      <c r="M365" s="1">
        <f ca="1">IFERROR(__xludf.DUMMYFUNCTION("""COMPUTED_VALUE"""),7)</f>
        <v>7</v>
      </c>
      <c r="N365" s="1">
        <f ca="1">IFERROR(__xludf.DUMMYFUNCTION("""COMPUTED_VALUE"""),2389)</f>
        <v>2389</v>
      </c>
      <c r="O365" s="1">
        <f ca="1">IFERROR(__xludf.DUMMYFUNCTION("""COMPUTED_VALUE"""),2209)</f>
        <v>2209</v>
      </c>
      <c r="P365" s="1">
        <f ca="1">IFERROR(__xludf.DUMMYFUNCTION("""COMPUTED_VALUE"""),1365)</f>
        <v>1365</v>
      </c>
      <c r="Q365" s="1">
        <f ca="1">IFERROR(__xludf.DUMMYFUNCTION("""COMPUTED_VALUE"""),856)</f>
        <v>856</v>
      </c>
      <c r="R365" s="1">
        <f ca="1">IFERROR(__xludf.DUMMYFUNCTION("""COMPUTED_VALUE"""),2019)</f>
        <v>2019</v>
      </c>
      <c r="S365" s="1">
        <f ca="1">IFERROR(__xludf.DUMMYFUNCTION("""COMPUTED_VALUE"""),0.424)</f>
        <v>0.42399999999999999</v>
      </c>
      <c r="T365" s="1">
        <f ca="1">IFERROR(__xludf.DUMMYFUNCTION("""COMPUTED_VALUE"""),203)</f>
        <v>203</v>
      </c>
      <c r="U365" s="1">
        <f ca="1">IFERROR(__xludf.DUMMYFUNCTION("""COMPUTED_VALUE"""),617)</f>
        <v>617</v>
      </c>
      <c r="V365" s="1">
        <f ca="1">IFERROR(__xludf.DUMMYFUNCTION("""COMPUTED_VALUE"""),0.329)</f>
        <v>0.32900000000000001</v>
      </c>
      <c r="W365" s="1">
        <f ca="1">IFERROR(__xludf.DUMMYFUNCTION("""COMPUTED_VALUE"""),474)</f>
        <v>474</v>
      </c>
      <c r="X365" s="1">
        <f ca="1">IFERROR(__xludf.DUMMYFUNCTION("""COMPUTED_VALUE"""),665)</f>
        <v>665</v>
      </c>
      <c r="Y365" s="1">
        <f ca="1">IFERROR(__xludf.DUMMYFUNCTION("""COMPUTED_VALUE"""),0.713)</f>
        <v>0.71299999999999997</v>
      </c>
      <c r="Z365" s="1">
        <f ca="1">IFERROR(__xludf.DUMMYFUNCTION("""COMPUTED_VALUE"""),474)</f>
        <v>474</v>
      </c>
      <c r="AA365" s="1">
        <f ca="1">IFERROR(__xludf.DUMMYFUNCTION("""COMPUTED_VALUE"""),1348)</f>
        <v>1348</v>
      </c>
      <c r="AB365" s="1">
        <f ca="1">IFERROR(__xludf.DUMMYFUNCTION("""COMPUTED_VALUE"""),451)</f>
        <v>451</v>
      </c>
      <c r="AC365" s="1">
        <f ca="1">IFERROR(__xludf.DUMMYFUNCTION("""COMPUTED_VALUE"""),237)</f>
        <v>237</v>
      </c>
      <c r="AD365" s="1">
        <f ca="1">IFERROR(__xludf.DUMMYFUNCTION("""COMPUTED_VALUE"""),136)</f>
        <v>136</v>
      </c>
      <c r="AE365" s="1">
        <f ca="1">IFERROR(__xludf.DUMMYFUNCTION("""COMPUTED_VALUE"""),454)</f>
        <v>454</v>
      </c>
      <c r="AF365" s="1">
        <f ca="1">IFERROR(__xludf.DUMMYFUNCTION("""COMPUTED_VALUE"""),743)</f>
        <v>743</v>
      </c>
    </row>
    <row r="366" spans="1:32" ht="12.5" x14ac:dyDescent="0.25">
      <c r="A366" s="1" t="str">
        <f ca="1">IFERROR(__xludf.DUMMYFUNCTION("""COMPUTED_VALUE"""),"Wake Forest")</f>
        <v>Wake Forest</v>
      </c>
      <c r="B366" s="1">
        <f ca="1">IFERROR(__xludf.DUMMYFUNCTION("""COMPUTED_VALUE"""),31)</f>
        <v>31</v>
      </c>
      <c r="C366" s="1">
        <f ca="1">IFERROR(__xludf.DUMMYFUNCTION("""COMPUTED_VALUE"""),11)</f>
        <v>11</v>
      </c>
      <c r="D366" s="1">
        <f ca="1">IFERROR(__xludf.DUMMYFUNCTION("""COMPUTED_VALUE"""),20)</f>
        <v>20</v>
      </c>
      <c r="E366" s="1">
        <f ca="1">IFERROR(__xludf.DUMMYFUNCTION("""COMPUTED_VALUE"""),0.355)</f>
        <v>0.35499999999999998</v>
      </c>
      <c r="F366" s="1">
        <f ca="1">IFERROR(__xludf.DUMMYFUNCTION("""COMPUTED_VALUE"""),5.53)</f>
        <v>5.53</v>
      </c>
      <c r="G366" s="1">
        <f ca="1">IFERROR(__xludf.DUMMYFUNCTION("""COMPUTED_VALUE"""),10.53)</f>
        <v>10.53</v>
      </c>
      <c r="H366" s="1">
        <f ca="1">IFERROR(__xludf.DUMMYFUNCTION("""COMPUTED_VALUE"""),2)</f>
        <v>2</v>
      </c>
      <c r="I366" s="1">
        <f ca="1">IFERROR(__xludf.DUMMYFUNCTION("""COMPUTED_VALUE"""),16)</f>
        <v>16</v>
      </c>
      <c r="J366" s="1">
        <f ca="1">IFERROR(__xludf.DUMMYFUNCTION("""COMPUTED_VALUE"""),6)</f>
        <v>6</v>
      </c>
      <c r="K366" s="1">
        <f ca="1">IFERROR(__xludf.DUMMYFUNCTION("""COMPUTED_VALUE"""),9)</f>
        <v>9</v>
      </c>
      <c r="L366" s="1">
        <f ca="1">IFERROR(__xludf.DUMMYFUNCTION("""COMPUTED_VALUE"""),3)</f>
        <v>3</v>
      </c>
      <c r="M366" s="1">
        <f ca="1">IFERROR(__xludf.DUMMYFUNCTION("""COMPUTED_VALUE"""),9)</f>
        <v>9</v>
      </c>
      <c r="N366" s="1">
        <f ca="1">IFERROR(__xludf.DUMMYFUNCTION("""COMPUTED_VALUE"""),2295)</f>
        <v>2295</v>
      </c>
      <c r="O366" s="1">
        <f ca="1">IFERROR(__xludf.DUMMYFUNCTION("""COMPUTED_VALUE"""),2450)</f>
        <v>2450</v>
      </c>
      <c r="P366" s="1">
        <f ca="1">IFERROR(__xludf.DUMMYFUNCTION("""COMPUTED_VALUE"""),1250)</f>
        <v>1250</v>
      </c>
      <c r="Q366" s="1">
        <f ca="1">IFERROR(__xludf.DUMMYFUNCTION("""COMPUTED_VALUE"""),793)</f>
        <v>793</v>
      </c>
      <c r="R366" s="1">
        <f ca="1">IFERROR(__xludf.DUMMYFUNCTION("""COMPUTED_VALUE"""),1804)</f>
        <v>1804</v>
      </c>
      <c r="S366" s="1">
        <f ca="1">IFERROR(__xludf.DUMMYFUNCTION("""COMPUTED_VALUE"""),0.44)</f>
        <v>0.44</v>
      </c>
      <c r="T366" s="1">
        <f ca="1">IFERROR(__xludf.DUMMYFUNCTION("""COMPUTED_VALUE"""),195)</f>
        <v>195</v>
      </c>
      <c r="U366" s="1">
        <f ca="1">IFERROR(__xludf.DUMMYFUNCTION("""COMPUTED_VALUE"""),618)</f>
        <v>618</v>
      </c>
      <c r="V366" s="1">
        <f ca="1">IFERROR(__xludf.DUMMYFUNCTION("""COMPUTED_VALUE"""),0.316)</f>
        <v>0.316</v>
      </c>
      <c r="W366" s="1">
        <f ca="1">IFERROR(__xludf.DUMMYFUNCTION("""COMPUTED_VALUE"""),514)</f>
        <v>514</v>
      </c>
      <c r="X366" s="1">
        <f ca="1">IFERROR(__xludf.DUMMYFUNCTION("""COMPUTED_VALUE"""),779)</f>
        <v>779</v>
      </c>
      <c r="Y366" s="1">
        <f ca="1">IFERROR(__xludf.DUMMYFUNCTION("""COMPUTED_VALUE"""),0.66)</f>
        <v>0.66</v>
      </c>
      <c r="Z366" s="1">
        <f ca="1">IFERROR(__xludf.DUMMYFUNCTION("""COMPUTED_VALUE"""),377)</f>
        <v>377</v>
      </c>
      <c r="AA366" s="1">
        <f ca="1">IFERROR(__xludf.DUMMYFUNCTION("""COMPUTED_VALUE"""),1186)</f>
        <v>1186</v>
      </c>
      <c r="AB366" s="1">
        <f ca="1">IFERROR(__xludf.DUMMYFUNCTION("""COMPUTED_VALUE"""),434)</f>
        <v>434</v>
      </c>
      <c r="AC366" s="1">
        <f ca="1">IFERROR(__xludf.DUMMYFUNCTION("""COMPUTED_VALUE"""),184)</f>
        <v>184</v>
      </c>
      <c r="AD366" s="1">
        <f ca="1">IFERROR(__xludf.DUMMYFUNCTION("""COMPUTED_VALUE"""),138)</f>
        <v>138</v>
      </c>
      <c r="AE366" s="1">
        <f ca="1">IFERROR(__xludf.DUMMYFUNCTION("""COMPUTED_VALUE"""),451)</f>
        <v>451</v>
      </c>
      <c r="AF366" s="1">
        <f ca="1">IFERROR(__xludf.DUMMYFUNCTION("""COMPUTED_VALUE"""),649)</f>
        <v>649</v>
      </c>
    </row>
    <row r="367" spans="1:32" ht="12.5" x14ac:dyDescent="0.25">
      <c r="A367" s="1" t="str">
        <f ca="1">IFERROR(__xludf.DUMMYFUNCTION("""COMPUTED_VALUE"""),"Washington State")</f>
        <v>Washington State</v>
      </c>
      <c r="B367" s="1">
        <f ca="1">IFERROR(__xludf.DUMMYFUNCTION("""COMPUTED_VALUE"""),31)</f>
        <v>31</v>
      </c>
      <c r="C367" s="1">
        <f ca="1">IFERROR(__xludf.DUMMYFUNCTION("""COMPUTED_VALUE"""),9)</f>
        <v>9</v>
      </c>
      <c r="D367" s="1">
        <f ca="1">IFERROR(__xludf.DUMMYFUNCTION("""COMPUTED_VALUE"""),22)</f>
        <v>22</v>
      </c>
      <c r="E367" s="1">
        <f ca="1">IFERROR(__xludf.DUMMYFUNCTION("""COMPUTED_VALUE"""),0.29)</f>
        <v>0.28999999999999998</v>
      </c>
      <c r="F367" s="1">
        <f ca="1">IFERROR(__xludf.DUMMYFUNCTION("""COMPUTED_VALUE"""),0.5)</f>
        <v>0.5</v>
      </c>
      <c r="G367" s="1">
        <f ca="1">IFERROR(__xludf.DUMMYFUNCTION("""COMPUTED_VALUE"""),7.97)</f>
        <v>7.97</v>
      </c>
      <c r="H367" s="1">
        <f ca="1">IFERROR(__xludf.DUMMYFUNCTION("""COMPUTED_VALUE"""),1)</f>
        <v>1</v>
      </c>
      <c r="I367" s="1">
        <f ca="1">IFERROR(__xludf.DUMMYFUNCTION("""COMPUTED_VALUE"""),17)</f>
        <v>17</v>
      </c>
      <c r="J367" s="1">
        <f ca="1">IFERROR(__xludf.DUMMYFUNCTION("""COMPUTED_VALUE"""),8)</f>
        <v>8</v>
      </c>
      <c r="K367" s="1">
        <f ca="1">IFERROR(__xludf.DUMMYFUNCTION("""COMPUTED_VALUE"""),9)</f>
        <v>9</v>
      </c>
      <c r="L367" s="1">
        <f ca="1">IFERROR(__xludf.DUMMYFUNCTION("""COMPUTED_VALUE"""),0)</f>
        <v>0</v>
      </c>
      <c r="M367" s="1">
        <f ca="1">IFERROR(__xludf.DUMMYFUNCTION("""COMPUTED_VALUE"""),10)</f>
        <v>10</v>
      </c>
      <c r="N367" s="1">
        <f ca="1">IFERROR(__xludf.DUMMYFUNCTION("""COMPUTED_VALUE"""),2187)</f>
        <v>2187</v>
      </c>
      <c r="O367" s="1">
        <f ca="1">IFERROR(__xludf.DUMMYFUNCTION("""COMPUTED_VALUE"""),2394)</f>
        <v>2394</v>
      </c>
      <c r="P367" s="1">
        <f ca="1">IFERROR(__xludf.DUMMYFUNCTION("""COMPUTED_VALUE"""),1260)</f>
        <v>1260</v>
      </c>
      <c r="Q367" s="1">
        <f ca="1">IFERROR(__xludf.DUMMYFUNCTION("""COMPUTED_VALUE"""),805)</f>
        <v>805</v>
      </c>
      <c r="R367" s="1">
        <f ca="1">IFERROR(__xludf.DUMMYFUNCTION("""COMPUTED_VALUE"""),1760)</f>
        <v>1760</v>
      </c>
      <c r="S367" s="1">
        <f ca="1">IFERROR(__xludf.DUMMYFUNCTION("""COMPUTED_VALUE"""),0.457)</f>
        <v>0.45700000000000002</v>
      </c>
      <c r="T367" s="1">
        <f ca="1">IFERROR(__xludf.DUMMYFUNCTION("""COMPUTED_VALUE"""),184)</f>
        <v>184</v>
      </c>
      <c r="U367" s="1">
        <f ca="1">IFERROR(__xludf.DUMMYFUNCTION("""COMPUTED_VALUE"""),530)</f>
        <v>530</v>
      </c>
      <c r="V367" s="1">
        <f ca="1">IFERROR(__xludf.DUMMYFUNCTION("""COMPUTED_VALUE"""),0.347)</f>
        <v>0.34699999999999998</v>
      </c>
      <c r="W367" s="1">
        <f ca="1">IFERROR(__xludf.DUMMYFUNCTION("""COMPUTED_VALUE"""),393)</f>
        <v>393</v>
      </c>
      <c r="X367" s="1">
        <f ca="1">IFERROR(__xludf.DUMMYFUNCTION("""COMPUTED_VALUE"""),551)</f>
        <v>551</v>
      </c>
      <c r="Y367" s="1">
        <f ca="1">IFERROR(__xludf.DUMMYFUNCTION("""COMPUTED_VALUE"""),0.713)</f>
        <v>0.71299999999999997</v>
      </c>
      <c r="Z367" s="1">
        <f ca="1">IFERROR(__xludf.DUMMYFUNCTION("""COMPUTED_VALUE"""),247)</f>
        <v>247</v>
      </c>
      <c r="AA367" s="1">
        <f ca="1">IFERROR(__xludf.DUMMYFUNCTION("""COMPUTED_VALUE"""),1048)</f>
        <v>1048</v>
      </c>
      <c r="AB367" s="1">
        <f ca="1">IFERROR(__xludf.DUMMYFUNCTION("""COMPUTED_VALUE"""),419)</f>
        <v>419</v>
      </c>
      <c r="AC367" s="1">
        <f ca="1">IFERROR(__xludf.DUMMYFUNCTION("""COMPUTED_VALUE"""),155)</f>
        <v>155</v>
      </c>
      <c r="AD367" s="1">
        <f ca="1">IFERROR(__xludf.DUMMYFUNCTION("""COMPUTED_VALUE"""),134)</f>
        <v>134</v>
      </c>
      <c r="AE367" s="1">
        <f ca="1">IFERROR(__xludf.DUMMYFUNCTION("""COMPUTED_VALUE"""),440)</f>
        <v>440</v>
      </c>
      <c r="AF367" s="1">
        <f ca="1">IFERROR(__xludf.DUMMYFUNCTION("""COMPUTED_VALUE"""),615)</f>
        <v>615</v>
      </c>
    </row>
    <row r="368" spans="1:32" ht="12.5" x14ac:dyDescent="0.25">
      <c r="A368" s="1" t="str">
        <f ca="1">IFERROR(__xludf.DUMMYFUNCTION("""COMPUTED_VALUE"""),"Washington")</f>
        <v>Washington</v>
      </c>
      <c r="B368" s="1">
        <f ca="1">IFERROR(__xludf.DUMMYFUNCTION("""COMPUTED_VALUE"""),34)</f>
        <v>34</v>
      </c>
      <c r="C368" s="1">
        <f ca="1">IFERROR(__xludf.DUMMYFUNCTION("""COMPUTED_VALUE"""),19)</f>
        <v>19</v>
      </c>
      <c r="D368" s="1">
        <f ca="1">IFERROR(__xludf.DUMMYFUNCTION("""COMPUTED_VALUE"""),15)</f>
        <v>15</v>
      </c>
      <c r="E368" s="1">
        <f ca="1">IFERROR(__xludf.DUMMYFUNCTION("""COMPUTED_VALUE"""),0.559)</f>
        <v>0.55900000000000005</v>
      </c>
      <c r="F368" s="1">
        <f ca="1">IFERROR(__xludf.DUMMYFUNCTION("""COMPUTED_VALUE"""),11.21)</f>
        <v>11.21</v>
      </c>
      <c r="G368" s="1">
        <f ca="1">IFERROR(__xludf.DUMMYFUNCTION("""COMPUTED_VALUE"""),8.12)</f>
        <v>8.1199999999999992</v>
      </c>
      <c r="H368" s="1">
        <f ca="1">IFERROR(__xludf.DUMMYFUNCTION("""COMPUTED_VALUE"""),9)</f>
        <v>9</v>
      </c>
      <c r="I368" s="1">
        <f ca="1">IFERROR(__xludf.DUMMYFUNCTION("""COMPUTED_VALUE"""),9)</f>
        <v>9</v>
      </c>
      <c r="J368" s="1">
        <f ca="1">IFERROR(__xludf.DUMMYFUNCTION("""COMPUTED_VALUE"""),13)</f>
        <v>13</v>
      </c>
      <c r="K368" s="1">
        <f ca="1">IFERROR(__xludf.DUMMYFUNCTION("""COMPUTED_VALUE"""),5)</f>
        <v>5</v>
      </c>
      <c r="L368" s="1">
        <f ca="1">IFERROR(__xludf.DUMMYFUNCTION("""COMPUTED_VALUE"""),3)</f>
        <v>3</v>
      </c>
      <c r="M368" s="1">
        <f ca="1">IFERROR(__xludf.DUMMYFUNCTION("""COMPUTED_VALUE"""),7)</f>
        <v>7</v>
      </c>
      <c r="N368" s="1">
        <f ca="1">IFERROR(__xludf.DUMMYFUNCTION("""COMPUTED_VALUE"""),2853)</f>
        <v>2853</v>
      </c>
      <c r="O368" s="1">
        <f ca="1">IFERROR(__xludf.DUMMYFUNCTION("""COMPUTED_VALUE"""),2748)</f>
        <v>2748</v>
      </c>
      <c r="P368" s="1">
        <f ca="1">IFERROR(__xludf.DUMMYFUNCTION("""COMPUTED_VALUE"""),1385)</f>
        <v>1385</v>
      </c>
      <c r="Q368" s="1">
        <f ca="1">IFERROR(__xludf.DUMMYFUNCTION("""COMPUTED_VALUE"""),964)</f>
        <v>964</v>
      </c>
      <c r="R368" s="1">
        <f ca="1">IFERROR(__xludf.DUMMYFUNCTION("""COMPUTED_VALUE"""),2264)</f>
        <v>2264</v>
      </c>
      <c r="S368" s="1">
        <f ca="1">IFERROR(__xludf.DUMMYFUNCTION("""COMPUTED_VALUE"""),0.426)</f>
        <v>0.42599999999999999</v>
      </c>
      <c r="T368" s="1">
        <f ca="1">IFERROR(__xludf.DUMMYFUNCTION("""COMPUTED_VALUE"""),249)</f>
        <v>249</v>
      </c>
      <c r="U368" s="1">
        <f ca="1">IFERROR(__xludf.DUMMYFUNCTION("""COMPUTED_VALUE"""),752)</f>
        <v>752</v>
      </c>
      <c r="V368" s="1">
        <f ca="1">IFERROR(__xludf.DUMMYFUNCTION("""COMPUTED_VALUE"""),0.331)</f>
        <v>0.33100000000000002</v>
      </c>
      <c r="W368" s="1">
        <f ca="1">IFERROR(__xludf.DUMMYFUNCTION("""COMPUTED_VALUE"""),676)</f>
        <v>676</v>
      </c>
      <c r="X368" s="1">
        <f ca="1">IFERROR(__xludf.DUMMYFUNCTION("""COMPUTED_VALUE"""),932)</f>
        <v>932</v>
      </c>
      <c r="Y368" s="1">
        <f ca="1">IFERROR(__xludf.DUMMYFUNCTION("""COMPUTED_VALUE"""),0.725)</f>
        <v>0.72499999999999998</v>
      </c>
      <c r="Z368" s="1">
        <f ca="1">IFERROR(__xludf.DUMMYFUNCTION("""COMPUTED_VALUE"""),473)</f>
        <v>473</v>
      </c>
      <c r="AA368" s="1">
        <f ca="1">IFERROR(__xludf.DUMMYFUNCTION("""COMPUTED_VALUE"""),1360)</f>
        <v>1360</v>
      </c>
      <c r="AB368" s="1">
        <f ca="1">IFERROR(__xludf.DUMMYFUNCTION("""COMPUTED_VALUE"""),488)</f>
        <v>488</v>
      </c>
      <c r="AC368" s="1">
        <f ca="1">IFERROR(__xludf.DUMMYFUNCTION("""COMPUTED_VALUE"""),258)</f>
        <v>258</v>
      </c>
      <c r="AD368" s="1">
        <f ca="1">IFERROR(__xludf.DUMMYFUNCTION("""COMPUTED_VALUE"""),222)</f>
        <v>222</v>
      </c>
      <c r="AE368" s="1">
        <f ca="1">IFERROR(__xludf.DUMMYFUNCTION("""COMPUTED_VALUE"""),470)</f>
        <v>470</v>
      </c>
      <c r="AF368" s="1">
        <f ca="1">IFERROR(__xludf.DUMMYFUNCTION("""COMPUTED_VALUE"""),813)</f>
        <v>813</v>
      </c>
    </row>
    <row r="369" spans="1:32" ht="12.5" x14ac:dyDescent="0.25">
      <c r="A369" s="1" t="str">
        <f ca="1">IFERROR(__xludf.DUMMYFUNCTION("""COMPUTED_VALUE"""),"Weber StateNCAA")</f>
        <v>Weber StateNCAA</v>
      </c>
      <c r="B369" s="1">
        <f ca="1">IFERROR(__xludf.DUMMYFUNCTION("""COMPUTED_VALUE"""),35)</f>
        <v>35</v>
      </c>
      <c r="C369" s="1">
        <f ca="1">IFERROR(__xludf.DUMMYFUNCTION("""COMPUTED_VALUE"""),26)</f>
        <v>26</v>
      </c>
      <c r="D369" s="1">
        <f ca="1">IFERROR(__xludf.DUMMYFUNCTION("""COMPUTED_VALUE"""),9)</f>
        <v>9</v>
      </c>
      <c r="E369" s="1">
        <f ca="1">IFERROR(__xludf.DUMMYFUNCTION("""COMPUTED_VALUE"""),0.743)</f>
        <v>0.74299999999999999</v>
      </c>
      <c r="F369" s="1">
        <f ca="1">IFERROR(__xludf.DUMMYFUNCTION("""COMPUTED_VALUE"""),0.18)</f>
        <v>0.18</v>
      </c>
      <c r="G369" s="1">
        <f ca="1">IFERROR(__xludf.DUMMYFUNCTION("""COMPUTED_VALUE"""),-5.13)</f>
        <v>-5.13</v>
      </c>
      <c r="H369" s="1">
        <f ca="1">IFERROR(__xludf.DUMMYFUNCTION("""COMPUTED_VALUE"""),15)</f>
        <v>15</v>
      </c>
      <c r="I369" s="1">
        <f ca="1">IFERROR(__xludf.DUMMYFUNCTION("""COMPUTED_VALUE"""),3)</f>
        <v>3</v>
      </c>
      <c r="J369" s="1">
        <f ca="1">IFERROR(__xludf.DUMMYFUNCTION("""COMPUTED_VALUE"""),13)</f>
        <v>13</v>
      </c>
      <c r="K369" s="1">
        <f ca="1">IFERROR(__xludf.DUMMYFUNCTION("""COMPUTED_VALUE"""),1)</f>
        <v>1</v>
      </c>
      <c r="L369" s="1">
        <f ca="1">IFERROR(__xludf.DUMMYFUNCTION("""COMPUTED_VALUE"""),6)</f>
        <v>6</v>
      </c>
      <c r="M369" s="1">
        <f ca="1">IFERROR(__xludf.DUMMYFUNCTION("""COMPUTED_VALUE"""),7)</f>
        <v>7</v>
      </c>
      <c r="N369" s="1">
        <f ca="1">IFERROR(__xludf.DUMMYFUNCTION("""COMPUTED_VALUE"""),2662)</f>
        <v>2662</v>
      </c>
      <c r="O369" s="1">
        <f ca="1">IFERROR(__xludf.DUMMYFUNCTION("""COMPUTED_VALUE"""),2344)</f>
        <v>2344</v>
      </c>
      <c r="P369" s="1">
        <f ca="1">IFERROR(__xludf.DUMMYFUNCTION("""COMPUTED_VALUE"""),1420)</f>
        <v>1420</v>
      </c>
      <c r="Q369" s="1">
        <f ca="1">IFERROR(__xludf.DUMMYFUNCTION("""COMPUTED_VALUE"""),908)</f>
        <v>908</v>
      </c>
      <c r="R369" s="1">
        <f ca="1">IFERROR(__xludf.DUMMYFUNCTION("""COMPUTED_VALUE"""),1885)</f>
        <v>1885</v>
      </c>
      <c r="S369" s="1">
        <f ca="1">IFERROR(__xludf.DUMMYFUNCTION("""COMPUTED_VALUE"""),0.482)</f>
        <v>0.48199999999999998</v>
      </c>
      <c r="T369" s="1">
        <f ca="1">IFERROR(__xludf.DUMMYFUNCTION("""COMPUTED_VALUE"""),291)</f>
        <v>291</v>
      </c>
      <c r="U369" s="1">
        <f ca="1">IFERROR(__xludf.DUMMYFUNCTION("""COMPUTED_VALUE"""),785)</f>
        <v>785</v>
      </c>
      <c r="V369" s="1">
        <f ca="1">IFERROR(__xludf.DUMMYFUNCTION("""COMPUTED_VALUE"""),0.371)</f>
        <v>0.371</v>
      </c>
      <c r="W369" s="1">
        <f ca="1">IFERROR(__xludf.DUMMYFUNCTION("""COMPUTED_VALUE"""),555)</f>
        <v>555</v>
      </c>
      <c r="X369" s="1">
        <f ca="1">IFERROR(__xludf.DUMMYFUNCTION("""COMPUTED_VALUE"""),821)</f>
        <v>821</v>
      </c>
      <c r="Y369" s="1">
        <f ca="1">IFERROR(__xludf.DUMMYFUNCTION("""COMPUTED_VALUE"""),0.676)</f>
        <v>0.67600000000000005</v>
      </c>
      <c r="Z369" s="1">
        <f ca="1">IFERROR(__xludf.DUMMYFUNCTION("""COMPUTED_VALUE"""),300)</f>
        <v>300</v>
      </c>
      <c r="AA369" s="1">
        <f ca="1">IFERROR(__xludf.DUMMYFUNCTION("""COMPUTED_VALUE"""),1296)</f>
        <v>1296</v>
      </c>
      <c r="AB369" s="1">
        <f ca="1">IFERROR(__xludf.DUMMYFUNCTION("""COMPUTED_VALUE"""),477)</f>
        <v>477</v>
      </c>
      <c r="AC369" s="1">
        <f ca="1">IFERROR(__xludf.DUMMYFUNCTION("""COMPUTED_VALUE"""),175)</f>
        <v>175</v>
      </c>
      <c r="AD369" s="1">
        <f ca="1">IFERROR(__xludf.DUMMYFUNCTION("""COMPUTED_VALUE"""),119)</f>
        <v>119</v>
      </c>
      <c r="AE369" s="1">
        <f ca="1">IFERROR(__xludf.DUMMYFUNCTION("""COMPUTED_VALUE"""),462)</f>
        <v>462</v>
      </c>
      <c r="AF369" s="1">
        <f ca="1">IFERROR(__xludf.DUMMYFUNCTION("""COMPUTED_VALUE"""),611)</f>
        <v>611</v>
      </c>
    </row>
    <row r="370" spans="1:32" ht="12.5" x14ac:dyDescent="0.25">
      <c r="A370" s="1" t="str">
        <f ca="1">IFERROR(__xludf.DUMMYFUNCTION("""COMPUTED_VALUE"""),"West VirginiaNCAA")</f>
        <v>West VirginiaNCAA</v>
      </c>
      <c r="B370" s="1">
        <f ca="1">IFERROR(__xludf.DUMMYFUNCTION("""COMPUTED_VALUE"""),35)</f>
        <v>35</v>
      </c>
      <c r="C370" s="1">
        <f ca="1">IFERROR(__xludf.DUMMYFUNCTION("""COMPUTED_VALUE"""),26)</f>
        <v>26</v>
      </c>
      <c r="D370" s="1">
        <f ca="1">IFERROR(__xludf.DUMMYFUNCTION("""COMPUTED_VALUE"""),9)</f>
        <v>9</v>
      </c>
      <c r="E370" s="1">
        <f ca="1">IFERROR(__xludf.DUMMYFUNCTION("""COMPUTED_VALUE"""),0.743)</f>
        <v>0.74299999999999999</v>
      </c>
      <c r="F370" s="1">
        <f ca="1">IFERROR(__xludf.DUMMYFUNCTION("""COMPUTED_VALUE"""),21.61)</f>
        <v>21.61</v>
      </c>
      <c r="G370" s="1">
        <f ca="1">IFERROR(__xludf.DUMMYFUNCTION("""COMPUTED_VALUE"""),9.78)</f>
        <v>9.7799999999999994</v>
      </c>
      <c r="H370" s="1">
        <f ca="1">IFERROR(__xludf.DUMMYFUNCTION("""COMPUTED_VALUE"""),13)</f>
        <v>13</v>
      </c>
      <c r="I370" s="1">
        <f ca="1">IFERROR(__xludf.DUMMYFUNCTION("""COMPUTED_VALUE"""),5)</f>
        <v>5</v>
      </c>
      <c r="J370" s="1">
        <f ca="1">IFERROR(__xludf.DUMMYFUNCTION("""COMPUTED_VALUE"""),13)</f>
        <v>13</v>
      </c>
      <c r="K370" s="1">
        <f ca="1">IFERROR(__xludf.DUMMYFUNCTION("""COMPUTED_VALUE"""),2)</f>
        <v>2</v>
      </c>
      <c r="L370" s="1">
        <f ca="1">IFERROR(__xludf.DUMMYFUNCTION("""COMPUTED_VALUE"""),7)</f>
        <v>7</v>
      </c>
      <c r="M370" s="1">
        <f ca="1">IFERROR(__xludf.DUMMYFUNCTION("""COMPUTED_VALUE"""),4)</f>
        <v>4</v>
      </c>
      <c r="N370" s="1">
        <f ca="1">IFERROR(__xludf.DUMMYFUNCTION("""COMPUTED_VALUE"""),2749)</f>
        <v>2749</v>
      </c>
      <c r="O370" s="1">
        <f ca="1">IFERROR(__xludf.DUMMYFUNCTION("""COMPUTED_VALUE"""),2335)</f>
        <v>2335</v>
      </c>
      <c r="P370" s="1">
        <f ca="1">IFERROR(__xludf.DUMMYFUNCTION("""COMPUTED_VALUE"""),1410)</f>
        <v>1410</v>
      </c>
      <c r="Q370" s="1">
        <f ca="1">IFERROR(__xludf.DUMMYFUNCTION("""COMPUTED_VALUE"""),943)</f>
        <v>943</v>
      </c>
      <c r="R370" s="1">
        <f ca="1">IFERROR(__xludf.DUMMYFUNCTION("""COMPUTED_VALUE"""),2102)</f>
        <v>2102</v>
      </c>
      <c r="S370" s="1">
        <f ca="1">IFERROR(__xludf.DUMMYFUNCTION("""COMPUTED_VALUE"""),0.449)</f>
        <v>0.44900000000000001</v>
      </c>
      <c r="T370" s="1">
        <f ca="1">IFERROR(__xludf.DUMMYFUNCTION("""COMPUTED_VALUE"""),209)</f>
        <v>209</v>
      </c>
      <c r="U370" s="1">
        <f ca="1">IFERROR(__xludf.DUMMYFUNCTION("""COMPUTED_VALUE"""),643)</f>
        <v>643</v>
      </c>
      <c r="V370" s="1">
        <f ca="1">IFERROR(__xludf.DUMMYFUNCTION("""COMPUTED_VALUE"""),0.325)</f>
        <v>0.32500000000000001</v>
      </c>
      <c r="W370" s="1">
        <f ca="1">IFERROR(__xludf.DUMMYFUNCTION("""COMPUTED_VALUE"""),654)</f>
        <v>654</v>
      </c>
      <c r="X370" s="1">
        <f ca="1">IFERROR(__xludf.DUMMYFUNCTION("""COMPUTED_VALUE"""),972)</f>
        <v>972</v>
      </c>
      <c r="Y370" s="1">
        <f ca="1">IFERROR(__xludf.DUMMYFUNCTION("""COMPUTED_VALUE"""),0.673)</f>
        <v>0.67300000000000004</v>
      </c>
      <c r="Z370" s="1">
        <f ca="1">IFERROR(__xludf.DUMMYFUNCTION("""COMPUTED_VALUE"""),558)</f>
        <v>558</v>
      </c>
      <c r="AA370" s="1">
        <f ca="1">IFERROR(__xludf.DUMMYFUNCTION("""COMPUTED_VALUE"""),1380)</f>
        <v>1380</v>
      </c>
      <c r="AB370" s="1">
        <f ca="1">IFERROR(__xludf.DUMMYFUNCTION("""COMPUTED_VALUE"""),510)</f>
        <v>510</v>
      </c>
      <c r="AC370" s="1">
        <f ca="1">IFERROR(__xludf.DUMMYFUNCTION("""COMPUTED_VALUE"""),343)</f>
        <v>343</v>
      </c>
      <c r="AD370" s="1">
        <f ca="1">IFERROR(__xludf.DUMMYFUNCTION("""COMPUTED_VALUE"""),93)</f>
        <v>93</v>
      </c>
      <c r="AE370" s="1">
        <f ca="1">IFERROR(__xludf.DUMMYFUNCTION("""COMPUTED_VALUE"""),498)</f>
        <v>498</v>
      </c>
      <c r="AF370" s="1">
        <f ca="1">IFERROR(__xludf.DUMMYFUNCTION("""COMPUTED_VALUE"""),819)</f>
        <v>819</v>
      </c>
    </row>
    <row r="371" spans="1:32" ht="12.5" x14ac:dyDescent="0.25">
      <c r="A371" s="1" t="str">
        <f ca="1">IFERROR(__xludf.DUMMYFUNCTION("""COMPUTED_VALUE"""),"Western Carolina")</f>
        <v>Western Carolina</v>
      </c>
      <c r="B371" s="1">
        <f ca="1">IFERROR(__xludf.DUMMYFUNCTION("""COMPUTED_VALUE"""),34)</f>
        <v>34</v>
      </c>
      <c r="C371" s="1">
        <f ca="1">IFERROR(__xludf.DUMMYFUNCTION("""COMPUTED_VALUE"""),16)</f>
        <v>16</v>
      </c>
      <c r="D371" s="1">
        <f ca="1">IFERROR(__xludf.DUMMYFUNCTION("""COMPUTED_VALUE"""),18)</f>
        <v>18</v>
      </c>
      <c r="E371" s="1">
        <f ca="1">IFERROR(__xludf.DUMMYFUNCTION("""COMPUTED_VALUE"""),0.471)</f>
        <v>0.47099999999999997</v>
      </c>
      <c r="F371" s="1">
        <f ca="1">IFERROR(__xludf.DUMMYFUNCTION("""COMPUTED_VALUE"""),-4.98)</f>
        <v>-4.9800000000000004</v>
      </c>
      <c r="G371" s="1">
        <f ca="1">IFERROR(__xludf.DUMMYFUNCTION("""COMPUTED_VALUE"""),-1.53)</f>
        <v>-1.53</v>
      </c>
      <c r="H371" s="1">
        <f ca="1">IFERROR(__xludf.DUMMYFUNCTION("""COMPUTED_VALUE"""),10)</f>
        <v>10</v>
      </c>
      <c r="I371" s="1">
        <f ca="1">IFERROR(__xludf.DUMMYFUNCTION("""COMPUTED_VALUE"""),8)</f>
        <v>8</v>
      </c>
      <c r="J371" s="1">
        <f ca="1">IFERROR(__xludf.DUMMYFUNCTION("""COMPUTED_VALUE"""),12)</f>
        <v>12</v>
      </c>
      <c r="K371" s="1">
        <f ca="1">IFERROR(__xludf.DUMMYFUNCTION("""COMPUTED_VALUE"""),2)</f>
        <v>2</v>
      </c>
      <c r="L371" s="1">
        <f ca="1">IFERROR(__xludf.DUMMYFUNCTION("""COMPUTED_VALUE"""),3)</f>
        <v>3</v>
      </c>
      <c r="M371" s="1">
        <f ca="1">IFERROR(__xludf.DUMMYFUNCTION("""COMPUTED_VALUE"""),15)</f>
        <v>15</v>
      </c>
      <c r="N371" s="1">
        <f ca="1">IFERROR(__xludf.DUMMYFUNCTION("""COMPUTED_VALUE"""),2479)</f>
        <v>2479</v>
      </c>
      <c r="O371" s="1">
        <f ca="1">IFERROR(__xludf.DUMMYFUNCTION("""COMPUTED_VALUE"""),2490)</f>
        <v>2490</v>
      </c>
      <c r="P371" s="1">
        <f ca="1">IFERROR(__xludf.DUMMYFUNCTION("""COMPUTED_VALUE"""),1385)</f>
        <v>1385</v>
      </c>
      <c r="Q371" s="1">
        <f ca="1">IFERROR(__xludf.DUMMYFUNCTION("""COMPUTED_VALUE"""),851)</f>
        <v>851</v>
      </c>
      <c r="R371" s="1">
        <f ca="1">IFERROR(__xludf.DUMMYFUNCTION("""COMPUTED_VALUE"""),1993)</f>
        <v>1993</v>
      </c>
      <c r="S371" s="1">
        <f ca="1">IFERROR(__xludf.DUMMYFUNCTION("""COMPUTED_VALUE"""),0.427)</f>
        <v>0.42699999999999999</v>
      </c>
      <c r="T371" s="1">
        <f ca="1">IFERROR(__xludf.DUMMYFUNCTION("""COMPUTED_VALUE"""),242)</f>
        <v>242</v>
      </c>
      <c r="U371" s="1">
        <f ca="1">IFERROR(__xludf.DUMMYFUNCTION("""COMPUTED_VALUE"""),730)</f>
        <v>730</v>
      </c>
      <c r="V371" s="1">
        <f ca="1">IFERROR(__xludf.DUMMYFUNCTION("""COMPUTED_VALUE"""),0.332)</f>
        <v>0.33200000000000002</v>
      </c>
      <c r="W371" s="1">
        <f ca="1">IFERROR(__xludf.DUMMYFUNCTION("""COMPUTED_VALUE"""),535)</f>
        <v>535</v>
      </c>
      <c r="X371" s="1">
        <f ca="1">IFERROR(__xludf.DUMMYFUNCTION("""COMPUTED_VALUE"""),760)</f>
        <v>760</v>
      </c>
      <c r="Y371" s="1">
        <f ca="1">IFERROR(__xludf.DUMMYFUNCTION("""COMPUTED_VALUE"""),0.704)</f>
        <v>0.70399999999999996</v>
      </c>
      <c r="Z371" s="1">
        <f ca="1">IFERROR(__xludf.DUMMYFUNCTION("""COMPUTED_VALUE"""),404)</f>
        <v>404</v>
      </c>
      <c r="AA371" s="1">
        <f ca="1">IFERROR(__xludf.DUMMYFUNCTION("""COMPUTED_VALUE"""),1241)</f>
        <v>1241</v>
      </c>
      <c r="AB371" s="1">
        <f ca="1">IFERROR(__xludf.DUMMYFUNCTION("""COMPUTED_VALUE"""),427)</f>
        <v>427</v>
      </c>
      <c r="AC371" s="1">
        <f ca="1">IFERROR(__xludf.DUMMYFUNCTION("""COMPUTED_VALUE"""),275)</f>
        <v>275</v>
      </c>
      <c r="AD371" s="1">
        <f ca="1">IFERROR(__xludf.DUMMYFUNCTION("""COMPUTED_VALUE"""),110)</f>
        <v>110</v>
      </c>
      <c r="AE371" s="1">
        <f ca="1">IFERROR(__xludf.DUMMYFUNCTION("""COMPUTED_VALUE"""),485)</f>
        <v>485</v>
      </c>
      <c r="AF371" s="1">
        <f ca="1">IFERROR(__xludf.DUMMYFUNCTION("""COMPUTED_VALUE"""),705)</f>
        <v>705</v>
      </c>
    </row>
    <row r="372" spans="1:32" ht="12.5" x14ac:dyDescent="0.25">
      <c r="A372" s="1" t="str">
        <f ca="1">IFERROR(__xludf.DUMMYFUNCTION("""COMPUTED_VALUE"""),"Western Illinois")</f>
        <v>Western Illinois</v>
      </c>
      <c r="B372" s="1">
        <f ca="1">IFERROR(__xludf.DUMMYFUNCTION("""COMPUTED_VALUE"""),27)</f>
        <v>27</v>
      </c>
      <c r="C372" s="1">
        <f ca="1">IFERROR(__xludf.DUMMYFUNCTION("""COMPUTED_VALUE"""),10)</f>
        <v>10</v>
      </c>
      <c r="D372" s="1">
        <f ca="1">IFERROR(__xludf.DUMMYFUNCTION("""COMPUTED_VALUE"""),17)</f>
        <v>17</v>
      </c>
      <c r="E372" s="1">
        <f ca="1">IFERROR(__xludf.DUMMYFUNCTION("""COMPUTED_VALUE"""),0.37)</f>
        <v>0.37</v>
      </c>
      <c r="F372" s="1">
        <f ca="1">IFERROR(__xludf.DUMMYFUNCTION("""COMPUTED_VALUE"""),-6.2)</f>
        <v>-6.2</v>
      </c>
      <c r="G372" s="1">
        <f ca="1">IFERROR(__xludf.DUMMYFUNCTION("""COMPUTED_VALUE"""),-1.32)</f>
        <v>-1.32</v>
      </c>
      <c r="H372" s="1">
        <f ca="1">IFERROR(__xludf.DUMMYFUNCTION("""COMPUTED_VALUE"""),3)</f>
        <v>3</v>
      </c>
      <c r="I372" s="1">
        <f ca="1">IFERROR(__xludf.DUMMYFUNCTION("""COMPUTED_VALUE"""),13)</f>
        <v>13</v>
      </c>
      <c r="J372" s="1">
        <f ca="1">IFERROR(__xludf.DUMMYFUNCTION("""COMPUTED_VALUE"""),7)</f>
        <v>7</v>
      </c>
      <c r="K372" s="1">
        <f ca="1">IFERROR(__xludf.DUMMYFUNCTION("""COMPUTED_VALUE"""),6)</f>
        <v>6</v>
      </c>
      <c r="L372" s="1">
        <f ca="1">IFERROR(__xludf.DUMMYFUNCTION("""COMPUTED_VALUE"""),3)</f>
        <v>3</v>
      </c>
      <c r="M372" s="1">
        <f ca="1">IFERROR(__xludf.DUMMYFUNCTION("""COMPUTED_VALUE"""),11)</f>
        <v>11</v>
      </c>
      <c r="N372" s="1">
        <f ca="1">IFERROR(__xludf.DUMMYFUNCTION("""COMPUTED_VALUE"""),1904)</f>
        <v>1904</v>
      </c>
      <c r="O372" s="1">
        <f ca="1">IFERROR(__xludf.DUMMYFUNCTION("""COMPUTED_VALUE"""),1914)</f>
        <v>1914</v>
      </c>
      <c r="P372" s="1">
        <f ca="1">IFERROR(__xludf.DUMMYFUNCTION("""COMPUTED_VALUE"""),1080)</f>
        <v>1080</v>
      </c>
      <c r="Q372" s="1">
        <f ca="1">IFERROR(__xludf.DUMMYFUNCTION("""COMPUTED_VALUE"""),676)</f>
        <v>676</v>
      </c>
      <c r="R372" s="1">
        <f ca="1">IFERROR(__xludf.DUMMYFUNCTION("""COMPUTED_VALUE"""),1521)</f>
        <v>1521</v>
      </c>
      <c r="S372" s="1">
        <f ca="1">IFERROR(__xludf.DUMMYFUNCTION("""COMPUTED_VALUE"""),0.444)</f>
        <v>0.44400000000000001</v>
      </c>
      <c r="T372" s="1">
        <f ca="1">IFERROR(__xludf.DUMMYFUNCTION("""COMPUTED_VALUE"""),190)</f>
        <v>190</v>
      </c>
      <c r="U372" s="1">
        <f ca="1">IFERROR(__xludf.DUMMYFUNCTION("""COMPUTED_VALUE"""),490)</f>
        <v>490</v>
      </c>
      <c r="V372" s="1">
        <f ca="1">IFERROR(__xludf.DUMMYFUNCTION("""COMPUTED_VALUE"""),0.388)</f>
        <v>0.38800000000000001</v>
      </c>
      <c r="W372" s="1">
        <f ca="1">IFERROR(__xludf.DUMMYFUNCTION("""COMPUTED_VALUE"""),362)</f>
        <v>362</v>
      </c>
      <c r="X372" s="1">
        <f ca="1">IFERROR(__xludf.DUMMYFUNCTION("""COMPUTED_VALUE"""),502)</f>
        <v>502</v>
      </c>
      <c r="Y372" s="1">
        <f ca="1">IFERROR(__xludf.DUMMYFUNCTION("""COMPUTED_VALUE"""),0.721)</f>
        <v>0.72099999999999997</v>
      </c>
      <c r="Z372" s="1">
        <f ca="1">IFERROR(__xludf.DUMMYFUNCTION("""COMPUTED_VALUE"""),233)</f>
        <v>233</v>
      </c>
      <c r="AA372" s="1">
        <f ca="1">IFERROR(__xludf.DUMMYFUNCTION("""COMPUTED_VALUE"""),948)</f>
        <v>948</v>
      </c>
      <c r="AB372" s="1">
        <f ca="1">IFERROR(__xludf.DUMMYFUNCTION("""COMPUTED_VALUE"""),361)</f>
        <v>361</v>
      </c>
      <c r="AC372" s="1">
        <f ca="1">IFERROR(__xludf.DUMMYFUNCTION("""COMPUTED_VALUE"""),163)</f>
        <v>163</v>
      </c>
      <c r="AD372" s="1">
        <f ca="1">IFERROR(__xludf.DUMMYFUNCTION("""COMPUTED_VALUE"""),89)</f>
        <v>89</v>
      </c>
      <c r="AE372" s="1">
        <f ca="1">IFERROR(__xludf.DUMMYFUNCTION("""COMPUTED_VALUE"""),332)</f>
        <v>332</v>
      </c>
      <c r="AF372" s="1">
        <f ca="1">IFERROR(__xludf.DUMMYFUNCTION("""COMPUTED_VALUE"""),555)</f>
        <v>555</v>
      </c>
    </row>
    <row r="373" spans="1:32" ht="12.5" x14ac:dyDescent="0.25">
      <c r="A373" s="1" t="str">
        <f ca="1">IFERROR(__xludf.DUMMYFUNCTION("""COMPUTED_VALUE"""),"Western Kentucky")</f>
        <v>Western Kentucky</v>
      </c>
      <c r="B373" s="1">
        <f ca="1">IFERROR(__xludf.DUMMYFUNCTION("""COMPUTED_VALUE"""),34)</f>
        <v>34</v>
      </c>
      <c r="C373" s="1">
        <f ca="1">IFERROR(__xludf.DUMMYFUNCTION("""COMPUTED_VALUE"""),18)</f>
        <v>18</v>
      </c>
      <c r="D373" s="1">
        <f ca="1">IFERROR(__xludf.DUMMYFUNCTION("""COMPUTED_VALUE"""),16)</f>
        <v>16</v>
      </c>
      <c r="E373" s="1">
        <f ca="1">IFERROR(__xludf.DUMMYFUNCTION("""COMPUTED_VALUE"""),0.529)</f>
        <v>0.52900000000000003</v>
      </c>
      <c r="F373" s="1">
        <f ca="1">IFERROR(__xludf.DUMMYFUNCTION("""COMPUTED_VALUE"""),-1.29)</f>
        <v>-1.29</v>
      </c>
      <c r="G373" s="1">
        <f ca="1">IFERROR(__xludf.DUMMYFUNCTION("""COMPUTED_VALUE"""),-0.89)</f>
        <v>-0.89</v>
      </c>
      <c r="H373" s="1">
        <f ca="1">IFERROR(__xludf.DUMMYFUNCTION("""COMPUTED_VALUE"""),8)</f>
        <v>8</v>
      </c>
      <c r="I373" s="1">
        <f ca="1">IFERROR(__xludf.DUMMYFUNCTION("""COMPUTED_VALUE"""),10)</f>
        <v>10</v>
      </c>
      <c r="J373" s="1">
        <f ca="1">IFERROR(__xludf.DUMMYFUNCTION("""COMPUTED_VALUE"""),12)</f>
        <v>12</v>
      </c>
      <c r="K373" s="1">
        <f ca="1">IFERROR(__xludf.DUMMYFUNCTION("""COMPUTED_VALUE"""),4)</f>
        <v>4</v>
      </c>
      <c r="L373" s="1">
        <f ca="1">IFERROR(__xludf.DUMMYFUNCTION("""COMPUTED_VALUE"""),3)</f>
        <v>3</v>
      </c>
      <c r="M373" s="1">
        <f ca="1">IFERROR(__xludf.DUMMYFUNCTION("""COMPUTED_VALUE"""),9)</f>
        <v>9</v>
      </c>
      <c r="N373" s="1">
        <f ca="1">IFERROR(__xludf.DUMMYFUNCTION("""COMPUTED_VALUE"""),2620)</f>
        <v>2620</v>
      </c>
      <c r="O373" s="1">
        <f ca="1">IFERROR(__xludf.DUMMYFUNCTION("""COMPUTED_VALUE"""),2586)</f>
        <v>2586</v>
      </c>
      <c r="P373" s="1">
        <f ca="1">IFERROR(__xludf.DUMMYFUNCTION("""COMPUTED_VALUE"""),1385)</f>
        <v>1385</v>
      </c>
      <c r="Q373" s="1">
        <f ca="1">IFERROR(__xludf.DUMMYFUNCTION("""COMPUTED_VALUE"""),925)</f>
        <v>925</v>
      </c>
      <c r="R373" s="1">
        <f ca="1">IFERROR(__xludf.DUMMYFUNCTION("""COMPUTED_VALUE"""),1970)</f>
        <v>1970</v>
      </c>
      <c r="S373" s="1">
        <f ca="1">IFERROR(__xludf.DUMMYFUNCTION("""COMPUTED_VALUE"""),0.47)</f>
        <v>0.47</v>
      </c>
      <c r="T373" s="1">
        <f ca="1">IFERROR(__xludf.DUMMYFUNCTION("""COMPUTED_VALUE"""),233)</f>
        <v>233</v>
      </c>
      <c r="U373" s="1">
        <f ca="1">IFERROR(__xludf.DUMMYFUNCTION("""COMPUTED_VALUE"""),643)</f>
        <v>643</v>
      </c>
      <c r="V373" s="1">
        <f ca="1">IFERROR(__xludf.DUMMYFUNCTION("""COMPUTED_VALUE"""),0.362)</f>
        <v>0.36199999999999999</v>
      </c>
      <c r="W373" s="1">
        <f ca="1">IFERROR(__xludf.DUMMYFUNCTION("""COMPUTED_VALUE"""),537)</f>
        <v>537</v>
      </c>
      <c r="X373" s="1">
        <f ca="1">IFERROR(__xludf.DUMMYFUNCTION("""COMPUTED_VALUE"""),768)</f>
        <v>768</v>
      </c>
      <c r="Y373" s="1">
        <f ca="1">IFERROR(__xludf.DUMMYFUNCTION("""COMPUTED_VALUE"""),0.699)</f>
        <v>0.69899999999999995</v>
      </c>
      <c r="Z373" s="1">
        <f ca="1">IFERROR(__xludf.DUMMYFUNCTION("""COMPUTED_VALUE"""),405)</f>
        <v>405</v>
      </c>
      <c r="AA373" s="1">
        <f ca="1">IFERROR(__xludf.DUMMYFUNCTION("""COMPUTED_VALUE"""),1311)</f>
        <v>1311</v>
      </c>
      <c r="AB373" s="1">
        <f ca="1">IFERROR(__xludf.DUMMYFUNCTION("""COMPUTED_VALUE"""),463)</f>
        <v>463</v>
      </c>
      <c r="AC373" s="1">
        <f ca="1">IFERROR(__xludf.DUMMYFUNCTION("""COMPUTED_VALUE"""),151)</f>
        <v>151</v>
      </c>
      <c r="AD373" s="1">
        <f ca="1">IFERROR(__xludf.DUMMYFUNCTION("""COMPUTED_VALUE"""),139)</f>
        <v>139</v>
      </c>
      <c r="AE373" s="1">
        <f ca="1">IFERROR(__xludf.DUMMYFUNCTION("""COMPUTED_VALUE"""),450)</f>
        <v>450</v>
      </c>
      <c r="AF373" s="1">
        <f ca="1">IFERROR(__xludf.DUMMYFUNCTION("""COMPUTED_VALUE"""),610)</f>
        <v>610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IFERROR(__xludf.DUMMYFUNCTION("""COMPUTED_VALUE"""),"Western Michigan")</f>
        <v>Western Michigan</v>
      </c>
      <c r="B376" s="1">
        <f ca="1">IFERROR(__xludf.DUMMYFUNCTION("""COMPUTED_VALUE"""),32)</f>
        <v>32</v>
      </c>
      <c r="C376" s="1">
        <f ca="1">IFERROR(__xludf.DUMMYFUNCTION("""COMPUTED_VALUE"""),13)</f>
        <v>13</v>
      </c>
      <c r="D376" s="1">
        <f ca="1">IFERROR(__xludf.DUMMYFUNCTION("""COMPUTED_VALUE"""),19)</f>
        <v>19</v>
      </c>
      <c r="E376" s="1">
        <f ca="1">IFERROR(__xludf.DUMMYFUNCTION("""COMPUTED_VALUE"""),0.406)</f>
        <v>0.40600000000000003</v>
      </c>
      <c r="F376" s="1">
        <f ca="1">IFERROR(__xludf.DUMMYFUNCTION("""COMPUTED_VALUE"""),-2.07)</f>
        <v>-2.0699999999999998</v>
      </c>
      <c r="G376" s="1">
        <f ca="1">IFERROR(__xludf.DUMMYFUNCTION("""COMPUTED_VALUE"""),0.06)</f>
        <v>0.06</v>
      </c>
      <c r="H376" s="1">
        <f ca="1">IFERROR(__xludf.DUMMYFUNCTION("""COMPUTED_VALUE"""),7)</f>
        <v>7</v>
      </c>
      <c r="I376" s="1">
        <f ca="1">IFERROR(__xludf.DUMMYFUNCTION("""COMPUTED_VALUE"""),11)</f>
        <v>11</v>
      </c>
      <c r="J376" s="1">
        <f ca="1">IFERROR(__xludf.DUMMYFUNCTION("""COMPUTED_VALUE"""),10)</f>
        <v>10</v>
      </c>
      <c r="K376" s="1">
        <f ca="1">IFERROR(__xludf.DUMMYFUNCTION("""COMPUTED_VALUE"""),5)</f>
        <v>5</v>
      </c>
      <c r="L376" s="1">
        <f ca="1">IFERROR(__xludf.DUMMYFUNCTION("""COMPUTED_VALUE"""),2)</f>
        <v>2</v>
      </c>
      <c r="M376" s="1">
        <f ca="1">IFERROR(__xludf.DUMMYFUNCTION("""COMPUTED_VALUE"""),12)</f>
        <v>12</v>
      </c>
      <c r="N376" s="1">
        <f ca="1">IFERROR(__xludf.DUMMYFUNCTION("""COMPUTED_VALUE"""),2342)</f>
        <v>2342</v>
      </c>
      <c r="O376" s="1">
        <f ca="1">IFERROR(__xludf.DUMMYFUNCTION("""COMPUTED_VALUE"""),2352)</f>
        <v>2352</v>
      </c>
      <c r="P376" s="1">
        <f ca="1">IFERROR(__xludf.DUMMYFUNCTION("""COMPUTED_VALUE"""),1310)</f>
        <v>1310</v>
      </c>
      <c r="Q376" s="1">
        <f ca="1">IFERROR(__xludf.DUMMYFUNCTION("""COMPUTED_VALUE"""),786)</f>
        <v>786</v>
      </c>
      <c r="R376" s="1">
        <f ca="1">IFERROR(__xludf.DUMMYFUNCTION("""COMPUTED_VALUE"""),1824)</f>
        <v>1824</v>
      </c>
      <c r="S376" s="1">
        <f ca="1">IFERROR(__xludf.DUMMYFUNCTION("""COMPUTED_VALUE"""),0.431)</f>
        <v>0.43099999999999999</v>
      </c>
      <c r="T376" s="1">
        <f ca="1">IFERROR(__xludf.DUMMYFUNCTION("""COMPUTED_VALUE"""),197)</f>
        <v>197</v>
      </c>
      <c r="U376" s="1">
        <f ca="1">IFERROR(__xludf.DUMMYFUNCTION("""COMPUTED_VALUE"""),569)</f>
        <v>569</v>
      </c>
      <c r="V376" s="1">
        <f ca="1">IFERROR(__xludf.DUMMYFUNCTION("""COMPUTED_VALUE"""),0.346)</f>
        <v>0.34599999999999997</v>
      </c>
      <c r="W376" s="1">
        <f ca="1">IFERROR(__xludf.DUMMYFUNCTION("""COMPUTED_VALUE"""),573)</f>
        <v>573</v>
      </c>
      <c r="X376" s="1">
        <f ca="1">IFERROR(__xludf.DUMMYFUNCTION("""COMPUTED_VALUE"""),805)</f>
        <v>805</v>
      </c>
      <c r="Y376" s="1">
        <f ca="1">IFERROR(__xludf.DUMMYFUNCTION("""COMPUTED_VALUE"""),0.712)</f>
        <v>0.71199999999999997</v>
      </c>
      <c r="Z376" s="1">
        <f ca="1">IFERROR(__xludf.DUMMYFUNCTION("""COMPUTED_VALUE"""),359)</f>
        <v>359</v>
      </c>
      <c r="AA376" s="1">
        <f ca="1">IFERROR(__xludf.DUMMYFUNCTION("""COMPUTED_VALUE"""),1190)</f>
        <v>1190</v>
      </c>
      <c r="AB376" s="1">
        <f ca="1">IFERROR(__xludf.DUMMYFUNCTION("""COMPUTED_VALUE"""),382)</f>
        <v>382</v>
      </c>
      <c r="AC376" s="1">
        <f ca="1">IFERROR(__xludf.DUMMYFUNCTION("""COMPUTED_VALUE"""),183)</f>
        <v>183</v>
      </c>
      <c r="AD376" s="1">
        <f ca="1">IFERROR(__xludf.DUMMYFUNCTION("""COMPUTED_VALUE"""),80)</f>
        <v>80</v>
      </c>
      <c r="AE376" s="1">
        <f ca="1">IFERROR(__xludf.DUMMYFUNCTION("""COMPUTED_VALUE"""),401)</f>
        <v>401</v>
      </c>
      <c r="AF376" s="1">
        <f ca="1">IFERROR(__xludf.DUMMYFUNCTION("""COMPUTED_VALUE"""),633)</f>
        <v>633</v>
      </c>
    </row>
    <row r="377" spans="1:32" ht="12.5" x14ac:dyDescent="0.25">
      <c r="A377" s="1" t="str">
        <f ca="1">IFERROR(__xludf.DUMMYFUNCTION("""COMPUTED_VALUE"""),"Wichita StateNCAA")</f>
        <v>Wichita StateNCAA</v>
      </c>
      <c r="B377" s="1">
        <f ca="1">IFERROR(__xludf.DUMMYFUNCTION("""COMPUTED_VALUE"""),35)</f>
        <v>35</v>
      </c>
      <c r="C377" s="1">
        <f ca="1">IFERROR(__xludf.DUMMYFUNCTION("""COMPUTED_VALUE"""),26)</f>
        <v>26</v>
      </c>
      <c r="D377" s="1">
        <f ca="1">IFERROR(__xludf.DUMMYFUNCTION("""COMPUTED_VALUE"""),9)</f>
        <v>9</v>
      </c>
      <c r="E377" s="1">
        <f ca="1">IFERROR(__xludf.DUMMYFUNCTION("""COMPUTED_VALUE"""),0.743)</f>
        <v>0.74299999999999999</v>
      </c>
      <c r="F377" s="1">
        <f ca="1">IFERROR(__xludf.DUMMYFUNCTION("""COMPUTED_VALUE"""),17.39)</f>
        <v>17.39</v>
      </c>
      <c r="G377" s="1">
        <f ca="1">IFERROR(__xludf.DUMMYFUNCTION("""COMPUTED_VALUE"""),4.24)</f>
        <v>4.24</v>
      </c>
      <c r="H377" s="1">
        <f ca="1">IFERROR(__xludf.DUMMYFUNCTION("""COMPUTED_VALUE"""),16)</f>
        <v>16</v>
      </c>
      <c r="I377" s="1">
        <f ca="1">IFERROR(__xludf.DUMMYFUNCTION("""COMPUTED_VALUE"""),2)</f>
        <v>2</v>
      </c>
      <c r="J377" s="1">
        <f ca="1">IFERROR(__xludf.DUMMYFUNCTION("""COMPUTED_VALUE"""),14)</f>
        <v>14</v>
      </c>
      <c r="K377" s="1">
        <f ca="1">IFERROR(__xludf.DUMMYFUNCTION("""COMPUTED_VALUE"""),1)</f>
        <v>1</v>
      </c>
      <c r="L377" s="1">
        <f ca="1">IFERROR(__xludf.DUMMYFUNCTION("""COMPUTED_VALUE"""),9)</f>
        <v>9</v>
      </c>
      <c r="M377" s="1">
        <f ca="1">IFERROR(__xludf.DUMMYFUNCTION("""COMPUTED_VALUE"""),3)</f>
        <v>3</v>
      </c>
      <c r="N377" s="1">
        <f ca="1">IFERROR(__xludf.DUMMYFUNCTION("""COMPUTED_VALUE"""),2535)</f>
        <v>2535</v>
      </c>
      <c r="O377" s="1">
        <f ca="1">IFERROR(__xludf.DUMMYFUNCTION("""COMPUTED_VALUE"""),2066)</f>
        <v>2066</v>
      </c>
      <c r="P377" s="1">
        <f ca="1">IFERROR(__xludf.DUMMYFUNCTION("""COMPUTED_VALUE"""),1410)</f>
        <v>1410</v>
      </c>
      <c r="Q377" s="1">
        <f ca="1">IFERROR(__xludf.DUMMYFUNCTION("""COMPUTED_VALUE"""),867)</f>
        <v>867</v>
      </c>
      <c r="R377" s="1">
        <f ca="1">IFERROR(__xludf.DUMMYFUNCTION("""COMPUTED_VALUE"""),2023)</f>
        <v>2023</v>
      </c>
      <c r="S377" s="1">
        <f ca="1">IFERROR(__xludf.DUMMYFUNCTION("""COMPUTED_VALUE"""),0.429)</f>
        <v>0.42899999999999999</v>
      </c>
      <c r="T377" s="1">
        <f ca="1">IFERROR(__xludf.DUMMYFUNCTION("""COMPUTED_VALUE"""),250)</f>
        <v>250</v>
      </c>
      <c r="U377" s="1">
        <f ca="1">IFERROR(__xludf.DUMMYFUNCTION("""COMPUTED_VALUE"""),771)</f>
        <v>771</v>
      </c>
      <c r="V377" s="1">
        <f ca="1">IFERROR(__xludf.DUMMYFUNCTION("""COMPUTED_VALUE"""),0.324)</f>
        <v>0.32400000000000001</v>
      </c>
      <c r="W377" s="1">
        <f ca="1">IFERROR(__xludf.DUMMYFUNCTION("""COMPUTED_VALUE"""),551)</f>
        <v>551</v>
      </c>
      <c r="X377" s="1">
        <f ca="1">IFERROR(__xludf.DUMMYFUNCTION("""COMPUTED_VALUE"""),768)</f>
        <v>768</v>
      </c>
      <c r="Y377" s="1">
        <f ca="1">IFERROR(__xludf.DUMMYFUNCTION("""COMPUTED_VALUE"""),0.717)</f>
        <v>0.71699999999999997</v>
      </c>
      <c r="Z377" s="1">
        <f ca="1">IFERROR(__xludf.DUMMYFUNCTION("""COMPUTED_VALUE"""),408)</f>
        <v>408</v>
      </c>
      <c r="AA377" s="1">
        <f ca="1">IFERROR(__xludf.DUMMYFUNCTION("""COMPUTED_VALUE"""),1305)</f>
        <v>1305</v>
      </c>
      <c r="AB377" s="1">
        <f ca="1">IFERROR(__xludf.DUMMYFUNCTION("""COMPUTED_VALUE"""),489)</f>
        <v>489</v>
      </c>
      <c r="AC377" s="1">
        <f ca="1">IFERROR(__xludf.DUMMYFUNCTION("""COMPUTED_VALUE"""),255)</f>
        <v>255</v>
      </c>
      <c r="AD377" s="1">
        <f ca="1">IFERROR(__xludf.DUMMYFUNCTION("""COMPUTED_VALUE"""),125)</f>
        <v>125</v>
      </c>
      <c r="AE377" s="1">
        <f ca="1">IFERROR(__xludf.DUMMYFUNCTION("""COMPUTED_VALUE"""),346)</f>
        <v>346</v>
      </c>
      <c r="AF377" s="1">
        <f ca="1">IFERROR(__xludf.DUMMYFUNCTION("""COMPUTED_VALUE"""),705)</f>
        <v>705</v>
      </c>
    </row>
    <row r="378" spans="1:32" ht="12.5" x14ac:dyDescent="0.25">
      <c r="A378" s="1" t="str">
        <f ca="1">IFERROR(__xludf.DUMMYFUNCTION("""COMPUTED_VALUE"""),"William &amp; Mary")</f>
        <v>William &amp; Mary</v>
      </c>
      <c r="B378" s="1">
        <f ca="1">IFERROR(__xludf.DUMMYFUNCTION("""COMPUTED_VALUE"""),31)</f>
        <v>31</v>
      </c>
      <c r="C378" s="1">
        <f ca="1">IFERROR(__xludf.DUMMYFUNCTION("""COMPUTED_VALUE"""),20)</f>
        <v>20</v>
      </c>
      <c r="D378" s="1">
        <f ca="1">IFERROR(__xludf.DUMMYFUNCTION("""COMPUTED_VALUE"""),11)</f>
        <v>11</v>
      </c>
      <c r="E378" s="1">
        <f ca="1">IFERROR(__xludf.DUMMYFUNCTION("""COMPUTED_VALUE"""),0.645)</f>
        <v>0.64500000000000002</v>
      </c>
      <c r="F378" s="1">
        <f ca="1">IFERROR(__xludf.DUMMYFUNCTION("""COMPUTED_VALUE"""),5.57)</f>
        <v>5.57</v>
      </c>
      <c r="G378" s="1">
        <f ca="1">IFERROR(__xludf.DUMMYFUNCTION("""COMPUTED_VALUE"""),1.3)</f>
        <v>1.3</v>
      </c>
      <c r="H378" s="1">
        <f ca="1">IFERROR(__xludf.DUMMYFUNCTION("""COMPUTED_VALUE"""),11)</f>
        <v>11</v>
      </c>
      <c r="I378" s="1">
        <f ca="1">IFERROR(__xludf.DUMMYFUNCTION("""COMPUTED_VALUE"""),7)</f>
        <v>7</v>
      </c>
      <c r="J378" s="1">
        <f ca="1">IFERROR(__xludf.DUMMYFUNCTION("""COMPUTED_VALUE"""),12)</f>
        <v>12</v>
      </c>
      <c r="K378" s="1">
        <f ca="1">IFERROR(__xludf.DUMMYFUNCTION("""COMPUTED_VALUE"""),3)</f>
        <v>3</v>
      </c>
      <c r="L378" s="1">
        <f ca="1">IFERROR(__xludf.DUMMYFUNCTION("""COMPUTED_VALUE"""),7)</f>
        <v>7</v>
      </c>
      <c r="M378" s="1">
        <f ca="1">IFERROR(__xludf.DUMMYFUNCTION("""COMPUTED_VALUE"""),7)</f>
        <v>7</v>
      </c>
      <c r="N378" s="1">
        <f ca="1">IFERROR(__xludf.DUMMYFUNCTION("""COMPUTED_VALUE"""),2384)</f>
        <v>2384</v>
      </c>
      <c r="O378" s="1">
        <f ca="1">IFERROR(__xludf.DUMMYFUNCTION("""COMPUTED_VALUE"""),2205)</f>
        <v>2205</v>
      </c>
      <c r="P378" s="1">
        <f ca="1">IFERROR(__xludf.DUMMYFUNCTION("""COMPUTED_VALUE"""),1250)</f>
        <v>1250</v>
      </c>
      <c r="Q378" s="1">
        <f ca="1">IFERROR(__xludf.DUMMYFUNCTION("""COMPUTED_VALUE"""),843)</f>
        <v>843</v>
      </c>
      <c r="R378" s="1">
        <f ca="1">IFERROR(__xludf.DUMMYFUNCTION("""COMPUTED_VALUE"""),1755)</f>
        <v>1755</v>
      </c>
      <c r="S378" s="1">
        <f ca="1">IFERROR(__xludf.DUMMYFUNCTION("""COMPUTED_VALUE"""),0.48)</f>
        <v>0.48</v>
      </c>
      <c r="T378" s="1">
        <f ca="1">IFERROR(__xludf.DUMMYFUNCTION("""COMPUTED_VALUE"""),241)</f>
        <v>241</v>
      </c>
      <c r="U378" s="1">
        <f ca="1">IFERROR(__xludf.DUMMYFUNCTION("""COMPUTED_VALUE"""),652)</f>
        <v>652</v>
      </c>
      <c r="V378" s="1">
        <f ca="1">IFERROR(__xludf.DUMMYFUNCTION("""COMPUTED_VALUE"""),0.37)</f>
        <v>0.37</v>
      </c>
      <c r="W378" s="1">
        <f ca="1">IFERROR(__xludf.DUMMYFUNCTION("""COMPUTED_VALUE"""),457)</f>
        <v>457</v>
      </c>
      <c r="X378" s="1">
        <f ca="1">IFERROR(__xludf.DUMMYFUNCTION("""COMPUTED_VALUE"""),636)</f>
        <v>636</v>
      </c>
      <c r="Y378" s="1">
        <f ca="1">IFERROR(__xludf.DUMMYFUNCTION("""COMPUTED_VALUE"""),0.719)</f>
        <v>0.71899999999999997</v>
      </c>
      <c r="Z378" s="1">
        <f ca="1">IFERROR(__xludf.DUMMYFUNCTION("""COMPUTED_VALUE"""),258)</f>
        <v>258</v>
      </c>
      <c r="AA378" s="1">
        <f ca="1">IFERROR(__xludf.DUMMYFUNCTION("""COMPUTED_VALUE"""),1141)</f>
        <v>1141</v>
      </c>
      <c r="AB378" s="1">
        <f ca="1">IFERROR(__xludf.DUMMYFUNCTION("""COMPUTED_VALUE"""),501)</f>
        <v>501</v>
      </c>
      <c r="AC378" s="1">
        <f ca="1">IFERROR(__xludf.DUMMYFUNCTION("""COMPUTED_VALUE"""),170)</f>
        <v>170</v>
      </c>
      <c r="AD378" s="1">
        <f ca="1">IFERROR(__xludf.DUMMYFUNCTION("""COMPUTED_VALUE"""),132)</f>
        <v>132</v>
      </c>
      <c r="AE378" s="1">
        <f ca="1">IFERROR(__xludf.DUMMYFUNCTION("""COMPUTED_VALUE"""),331)</f>
        <v>331</v>
      </c>
      <c r="AF378" s="1">
        <f ca="1">IFERROR(__xludf.DUMMYFUNCTION("""COMPUTED_VALUE"""),512)</f>
        <v>512</v>
      </c>
    </row>
    <row r="379" spans="1:32" ht="12.5" x14ac:dyDescent="0.25">
      <c r="A379" s="1" t="str">
        <f ca="1">IFERROR(__xludf.DUMMYFUNCTION("""COMPUTED_VALUE"""),"Winthrop")</f>
        <v>Winthrop</v>
      </c>
      <c r="B379" s="1">
        <f ca="1">IFERROR(__xludf.DUMMYFUNCTION("""COMPUTED_VALUE"""),32)</f>
        <v>32</v>
      </c>
      <c r="C379" s="1">
        <f ca="1">IFERROR(__xludf.DUMMYFUNCTION("""COMPUTED_VALUE"""),23)</f>
        <v>23</v>
      </c>
      <c r="D379" s="1">
        <f ca="1">IFERROR(__xludf.DUMMYFUNCTION("""COMPUTED_VALUE"""),9)</f>
        <v>9</v>
      </c>
      <c r="E379" s="1">
        <f ca="1">IFERROR(__xludf.DUMMYFUNCTION("""COMPUTED_VALUE"""),0.719)</f>
        <v>0.71899999999999997</v>
      </c>
      <c r="F379" s="1">
        <f ca="1">IFERROR(__xludf.DUMMYFUNCTION("""COMPUTED_VALUE"""),-1.42)</f>
        <v>-1.42</v>
      </c>
      <c r="G379" s="1">
        <f ca="1">IFERROR(__xludf.DUMMYFUNCTION("""COMPUTED_VALUE"""),-5.7)</f>
        <v>-5.7</v>
      </c>
      <c r="H379" s="1">
        <f ca="1">IFERROR(__xludf.DUMMYFUNCTION("""COMPUTED_VALUE"""),13)</f>
        <v>13</v>
      </c>
      <c r="I379" s="1">
        <f ca="1">IFERROR(__xludf.DUMMYFUNCTION("""COMPUTED_VALUE"""),5)</f>
        <v>5</v>
      </c>
      <c r="J379" s="1">
        <f ca="1">IFERROR(__xludf.DUMMYFUNCTION("""COMPUTED_VALUE"""),14)</f>
        <v>14</v>
      </c>
      <c r="K379" s="1">
        <f ca="1">IFERROR(__xludf.DUMMYFUNCTION("""COMPUTED_VALUE"""),1)</f>
        <v>1</v>
      </c>
      <c r="L379" s="1">
        <f ca="1">IFERROR(__xludf.DUMMYFUNCTION("""COMPUTED_VALUE"""),7)</f>
        <v>7</v>
      </c>
      <c r="M379" s="1">
        <f ca="1">IFERROR(__xludf.DUMMYFUNCTION("""COMPUTED_VALUE"""),7)</f>
        <v>7</v>
      </c>
      <c r="N379" s="1">
        <f ca="1">IFERROR(__xludf.DUMMYFUNCTION("""COMPUTED_VALUE"""),2631)</f>
        <v>2631</v>
      </c>
      <c r="O379" s="1">
        <f ca="1">IFERROR(__xludf.DUMMYFUNCTION("""COMPUTED_VALUE"""),2429)</f>
        <v>2429</v>
      </c>
      <c r="P379" s="1">
        <f ca="1">IFERROR(__xludf.DUMMYFUNCTION("""COMPUTED_VALUE"""),1280)</f>
        <v>1280</v>
      </c>
      <c r="Q379" s="1">
        <f ca="1">IFERROR(__xludf.DUMMYFUNCTION("""COMPUTED_VALUE"""),890)</f>
        <v>890</v>
      </c>
      <c r="R379" s="1">
        <f ca="1">IFERROR(__xludf.DUMMYFUNCTION("""COMPUTED_VALUE"""),1869)</f>
        <v>1869</v>
      </c>
      <c r="S379" s="1">
        <f ca="1">IFERROR(__xludf.DUMMYFUNCTION("""COMPUTED_VALUE"""),0.476)</f>
        <v>0.47599999999999998</v>
      </c>
      <c r="T379" s="1">
        <f ca="1">IFERROR(__xludf.DUMMYFUNCTION("""COMPUTED_VALUE"""),285)</f>
        <v>285</v>
      </c>
      <c r="U379" s="1">
        <f ca="1">IFERROR(__xludf.DUMMYFUNCTION("""COMPUTED_VALUE"""),768)</f>
        <v>768</v>
      </c>
      <c r="V379" s="1">
        <f ca="1">IFERROR(__xludf.DUMMYFUNCTION("""COMPUTED_VALUE"""),0.371)</f>
        <v>0.371</v>
      </c>
      <c r="W379" s="1">
        <f ca="1">IFERROR(__xludf.DUMMYFUNCTION("""COMPUTED_VALUE"""),566)</f>
        <v>566</v>
      </c>
      <c r="X379" s="1">
        <f ca="1">IFERROR(__xludf.DUMMYFUNCTION("""COMPUTED_VALUE"""),756)</f>
        <v>756</v>
      </c>
      <c r="Y379" s="1">
        <f ca="1">IFERROR(__xludf.DUMMYFUNCTION("""COMPUTED_VALUE"""),0.749)</f>
        <v>0.749</v>
      </c>
      <c r="Z379" s="1">
        <f ca="1">IFERROR(__xludf.DUMMYFUNCTION("""COMPUTED_VALUE"""),291)</f>
        <v>291</v>
      </c>
      <c r="AA379" s="1">
        <f ca="1">IFERROR(__xludf.DUMMYFUNCTION("""COMPUTED_VALUE"""),1160)</f>
        <v>1160</v>
      </c>
      <c r="AB379" s="1">
        <f ca="1">IFERROR(__xludf.DUMMYFUNCTION("""COMPUTED_VALUE"""),378)</f>
        <v>378</v>
      </c>
      <c r="AC379" s="1">
        <f ca="1">IFERROR(__xludf.DUMMYFUNCTION("""COMPUTED_VALUE"""),174)</f>
        <v>174</v>
      </c>
      <c r="AD379" s="1">
        <f ca="1">IFERROR(__xludf.DUMMYFUNCTION("""COMPUTED_VALUE"""),175)</f>
        <v>175</v>
      </c>
      <c r="AE379" s="1">
        <f ca="1">IFERROR(__xludf.DUMMYFUNCTION("""COMPUTED_VALUE"""),403)</f>
        <v>403</v>
      </c>
      <c r="AF379" s="1">
        <f ca="1">IFERROR(__xludf.DUMMYFUNCTION("""COMPUTED_VALUE"""),602)</f>
        <v>602</v>
      </c>
    </row>
    <row r="380" spans="1:32" ht="12.5" x14ac:dyDescent="0.25">
      <c r="A380" s="1" t="str">
        <f ca="1">IFERROR(__xludf.DUMMYFUNCTION("""COMPUTED_VALUE"""),"WisconsinNCAA")</f>
        <v>WisconsinNCAA</v>
      </c>
      <c r="B380" s="1">
        <f ca="1">IFERROR(__xludf.DUMMYFUNCTION("""COMPUTED_VALUE"""),35)</f>
        <v>35</v>
      </c>
      <c r="C380" s="1">
        <f ca="1">IFERROR(__xludf.DUMMYFUNCTION("""COMPUTED_VALUE"""),22)</f>
        <v>22</v>
      </c>
      <c r="D380" s="1">
        <f ca="1">IFERROR(__xludf.DUMMYFUNCTION("""COMPUTED_VALUE"""),13)</f>
        <v>13</v>
      </c>
      <c r="E380" s="1">
        <f ca="1">IFERROR(__xludf.DUMMYFUNCTION("""COMPUTED_VALUE"""),0.629)</f>
        <v>0.629</v>
      </c>
      <c r="F380" s="1">
        <f ca="1">IFERROR(__xludf.DUMMYFUNCTION("""COMPUTED_VALUE"""),13.4)</f>
        <v>13.4</v>
      </c>
      <c r="G380" s="1">
        <f ca="1">IFERROR(__xludf.DUMMYFUNCTION("""COMPUTED_VALUE"""),9.4)</f>
        <v>9.4</v>
      </c>
      <c r="H380" s="1">
        <f ca="1">IFERROR(__xludf.DUMMYFUNCTION("""COMPUTED_VALUE"""),12)</f>
        <v>12</v>
      </c>
      <c r="I380" s="1">
        <f ca="1">IFERROR(__xludf.DUMMYFUNCTION("""COMPUTED_VALUE"""),6)</f>
        <v>6</v>
      </c>
      <c r="J380" s="1">
        <f ca="1">IFERROR(__xludf.DUMMYFUNCTION("""COMPUTED_VALUE"""),13)</f>
        <v>13</v>
      </c>
      <c r="K380" s="1">
        <f ca="1">IFERROR(__xludf.DUMMYFUNCTION("""COMPUTED_VALUE"""),5)</f>
        <v>5</v>
      </c>
      <c r="L380" s="1">
        <f ca="1">IFERROR(__xludf.DUMMYFUNCTION("""COMPUTED_VALUE"""),6)</f>
        <v>6</v>
      </c>
      <c r="M380" s="1">
        <f ca="1">IFERROR(__xludf.DUMMYFUNCTION("""COMPUTED_VALUE"""),5)</f>
        <v>5</v>
      </c>
      <c r="N380" s="1">
        <f ca="1">IFERROR(__xludf.DUMMYFUNCTION("""COMPUTED_VALUE"""),2373)</f>
        <v>2373</v>
      </c>
      <c r="O380" s="1">
        <f ca="1">IFERROR(__xludf.DUMMYFUNCTION("""COMPUTED_VALUE"""),2233)</f>
        <v>2233</v>
      </c>
      <c r="P380" s="1">
        <f ca="1">IFERROR(__xludf.DUMMYFUNCTION("""COMPUTED_VALUE"""),1410)</f>
        <v>1410</v>
      </c>
      <c r="Q380" s="1">
        <f ca="1">IFERROR(__xludf.DUMMYFUNCTION("""COMPUTED_VALUE"""),816)</f>
        <v>816</v>
      </c>
      <c r="R380" s="1">
        <f ca="1">IFERROR(__xludf.DUMMYFUNCTION("""COMPUTED_VALUE"""),1917)</f>
        <v>1917</v>
      </c>
      <c r="S380" s="1">
        <f ca="1">IFERROR(__xludf.DUMMYFUNCTION("""COMPUTED_VALUE"""),0.426)</f>
        <v>0.42599999999999999</v>
      </c>
      <c r="T380" s="1">
        <f ca="1">IFERROR(__xludf.DUMMYFUNCTION("""COMPUTED_VALUE"""),229)</f>
        <v>229</v>
      </c>
      <c r="U380" s="1">
        <f ca="1">IFERROR(__xludf.DUMMYFUNCTION("""COMPUTED_VALUE"""),656)</f>
        <v>656</v>
      </c>
      <c r="V380" s="1">
        <f ca="1">IFERROR(__xludf.DUMMYFUNCTION("""COMPUTED_VALUE"""),0.349)</f>
        <v>0.34899999999999998</v>
      </c>
      <c r="W380" s="1">
        <f ca="1">IFERROR(__xludf.DUMMYFUNCTION("""COMPUTED_VALUE"""),512)</f>
        <v>512</v>
      </c>
      <c r="X380" s="1">
        <f ca="1">IFERROR(__xludf.DUMMYFUNCTION("""COMPUTED_VALUE"""),728)</f>
        <v>728</v>
      </c>
      <c r="Y380" s="1">
        <f ca="1">IFERROR(__xludf.DUMMYFUNCTION("""COMPUTED_VALUE"""),0.703)</f>
        <v>0.70299999999999996</v>
      </c>
      <c r="Z380" s="1">
        <f ca="1">IFERROR(__xludf.DUMMYFUNCTION("""COMPUTED_VALUE"""),398)</f>
        <v>398</v>
      </c>
      <c r="AA380" s="1">
        <f ca="1">IFERROR(__xludf.DUMMYFUNCTION("""COMPUTED_VALUE"""),1228)</f>
        <v>1228</v>
      </c>
      <c r="AB380" s="1">
        <f ca="1">IFERROR(__xludf.DUMMYFUNCTION("""COMPUTED_VALUE"""),400)</f>
        <v>400</v>
      </c>
      <c r="AC380" s="1">
        <f ca="1">IFERROR(__xludf.DUMMYFUNCTION("""COMPUTED_VALUE"""),205)</f>
        <v>205</v>
      </c>
      <c r="AD380" s="1">
        <f ca="1">IFERROR(__xludf.DUMMYFUNCTION("""COMPUTED_VALUE"""),114)</f>
        <v>114</v>
      </c>
      <c r="AE380" s="1">
        <f ca="1">IFERROR(__xludf.DUMMYFUNCTION("""COMPUTED_VALUE"""),386)</f>
        <v>386</v>
      </c>
      <c r="AF380" s="1">
        <f ca="1">IFERROR(__xludf.DUMMYFUNCTION("""COMPUTED_VALUE"""),588)</f>
        <v>588</v>
      </c>
    </row>
    <row r="381" spans="1:32" ht="12.5" x14ac:dyDescent="0.25">
      <c r="A381" s="1" t="str">
        <f ca="1">IFERROR(__xludf.DUMMYFUNCTION("""COMPUTED_VALUE"""),"Wofford")</f>
        <v>Wofford</v>
      </c>
      <c r="B381" s="1">
        <f ca="1">IFERROR(__xludf.DUMMYFUNCTION("""COMPUTED_VALUE"""),32)</f>
        <v>32</v>
      </c>
      <c r="C381" s="1">
        <f ca="1">IFERROR(__xludf.DUMMYFUNCTION("""COMPUTED_VALUE"""),15)</f>
        <v>15</v>
      </c>
      <c r="D381" s="1">
        <f ca="1">IFERROR(__xludf.DUMMYFUNCTION("""COMPUTED_VALUE"""),17)</f>
        <v>17</v>
      </c>
      <c r="E381" s="1">
        <f ca="1">IFERROR(__xludf.DUMMYFUNCTION("""COMPUTED_VALUE"""),0.469)</f>
        <v>0.46899999999999997</v>
      </c>
      <c r="F381" s="1">
        <f ca="1">IFERROR(__xludf.DUMMYFUNCTION("""COMPUTED_VALUE"""),-3.75)</f>
        <v>-3.75</v>
      </c>
      <c r="G381" s="1">
        <f ca="1">IFERROR(__xludf.DUMMYFUNCTION("""COMPUTED_VALUE"""),-2.35)</f>
        <v>-2.35</v>
      </c>
      <c r="H381" s="1">
        <f ca="1">IFERROR(__xludf.DUMMYFUNCTION("""COMPUTED_VALUE"""),11)</f>
        <v>11</v>
      </c>
      <c r="I381" s="1">
        <f ca="1">IFERROR(__xludf.DUMMYFUNCTION("""COMPUTED_VALUE"""),7)</f>
        <v>7</v>
      </c>
      <c r="J381" s="1">
        <f ca="1">IFERROR(__xludf.DUMMYFUNCTION("""COMPUTED_VALUE"""),11)</f>
        <v>11</v>
      </c>
      <c r="K381" s="1">
        <f ca="1">IFERROR(__xludf.DUMMYFUNCTION("""COMPUTED_VALUE"""),2)</f>
        <v>2</v>
      </c>
      <c r="L381" s="1">
        <f ca="1">IFERROR(__xludf.DUMMYFUNCTION("""COMPUTED_VALUE"""),4)</f>
        <v>4</v>
      </c>
      <c r="M381" s="1">
        <f ca="1">IFERROR(__xludf.DUMMYFUNCTION("""COMPUTED_VALUE"""),14)</f>
        <v>14</v>
      </c>
      <c r="N381" s="1">
        <f ca="1">IFERROR(__xludf.DUMMYFUNCTION("""COMPUTED_VALUE"""),2296)</f>
        <v>2296</v>
      </c>
      <c r="O381" s="1">
        <f ca="1">IFERROR(__xludf.DUMMYFUNCTION("""COMPUTED_VALUE"""),2295)</f>
        <v>2295</v>
      </c>
      <c r="P381" s="1">
        <f ca="1">IFERROR(__xludf.DUMMYFUNCTION("""COMPUTED_VALUE"""),1295)</f>
        <v>1295</v>
      </c>
      <c r="Q381" s="1">
        <f ca="1">IFERROR(__xludf.DUMMYFUNCTION("""COMPUTED_VALUE"""),771)</f>
        <v>771</v>
      </c>
      <c r="R381" s="1">
        <f ca="1">IFERROR(__xludf.DUMMYFUNCTION("""COMPUTED_VALUE"""),1725)</f>
        <v>1725</v>
      </c>
      <c r="S381" s="1">
        <f ca="1">IFERROR(__xludf.DUMMYFUNCTION("""COMPUTED_VALUE"""),0.447)</f>
        <v>0.44700000000000001</v>
      </c>
      <c r="T381" s="1">
        <f ca="1">IFERROR(__xludf.DUMMYFUNCTION("""COMPUTED_VALUE"""),270)</f>
        <v>270</v>
      </c>
      <c r="U381" s="1">
        <f ca="1">IFERROR(__xludf.DUMMYFUNCTION("""COMPUTED_VALUE"""),662)</f>
        <v>662</v>
      </c>
      <c r="V381" s="1">
        <f ca="1">IFERROR(__xludf.DUMMYFUNCTION("""COMPUTED_VALUE"""),0.408)</f>
        <v>0.40799999999999997</v>
      </c>
      <c r="W381" s="1">
        <f ca="1">IFERROR(__xludf.DUMMYFUNCTION("""COMPUTED_VALUE"""),484)</f>
        <v>484</v>
      </c>
      <c r="X381" s="1">
        <f ca="1">IFERROR(__xludf.DUMMYFUNCTION("""COMPUTED_VALUE"""),645)</f>
        <v>645</v>
      </c>
      <c r="Y381" s="1">
        <f ca="1">IFERROR(__xludf.DUMMYFUNCTION("""COMPUTED_VALUE"""),0.75)</f>
        <v>0.75</v>
      </c>
      <c r="Z381" s="1">
        <f ca="1">IFERROR(__xludf.DUMMYFUNCTION("""COMPUTED_VALUE"""),274)</f>
        <v>274</v>
      </c>
      <c r="AA381" s="1">
        <f ca="1">IFERROR(__xludf.DUMMYFUNCTION("""COMPUTED_VALUE"""),1013)</f>
        <v>1013</v>
      </c>
      <c r="AB381" s="1">
        <f ca="1">IFERROR(__xludf.DUMMYFUNCTION("""COMPUTED_VALUE"""),470)</f>
        <v>470</v>
      </c>
      <c r="AC381" s="1">
        <f ca="1">IFERROR(__xludf.DUMMYFUNCTION("""COMPUTED_VALUE"""),163)</f>
        <v>163</v>
      </c>
      <c r="AD381" s="1">
        <f ca="1">IFERROR(__xludf.DUMMYFUNCTION("""COMPUTED_VALUE"""),56)</f>
        <v>56</v>
      </c>
      <c r="AE381" s="1">
        <f ca="1">IFERROR(__xludf.DUMMYFUNCTION("""COMPUTED_VALUE"""),379)</f>
        <v>379</v>
      </c>
      <c r="AF381" s="1">
        <f ca="1">IFERROR(__xludf.DUMMYFUNCTION("""COMPUTED_VALUE"""),608)</f>
        <v>608</v>
      </c>
    </row>
    <row r="382" spans="1:32" ht="12.5" x14ac:dyDescent="0.25">
      <c r="A382" s="1" t="str">
        <f ca="1">IFERROR(__xludf.DUMMYFUNCTION("""COMPUTED_VALUE"""),"Wright State")</f>
        <v>Wright State</v>
      </c>
      <c r="B382" s="1">
        <f ca="1">IFERROR(__xludf.DUMMYFUNCTION("""COMPUTED_VALUE"""),35)</f>
        <v>35</v>
      </c>
      <c r="C382" s="1">
        <f ca="1">IFERROR(__xludf.DUMMYFUNCTION("""COMPUTED_VALUE"""),22)</f>
        <v>22</v>
      </c>
      <c r="D382" s="1">
        <f ca="1">IFERROR(__xludf.DUMMYFUNCTION("""COMPUTED_VALUE"""),13)</f>
        <v>13</v>
      </c>
      <c r="E382" s="1">
        <f ca="1">IFERROR(__xludf.DUMMYFUNCTION("""COMPUTED_VALUE"""),0.629)</f>
        <v>0.629</v>
      </c>
      <c r="F382" s="1">
        <f ca="1">IFERROR(__xludf.DUMMYFUNCTION("""COMPUTED_VALUE"""),0.18)</f>
        <v>0.18</v>
      </c>
      <c r="G382" s="1">
        <f ca="1">IFERROR(__xludf.DUMMYFUNCTION("""COMPUTED_VALUE"""),-1.76)</f>
        <v>-1.76</v>
      </c>
      <c r="H382" s="1">
        <f ca="1">IFERROR(__xludf.DUMMYFUNCTION("""COMPUTED_VALUE"""),13)</f>
        <v>13</v>
      </c>
      <c r="I382" s="1">
        <f ca="1">IFERROR(__xludf.DUMMYFUNCTION("""COMPUTED_VALUE"""),5)</f>
        <v>5</v>
      </c>
      <c r="J382" s="1">
        <f ca="1">IFERROR(__xludf.DUMMYFUNCTION("""COMPUTED_VALUE"""),13)</f>
        <v>13</v>
      </c>
      <c r="K382" s="1">
        <f ca="1">IFERROR(__xludf.DUMMYFUNCTION("""COMPUTED_VALUE"""),2)</f>
        <v>2</v>
      </c>
      <c r="L382" s="1">
        <f ca="1">IFERROR(__xludf.DUMMYFUNCTION("""COMPUTED_VALUE"""),5)</f>
        <v>5</v>
      </c>
      <c r="M382" s="1">
        <f ca="1">IFERROR(__xludf.DUMMYFUNCTION("""COMPUTED_VALUE"""),9)</f>
        <v>9</v>
      </c>
      <c r="N382" s="1">
        <f ca="1">IFERROR(__xludf.DUMMYFUNCTION("""COMPUTED_VALUE"""),2399)</f>
        <v>2399</v>
      </c>
      <c r="O382" s="1">
        <f ca="1">IFERROR(__xludf.DUMMYFUNCTION("""COMPUTED_VALUE"""),2303)</f>
        <v>2303</v>
      </c>
      <c r="P382" s="1">
        <f ca="1">IFERROR(__xludf.DUMMYFUNCTION("""COMPUTED_VALUE"""),1405)</f>
        <v>1405</v>
      </c>
      <c r="Q382" s="1">
        <f ca="1">IFERROR(__xludf.DUMMYFUNCTION("""COMPUTED_VALUE"""),856)</f>
        <v>856</v>
      </c>
      <c r="R382" s="1">
        <f ca="1">IFERROR(__xludf.DUMMYFUNCTION("""COMPUTED_VALUE"""),1916)</f>
        <v>1916</v>
      </c>
      <c r="S382" s="1">
        <f ca="1">IFERROR(__xludf.DUMMYFUNCTION("""COMPUTED_VALUE"""),0.447)</f>
        <v>0.44700000000000001</v>
      </c>
      <c r="T382" s="1">
        <f ca="1">IFERROR(__xludf.DUMMYFUNCTION("""COMPUTED_VALUE"""),256)</f>
        <v>256</v>
      </c>
      <c r="U382" s="1">
        <f ca="1">IFERROR(__xludf.DUMMYFUNCTION("""COMPUTED_VALUE"""),687)</f>
        <v>687</v>
      </c>
      <c r="V382" s="1">
        <f ca="1">IFERROR(__xludf.DUMMYFUNCTION("""COMPUTED_VALUE"""),0.373)</f>
        <v>0.373</v>
      </c>
      <c r="W382" s="1">
        <f ca="1">IFERROR(__xludf.DUMMYFUNCTION("""COMPUTED_VALUE"""),431)</f>
        <v>431</v>
      </c>
      <c r="X382" s="1">
        <f ca="1">IFERROR(__xludf.DUMMYFUNCTION("""COMPUTED_VALUE"""),621)</f>
        <v>621</v>
      </c>
      <c r="Y382" s="1">
        <f ca="1">IFERROR(__xludf.DUMMYFUNCTION("""COMPUTED_VALUE"""),0.694)</f>
        <v>0.69399999999999995</v>
      </c>
      <c r="Z382" s="1">
        <f ca="1">IFERROR(__xludf.DUMMYFUNCTION("""COMPUTED_VALUE"""),232)</f>
        <v>232</v>
      </c>
      <c r="AA382" s="1">
        <f ca="1">IFERROR(__xludf.DUMMYFUNCTION("""COMPUTED_VALUE"""),1094)</f>
        <v>1094</v>
      </c>
      <c r="AB382" s="1">
        <f ca="1">IFERROR(__xludf.DUMMYFUNCTION("""COMPUTED_VALUE"""),478)</f>
        <v>478</v>
      </c>
      <c r="AC382" s="1">
        <f ca="1">IFERROR(__xludf.DUMMYFUNCTION("""COMPUTED_VALUE"""),193)</f>
        <v>193</v>
      </c>
      <c r="AD382" s="1">
        <f ca="1">IFERROR(__xludf.DUMMYFUNCTION("""COMPUTED_VALUE"""),75)</f>
        <v>75</v>
      </c>
      <c r="AE382" s="1">
        <f ca="1">IFERROR(__xludf.DUMMYFUNCTION("""COMPUTED_VALUE"""),397)</f>
        <v>397</v>
      </c>
      <c r="AF382" s="1">
        <f ca="1">IFERROR(__xludf.DUMMYFUNCTION("""COMPUTED_VALUE"""),770)</f>
        <v>770</v>
      </c>
    </row>
    <row r="383" spans="1:32" ht="12.5" x14ac:dyDescent="0.25">
      <c r="A383" s="1" t="str">
        <f ca="1">IFERROR(__xludf.DUMMYFUNCTION("""COMPUTED_VALUE"""),"Wyoming")</f>
        <v>Wyoming</v>
      </c>
      <c r="B383" s="1">
        <f ca="1">IFERROR(__xludf.DUMMYFUNCTION("""COMPUTED_VALUE"""),32)</f>
        <v>32</v>
      </c>
      <c r="C383" s="1">
        <f ca="1">IFERROR(__xludf.DUMMYFUNCTION("""COMPUTED_VALUE"""),14)</f>
        <v>14</v>
      </c>
      <c r="D383" s="1">
        <f ca="1">IFERROR(__xludf.DUMMYFUNCTION("""COMPUTED_VALUE"""),18)</f>
        <v>18</v>
      </c>
      <c r="E383" s="1">
        <f ca="1">IFERROR(__xludf.DUMMYFUNCTION("""COMPUTED_VALUE"""),0.438)</f>
        <v>0.438</v>
      </c>
      <c r="F383" s="1">
        <f ca="1">IFERROR(__xludf.DUMMYFUNCTION("""COMPUTED_VALUE"""),0.09)</f>
        <v>0.09</v>
      </c>
      <c r="G383" s="1">
        <f ca="1">IFERROR(__xludf.DUMMYFUNCTION("""COMPUTED_VALUE"""),2.19)</f>
        <v>2.19</v>
      </c>
      <c r="H383" s="1">
        <f ca="1">IFERROR(__xludf.DUMMYFUNCTION("""COMPUTED_VALUE"""),7)</f>
        <v>7</v>
      </c>
      <c r="I383" s="1">
        <f ca="1">IFERROR(__xludf.DUMMYFUNCTION("""COMPUTED_VALUE"""),11)</f>
        <v>11</v>
      </c>
      <c r="J383" s="1">
        <f ca="1">IFERROR(__xludf.DUMMYFUNCTION("""COMPUTED_VALUE"""),10)</f>
        <v>10</v>
      </c>
      <c r="K383" s="1">
        <f ca="1">IFERROR(__xludf.DUMMYFUNCTION("""COMPUTED_VALUE"""),6)</f>
        <v>6</v>
      </c>
      <c r="L383" s="1">
        <f ca="1">IFERROR(__xludf.DUMMYFUNCTION("""COMPUTED_VALUE"""),4)</f>
        <v>4</v>
      </c>
      <c r="M383" s="1">
        <f ca="1">IFERROR(__xludf.DUMMYFUNCTION("""COMPUTED_VALUE"""),8)</f>
        <v>8</v>
      </c>
      <c r="N383" s="1">
        <f ca="1">IFERROR(__xludf.DUMMYFUNCTION("""COMPUTED_VALUE"""),2294)</f>
        <v>2294</v>
      </c>
      <c r="O383" s="1">
        <f ca="1">IFERROR(__xludf.DUMMYFUNCTION("""COMPUTED_VALUE"""),2302)</f>
        <v>2302</v>
      </c>
      <c r="P383" s="1">
        <f ca="1">IFERROR(__xludf.DUMMYFUNCTION("""COMPUTED_VALUE"""),1295)</f>
        <v>1295</v>
      </c>
      <c r="Q383" s="1">
        <f ca="1">IFERROR(__xludf.DUMMYFUNCTION("""COMPUTED_VALUE"""),720)</f>
        <v>720</v>
      </c>
      <c r="R383" s="1">
        <f ca="1">IFERROR(__xludf.DUMMYFUNCTION("""COMPUTED_VALUE"""),1626)</f>
        <v>1626</v>
      </c>
      <c r="S383" s="1">
        <f ca="1">IFERROR(__xludf.DUMMYFUNCTION("""COMPUTED_VALUE"""),0.443)</f>
        <v>0.443</v>
      </c>
      <c r="T383" s="1">
        <f ca="1">IFERROR(__xludf.DUMMYFUNCTION("""COMPUTED_VALUE"""),319)</f>
        <v>319</v>
      </c>
      <c r="U383" s="1">
        <f ca="1">IFERROR(__xludf.DUMMYFUNCTION("""COMPUTED_VALUE"""),857)</f>
        <v>857</v>
      </c>
      <c r="V383" s="1">
        <f ca="1">IFERROR(__xludf.DUMMYFUNCTION("""COMPUTED_VALUE"""),0.372)</f>
        <v>0.372</v>
      </c>
      <c r="W383" s="1">
        <f ca="1">IFERROR(__xludf.DUMMYFUNCTION("""COMPUTED_VALUE"""),535)</f>
        <v>535</v>
      </c>
      <c r="X383" s="1">
        <f ca="1">IFERROR(__xludf.DUMMYFUNCTION("""COMPUTED_VALUE"""),747)</f>
        <v>747</v>
      </c>
      <c r="Y383" s="1">
        <f ca="1">IFERROR(__xludf.DUMMYFUNCTION("""COMPUTED_VALUE"""),0.716)</f>
        <v>0.71599999999999997</v>
      </c>
      <c r="Z383" s="1">
        <f ca="1">IFERROR(__xludf.DUMMYFUNCTION("""COMPUTED_VALUE"""),175)</f>
        <v>175</v>
      </c>
      <c r="AA383" s="1">
        <f ca="1">IFERROR(__xludf.DUMMYFUNCTION("""COMPUTED_VALUE"""),989)</f>
        <v>989</v>
      </c>
      <c r="AB383" s="1">
        <f ca="1">IFERROR(__xludf.DUMMYFUNCTION("""COMPUTED_VALUE"""),392)</f>
        <v>392</v>
      </c>
      <c r="AC383" s="1">
        <f ca="1">IFERROR(__xludf.DUMMYFUNCTION("""COMPUTED_VALUE"""),132)</f>
        <v>132</v>
      </c>
      <c r="AD383" s="1">
        <f ca="1">IFERROR(__xludf.DUMMYFUNCTION("""COMPUTED_VALUE"""),84)</f>
        <v>84</v>
      </c>
      <c r="AE383" s="1">
        <f ca="1">IFERROR(__xludf.DUMMYFUNCTION("""COMPUTED_VALUE"""),358)</f>
        <v>358</v>
      </c>
      <c r="AF383" s="1">
        <f ca="1">IFERROR(__xludf.DUMMYFUNCTION("""COMPUTED_VALUE"""),594)</f>
        <v>594</v>
      </c>
    </row>
    <row r="384" spans="1:32" ht="12.5" x14ac:dyDescent="0.25">
      <c r="A384" s="1" t="str">
        <f ca="1">IFERROR(__xludf.DUMMYFUNCTION("""COMPUTED_VALUE"""),"XavierNCAA")</f>
        <v>XavierNCAA</v>
      </c>
      <c r="B384" s="1">
        <f ca="1">IFERROR(__xludf.DUMMYFUNCTION("""COMPUTED_VALUE"""),34)</f>
        <v>34</v>
      </c>
      <c r="C384" s="1">
        <f ca="1">IFERROR(__xludf.DUMMYFUNCTION("""COMPUTED_VALUE"""),28)</f>
        <v>28</v>
      </c>
      <c r="D384" s="1">
        <f ca="1">IFERROR(__xludf.DUMMYFUNCTION("""COMPUTED_VALUE"""),6)</f>
        <v>6</v>
      </c>
      <c r="E384" s="1">
        <f ca="1">IFERROR(__xludf.DUMMYFUNCTION("""COMPUTED_VALUE"""),0.824)</f>
        <v>0.82399999999999995</v>
      </c>
      <c r="F384" s="1">
        <f ca="1">IFERROR(__xludf.DUMMYFUNCTION("""COMPUTED_VALUE"""),18.58)</f>
        <v>18.579999999999998</v>
      </c>
      <c r="G384" s="1">
        <f ca="1">IFERROR(__xludf.DUMMYFUNCTION("""COMPUTED_VALUE"""),8.43)</f>
        <v>8.43</v>
      </c>
      <c r="H384" s="1">
        <f ca="1">IFERROR(__xludf.DUMMYFUNCTION("""COMPUTED_VALUE"""),14)</f>
        <v>14</v>
      </c>
      <c r="I384" s="1">
        <f ca="1">IFERROR(__xludf.DUMMYFUNCTION("""COMPUTED_VALUE"""),4)</f>
        <v>4</v>
      </c>
      <c r="J384" s="1">
        <f ca="1">IFERROR(__xludf.DUMMYFUNCTION("""COMPUTED_VALUE"""),15)</f>
        <v>15</v>
      </c>
      <c r="K384" s="1">
        <f ca="1">IFERROR(__xludf.DUMMYFUNCTION("""COMPUTED_VALUE"""),1)</f>
        <v>1</v>
      </c>
      <c r="L384" s="1">
        <f ca="1">IFERROR(__xludf.DUMMYFUNCTION("""COMPUTED_VALUE"""),8)</f>
        <v>8</v>
      </c>
      <c r="M384" s="1">
        <f ca="1">IFERROR(__xludf.DUMMYFUNCTION("""COMPUTED_VALUE"""),3)</f>
        <v>3</v>
      </c>
      <c r="N384" s="1">
        <f ca="1">IFERROR(__xludf.DUMMYFUNCTION("""COMPUTED_VALUE"""),2737)</f>
        <v>2737</v>
      </c>
      <c r="O384" s="1">
        <f ca="1">IFERROR(__xludf.DUMMYFUNCTION("""COMPUTED_VALUE"""),2392)</f>
        <v>2392</v>
      </c>
      <c r="P384" s="1">
        <f ca="1">IFERROR(__xludf.DUMMYFUNCTION("""COMPUTED_VALUE"""),1360)</f>
        <v>1360</v>
      </c>
      <c r="Q384" s="1">
        <f ca="1">IFERROR(__xludf.DUMMYFUNCTION("""COMPUTED_VALUE"""),928)</f>
        <v>928</v>
      </c>
      <c r="R384" s="1">
        <f ca="1">IFERROR(__xludf.DUMMYFUNCTION("""COMPUTED_VALUE"""),2054)</f>
        <v>2054</v>
      </c>
      <c r="S384" s="1">
        <f ca="1">IFERROR(__xludf.DUMMYFUNCTION("""COMPUTED_VALUE"""),0.452)</f>
        <v>0.45200000000000001</v>
      </c>
      <c r="T384" s="1">
        <f ca="1">IFERROR(__xludf.DUMMYFUNCTION("""COMPUTED_VALUE"""),255)</f>
        <v>255</v>
      </c>
      <c r="U384" s="1">
        <f ca="1">IFERROR(__xludf.DUMMYFUNCTION("""COMPUTED_VALUE"""),702)</f>
        <v>702</v>
      </c>
      <c r="V384" s="1">
        <f ca="1">IFERROR(__xludf.DUMMYFUNCTION("""COMPUTED_VALUE"""),0.363)</f>
        <v>0.36299999999999999</v>
      </c>
      <c r="W384" s="1">
        <f ca="1">IFERROR(__xludf.DUMMYFUNCTION("""COMPUTED_VALUE"""),626)</f>
        <v>626</v>
      </c>
      <c r="X384" s="1">
        <f ca="1">IFERROR(__xludf.DUMMYFUNCTION("""COMPUTED_VALUE"""),857)</f>
        <v>857</v>
      </c>
      <c r="Y384" s="1">
        <f ca="1">IFERROR(__xludf.DUMMYFUNCTION("""COMPUTED_VALUE"""),0.73)</f>
        <v>0.73</v>
      </c>
      <c r="Z384" s="1">
        <f ca="1">IFERROR(__xludf.DUMMYFUNCTION("""COMPUTED_VALUE"""),436)</f>
        <v>436</v>
      </c>
      <c r="AA384" s="1">
        <f ca="1">IFERROR(__xludf.DUMMYFUNCTION("""COMPUTED_VALUE"""),1387)</f>
        <v>1387</v>
      </c>
      <c r="AB384" s="1">
        <f ca="1">IFERROR(__xludf.DUMMYFUNCTION("""COMPUTED_VALUE"""),548)</f>
        <v>548</v>
      </c>
      <c r="AC384" s="1">
        <f ca="1">IFERROR(__xludf.DUMMYFUNCTION("""COMPUTED_VALUE"""),246)</f>
        <v>246</v>
      </c>
      <c r="AD384" s="1">
        <f ca="1">IFERROR(__xludf.DUMMYFUNCTION("""COMPUTED_VALUE"""),101)</f>
        <v>101</v>
      </c>
      <c r="AE384" s="1">
        <f ca="1">IFERROR(__xludf.DUMMYFUNCTION("""COMPUTED_VALUE"""),429)</f>
        <v>429</v>
      </c>
      <c r="AF384" s="1">
        <f ca="1">IFERROR(__xludf.DUMMYFUNCTION("""COMPUTED_VALUE"""),678)</f>
        <v>678</v>
      </c>
    </row>
    <row r="385" spans="1:32" ht="12.5" x14ac:dyDescent="0.25">
      <c r="A385" s="1" t="str">
        <f ca="1">IFERROR(__xludf.DUMMYFUNCTION("""COMPUTED_VALUE"""),"YaleNCAA")</f>
        <v>YaleNCAA</v>
      </c>
      <c r="B385" s="1">
        <f ca="1">IFERROR(__xludf.DUMMYFUNCTION("""COMPUTED_VALUE"""),30)</f>
        <v>30</v>
      </c>
      <c r="C385" s="1">
        <f ca="1">IFERROR(__xludf.DUMMYFUNCTION("""COMPUTED_VALUE"""),23)</f>
        <v>23</v>
      </c>
      <c r="D385" s="1">
        <f ca="1">IFERROR(__xludf.DUMMYFUNCTION("""COMPUTED_VALUE"""),7)</f>
        <v>7</v>
      </c>
      <c r="E385" s="1">
        <f ca="1">IFERROR(__xludf.DUMMYFUNCTION("""COMPUTED_VALUE"""),0.767)</f>
        <v>0.76700000000000002</v>
      </c>
      <c r="F385" s="1">
        <f ca="1">IFERROR(__xludf.DUMMYFUNCTION("""COMPUTED_VALUE"""),9.08)</f>
        <v>9.08</v>
      </c>
      <c r="G385" s="1">
        <f ca="1">IFERROR(__xludf.DUMMYFUNCTION("""COMPUTED_VALUE"""),-1.03)</f>
        <v>-1.03</v>
      </c>
      <c r="H385" s="1">
        <f ca="1">IFERROR(__xludf.DUMMYFUNCTION("""COMPUTED_VALUE"""),13)</f>
        <v>13</v>
      </c>
      <c r="I385" s="1">
        <f ca="1">IFERROR(__xludf.DUMMYFUNCTION("""COMPUTED_VALUE"""),1)</f>
        <v>1</v>
      </c>
      <c r="J385" s="1">
        <f ca="1">IFERROR(__xludf.DUMMYFUNCTION("""COMPUTED_VALUE"""),12)</f>
        <v>12</v>
      </c>
      <c r="K385" s="1">
        <f ca="1">IFERROR(__xludf.DUMMYFUNCTION("""COMPUTED_VALUE"""),0)</f>
        <v>0</v>
      </c>
      <c r="L385" s="1">
        <f ca="1">IFERROR(__xludf.DUMMYFUNCTION("""COMPUTED_VALUE"""),9)</f>
        <v>9</v>
      </c>
      <c r="M385" s="1">
        <f ca="1">IFERROR(__xludf.DUMMYFUNCTION("""COMPUTED_VALUE"""),6)</f>
        <v>6</v>
      </c>
      <c r="N385" s="1">
        <f ca="1">IFERROR(__xludf.DUMMYFUNCTION("""COMPUTED_VALUE"""),2248)</f>
        <v>2248</v>
      </c>
      <c r="O385" s="1">
        <f ca="1">IFERROR(__xludf.DUMMYFUNCTION("""COMPUTED_VALUE"""),1914)</f>
        <v>1914</v>
      </c>
      <c r="P385" s="1">
        <f ca="1">IFERROR(__xludf.DUMMYFUNCTION("""COMPUTED_VALUE"""),1205)</f>
        <v>1205</v>
      </c>
      <c r="Q385" s="1">
        <f ca="1">IFERROR(__xludf.DUMMYFUNCTION("""COMPUTED_VALUE"""),795)</f>
        <v>795</v>
      </c>
      <c r="R385" s="1">
        <f ca="1">IFERROR(__xludf.DUMMYFUNCTION("""COMPUTED_VALUE"""),1693)</f>
        <v>1693</v>
      </c>
      <c r="S385" s="1">
        <f ca="1">IFERROR(__xludf.DUMMYFUNCTION("""COMPUTED_VALUE"""),0.47)</f>
        <v>0.47</v>
      </c>
      <c r="T385" s="1">
        <f ca="1">IFERROR(__xludf.DUMMYFUNCTION("""COMPUTED_VALUE"""),190)</f>
        <v>190</v>
      </c>
      <c r="U385" s="1">
        <f ca="1">IFERROR(__xludf.DUMMYFUNCTION("""COMPUTED_VALUE"""),523)</f>
        <v>523</v>
      </c>
      <c r="V385" s="1">
        <f ca="1">IFERROR(__xludf.DUMMYFUNCTION("""COMPUTED_VALUE"""),0.363)</f>
        <v>0.36299999999999999</v>
      </c>
      <c r="W385" s="1">
        <f ca="1">IFERROR(__xludf.DUMMYFUNCTION("""COMPUTED_VALUE"""),468)</f>
        <v>468</v>
      </c>
      <c r="X385" s="1">
        <f ca="1">IFERROR(__xludf.DUMMYFUNCTION("""COMPUTED_VALUE"""),699)</f>
        <v>699</v>
      </c>
      <c r="Y385" s="1">
        <f ca="1">IFERROR(__xludf.DUMMYFUNCTION("""COMPUTED_VALUE"""),0.67)</f>
        <v>0.67</v>
      </c>
      <c r="Z385" s="1">
        <f ca="1">IFERROR(__xludf.DUMMYFUNCTION("""COMPUTED_VALUE"""),407)</f>
        <v>407</v>
      </c>
      <c r="AA385" s="1">
        <f ca="1">IFERROR(__xludf.DUMMYFUNCTION("""COMPUTED_VALUE"""),1208)</f>
        <v>1208</v>
      </c>
      <c r="AB385" s="1">
        <f ca="1">IFERROR(__xludf.DUMMYFUNCTION("""COMPUTED_VALUE"""),452)</f>
        <v>452</v>
      </c>
      <c r="AC385" s="1">
        <f ca="1">IFERROR(__xludf.DUMMYFUNCTION("""COMPUTED_VALUE"""),170)</f>
        <v>170</v>
      </c>
      <c r="AD385" s="1">
        <f ca="1">IFERROR(__xludf.DUMMYFUNCTION("""COMPUTED_VALUE"""),137)</f>
        <v>137</v>
      </c>
      <c r="AE385" s="1">
        <f ca="1">IFERROR(__xludf.DUMMYFUNCTION("""COMPUTED_VALUE"""),398)</f>
        <v>398</v>
      </c>
      <c r="AF385" s="1">
        <f ca="1">IFERROR(__xludf.DUMMYFUNCTION("""COMPUTED_VALUE"""),530)</f>
        <v>530</v>
      </c>
    </row>
    <row r="386" spans="1:32" ht="12.5" x14ac:dyDescent="0.25">
      <c r="A386" s="1" t="str">
        <f ca="1">IFERROR(__xludf.DUMMYFUNCTION("""COMPUTED_VALUE"""),"Youngstown State")</f>
        <v>Youngstown State</v>
      </c>
      <c r="B386" s="1">
        <f ca="1">IFERROR(__xludf.DUMMYFUNCTION("""COMPUTED_VALUE"""),32)</f>
        <v>32</v>
      </c>
      <c r="C386" s="1">
        <f ca="1">IFERROR(__xludf.DUMMYFUNCTION("""COMPUTED_VALUE"""),11)</f>
        <v>11</v>
      </c>
      <c r="D386" s="1">
        <f ca="1">IFERROR(__xludf.DUMMYFUNCTION("""COMPUTED_VALUE"""),21)</f>
        <v>21</v>
      </c>
      <c r="E386" s="1">
        <f ca="1">IFERROR(__xludf.DUMMYFUNCTION("""COMPUTED_VALUE"""),0.344)</f>
        <v>0.34399999999999997</v>
      </c>
      <c r="F386" s="1">
        <f ca="1">IFERROR(__xludf.DUMMYFUNCTION("""COMPUTED_VALUE"""),-10.86)</f>
        <v>-10.86</v>
      </c>
      <c r="G386" s="1">
        <f ca="1">IFERROR(__xludf.DUMMYFUNCTION("""COMPUTED_VALUE"""),-0.86)</f>
        <v>-0.86</v>
      </c>
      <c r="H386" s="1">
        <f ca="1">IFERROR(__xludf.DUMMYFUNCTION("""COMPUTED_VALUE"""),6)</f>
        <v>6</v>
      </c>
      <c r="I386" s="1">
        <f ca="1">IFERROR(__xludf.DUMMYFUNCTION("""COMPUTED_VALUE"""),12)</f>
        <v>12</v>
      </c>
      <c r="J386" s="1">
        <f ca="1">IFERROR(__xludf.DUMMYFUNCTION("""COMPUTED_VALUE"""),6)</f>
        <v>6</v>
      </c>
      <c r="K386" s="1">
        <f ca="1">IFERROR(__xludf.DUMMYFUNCTION("""COMPUTED_VALUE"""),8)</f>
        <v>8</v>
      </c>
      <c r="L386" s="1">
        <f ca="1">IFERROR(__xludf.DUMMYFUNCTION("""COMPUTED_VALUE"""),3)</f>
        <v>3</v>
      </c>
      <c r="M386" s="1">
        <f ca="1">IFERROR(__xludf.DUMMYFUNCTION("""COMPUTED_VALUE"""),11)</f>
        <v>11</v>
      </c>
      <c r="N386" s="1">
        <f ca="1">IFERROR(__xludf.DUMMYFUNCTION("""COMPUTED_VALUE"""),2437)</f>
        <v>2437</v>
      </c>
      <c r="O386" s="1">
        <f ca="1">IFERROR(__xludf.DUMMYFUNCTION("""COMPUTED_VALUE"""),2682)</f>
        <v>2682</v>
      </c>
      <c r="P386" s="1">
        <f ca="1">IFERROR(__xludf.DUMMYFUNCTION("""COMPUTED_VALUE"""),1305)</f>
        <v>1305</v>
      </c>
      <c r="Q386" s="1">
        <f ca="1">IFERROR(__xludf.DUMMYFUNCTION("""COMPUTED_VALUE"""),870)</f>
        <v>870</v>
      </c>
      <c r="R386" s="1">
        <f ca="1">IFERROR(__xludf.DUMMYFUNCTION("""COMPUTED_VALUE"""),2021)</f>
        <v>2021</v>
      </c>
      <c r="S386" s="1">
        <f ca="1">IFERROR(__xludf.DUMMYFUNCTION("""COMPUTED_VALUE"""),0.43)</f>
        <v>0.43</v>
      </c>
      <c r="T386" s="1">
        <f ca="1">IFERROR(__xludf.DUMMYFUNCTION("""COMPUTED_VALUE"""),257)</f>
        <v>257</v>
      </c>
      <c r="U386" s="1">
        <f ca="1">IFERROR(__xludf.DUMMYFUNCTION("""COMPUTED_VALUE"""),704)</f>
        <v>704</v>
      </c>
      <c r="V386" s="1">
        <f ca="1">IFERROR(__xludf.DUMMYFUNCTION("""COMPUTED_VALUE"""),0.365)</f>
        <v>0.36499999999999999</v>
      </c>
      <c r="W386" s="1">
        <f ca="1">IFERROR(__xludf.DUMMYFUNCTION("""COMPUTED_VALUE"""),440)</f>
        <v>440</v>
      </c>
      <c r="X386" s="1">
        <f ca="1">IFERROR(__xludf.DUMMYFUNCTION("""COMPUTED_VALUE"""),619)</f>
        <v>619</v>
      </c>
      <c r="Y386" s="1">
        <f ca="1">IFERROR(__xludf.DUMMYFUNCTION("""COMPUTED_VALUE"""),0.711)</f>
        <v>0.71099999999999997</v>
      </c>
      <c r="Z386" s="1">
        <f ca="1">IFERROR(__xludf.DUMMYFUNCTION("""COMPUTED_VALUE"""),283)</f>
        <v>283</v>
      </c>
      <c r="AA386" s="1">
        <f ca="1">IFERROR(__xludf.DUMMYFUNCTION("""COMPUTED_VALUE"""),1081)</f>
        <v>1081</v>
      </c>
      <c r="AB386" s="1">
        <f ca="1">IFERROR(__xludf.DUMMYFUNCTION("""COMPUTED_VALUE"""),467)</f>
        <v>467</v>
      </c>
      <c r="AC386" s="1">
        <f ca="1">IFERROR(__xludf.DUMMYFUNCTION("""COMPUTED_VALUE"""),219)</f>
        <v>219</v>
      </c>
      <c r="AD386" s="1">
        <f ca="1">IFERROR(__xludf.DUMMYFUNCTION("""COMPUTED_VALUE"""),80)</f>
        <v>80</v>
      </c>
      <c r="AE386" s="1">
        <f ca="1">IFERROR(__xludf.DUMMYFUNCTION("""COMPUTED_VALUE"""),387)</f>
        <v>387</v>
      </c>
      <c r="AF386" s="1">
        <f ca="1">IFERROR(__xludf.DUMMYFUNCTION("""COMPUTED_VALUE"""),571)</f>
        <v>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386"/>
  <sheetViews>
    <sheetView workbookViewId="0">
      <selection activeCell="P1" sqref="P1:P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IFERROR(__xludf.DUMMYFUNCTION("""COMPUTED_VALUE"""),"Abilene Christian")</f>
        <v>Abilene Christian</v>
      </c>
      <c r="B2" s="1">
        <f ca="1">IFERROR(__xludf.DUMMYFUNCTION("""COMPUTED_VALUE"""),31)</f>
        <v>31</v>
      </c>
      <c r="C2" s="1">
        <f ca="1">IFERROR(__xludf.DUMMYFUNCTION("""COMPUTED_VALUE"""),10)</f>
        <v>10</v>
      </c>
      <c r="D2" s="1">
        <f ca="1">IFERROR(__xludf.DUMMYFUNCTION("""COMPUTED_VALUE"""),21)</f>
        <v>21</v>
      </c>
      <c r="E2" s="1">
        <f ca="1">IFERROR(__xludf.DUMMYFUNCTION("""COMPUTED_VALUE"""),0.323)</f>
        <v>0.32300000000000001</v>
      </c>
      <c r="F2" s="1">
        <f ca="1">IFERROR(__xludf.DUMMYFUNCTION("""COMPUTED_VALUE"""),-17.2)</f>
        <v>-17.2</v>
      </c>
      <c r="G2" s="1">
        <f ca="1">IFERROR(__xludf.DUMMYFUNCTION("""COMPUTED_VALUE"""),-6.34)</f>
        <v>-6.34</v>
      </c>
      <c r="H2" s="1">
        <f ca="1">IFERROR(__xludf.DUMMYFUNCTION("""COMPUTED_VALUE"""),4)</f>
        <v>4</v>
      </c>
      <c r="I2" s="1">
        <f ca="1">IFERROR(__xludf.DUMMYFUNCTION("""COMPUTED_VALUE"""),14)</f>
        <v>14</v>
      </c>
      <c r="J2" s="1">
        <f ca="1">IFERROR(__xludf.DUMMYFUNCTION("""COMPUTED_VALUE"""),7)</f>
        <v>7</v>
      </c>
      <c r="K2" s="1">
        <f ca="1">IFERROR(__xludf.DUMMYFUNCTION("""COMPUTED_VALUE"""),6)</f>
        <v>6</v>
      </c>
      <c r="L2" s="1">
        <f ca="1">IFERROR(__xludf.DUMMYFUNCTION("""COMPUTED_VALUE"""),1)</f>
        <v>1</v>
      </c>
      <c r="M2" s="1">
        <f ca="1">IFERROR(__xludf.DUMMYFUNCTION("""COMPUTED_VALUE"""),14)</f>
        <v>14</v>
      </c>
      <c r="N2" s="1">
        <f ca="1">IFERROR(__xludf.DUMMYFUNCTION("""COMPUTED_VALUE"""),1976)</f>
        <v>1976</v>
      </c>
      <c r="O2" s="1">
        <f ca="1">IFERROR(__xludf.DUMMYFUNCTION("""COMPUTED_VALUE"""),2186)</f>
        <v>2186</v>
      </c>
      <c r="P2" s="1">
        <f ca="1">IFERROR(__xludf.DUMMYFUNCTION("""COMPUTED_VALUE"""),1240)</f>
        <v>1240</v>
      </c>
      <c r="Q2" s="1">
        <f ca="1">IFERROR(__xludf.DUMMYFUNCTION("""COMPUTED_VALUE"""),695)</f>
        <v>695</v>
      </c>
      <c r="R2" s="1">
        <f ca="1">IFERROR(__xludf.DUMMYFUNCTION("""COMPUTED_VALUE"""),1684)</f>
        <v>1684</v>
      </c>
      <c r="S2" s="1">
        <f ca="1">IFERROR(__xludf.DUMMYFUNCTION("""COMPUTED_VALUE"""),0.413)</f>
        <v>0.41299999999999998</v>
      </c>
      <c r="T2" s="1">
        <f ca="1">IFERROR(__xludf.DUMMYFUNCTION("""COMPUTED_VALUE"""),232)</f>
        <v>232</v>
      </c>
      <c r="U2" s="1">
        <f ca="1">IFERROR(__xludf.DUMMYFUNCTION("""COMPUTED_VALUE"""),610)</f>
        <v>610</v>
      </c>
      <c r="V2" s="1">
        <f ca="1">IFERROR(__xludf.DUMMYFUNCTION("""COMPUTED_VALUE"""),0.38)</f>
        <v>0.38</v>
      </c>
      <c r="W2" s="1">
        <f ca="1">IFERROR(__xludf.DUMMYFUNCTION("""COMPUTED_VALUE"""),354)</f>
        <v>354</v>
      </c>
      <c r="X2" s="1">
        <f ca="1">IFERROR(__xludf.DUMMYFUNCTION("""COMPUTED_VALUE"""),487)</f>
        <v>487</v>
      </c>
      <c r="Y2" s="1">
        <f ca="1">IFERROR(__xludf.DUMMYFUNCTION("""COMPUTED_VALUE"""),0.727)</f>
        <v>0.72699999999999998</v>
      </c>
      <c r="Z2" s="1">
        <f ca="1">IFERROR(__xludf.DUMMYFUNCTION("""COMPUTED_VALUE"""),274)</f>
        <v>274</v>
      </c>
      <c r="AA2" s="1">
        <f ca="1">IFERROR(__xludf.DUMMYFUNCTION("""COMPUTED_VALUE"""),897)</f>
        <v>897</v>
      </c>
      <c r="AB2" s="1">
        <f ca="1">IFERROR(__xludf.DUMMYFUNCTION("""COMPUTED_VALUE"""),394)</f>
        <v>394</v>
      </c>
      <c r="AC2" s="1">
        <f ca="1">IFERROR(__xludf.DUMMYFUNCTION("""COMPUTED_VALUE"""),203)</f>
        <v>203</v>
      </c>
      <c r="AD2" s="1">
        <f ca="1">IFERROR(__xludf.DUMMYFUNCTION("""COMPUTED_VALUE"""),38)</f>
        <v>38</v>
      </c>
      <c r="AE2" s="1">
        <f ca="1">IFERROR(__xludf.DUMMYFUNCTION("""COMPUTED_VALUE"""),399)</f>
        <v>399</v>
      </c>
      <c r="AF2" s="1">
        <f ca="1">IFERROR(__xludf.DUMMYFUNCTION("""COMPUTED_VALUE"""),661)</f>
        <v>661</v>
      </c>
    </row>
    <row r="3" spans="1:32" ht="15.75" customHeight="1" x14ac:dyDescent="0.25">
      <c r="A3" s="1" t="str">
        <f ca="1">IFERROR(__xludf.DUMMYFUNCTION("""COMPUTED_VALUE"""),"Air Force")</f>
        <v>Air Force</v>
      </c>
      <c r="B3" s="1">
        <f ca="1">IFERROR(__xludf.DUMMYFUNCTION("""COMPUTED_VALUE"""),31)</f>
        <v>31</v>
      </c>
      <c r="C3" s="1">
        <f ca="1">IFERROR(__xludf.DUMMYFUNCTION("""COMPUTED_VALUE"""),14)</f>
        <v>14</v>
      </c>
      <c r="D3" s="1">
        <f ca="1">IFERROR(__xludf.DUMMYFUNCTION("""COMPUTED_VALUE"""),17)</f>
        <v>17</v>
      </c>
      <c r="E3" s="1">
        <f ca="1">IFERROR(__xludf.DUMMYFUNCTION("""COMPUTED_VALUE"""),0.452)</f>
        <v>0.45200000000000001</v>
      </c>
      <c r="F3" s="1">
        <f ca="1">IFERROR(__xludf.DUMMYFUNCTION("""COMPUTED_VALUE"""),-1.85)</f>
        <v>-1.85</v>
      </c>
      <c r="G3" s="1">
        <f ca="1">IFERROR(__xludf.DUMMYFUNCTION("""COMPUTED_VALUE"""),-0.71)</f>
        <v>-0.71</v>
      </c>
      <c r="H3" s="1">
        <f ca="1">IFERROR(__xludf.DUMMYFUNCTION("""COMPUTED_VALUE"""),6)</f>
        <v>6</v>
      </c>
      <c r="I3" s="1">
        <f ca="1">IFERROR(__xludf.DUMMYFUNCTION("""COMPUTED_VALUE"""),12)</f>
        <v>12</v>
      </c>
      <c r="J3" s="1">
        <f ca="1">IFERROR(__xludf.DUMMYFUNCTION("""COMPUTED_VALUE"""),11)</f>
        <v>11</v>
      </c>
      <c r="K3" s="1">
        <f ca="1">IFERROR(__xludf.DUMMYFUNCTION("""COMPUTED_VALUE"""),5)</f>
        <v>5</v>
      </c>
      <c r="L3" s="1">
        <f ca="1">IFERROR(__xludf.DUMMYFUNCTION("""COMPUTED_VALUE"""),1)</f>
        <v>1</v>
      </c>
      <c r="M3" s="1">
        <f ca="1">IFERROR(__xludf.DUMMYFUNCTION("""COMPUTED_VALUE"""),11)</f>
        <v>11</v>
      </c>
      <c r="N3" s="1">
        <f ca="1">IFERROR(__xludf.DUMMYFUNCTION("""COMPUTED_VALUE"""),2037)</f>
        <v>2037</v>
      </c>
      <c r="O3" s="1">
        <f ca="1">IFERROR(__xludf.DUMMYFUNCTION("""COMPUTED_VALUE"""),2017)</f>
        <v>2017</v>
      </c>
      <c r="P3" s="1">
        <f ca="1">IFERROR(__xludf.DUMMYFUNCTION("""COMPUTED_VALUE"""),1245)</f>
        <v>1245</v>
      </c>
      <c r="Q3" s="1">
        <f ca="1">IFERROR(__xludf.DUMMYFUNCTION("""COMPUTED_VALUE"""),742)</f>
        <v>742</v>
      </c>
      <c r="R3" s="1">
        <f ca="1">IFERROR(__xludf.DUMMYFUNCTION("""COMPUTED_VALUE"""),1565)</f>
        <v>1565</v>
      </c>
      <c r="S3" s="1">
        <f ca="1">IFERROR(__xludf.DUMMYFUNCTION("""COMPUTED_VALUE"""),0.474)</f>
        <v>0.47399999999999998</v>
      </c>
      <c r="T3" s="1">
        <f ca="1">IFERROR(__xludf.DUMMYFUNCTION("""COMPUTED_VALUE"""),232)</f>
        <v>232</v>
      </c>
      <c r="U3" s="1">
        <f ca="1">IFERROR(__xludf.DUMMYFUNCTION("""COMPUTED_VALUE"""),625)</f>
        <v>625</v>
      </c>
      <c r="V3" s="1">
        <f ca="1">IFERROR(__xludf.DUMMYFUNCTION("""COMPUTED_VALUE"""),0.371)</f>
        <v>0.371</v>
      </c>
      <c r="W3" s="1">
        <f ca="1">IFERROR(__xludf.DUMMYFUNCTION("""COMPUTED_VALUE"""),321)</f>
        <v>321</v>
      </c>
      <c r="X3" s="1">
        <f ca="1">IFERROR(__xludf.DUMMYFUNCTION("""COMPUTED_VALUE"""),487)</f>
        <v>487</v>
      </c>
      <c r="Y3" s="1">
        <f ca="1">IFERROR(__xludf.DUMMYFUNCTION("""COMPUTED_VALUE"""),0.659)</f>
        <v>0.65900000000000003</v>
      </c>
      <c r="Z3" s="1">
        <f ca="1">IFERROR(__xludf.DUMMYFUNCTION("""COMPUTED_VALUE"""),265)</f>
        <v>265</v>
      </c>
      <c r="AA3" s="1">
        <f ca="1">IFERROR(__xludf.DUMMYFUNCTION("""COMPUTED_VALUE"""),930)</f>
        <v>930</v>
      </c>
      <c r="AB3" s="1">
        <f ca="1">IFERROR(__xludf.DUMMYFUNCTION("""COMPUTED_VALUE"""),483)</f>
        <v>483</v>
      </c>
      <c r="AC3" s="1">
        <f ca="1">IFERROR(__xludf.DUMMYFUNCTION("""COMPUTED_VALUE"""),195)</f>
        <v>195</v>
      </c>
      <c r="AD3" s="1">
        <f ca="1">IFERROR(__xludf.DUMMYFUNCTION("""COMPUTED_VALUE"""),65)</f>
        <v>65</v>
      </c>
      <c r="AE3" s="1">
        <f ca="1">IFERROR(__xludf.DUMMYFUNCTION("""COMPUTED_VALUE"""),366)</f>
        <v>366</v>
      </c>
      <c r="AF3" s="1">
        <f ca="1">IFERROR(__xludf.DUMMYFUNCTION("""COMPUTED_VALUE"""),552)</f>
        <v>552</v>
      </c>
    </row>
    <row r="4" spans="1:32" ht="15.75" customHeight="1" x14ac:dyDescent="0.25">
      <c r="A4" s="1" t="str">
        <f ca="1">IFERROR(__xludf.DUMMYFUNCTION("""COMPUTED_VALUE"""),"Akron")</f>
        <v>Akron</v>
      </c>
      <c r="B4" s="1">
        <f ca="1">IFERROR(__xludf.DUMMYFUNCTION("""COMPUTED_VALUE"""),35)</f>
        <v>35</v>
      </c>
      <c r="C4" s="1">
        <f ca="1">IFERROR(__xludf.DUMMYFUNCTION("""COMPUTED_VALUE"""),21)</f>
        <v>21</v>
      </c>
      <c r="D4" s="1">
        <f ca="1">IFERROR(__xludf.DUMMYFUNCTION("""COMPUTED_VALUE"""),14)</f>
        <v>14</v>
      </c>
      <c r="E4" s="1">
        <f ca="1">IFERROR(__xludf.DUMMYFUNCTION("""COMPUTED_VALUE"""),0.6)</f>
        <v>0.6</v>
      </c>
      <c r="F4" s="1">
        <f ca="1">IFERROR(__xludf.DUMMYFUNCTION("""COMPUTED_VALUE"""),3.65)</f>
        <v>3.65</v>
      </c>
      <c r="G4" s="1">
        <f ca="1">IFERROR(__xludf.DUMMYFUNCTION("""COMPUTED_VALUE"""),-0.47)</f>
        <v>-0.47</v>
      </c>
      <c r="H4" s="1">
        <f ca="1">IFERROR(__xludf.DUMMYFUNCTION("""COMPUTED_VALUE"""),9)</f>
        <v>9</v>
      </c>
      <c r="I4" s="1">
        <f ca="1">IFERROR(__xludf.DUMMYFUNCTION("""COMPUTED_VALUE"""),9)</f>
        <v>9</v>
      </c>
      <c r="J4" s="1">
        <f ca="1">IFERROR(__xludf.DUMMYFUNCTION("""COMPUTED_VALUE"""),15)</f>
        <v>15</v>
      </c>
      <c r="K4" s="1">
        <f ca="1">IFERROR(__xludf.DUMMYFUNCTION("""COMPUTED_VALUE"""),3)</f>
        <v>3</v>
      </c>
      <c r="L4" s="1">
        <f ca="1">IFERROR(__xludf.DUMMYFUNCTION("""COMPUTED_VALUE"""),2)</f>
        <v>2</v>
      </c>
      <c r="M4" s="1">
        <f ca="1">IFERROR(__xludf.DUMMYFUNCTION("""COMPUTED_VALUE"""),9)</f>
        <v>9</v>
      </c>
      <c r="N4" s="1">
        <f ca="1">IFERROR(__xludf.DUMMYFUNCTION("""COMPUTED_VALUE"""),2382)</f>
        <v>2382</v>
      </c>
      <c r="O4" s="1">
        <f ca="1">IFERROR(__xludf.DUMMYFUNCTION("""COMPUTED_VALUE"""),2203)</f>
        <v>2203</v>
      </c>
      <c r="P4" s="1">
        <f ca="1">IFERROR(__xludf.DUMMYFUNCTION("""COMPUTED_VALUE"""),1406)</f>
        <v>1406</v>
      </c>
      <c r="Q4" s="1">
        <f ca="1">IFERROR(__xludf.DUMMYFUNCTION("""COMPUTED_VALUE"""),824)</f>
        <v>824</v>
      </c>
      <c r="R4" s="1">
        <f ca="1">IFERROR(__xludf.DUMMYFUNCTION("""COMPUTED_VALUE"""),1982)</f>
        <v>1982</v>
      </c>
      <c r="S4" s="1">
        <f ca="1">IFERROR(__xludf.DUMMYFUNCTION("""COMPUTED_VALUE"""),0.416)</f>
        <v>0.41599999999999998</v>
      </c>
      <c r="T4" s="1">
        <f ca="1">IFERROR(__xludf.DUMMYFUNCTION("""COMPUTED_VALUE"""),328)</f>
        <v>328</v>
      </c>
      <c r="U4" s="1">
        <f ca="1">IFERROR(__xludf.DUMMYFUNCTION("""COMPUTED_VALUE"""),937)</f>
        <v>937</v>
      </c>
      <c r="V4" s="1">
        <f ca="1">IFERROR(__xludf.DUMMYFUNCTION("""COMPUTED_VALUE"""),0.35)</f>
        <v>0.35</v>
      </c>
      <c r="W4" s="1">
        <f ca="1">IFERROR(__xludf.DUMMYFUNCTION("""COMPUTED_VALUE"""),406)</f>
        <v>406</v>
      </c>
      <c r="X4" s="1">
        <f ca="1">IFERROR(__xludf.DUMMYFUNCTION("""COMPUTED_VALUE"""),617)</f>
        <v>617</v>
      </c>
      <c r="Y4" s="1">
        <f ca="1">IFERROR(__xludf.DUMMYFUNCTION("""COMPUTED_VALUE"""),0.658)</f>
        <v>0.65800000000000003</v>
      </c>
      <c r="Z4" s="1">
        <f ca="1">IFERROR(__xludf.DUMMYFUNCTION("""COMPUTED_VALUE"""),420)</f>
        <v>420</v>
      </c>
      <c r="AA4" s="1">
        <f ca="1">IFERROR(__xludf.DUMMYFUNCTION("""COMPUTED_VALUE"""),1249)</f>
        <v>1249</v>
      </c>
      <c r="AB4" s="1">
        <f ca="1">IFERROR(__xludf.DUMMYFUNCTION("""COMPUTED_VALUE"""),435)</f>
        <v>435</v>
      </c>
      <c r="AC4" s="1">
        <f ca="1">IFERROR(__xludf.DUMMYFUNCTION("""COMPUTED_VALUE"""),230)</f>
        <v>230</v>
      </c>
      <c r="AD4" s="1">
        <f ca="1">IFERROR(__xludf.DUMMYFUNCTION("""COMPUTED_VALUE"""),155)</f>
        <v>155</v>
      </c>
      <c r="AE4" s="1">
        <f ca="1">IFERROR(__xludf.DUMMYFUNCTION("""COMPUTED_VALUE"""),422)</f>
        <v>422</v>
      </c>
      <c r="AF4" s="1">
        <f ca="1">IFERROR(__xludf.DUMMYFUNCTION("""COMPUTED_VALUE"""),654)</f>
        <v>654</v>
      </c>
    </row>
    <row r="5" spans="1:32" ht="15.75" customHeight="1" x14ac:dyDescent="0.25">
      <c r="A5" s="1" t="str">
        <f ca="1">IFERROR(__xludf.DUMMYFUNCTION("""COMPUTED_VALUE"""),"Alabama A&amp;M")</f>
        <v>Alabama A&amp;M</v>
      </c>
      <c r="B5" s="1">
        <f ca="1">IFERROR(__xludf.DUMMYFUNCTION("""COMPUTED_VALUE"""),29)</f>
        <v>29</v>
      </c>
      <c r="C5" s="1">
        <f ca="1">IFERROR(__xludf.DUMMYFUNCTION("""COMPUTED_VALUE"""),9)</f>
        <v>9</v>
      </c>
      <c r="D5" s="1">
        <f ca="1">IFERROR(__xludf.DUMMYFUNCTION("""COMPUTED_VALUE"""),20)</f>
        <v>20</v>
      </c>
      <c r="E5" s="1">
        <f ca="1">IFERROR(__xludf.DUMMYFUNCTION("""COMPUTED_VALUE"""),0.31)</f>
        <v>0.31</v>
      </c>
      <c r="F5" s="1">
        <f ca="1">IFERROR(__xludf.DUMMYFUNCTION("""COMPUTED_VALUE"""),-17.15)</f>
        <v>-17.149999999999999</v>
      </c>
      <c r="G5" s="1">
        <f ca="1">IFERROR(__xludf.DUMMYFUNCTION("""COMPUTED_VALUE"""),-9.62)</f>
        <v>-9.6199999999999992</v>
      </c>
      <c r="H5" s="1">
        <f ca="1">IFERROR(__xludf.DUMMYFUNCTION("""COMPUTED_VALUE"""),8)</f>
        <v>8</v>
      </c>
      <c r="I5" s="1">
        <f ca="1">IFERROR(__xludf.DUMMYFUNCTION("""COMPUTED_VALUE"""),10)</f>
        <v>10</v>
      </c>
      <c r="J5" s="1">
        <f ca="1">IFERROR(__xludf.DUMMYFUNCTION("""COMPUTED_VALUE"""),4)</f>
        <v>4</v>
      </c>
      <c r="K5" s="1">
        <f ca="1">IFERROR(__xludf.DUMMYFUNCTION("""COMPUTED_VALUE"""),7)</f>
        <v>7</v>
      </c>
      <c r="L5" s="1">
        <f ca="1">IFERROR(__xludf.DUMMYFUNCTION("""COMPUTED_VALUE"""),5)</f>
        <v>5</v>
      </c>
      <c r="M5" s="1">
        <f ca="1">IFERROR(__xludf.DUMMYFUNCTION("""COMPUTED_VALUE"""),12)</f>
        <v>12</v>
      </c>
      <c r="N5" s="1">
        <f ca="1">IFERROR(__xludf.DUMMYFUNCTION("""COMPUTED_VALUE"""),1797)</f>
        <v>1797</v>
      </c>
      <c r="O5" s="1">
        <f ca="1">IFERROR(__xludf.DUMMYFUNCTION("""COMPUTED_VALUE"""),1988)</f>
        <v>1988</v>
      </c>
      <c r="P5" s="1">
        <f ca="1">IFERROR(__xludf.DUMMYFUNCTION("""COMPUTED_VALUE"""),1165)</f>
        <v>1165</v>
      </c>
      <c r="Q5" s="1">
        <f ca="1">IFERROR(__xludf.DUMMYFUNCTION("""COMPUTED_VALUE"""),608)</f>
        <v>608</v>
      </c>
      <c r="R5" s="1">
        <f ca="1">IFERROR(__xludf.DUMMYFUNCTION("""COMPUTED_VALUE"""),1533)</f>
        <v>1533</v>
      </c>
      <c r="S5" s="1">
        <f ca="1">IFERROR(__xludf.DUMMYFUNCTION("""COMPUTED_VALUE"""),0.397)</f>
        <v>0.39700000000000002</v>
      </c>
      <c r="T5" s="1">
        <f ca="1">IFERROR(__xludf.DUMMYFUNCTION("""COMPUTED_VALUE"""),166)</f>
        <v>166</v>
      </c>
      <c r="U5" s="1">
        <f ca="1">IFERROR(__xludf.DUMMYFUNCTION("""COMPUTED_VALUE"""),577)</f>
        <v>577</v>
      </c>
      <c r="V5" s="1">
        <f ca="1">IFERROR(__xludf.DUMMYFUNCTION("""COMPUTED_VALUE"""),0.288)</f>
        <v>0.28799999999999998</v>
      </c>
      <c r="W5" s="1">
        <f ca="1">IFERROR(__xludf.DUMMYFUNCTION("""COMPUTED_VALUE"""),415)</f>
        <v>415</v>
      </c>
      <c r="X5" s="1">
        <f ca="1">IFERROR(__xludf.DUMMYFUNCTION("""COMPUTED_VALUE"""),643)</f>
        <v>643</v>
      </c>
      <c r="Y5" s="1">
        <f ca="1">IFERROR(__xludf.DUMMYFUNCTION("""COMPUTED_VALUE"""),0.645)</f>
        <v>0.64500000000000002</v>
      </c>
      <c r="Z5" s="1">
        <f ca="1">IFERROR(__xludf.DUMMYFUNCTION("""COMPUTED_VALUE"""),367)</f>
        <v>367</v>
      </c>
      <c r="AA5" s="1">
        <f ca="1">IFERROR(__xludf.DUMMYFUNCTION("""COMPUTED_VALUE"""),998)</f>
        <v>998</v>
      </c>
      <c r="AB5" s="1">
        <f ca="1">IFERROR(__xludf.DUMMYFUNCTION("""COMPUTED_VALUE"""),354)</f>
        <v>354</v>
      </c>
      <c r="AC5" s="1">
        <f ca="1">IFERROR(__xludf.DUMMYFUNCTION("""COMPUTED_VALUE"""),165)</f>
        <v>165</v>
      </c>
      <c r="AD5" s="1">
        <f ca="1">IFERROR(__xludf.DUMMYFUNCTION("""COMPUTED_VALUE"""),68)</f>
        <v>68</v>
      </c>
      <c r="AE5" s="1">
        <f ca="1">IFERROR(__xludf.DUMMYFUNCTION("""COMPUTED_VALUE"""),413)</f>
        <v>413</v>
      </c>
      <c r="AF5" s="1">
        <f ca="1">IFERROR(__xludf.DUMMYFUNCTION("""COMPUTED_VALUE"""),573)</f>
        <v>573</v>
      </c>
    </row>
    <row r="6" spans="1:32" ht="15.75" customHeight="1" x14ac:dyDescent="0.25">
      <c r="A6" s="1" t="str">
        <f ca="1">IFERROR(__xludf.DUMMYFUNCTION("""COMPUTED_VALUE"""),"Alabama-BirminghamNCAA")</f>
        <v>Alabama-BirminghamNCAA</v>
      </c>
      <c r="B6" s="1">
        <f ca="1">IFERROR(__xludf.DUMMYFUNCTION("""COMPUTED_VALUE"""),36)</f>
        <v>36</v>
      </c>
      <c r="C6" s="1">
        <f ca="1">IFERROR(__xludf.DUMMYFUNCTION("""COMPUTED_VALUE"""),20)</f>
        <v>20</v>
      </c>
      <c r="D6" s="1">
        <f ca="1">IFERROR(__xludf.DUMMYFUNCTION("""COMPUTED_VALUE"""),16)</f>
        <v>16</v>
      </c>
      <c r="E6" s="1">
        <f ca="1">IFERROR(__xludf.DUMMYFUNCTION("""COMPUTED_VALUE"""),0.556)</f>
        <v>0.55600000000000005</v>
      </c>
      <c r="F6" s="1">
        <f ca="1">IFERROR(__xludf.DUMMYFUNCTION("""COMPUTED_VALUE"""),1.94)</f>
        <v>1.94</v>
      </c>
      <c r="G6" s="1">
        <f ca="1">IFERROR(__xludf.DUMMYFUNCTION("""COMPUTED_VALUE"""),1.62)</f>
        <v>1.62</v>
      </c>
      <c r="H6" s="1">
        <f ca="1">IFERROR(__xludf.DUMMYFUNCTION("""COMPUTED_VALUE"""),12)</f>
        <v>12</v>
      </c>
      <c r="I6" s="1">
        <f ca="1">IFERROR(__xludf.DUMMYFUNCTION("""COMPUTED_VALUE"""),6)</f>
        <v>6</v>
      </c>
      <c r="J6" s="1">
        <f ca="1">IFERROR(__xludf.DUMMYFUNCTION("""COMPUTED_VALUE"""),13)</f>
        <v>13</v>
      </c>
      <c r="K6" s="1">
        <f ca="1">IFERROR(__xludf.DUMMYFUNCTION("""COMPUTED_VALUE"""),4)</f>
        <v>4</v>
      </c>
      <c r="L6" s="1">
        <f ca="1">IFERROR(__xludf.DUMMYFUNCTION("""COMPUTED_VALUE"""),3)</f>
        <v>3</v>
      </c>
      <c r="M6" s="1">
        <f ca="1">IFERROR(__xludf.DUMMYFUNCTION("""COMPUTED_VALUE"""),8)</f>
        <v>8</v>
      </c>
      <c r="N6" s="1">
        <f ca="1">IFERROR(__xludf.DUMMYFUNCTION("""COMPUTED_VALUE"""),2476)</f>
        <v>2476</v>
      </c>
      <c r="O6" s="1">
        <f ca="1">IFERROR(__xludf.DUMMYFUNCTION("""COMPUTED_VALUE"""),2452)</f>
        <v>2452</v>
      </c>
      <c r="P6" s="1">
        <f ca="1">IFERROR(__xludf.DUMMYFUNCTION("""COMPUTED_VALUE"""),1480)</f>
        <v>1480</v>
      </c>
      <c r="Q6" s="1">
        <f ca="1">IFERROR(__xludf.DUMMYFUNCTION("""COMPUTED_VALUE"""),873)</f>
        <v>873</v>
      </c>
      <c r="R6" s="1">
        <f ca="1">IFERROR(__xludf.DUMMYFUNCTION("""COMPUTED_VALUE"""),2042)</f>
        <v>2042</v>
      </c>
      <c r="S6" s="1">
        <f ca="1">IFERROR(__xludf.DUMMYFUNCTION("""COMPUTED_VALUE"""),0.428)</f>
        <v>0.42799999999999999</v>
      </c>
      <c r="T6" s="1">
        <f ca="1">IFERROR(__xludf.DUMMYFUNCTION("""COMPUTED_VALUE"""),202)</f>
        <v>202</v>
      </c>
      <c r="U6" s="1">
        <f ca="1">IFERROR(__xludf.DUMMYFUNCTION("""COMPUTED_VALUE"""),607)</f>
        <v>607</v>
      </c>
      <c r="V6" s="1">
        <f ca="1">IFERROR(__xludf.DUMMYFUNCTION("""COMPUTED_VALUE"""),0.333)</f>
        <v>0.33300000000000002</v>
      </c>
      <c r="W6" s="1">
        <f ca="1">IFERROR(__xludf.DUMMYFUNCTION("""COMPUTED_VALUE"""),528)</f>
        <v>528</v>
      </c>
      <c r="X6" s="1">
        <f ca="1">IFERROR(__xludf.DUMMYFUNCTION("""COMPUTED_VALUE"""),715)</f>
        <v>715</v>
      </c>
      <c r="Y6" s="1">
        <f ca="1">IFERROR(__xludf.DUMMYFUNCTION("""COMPUTED_VALUE"""),0.738)</f>
        <v>0.73799999999999999</v>
      </c>
      <c r="Z6" s="1">
        <f ca="1">IFERROR(__xludf.DUMMYFUNCTION("""COMPUTED_VALUE"""),434)</f>
        <v>434</v>
      </c>
      <c r="AA6" s="1">
        <f ca="1">IFERROR(__xludf.DUMMYFUNCTION("""COMPUTED_VALUE"""),1322)</f>
        <v>1322</v>
      </c>
      <c r="AB6" s="1">
        <f ca="1">IFERROR(__xludf.DUMMYFUNCTION("""COMPUTED_VALUE"""),516)</f>
        <v>516</v>
      </c>
      <c r="AC6" s="1">
        <f ca="1">IFERROR(__xludf.DUMMYFUNCTION("""COMPUTED_VALUE"""),237)</f>
        <v>237</v>
      </c>
      <c r="AD6" s="1">
        <f ca="1">IFERROR(__xludf.DUMMYFUNCTION("""COMPUTED_VALUE"""),184)</f>
        <v>184</v>
      </c>
      <c r="AE6" s="1">
        <f ca="1">IFERROR(__xludf.DUMMYFUNCTION("""COMPUTED_VALUE"""),482)</f>
        <v>482</v>
      </c>
      <c r="AF6" s="1">
        <f ca="1">IFERROR(__xludf.DUMMYFUNCTION("""COMPUTED_VALUE"""),630)</f>
        <v>630</v>
      </c>
    </row>
    <row r="7" spans="1:32" ht="15.75" customHeight="1" x14ac:dyDescent="0.25">
      <c r="A7" s="1" t="str">
        <f ca="1">IFERROR(__xludf.DUMMYFUNCTION("""COMPUTED_VALUE"""),"Alabama State")</f>
        <v>Alabama State</v>
      </c>
      <c r="B7" s="1">
        <f ca="1">IFERROR(__xludf.DUMMYFUNCTION("""COMPUTED_VALUE"""),29)</f>
        <v>29</v>
      </c>
      <c r="C7" s="1">
        <f ca="1">IFERROR(__xludf.DUMMYFUNCTION("""COMPUTED_VALUE"""),19)</f>
        <v>19</v>
      </c>
      <c r="D7" s="1">
        <f ca="1">IFERROR(__xludf.DUMMYFUNCTION("""COMPUTED_VALUE"""),10)</f>
        <v>10</v>
      </c>
      <c r="E7" s="1">
        <f ca="1">IFERROR(__xludf.DUMMYFUNCTION("""COMPUTED_VALUE"""),0.655)</f>
        <v>0.65500000000000003</v>
      </c>
      <c r="F7" s="1">
        <f ca="1">IFERROR(__xludf.DUMMYFUNCTION("""COMPUTED_VALUE"""),-8.97)</f>
        <v>-8.9700000000000006</v>
      </c>
      <c r="G7" s="1">
        <f ca="1">IFERROR(__xludf.DUMMYFUNCTION("""COMPUTED_VALUE"""),-12.71)</f>
        <v>-12.71</v>
      </c>
      <c r="H7" s="1">
        <f ca="1">IFERROR(__xludf.DUMMYFUNCTION("""COMPUTED_VALUE"""),14)</f>
        <v>14</v>
      </c>
      <c r="I7" s="1">
        <f ca="1">IFERROR(__xludf.DUMMYFUNCTION("""COMPUTED_VALUE"""),4)</f>
        <v>4</v>
      </c>
      <c r="J7" s="1">
        <f ca="1">IFERROR(__xludf.DUMMYFUNCTION("""COMPUTED_VALUE"""),9)</f>
        <v>9</v>
      </c>
      <c r="K7" s="1">
        <f ca="1">IFERROR(__xludf.DUMMYFUNCTION("""COMPUTED_VALUE"""),3)</f>
        <v>3</v>
      </c>
      <c r="L7" s="1">
        <f ca="1">IFERROR(__xludf.DUMMYFUNCTION("""COMPUTED_VALUE"""),8)</f>
        <v>8</v>
      </c>
      <c r="M7" s="1">
        <f ca="1">IFERROR(__xludf.DUMMYFUNCTION("""COMPUTED_VALUE"""),5)</f>
        <v>5</v>
      </c>
      <c r="N7" s="1">
        <f ca="1">IFERROR(__xludf.DUMMYFUNCTION("""COMPUTED_VALUE"""),2090)</f>
        <v>2090</v>
      </c>
      <c r="O7" s="1">
        <f ca="1">IFERROR(__xludf.DUMMYFUNCTION("""COMPUTED_VALUE"""),1937)</f>
        <v>1937</v>
      </c>
      <c r="P7" s="1">
        <f ca="1">IFERROR(__xludf.DUMMYFUNCTION("""COMPUTED_VALUE"""),1165)</f>
        <v>1165</v>
      </c>
      <c r="Q7" s="1">
        <f ca="1">IFERROR(__xludf.DUMMYFUNCTION("""COMPUTED_VALUE"""),761)</f>
        <v>761</v>
      </c>
      <c r="R7" s="1">
        <f ca="1">IFERROR(__xludf.DUMMYFUNCTION("""COMPUTED_VALUE"""),1738)</f>
        <v>1738</v>
      </c>
      <c r="S7" s="1">
        <f ca="1">IFERROR(__xludf.DUMMYFUNCTION("""COMPUTED_VALUE"""),0.438)</f>
        <v>0.438</v>
      </c>
      <c r="T7" s="1">
        <f ca="1">IFERROR(__xludf.DUMMYFUNCTION("""COMPUTED_VALUE"""),172)</f>
        <v>172</v>
      </c>
      <c r="U7" s="1">
        <f ca="1">IFERROR(__xludf.DUMMYFUNCTION("""COMPUTED_VALUE"""),480)</f>
        <v>480</v>
      </c>
      <c r="V7" s="1">
        <f ca="1">IFERROR(__xludf.DUMMYFUNCTION("""COMPUTED_VALUE"""),0.358)</f>
        <v>0.35799999999999998</v>
      </c>
      <c r="W7" s="1">
        <f ca="1">IFERROR(__xludf.DUMMYFUNCTION("""COMPUTED_VALUE"""),396)</f>
        <v>396</v>
      </c>
      <c r="X7" s="1">
        <f ca="1">IFERROR(__xludf.DUMMYFUNCTION("""COMPUTED_VALUE"""),609)</f>
        <v>609</v>
      </c>
      <c r="Y7" s="1">
        <f ca="1">IFERROR(__xludf.DUMMYFUNCTION("""COMPUTED_VALUE"""),0.65)</f>
        <v>0.65</v>
      </c>
      <c r="Z7" s="1">
        <f ca="1">IFERROR(__xludf.DUMMYFUNCTION("""COMPUTED_VALUE"""),389)</f>
        <v>389</v>
      </c>
      <c r="AA7" s="1">
        <f ca="1">IFERROR(__xludf.DUMMYFUNCTION("""COMPUTED_VALUE"""),1151)</f>
        <v>1151</v>
      </c>
      <c r="AB7" s="1">
        <f ca="1">IFERROR(__xludf.DUMMYFUNCTION("""COMPUTED_VALUE"""),393)</f>
        <v>393</v>
      </c>
      <c r="AC7" s="1">
        <f ca="1">IFERROR(__xludf.DUMMYFUNCTION("""COMPUTED_VALUE"""),184)</f>
        <v>184</v>
      </c>
      <c r="AD7" s="1">
        <f ca="1">IFERROR(__xludf.DUMMYFUNCTION("""COMPUTED_VALUE"""),122)</f>
        <v>122</v>
      </c>
      <c r="AE7" s="1">
        <f ca="1">IFERROR(__xludf.DUMMYFUNCTION("""COMPUTED_VALUE"""),397)</f>
        <v>397</v>
      </c>
      <c r="AF7" s="1">
        <f ca="1">IFERROR(__xludf.DUMMYFUNCTION("""COMPUTED_VALUE"""),520)</f>
        <v>520</v>
      </c>
    </row>
    <row r="8" spans="1:32" ht="15.75" customHeight="1" x14ac:dyDescent="0.25">
      <c r="A8" s="1" t="str">
        <f ca="1">IFERROR(__xludf.DUMMYFUNCTION("""COMPUTED_VALUE"""),"Alabama")</f>
        <v>Alabama</v>
      </c>
      <c r="B8" s="1">
        <f ca="1">IFERROR(__xludf.DUMMYFUNCTION("""COMPUTED_VALUE"""),34)</f>
        <v>34</v>
      </c>
      <c r="C8" s="1">
        <f ca="1">IFERROR(__xludf.DUMMYFUNCTION("""COMPUTED_VALUE"""),19)</f>
        <v>19</v>
      </c>
      <c r="D8" s="1">
        <f ca="1">IFERROR(__xludf.DUMMYFUNCTION("""COMPUTED_VALUE"""),15)</f>
        <v>15</v>
      </c>
      <c r="E8" s="1">
        <f ca="1">IFERROR(__xludf.DUMMYFUNCTION("""COMPUTED_VALUE"""),0.559)</f>
        <v>0.55900000000000005</v>
      </c>
      <c r="F8" s="1">
        <f ca="1">IFERROR(__xludf.DUMMYFUNCTION("""COMPUTED_VALUE"""),10.52)</f>
        <v>10.52</v>
      </c>
      <c r="G8" s="1">
        <f ca="1">IFERROR(__xludf.DUMMYFUNCTION("""COMPUTED_VALUE"""),8.09)</f>
        <v>8.09</v>
      </c>
      <c r="H8" s="1">
        <f ca="1">IFERROR(__xludf.DUMMYFUNCTION("""COMPUTED_VALUE"""),8)</f>
        <v>8</v>
      </c>
      <c r="I8" s="1">
        <f ca="1">IFERROR(__xludf.DUMMYFUNCTION("""COMPUTED_VALUE"""),10)</f>
        <v>10</v>
      </c>
      <c r="J8" s="1">
        <f ca="1">IFERROR(__xludf.DUMMYFUNCTION("""COMPUTED_VALUE"""),14)</f>
        <v>14</v>
      </c>
      <c r="K8" s="1">
        <f ca="1">IFERROR(__xludf.DUMMYFUNCTION("""COMPUTED_VALUE"""),5)</f>
        <v>5</v>
      </c>
      <c r="L8" s="1">
        <f ca="1">IFERROR(__xludf.DUMMYFUNCTION("""COMPUTED_VALUE"""),4)</f>
        <v>4</v>
      </c>
      <c r="M8" s="1">
        <f ca="1">IFERROR(__xludf.DUMMYFUNCTION("""COMPUTED_VALUE"""),8)</f>
        <v>8</v>
      </c>
      <c r="N8" s="1">
        <f ca="1">IFERROR(__xludf.DUMMYFUNCTION("""COMPUTED_VALUE"""),2280)</f>
        <v>2280</v>
      </c>
      <c r="O8" s="1">
        <f ca="1">IFERROR(__xludf.DUMMYFUNCTION("""COMPUTED_VALUE"""),2180)</f>
        <v>2180</v>
      </c>
      <c r="P8" s="1">
        <f ca="1">IFERROR(__xludf.DUMMYFUNCTION("""COMPUTED_VALUE"""),1371)</f>
        <v>1371</v>
      </c>
      <c r="Q8" s="1">
        <f ca="1">IFERROR(__xludf.DUMMYFUNCTION("""COMPUTED_VALUE"""),760)</f>
        <v>760</v>
      </c>
      <c r="R8" s="1">
        <f ca="1">IFERROR(__xludf.DUMMYFUNCTION("""COMPUTED_VALUE"""),1724)</f>
        <v>1724</v>
      </c>
      <c r="S8" s="1">
        <f ca="1">IFERROR(__xludf.DUMMYFUNCTION("""COMPUTED_VALUE"""),0.441)</f>
        <v>0.441</v>
      </c>
      <c r="T8" s="1">
        <f ca="1">IFERROR(__xludf.DUMMYFUNCTION("""COMPUTED_VALUE"""),221)</f>
        <v>221</v>
      </c>
      <c r="U8" s="1">
        <f ca="1">IFERROR(__xludf.DUMMYFUNCTION("""COMPUTED_VALUE"""),697)</f>
        <v>697</v>
      </c>
      <c r="V8" s="1">
        <f ca="1">IFERROR(__xludf.DUMMYFUNCTION("""COMPUTED_VALUE"""),0.317)</f>
        <v>0.317</v>
      </c>
      <c r="W8" s="1">
        <f ca="1">IFERROR(__xludf.DUMMYFUNCTION("""COMPUTED_VALUE"""),539)</f>
        <v>539</v>
      </c>
      <c r="X8" s="1">
        <f ca="1">IFERROR(__xludf.DUMMYFUNCTION("""COMPUTED_VALUE"""),752)</f>
        <v>752</v>
      </c>
      <c r="Y8" s="1">
        <f ca="1">IFERROR(__xludf.DUMMYFUNCTION("""COMPUTED_VALUE"""),0.717)</f>
        <v>0.71699999999999997</v>
      </c>
      <c r="Z8" s="1">
        <f ca="1">IFERROR(__xludf.DUMMYFUNCTION("""COMPUTED_VALUE"""),325)</f>
        <v>325</v>
      </c>
      <c r="AA8" s="1">
        <f ca="1">IFERROR(__xludf.DUMMYFUNCTION("""COMPUTED_VALUE"""),1122)</f>
        <v>1122</v>
      </c>
      <c r="AB8" s="1">
        <f ca="1">IFERROR(__xludf.DUMMYFUNCTION("""COMPUTED_VALUE"""),350)</f>
        <v>350</v>
      </c>
      <c r="AC8" s="1">
        <f ca="1">IFERROR(__xludf.DUMMYFUNCTION("""COMPUTED_VALUE"""),219)</f>
        <v>219</v>
      </c>
      <c r="AD8" s="1">
        <f ca="1">IFERROR(__xludf.DUMMYFUNCTION("""COMPUTED_VALUE"""),125)</f>
        <v>125</v>
      </c>
      <c r="AE8" s="1">
        <f ca="1">IFERROR(__xludf.DUMMYFUNCTION("""COMPUTED_VALUE"""),407)</f>
        <v>407</v>
      </c>
      <c r="AF8" s="1">
        <f ca="1">IFERROR(__xludf.DUMMYFUNCTION("""COMPUTED_VALUE"""),654)</f>
        <v>654</v>
      </c>
    </row>
    <row r="9" spans="1:32" ht="15.75" customHeight="1" x14ac:dyDescent="0.25">
      <c r="A9" s="1" t="str">
        <f ca="1">IFERROR(__xludf.DUMMYFUNCTION("""COMPUTED_VALUE"""),"Albany (NY)NCAA")</f>
        <v>Albany (NY)NCAA</v>
      </c>
      <c r="B9" s="1">
        <f ca="1">IFERROR(__xludf.DUMMYFUNCTION("""COMPUTED_VALUE"""),33)</f>
        <v>33</v>
      </c>
      <c r="C9" s="1">
        <f ca="1">IFERROR(__xludf.DUMMYFUNCTION("""COMPUTED_VALUE"""),24)</f>
        <v>24</v>
      </c>
      <c r="D9" s="1">
        <f ca="1">IFERROR(__xludf.DUMMYFUNCTION("""COMPUTED_VALUE"""),9)</f>
        <v>9</v>
      </c>
      <c r="E9" s="1">
        <f ca="1">IFERROR(__xludf.DUMMYFUNCTION("""COMPUTED_VALUE"""),0.727)</f>
        <v>0.72699999999999998</v>
      </c>
      <c r="F9" s="1">
        <f ca="1">IFERROR(__xludf.DUMMYFUNCTION("""COMPUTED_VALUE"""),-0.34)</f>
        <v>-0.34</v>
      </c>
      <c r="G9" s="1">
        <f ca="1">IFERROR(__xludf.DUMMYFUNCTION("""COMPUTED_VALUE"""),-5.18)</f>
        <v>-5.18</v>
      </c>
      <c r="H9" s="1">
        <f ca="1">IFERROR(__xludf.DUMMYFUNCTION("""COMPUTED_VALUE"""),15)</f>
        <v>15</v>
      </c>
      <c r="I9" s="1">
        <f ca="1">IFERROR(__xludf.DUMMYFUNCTION("""COMPUTED_VALUE"""),1)</f>
        <v>1</v>
      </c>
      <c r="J9" s="1">
        <f ca="1">IFERROR(__xludf.DUMMYFUNCTION("""COMPUTED_VALUE"""),12)</f>
        <v>12</v>
      </c>
      <c r="K9" s="1">
        <f ca="1">IFERROR(__xludf.DUMMYFUNCTION("""COMPUTED_VALUE"""),3)</f>
        <v>3</v>
      </c>
      <c r="L9" s="1">
        <f ca="1">IFERROR(__xludf.DUMMYFUNCTION("""COMPUTED_VALUE"""),12)</f>
        <v>12</v>
      </c>
      <c r="M9" s="1">
        <f ca="1">IFERROR(__xludf.DUMMYFUNCTION("""COMPUTED_VALUE"""),5)</f>
        <v>5</v>
      </c>
      <c r="N9" s="1">
        <f ca="1">IFERROR(__xludf.DUMMYFUNCTION("""COMPUTED_VALUE"""),2156)</f>
        <v>2156</v>
      </c>
      <c r="O9" s="1">
        <f ca="1">IFERROR(__xludf.DUMMYFUNCTION("""COMPUTED_VALUE"""),1996)</f>
        <v>1996</v>
      </c>
      <c r="P9" s="1">
        <f ca="1">IFERROR(__xludf.DUMMYFUNCTION("""COMPUTED_VALUE"""),1325)</f>
        <v>1325</v>
      </c>
      <c r="Q9" s="1">
        <f ca="1">IFERROR(__xludf.DUMMYFUNCTION("""COMPUTED_VALUE"""),729)</f>
        <v>729</v>
      </c>
      <c r="R9" s="1">
        <f ca="1">IFERROR(__xludf.DUMMYFUNCTION("""COMPUTED_VALUE"""),1666)</f>
        <v>1666</v>
      </c>
      <c r="S9" s="1">
        <f ca="1">IFERROR(__xludf.DUMMYFUNCTION("""COMPUTED_VALUE"""),0.438)</f>
        <v>0.438</v>
      </c>
      <c r="T9" s="1">
        <f ca="1">IFERROR(__xludf.DUMMYFUNCTION("""COMPUTED_VALUE"""),205)</f>
        <v>205</v>
      </c>
      <c r="U9" s="1">
        <f ca="1">IFERROR(__xludf.DUMMYFUNCTION("""COMPUTED_VALUE"""),572)</f>
        <v>572</v>
      </c>
      <c r="V9" s="1">
        <f ca="1">IFERROR(__xludf.DUMMYFUNCTION("""COMPUTED_VALUE"""),0.358)</f>
        <v>0.35799999999999998</v>
      </c>
      <c r="W9" s="1">
        <f ca="1">IFERROR(__xludf.DUMMYFUNCTION("""COMPUTED_VALUE"""),493)</f>
        <v>493</v>
      </c>
      <c r="X9" s="1">
        <f ca="1">IFERROR(__xludf.DUMMYFUNCTION("""COMPUTED_VALUE"""),650)</f>
        <v>650</v>
      </c>
      <c r="Y9" s="1">
        <f ca="1">IFERROR(__xludf.DUMMYFUNCTION("""COMPUTED_VALUE"""),0.758)</f>
        <v>0.75800000000000001</v>
      </c>
      <c r="Z9" s="1">
        <f ca="1">IFERROR(__xludf.DUMMYFUNCTION("""COMPUTED_VALUE"""),334)</f>
        <v>334</v>
      </c>
      <c r="AA9" s="1">
        <f ca="1">IFERROR(__xludf.DUMMYFUNCTION("""COMPUTED_VALUE"""),1111)</f>
        <v>1111</v>
      </c>
      <c r="AB9" s="1">
        <f ca="1">IFERROR(__xludf.DUMMYFUNCTION("""COMPUTED_VALUE"""),349)</f>
        <v>349</v>
      </c>
      <c r="AC9" s="1">
        <f ca="1">IFERROR(__xludf.DUMMYFUNCTION("""COMPUTED_VALUE"""),187)</f>
        <v>187</v>
      </c>
      <c r="AD9" s="1">
        <f ca="1">IFERROR(__xludf.DUMMYFUNCTION("""COMPUTED_VALUE"""),53)</f>
        <v>53</v>
      </c>
      <c r="AE9" s="1">
        <f ca="1">IFERROR(__xludf.DUMMYFUNCTION("""COMPUTED_VALUE"""),381)</f>
        <v>381</v>
      </c>
      <c r="AF9" s="1">
        <f ca="1">IFERROR(__xludf.DUMMYFUNCTION("""COMPUTED_VALUE"""),544)</f>
        <v>544</v>
      </c>
    </row>
    <row r="10" spans="1:32" ht="15.75" customHeight="1" x14ac:dyDescent="0.25">
      <c r="A10" s="1" t="str">
        <f ca="1">IFERROR(__xludf.DUMMYFUNCTION("""COMPUTED_VALUE"""),"Alcorn State")</f>
        <v>Alcorn State</v>
      </c>
      <c r="B10" s="1">
        <f ca="1">IFERROR(__xludf.DUMMYFUNCTION("""COMPUTED_VALUE"""),32)</f>
        <v>32</v>
      </c>
      <c r="C10" s="1">
        <f ca="1">IFERROR(__xludf.DUMMYFUNCTION("""COMPUTED_VALUE"""),6)</f>
        <v>6</v>
      </c>
      <c r="D10" s="1">
        <f ca="1">IFERROR(__xludf.DUMMYFUNCTION("""COMPUTED_VALUE"""),26)</f>
        <v>26</v>
      </c>
      <c r="E10" s="1">
        <f ca="1">IFERROR(__xludf.DUMMYFUNCTION("""COMPUTED_VALUE"""),0.188)</f>
        <v>0.188</v>
      </c>
      <c r="F10" s="1">
        <f ca="1">IFERROR(__xludf.DUMMYFUNCTION("""COMPUTED_VALUE"""),-20.75)</f>
        <v>-20.75</v>
      </c>
      <c r="G10" s="1">
        <f ca="1">IFERROR(__xludf.DUMMYFUNCTION("""COMPUTED_VALUE"""),-9.95)</f>
        <v>-9.9499999999999993</v>
      </c>
      <c r="H10" s="1">
        <f ca="1">IFERROR(__xludf.DUMMYFUNCTION("""COMPUTED_VALUE"""),4)</f>
        <v>4</v>
      </c>
      <c r="I10" s="1">
        <f ca="1">IFERROR(__xludf.DUMMYFUNCTION("""COMPUTED_VALUE"""),14)</f>
        <v>14</v>
      </c>
      <c r="J10" s="1">
        <f ca="1">IFERROR(__xludf.DUMMYFUNCTION("""COMPUTED_VALUE"""),4)</f>
        <v>4</v>
      </c>
      <c r="K10" s="1">
        <f ca="1">IFERROR(__xludf.DUMMYFUNCTION("""COMPUTED_VALUE"""),7)</f>
        <v>7</v>
      </c>
      <c r="L10" s="1">
        <f ca="1">IFERROR(__xludf.DUMMYFUNCTION("""COMPUTED_VALUE"""),1)</f>
        <v>1</v>
      </c>
      <c r="M10" s="1">
        <f ca="1">IFERROR(__xludf.DUMMYFUNCTION("""COMPUTED_VALUE"""),15)</f>
        <v>15</v>
      </c>
      <c r="N10" s="1">
        <f ca="1">IFERROR(__xludf.DUMMYFUNCTION("""COMPUTED_VALUE"""),2066)</f>
        <v>2066</v>
      </c>
      <c r="O10" s="1">
        <f ca="1">IFERROR(__xludf.DUMMYFUNCTION("""COMPUTED_VALUE"""),2377)</f>
        <v>2377</v>
      </c>
      <c r="P10" s="1">
        <f ca="1">IFERROR(__xludf.DUMMYFUNCTION("""COMPUTED_VALUE"""),1280)</f>
        <v>1280</v>
      </c>
      <c r="Q10" s="1">
        <f ca="1">IFERROR(__xludf.DUMMYFUNCTION("""COMPUTED_VALUE"""),724)</f>
        <v>724</v>
      </c>
      <c r="R10" s="1">
        <f ca="1">IFERROR(__xludf.DUMMYFUNCTION("""COMPUTED_VALUE"""),1864)</f>
        <v>1864</v>
      </c>
      <c r="S10" s="1">
        <f ca="1">IFERROR(__xludf.DUMMYFUNCTION("""COMPUTED_VALUE"""),0.388)</f>
        <v>0.38800000000000001</v>
      </c>
      <c r="T10" s="1">
        <f ca="1">IFERROR(__xludf.DUMMYFUNCTION("""COMPUTED_VALUE"""),155)</f>
        <v>155</v>
      </c>
      <c r="U10" s="1">
        <f ca="1">IFERROR(__xludf.DUMMYFUNCTION("""COMPUTED_VALUE"""),553)</f>
        <v>553</v>
      </c>
      <c r="V10" s="1">
        <f ca="1">IFERROR(__xludf.DUMMYFUNCTION("""COMPUTED_VALUE"""),0.28)</f>
        <v>0.28000000000000003</v>
      </c>
      <c r="W10" s="1">
        <f ca="1">IFERROR(__xludf.DUMMYFUNCTION("""COMPUTED_VALUE"""),463)</f>
        <v>463</v>
      </c>
      <c r="X10" s="1">
        <f ca="1">IFERROR(__xludf.DUMMYFUNCTION("""COMPUTED_VALUE"""),704)</f>
        <v>704</v>
      </c>
      <c r="Y10" s="1">
        <f ca="1">IFERROR(__xludf.DUMMYFUNCTION("""COMPUTED_VALUE"""),0.658)</f>
        <v>0.65800000000000003</v>
      </c>
      <c r="Z10" s="1">
        <f ca="1">IFERROR(__xludf.DUMMYFUNCTION("""COMPUTED_VALUE"""),376)</f>
        <v>376</v>
      </c>
      <c r="AA10" s="1">
        <f ca="1">IFERROR(__xludf.DUMMYFUNCTION("""COMPUTED_VALUE"""),1038)</f>
        <v>1038</v>
      </c>
      <c r="AB10" s="1">
        <f ca="1">IFERROR(__xludf.DUMMYFUNCTION("""COMPUTED_VALUE"""),285)</f>
        <v>285</v>
      </c>
      <c r="AC10" s="1">
        <f ca="1">IFERROR(__xludf.DUMMYFUNCTION("""COMPUTED_VALUE"""),191)</f>
        <v>191</v>
      </c>
      <c r="AD10" s="1">
        <f ca="1">IFERROR(__xludf.DUMMYFUNCTION("""COMPUTED_VALUE"""),86)</f>
        <v>86</v>
      </c>
      <c r="AE10" s="1">
        <f ca="1">IFERROR(__xludf.DUMMYFUNCTION("""COMPUTED_VALUE"""),367)</f>
        <v>367</v>
      </c>
      <c r="AF10" s="1">
        <f ca="1">IFERROR(__xludf.DUMMYFUNCTION("""COMPUTED_VALUE"""),571)</f>
        <v>571</v>
      </c>
    </row>
    <row r="11" spans="1:32" ht="15.75" customHeight="1" x14ac:dyDescent="0.25">
      <c r="A11" s="1" t="str">
        <f ca="1">IFERROR(__xludf.DUMMYFUNCTION("""COMPUTED_VALUE"""),"American")</f>
        <v>American</v>
      </c>
      <c r="B11" s="1">
        <f ca="1">IFERROR(__xludf.DUMMYFUNCTION("""COMPUTED_VALUE"""),33)</f>
        <v>33</v>
      </c>
      <c r="C11" s="1">
        <f ca="1">IFERROR(__xludf.DUMMYFUNCTION("""COMPUTED_VALUE"""),17)</f>
        <v>17</v>
      </c>
      <c r="D11" s="1">
        <f ca="1">IFERROR(__xludf.DUMMYFUNCTION("""COMPUTED_VALUE"""),16)</f>
        <v>16</v>
      </c>
      <c r="E11" s="1">
        <f ca="1">IFERROR(__xludf.DUMMYFUNCTION("""COMPUTED_VALUE"""),0.515)</f>
        <v>0.51500000000000001</v>
      </c>
      <c r="F11" s="1">
        <f ca="1">IFERROR(__xludf.DUMMYFUNCTION("""COMPUTED_VALUE"""),-3.56)</f>
        <v>-3.56</v>
      </c>
      <c r="G11" s="1">
        <f ca="1">IFERROR(__xludf.DUMMYFUNCTION("""COMPUTED_VALUE"""),-3.71)</f>
        <v>-3.71</v>
      </c>
      <c r="H11" s="1">
        <f ca="1">IFERROR(__xludf.DUMMYFUNCTION("""COMPUTED_VALUE"""),8)</f>
        <v>8</v>
      </c>
      <c r="I11" s="1">
        <f ca="1">IFERROR(__xludf.DUMMYFUNCTION("""COMPUTED_VALUE"""),10)</f>
        <v>10</v>
      </c>
      <c r="J11" s="1">
        <f ca="1">IFERROR(__xludf.DUMMYFUNCTION("""COMPUTED_VALUE"""),8)</f>
        <v>8</v>
      </c>
      <c r="K11" s="1">
        <f ca="1">IFERROR(__xludf.DUMMYFUNCTION("""COMPUTED_VALUE"""),3)</f>
        <v>3</v>
      </c>
      <c r="L11" s="1">
        <f ca="1">IFERROR(__xludf.DUMMYFUNCTION("""COMPUTED_VALUE"""),7)</f>
        <v>7</v>
      </c>
      <c r="M11" s="1">
        <f ca="1">IFERROR(__xludf.DUMMYFUNCTION("""COMPUTED_VALUE"""),13)</f>
        <v>13</v>
      </c>
      <c r="N11" s="1">
        <f ca="1">IFERROR(__xludf.DUMMYFUNCTION("""COMPUTED_VALUE"""),1938)</f>
        <v>1938</v>
      </c>
      <c r="O11" s="1">
        <f ca="1">IFERROR(__xludf.DUMMYFUNCTION("""COMPUTED_VALUE"""),1933)</f>
        <v>1933</v>
      </c>
      <c r="P11" s="1">
        <f ca="1">IFERROR(__xludf.DUMMYFUNCTION("""COMPUTED_VALUE"""),1339)</f>
        <v>1339</v>
      </c>
      <c r="Q11" s="1">
        <f ca="1">IFERROR(__xludf.DUMMYFUNCTION("""COMPUTED_VALUE"""),683)</f>
        <v>683</v>
      </c>
      <c r="R11" s="1">
        <f ca="1">IFERROR(__xludf.DUMMYFUNCTION("""COMPUTED_VALUE"""),1479)</f>
        <v>1479</v>
      </c>
      <c r="S11" s="1">
        <f ca="1">IFERROR(__xludf.DUMMYFUNCTION("""COMPUTED_VALUE"""),0.462)</f>
        <v>0.46200000000000002</v>
      </c>
      <c r="T11" s="1">
        <f ca="1">IFERROR(__xludf.DUMMYFUNCTION("""COMPUTED_VALUE"""),213)</f>
        <v>213</v>
      </c>
      <c r="U11" s="1">
        <f ca="1">IFERROR(__xludf.DUMMYFUNCTION("""COMPUTED_VALUE"""),571)</f>
        <v>571</v>
      </c>
      <c r="V11" s="1">
        <f ca="1">IFERROR(__xludf.DUMMYFUNCTION("""COMPUTED_VALUE"""),0.373)</f>
        <v>0.373</v>
      </c>
      <c r="W11" s="1">
        <f ca="1">IFERROR(__xludf.DUMMYFUNCTION("""COMPUTED_VALUE"""),359)</f>
        <v>359</v>
      </c>
      <c r="X11" s="1">
        <f ca="1">IFERROR(__xludf.DUMMYFUNCTION("""COMPUTED_VALUE"""),509)</f>
        <v>509</v>
      </c>
      <c r="Y11" s="1">
        <f ca="1">IFERROR(__xludf.DUMMYFUNCTION("""COMPUTED_VALUE"""),0.705)</f>
        <v>0.70499999999999996</v>
      </c>
      <c r="Z11" s="1">
        <f ca="1">IFERROR(__xludf.DUMMYFUNCTION("""COMPUTED_VALUE"""),188)</f>
        <v>188</v>
      </c>
      <c r="AA11" s="1">
        <f ca="1">IFERROR(__xludf.DUMMYFUNCTION("""COMPUTED_VALUE"""),827)</f>
        <v>827</v>
      </c>
      <c r="AB11" s="1">
        <f ca="1">IFERROR(__xludf.DUMMYFUNCTION("""COMPUTED_VALUE"""),408)</f>
        <v>408</v>
      </c>
      <c r="AC11" s="1">
        <f ca="1">IFERROR(__xludf.DUMMYFUNCTION("""COMPUTED_VALUE"""),196)</f>
        <v>196</v>
      </c>
      <c r="AD11" s="1">
        <f ca="1">IFERROR(__xludf.DUMMYFUNCTION("""COMPUTED_VALUE"""),84)</f>
        <v>84</v>
      </c>
      <c r="AE11" s="1">
        <f ca="1">IFERROR(__xludf.DUMMYFUNCTION("""COMPUTED_VALUE"""),370)</f>
        <v>370</v>
      </c>
      <c r="AF11" s="1">
        <f ca="1">IFERROR(__xludf.DUMMYFUNCTION("""COMPUTED_VALUE"""),484)</f>
        <v>484</v>
      </c>
    </row>
    <row r="12" spans="1:32" ht="15.75" customHeight="1" x14ac:dyDescent="0.25">
      <c r="A12" s="1" t="str">
        <f ca="1">IFERROR(__xludf.DUMMYFUNCTION("""COMPUTED_VALUE"""),"Appalachian State")</f>
        <v>Appalachian State</v>
      </c>
      <c r="B12" s="1">
        <f ca="1">IFERROR(__xludf.DUMMYFUNCTION("""COMPUTED_VALUE"""),29)</f>
        <v>29</v>
      </c>
      <c r="C12" s="1">
        <f ca="1">IFERROR(__xludf.DUMMYFUNCTION("""COMPUTED_VALUE"""),12)</f>
        <v>12</v>
      </c>
      <c r="D12" s="1">
        <f ca="1">IFERROR(__xludf.DUMMYFUNCTION("""COMPUTED_VALUE"""),17)</f>
        <v>17</v>
      </c>
      <c r="E12" s="1">
        <f ca="1">IFERROR(__xludf.DUMMYFUNCTION("""COMPUTED_VALUE"""),0.414)</f>
        <v>0.41399999999999998</v>
      </c>
      <c r="F12" s="1">
        <f ca="1">IFERROR(__xludf.DUMMYFUNCTION("""COMPUTED_VALUE"""),-9.81)</f>
        <v>-9.81</v>
      </c>
      <c r="G12" s="1">
        <f ca="1">IFERROR(__xludf.DUMMYFUNCTION("""COMPUTED_VALUE"""),-3.18)</f>
        <v>-3.18</v>
      </c>
      <c r="H12" s="1">
        <f ca="1">IFERROR(__xludf.DUMMYFUNCTION("""COMPUTED_VALUE"""),9)</f>
        <v>9</v>
      </c>
      <c r="I12" s="1">
        <f ca="1">IFERROR(__xludf.DUMMYFUNCTION("""COMPUTED_VALUE"""),11)</f>
        <v>11</v>
      </c>
      <c r="J12" s="1">
        <f ca="1">IFERROR(__xludf.DUMMYFUNCTION("""COMPUTED_VALUE"""),7)</f>
        <v>7</v>
      </c>
      <c r="K12" s="1">
        <f ca="1">IFERROR(__xludf.DUMMYFUNCTION("""COMPUTED_VALUE"""),5)</f>
        <v>5</v>
      </c>
      <c r="L12" s="1">
        <f ca="1">IFERROR(__xludf.DUMMYFUNCTION("""COMPUTED_VALUE"""),5)</f>
        <v>5</v>
      </c>
      <c r="M12" s="1">
        <f ca="1">IFERROR(__xludf.DUMMYFUNCTION("""COMPUTED_VALUE"""),12)</f>
        <v>12</v>
      </c>
      <c r="N12" s="1">
        <f ca="1">IFERROR(__xludf.DUMMYFUNCTION("""COMPUTED_VALUE"""),1841)</f>
        <v>1841</v>
      </c>
      <c r="O12" s="1">
        <f ca="1">IFERROR(__xludf.DUMMYFUNCTION("""COMPUTED_VALUE"""),2033)</f>
        <v>2033</v>
      </c>
      <c r="P12" s="1">
        <f ca="1">IFERROR(__xludf.DUMMYFUNCTION("""COMPUTED_VALUE"""),1160)</f>
        <v>1160</v>
      </c>
      <c r="Q12" s="1">
        <f ca="1">IFERROR(__xludf.DUMMYFUNCTION("""COMPUTED_VALUE"""),637)</f>
        <v>637</v>
      </c>
      <c r="R12" s="1">
        <f ca="1">IFERROR(__xludf.DUMMYFUNCTION("""COMPUTED_VALUE"""),1602)</f>
        <v>1602</v>
      </c>
      <c r="S12" s="1">
        <f ca="1">IFERROR(__xludf.DUMMYFUNCTION("""COMPUTED_VALUE"""),0.398)</f>
        <v>0.39800000000000002</v>
      </c>
      <c r="T12" s="1">
        <f ca="1">IFERROR(__xludf.DUMMYFUNCTION("""COMPUTED_VALUE"""),186)</f>
        <v>186</v>
      </c>
      <c r="U12" s="1">
        <f ca="1">IFERROR(__xludf.DUMMYFUNCTION("""COMPUTED_VALUE"""),588)</f>
        <v>588</v>
      </c>
      <c r="V12" s="1">
        <f ca="1">IFERROR(__xludf.DUMMYFUNCTION("""COMPUTED_VALUE"""),0.316)</f>
        <v>0.316</v>
      </c>
      <c r="W12" s="1">
        <f ca="1">IFERROR(__xludf.DUMMYFUNCTION("""COMPUTED_VALUE"""),381)</f>
        <v>381</v>
      </c>
      <c r="X12" s="1">
        <f ca="1">IFERROR(__xludf.DUMMYFUNCTION("""COMPUTED_VALUE"""),537)</f>
        <v>537</v>
      </c>
      <c r="Y12" s="1">
        <f ca="1">IFERROR(__xludf.DUMMYFUNCTION("""COMPUTED_VALUE"""),0.709)</f>
        <v>0.70899999999999996</v>
      </c>
      <c r="Z12" s="1">
        <f ca="1">IFERROR(__xludf.DUMMYFUNCTION("""COMPUTED_VALUE"""),329)</f>
        <v>329</v>
      </c>
      <c r="AA12" s="1">
        <f ca="1">IFERROR(__xludf.DUMMYFUNCTION("""COMPUTED_VALUE"""),1010)</f>
        <v>1010</v>
      </c>
      <c r="AB12" s="1">
        <f ca="1">IFERROR(__xludf.DUMMYFUNCTION("""COMPUTED_VALUE"""),318)</f>
        <v>318</v>
      </c>
      <c r="AC12" s="1">
        <f ca="1">IFERROR(__xludf.DUMMYFUNCTION("""COMPUTED_VALUE"""),122)</f>
        <v>122</v>
      </c>
      <c r="AD12" s="1">
        <f ca="1">IFERROR(__xludf.DUMMYFUNCTION("""COMPUTED_VALUE"""),61)</f>
        <v>61</v>
      </c>
      <c r="AE12" s="1">
        <f ca="1">IFERROR(__xludf.DUMMYFUNCTION("""COMPUTED_VALUE"""),397)</f>
        <v>397</v>
      </c>
      <c r="AF12" s="1">
        <f ca="1">IFERROR(__xludf.DUMMYFUNCTION("""COMPUTED_VALUE"""),551)</f>
        <v>551</v>
      </c>
    </row>
    <row r="13" spans="1:32" ht="15.75" customHeight="1" x14ac:dyDescent="0.25">
      <c r="A13" s="1" t="str">
        <f ca="1">IFERROR(__xludf.DUMMYFUNCTION("""COMPUTED_VALUE"""),"Arizona State")</f>
        <v>Arizona State</v>
      </c>
      <c r="B13" s="1">
        <f ca="1">IFERROR(__xludf.DUMMYFUNCTION("""COMPUTED_VALUE"""),34)</f>
        <v>34</v>
      </c>
      <c r="C13" s="1">
        <f ca="1">IFERROR(__xludf.DUMMYFUNCTION("""COMPUTED_VALUE"""),18)</f>
        <v>18</v>
      </c>
      <c r="D13" s="1">
        <f ca="1">IFERROR(__xludf.DUMMYFUNCTION("""COMPUTED_VALUE"""),16)</f>
        <v>16</v>
      </c>
      <c r="E13" s="1">
        <f ca="1">IFERROR(__xludf.DUMMYFUNCTION("""COMPUTED_VALUE"""),0.529)</f>
        <v>0.52900000000000003</v>
      </c>
      <c r="F13" s="1">
        <f ca="1">IFERROR(__xludf.DUMMYFUNCTION("""COMPUTED_VALUE"""),9.52)</f>
        <v>9.52</v>
      </c>
      <c r="G13" s="1">
        <f ca="1">IFERROR(__xludf.DUMMYFUNCTION("""COMPUTED_VALUE"""),6.66)</f>
        <v>6.66</v>
      </c>
      <c r="H13" s="1">
        <f ca="1">IFERROR(__xludf.DUMMYFUNCTION("""COMPUTED_VALUE"""),9)</f>
        <v>9</v>
      </c>
      <c r="I13" s="1">
        <f ca="1">IFERROR(__xludf.DUMMYFUNCTION("""COMPUTED_VALUE"""),9)</f>
        <v>9</v>
      </c>
      <c r="J13" s="1">
        <f ca="1">IFERROR(__xludf.DUMMYFUNCTION("""COMPUTED_VALUE"""),15)</f>
        <v>15</v>
      </c>
      <c r="K13" s="1">
        <f ca="1">IFERROR(__xludf.DUMMYFUNCTION("""COMPUTED_VALUE"""),3)</f>
        <v>3</v>
      </c>
      <c r="L13" s="1">
        <f ca="1">IFERROR(__xludf.DUMMYFUNCTION("""COMPUTED_VALUE"""),3)</f>
        <v>3</v>
      </c>
      <c r="M13" s="1">
        <f ca="1">IFERROR(__xludf.DUMMYFUNCTION("""COMPUTED_VALUE"""),10)</f>
        <v>10</v>
      </c>
      <c r="N13" s="1">
        <f ca="1">IFERROR(__xludf.DUMMYFUNCTION("""COMPUTED_VALUE"""),2360)</f>
        <v>2360</v>
      </c>
      <c r="O13" s="1">
        <f ca="1">IFERROR(__xludf.DUMMYFUNCTION("""COMPUTED_VALUE"""),2263)</f>
        <v>2263</v>
      </c>
      <c r="P13" s="1">
        <f ca="1">IFERROR(__xludf.DUMMYFUNCTION("""COMPUTED_VALUE"""),1385)</f>
        <v>1385</v>
      </c>
      <c r="Q13" s="1">
        <f ca="1">IFERROR(__xludf.DUMMYFUNCTION("""COMPUTED_VALUE"""),809)</f>
        <v>809</v>
      </c>
      <c r="R13" s="1">
        <f ca="1">IFERROR(__xludf.DUMMYFUNCTION("""COMPUTED_VALUE"""),1818)</f>
        <v>1818</v>
      </c>
      <c r="S13" s="1">
        <f ca="1">IFERROR(__xludf.DUMMYFUNCTION("""COMPUTED_VALUE"""),0.445)</f>
        <v>0.44500000000000001</v>
      </c>
      <c r="T13" s="1">
        <f ca="1">IFERROR(__xludf.DUMMYFUNCTION("""COMPUTED_VALUE"""),231)</f>
        <v>231</v>
      </c>
      <c r="U13" s="1">
        <f ca="1">IFERROR(__xludf.DUMMYFUNCTION("""COMPUTED_VALUE"""),660)</f>
        <v>660</v>
      </c>
      <c r="V13" s="1">
        <f ca="1">IFERROR(__xludf.DUMMYFUNCTION("""COMPUTED_VALUE"""),0.35)</f>
        <v>0.35</v>
      </c>
      <c r="W13" s="1">
        <f ca="1">IFERROR(__xludf.DUMMYFUNCTION("""COMPUTED_VALUE"""),511)</f>
        <v>511</v>
      </c>
      <c r="X13" s="1">
        <f ca="1">IFERROR(__xludf.DUMMYFUNCTION("""COMPUTED_VALUE"""),766)</f>
        <v>766</v>
      </c>
      <c r="Y13" s="1">
        <f ca="1">IFERROR(__xludf.DUMMYFUNCTION("""COMPUTED_VALUE"""),0.667)</f>
        <v>0.66700000000000004</v>
      </c>
      <c r="Z13" s="1">
        <f ca="1">IFERROR(__xludf.DUMMYFUNCTION("""COMPUTED_VALUE"""),365)</f>
        <v>365</v>
      </c>
      <c r="AA13" s="1">
        <f ca="1">IFERROR(__xludf.DUMMYFUNCTION("""COMPUTED_VALUE"""),1184)</f>
        <v>1184</v>
      </c>
      <c r="AB13" s="1">
        <f ca="1">IFERROR(__xludf.DUMMYFUNCTION("""COMPUTED_VALUE"""),431)</f>
        <v>431</v>
      </c>
      <c r="AC13" s="1">
        <f ca="1">IFERROR(__xludf.DUMMYFUNCTION("""COMPUTED_VALUE"""),199)</f>
        <v>199</v>
      </c>
      <c r="AD13" s="1">
        <f ca="1">IFERROR(__xludf.DUMMYFUNCTION("""COMPUTED_VALUE"""),79)</f>
        <v>79</v>
      </c>
      <c r="AE13" s="1">
        <f ca="1">IFERROR(__xludf.DUMMYFUNCTION("""COMPUTED_VALUE"""),474)</f>
        <v>474</v>
      </c>
      <c r="AF13" s="1">
        <f ca="1">IFERROR(__xludf.DUMMYFUNCTION("""COMPUTED_VALUE"""),638)</f>
        <v>638</v>
      </c>
    </row>
    <row r="14" spans="1:32" ht="15.75" customHeight="1" x14ac:dyDescent="0.25">
      <c r="A14" s="1" t="str">
        <f ca="1">IFERROR(__xludf.DUMMYFUNCTION("""COMPUTED_VALUE"""),"ArizonaNCAA")</f>
        <v>ArizonaNCAA</v>
      </c>
      <c r="B14" s="1">
        <f ca="1">IFERROR(__xludf.DUMMYFUNCTION("""COMPUTED_VALUE"""),38)</f>
        <v>38</v>
      </c>
      <c r="C14" s="1">
        <f ca="1">IFERROR(__xludf.DUMMYFUNCTION("""COMPUTED_VALUE"""),34)</f>
        <v>34</v>
      </c>
      <c r="D14" s="1">
        <f ca="1">IFERROR(__xludf.DUMMYFUNCTION("""COMPUTED_VALUE"""),4)</f>
        <v>4</v>
      </c>
      <c r="E14" s="1">
        <f ca="1">IFERROR(__xludf.DUMMYFUNCTION("""COMPUTED_VALUE"""),0.895)</f>
        <v>0.89500000000000002</v>
      </c>
      <c r="F14" s="1">
        <f ca="1">IFERROR(__xludf.DUMMYFUNCTION("""COMPUTED_VALUE"""),24.33)</f>
        <v>24.33</v>
      </c>
      <c r="G14" s="1">
        <f ca="1">IFERROR(__xludf.DUMMYFUNCTION("""COMPUTED_VALUE"""),7.41)</f>
        <v>7.41</v>
      </c>
      <c r="H14" s="1">
        <f ca="1">IFERROR(__xludf.DUMMYFUNCTION("""COMPUTED_VALUE"""),16)</f>
        <v>16</v>
      </c>
      <c r="I14" s="1">
        <f ca="1">IFERROR(__xludf.DUMMYFUNCTION("""COMPUTED_VALUE"""),2)</f>
        <v>2</v>
      </c>
      <c r="J14" s="1">
        <f ca="1">IFERROR(__xludf.DUMMYFUNCTION("""COMPUTED_VALUE"""),17)</f>
        <v>17</v>
      </c>
      <c r="K14" s="1">
        <f ca="1">IFERROR(__xludf.DUMMYFUNCTION("""COMPUTED_VALUE"""),0)</f>
        <v>0</v>
      </c>
      <c r="L14" s="1">
        <f ca="1">IFERROR(__xludf.DUMMYFUNCTION("""COMPUTED_VALUE"""),8)</f>
        <v>8</v>
      </c>
      <c r="M14" s="1">
        <f ca="1">IFERROR(__xludf.DUMMYFUNCTION("""COMPUTED_VALUE"""),3)</f>
        <v>3</v>
      </c>
      <c r="N14" s="1">
        <f ca="1">IFERROR(__xludf.DUMMYFUNCTION("""COMPUTED_VALUE"""),2911)</f>
        <v>2911</v>
      </c>
      <c r="O14" s="1">
        <f ca="1">IFERROR(__xludf.DUMMYFUNCTION("""COMPUTED_VALUE"""),2268)</f>
        <v>2268</v>
      </c>
      <c r="P14" s="1">
        <f ca="1">IFERROR(__xludf.DUMMYFUNCTION("""COMPUTED_VALUE"""),1525)</f>
        <v>1525</v>
      </c>
      <c r="Q14" s="1">
        <f ca="1">IFERROR(__xludf.DUMMYFUNCTION("""COMPUTED_VALUE"""),1009)</f>
        <v>1009</v>
      </c>
      <c r="R14" s="1">
        <f ca="1">IFERROR(__xludf.DUMMYFUNCTION("""COMPUTED_VALUE"""),2068)</f>
        <v>2068</v>
      </c>
      <c r="S14" s="1">
        <f ca="1">IFERROR(__xludf.DUMMYFUNCTION("""COMPUTED_VALUE"""),0.488)</f>
        <v>0.48799999999999999</v>
      </c>
      <c r="T14" s="1">
        <f ca="1">IFERROR(__xludf.DUMMYFUNCTION("""COMPUTED_VALUE"""),193)</f>
        <v>193</v>
      </c>
      <c r="U14" s="1">
        <f ca="1">IFERROR(__xludf.DUMMYFUNCTION("""COMPUTED_VALUE"""),536)</f>
        <v>536</v>
      </c>
      <c r="V14" s="1">
        <f ca="1">IFERROR(__xludf.DUMMYFUNCTION("""COMPUTED_VALUE"""),0.36)</f>
        <v>0.36</v>
      </c>
      <c r="W14" s="1">
        <f ca="1">IFERROR(__xludf.DUMMYFUNCTION("""COMPUTED_VALUE"""),700)</f>
        <v>700</v>
      </c>
      <c r="X14" s="1">
        <f ca="1">IFERROR(__xludf.DUMMYFUNCTION("""COMPUTED_VALUE"""),974)</f>
        <v>974</v>
      </c>
      <c r="Y14" s="1">
        <f ca="1">IFERROR(__xludf.DUMMYFUNCTION("""COMPUTED_VALUE"""),0.719)</f>
        <v>0.71899999999999997</v>
      </c>
      <c r="Z14" s="1">
        <f ca="1">IFERROR(__xludf.DUMMYFUNCTION("""COMPUTED_VALUE"""),411)</f>
        <v>411</v>
      </c>
      <c r="AA14" s="1">
        <f ca="1">IFERROR(__xludf.DUMMYFUNCTION("""COMPUTED_VALUE"""),1399)</f>
        <v>1399</v>
      </c>
      <c r="AB14" s="1">
        <f ca="1">IFERROR(__xludf.DUMMYFUNCTION("""COMPUTED_VALUE"""),528)</f>
        <v>528</v>
      </c>
      <c r="AC14" s="1">
        <f ca="1">IFERROR(__xludf.DUMMYFUNCTION("""COMPUTED_VALUE"""),275)</f>
        <v>275</v>
      </c>
      <c r="AD14" s="1">
        <f ca="1">IFERROR(__xludf.DUMMYFUNCTION("""COMPUTED_VALUE"""),131)</f>
        <v>131</v>
      </c>
      <c r="AE14" s="1">
        <f ca="1">IFERROR(__xludf.DUMMYFUNCTION("""COMPUTED_VALUE"""),419)</f>
        <v>419</v>
      </c>
      <c r="AF14" s="1">
        <f ca="1">IFERROR(__xludf.DUMMYFUNCTION("""COMPUTED_VALUE"""),681)</f>
        <v>681</v>
      </c>
    </row>
    <row r="15" spans="1:32" ht="15.75" customHeight="1" x14ac:dyDescent="0.25">
      <c r="A15" s="1" t="str">
        <f ca="1">IFERROR(__xludf.DUMMYFUNCTION("""COMPUTED_VALUE"""),"Little Rock")</f>
        <v>Little Rock</v>
      </c>
      <c r="B15" s="1">
        <f ca="1">IFERROR(__xludf.DUMMYFUNCTION("""COMPUTED_VALUE"""),31)</f>
        <v>31</v>
      </c>
      <c r="C15" s="1">
        <f ca="1">IFERROR(__xludf.DUMMYFUNCTION("""COMPUTED_VALUE"""),13)</f>
        <v>13</v>
      </c>
      <c r="D15" s="1">
        <f ca="1">IFERROR(__xludf.DUMMYFUNCTION("""COMPUTED_VALUE"""),18)</f>
        <v>18</v>
      </c>
      <c r="E15" s="1">
        <f ca="1">IFERROR(__xludf.DUMMYFUNCTION("""COMPUTED_VALUE"""),0.419)</f>
        <v>0.41899999999999998</v>
      </c>
      <c r="F15" s="1">
        <f ca="1">IFERROR(__xludf.DUMMYFUNCTION("""COMPUTED_VALUE"""),-5.38)</f>
        <v>-5.38</v>
      </c>
      <c r="G15" s="1">
        <f ca="1">IFERROR(__xludf.DUMMYFUNCTION("""COMPUTED_VALUE"""),-3.81)</f>
        <v>-3.81</v>
      </c>
      <c r="H15" s="1">
        <f ca="1">IFERROR(__xludf.DUMMYFUNCTION("""COMPUTED_VALUE"""),8)</f>
        <v>8</v>
      </c>
      <c r="I15" s="1">
        <f ca="1">IFERROR(__xludf.DUMMYFUNCTION("""COMPUTED_VALUE"""),12)</f>
        <v>12</v>
      </c>
      <c r="J15" s="1">
        <f ca="1">IFERROR(__xludf.DUMMYFUNCTION("""COMPUTED_VALUE"""),9)</f>
        <v>9</v>
      </c>
      <c r="K15" s="1">
        <f ca="1">IFERROR(__xludf.DUMMYFUNCTION("""COMPUTED_VALUE"""),7)</f>
        <v>7</v>
      </c>
      <c r="L15" s="1">
        <f ca="1">IFERROR(__xludf.DUMMYFUNCTION("""COMPUTED_VALUE"""),3)</f>
        <v>3</v>
      </c>
      <c r="M15" s="1">
        <f ca="1">IFERROR(__xludf.DUMMYFUNCTION("""COMPUTED_VALUE"""),9)</f>
        <v>9</v>
      </c>
      <c r="N15" s="1">
        <f ca="1">IFERROR(__xludf.DUMMYFUNCTION("""COMPUTED_VALUE"""),2146)</f>
        <v>2146</v>
      </c>
      <c r="O15" s="1">
        <f ca="1">IFERROR(__xludf.DUMMYFUNCTION("""COMPUTED_VALUE"""),2180)</f>
        <v>2180</v>
      </c>
      <c r="P15" s="1">
        <f ca="1">IFERROR(__xludf.DUMMYFUNCTION("""COMPUTED_VALUE"""),1275)</f>
        <v>1275</v>
      </c>
      <c r="Q15" s="1">
        <f ca="1">IFERROR(__xludf.DUMMYFUNCTION("""COMPUTED_VALUE"""),741)</f>
        <v>741</v>
      </c>
      <c r="R15" s="1">
        <f ca="1">IFERROR(__xludf.DUMMYFUNCTION("""COMPUTED_VALUE"""),1779)</f>
        <v>1779</v>
      </c>
      <c r="S15" s="1">
        <f ca="1">IFERROR(__xludf.DUMMYFUNCTION("""COMPUTED_VALUE"""),0.417)</f>
        <v>0.41699999999999998</v>
      </c>
      <c r="T15" s="1">
        <f ca="1">IFERROR(__xludf.DUMMYFUNCTION("""COMPUTED_VALUE"""),219)</f>
        <v>219</v>
      </c>
      <c r="U15" s="1">
        <f ca="1">IFERROR(__xludf.DUMMYFUNCTION("""COMPUTED_VALUE"""),636)</f>
        <v>636</v>
      </c>
      <c r="V15" s="1">
        <f ca="1">IFERROR(__xludf.DUMMYFUNCTION("""COMPUTED_VALUE"""),0.344)</f>
        <v>0.34399999999999997</v>
      </c>
      <c r="W15" s="1">
        <f ca="1">IFERROR(__xludf.DUMMYFUNCTION("""COMPUTED_VALUE"""),445)</f>
        <v>445</v>
      </c>
      <c r="X15" s="1">
        <f ca="1">IFERROR(__xludf.DUMMYFUNCTION("""COMPUTED_VALUE"""),632)</f>
        <v>632</v>
      </c>
      <c r="Y15" s="1">
        <f ca="1">IFERROR(__xludf.DUMMYFUNCTION("""COMPUTED_VALUE"""),0.704)</f>
        <v>0.70399999999999996</v>
      </c>
      <c r="Z15" s="1">
        <f ca="1">IFERROR(__xludf.DUMMYFUNCTION("""COMPUTED_VALUE"""),329)</f>
        <v>329</v>
      </c>
      <c r="AA15" s="1">
        <f ca="1">IFERROR(__xludf.DUMMYFUNCTION("""COMPUTED_VALUE"""),1063)</f>
        <v>1063</v>
      </c>
      <c r="AB15" s="1">
        <f ca="1">IFERROR(__xludf.DUMMYFUNCTION("""COMPUTED_VALUE"""),380)</f>
        <v>380</v>
      </c>
      <c r="AC15" s="1">
        <f ca="1">IFERROR(__xludf.DUMMYFUNCTION("""COMPUTED_VALUE"""),174)</f>
        <v>174</v>
      </c>
      <c r="AD15" s="1">
        <f ca="1">IFERROR(__xludf.DUMMYFUNCTION("""COMPUTED_VALUE"""),86)</f>
        <v>86</v>
      </c>
      <c r="AE15" s="1">
        <f ca="1">IFERROR(__xludf.DUMMYFUNCTION("""COMPUTED_VALUE"""),326)</f>
        <v>326</v>
      </c>
      <c r="AF15" s="1">
        <f ca="1">IFERROR(__xludf.DUMMYFUNCTION("""COMPUTED_VALUE"""),588)</f>
        <v>588</v>
      </c>
    </row>
    <row r="16" spans="1:32" ht="15.75" customHeight="1" x14ac:dyDescent="0.25">
      <c r="A16" s="1" t="str">
        <f ca="1">IFERROR(__xludf.DUMMYFUNCTION("""COMPUTED_VALUE"""),"Arkansas-Pine Bluff")</f>
        <v>Arkansas-Pine Bluff</v>
      </c>
      <c r="B16" s="1">
        <f ca="1">IFERROR(__xludf.DUMMYFUNCTION("""COMPUTED_VALUE"""),32)</f>
        <v>32</v>
      </c>
      <c r="C16" s="1">
        <f ca="1">IFERROR(__xludf.DUMMYFUNCTION("""COMPUTED_VALUE"""),12)</f>
        <v>12</v>
      </c>
      <c r="D16" s="1">
        <f ca="1">IFERROR(__xludf.DUMMYFUNCTION("""COMPUTED_VALUE"""),20)</f>
        <v>20</v>
      </c>
      <c r="E16" s="1">
        <f ca="1">IFERROR(__xludf.DUMMYFUNCTION("""COMPUTED_VALUE"""),0.375)</f>
        <v>0.375</v>
      </c>
      <c r="F16" s="1">
        <f ca="1">IFERROR(__xludf.DUMMYFUNCTION("""COMPUTED_VALUE"""),-15.65)</f>
        <v>-15.65</v>
      </c>
      <c r="G16" s="1">
        <f ca="1">IFERROR(__xludf.DUMMYFUNCTION("""COMPUTED_VALUE"""),-8.61)</f>
        <v>-8.61</v>
      </c>
      <c r="H16" s="1">
        <f ca="1">IFERROR(__xludf.DUMMYFUNCTION("""COMPUTED_VALUE"""),9)</f>
        <v>9</v>
      </c>
      <c r="I16" s="1">
        <f ca="1">IFERROR(__xludf.DUMMYFUNCTION("""COMPUTED_VALUE"""),9)</f>
        <v>9</v>
      </c>
      <c r="J16" s="1">
        <f ca="1">IFERROR(__xludf.DUMMYFUNCTION("""COMPUTED_VALUE"""),5)</f>
        <v>5</v>
      </c>
      <c r="K16" s="1">
        <f ca="1">IFERROR(__xludf.DUMMYFUNCTION("""COMPUTED_VALUE"""),4)</f>
        <v>4</v>
      </c>
      <c r="L16" s="1">
        <f ca="1">IFERROR(__xludf.DUMMYFUNCTION("""COMPUTED_VALUE"""),5)</f>
        <v>5</v>
      </c>
      <c r="M16" s="1">
        <f ca="1">IFERROR(__xludf.DUMMYFUNCTION("""COMPUTED_VALUE"""),13)</f>
        <v>13</v>
      </c>
      <c r="N16" s="1">
        <f ca="1">IFERROR(__xludf.DUMMYFUNCTION("""COMPUTED_VALUE"""),1915)</f>
        <v>1915</v>
      </c>
      <c r="O16" s="1">
        <f ca="1">IFERROR(__xludf.DUMMYFUNCTION("""COMPUTED_VALUE"""),2140)</f>
        <v>2140</v>
      </c>
      <c r="P16" s="1">
        <f ca="1">IFERROR(__xludf.DUMMYFUNCTION("""COMPUTED_VALUE"""),1285)</f>
        <v>1285</v>
      </c>
      <c r="Q16" s="1">
        <f ca="1">IFERROR(__xludf.DUMMYFUNCTION("""COMPUTED_VALUE"""),657)</f>
        <v>657</v>
      </c>
      <c r="R16" s="1">
        <f ca="1">IFERROR(__xludf.DUMMYFUNCTION("""COMPUTED_VALUE"""),1639)</f>
        <v>1639</v>
      </c>
      <c r="S16" s="1">
        <f ca="1">IFERROR(__xludf.DUMMYFUNCTION("""COMPUTED_VALUE"""),0.401)</f>
        <v>0.40100000000000002</v>
      </c>
      <c r="T16" s="1">
        <f ca="1">IFERROR(__xludf.DUMMYFUNCTION("""COMPUTED_VALUE"""),204)</f>
        <v>204</v>
      </c>
      <c r="U16" s="1">
        <f ca="1">IFERROR(__xludf.DUMMYFUNCTION("""COMPUTED_VALUE"""),613)</f>
        <v>613</v>
      </c>
      <c r="V16" s="1">
        <f ca="1">IFERROR(__xludf.DUMMYFUNCTION("""COMPUTED_VALUE"""),0.333)</f>
        <v>0.33300000000000002</v>
      </c>
      <c r="W16" s="1">
        <f ca="1">IFERROR(__xludf.DUMMYFUNCTION("""COMPUTED_VALUE"""),397)</f>
        <v>397</v>
      </c>
      <c r="X16" s="1">
        <f ca="1">IFERROR(__xludf.DUMMYFUNCTION("""COMPUTED_VALUE"""),584)</f>
        <v>584</v>
      </c>
      <c r="Y16" s="1">
        <f ca="1">IFERROR(__xludf.DUMMYFUNCTION("""COMPUTED_VALUE"""),0.68)</f>
        <v>0.68</v>
      </c>
      <c r="Z16" s="1">
        <f ca="1">IFERROR(__xludf.DUMMYFUNCTION("""COMPUTED_VALUE"""),326)</f>
        <v>326</v>
      </c>
      <c r="AA16" s="1">
        <f ca="1">IFERROR(__xludf.DUMMYFUNCTION("""COMPUTED_VALUE"""),927)</f>
        <v>927</v>
      </c>
      <c r="AB16" s="1">
        <f ca="1">IFERROR(__xludf.DUMMYFUNCTION("""COMPUTED_VALUE"""),323)</f>
        <v>323</v>
      </c>
      <c r="AC16" s="1">
        <f ca="1">IFERROR(__xludf.DUMMYFUNCTION("""COMPUTED_VALUE"""),283)</f>
        <v>283</v>
      </c>
      <c r="AD16" s="1">
        <f ca="1">IFERROR(__xludf.DUMMYFUNCTION("""COMPUTED_VALUE"""),108)</f>
        <v>108</v>
      </c>
      <c r="AE16" s="1">
        <f ca="1">IFERROR(__xludf.DUMMYFUNCTION("""COMPUTED_VALUE"""),489)</f>
        <v>489</v>
      </c>
      <c r="AF16" s="1">
        <f ca="1">IFERROR(__xludf.DUMMYFUNCTION("""COMPUTED_VALUE"""),623)</f>
        <v>623</v>
      </c>
    </row>
    <row r="17" spans="1:32" ht="15.75" customHeight="1" x14ac:dyDescent="0.25">
      <c r="A17" s="1" t="str">
        <f ca="1">IFERROR(__xludf.DUMMYFUNCTION("""COMPUTED_VALUE"""),"Arkansas State")</f>
        <v>Arkansas State</v>
      </c>
      <c r="B17" s="1">
        <f ca="1">IFERROR(__xludf.DUMMYFUNCTION("""COMPUTED_VALUE"""),29)</f>
        <v>29</v>
      </c>
      <c r="C17" s="1">
        <f ca="1">IFERROR(__xludf.DUMMYFUNCTION("""COMPUTED_VALUE"""),11)</f>
        <v>11</v>
      </c>
      <c r="D17" s="1">
        <f ca="1">IFERROR(__xludf.DUMMYFUNCTION("""COMPUTED_VALUE"""),18)</f>
        <v>18</v>
      </c>
      <c r="E17" s="1">
        <f ca="1">IFERROR(__xludf.DUMMYFUNCTION("""COMPUTED_VALUE"""),0.379)</f>
        <v>0.379</v>
      </c>
      <c r="F17" s="1">
        <f ca="1">IFERROR(__xludf.DUMMYFUNCTION("""COMPUTED_VALUE"""),-10.1)</f>
        <v>-10.1</v>
      </c>
      <c r="G17" s="1">
        <f ca="1">IFERROR(__xludf.DUMMYFUNCTION("""COMPUTED_VALUE"""),-3.81)</f>
        <v>-3.81</v>
      </c>
      <c r="H17" s="1">
        <f ca="1">IFERROR(__xludf.DUMMYFUNCTION("""COMPUTED_VALUE"""),6)</f>
        <v>6</v>
      </c>
      <c r="I17" s="1">
        <f ca="1">IFERROR(__xludf.DUMMYFUNCTION("""COMPUTED_VALUE"""),14)</f>
        <v>14</v>
      </c>
      <c r="J17" s="1">
        <f ca="1">IFERROR(__xludf.DUMMYFUNCTION("""COMPUTED_VALUE"""),5)</f>
        <v>5</v>
      </c>
      <c r="K17" s="1">
        <f ca="1">IFERROR(__xludf.DUMMYFUNCTION("""COMPUTED_VALUE"""),9)</f>
        <v>9</v>
      </c>
      <c r="L17" s="1">
        <f ca="1">IFERROR(__xludf.DUMMYFUNCTION("""COMPUTED_VALUE"""),6)</f>
        <v>6</v>
      </c>
      <c r="M17" s="1">
        <f ca="1">IFERROR(__xludf.DUMMYFUNCTION("""COMPUTED_VALUE"""),9)</f>
        <v>9</v>
      </c>
      <c r="N17" s="1">
        <f ca="1">IFERROR(__xludf.DUMMYFUNCTION("""COMPUTED_VALUE"""),1869)</f>
        <v>1869</v>
      </c>
      <c r="O17" s="1">
        <f ca="1">IFERROR(__xludf.DUMMYFUNCTION("""COMPUTED_VALUE"""),2018)</f>
        <v>2018</v>
      </c>
      <c r="P17" s="1">
        <f ca="1">IFERROR(__xludf.DUMMYFUNCTION("""COMPUTED_VALUE"""),1170)</f>
        <v>1170</v>
      </c>
      <c r="Q17" s="1">
        <f ca="1">IFERROR(__xludf.DUMMYFUNCTION("""COMPUTED_VALUE"""),664)</f>
        <v>664</v>
      </c>
      <c r="R17" s="1">
        <f ca="1">IFERROR(__xludf.DUMMYFUNCTION("""COMPUTED_VALUE"""),1631)</f>
        <v>1631</v>
      </c>
      <c r="S17" s="1">
        <f ca="1">IFERROR(__xludf.DUMMYFUNCTION("""COMPUTED_VALUE"""),0.407)</f>
        <v>0.40699999999999997</v>
      </c>
      <c r="T17" s="1">
        <f ca="1">IFERROR(__xludf.DUMMYFUNCTION("""COMPUTED_VALUE"""),169)</f>
        <v>169</v>
      </c>
      <c r="U17" s="1">
        <f ca="1">IFERROR(__xludf.DUMMYFUNCTION("""COMPUTED_VALUE"""),514)</f>
        <v>514</v>
      </c>
      <c r="V17" s="1">
        <f ca="1">IFERROR(__xludf.DUMMYFUNCTION("""COMPUTED_VALUE"""),0.329)</f>
        <v>0.32900000000000001</v>
      </c>
      <c r="W17" s="1">
        <f ca="1">IFERROR(__xludf.DUMMYFUNCTION("""COMPUTED_VALUE"""),372)</f>
        <v>372</v>
      </c>
      <c r="X17" s="1">
        <f ca="1">IFERROR(__xludf.DUMMYFUNCTION("""COMPUTED_VALUE"""),530)</f>
        <v>530</v>
      </c>
      <c r="Y17" s="1">
        <f ca="1">IFERROR(__xludf.DUMMYFUNCTION("""COMPUTED_VALUE"""),0.702)</f>
        <v>0.70199999999999996</v>
      </c>
      <c r="Z17" s="1">
        <f ca="1">IFERROR(__xludf.DUMMYFUNCTION("""COMPUTED_VALUE"""),318)</f>
        <v>318</v>
      </c>
      <c r="AA17" s="1">
        <f ca="1">IFERROR(__xludf.DUMMYFUNCTION("""COMPUTED_VALUE"""),1038)</f>
        <v>1038</v>
      </c>
      <c r="AB17" s="1">
        <f ca="1">IFERROR(__xludf.DUMMYFUNCTION("""COMPUTED_VALUE"""),321)</f>
        <v>321</v>
      </c>
      <c r="AC17" s="1">
        <f ca="1">IFERROR(__xludf.DUMMYFUNCTION("""COMPUTED_VALUE"""),154)</f>
        <v>154</v>
      </c>
      <c r="AD17" s="1">
        <f ca="1">IFERROR(__xludf.DUMMYFUNCTION("""COMPUTED_VALUE"""),89)</f>
        <v>89</v>
      </c>
      <c r="AE17" s="1">
        <f ca="1">IFERROR(__xludf.DUMMYFUNCTION("""COMPUTED_VALUE"""),390)</f>
        <v>390</v>
      </c>
      <c r="AF17" s="1">
        <f ca="1">IFERROR(__xludf.DUMMYFUNCTION("""COMPUTED_VALUE"""),496)</f>
        <v>496</v>
      </c>
    </row>
    <row r="18" spans="1:32" ht="15.75" customHeight="1" x14ac:dyDescent="0.25">
      <c r="A18" s="1" t="str">
        <f ca="1">IFERROR(__xludf.DUMMYFUNCTION("""COMPUTED_VALUE"""),"ArkansasNCAA")</f>
        <v>ArkansasNCAA</v>
      </c>
      <c r="B18" s="1">
        <f ca="1">IFERROR(__xludf.DUMMYFUNCTION("""COMPUTED_VALUE"""),36)</f>
        <v>36</v>
      </c>
      <c r="C18" s="1">
        <f ca="1">IFERROR(__xludf.DUMMYFUNCTION("""COMPUTED_VALUE"""),27)</f>
        <v>27</v>
      </c>
      <c r="D18" s="1">
        <f ca="1">IFERROR(__xludf.DUMMYFUNCTION("""COMPUTED_VALUE"""),9)</f>
        <v>9</v>
      </c>
      <c r="E18" s="1">
        <f ca="1">IFERROR(__xludf.DUMMYFUNCTION("""COMPUTED_VALUE"""),0.75)</f>
        <v>0.75</v>
      </c>
      <c r="F18" s="1">
        <f ca="1">IFERROR(__xludf.DUMMYFUNCTION("""COMPUTED_VALUE"""),14.07)</f>
        <v>14.07</v>
      </c>
      <c r="G18" s="1">
        <f ca="1">IFERROR(__xludf.DUMMYFUNCTION("""COMPUTED_VALUE"""),6.79)</f>
        <v>6.79</v>
      </c>
      <c r="H18" s="1">
        <f ca="1">IFERROR(__xludf.DUMMYFUNCTION("""COMPUTED_VALUE"""),13)</f>
        <v>13</v>
      </c>
      <c r="I18" s="1">
        <f ca="1">IFERROR(__xludf.DUMMYFUNCTION("""COMPUTED_VALUE"""),5)</f>
        <v>5</v>
      </c>
      <c r="J18" s="1">
        <f ca="1">IFERROR(__xludf.DUMMYFUNCTION("""COMPUTED_VALUE"""),17)</f>
        <v>17</v>
      </c>
      <c r="K18" s="1">
        <f ca="1">IFERROR(__xludf.DUMMYFUNCTION("""COMPUTED_VALUE"""),2)</f>
        <v>2</v>
      </c>
      <c r="L18" s="1">
        <f ca="1">IFERROR(__xludf.DUMMYFUNCTION("""COMPUTED_VALUE"""),7)</f>
        <v>7</v>
      </c>
      <c r="M18" s="1">
        <f ca="1">IFERROR(__xludf.DUMMYFUNCTION("""COMPUTED_VALUE"""),5)</f>
        <v>5</v>
      </c>
      <c r="N18" s="1">
        <f ca="1">IFERROR(__xludf.DUMMYFUNCTION("""COMPUTED_VALUE"""),2787)</f>
        <v>2787</v>
      </c>
      <c r="O18" s="1">
        <f ca="1">IFERROR(__xludf.DUMMYFUNCTION("""COMPUTED_VALUE"""),2525)</f>
        <v>2525</v>
      </c>
      <c r="P18" s="1">
        <f ca="1">IFERROR(__xludf.DUMMYFUNCTION("""COMPUTED_VALUE"""),1450)</f>
        <v>1450</v>
      </c>
      <c r="Q18" s="1">
        <f ca="1">IFERROR(__xludf.DUMMYFUNCTION("""COMPUTED_VALUE"""),978)</f>
        <v>978</v>
      </c>
      <c r="R18" s="1">
        <f ca="1">IFERROR(__xludf.DUMMYFUNCTION("""COMPUTED_VALUE"""),2196)</f>
        <v>2196</v>
      </c>
      <c r="S18" s="1">
        <f ca="1">IFERROR(__xludf.DUMMYFUNCTION("""COMPUTED_VALUE"""),0.445)</f>
        <v>0.44500000000000001</v>
      </c>
      <c r="T18" s="1">
        <f ca="1">IFERROR(__xludf.DUMMYFUNCTION("""COMPUTED_VALUE"""),238)</f>
        <v>238</v>
      </c>
      <c r="U18" s="1">
        <f ca="1">IFERROR(__xludf.DUMMYFUNCTION("""COMPUTED_VALUE"""),681)</f>
        <v>681</v>
      </c>
      <c r="V18" s="1">
        <f ca="1">IFERROR(__xludf.DUMMYFUNCTION("""COMPUTED_VALUE"""),0.349)</f>
        <v>0.34899999999999998</v>
      </c>
      <c r="W18" s="1">
        <f ca="1">IFERROR(__xludf.DUMMYFUNCTION("""COMPUTED_VALUE"""),593)</f>
        <v>593</v>
      </c>
      <c r="X18" s="1">
        <f ca="1">IFERROR(__xludf.DUMMYFUNCTION("""COMPUTED_VALUE"""),819)</f>
        <v>819</v>
      </c>
      <c r="Y18" s="1">
        <f ca="1">IFERROR(__xludf.DUMMYFUNCTION("""COMPUTED_VALUE"""),0.724)</f>
        <v>0.72399999999999998</v>
      </c>
      <c r="Z18" s="1">
        <f ca="1">IFERROR(__xludf.DUMMYFUNCTION("""COMPUTED_VALUE"""),470)</f>
        <v>470</v>
      </c>
      <c r="AA18" s="1">
        <f ca="1">IFERROR(__xludf.DUMMYFUNCTION("""COMPUTED_VALUE"""),1290)</f>
        <v>1290</v>
      </c>
      <c r="AB18" s="1">
        <f ca="1">IFERROR(__xludf.DUMMYFUNCTION("""COMPUTED_VALUE"""),579)</f>
        <v>579</v>
      </c>
      <c r="AC18" s="1">
        <f ca="1">IFERROR(__xludf.DUMMYFUNCTION("""COMPUTED_VALUE"""),277)</f>
        <v>277</v>
      </c>
      <c r="AD18" s="1">
        <f ca="1">IFERROR(__xludf.DUMMYFUNCTION("""COMPUTED_VALUE"""),168)</f>
        <v>168</v>
      </c>
      <c r="AE18" s="1">
        <f ca="1">IFERROR(__xludf.DUMMYFUNCTION("""COMPUTED_VALUE"""),430)</f>
        <v>430</v>
      </c>
      <c r="AF18" s="1">
        <f ca="1">IFERROR(__xludf.DUMMYFUNCTION("""COMPUTED_VALUE"""),684)</f>
        <v>684</v>
      </c>
    </row>
    <row r="19" spans="1:32" ht="12.5" x14ac:dyDescent="0.25">
      <c r="A19" s="1" t="str">
        <f ca="1">IFERROR(__xludf.DUMMYFUNCTION("""COMPUTED_VALUE"""),"Army")</f>
        <v>Army</v>
      </c>
      <c r="B19" s="1">
        <f ca="1">IFERROR(__xludf.DUMMYFUNCTION("""COMPUTED_VALUE"""),30)</f>
        <v>30</v>
      </c>
      <c r="C19" s="1">
        <f ca="1">IFERROR(__xludf.DUMMYFUNCTION("""COMPUTED_VALUE"""),15)</f>
        <v>15</v>
      </c>
      <c r="D19" s="1">
        <f ca="1">IFERROR(__xludf.DUMMYFUNCTION("""COMPUTED_VALUE"""),15)</f>
        <v>15</v>
      </c>
      <c r="E19" s="1">
        <f ca="1">IFERROR(__xludf.DUMMYFUNCTION("""COMPUTED_VALUE"""),0.5)</f>
        <v>0.5</v>
      </c>
      <c r="F19" s="1">
        <f ca="1">IFERROR(__xludf.DUMMYFUNCTION("""COMPUTED_VALUE"""),-6.5)</f>
        <v>-6.5</v>
      </c>
      <c r="G19" s="1">
        <f ca="1">IFERROR(__xludf.DUMMYFUNCTION("""COMPUTED_VALUE"""),-4.98)</f>
        <v>-4.9800000000000004</v>
      </c>
      <c r="H19" s="1">
        <f ca="1">IFERROR(__xludf.DUMMYFUNCTION("""COMPUTED_VALUE"""),6)</f>
        <v>6</v>
      </c>
      <c r="I19" s="1">
        <f ca="1">IFERROR(__xludf.DUMMYFUNCTION("""COMPUTED_VALUE"""),12)</f>
        <v>12</v>
      </c>
      <c r="J19" s="1">
        <f ca="1">IFERROR(__xludf.DUMMYFUNCTION("""COMPUTED_VALUE"""),7)</f>
        <v>7</v>
      </c>
      <c r="K19" s="1">
        <f ca="1">IFERROR(__xludf.DUMMYFUNCTION("""COMPUTED_VALUE"""),7)</f>
        <v>7</v>
      </c>
      <c r="L19" s="1">
        <f ca="1">IFERROR(__xludf.DUMMYFUNCTION("""COMPUTED_VALUE"""),7)</f>
        <v>7</v>
      </c>
      <c r="M19" s="1">
        <f ca="1">IFERROR(__xludf.DUMMYFUNCTION("""COMPUTED_VALUE"""),8)</f>
        <v>8</v>
      </c>
      <c r="N19" s="1">
        <f ca="1">IFERROR(__xludf.DUMMYFUNCTION("""COMPUTED_VALUE"""),2164)</f>
        <v>2164</v>
      </c>
      <c r="O19" s="1">
        <f ca="1">IFERROR(__xludf.DUMMYFUNCTION("""COMPUTED_VALUE"""),2163)</f>
        <v>2163</v>
      </c>
      <c r="P19" s="1">
        <f ca="1">IFERROR(__xludf.DUMMYFUNCTION("""COMPUTED_VALUE"""),1215)</f>
        <v>1215</v>
      </c>
      <c r="Q19" s="1">
        <f ca="1">IFERROR(__xludf.DUMMYFUNCTION("""COMPUTED_VALUE"""),779)</f>
        <v>779</v>
      </c>
      <c r="R19" s="1">
        <f ca="1">IFERROR(__xludf.DUMMYFUNCTION("""COMPUTED_VALUE"""),1768)</f>
        <v>1768</v>
      </c>
      <c r="S19" s="1">
        <f ca="1">IFERROR(__xludf.DUMMYFUNCTION("""COMPUTED_VALUE"""),0.441)</f>
        <v>0.441</v>
      </c>
      <c r="T19" s="1">
        <f ca="1">IFERROR(__xludf.DUMMYFUNCTION("""COMPUTED_VALUE"""),227)</f>
        <v>227</v>
      </c>
      <c r="U19" s="1">
        <f ca="1">IFERROR(__xludf.DUMMYFUNCTION("""COMPUTED_VALUE"""),697)</f>
        <v>697</v>
      </c>
      <c r="V19" s="1">
        <f ca="1">IFERROR(__xludf.DUMMYFUNCTION("""COMPUTED_VALUE"""),0.326)</f>
        <v>0.32600000000000001</v>
      </c>
      <c r="W19" s="1">
        <f ca="1">IFERROR(__xludf.DUMMYFUNCTION("""COMPUTED_VALUE"""),379)</f>
        <v>379</v>
      </c>
      <c r="X19" s="1">
        <f ca="1">IFERROR(__xludf.DUMMYFUNCTION("""COMPUTED_VALUE"""),557)</f>
        <v>557</v>
      </c>
      <c r="Y19" s="1">
        <f ca="1">IFERROR(__xludf.DUMMYFUNCTION("""COMPUTED_VALUE"""),0.68)</f>
        <v>0.68</v>
      </c>
      <c r="Z19" s="1">
        <f ca="1">IFERROR(__xludf.DUMMYFUNCTION("""COMPUTED_VALUE"""),325)</f>
        <v>325</v>
      </c>
      <c r="AA19" s="1">
        <f ca="1">IFERROR(__xludf.DUMMYFUNCTION("""COMPUTED_VALUE"""),1033)</f>
        <v>1033</v>
      </c>
      <c r="AB19" s="1">
        <f ca="1">IFERROR(__xludf.DUMMYFUNCTION("""COMPUTED_VALUE"""),437)</f>
        <v>437</v>
      </c>
      <c r="AC19" s="1">
        <f ca="1">IFERROR(__xludf.DUMMYFUNCTION("""COMPUTED_VALUE"""),192)</f>
        <v>192</v>
      </c>
      <c r="AD19" s="1">
        <f ca="1">IFERROR(__xludf.DUMMYFUNCTION("""COMPUTED_VALUE"""),106)</f>
        <v>106</v>
      </c>
      <c r="AE19" s="1">
        <f ca="1">IFERROR(__xludf.DUMMYFUNCTION("""COMPUTED_VALUE"""),396)</f>
        <v>396</v>
      </c>
      <c r="AF19" s="1">
        <f ca="1">IFERROR(__xludf.DUMMYFUNCTION("""COMPUTED_VALUE"""),612)</f>
        <v>612</v>
      </c>
    </row>
    <row r="20" spans="1:32" ht="12.5" x14ac:dyDescent="0.25">
      <c r="A20" s="1" t="str">
        <f ca="1">IFERROR(__xludf.DUMMYFUNCTION("""COMPUTED_VALUE"""),"Auburn")</f>
        <v>Auburn</v>
      </c>
      <c r="B20" s="1">
        <f ca="1">IFERROR(__xludf.DUMMYFUNCTION("""COMPUTED_VALUE"""),35)</f>
        <v>35</v>
      </c>
      <c r="C20" s="1">
        <f ca="1">IFERROR(__xludf.DUMMYFUNCTION("""COMPUTED_VALUE"""),15)</f>
        <v>15</v>
      </c>
      <c r="D20" s="1">
        <f ca="1">IFERROR(__xludf.DUMMYFUNCTION("""COMPUTED_VALUE"""),20)</f>
        <v>20</v>
      </c>
      <c r="E20" s="1">
        <f ca="1">IFERROR(__xludf.DUMMYFUNCTION("""COMPUTED_VALUE"""),0.429)</f>
        <v>0.42899999999999999</v>
      </c>
      <c r="F20" s="1">
        <f ca="1">IFERROR(__xludf.DUMMYFUNCTION("""COMPUTED_VALUE"""),3.27)</f>
        <v>3.27</v>
      </c>
      <c r="G20" s="1">
        <f ca="1">IFERROR(__xludf.DUMMYFUNCTION("""COMPUTED_VALUE"""),8.15)</f>
        <v>8.15</v>
      </c>
      <c r="H20" s="1">
        <f ca="1">IFERROR(__xludf.DUMMYFUNCTION("""COMPUTED_VALUE"""),4)</f>
        <v>4</v>
      </c>
      <c r="I20" s="1">
        <f ca="1">IFERROR(__xludf.DUMMYFUNCTION("""COMPUTED_VALUE"""),14)</f>
        <v>14</v>
      </c>
      <c r="J20" s="1">
        <f ca="1">IFERROR(__xludf.DUMMYFUNCTION("""COMPUTED_VALUE"""),9)</f>
        <v>9</v>
      </c>
      <c r="K20" s="1">
        <f ca="1">IFERROR(__xludf.DUMMYFUNCTION("""COMPUTED_VALUE"""),8)</f>
        <v>8</v>
      </c>
      <c r="L20" s="1">
        <f ca="1">IFERROR(__xludf.DUMMYFUNCTION("""COMPUTED_VALUE"""),2)</f>
        <v>2</v>
      </c>
      <c r="M20" s="1">
        <f ca="1">IFERROR(__xludf.DUMMYFUNCTION("""COMPUTED_VALUE"""),10)</f>
        <v>10</v>
      </c>
      <c r="N20" s="1">
        <f ca="1">IFERROR(__xludf.DUMMYFUNCTION("""COMPUTED_VALUE"""),2378)</f>
        <v>2378</v>
      </c>
      <c r="O20" s="1">
        <f ca="1">IFERROR(__xludf.DUMMYFUNCTION("""COMPUTED_VALUE"""),2523)</f>
        <v>2523</v>
      </c>
      <c r="P20" s="1">
        <f ca="1">IFERROR(__xludf.DUMMYFUNCTION("""COMPUTED_VALUE"""),1415)</f>
        <v>1415</v>
      </c>
      <c r="Q20" s="1">
        <f ca="1">IFERROR(__xludf.DUMMYFUNCTION("""COMPUTED_VALUE"""),760)</f>
        <v>760</v>
      </c>
      <c r="R20" s="1">
        <f ca="1">IFERROR(__xludf.DUMMYFUNCTION("""COMPUTED_VALUE"""),1880)</f>
        <v>1880</v>
      </c>
      <c r="S20" s="1">
        <f ca="1">IFERROR(__xludf.DUMMYFUNCTION("""COMPUTED_VALUE"""),0.404)</f>
        <v>0.40400000000000003</v>
      </c>
      <c r="T20" s="1">
        <f ca="1">IFERROR(__xludf.DUMMYFUNCTION("""COMPUTED_VALUE"""),252)</f>
        <v>252</v>
      </c>
      <c r="U20" s="1">
        <f ca="1">IFERROR(__xludf.DUMMYFUNCTION("""COMPUTED_VALUE"""),727)</f>
        <v>727</v>
      </c>
      <c r="V20" s="1">
        <f ca="1">IFERROR(__xludf.DUMMYFUNCTION("""COMPUTED_VALUE"""),0.347)</f>
        <v>0.34699999999999998</v>
      </c>
      <c r="W20" s="1">
        <f ca="1">IFERROR(__xludf.DUMMYFUNCTION("""COMPUTED_VALUE"""),606)</f>
        <v>606</v>
      </c>
      <c r="X20" s="1">
        <f ca="1">IFERROR(__xludf.DUMMYFUNCTION("""COMPUTED_VALUE"""),910)</f>
        <v>910</v>
      </c>
      <c r="Y20" s="1">
        <f ca="1">IFERROR(__xludf.DUMMYFUNCTION("""COMPUTED_VALUE"""),0.666)</f>
        <v>0.66600000000000004</v>
      </c>
      <c r="Z20" s="1">
        <f ca="1">IFERROR(__xludf.DUMMYFUNCTION("""COMPUTED_VALUE"""),356)</f>
        <v>356</v>
      </c>
      <c r="AA20" s="1">
        <f ca="1">IFERROR(__xludf.DUMMYFUNCTION("""COMPUTED_VALUE"""),1104)</f>
        <v>1104</v>
      </c>
      <c r="AB20" s="1">
        <f ca="1">IFERROR(__xludf.DUMMYFUNCTION("""COMPUTED_VALUE"""),376)</f>
        <v>376</v>
      </c>
      <c r="AC20" s="1">
        <f ca="1">IFERROR(__xludf.DUMMYFUNCTION("""COMPUTED_VALUE"""),238)</f>
        <v>238</v>
      </c>
      <c r="AD20" s="1">
        <f ca="1">IFERROR(__xludf.DUMMYFUNCTION("""COMPUTED_VALUE"""),89)</f>
        <v>89</v>
      </c>
      <c r="AE20" s="1">
        <f ca="1">IFERROR(__xludf.DUMMYFUNCTION("""COMPUTED_VALUE"""),452)</f>
        <v>452</v>
      </c>
      <c r="AF20" s="1">
        <f ca="1">IFERROR(__xludf.DUMMYFUNCTION("""COMPUTED_VALUE"""),708)</f>
        <v>708</v>
      </c>
    </row>
    <row r="21" spans="1:32" ht="12.5" x14ac:dyDescent="0.25">
      <c r="A21" s="1" t="str">
        <f ca="1">IFERROR(__xludf.DUMMYFUNCTION("""COMPUTED_VALUE"""),"Austin Peay")</f>
        <v>Austin Peay</v>
      </c>
      <c r="B21" s="1">
        <f ca="1">IFERROR(__xludf.DUMMYFUNCTION("""COMPUTED_VALUE"""),30)</f>
        <v>30</v>
      </c>
      <c r="C21" s="1">
        <f ca="1">IFERROR(__xludf.DUMMYFUNCTION("""COMPUTED_VALUE"""),8)</f>
        <v>8</v>
      </c>
      <c r="D21" s="1">
        <f ca="1">IFERROR(__xludf.DUMMYFUNCTION("""COMPUTED_VALUE"""),22)</f>
        <v>22</v>
      </c>
      <c r="E21" s="1">
        <f ca="1">IFERROR(__xludf.DUMMYFUNCTION("""COMPUTED_VALUE"""),0.267)</f>
        <v>0.26700000000000002</v>
      </c>
      <c r="F21" s="1">
        <f ca="1">IFERROR(__xludf.DUMMYFUNCTION("""COMPUTED_VALUE"""),-12.45)</f>
        <v>-12.45</v>
      </c>
      <c r="G21" s="1">
        <f ca="1">IFERROR(__xludf.DUMMYFUNCTION("""COMPUTED_VALUE"""),-2.81)</f>
        <v>-2.81</v>
      </c>
      <c r="H21" s="1">
        <f ca="1">IFERROR(__xludf.DUMMYFUNCTION("""COMPUTED_VALUE"""),3)</f>
        <v>3</v>
      </c>
      <c r="I21" s="1">
        <f ca="1">IFERROR(__xludf.DUMMYFUNCTION("""COMPUTED_VALUE"""),13)</f>
        <v>13</v>
      </c>
      <c r="J21" s="1">
        <f ca="1">IFERROR(__xludf.DUMMYFUNCTION("""COMPUTED_VALUE"""),6)</f>
        <v>6</v>
      </c>
      <c r="K21" s="1">
        <f ca="1">IFERROR(__xludf.DUMMYFUNCTION("""COMPUTED_VALUE"""),7)</f>
        <v>7</v>
      </c>
      <c r="L21" s="1">
        <f ca="1">IFERROR(__xludf.DUMMYFUNCTION("""COMPUTED_VALUE"""),1)</f>
        <v>1</v>
      </c>
      <c r="M21" s="1">
        <f ca="1">IFERROR(__xludf.DUMMYFUNCTION("""COMPUTED_VALUE"""),14)</f>
        <v>14</v>
      </c>
      <c r="N21" s="1">
        <f ca="1">IFERROR(__xludf.DUMMYFUNCTION("""COMPUTED_VALUE"""),1937)</f>
        <v>1937</v>
      </c>
      <c r="O21" s="1">
        <f ca="1">IFERROR(__xludf.DUMMYFUNCTION("""COMPUTED_VALUE"""),2178)</f>
        <v>2178</v>
      </c>
      <c r="P21" s="1">
        <f ca="1">IFERROR(__xludf.DUMMYFUNCTION("""COMPUTED_VALUE"""),1200)</f>
        <v>1200</v>
      </c>
      <c r="Q21" s="1">
        <f ca="1">IFERROR(__xludf.DUMMYFUNCTION("""COMPUTED_VALUE"""),663)</f>
        <v>663</v>
      </c>
      <c r="R21" s="1">
        <f ca="1">IFERROR(__xludf.DUMMYFUNCTION("""COMPUTED_VALUE"""),1667)</f>
        <v>1667</v>
      </c>
      <c r="S21" s="1">
        <f ca="1">IFERROR(__xludf.DUMMYFUNCTION("""COMPUTED_VALUE"""),0.398)</f>
        <v>0.39800000000000002</v>
      </c>
      <c r="T21" s="1">
        <f ca="1">IFERROR(__xludf.DUMMYFUNCTION("""COMPUTED_VALUE"""),155)</f>
        <v>155</v>
      </c>
      <c r="U21" s="1">
        <f ca="1">IFERROR(__xludf.DUMMYFUNCTION("""COMPUTED_VALUE"""),513)</f>
        <v>513</v>
      </c>
      <c r="V21" s="1">
        <f ca="1">IFERROR(__xludf.DUMMYFUNCTION("""COMPUTED_VALUE"""),0.302)</f>
        <v>0.30199999999999999</v>
      </c>
      <c r="W21" s="1">
        <f ca="1">IFERROR(__xludf.DUMMYFUNCTION("""COMPUTED_VALUE"""),456)</f>
        <v>456</v>
      </c>
      <c r="X21" s="1">
        <f ca="1">IFERROR(__xludf.DUMMYFUNCTION("""COMPUTED_VALUE"""),685)</f>
        <v>685</v>
      </c>
      <c r="Y21" s="1">
        <f ca="1">IFERROR(__xludf.DUMMYFUNCTION("""COMPUTED_VALUE"""),0.666)</f>
        <v>0.66600000000000004</v>
      </c>
      <c r="Z21" s="1">
        <f ca="1">IFERROR(__xludf.DUMMYFUNCTION("""COMPUTED_VALUE"""),373)</f>
        <v>373</v>
      </c>
      <c r="AA21" s="1">
        <f ca="1">IFERROR(__xludf.DUMMYFUNCTION("""COMPUTED_VALUE"""),1043)</f>
        <v>1043</v>
      </c>
      <c r="AB21" s="1">
        <f ca="1">IFERROR(__xludf.DUMMYFUNCTION("""COMPUTED_VALUE"""),360)</f>
        <v>360</v>
      </c>
      <c r="AC21" s="1">
        <f ca="1">IFERROR(__xludf.DUMMYFUNCTION("""COMPUTED_VALUE"""),191)</f>
        <v>191</v>
      </c>
      <c r="AD21" s="1">
        <f ca="1">IFERROR(__xludf.DUMMYFUNCTION("""COMPUTED_VALUE"""),124)</f>
        <v>124</v>
      </c>
      <c r="AE21" s="1">
        <f ca="1">IFERROR(__xludf.DUMMYFUNCTION("""COMPUTED_VALUE"""),428)</f>
        <v>428</v>
      </c>
      <c r="AF21" s="1">
        <f ca="1">IFERROR(__xludf.DUMMYFUNCTION("""COMPUTED_VALUE"""),514)</f>
        <v>514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IFERROR(__xludf.DUMMYFUNCTION("""COMPUTED_VALUE"""),"Ball State")</f>
        <v>Ball State</v>
      </c>
      <c r="B24" s="1">
        <f ca="1">IFERROR(__xludf.DUMMYFUNCTION("""COMPUTED_VALUE"""),30)</f>
        <v>30</v>
      </c>
      <c r="C24" s="1">
        <f ca="1">IFERROR(__xludf.DUMMYFUNCTION("""COMPUTED_VALUE"""),7)</f>
        <v>7</v>
      </c>
      <c r="D24" s="1">
        <f ca="1">IFERROR(__xludf.DUMMYFUNCTION("""COMPUTED_VALUE"""),23)</f>
        <v>23</v>
      </c>
      <c r="E24" s="1">
        <f ca="1">IFERROR(__xludf.DUMMYFUNCTION("""COMPUTED_VALUE"""),0.233)</f>
        <v>0.23300000000000001</v>
      </c>
      <c r="F24" s="1">
        <f ca="1">IFERROR(__xludf.DUMMYFUNCTION("""COMPUTED_VALUE"""),-5.06)</f>
        <v>-5.0599999999999996</v>
      </c>
      <c r="G24" s="1">
        <f ca="1">IFERROR(__xludf.DUMMYFUNCTION("""COMPUTED_VALUE"""),0.04)</f>
        <v>0.04</v>
      </c>
      <c r="H24" s="1">
        <f ca="1">IFERROR(__xludf.DUMMYFUNCTION("""COMPUTED_VALUE"""),2)</f>
        <v>2</v>
      </c>
      <c r="I24" s="1">
        <f ca="1">IFERROR(__xludf.DUMMYFUNCTION("""COMPUTED_VALUE"""),16)</f>
        <v>16</v>
      </c>
      <c r="J24" s="1">
        <f ca="1">IFERROR(__xludf.DUMMYFUNCTION("""COMPUTED_VALUE"""),6)</f>
        <v>6</v>
      </c>
      <c r="K24" s="1">
        <f ca="1">IFERROR(__xludf.DUMMYFUNCTION("""COMPUTED_VALUE"""),9)</f>
        <v>9</v>
      </c>
      <c r="L24" s="1">
        <f ca="1">IFERROR(__xludf.DUMMYFUNCTION("""COMPUTED_VALUE"""),1)</f>
        <v>1</v>
      </c>
      <c r="M24" s="1">
        <f ca="1">IFERROR(__xludf.DUMMYFUNCTION("""COMPUTED_VALUE"""),14)</f>
        <v>14</v>
      </c>
      <c r="N24" s="1">
        <f ca="1">IFERROR(__xludf.DUMMYFUNCTION("""COMPUTED_VALUE"""),1961)</f>
        <v>1961</v>
      </c>
      <c r="O24" s="1">
        <f ca="1">IFERROR(__xludf.DUMMYFUNCTION("""COMPUTED_VALUE"""),2070)</f>
        <v>2070</v>
      </c>
      <c r="P24" s="1">
        <f ca="1">IFERROR(__xludf.DUMMYFUNCTION("""COMPUTED_VALUE"""),1226)</f>
        <v>1226</v>
      </c>
      <c r="Q24" s="1">
        <f ca="1">IFERROR(__xludf.DUMMYFUNCTION("""COMPUTED_VALUE"""),669)</f>
        <v>669</v>
      </c>
      <c r="R24" s="1">
        <f ca="1">IFERROR(__xludf.DUMMYFUNCTION("""COMPUTED_VALUE"""),1580)</f>
        <v>1580</v>
      </c>
      <c r="S24" s="1">
        <f ca="1">IFERROR(__xludf.DUMMYFUNCTION("""COMPUTED_VALUE"""),0.423)</f>
        <v>0.42299999999999999</v>
      </c>
      <c r="T24" s="1">
        <f ca="1">IFERROR(__xludf.DUMMYFUNCTION("""COMPUTED_VALUE"""),234)</f>
        <v>234</v>
      </c>
      <c r="U24" s="1">
        <f ca="1">IFERROR(__xludf.DUMMYFUNCTION("""COMPUTED_VALUE"""),684)</f>
        <v>684</v>
      </c>
      <c r="V24" s="1">
        <f ca="1">IFERROR(__xludf.DUMMYFUNCTION("""COMPUTED_VALUE"""),0.342)</f>
        <v>0.34200000000000003</v>
      </c>
      <c r="W24" s="1">
        <f ca="1">IFERROR(__xludf.DUMMYFUNCTION("""COMPUTED_VALUE"""),389)</f>
        <v>389</v>
      </c>
      <c r="X24" s="1">
        <f ca="1">IFERROR(__xludf.DUMMYFUNCTION("""COMPUTED_VALUE"""),561)</f>
        <v>561</v>
      </c>
      <c r="Y24" s="1">
        <f ca="1">IFERROR(__xludf.DUMMYFUNCTION("""COMPUTED_VALUE"""),0.693)</f>
        <v>0.69299999999999995</v>
      </c>
      <c r="Z24" s="1">
        <f ca="1">IFERROR(__xludf.DUMMYFUNCTION("""COMPUTED_VALUE"""),303)</f>
        <v>303</v>
      </c>
      <c r="AA24" s="1">
        <f ca="1">IFERROR(__xludf.DUMMYFUNCTION("""COMPUTED_VALUE"""),980)</f>
        <v>980</v>
      </c>
      <c r="AB24" s="1">
        <f ca="1">IFERROR(__xludf.DUMMYFUNCTION("""COMPUTED_VALUE"""),383)</f>
        <v>383</v>
      </c>
      <c r="AC24" s="1">
        <f ca="1">IFERROR(__xludf.DUMMYFUNCTION("""COMPUTED_VALUE"""),159)</f>
        <v>159</v>
      </c>
      <c r="AD24" s="1">
        <f ca="1">IFERROR(__xludf.DUMMYFUNCTION("""COMPUTED_VALUE"""),71)</f>
        <v>71</v>
      </c>
      <c r="AE24" s="1">
        <f ca="1">IFERROR(__xludf.DUMMYFUNCTION("""COMPUTED_VALUE"""),424)</f>
        <v>424</v>
      </c>
      <c r="AF24" s="1">
        <f ca="1">IFERROR(__xludf.DUMMYFUNCTION("""COMPUTED_VALUE"""),576)</f>
        <v>576</v>
      </c>
    </row>
    <row r="25" spans="1:32" ht="12.5" x14ac:dyDescent="0.25">
      <c r="A25" s="1" t="str">
        <f ca="1">IFERROR(__xludf.DUMMYFUNCTION("""COMPUTED_VALUE"""),"BaylorNCAA")</f>
        <v>BaylorNCAA</v>
      </c>
      <c r="B25" s="1">
        <f ca="1">IFERROR(__xludf.DUMMYFUNCTION("""COMPUTED_VALUE"""),34)</f>
        <v>34</v>
      </c>
      <c r="C25" s="1">
        <f ca="1">IFERROR(__xludf.DUMMYFUNCTION("""COMPUTED_VALUE"""),24)</f>
        <v>24</v>
      </c>
      <c r="D25" s="1">
        <f ca="1">IFERROR(__xludf.DUMMYFUNCTION("""COMPUTED_VALUE"""),10)</f>
        <v>10</v>
      </c>
      <c r="E25" s="1">
        <f ca="1">IFERROR(__xludf.DUMMYFUNCTION("""COMPUTED_VALUE"""),0.706)</f>
        <v>0.70599999999999996</v>
      </c>
      <c r="F25" s="1">
        <f ca="1">IFERROR(__xludf.DUMMYFUNCTION("""COMPUTED_VALUE"""),17.85)</f>
        <v>17.850000000000001</v>
      </c>
      <c r="G25" s="1">
        <f ca="1">IFERROR(__xludf.DUMMYFUNCTION("""COMPUTED_VALUE"""),9.33)</f>
        <v>9.33</v>
      </c>
      <c r="H25" s="1">
        <f ca="1">IFERROR(__xludf.DUMMYFUNCTION("""COMPUTED_VALUE"""),11)</f>
        <v>11</v>
      </c>
      <c r="I25" s="1">
        <f ca="1">IFERROR(__xludf.DUMMYFUNCTION("""COMPUTED_VALUE"""),7)</f>
        <v>7</v>
      </c>
      <c r="J25" s="1">
        <f ca="1">IFERROR(__xludf.DUMMYFUNCTION("""COMPUTED_VALUE"""),16)</f>
        <v>16</v>
      </c>
      <c r="K25" s="1">
        <f ca="1">IFERROR(__xludf.DUMMYFUNCTION("""COMPUTED_VALUE"""),2)</f>
        <v>2</v>
      </c>
      <c r="L25" s="1">
        <f ca="1">IFERROR(__xludf.DUMMYFUNCTION("""COMPUTED_VALUE"""),6)</f>
        <v>6</v>
      </c>
      <c r="M25" s="1">
        <f ca="1">IFERROR(__xludf.DUMMYFUNCTION("""COMPUTED_VALUE"""),5)</f>
        <v>5</v>
      </c>
      <c r="N25" s="1">
        <f ca="1">IFERROR(__xludf.DUMMYFUNCTION("""COMPUTED_VALUE"""),2349)</f>
        <v>2349</v>
      </c>
      <c r="O25" s="1">
        <f ca="1">IFERROR(__xludf.DUMMYFUNCTION("""COMPUTED_VALUE"""),2048)</f>
        <v>2048</v>
      </c>
      <c r="P25" s="1">
        <f ca="1">IFERROR(__xludf.DUMMYFUNCTION("""COMPUTED_VALUE"""),1370)</f>
        <v>1370</v>
      </c>
      <c r="Q25" s="1">
        <f ca="1">IFERROR(__xludf.DUMMYFUNCTION("""COMPUTED_VALUE"""),813)</f>
        <v>813</v>
      </c>
      <c r="R25" s="1">
        <f ca="1">IFERROR(__xludf.DUMMYFUNCTION("""COMPUTED_VALUE"""),1874)</f>
        <v>1874</v>
      </c>
      <c r="S25" s="1">
        <f ca="1">IFERROR(__xludf.DUMMYFUNCTION("""COMPUTED_VALUE"""),0.434)</f>
        <v>0.434</v>
      </c>
      <c r="T25" s="1">
        <f ca="1">IFERROR(__xludf.DUMMYFUNCTION("""COMPUTED_VALUE"""),236)</f>
        <v>236</v>
      </c>
      <c r="U25" s="1">
        <f ca="1">IFERROR(__xludf.DUMMYFUNCTION("""COMPUTED_VALUE"""),626)</f>
        <v>626</v>
      </c>
      <c r="V25" s="1">
        <f ca="1">IFERROR(__xludf.DUMMYFUNCTION("""COMPUTED_VALUE"""),0.377)</f>
        <v>0.377</v>
      </c>
      <c r="W25" s="1">
        <f ca="1">IFERROR(__xludf.DUMMYFUNCTION("""COMPUTED_VALUE"""),487)</f>
        <v>487</v>
      </c>
      <c r="X25" s="1">
        <f ca="1">IFERROR(__xludf.DUMMYFUNCTION("""COMPUTED_VALUE"""),723)</f>
        <v>723</v>
      </c>
      <c r="Y25" s="1">
        <f ca="1">IFERROR(__xludf.DUMMYFUNCTION("""COMPUTED_VALUE"""),0.674)</f>
        <v>0.67400000000000004</v>
      </c>
      <c r="Z25" s="1">
        <f ca="1">IFERROR(__xludf.DUMMYFUNCTION("""COMPUTED_VALUE"""),497)</f>
        <v>497</v>
      </c>
      <c r="AA25" s="1">
        <f ca="1">IFERROR(__xludf.DUMMYFUNCTION("""COMPUTED_VALUE"""),1333)</f>
        <v>1333</v>
      </c>
      <c r="AB25" s="1">
        <f ca="1">IFERROR(__xludf.DUMMYFUNCTION("""COMPUTED_VALUE"""),497)</f>
        <v>497</v>
      </c>
      <c r="AC25" s="1">
        <f ca="1">IFERROR(__xludf.DUMMYFUNCTION("""COMPUTED_VALUE"""),263)</f>
        <v>263</v>
      </c>
      <c r="AD25" s="1">
        <f ca="1">IFERROR(__xludf.DUMMYFUNCTION("""COMPUTED_VALUE"""),132)</f>
        <v>132</v>
      </c>
      <c r="AE25" s="1">
        <f ca="1">IFERROR(__xludf.DUMMYFUNCTION("""COMPUTED_VALUE"""),434)</f>
        <v>434</v>
      </c>
      <c r="AF25" s="1">
        <f ca="1">IFERROR(__xludf.DUMMYFUNCTION("""COMPUTED_VALUE"""),565)</f>
        <v>565</v>
      </c>
    </row>
    <row r="26" spans="1:32" ht="12.5" x14ac:dyDescent="0.25">
      <c r="A26" s="1" t="str">
        <f ca="1">IFERROR(__xludf.DUMMYFUNCTION("""COMPUTED_VALUE"""),"BelmontNCAA")</f>
        <v>BelmontNCAA</v>
      </c>
      <c r="B26" s="1">
        <f ca="1">IFERROR(__xludf.DUMMYFUNCTION("""COMPUTED_VALUE"""),33)</f>
        <v>33</v>
      </c>
      <c r="C26" s="1">
        <f ca="1">IFERROR(__xludf.DUMMYFUNCTION("""COMPUTED_VALUE"""),22)</f>
        <v>22</v>
      </c>
      <c r="D26" s="1">
        <f ca="1">IFERROR(__xludf.DUMMYFUNCTION("""COMPUTED_VALUE"""),11)</f>
        <v>11</v>
      </c>
      <c r="E26" s="1">
        <f ca="1">IFERROR(__xludf.DUMMYFUNCTION("""COMPUTED_VALUE"""),0.667)</f>
        <v>0.66700000000000004</v>
      </c>
      <c r="F26" s="1">
        <f ca="1">IFERROR(__xludf.DUMMYFUNCTION("""COMPUTED_VALUE"""),0.35)</f>
        <v>0.35</v>
      </c>
      <c r="G26" s="1">
        <f ca="1">IFERROR(__xludf.DUMMYFUNCTION("""COMPUTED_VALUE"""),-2.77)</f>
        <v>-2.77</v>
      </c>
      <c r="H26" s="1">
        <f ca="1">IFERROR(__xludf.DUMMYFUNCTION("""COMPUTED_VALUE"""),11)</f>
        <v>11</v>
      </c>
      <c r="I26" s="1">
        <f ca="1">IFERROR(__xludf.DUMMYFUNCTION("""COMPUTED_VALUE"""),5)</f>
        <v>5</v>
      </c>
      <c r="J26" s="1">
        <f ca="1">IFERROR(__xludf.DUMMYFUNCTION("""COMPUTED_VALUE"""),12)</f>
        <v>12</v>
      </c>
      <c r="K26" s="1">
        <f ca="1">IFERROR(__xludf.DUMMYFUNCTION("""COMPUTED_VALUE"""),2)</f>
        <v>2</v>
      </c>
      <c r="L26" s="1">
        <f ca="1">IFERROR(__xludf.DUMMYFUNCTION("""COMPUTED_VALUE"""),7)</f>
        <v>7</v>
      </c>
      <c r="M26" s="1">
        <f ca="1">IFERROR(__xludf.DUMMYFUNCTION("""COMPUTED_VALUE"""),8)</f>
        <v>8</v>
      </c>
      <c r="N26" s="1">
        <f ca="1">IFERROR(__xludf.DUMMYFUNCTION("""COMPUTED_VALUE"""),2450)</f>
        <v>2450</v>
      </c>
      <c r="O26" s="1">
        <f ca="1">IFERROR(__xludf.DUMMYFUNCTION("""COMPUTED_VALUE"""),2330)</f>
        <v>2330</v>
      </c>
      <c r="P26" s="1">
        <f ca="1">IFERROR(__xludf.DUMMYFUNCTION("""COMPUTED_VALUE"""),1320)</f>
        <v>1320</v>
      </c>
      <c r="Q26" s="1">
        <f ca="1">IFERROR(__xludf.DUMMYFUNCTION("""COMPUTED_VALUE"""),858)</f>
        <v>858</v>
      </c>
      <c r="R26" s="1">
        <f ca="1">IFERROR(__xludf.DUMMYFUNCTION("""COMPUTED_VALUE"""),1803)</f>
        <v>1803</v>
      </c>
      <c r="S26" s="1">
        <f ca="1">IFERROR(__xludf.DUMMYFUNCTION("""COMPUTED_VALUE"""),0.476)</f>
        <v>0.47599999999999998</v>
      </c>
      <c r="T26" s="1">
        <f ca="1">IFERROR(__xludf.DUMMYFUNCTION("""COMPUTED_VALUE"""),329)</f>
        <v>329</v>
      </c>
      <c r="U26" s="1">
        <f ca="1">IFERROR(__xludf.DUMMYFUNCTION("""COMPUTED_VALUE"""),866)</f>
        <v>866</v>
      </c>
      <c r="V26" s="1">
        <f ca="1">IFERROR(__xludf.DUMMYFUNCTION("""COMPUTED_VALUE"""),0.38)</f>
        <v>0.38</v>
      </c>
      <c r="W26" s="1">
        <f ca="1">IFERROR(__xludf.DUMMYFUNCTION("""COMPUTED_VALUE"""),405)</f>
        <v>405</v>
      </c>
      <c r="X26" s="1">
        <f ca="1">IFERROR(__xludf.DUMMYFUNCTION("""COMPUTED_VALUE"""),585)</f>
        <v>585</v>
      </c>
      <c r="Y26" s="1">
        <f ca="1">IFERROR(__xludf.DUMMYFUNCTION("""COMPUTED_VALUE"""),0.692)</f>
        <v>0.69199999999999995</v>
      </c>
      <c r="Z26" s="1">
        <f ca="1">IFERROR(__xludf.DUMMYFUNCTION("""COMPUTED_VALUE"""),307)</f>
        <v>307</v>
      </c>
      <c r="AA26" s="1">
        <f ca="1">IFERROR(__xludf.DUMMYFUNCTION("""COMPUTED_VALUE"""),1093)</f>
        <v>1093</v>
      </c>
      <c r="AB26" s="1">
        <f ca="1">IFERROR(__xludf.DUMMYFUNCTION("""COMPUTED_VALUE"""),504)</f>
        <v>504</v>
      </c>
      <c r="AC26" s="1">
        <f ca="1">IFERROR(__xludf.DUMMYFUNCTION("""COMPUTED_VALUE"""),209)</f>
        <v>209</v>
      </c>
      <c r="AD26" s="1">
        <f ca="1">IFERROR(__xludf.DUMMYFUNCTION("""COMPUTED_VALUE"""),66)</f>
        <v>66</v>
      </c>
      <c r="AE26" s="1">
        <f ca="1">IFERROR(__xludf.DUMMYFUNCTION("""COMPUTED_VALUE"""),451)</f>
        <v>451</v>
      </c>
      <c r="AF26" s="1">
        <f ca="1">IFERROR(__xludf.DUMMYFUNCTION("""COMPUTED_VALUE"""),549)</f>
        <v>549</v>
      </c>
    </row>
    <row r="27" spans="1:32" ht="12.5" x14ac:dyDescent="0.25">
      <c r="A27" s="1" t="str">
        <f ca="1">IFERROR(__xludf.DUMMYFUNCTION("""COMPUTED_VALUE"""),"Bethune-Cookman")</f>
        <v>Bethune-Cookman</v>
      </c>
      <c r="B27" s="1">
        <f ca="1">IFERROR(__xludf.DUMMYFUNCTION("""COMPUTED_VALUE"""),32)</f>
        <v>32</v>
      </c>
      <c r="C27" s="1">
        <f ca="1">IFERROR(__xludf.DUMMYFUNCTION("""COMPUTED_VALUE"""),11)</f>
        <v>11</v>
      </c>
      <c r="D27" s="1">
        <f ca="1">IFERROR(__xludf.DUMMYFUNCTION("""COMPUTED_VALUE"""),21)</f>
        <v>21</v>
      </c>
      <c r="E27" s="1">
        <f ca="1">IFERROR(__xludf.DUMMYFUNCTION("""COMPUTED_VALUE"""),0.344)</f>
        <v>0.34399999999999997</v>
      </c>
      <c r="F27" s="1">
        <f ca="1">IFERROR(__xludf.DUMMYFUNCTION("""COMPUTED_VALUE"""),-15.52)</f>
        <v>-15.52</v>
      </c>
      <c r="G27" s="1">
        <f ca="1">IFERROR(__xludf.DUMMYFUNCTION("""COMPUTED_VALUE"""),-10.45)</f>
        <v>-10.45</v>
      </c>
      <c r="H27" s="1">
        <f ca="1">IFERROR(__xludf.DUMMYFUNCTION("""COMPUTED_VALUE"""),7)</f>
        <v>7</v>
      </c>
      <c r="I27" s="1">
        <f ca="1">IFERROR(__xludf.DUMMYFUNCTION("""COMPUTED_VALUE"""),9)</f>
        <v>9</v>
      </c>
      <c r="J27" s="1">
        <f ca="1">IFERROR(__xludf.DUMMYFUNCTION("""COMPUTED_VALUE"""),6)</f>
        <v>6</v>
      </c>
      <c r="K27" s="1">
        <f ca="1">IFERROR(__xludf.DUMMYFUNCTION("""COMPUTED_VALUE"""),8)</f>
        <v>8</v>
      </c>
      <c r="L27" s="1">
        <f ca="1">IFERROR(__xludf.DUMMYFUNCTION("""COMPUTED_VALUE"""),4)</f>
        <v>4</v>
      </c>
      <c r="M27" s="1">
        <f ca="1">IFERROR(__xludf.DUMMYFUNCTION("""COMPUTED_VALUE"""),11)</f>
        <v>11</v>
      </c>
      <c r="N27" s="1">
        <f ca="1">IFERROR(__xludf.DUMMYFUNCTION("""COMPUTED_VALUE"""),1899)</f>
        <v>1899</v>
      </c>
      <c r="O27" s="1">
        <f ca="1">IFERROR(__xludf.DUMMYFUNCTION("""COMPUTED_VALUE"""),2003)</f>
        <v>2003</v>
      </c>
      <c r="P27" s="1">
        <f ca="1">IFERROR(__xludf.DUMMYFUNCTION("""COMPUTED_VALUE"""),1280)</f>
        <v>1280</v>
      </c>
      <c r="Q27" s="1">
        <f ca="1">IFERROR(__xludf.DUMMYFUNCTION("""COMPUTED_VALUE"""),627)</f>
        <v>627</v>
      </c>
      <c r="R27" s="1">
        <f ca="1">IFERROR(__xludf.DUMMYFUNCTION("""COMPUTED_VALUE"""),1567)</f>
        <v>1567</v>
      </c>
      <c r="S27" s="1">
        <f ca="1">IFERROR(__xludf.DUMMYFUNCTION("""COMPUTED_VALUE"""),0.4)</f>
        <v>0.4</v>
      </c>
      <c r="T27" s="1">
        <f ca="1">IFERROR(__xludf.DUMMYFUNCTION("""COMPUTED_VALUE"""),163)</f>
        <v>163</v>
      </c>
      <c r="U27" s="1">
        <f ca="1">IFERROR(__xludf.DUMMYFUNCTION("""COMPUTED_VALUE"""),542)</f>
        <v>542</v>
      </c>
      <c r="V27" s="1">
        <f ca="1">IFERROR(__xludf.DUMMYFUNCTION("""COMPUTED_VALUE"""),0.301)</f>
        <v>0.30099999999999999</v>
      </c>
      <c r="W27" s="1">
        <f ca="1">IFERROR(__xludf.DUMMYFUNCTION("""COMPUTED_VALUE"""),482)</f>
        <v>482</v>
      </c>
      <c r="X27" s="1">
        <f ca="1">IFERROR(__xludf.DUMMYFUNCTION("""COMPUTED_VALUE"""),672)</f>
        <v>672</v>
      </c>
      <c r="Y27" s="1">
        <f ca="1">IFERROR(__xludf.DUMMYFUNCTION("""COMPUTED_VALUE"""),0.717)</f>
        <v>0.71699999999999997</v>
      </c>
      <c r="Z27" s="1">
        <f ca="1">IFERROR(__xludf.DUMMYFUNCTION("""COMPUTED_VALUE"""),372)</f>
        <v>372</v>
      </c>
      <c r="AA27" s="1">
        <f ca="1">IFERROR(__xludf.DUMMYFUNCTION("""COMPUTED_VALUE"""),1056)</f>
        <v>1056</v>
      </c>
      <c r="AB27" s="1">
        <f ca="1">IFERROR(__xludf.DUMMYFUNCTION("""COMPUTED_VALUE"""),264)</f>
        <v>264</v>
      </c>
      <c r="AC27" s="1">
        <f ca="1">IFERROR(__xludf.DUMMYFUNCTION("""COMPUTED_VALUE"""),174)</f>
        <v>174</v>
      </c>
      <c r="AD27" s="1">
        <f ca="1">IFERROR(__xludf.DUMMYFUNCTION("""COMPUTED_VALUE"""),84)</f>
        <v>84</v>
      </c>
      <c r="AE27" s="1">
        <f ca="1">IFERROR(__xludf.DUMMYFUNCTION("""COMPUTED_VALUE"""),449)</f>
        <v>449</v>
      </c>
      <c r="AF27" s="1">
        <f ca="1">IFERROR(__xludf.DUMMYFUNCTION("""COMPUTED_VALUE"""),623)</f>
        <v>623</v>
      </c>
    </row>
    <row r="28" spans="1:32" ht="12.5" x14ac:dyDescent="0.25">
      <c r="A28" s="1" t="str">
        <f ca="1">IFERROR(__xludf.DUMMYFUNCTION("""COMPUTED_VALUE"""),"Binghamton")</f>
        <v>Binghamton</v>
      </c>
      <c r="B28" s="1">
        <f ca="1">IFERROR(__xludf.DUMMYFUNCTION("""COMPUTED_VALUE"""),32)</f>
        <v>32</v>
      </c>
      <c r="C28" s="1">
        <f ca="1">IFERROR(__xludf.DUMMYFUNCTION("""COMPUTED_VALUE"""),6)</f>
        <v>6</v>
      </c>
      <c r="D28" s="1">
        <f ca="1">IFERROR(__xludf.DUMMYFUNCTION("""COMPUTED_VALUE"""),26)</f>
        <v>26</v>
      </c>
      <c r="E28" s="1">
        <f ca="1">IFERROR(__xludf.DUMMYFUNCTION("""COMPUTED_VALUE"""),0.188)</f>
        <v>0.188</v>
      </c>
      <c r="F28" s="1">
        <f ca="1">IFERROR(__xludf.DUMMYFUNCTION("""COMPUTED_VALUE"""),-13.45)</f>
        <v>-13.45</v>
      </c>
      <c r="G28" s="1">
        <f ca="1">IFERROR(__xludf.DUMMYFUNCTION("""COMPUTED_VALUE"""),-3.49)</f>
        <v>-3.49</v>
      </c>
      <c r="H28" s="1">
        <f ca="1">IFERROR(__xludf.DUMMYFUNCTION("""COMPUTED_VALUE"""),5)</f>
        <v>5</v>
      </c>
      <c r="I28" s="1">
        <f ca="1">IFERROR(__xludf.DUMMYFUNCTION("""COMPUTED_VALUE"""),11)</f>
        <v>11</v>
      </c>
      <c r="J28" s="1">
        <f ca="1">IFERROR(__xludf.DUMMYFUNCTION("""COMPUTED_VALUE"""),5)</f>
        <v>5</v>
      </c>
      <c r="K28" s="1">
        <f ca="1">IFERROR(__xludf.DUMMYFUNCTION("""COMPUTED_VALUE"""),9)</f>
        <v>9</v>
      </c>
      <c r="L28" s="1">
        <f ca="1">IFERROR(__xludf.DUMMYFUNCTION("""COMPUTED_VALUE"""),1)</f>
        <v>1</v>
      </c>
      <c r="M28" s="1">
        <f ca="1">IFERROR(__xludf.DUMMYFUNCTION("""COMPUTED_VALUE"""),15)</f>
        <v>15</v>
      </c>
      <c r="N28" s="1">
        <f ca="1">IFERROR(__xludf.DUMMYFUNCTION("""COMPUTED_VALUE"""),1845)</f>
        <v>1845</v>
      </c>
      <c r="O28" s="1">
        <f ca="1">IFERROR(__xludf.DUMMYFUNCTION("""COMPUTED_VALUE"""),2124)</f>
        <v>2124</v>
      </c>
      <c r="P28" s="1">
        <f ca="1">IFERROR(__xludf.DUMMYFUNCTION("""COMPUTED_VALUE"""),1285)</f>
        <v>1285</v>
      </c>
      <c r="Q28" s="1">
        <f ca="1">IFERROR(__xludf.DUMMYFUNCTION("""COMPUTED_VALUE"""),633)</f>
        <v>633</v>
      </c>
      <c r="R28" s="1">
        <f ca="1">IFERROR(__xludf.DUMMYFUNCTION("""COMPUTED_VALUE"""),1598)</f>
        <v>1598</v>
      </c>
      <c r="S28" s="1">
        <f ca="1">IFERROR(__xludf.DUMMYFUNCTION("""COMPUTED_VALUE"""),0.396)</f>
        <v>0.39600000000000002</v>
      </c>
      <c r="T28" s="1">
        <f ca="1">IFERROR(__xludf.DUMMYFUNCTION("""COMPUTED_VALUE"""),171)</f>
        <v>171</v>
      </c>
      <c r="U28" s="1">
        <f ca="1">IFERROR(__xludf.DUMMYFUNCTION("""COMPUTED_VALUE"""),554)</f>
        <v>554</v>
      </c>
      <c r="V28" s="1">
        <f ca="1">IFERROR(__xludf.DUMMYFUNCTION("""COMPUTED_VALUE"""),0.309)</f>
        <v>0.309</v>
      </c>
      <c r="W28" s="1">
        <f ca="1">IFERROR(__xludf.DUMMYFUNCTION("""COMPUTED_VALUE"""),408)</f>
        <v>408</v>
      </c>
      <c r="X28" s="1">
        <f ca="1">IFERROR(__xludf.DUMMYFUNCTION("""COMPUTED_VALUE"""),618)</f>
        <v>618</v>
      </c>
      <c r="Y28" s="1">
        <f ca="1">IFERROR(__xludf.DUMMYFUNCTION("""COMPUTED_VALUE"""),0.66)</f>
        <v>0.66</v>
      </c>
      <c r="Z28" s="1">
        <f ca="1">IFERROR(__xludf.DUMMYFUNCTION("""COMPUTED_VALUE"""),288)</f>
        <v>288</v>
      </c>
      <c r="AA28" s="1">
        <f ca="1">IFERROR(__xludf.DUMMYFUNCTION("""COMPUTED_VALUE"""),992)</f>
        <v>992</v>
      </c>
      <c r="AB28" s="1">
        <f ca="1">IFERROR(__xludf.DUMMYFUNCTION("""COMPUTED_VALUE"""),278)</f>
        <v>278</v>
      </c>
      <c r="AC28" s="1">
        <f ca="1">IFERROR(__xludf.DUMMYFUNCTION("""COMPUTED_VALUE"""),186)</f>
        <v>186</v>
      </c>
      <c r="AD28" s="1">
        <f ca="1">IFERROR(__xludf.DUMMYFUNCTION("""COMPUTED_VALUE"""),80)</f>
        <v>80</v>
      </c>
      <c r="AE28" s="1">
        <f ca="1">IFERROR(__xludf.DUMMYFUNCTION("""COMPUTED_VALUE"""),433)</f>
        <v>433</v>
      </c>
      <c r="AF28" s="1">
        <f ca="1">IFERROR(__xludf.DUMMYFUNCTION("""COMPUTED_VALUE"""),577)</f>
        <v>577</v>
      </c>
    </row>
    <row r="29" spans="1:32" ht="12.5" x14ac:dyDescent="0.25">
      <c r="A29" s="1" t="str">
        <f ca="1">IFERROR(__xludf.DUMMYFUNCTION("""COMPUTED_VALUE"""),"Boise StateNCAA")</f>
        <v>Boise StateNCAA</v>
      </c>
      <c r="B29" s="1">
        <f ca="1">IFERROR(__xludf.DUMMYFUNCTION("""COMPUTED_VALUE"""),34)</f>
        <v>34</v>
      </c>
      <c r="C29" s="1">
        <f ca="1">IFERROR(__xludf.DUMMYFUNCTION("""COMPUTED_VALUE"""),25)</f>
        <v>25</v>
      </c>
      <c r="D29" s="1">
        <f ca="1">IFERROR(__xludf.DUMMYFUNCTION("""COMPUTED_VALUE"""),9)</f>
        <v>9</v>
      </c>
      <c r="E29" s="1">
        <f ca="1">IFERROR(__xludf.DUMMYFUNCTION("""COMPUTED_VALUE"""),0.735)</f>
        <v>0.73499999999999999</v>
      </c>
      <c r="F29" s="1">
        <f ca="1">IFERROR(__xludf.DUMMYFUNCTION("""COMPUTED_VALUE"""),10.01)</f>
        <v>10.01</v>
      </c>
      <c r="G29" s="1">
        <f ca="1">IFERROR(__xludf.DUMMYFUNCTION("""COMPUTED_VALUE"""),1.38)</f>
        <v>1.38</v>
      </c>
      <c r="H29" s="1">
        <f ca="1">IFERROR(__xludf.DUMMYFUNCTION("""COMPUTED_VALUE"""),14)</f>
        <v>14</v>
      </c>
      <c r="I29" s="1">
        <f ca="1">IFERROR(__xludf.DUMMYFUNCTION("""COMPUTED_VALUE"""),4)</f>
        <v>4</v>
      </c>
      <c r="J29" s="1">
        <f ca="1">IFERROR(__xludf.DUMMYFUNCTION("""COMPUTED_VALUE"""),13)</f>
        <v>13</v>
      </c>
      <c r="K29" s="1">
        <f ca="1">IFERROR(__xludf.DUMMYFUNCTION("""COMPUTED_VALUE"""),1)</f>
        <v>1</v>
      </c>
      <c r="L29" s="1">
        <f ca="1">IFERROR(__xludf.DUMMYFUNCTION("""COMPUTED_VALUE"""),8)</f>
        <v>8</v>
      </c>
      <c r="M29" s="1">
        <f ca="1">IFERROR(__xludf.DUMMYFUNCTION("""COMPUTED_VALUE"""),5)</f>
        <v>5</v>
      </c>
      <c r="N29" s="1">
        <f ca="1">IFERROR(__xludf.DUMMYFUNCTION("""COMPUTED_VALUE"""),2390)</f>
        <v>2390</v>
      </c>
      <c r="O29" s="1">
        <f ca="1">IFERROR(__xludf.DUMMYFUNCTION("""COMPUTED_VALUE"""),2045)</f>
        <v>2045</v>
      </c>
      <c r="P29" s="1">
        <f ca="1">IFERROR(__xludf.DUMMYFUNCTION("""COMPUTED_VALUE"""),1385)</f>
        <v>1385</v>
      </c>
      <c r="Q29" s="1">
        <f ca="1">IFERROR(__xludf.DUMMYFUNCTION("""COMPUTED_VALUE"""),831)</f>
        <v>831</v>
      </c>
      <c r="R29" s="1">
        <f ca="1">IFERROR(__xludf.DUMMYFUNCTION("""COMPUTED_VALUE"""),1823)</f>
        <v>1823</v>
      </c>
      <c r="S29" s="1">
        <f ca="1">IFERROR(__xludf.DUMMYFUNCTION("""COMPUTED_VALUE"""),0.456)</f>
        <v>0.45600000000000002</v>
      </c>
      <c r="T29" s="1">
        <f ca="1">IFERROR(__xludf.DUMMYFUNCTION("""COMPUTED_VALUE"""),297)</f>
        <v>297</v>
      </c>
      <c r="U29" s="1">
        <f ca="1">IFERROR(__xludf.DUMMYFUNCTION("""COMPUTED_VALUE"""),758)</f>
        <v>758</v>
      </c>
      <c r="V29" s="1">
        <f ca="1">IFERROR(__xludf.DUMMYFUNCTION("""COMPUTED_VALUE"""),0.392)</f>
        <v>0.39200000000000002</v>
      </c>
      <c r="W29" s="1">
        <f ca="1">IFERROR(__xludf.DUMMYFUNCTION("""COMPUTED_VALUE"""),431)</f>
        <v>431</v>
      </c>
      <c r="X29" s="1">
        <f ca="1">IFERROR(__xludf.DUMMYFUNCTION("""COMPUTED_VALUE"""),591)</f>
        <v>591</v>
      </c>
      <c r="Y29" s="1">
        <f ca="1">IFERROR(__xludf.DUMMYFUNCTION("""COMPUTED_VALUE"""),0.729)</f>
        <v>0.72899999999999998</v>
      </c>
      <c r="Z29" s="1">
        <f ca="1">IFERROR(__xludf.DUMMYFUNCTION("""COMPUTED_VALUE"""),298)</f>
        <v>298</v>
      </c>
      <c r="AA29" s="1">
        <f ca="1">IFERROR(__xludf.DUMMYFUNCTION("""COMPUTED_VALUE"""),1119)</f>
        <v>1119</v>
      </c>
      <c r="AB29" s="1">
        <f ca="1">IFERROR(__xludf.DUMMYFUNCTION("""COMPUTED_VALUE"""),409)</f>
        <v>409</v>
      </c>
      <c r="AC29" s="1">
        <f ca="1">IFERROR(__xludf.DUMMYFUNCTION("""COMPUTED_VALUE"""),206)</f>
        <v>206</v>
      </c>
      <c r="AD29" s="1">
        <f ca="1">IFERROR(__xludf.DUMMYFUNCTION("""COMPUTED_VALUE"""),79)</f>
        <v>79</v>
      </c>
      <c r="AE29" s="1">
        <f ca="1">IFERROR(__xludf.DUMMYFUNCTION("""COMPUTED_VALUE"""),348)</f>
        <v>348</v>
      </c>
      <c r="AF29" s="1">
        <f ca="1">IFERROR(__xludf.DUMMYFUNCTION("""COMPUTED_VALUE"""),582)</f>
        <v>582</v>
      </c>
    </row>
    <row r="30" spans="1:32" ht="12.5" x14ac:dyDescent="0.25">
      <c r="A30" s="1" t="str">
        <f ca="1">IFERROR(__xludf.DUMMYFUNCTION("""COMPUTED_VALUE"""),"Boston College")</f>
        <v>Boston College</v>
      </c>
      <c r="B30" s="1">
        <f ca="1">IFERROR(__xludf.DUMMYFUNCTION("""COMPUTED_VALUE"""),32)</f>
        <v>32</v>
      </c>
      <c r="C30" s="1">
        <f ca="1">IFERROR(__xludf.DUMMYFUNCTION("""COMPUTED_VALUE"""),13)</f>
        <v>13</v>
      </c>
      <c r="D30" s="1">
        <f ca="1">IFERROR(__xludf.DUMMYFUNCTION("""COMPUTED_VALUE"""),19)</f>
        <v>19</v>
      </c>
      <c r="E30" s="1">
        <f ca="1">IFERROR(__xludf.DUMMYFUNCTION("""COMPUTED_VALUE"""),0.406)</f>
        <v>0.40600000000000003</v>
      </c>
      <c r="F30" s="1">
        <f ca="1">IFERROR(__xludf.DUMMYFUNCTION("""COMPUTED_VALUE"""),6.32)</f>
        <v>6.32</v>
      </c>
      <c r="G30" s="1">
        <f ca="1">IFERROR(__xludf.DUMMYFUNCTION("""COMPUTED_VALUE"""),7.94)</f>
        <v>7.94</v>
      </c>
      <c r="H30" s="1">
        <f ca="1">IFERROR(__xludf.DUMMYFUNCTION("""COMPUTED_VALUE"""),4)</f>
        <v>4</v>
      </c>
      <c r="I30" s="1">
        <f ca="1">IFERROR(__xludf.DUMMYFUNCTION("""COMPUTED_VALUE"""),14)</f>
        <v>14</v>
      </c>
      <c r="J30" s="1">
        <f ca="1">IFERROR(__xludf.DUMMYFUNCTION("""COMPUTED_VALUE"""),9)</f>
        <v>9</v>
      </c>
      <c r="K30" s="1">
        <f ca="1">IFERROR(__xludf.DUMMYFUNCTION("""COMPUTED_VALUE"""),8)</f>
        <v>8</v>
      </c>
      <c r="L30" s="1">
        <f ca="1">IFERROR(__xludf.DUMMYFUNCTION("""COMPUTED_VALUE"""),2)</f>
        <v>2</v>
      </c>
      <c r="M30" s="1">
        <f ca="1">IFERROR(__xludf.DUMMYFUNCTION("""COMPUTED_VALUE"""),7)</f>
        <v>7</v>
      </c>
      <c r="N30" s="1">
        <f ca="1">IFERROR(__xludf.DUMMYFUNCTION("""COMPUTED_VALUE"""),2105)</f>
        <v>2105</v>
      </c>
      <c r="O30" s="1">
        <f ca="1">IFERROR(__xludf.DUMMYFUNCTION("""COMPUTED_VALUE"""),2157)</f>
        <v>2157</v>
      </c>
      <c r="P30" s="1">
        <f ca="1">IFERROR(__xludf.DUMMYFUNCTION("""COMPUTED_VALUE"""),1300)</f>
        <v>1300</v>
      </c>
      <c r="Q30" s="1">
        <f ca="1">IFERROR(__xludf.DUMMYFUNCTION("""COMPUTED_VALUE"""),743)</f>
        <v>743</v>
      </c>
      <c r="R30" s="1">
        <f ca="1">IFERROR(__xludf.DUMMYFUNCTION("""COMPUTED_VALUE"""),1668)</f>
        <v>1668</v>
      </c>
      <c r="S30" s="1">
        <f ca="1">IFERROR(__xludf.DUMMYFUNCTION("""COMPUTED_VALUE"""),0.445)</f>
        <v>0.44500000000000001</v>
      </c>
      <c r="T30" s="1">
        <f ca="1">IFERROR(__xludf.DUMMYFUNCTION("""COMPUTED_VALUE"""),207)</f>
        <v>207</v>
      </c>
      <c r="U30" s="1">
        <f ca="1">IFERROR(__xludf.DUMMYFUNCTION("""COMPUTED_VALUE"""),638)</f>
        <v>638</v>
      </c>
      <c r="V30" s="1">
        <f ca="1">IFERROR(__xludf.DUMMYFUNCTION("""COMPUTED_VALUE"""),0.324)</f>
        <v>0.32400000000000001</v>
      </c>
      <c r="W30" s="1">
        <f ca="1">IFERROR(__xludf.DUMMYFUNCTION("""COMPUTED_VALUE"""),412)</f>
        <v>412</v>
      </c>
      <c r="X30" s="1">
        <f ca="1">IFERROR(__xludf.DUMMYFUNCTION("""COMPUTED_VALUE"""),584)</f>
        <v>584</v>
      </c>
      <c r="Y30" s="1">
        <f ca="1">IFERROR(__xludf.DUMMYFUNCTION("""COMPUTED_VALUE"""),0.705)</f>
        <v>0.70499999999999996</v>
      </c>
      <c r="Z30" s="1">
        <f ca="1">IFERROR(__xludf.DUMMYFUNCTION("""COMPUTED_VALUE"""),263)</f>
        <v>263</v>
      </c>
      <c r="AA30" s="1">
        <f ca="1">IFERROR(__xludf.DUMMYFUNCTION("""COMPUTED_VALUE"""),983)</f>
        <v>983</v>
      </c>
      <c r="AB30" s="1">
        <f ca="1">IFERROR(__xludf.DUMMYFUNCTION("""COMPUTED_VALUE"""),421)</f>
        <v>421</v>
      </c>
      <c r="AC30" s="1">
        <f ca="1">IFERROR(__xludf.DUMMYFUNCTION("""COMPUTED_VALUE"""),183)</f>
        <v>183</v>
      </c>
      <c r="AD30" s="1">
        <f ca="1">IFERROR(__xludf.DUMMYFUNCTION("""COMPUTED_VALUE"""),86)</f>
        <v>86</v>
      </c>
      <c r="AE30" s="1">
        <f ca="1">IFERROR(__xludf.DUMMYFUNCTION("""COMPUTED_VALUE"""),389)</f>
        <v>389</v>
      </c>
      <c r="AF30" s="1">
        <f ca="1">IFERROR(__xludf.DUMMYFUNCTION("""COMPUTED_VALUE"""),607)</f>
        <v>607</v>
      </c>
    </row>
    <row r="31" spans="1:32" ht="12.5" x14ac:dyDescent="0.25">
      <c r="A31" s="1" t="str">
        <f ca="1">IFERROR(__xludf.DUMMYFUNCTION("""COMPUTED_VALUE"""),"Boston University")</f>
        <v>Boston University</v>
      </c>
      <c r="B31" s="1">
        <f ca="1">IFERROR(__xludf.DUMMYFUNCTION("""COMPUTED_VALUE"""),30)</f>
        <v>30</v>
      </c>
      <c r="C31" s="1">
        <f ca="1">IFERROR(__xludf.DUMMYFUNCTION("""COMPUTED_VALUE"""),13)</f>
        <v>13</v>
      </c>
      <c r="D31" s="1">
        <f ca="1">IFERROR(__xludf.DUMMYFUNCTION("""COMPUTED_VALUE"""),17)</f>
        <v>17</v>
      </c>
      <c r="E31" s="1">
        <f ca="1">IFERROR(__xludf.DUMMYFUNCTION("""COMPUTED_VALUE"""),0.433)</f>
        <v>0.433</v>
      </c>
      <c r="F31" s="1">
        <f ca="1">IFERROR(__xludf.DUMMYFUNCTION("""COMPUTED_VALUE"""),-5.63)</f>
        <v>-5.63</v>
      </c>
      <c r="G31" s="1">
        <f ca="1">IFERROR(__xludf.DUMMYFUNCTION("""COMPUTED_VALUE"""),-3.12)</f>
        <v>-3.12</v>
      </c>
      <c r="H31" s="1">
        <f ca="1">IFERROR(__xludf.DUMMYFUNCTION("""COMPUTED_VALUE"""),9)</f>
        <v>9</v>
      </c>
      <c r="I31" s="1">
        <f ca="1">IFERROR(__xludf.DUMMYFUNCTION("""COMPUTED_VALUE"""),9)</f>
        <v>9</v>
      </c>
      <c r="J31" s="1">
        <f ca="1">IFERROR(__xludf.DUMMYFUNCTION("""COMPUTED_VALUE"""),8)</f>
        <v>8</v>
      </c>
      <c r="K31" s="1">
        <f ca="1">IFERROR(__xludf.DUMMYFUNCTION("""COMPUTED_VALUE"""),6)</f>
        <v>6</v>
      </c>
      <c r="L31" s="1">
        <f ca="1">IFERROR(__xludf.DUMMYFUNCTION("""COMPUTED_VALUE"""),5)</f>
        <v>5</v>
      </c>
      <c r="M31" s="1">
        <f ca="1">IFERROR(__xludf.DUMMYFUNCTION("""COMPUTED_VALUE"""),10)</f>
        <v>10</v>
      </c>
      <c r="N31" s="1">
        <f ca="1">IFERROR(__xludf.DUMMYFUNCTION("""COMPUTED_VALUE"""),2037)</f>
        <v>2037</v>
      </c>
      <c r="O31" s="1">
        <f ca="1">IFERROR(__xludf.DUMMYFUNCTION("""COMPUTED_VALUE"""),2087)</f>
        <v>2087</v>
      </c>
      <c r="P31" s="1">
        <f ca="1">IFERROR(__xludf.DUMMYFUNCTION("""COMPUTED_VALUE"""),1210)</f>
        <v>1210</v>
      </c>
      <c r="Q31" s="1">
        <f ca="1">IFERROR(__xludf.DUMMYFUNCTION("""COMPUTED_VALUE"""),668)</f>
        <v>668</v>
      </c>
      <c r="R31" s="1">
        <f ca="1">IFERROR(__xludf.DUMMYFUNCTION("""COMPUTED_VALUE"""),1498)</f>
        <v>1498</v>
      </c>
      <c r="S31" s="1">
        <f ca="1">IFERROR(__xludf.DUMMYFUNCTION("""COMPUTED_VALUE"""),0.446)</f>
        <v>0.44600000000000001</v>
      </c>
      <c r="T31" s="1">
        <f ca="1">IFERROR(__xludf.DUMMYFUNCTION("""COMPUTED_VALUE"""),232)</f>
        <v>232</v>
      </c>
      <c r="U31" s="1">
        <f ca="1">IFERROR(__xludf.DUMMYFUNCTION("""COMPUTED_VALUE"""),631)</f>
        <v>631</v>
      </c>
      <c r="V31" s="1">
        <f ca="1">IFERROR(__xludf.DUMMYFUNCTION("""COMPUTED_VALUE"""),0.368)</f>
        <v>0.36799999999999999</v>
      </c>
      <c r="W31" s="1">
        <f ca="1">IFERROR(__xludf.DUMMYFUNCTION("""COMPUTED_VALUE"""),469)</f>
        <v>469</v>
      </c>
      <c r="X31" s="1">
        <f ca="1">IFERROR(__xludf.DUMMYFUNCTION("""COMPUTED_VALUE"""),674)</f>
        <v>674</v>
      </c>
      <c r="Y31" s="1">
        <f ca="1">IFERROR(__xludf.DUMMYFUNCTION("""COMPUTED_VALUE"""),0.696)</f>
        <v>0.69599999999999995</v>
      </c>
      <c r="Z31" s="1">
        <f ca="1">IFERROR(__xludf.DUMMYFUNCTION("""COMPUTED_VALUE"""),263)</f>
        <v>263</v>
      </c>
      <c r="AA31" s="1">
        <f ca="1">IFERROR(__xludf.DUMMYFUNCTION("""COMPUTED_VALUE"""),953)</f>
        <v>953</v>
      </c>
      <c r="AB31" s="1">
        <f ca="1">IFERROR(__xludf.DUMMYFUNCTION("""COMPUTED_VALUE"""),368)</f>
        <v>368</v>
      </c>
      <c r="AC31" s="1">
        <f ca="1">IFERROR(__xludf.DUMMYFUNCTION("""COMPUTED_VALUE"""),170)</f>
        <v>170</v>
      </c>
      <c r="AD31" s="1">
        <f ca="1">IFERROR(__xludf.DUMMYFUNCTION("""COMPUTED_VALUE"""),56)</f>
        <v>56</v>
      </c>
      <c r="AE31" s="1">
        <f ca="1">IFERROR(__xludf.DUMMYFUNCTION("""COMPUTED_VALUE"""),369)</f>
        <v>369</v>
      </c>
      <c r="AF31" s="1">
        <f ca="1">IFERROR(__xludf.DUMMYFUNCTION("""COMPUTED_VALUE"""),522)</f>
        <v>522</v>
      </c>
    </row>
    <row r="32" spans="1:32" ht="12.5" x14ac:dyDescent="0.25">
      <c r="A32" s="1" t="str">
        <f ca="1">IFERROR(__xludf.DUMMYFUNCTION("""COMPUTED_VALUE"""),"Bowling Green State")</f>
        <v>Bowling Green State</v>
      </c>
      <c r="B32" s="1">
        <f ca="1">IFERROR(__xludf.DUMMYFUNCTION("""COMPUTED_VALUE"""),33)</f>
        <v>33</v>
      </c>
      <c r="C32" s="1">
        <f ca="1">IFERROR(__xludf.DUMMYFUNCTION("""COMPUTED_VALUE"""),21)</f>
        <v>21</v>
      </c>
      <c r="D32" s="1">
        <f ca="1">IFERROR(__xludf.DUMMYFUNCTION("""COMPUTED_VALUE"""),12)</f>
        <v>12</v>
      </c>
      <c r="E32" s="1">
        <f ca="1">IFERROR(__xludf.DUMMYFUNCTION("""COMPUTED_VALUE"""),0.636)</f>
        <v>0.63600000000000001</v>
      </c>
      <c r="F32" s="1">
        <f ca="1">IFERROR(__xludf.DUMMYFUNCTION("""COMPUTED_VALUE"""),2.93)</f>
        <v>2.93</v>
      </c>
      <c r="G32" s="1">
        <f ca="1">IFERROR(__xludf.DUMMYFUNCTION("""COMPUTED_VALUE"""),-1.25)</f>
        <v>-1.25</v>
      </c>
      <c r="H32" s="1">
        <f ca="1">IFERROR(__xludf.DUMMYFUNCTION("""COMPUTED_VALUE"""),11)</f>
        <v>11</v>
      </c>
      <c r="I32" s="1">
        <f ca="1">IFERROR(__xludf.DUMMYFUNCTION("""COMPUTED_VALUE"""),7)</f>
        <v>7</v>
      </c>
      <c r="J32" s="1">
        <f ca="1">IFERROR(__xludf.DUMMYFUNCTION("""COMPUTED_VALUE"""),11)</f>
        <v>11</v>
      </c>
      <c r="K32" s="1">
        <f ca="1">IFERROR(__xludf.DUMMYFUNCTION("""COMPUTED_VALUE"""),6)</f>
        <v>6</v>
      </c>
      <c r="L32" s="1">
        <f ca="1">IFERROR(__xludf.DUMMYFUNCTION("""COMPUTED_VALUE"""),10)</f>
        <v>10</v>
      </c>
      <c r="M32" s="1">
        <f ca="1">IFERROR(__xludf.DUMMYFUNCTION("""COMPUTED_VALUE"""),5)</f>
        <v>5</v>
      </c>
      <c r="N32" s="1">
        <f ca="1">IFERROR(__xludf.DUMMYFUNCTION("""COMPUTED_VALUE"""),2196)</f>
        <v>2196</v>
      </c>
      <c r="O32" s="1">
        <f ca="1">IFERROR(__xludf.DUMMYFUNCTION("""COMPUTED_VALUE"""),2076)</f>
        <v>2076</v>
      </c>
      <c r="P32" s="1">
        <f ca="1">IFERROR(__xludf.DUMMYFUNCTION("""COMPUTED_VALUE"""),1325)</f>
        <v>1325</v>
      </c>
      <c r="Q32" s="1">
        <f ca="1">IFERROR(__xludf.DUMMYFUNCTION("""COMPUTED_VALUE"""),778)</f>
        <v>778</v>
      </c>
      <c r="R32" s="1">
        <f ca="1">IFERROR(__xludf.DUMMYFUNCTION("""COMPUTED_VALUE"""),1806)</f>
        <v>1806</v>
      </c>
      <c r="S32" s="1">
        <f ca="1">IFERROR(__xludf.DUMMYFUNCTION("""COMPUTED_VALUE"""),0.431)</f>
        <v>0.43099999999999999</v>
      </c>
      <c r="T32" s="1">
        <f ca="1">IFERROR(__xludf.DUMMYFUNCTION("""COMPUTED_VALUE"""),218)</f>
        <v>218</v>
      </c>
      <c r="U32" s="1">
        <f ca="1">IFERROR(__xludf.DUMMYFUNCTION("""COMPUTED_VALUE"""),647)</f>
        <v>647</v>
      </c>
      <c r="V32" s="1">
        <f ca="1">IFERROR(__xludf.DUMMYFUNCTION("""COMPUTED_VALUE"""),0.337)</f>
        <v>0.33700000000000002</v>
      </c>
      <c r="W32" s="1">
        <f ca="1">IFERROR(__xludf.DUMMYFUNCTION("""COMPUTED_VALUE"""),420)</f>
        <v>420</v>
      </c>
      <c r="X32" s="1">
        <f ca="1">IFERROR(__xludf.DUMMYFUNCTION("""COMPUTED_VALUE"""),588)</f>
        <v>588</v>
      </c>
      <c r="Y32" s="1">
        <f ca="1">IFERROR(__xludf.DUMMYFUNCTION("""COMPUTED_VALUE"""),0.714)</f>
        <v>0.71399999999999997</v>
      </c>
      <c r="Z32" s="1">
        <f ca="1">IFERROR(__xludf.DUMMYFUNCTION("""COMPUTED_VALUE"""),355)</f>
        <v>355</v>
      </c>
      <c r="AA32" s="1">
        <f ca="1">IFERROR(__xludf.DUMMYFUNCTION("""COMPUTED_VALUE"""),1156)</f>
        <v>1156</v>
      </c>
      <c r="AB32" s="1">
        <f ca="1">IFERROR(__xludf.DUMMYFUNCTION("""COMPUTED_VALUE"""),406)</f>
        <v>406</v>
      </c>
      <c r="AC32" s="1">
        <f ca="1">IFERROR(__xludf.DUMMYFUNCTION("""COMPUTED_VALUE"""),219)</f>
        <v>219</v>
      </c>
      <c r="AD32" s="1">
        <f ca="1">IFERROR(__xludf.DUMMYFUNCTION("""COMPUTED_VALUE"""),123)</f>
        <v>123</v>
      </c>
      <c r="AE32" s="1">
        <f ca="1">IFERROR(__xludf.DUMMYFUNCTION("""COMPUTED_VALUE"""),386)</f>
        <v>386</v>
      </c>
      <c r="AF32" s="1">
        <f ca="1">IFERROR(__xludf.DUMMYFUNCTION("""COMPUTED_VALUE"""),550)</f>
        <v>550</v>
      </c>
    </row>
    <row r="33" spans="1:32" ht="12.5" x14ac:dyDescent="0.25">
      <c r="A33" s="1" t="str">
        <f ca="1">IFERROR(__xludf.DUMMYFUNCTION("""COMPUTED_VALUE"""),"Bradley")</f>
        <v>Bradley</v>
      </c>
      <c r="B33" s="1">
        <f ca="1">IFERROR(__xludf.DUMMYFUNCTION("""COMPUTED_VALUE"""),33)</f>
        <v>33</v>
      </c>
      <c r="C33" s="1">
        <f ca="1">IFERROR(__xludf.DUMMYFUNCTION("""COMPUTED_VALUE"""),9)</f>
        <v>9</v>
      </c>
      <c r="D33" s="1">
        <f ca="1">IFERROR(__xludf.DUMMYFUNCTION("""COMPUTED_VALUE"""),24)</f>
        <v>24</v>
      </c>
      <c r="E33" s="1">
        <f ca="1">IFERROR(__xludf.DUMMYFUNCTION("""COMPUTED_VALUE"""),0.273)</f>
        <v>0.27300000000000002</v>
      </c>
      <c r="F33" s="1">
        <f ca="1">IFERROR(__xludf.DUMMYFUNCTION("""COMPUTED_VALUE"""),-4.3)</f>
        <v>-4.3</v>
      </c>
      <c r="G33" s="1">
        <f ca="1">IFERROR(__xludf.DUMMYFUNCTION("""COMPUTED_VALUE"""),1.52)</f>
        <v>1.52</v>
      </c>
      <c r="H33" s="1">
        <f ca="1">IFERROR(__xludf.DUMMYFUNCTION("""COMPUTED_VALUE"""),3)</f>
        <v>3</v>
      </c>
      <c r="I33" s="1">
        <f ca="1">IFERROR(__xludf.DUMMYFUNCTION("""COMPUTED_VALUE"""),15)</f>
        <v>15</v>
      </c>
      <c r="J33" s="1">
        <f ca="1">IFERROR(__xludf.DUMMYFUNCTION("""COMPUTED_VALUE"""),7)</f>
        <v>7</v>
      </c>
      <c r="K33" s="1">
        <f ca="1">IFERROR(__xludf.DUMMYFUNCTION("""COMPUTED_VALUE"""),9)</f>
        <v>9</v>
      </c>
      <c r="L33" s="1">
        <f ca="1">IFERROR(__xludf.DUMMYFUNCTION("""COMPUTED_VALUE"""),1)</f>
        <v>1</v>
      </c>
      <c r="M33" s="1">
        <f ca="1">IFERROR(__xludf.DUMMYFUNCTION("""COMPUTED_VALUE"""),10)</f>
        <v>10</v>
      </c>
      <c r="N33" s="1">
        <f ca="1">IFERROR(__xludf.DUMMYFUNCTION("""COMPUTED_VALUE"""),1882)</f>
        <v>1882</v>
      </c>
      <c r="O33" s="1">
        <f ca="1">IFERROR(__xludf.DUMMYFUNCTION("""COMPUTED_VALUE"""),2026)</f>
        <v>2026</v>
      </c>
      <c r="P33" s="1">
        <f ca="1">IFERROR(__xludf.DUMMYFUNCTION("""COMPUTED_VALUE"""),1340)</f>
        <v>1340</v>
      </c>
      <c r="Q33" s="1">
        <f ca="1">IFERROR(__xludf.DUMMYFUNCTION("""COMPUTED_VALUE"""),639)</f>
        <v>639</v>
      </c>
      <c r="R33" s="1">
        <f ca="1">IFERROR(__xludf.DUMMYFUNCTION("""COMPUTED_VALUE"""),1700)</f>
        <v>1700</v>
      </c>
      <c r="S33" s="1">
        <f ca="1">IFERROR(__xludf.DUMMYFUNCTION("""COMPUTED_VALUE"""),0.376)</f>
        <v>0.376</v>
      </c>
      <c r="T33" s="1">
        <f ca="1">IFERROR(__xludf.DUMMYFUNCTION("""COMPUTED_VALUE"""),179)</f>
        <v>179</v>
      </c>
      <c r="U33" s="1">
        <f ca="1">IFERROR(__xludf.DUMMYFUNCTION("""COMPUTED_VALUE"""),594)</f>
        <v>594</v>
      </c>
      <c r="V33" s="1">
        <f ca="1">IFERROR(__xludf.DUMMYFUNCTION("""COMPUTED_VALUE"""),0.301)</f>
        <v>0.30099999999999999</v>
      </c>
      <c r="W33" s="1">
        <f ca="1">IFERROR(__xludf.DUMMYFUNCTION("""COMPUTED_VALUE"""),425)</f>
        <v>425</v>
      </c>
      <c r="X33" s="1">
        <f ca="1">IFERROR(__xludf.DUMMYFUNCTION("""COMPUTED_VALUE"""),641)</f>
        <v>641</v>
      </c>
      <c r="Y33" s="1">
        <f ca="1">IFERROR(__xludf.DUMMYFUNCTION("""COMPUTED_VALUE"""),0.663)</f>
        <v>0.66300000000000003</v>
      </c>
      <c r="Z33" s="1">
        <f ca="1">IFERROR(__xludf.DUMMYFUNCTION("""COMPUTED_VALUE"""),377)</f>
        <v>377</v>
      </c>
      <c r="AA33" s="1">
        <f ca="1">IFERROR(__xludf.DUMMYFUNCTION("""COMPUTED_VALUE"""),1098)</f>
        <v>1098</v>
      </c>
      <c r="AB33" s="1">
        <f ca="1">IFERROR(__xludf.DUMMYFUNCTION("""COMPUTED_VALUE"""),308)</f>
        <v>308</v>
      </c>
      <c r="AC33" s="1">
        <f ca="1">IFERROR(__xludf.DUMMYFUNCTION("""COMPUTED_VALUE"""),227)</f>
        <v>227</v>
      </c>
      <c r="AD33" s="1">
        <f ca="1">IFERROR(__xludf.DUMMYFUNCTION("""COMPUTED_VALUE"""),93)</f>
        <v>93</v>
      </c>
      <c r="AE33" s="1">
        <f ca="1">IFERROR(__xludf.DUMMYFUNCTION("""COMPUTED_VALUE"""),418)</f>
        <v>418</v>
      </c>
      <c r="AF33" s="1">
        <f ca="1">IFERROR(__xludf.DUMMYFUNCTION("""COMPUTED_VALUE"""),645)</f>
        <v>645</v>
      </c>
    </row>
    <row r="34" spans="1:32" ht="12.5" x14ac:dyDescent="0.25">
      <c r="A34" s="1" t="str">
        <f ca="1">IFERROR(__xludf.DUMMYFUNCTION("""COMPUTED_VALUE"""),"Brigham YoungNCAA")</f>
        <v>Brigham YoungNCAA</v>
      </c>
      <c r="B34" s="1">
        <f ca="1">IFERROR(__xludf.DUMMYFUNCTION("""COMPUTED_VALUE"""),35)</f>
        <v>35</v>
      </c>
      <c r="C34" s="1">
        <f ca="1">IFERROR(__xludf.DUMMYFUNCTION("""COMPUTED_VALUE"""),25)</f>
        <v>25</v>
      </c>
      <c r="D34" s="1">
        <f ca="1">IFERROR(__xludf.DUMMYFUNCTION("""COMPUTED_VALUE"""),10)</f>
        <v>10</v>
      </c>
      <c r="E34" s="1">
        <f ca="1">IFERROR(__xludf.DUMMYFUNCTION("""COMPUTED_VALUE"""),0.714)</f>
        <v>0.71399999999999997</v>
      </c>
      <c r="F34" s="1">
        <f ca="1">IFERROR(__xludf.DUMMYFUNCTION("""COMPUTED_VALUE"""),13.53)</f>
        <v>13.53</v>
      </c>
      <c r="G34" s="1">
        <f ca="1">IFERROR(__xludf.DUMMYFUNCTION("""COMPUTED_VALUE"""),5.02)</f>
        <v>5.0199999999999996</v>
      </c>
      <c r="H34" s="1">
        <f ca="1">IFERROR(__xludf.DUMMYFUNCTION("""COMPUTED_VALUE"""),13)</f>
        <v>13</v>
      </c>
      <c r="I34" s="1">
        <f ca="1">IFERROR(__xludf.DUMMYFUNCTION("""COMPUTED_VALUE"""),5)</f>
        <v>5</v>
      </c>
      <c r="J34" s="1">
        <f ca="1">IFERROR(__xludf.DUMMYFUNCTION("""COMPUTED_VALUE"""),13)</f>
        <v>13</v>
      </c>
      <c r="K34" s="1">
        <f ca="1">IFERROR(__xludf.DUMMYFUNCTION("""COMPUTED_VALUE"""),3)</f>
        <v>3</v>
      </c>
      <c r="L34" s="1">
        <f ca="1">IFERROR(__xludf.DUMMYFUNCTION("""COMPUTED_VALUE"""),8)</f>
        <v>8</v>
      </c>
      <c r="M34" s="1">
        <f ca="1">IFERROR(__xludf.DUMMYFUNCTION("""COMPUTED_VALUE"""),3)</f>
        <v>3</v>
      </c>
      <c r="N34" s="1">
        <f ca="1">IFERROR(__xludf.DUMMYFUNCTION("""COMPUTED_VALUE"""),2931)</f>
        <v>2931</v>
      </c>
      <c r="O34" s="1">
        <f ca="1">IFERROR(__xludf.DUMMYFUNCTION("""COMPUTED_VALUE"""),2561)</f>
        <v>2561</v>
      </c>
      <c r="P34" s="1">
        <f ca="1">IFERROR(__xludf.DUMMYFUNCTION("""COMPUTED_VALUE"""),1420)</f>
        <v>1420</v>
      </c>
      <c r="Q34" s="1">
        <f ca="1">IFERROR(__xludf.DUMMYFUNCTION("""COMPUTED_VALUE"""),976)</f>
        <v>976</v>
      </c>
      <c r="R34" s="1">
        <f ca="1">IFERROR(__xludf.DUMMYFUNCTION("""COMPUTED_VALUE"""),2090)</f>
        <v>2090</v>
      </c>
      <c r="S34" s="1">
        <f ca="1">IFERROR(__xludf.DUMMYFUNCTION("""COMPUTED_VALUE"""),0.467)</f>
        <v>0.46700000000000003</v>
      </c>
      <c r="T34" s="1">
        <f ca="1">IFERROR(__xludf.DUMMYFUNCTION("""COMPUTED_VALUE"""),300)</f>
        <v>300</v>
      </c>
      <c r="U34" s="1">
        <f ca="1">IFERROR(__xludf.DUMMYFUNCTION("""COMPUTED_VALUE"""),763)</f>
        <v>763</v>
      </c>
      <c r="V34" s="1">
        <f ca="1">IFERROR(__xludf.DUMMYFUNCTION("""COMPUTED_VALUE"""),0.393)</f>
        <v>0.39300000000000002</v>
      </c>
      <c r="W34" s="1">
        <f ca="1">IFERROR(__xludf.DUMMYFUNCTION("""COMPUTED_VALUE"""),679)</f>
        <v>679</v>
      </c>
      <c r="X34" s="1">
        <f ca="1">IFERROR(__xludf.DUMMYFUNCTION("""COMPUTED_VALUE"""),886)</f>
        <v>886</v>
      </c>
      <c r="Y34" s="1">
        <f ca="1">IFERROR(__xludf.DUMMYFUNCTION("""COMPUTED_VALUE"""),0.766)</f>
        <v>0.76600000000000001</v>
      </c>
      <c r="Z34" s="1">
        <f ca="1">IFERROR(__xludf.DUMMYFUNCTION("""COMPUTED_VALUE"""),421)</f>
        <v>421</v>
      </c>
      <c r="AA34" s="1">
        <f ca="1">IFERROR(__xludf.DUMMYFUNCTION("""COMPUTED_VALUE"""),1349)</f>
        <v>1349</v>
      </c>
      <c r="AB34" s="1">
        <f ca="1">IFERROR(__xludf.DUMMYFUNCTION("""COMPUTED_VALUE"""),594)</f>
        <v>594</v>
      </c>
      <c r="AC34" s="1">
        <f ca="1">IFERROR(__xludf.DUMMYFUNCTION("""COMPUTED_VALUE"""),257)</f>
        <v>257</v>
      </c>
      <c r="AD34" s="1">
        <f ca="1">IFERROR(__xludf.DUMMYFUNCTION("""COMPUTED_VALUE"""),103)</f>
        <v>103</v>
      </c>
      <c r="AE34" s="1">
        <f ca="1">IFERROR(__xludf.DUMMYFUNCTION("""COMPUTED_VALUE"""),417)</f>
        <v>417</v>
      </c>
      <c r="AF34" s="1">
        <f ca="1">IFERROR(__xludf.DUMMYFUNCTION("""COMPUTED_VALUE"""),721)</f>
        <v>721</v>
      </c>
    </row>
    <row r="35" spans="1:32" ht="12.5" x14ac:dyDescent="0.25">
      <c r="A35" s="1" t="str">
        <f ca="1">IFERROR(__xludf.DUMMYFUNCTION("""COMPUTED_VALUE"""),"Brown")</f>
        <v>Brown</v>
      </c>
      <c r="B35" s="1">
        <f ca="1">IFERROR(__xludf.DUMMYFUNCTION("""COMPUTED_VALUE"""),31)</f>
        <v>31</v>
      </c>
      <c r="C35" s="1">
        <f ca="1">IFERROR(__xludf.DUMMYFUNCTION("""COMPUTED_VALUE"""),13)</f>
        <v>13</v>
      </c>
      <c r="D35" s="1">
        <f ca="1">IFERROR(__xludf.DUMMYFUNCTION("""COMPUTED_VALUE"""),18)</f>
        <v>18</v>
      </c>
      <c r="E35" s="1">
        <f ca="1">IFERROR(__xludf.DUMMYFUNCTION("""COMPUTED_VALUE"""),0.419)</f>
        <v>0.41899999999999998</v>
      </c>
      <c r="F35" s="1">
        <f ca="1">IFERROR(__xludf.DUMMYFUNCTION("""COMPUTED_VALUE"""),-7.23)</f>
        <v>-7.23</v>
      </c>
      <c r="G35" s="1">
        <f ca="1">IFERROR(__xludf.DUMMYFUNCTION("""COMPUTED_VALUE"""),-1.99)</f>
        <v>-1.99</v>
      </c>
      <c r="H35" s="1">
        <f ca="1">IFERROR(__xludf.DUMMYFUNCTION("""COMPUTED_VALUE"""),4)</f>
        <v>4</v>
      </c>
      <c r="I35" s="1">
        <f ca="1">IFERROR(__xludf.DUMMYFUNCTION("""COMPUTED_VALUE"""),10)</f>
        <v>10</v>
      </c>
      <c r="J35" s="1">
        <f ca="1">IFERROR(__xludf.DUMMYFUNCTION("""COMPUTED_VALUE"""),9)</f>
        <v>9</v>
      </c>
      <c r="K35" s="1">
        <f ca="1">IFERROR(__xludf.DUMMYFUNCTION("""COMPUTED_VALUE"""),6)</f>
        <v>6</v>
      </c>
      <c r="L35" s="1">
        <f ca="1">IFERROR(__xludf.DUMMYFUNCTION("""COMPUTED_VALUE"""),3)</f>
        <v>3</v>
      </c>
      <c r="M35" s="1">
        <f ca="1">IFERROR(__xludf.DUMMYFUNCTION("""COMPUTED_VALUE"""),11)</f>
        <v>11</v>
      </c>
      <c r="N35" s="1">
        <f ca="1">IFERROR(__xludf.DUMMYFUNCTION("""COMPUTED_VALUE"""),2048)</f>
        <v>2048</v>
      </c>
      <c r="O35" s="1">
        <f ca="1">IFERROR(__xludf.DUMMYFUNCTION("""COMPUTED_VALUE"""),2144)</f>
        <v>2144</v>
      </c>
      <c r="P35" s="1">
        <f ca="1">IFERROR(__xludf.DUMMYFUNCTION("""COMPUTED_VALUE"""),1245)</f>
        <v>1245</v>
      </c>
      <c r="Q35" s="1">
        <f ca="1">IFERROR(__xludf.DUMMYFUNCTION("""COMPUTED_VALUE"""),686)</f>
        <v>686</v>
      </c>
      <c r="R35" s="1">
        <f ca="1">IFERROR(__xludf.DUMMYFUNCTION("""COMPUTED_VALUE"""),1623)</f>
        <v>1623</v>
      </c>
      <c r="S35" s="1">
        <f ca="1">IFERROR(__xludf.DUMMYFUNCTION("""COMPUTED_VALUE"""),0.423)</f>
        <v>0.42299999999999999</v>
      </c>
      <c r="T35" s="1">
        <f ca="1">IFERROR(__xludf.DUMMYFUNCTION("""COMPUTED_VALUE"""),175)</f>
        <v>175</v>
      </c>
      <c r="U35" s="1">
        <f ca="1">IFERROR(__xludf.DUMMYFUNCTION("""COMPUTED_VALUE"""),549)</f>
        <v>549</v>
      </c>
      <c r="V35" s="1">
        <f ca="1">IFERROR(__xludf.DUMMYFUNCTION("""COMPUTED_VALUE"""),0.319)</f>
        <v>0.31900000000000001</v>
      </c>
      <c r="W35" s="1">
        <f ca="1">IFERROR(__xludf.DUMMYFUNCTION("""COMPUTED_VALUE"""),501)</f>
        <v>501</v>
      </c>
      <c r="X35" s="1">
        <f ca="1">IFERROR(__xludf.DUMMYFUNCTION("""COMPUTED_VALUE"""),727)</f>
        <v>727</v>
      </c>
      <c r="Y35" s="1">
        <f ca="1">IFERROR(__xludf.DUMMYFUNCTION("""COMPUTED_VALUE"""),0.689)</f>
        <v>0.68899999999999995</v>
      </c>
      <c r="Z35" s="1">
        <f ca="1">IFERROR(__xludf.DUMMYFUNCTION("""COMPUTED_VALUE"""),324)</f>
        <v>324</v>
      </c>
      <c r="AA35" s="1">
        <f ca="1">IFERROR(__xludf.DUMMYFUNCTION("""COMPUTED_VALUE"""),1129)</f>
        <v>1129</v>
      </c>
      <c r="AB35" s="1">
        <f ca="1">IFERROR(__xludf.DUMMYFUNCTION("""COMPUTED_VALUE"""),369)</f>
        <v>369</v>
      </c>
      <c r="AC35" s="1">
        <f ca="1">IFERROR(__xludf.DUMMYFUNCTION("""COMPUTED_VALUE"""),139)</f>
        <v>139</v>
      </c>
      <c r="AD35" s="1">
        <f ca="1">IFERROR(__xludf.DUMMYFUNCTION("""COMPUTED_VALUE"""),138)</f>
        <v>138</v>
      </c>
      <c r="AE35" s="1">
        <f ca="1">IFERROR(__xludf.DUMMYFUNCTION("""COMPUTED_VALUE"""),460)</f>
        <v>460</v>
      </c>
      <c r="AF35" s="1">
        <f ca="1">IFERROR(__xludf.DUMMYFUNCTION("""COMPUTED_VALUE"""),591)</f>
        <v>591</v>
      </c>
    </row>
    <row r="36" spans="1:32" ht="12.5" x14ac:dyDescent="0.25">
      <c r="A36" s="1" t="str">
        <f ca="1">IFERROR(__xludf.DUMMYFUNCTION("""COMPUTED_VALUE"""),"Bryant")</f>
        <v>Bryant</v>
      </c>
      <c r="B36" s="1">
        <f ca="1">IFERROR(__xludf.DUMMYFUNCTION("""COMPUTED_VALUE"""),31)</f>
        <v>31</v>
      </c>
      <c r="C36" s="1">
        <f ca="1">IFERROR(__xludf.DUMMYFUNCTION("""COMPUTED_VALUE"""),16)</f>
        <v>16</v>
      </c>
      <c r="D36" s="1">
        <f ca="1">IFERROR(__xludf.DUMMYFUNCTION("""COMPUTED_VALUE"""),15)</f>
        <v>15</v>
      </c>
      <c r="E36" s="1">
        <f ca="1">IFERROR(__xludf.DUMMYFUNCTION("""COMPUTED_VALUE"""),0.516)</f>
        <v>0.51600000000000001</v>
      </c>
      <c r="F36" s="1">
        <f ca="1">IFERROR(__xludf.DUMMYFUNCTION("""COMPUTED_VALUE"""),-6.28)</f>
        <v>-6.28</v>
      </c>
      <c r="G36" s="1">
        <f ca="1">IFERROR(__xludf.DUMMYFUNCTION("""COMPUTED_VALUE"""),-4.93)</f>
        <v>-4.93</v>
      </c>
      <c r="H36" s="1">
        <f ca="1">IFERROR(__xludf.DUMMYFUNCTION("""COMPUTED_VALUE"""),12)</f>
        <v>12</v>
      </c>
      <c r="I36" s="1">
        <f ca="1">IFERROR(__xludf.DUMMYFUNCTION("""COMPUTED_VALUE"""),6)</f>
        <v>6</v>
      </c>
      <c r="J36" s="1">
        <f ca="1">IFERROR(__xludf.DUMMYFUNCTION("""COMPUTED_VALUE"""),9)</f>
        <v>9</v>
      </c>
      <c r="K36" s="1">
        <f ca="1">IFERROR(__xludf.DUMMYFUNCTION("""COMPUTED_VALUE"""),5)</f>
        <v>5</v>
      </c>
      <c r="L36" s="1">
        <f ca="1">IFERROR(__xludf.DUMMYFUNCTION("""COMPUTED_VALUE"""),7)</f>
        <v>7</v>
      </c>
      <c r="M36" s="1">
        <f ca="1">IFERROR(__xludf.DUMMYFUNCTION("""COMPUTED_VALUE"""),10)</f>
        <v>10</v>
      </c>
      <c r="N36" s="1">
        <f ca="1">IFERROR(__xludf.DUMMYFUNCTION("""COMPUTED_VALUE"""),2058)</f>
        <v>2058</v>
      </c>
      <c r="O36" s="1">
        <f ca="1">IFERROR(__xludf.DUMMYFUNCTION("""COMPUTED_VALUE"""),2100)</f>
        <v>2100</v>
      </c>
      <c r="P36" s="1">
        <f ca="1">IFERROR(__xludf.DUMMYFUNCTION("""COMPUTED_VALUE"""),1255)</f>
        <v>1255</v>
      </c>
      <c r="Q36" s="1">
        <f ca="1">IFERROR(__xludf.DUMMYFUNCTION("""COMPUTED_VALUE"""),709)</f>
        <v>709</v>
      </c>
      <c r="R36" s="1">
        <f ca="1">IFERROR(__xludf.DUMMYFUNCTION("""COMPUTED_VALUE"""),1683)</f>
        <v>1683</v>
      </c>
      <c r="S36" s="1">
        <f ca="1">IFERROR(__xludf.DUMMYFUNCTION("""COMPUTED_VALUE"""),0.421)</f>
        <v>0.42099999999999999</v>
      </c>
      <c r="T36" s="1">
        <f ca="1">IFERROR(__xludf.DUMMYFUNCTION("""COMPUTED_VALUE"""),226)</f>
        <v>226</v>
      </c>
      <c r="U36" s="1">
        <f ca="1">IFERROR(__xludf.DUMMYFUNCTION("""COMPUTED_VALUE"""),653)</f>
        <v>653</v>
      </c>
      <c r="V36" s="1">
        <f ca="1">IFERROR(__xludf.DUMMYFUNCTION("""COMPUTED_VALUE"""),0.346)</f>
        <v>0.34599999999999997</v>
      </c>
      <c r="W36" s="1">
        <f ca="1">IFERROR(__xludf.DUMMYFUNCTION("""COMPUTED_VALUE"""),414)</f>
        <v>414</v>
      </c>
      <c r="X36" s="1">
        <f ca="1">IFERROR(__xludf.DUMMYFUNCTION("""COMPUTED_VALUE"""),552)</f>
        <v>552</v>
      </c>
      <c r="Y36" s="1">
        <f ca="1">IFERROR(__xludf.DUMMYFUNCTION("""COMPUTED_VALUE"""),0.75)</f>
        <v>0.75</v>
      </c>
      <c r="Z36" s="1">
        <f ca="1">IFERROR(__xludf.DUMMYFUNCTION("""COMPUTED_VALUE"""),306)</f>
        <v>306</v>
      </c>
      <c r="AA36" s="1">
        <f ca="1">IFERROR(__xludf.DUMMYFUNCTION("""COMPUTED_VALUE"""),1029)</f>
        <v>1029</v>
      </c>
      <c r="AB36" s="1">
        <f ca="1">IFERROR(__xludf.DUMMYFUNCTION("""COMPUTED_VALUE"""),381)</f>
        <v>381</v>
      </c>
      <c r="AC36" s="1">
        <f ca="1">IFERROR(__xludf.DUMMYFUNCTION("""COMPUTED_VALUE"""),157)</f>
        <v>157</v>
      </c>
      <c r="AD36" s="1">
        <f ca="1">IFERROR(__xludf.DUMMYFUNCTION("""COMPUTED_VALUE"""),77)</f>
        <v>77</v>
      </c>
      <c r="AE36" s="1">
        <f ca="1">IFERROR(__xludf.DUMMYFUNCTION("""COMPUTED_VALUE"""),366)</f>
        <v>366</v>
      </c>
      <c r="AF36" s="1">
        <f ca="1">IFERROR(__xludf.DUMMYFUNCTION("""COMPUTED_VALUE"""),560)</f>
        <v>560</v>
      </c>
    </row>
    <row r="37" spans="1:32" ht="12.5" x14ac:dyDescent="0.25">
      <c r="A37" s="1" t="str">
        <f ca="1">IFERROR(__xludf.DUMMYFUNCTION("""COMPUTED_VALUE"""),"Bucknell")</f>
        <v>Bucknell</v>
      </c>
      <c r="B37" s="1">
        <f ca="1">IFERROR(__xludf.DUMMYFUNCTION("""COMPUTED_VALUE"""),34)</f>
        <v>34</v>
      </c>
      <c r="C37" s="1">
        <f ca="1">IFERROR(__xludf.DUMMYFUNCTION("""COMPUTED_VALUE"""),19)</f>
        <v>19</v>
      </c>
      <c r="D37" s="1">
        <f ca="1">IFERROR(__xludf.DUMMYFUNCTION("""COMPUTED_VALUE"""),15)</f>
        <v>15</v>
      </c>
      <c r="E37" s="1">
        <f ca="1">IFERROR(__xludf.DUMMYFUNCTION("""COMPUTED_VALUE"""),0.559)</f>
        <v>0.55900000000000005</v>
      </c>
      <c r="F37" s="1">
        <f ca="1">IFERROR(__xludf.DUMMYFUNCTION("""COMPUTED_VALUE"""),-3.66)</f>
        <v>-3.66</v>
      </c>
      <c r="G37" s="1">
        <f ca="1">IFERROR(__xludf.DUMMYFUNCTION("""COMPUTED_VALUE"""),-2.75)</f>
        <v>-2.75</v>
      </c>
      <c r="H37" s="1">
        <f ca="1">IFERROR(__xludf.DUMMYFUNCTION("""COMPUTED_VALUE"""),13)</f>
        <v>13</v>
      </c>
      <c r="I37" s="1">
        <f ca="1">IFERROR(__xludf.DUMMYFUNCTION("""COMPUTED_VALUE"""),5)</f>
        <v>5</v>
      </c>
      <c r="J37" s="1">
        <f ca="1">IFERROR(__xludf.DUMMYFUNCTION("""COMPUTED_VALUE"""),12)</f>
        <v>12</v>
      </c>
      <c r="K37" s="1">
        <f ca="1">IFERROR(__xludf.DUMMYFUNCTION("""COMPUTED_VALUE"""),4)</f>
        <v>4</v>
      </c>
      <c r="L37" s="1">
        <f ca="1">IFERROR(__xludf.DUMMYFUNCTION("""COMPUTED_VALUE"""),6)</f>
        <v>6</v>
      </c>
      <c r="M37" s="1">
        <f ca="1">IFERROR(__xludf.DUMMYFUNCTION("""COMPUTED_VALUE"""),11)</f>
        <v>11</v>
      </c>
      <c r="N37" s="1">
        <f ca="1">IFERROR(__xludf.DUMMYFUNCTION("""COMPUTED_VALUE"""),2339)</f>
        <v>2339</v>
      </c>
      <c r="O37" s="1">
        <f ca="1">IFERROR(__xludf.DUMMYFUNCTION("""COMPUTED_VALUE"""),2346)</f>
        <v>2346</v>
      </c>
      <c r="P37" s="1">
        <f ca="1">IFERROR(__xludf.DUMMYFUNCTION("""COMPUTED_VALUE"""),1380)</f>
        <v>1380</v>
      </c>
      <c r="Q37" s="1">
        <f ca="1">IFERROR(__xludf.DUMMYFUNCTION("""COMPUTED_VALUE"""),800)</f>
        <v>800</v>
      </c>
      <c r="R37" s="1">
        <f ca="1">IFERROR(__xludf.DUMMYFUNCTION("""COMPUTED_VALUE"""),1828)</f>
        <v>1828</v>
      </c>
      <c r="S37" s="1">
        <f ca="1">IFERROR(__xludf.DUMMYFUNCTION("""COMPUTED_VALUE"""),0.438)</f>
        <v>0.438</v>
      </c>
      <c r="T37" s="1">
        <f ca="1">IFERROR(__xludf.DUMMYFUNCTION("""COMPUTED_VALUE"""),233)</f>
        <v>233</v>
      </c>
      <c r="U37" s="1">
        <f ca="1">IFERROR(__xludf.DUMMYFUNCTION("""COMPUTED_VALUE"""),605)</f>
        <v>605</v>
      </c>
      <c r="V37" s="1">
        <f ca="1">IFERROR(__xludf.DUMMYFUNCTION("""COMPUTED_VALUE"""),0.385)</f>
        <v>0.38500000000000001</v>
      </c>
      <c r="W37" s="1">
        <f ca="1">IFERROR(__xludf.DUMMYFUNCTION("""COMPUTED_VALUE"""),506)</f>
        <v>506</v>
      </c>
      <c r="X37" s="1">
        <f ca="1">IFERROR(__xludf.DUMMYFUNCTION("""COMPUTED_VALUE"""),726)</f>
        <v>726</v>
      </c>
      <c r="Y37" s="1">
        <f ca="1">IFERROR(__xludf.DUMMYFUNCTION("""COMPUTED_VALUE"""),0.697)</f>
        <v>0.69699999999999995</v>
      </c>
      <c r="Z37" s="1">
        <f ca="1">IFERROR(__xludf.DUMMYFUNCTION("""COMPUTED_VALUE"""),340)</f>
        <v>340</v>
      </c>
      <c r="AA37" s="1">
        <f ca="1">IFERROR(__xludf.DUMMYFUNCTION("""COMPUTED_VALUE"""),1145)</f>
        <v>1145</v>
      </c>
      <c r="AB37" s="1">
        <f ca="1">IFERROR(__xludf.DUMMYFUNCTION("""COMPUTED_VALUE"""),446)</f>
        <v>446</v>
      </c>
      <c r="AC37" s="1">
        <f ca="1">IFERROR(__xludf.DUMMYFUNCTION("""COMPUTED_VALUE"""),139)</f>
        <v>139</v>
      </c>
      <c r="AD37" s="1">
        <f ca="1">IFERROR(__xludf.DUMMYFUNCTION("""COMPUTED_VALUE"""),95)</f>
        <v>95</v>
      </c>
      <c r="AE37" s="1">
        <f ca="1">IFERROR(__xludf.DUMMYFUNCTION("""COMPUTED_VALUE"""),377)</f>
        <v>377</v>
      </c>
      <c r="AF37" s="1">
        <f ca="1">IFERROR(__xludf.DUMMYFUNCTION("""COMPUTED_VALUE"""),631)</f>
        <v>631</v>
      </c>
    </row>
    <row r="38" spans="1:32" ht="12.5" x14ac:dyDescent="0.25">
      <c r="A38" s="1" t="str">
        <f ca="1">IFERROR(__xludf.DUMMYFUNCTION("""COMPUTED_VALUE"""),"BuffaloNCAA")</f>
        <v>BuffaloNCAA</v>
      </c>
      <c r="B38" s="1">
        <f ca="1">IFERROR(__xludf.DUMMYFUNCTION("""COMPUTED_VALUE"""),33)</f>
        <v>33</v>
      </c>
      <c r="C38" s="1">
        <f ca="1">IFERROR(__xludf.DUMMYFUNCTION("""COMPUTED_VALUE"""),23)</f>
        <v>23</v>
      </c>
      <c r="D38" s="1">
        <f ca="1">IFERROR(__xludf.DUMMYFUNCTION("""COMPUTED_VALUE"""),10)</f>
        <v>10</v>
      </c>
      <c r="E38" s="1">
        <f ca="1">IFERROR(__xludf.DUMMYFUNCTION("""COMPUTED_VALUE"""),0.697)</f>
        <v>0.69699999999999995</v>
      </c>
      <c r="F38" s="1">
        <f ca="1">IFERROR(__xludf.DUMMYFUNCTION("""COMPUTED_VALUE"""),7.93)</f>
        <v>7.93</v>
      </c>
      <c r="G38" s="1">
        <f ca="1">IFERROR(__xludf.DUMMYFUNCTION("""COMPUTED_VALUE"""),1.6)</f>
        <v>1.6</v>
      </c>
      <c r="H38" s="1">
        <f ca="1">IFERROR(__xludf.DUMMYFUNCTION("""COMPUTED_VALUE"""),12)</f>
        <v>12</v>
      </c>
      <c r="I38" s="1">
        <f ca="1">IFERROR(__xludf.DUMMYFUNCTION("""COMPUTED_VALUE"""),6)</f>
        <v>6</v>
      </c>
      <c r="J38" s="1">
        <f ca="1">IFERROR(__xludf.DUMMYFUNCTION("""COMPUTED_VALUE"""),11)</f>
        <v>11</v>
      </c>
      <c r="K38" s="1">
        <f ca="1">IFERROR(__xludf.DUMMYFUNCTION("""COMPUTED_VALUE"""),2)</f>
        <v>2</v>
      </c>
      <c r="L38" s="1">
        <f ca="1">IFERROR(__xludf.DUMMYFUNCTION("""COMPUTED_VALUE"""),9)</f>
        <v>9</v>
      </c>
      <c r="M38" s="1">
        <f ca="1">IFERROR(__xludf.DUMMYFUNCTION("""COMPUTED_VALUE"""),7)</f>
        <v>7</v>
      </c>
      <c r="N38" s="1">
        <f ca="1">IFERROR(__xludf.DUMMYFUNCTION("""COMPUTED_VALUE"""),2462)</f>
        <v>2462</v>
      </c>
      <c r="O38" s="1">
        <f ca="1">IFERROR(__xludf.DUMMYFUNCTION("""COMPUTED_VALUE"""),2253)</f>
        <v>2253</v>
      </c>
      <c r="P38" s="1">
        <f ca="1">IFERROR(__xludf.DUMMYFUNCTION("""COMPUTED_VALUE"""),1320)</f>
        <v>1320</v>
      </c>
      <c r="Q38" s="1">
        <f ca="1">IFERROR(__xludf.DUMMYFUNCTION("""COMPUTED_VALUE"""),837)</f>
        <v>837</v>
      </c>
      <c r="R38" s="1">
        <f ca="1">IFERROR(__xludf.DUMMYFUNCTION("""COMPUTED_VALUE"""),1922)</f>
        <v>1922</v>
      </c>
      <c r="S38" s="1">
        <f ca="1">IFERROR(__xludf.DUMMYFUNCTION("""COMPUTED_VALUE"""),0.435)</f>
        <v>0.435</v>
      </c>
      <c r="T38" s="1">
        <f ca="1">IFERROR(__xludf.DUMMYFUNCTION("""COMPUTED_VALUE"""),199)</f>
        <v>199</v>
      </c>
      <c r="U38" s="1">
        <f ca="1">IFERROR(__xludf.DUMMYFUNCTION("""COMPUTED_VALUE"""),583)</f>
        <v>583</v>
      </c>
      <c r="V38" s="1">
        <f ca="1">IFERROR(__xludf.DUMMYFUNCTION("""COMPUTED_VALUE"""),0.341)</f>
        <v>0.34100000000000003</v>
      </c>
      <c r="W38" s="1">
        <f ca="1">IFERROR(__xludf.DUMMYFUNCTION("""COMPUTED_VALUE"""),589)</f>
        <v>589</v>
      </c>
      <c r="X38" s="1">
        <f ca="1">IFERROR(__xludf.DUMMYFUNCTION("""COMPUTED_VALUE"""),819)</f>
        <v>819</v>
      </c>
      <c r="Y38" s="1">
        <f ca="1">IFERROR(__xludf.DUMMYFUNCTION("""COMPUTED_VALUE"""),0.719)</f>
        <v>0.71899999999999997</v>
      </c>
      <c r="Z38" s="1">
        <f ca="1">IFERROR(__xludf.DUMMYFUNCTION("""COMPUTED_VALUE"""),420)</f>
        <v>420</v>
      </c>
      <c r="AA38" s="1">
        <f ca="1">IFERROR(__xludf.DUMMYFUNCTION("""COMPUTED_VALUE"""),1260)</f>
        <v>1260</v>
      </c>
      <c r="AB38" s="1">
        <f ca="1">IFERROR(__xludf.DUMMYFUNCTION("""COMPUTED_VALUE"""),433)</f>
        <v>433</v>
      </c>
      <c r="AC38" s="1">
        <f ca="1">IFERROR(__xludf.DUMMYFUNCTION("""COMPUTED_VALUE"""),248)</f>
        <v>248</v>
      </c>
      <c r="AD38" s="1">
        <f ca="1">IFERROR(__xludf.DUMMYFUNCTION("""COMPUTED_VALUE"""),132)</f>
        <v>132</v>
      </c>
      <c r="AE38" s="1">
        <f ca="1">IFERROR(__xludf.DUMMYFUNCTION("""COMPUTED_VALUE"""),378)</f>
        <v>378</v>
      </c>
      <c r="AF38" s="1">
        <f ca="1">IFERROR(__xludf.DUMMYFUNCTION("""COMPUTED_VALUE"""),613)</f>
        <v>613</v>
      </c>
    </row>
    <row r="39" spans="1:32" ht="12.5" x14ac:dyDescent="0.25">
      <c r="A39" s="1" t="str">
        <f ca="1">IFERROR(__xludf.DUMMYFUNCTION("""COMPUTED_VALUE"""),"ButlerNCAA")</f>
        <v>ButlerNCAA</v>
      </c>
      <c r="B39" s="1">
        <f ca="1">IFERROR(__xludf.DUMMYFUNCTION("""COMPUTED_VALUE"""),34)</f>
        <v>34</v>
      </c>
      <c r="C39" s="1">
        <f ca="1">IFERROR(__xludf.DUMMYFUNCTION("""COMPUTED_VALUE"""),23)</f>
        <v>23</v>
      </c>
      <c r="D39" s="1">
        <f ca="1">IFERROR(__xludf.DUMMYFUNCTION("""COMPUTED_VALUE"""),11)</f>
        <v>11</v>
      </c>
      <c r="E39" s="1">
        <f ca="1">IFERROR(__xludf.DUMMYFUNCTION("""COMPUTED_VALUE"""),0.676)</f>
        <v>0.67600000000000005</v>
      </c>
      <c r="F39" s="1">
        <f ca="1">IFERROR(__xludf.DUMMYFUNCTION("""COMPUTED_VALUE"""),16.64)</f>
        <v>16.64</v>
      </c>
      <c r="G39" s="1">
        <f ca="1">IFERROR(__xludf.DUMMYFUNCTION("""COMPUTED_VALUE"""),8.62)</f>
        <v>8.6199999999999992</v>
      </c>
      <c r="H39" s="1">
        <f ca="1">IFERROR(__xludf.DUMMYFUNCTION("""COMPUTED_VALUE"""),12)</f>
        <v>12</v>
      </c>
      <c r="I39" s="1">
        <f ca="1">IFERROR(__xludf.DUMMYFUNCTION("""COMPUTED_VALUE"""),6)</f>
        <v>6</v>
      </c>
      <c r="J39" s="1">
        <f ca="1">IFERROR(__xludf.DUMMYFUNCTION("""COMPUTED_VALUE"""),13)</f>
        <v>13</v>
      </c>
      <c r="K39" s="1">
        <f ca="1">IFERROR(__xludf.DUMMYFUNCTION("""COMPUTED_VALUE"""),3)</f>
        <v>3</v>
      </c>
      <c r="L39" s="1">
        <f ca="1">IFERROR(__xludf.DUMMYFUNCTION("""COMPUTED_VALUE"""),7)</f>
        <v>7</v>
      </c>
      <c r="M39" s="1">
        <f ca="1">IFERROR(__xludf.DUMMYFUNCTION("""COMPUTED_VALUE"""),4)</f>
        <v>4</v>
      </c>
      <c r="N39" s="1">
        <f ca="1">IFERROR(__xludf.DUMMYFUNCTION("""COMPUTED_VALUE"""),2346)</f>
        <v>2346</v>
      </c>
      <c r="O39" s="1">
        <f ca="1">IFERROR(__xludf.DUMMYFUNCTION("""COMPUTED_VALUE"""),2073)</f>
        <v>2073</v>
      </c>
      <c r="P39" s="1">
        <f ca="1">IFERROR(__xludf.DUMMYFUNCTION("""COMPUTED_VALUE"""),1380)</f>
        <v>1380</v>
      </c>
      <c r="Q39" s="1">
        <f ca="1">IFERROR(__xludf.DUMMYFUNCTION("""COMPUTED_VALUE"""),814)</f>
        <v>814</v>
      </c>
      <c r="R39" s="1">
        <f ca="1">IFERROR(__xludf.DUMMYFUNCTION("""COMPUTED_VALUE"""),1882)</f>
        <v>1882</v>
      </c>
      <c r="S39" s="1">
        <f ca="1">IFERROR(__xludf.DUMMYFUNCTION("""COMPUTED_VALUE"""),0.433)</f>
        <v>0.433</v>
      </c>
      <c r="T39" s="1">
        <f ca="1">IFERROR(__xludf.DUMMYFUNCTION("""COMPUTED_VALUE"""),192)</f>
        <v>192</v>
      </c>
      <c r="U39" s="1">
        <f ca="1">IFERROR(__xludf.DUMMYFUNCTION("""COMPUTED_VALUE"""),540)</f>
        <v>540</v>
      </c>
      <c r="V39" s="1">
        <f ca="1">IFERROR(__xludf.DUMMYFUNCTION("""COMPUTED_VALUE"""),0.356)</f>
        <v>0.35599999999999998</v>
      </c>
      <c r="W39" s="1">
        <f ca="1">IFERROR(__xludf.DUMMYFUNCTION("""COMPUTED_VALUE"""),526)</f>
        <v>526</v>
      </c>
      <c r="X39" s="1">
        <f ca="1">IFERROR(__xludf.DUMMYFUNCTION("""COMPUTED_VALUE"""),767)</f>
        <v>767</v>
      </c>
      <c r="Y39" s="1">
        <f ca="1">IFERROR(__xludf.DUMMYFUNCTION("""COMPUTED_VALUE"""),0.686)</f>
        <v>0.68600000000000005</v>
      </c>
      <c r="Z39" s="1">
        <f ca="1">IFERROR(__xludf.DUMMYFUNCTION("""COMPUTED_VALUE"""),408)</f>
        <v>408</v>
      </c>
      <c r="AA39" s="1">
        <f ca="1">IFERROR(__xludf.DUMMYFUNCTION("""COMPUTED_VALUE"""),1239)</f>
        <v>1239</v>
      </c>
      <c r="AB39" s="1">
        <f ca="1">IFERROR(__xludf.DUMMYFUNCTION("""COMPUTED_VALUE"""),387)</f>
        <v>387</v>
      </c>
      <c r="AC39" s="1">
        <f ca="1">IFERROR(__xludf.DUMMYFUNCTION("""COMPUTED_VALUE"""),217)</f>
        <v>217</v>
      </c>
      <c r="AD39" s="1">
        <f ca="1">IFERROR(__xludf.DUMMYFUNCTION("""COMPUTED_VALUE"""),103)</f>
        <v>103</v>
      </c>
      <c r="AE39" s="1">
        <f ca="1">IFERROR(__xludf.DUMMYFUNCTION("""COMPUTED_VALUE"""),376)</f>
        <v>376</v>
      </c>
      <c r="AF39" s="1">
        <f ca="1">IFERROR(__xludf.DUMMYFUNCTION("""COMPUTED_VALUE"""),592)</f>
        <v>592</v>
      </c>
    </row>
    <row r="40" spans="1:32" ht="12.5" x14ac:dyDescent="0.25">
      <c r="A40" s="1" t="str">
        <f ca="1">IFERROR(__xludf.DUMMYFUNCTION("""COMPUTED_VALUE"""),"Cal Poly")</f>
        <v>Cal Poly</v>
      </c>
      <c r="B40" s="1">
        <f ca="1">IFERROR(__xludf.DUMMYFUNCTION("""COMPUTED_VALUE"""),29)</f>
        <v>29</v>
      </c>
      <c r="C40" s="1">
        <f ca="1">IFERROR(__xludf.DUMMYFUNCTION("""COMPUTED_VALUE"""),13)</f>
        <v>13</v>
      </c>
      <c r="D40" s="1">
        <f ca="1">IFERROR(__xludf.DUMMYFUNCTION("""COMPUTED_VALUE"""),16)</f>
        <v>16</v>
      </c>
      <c r="E40" s="1">
        <f ca="1">IFERROR(__xludf.DUMMYFUNCTION("""COMPUTED_VALUE"""),0.448)</f>
        <v>0.44800000000000001</v>
      </c>
      <c r="F40" s="1">
        <f ca="1">IFERROR(__xludf.DUMMYFUNCTION("""COMPUTED_VALUE"""),-0.57)</f>
        <v>-0.56999999999999995</v>
      </c>
      <c r="G40" s="1">
        <f ca="1">IFERROR(__xludf.DUMMYFUNCTION("""COMPUTED_VALUE"""),0.43)</f>
        <v>0.43</v>
      </c>
      <c r="H40" s="1">
        <f ca="1">IFERROR(__xludf.DUMMYFUNCTION("""COMPUTED_VALUE"""),6)</f>
        <v>6</v>
      </c>
      <c r="I40" s="1">
        <f ca="1">IFERROR(__xludf.DUMMYFUNCTION("""COMPUTED_VALUE"""),10)</f>
        <v>10</v>
      </c>
      <c r="J40" s="1">
        <f ca="1">IFERROR(__xludf.DUMMYFUNCTION("""COMPUTED_VALUE"""),7)</f>
        <v>7</v>
      </c>
      <c r="K40" s="1">
        <f ca="1">IFERROR(__xludf.DUMMYFUNCTION("""COMPUTED_VALUE"""),4)</f>
        <v>4</v>
      </c>
      <c r="L40" s="1">
        <f ca="1">IFERROR(__xludf.DUMMYFUNCTION("""COMPUTED_VALUE"""),5)</f>
        <v>5</v>
      </c>
      <c r="M40" s="1">
        <f ca="1">IFERROR(__xludf.DUMMYFUNCTION("""COMPUTED_VALUE"""),10)</f>
        <v>10</v>
      </c>
      <c r="N40" s="1">
        <f ca="1">IFERROR(__xludf.DUMMYFUNCTION("""COMPUTED_VALUE"""),1752)</f>
        <v>1752</v>
      </c>
      <c r="O40" s="1">
        <f ca="1">IFERROR(__xludf.DUMMYFUNCTION("""COMPUTED_VALUE"""),1721)</f>
        <v>1721</v>
      </c>
      <c r="P40" s="1">
        <f ca="1">IFERROR(__xludf.DUMMYFUNCTION("""COMPUTED_VALUE"""),1170)</f>
        <v>1170</v>
      </c>
      <c r="Q40" s="1">
        <f ca="1">IFERROR(__xludf.DUMMYFUNCTION("""COMPUTED_VALUE"""),620)</f>
        <v>620</v>
      </c>
      <c r="R40" s="1">
        <f ca="1">IFERROR(__xludf.DUMMYFUNCTION("""COMPUTED_VALUE"""),1589)</f>
        <v>1589</v>
      </c>
      <c r="S40" s="1">
        <f ca="1">IFERROR(__xludf.DUMMYFUNCTION("""COMPUTED_VALUE"""),0.39)</f>
        <v>0.39</v>
      </c>
      <c r="T40" s="1">
        <f ca="1">IFERROR(__xludf.DUMMYFUNCTION("""COMPUTED_VALUE"""),166)</f>
        <v>166</v>
      </c>
      <c r="U40" s="1">
        <f ca="1">IFERROR(__xludf.DUMMYFUNCTION("""COMPUTED_VALUE"""),533)</f>
        <v>533</v>
      </c>
      <c r="V40" s="1">
        <f ca="1">IFERROR(__xludf.DUMMYFUNCTION("""COMPUTED_VALUE"""),0.311)</f>
        <v>0.311</v>
      </c>
      <c r="W40" s="1">
        <f ca="1">IFERROR(__xludf.DUMMYFUNCTION("""COMPUTED_VALUE"""),346)</f>
        <v>346</v>
      </c>
      <c r="X40" s="1">
        <f ca="1">IFERROR(__xludf.DUMMYFUNCTION("""COMPUTED_VALUE"""),506)</f>
        <v>506</v>
      </c>
      <c r="Y40" s="1">
        <f ca="1">IFERROR(__xludf.DUMMYFUNCTION("""COMPUTED_VALUE"""),0.684)</f>
        <v>0.68400000000000005</v>
      </c>
      <c r="Z40" s="1">
        <f ca="1">IFERROR(__xludf.DUMMYFUNCTION("""COMPUTED_VALUE"""),342)</f>
        <v>342</v>
      </c>
      <c r="AA40" s="1">
        <f ca="1">IFERROR(__xludf.DUMMYFUNCTION("""COMPUTED_VALUE"""),1002)</f>
        <v>1002</v>
      </c>
      <c r="AB40" s="1">
        <f ca="1">IFERROR(__xludf.DUMMYFUNCTION("""COMPUTED_VALUE"""),295)</f>
        <v>295</v>
      </c>
      <c r="AC40" s="1">
        <f ca="1">IFERROR(__xludf.DUMMYFUNCTION("""COMPUTED_VALUE"""),158)</f>
        <v>158</v>
      </c>
      <c r="AD40" s="1">
        <f ca="1">IFERROR(__xludf.DUMMYFUNCTION("""COMPUTED_VALUE"""),87)</f>
        <v>87</v>
      </c>
      <c r="AE40" s="1">
        <f ca="1">IFERROR(__xludf.DUMMYFUNCTION("""COMPUTED_VALUE"""),255)</f>
        <v>255</v>
      </c>
      <c r="AF40" s="1">
        <f ca="1">IFERROR(__xludf.DUMMYFUNCTION("""COMPUTED_VALUE"""),465)</f>
        <v>465</v>
      </c>
    </row>
    <row r="41" spans="1:32" ht="12.5" x14ac:dyDescent="0.25">
      <c r="A41" s="1" t="str">
        <f ca="1">IFERROR(__xludf.DUMMYFUNCTION("""COMPUTED_VALUE"""),"Cal State Bakersfield")</f>
        <v>Cal State Bakersfield</v>
      </c>
      <c r="B41" s="1">
        <f ca="1">IFERROR(__xludf.DUMMYFUNCTION("""COMPUTED_VALUE"""),33)</f>
        <v>33</v>
      </c>
      <c r="C41" s="1">
        <f ca="1">IFERROR(__xludf.DUMMYFUNCTION("""COMPUTED_VALUE"""),14)</f>
        <v>14</v>
      </c>
      <c r="D41" s="1">
        <f ca="1">IFERROR(__xludf.DUMMYFUNCTION("""COMPUTED_VALUE"""),19)</f>
        <v>19</v>
      </c>
      <c r="E41" s="1">
        <f ca="1">IFERROR(__xludf.DUMMYFUNCTION("""COMPUTED_VALUE"""),0.424)</f>
        <v>0.42399999999999999</v>
      </c>
      <c r="F41" s="1">
        <f ca="1">IFERROR(__xludf.DUMMYFUNCTION("""COMPUTED_VALUE"""),-6.4)</f>
        <v>-6.4</v>
      </c>
      <c r="G41" s="1">
        <f ca="1">IFERROR(__xludf.DUMMYFUNCTION("""COMPUTED_VALUE"""),-5.8)</f>
        <v>-5.8</v>
      </c>
      <c r="H41" s="1">
        <f ca="1">IFERROR(__xludf.DUMMYFUNCTION("""COMPUTED_VALUE"""),7)</f>
        <v>7</v>
      </c>
      <c r="I41" s="1">
        <f ca="1">IFERROR(__xludf.DUMMYFUNCTION("""COMPUTED_VALUE"""),7)</f>
        <v>7</v>
      </c>
      <c r="J41" s="1">
        <f ca="1">IFERROR(__xludf.DUMMYFUNCTION("""COMPUTED_VALUE"""),9)</f>
        <v>9</v>
      </c>
      <c r="K41" s="1">
        <f ca="1">IFERROR(__xludf.DUMMYFUNCTION("""COMPUTED_VALUE"""),5)</f>
        <v>5</v>
      </c>
      <c r="L41" s="1">
        <f ca="1">IFERROR(__xludf.DUMMYFUNCTION("""COMPUTED_VALUE"""),3)</f>
        <v>3</v>
      </c>
      <c r="M41" s="1">
        <f ca="1">IFERROR(__xludf.DUMMYFUNCTION("""COMPUTED_VALUE"""),10)</f>
        <v>10</v>
      </c>
      <c r="N41" s="1">
        <f ca="1">IFERROR(__xludf.DUMMYFUNCTION("""COMPUTED_VALUE"""),2100)</f>
        <v>2100</v>
      </c>
      <c r="O41" s="1">
        <f ca="1">IFERROR(__xludf.DUMMYFUNCTION("""COMPUTED_VALUE"""),2028)</f>
        <v>2028</v>
      </c>
      <c r="P41" s="1">
        <f ca="1">IFERROR(__xludf.DUMMYFUNCTION("""COMPUTED_VALUE"""),1345)</f>
        <v>1345</v>
      </c>
      <c r="Q41" s="1">
        <f ca="1">IFERROR(__xludf.DUMMYFUNCTION("""COMPUTED_VALUE"""),715)</f>
        <v>715</v>
      </c>
      <c r="R41" s="1">
        <f ca="1">IFERROR(__xludf.DUMMYFUNCTION("""COMPUTED_VALUE"""),1703)</f>
        <v>1703</v>
      </c>
      <c r="S41" s="1">
        <f ca="1">IFERROR(__xludf.DUMMYFUNCTION("""COMPUTED_VALUE"""),0.42)</f>
        <v>0.42</v>
      </c>
      <c r="T41" s="1">
        <f ca="1">IFERROR(__xludf.DUMMYFUNCTION("""COMPUTED_VALUE"""),186)</f>
        <v>186</v>
      </c>
      <c r="U41" s="1">
        <f ca="1">IFERROR(__xludf.DUMMYFUNCTION("""COMPUTED_VALUE"""),554)</f>
        <v>554</v>
      </c>
      <c r="V41" s="1">
        <f ca="1">IFERROR(__xludf.DUMMYFUNCTION("""COMPUTED_VALUE"""),0.336)</f>
        <v>0.33600000000000002</v>
      </c>
      <c r="W41" s="1">
        <f ca="1">IFERROR(__xludf.DUMMYFUNCTION("""COMPUTED_VALUE"""),484)</f>
        <v>484</v>
      </c>
      <c r="X41" s="1">
        <f ca="1">IFERROR(__xludf.DUMMYFUNCTION("""COMPUTED_VALUE"""),669)</f>
        <v>669</v>
      </c>
      <c r="Y41" s="1">
        <f ca="1">IFERROR(__xludf.DUMMYFUNCTION("""COMPUTED_VALUE"""),0.723)</f>
        <v>0.72299999999999998</v>
      </c>
      <c r="Z41" s="1">
        <f ca="1">IFERROR(__xludf.DUMMYFUNCTION("""COMPUTED_VALUE"""),368)</f>
        <v>368</v>
      </c>
      <c r="AA41" s="1">
        <f ca="1">IFERROR(__xludf.DUMMYFUNCTION("""COMPUTED_VALUE"""),1143)</f>
        <v>1143</v>
      </c>
      <c r="AB41" s="1">
        <f ca="1">IFERROR(__xludf.DUMMYFUNCTION("""COMPUTED_VALUE"""),427)</f>
        <v>427</v>
      </c>
      <c r="AC41" s="1">
        <f ca="1">IFERROR(__xludf.DUMMYFUNCTION("""COMPUTED_VALUE"""),190)</f>
        <v>190</v>
      </c>
      <c r="AD41" s="1">
        <f ca="1">IFERROR(__xludf.DUMMYFUNCTION("""COMPUTED_VALUE"""),59)</f>
        <v>59</v>
      </c>
      <c r="AE41" s="1">
        <f ca="1">IFERROR(__xludf.DUMMYFUNCTION("""COMPUTED_VALUE"""),409)</f>
        <v>409</v>
      </c>
      <c r="AF41" s="1">
        <f ca="1">IFERROR(__xludf.DUMMYFUNCTION("""COMPUTED_VALUE"""),673)</f>
        <v>673</v>
      </c>
    </row>
    <row r="42" spans="1:32" ht="12.5" x14ac:dyDescent="0.25">
      <c r="A42" s="1" t="str">
        <f ca="1">IFERROR(__xludf.DUMMYFUNCTION("""COMPUTED_VALUE"""),"Cal State Fullerton")</f>
        <v>Cal State Fullerton</v>
      </c>
      <c r="B42" s="1">
        <f ca="1">IFERROR(__xludf.DUMMYFUNCTION("""COMPUTED_VALUE"""),31)</f>
        <v>31</v>
      </c>
      <c r="C42" s="1">
        <f ca="1">IFERROR(__xludf.DUMMYFUNCTION("""COMPUTED_VALUE"""),9)</f>
        <v>9</v>
      </c>
      <c r="D42" s="1">
        <f ca="1">IFERROR(__xludf.DUMMYFUNCTION("""COMPUTED_VALUE"""),22)</f>
        <v>22</v>
      </c>
      <c r="E42" s="1">
        <f ca="1">IFERROR(__xludf.DUMMYFUNCTION("""COMPUTED_VALUE"""),0.29)</f>
        <v>0.28999999999999998</v>
      </c>
      <c r="F42" s="1">
        <f ca="1">IFERROR(__xludf.DUMMYFUNCTION("""COMPUTED_VALUE"""),-8.58)</f>
        <v>-8.58</v>
      </c>
      <c r="G42" s="1">
        <f ca="1">IFERROR(__xludf.DUMMYFUNCTION("""COMPUTED_VALUE"""),-1.06)</f>
        <v>-1.06</v>
      </c>
      <c r="H42" s="1">
        <f ca="1">IFERROR(__xludf.DUMMYFUNCTION("""COMPUTED_VALUE"""),1)</f>
        <v>1</v>
      </c>
      <c r="I42" s="1">
        <f ca="1">IFERROR(__xludf.DUMMYFUNCTION("""COMPUTED_VALUE"""),15)</f>
        <v>15</v>
      </c>
      <c r="J42" s="1">
        <f ca="1">IFERROR(__xludf.DUMMYFUNCTION("""COMPUTED_VALUE"""),6)</f>
        <v>6</v>
      </c>
      <c r="K42" s="1">
        <f ca="1">IFERROR(__xludf.DUMMYFUNCTION("""COMPUTED_VALUE"""),9)</f>
        <v>9</v>
      </c>
      <c r="L42" s="1">
        <f ca="1">IFERROR(__xludf.DUMMYFUNCTION("""COMPUTED_VALUE"""),1)</f>
        <v>1</v>
      </c>
      <c r="M42" s="1">
        <f ca="1">IFERROR(__xludf.DUMMYFUNCTION("""COMPUTED_VALUE"""),13)</f>
        <v>13</v>
      </c>
      <c r="N42" s="1">
        <f ca="1">IFERROR(__xludf.DUMMYFUNCTION("""COMPUTED_VALUE"""),1991)</f>
        <v>1991</v>
      </c>
      <c r="O42" s="1">
        <f ca="1">IFERROR(__xludf.DUMMYFUNCTION("""COMPUTED_VALUE"""),2155)</f>
        <v>2155</v>
      </c>
      <c r="P42" s="1">
        <f ca="1">IFERROR(__xludf.DUMMYFUNCTION("""COMPUTED_VALUE"""),1255)</f>
        <v>1255</v>
      </c>
      <c r="Q42" s="1">
        <f ca="1">IFERROR(__xludf.DUMMYFUNCTION("""COMPUTED_VALUE"""),698)</f>
        <v>698</v>
      </c>
      <c r="R42" s="1">
        <f ca="1">IFERROR(__xludf.DUMMYFUNCTION("""COMPUTED_VALUE"""),1695)</f>
        <v>1695</v>
      </c>
      <c r="S42" s="1">
        <f ca="1">IFERROR(__xludf.DUMMYFUNCTION("""COMPUTED_VALUE"""),0.412)</f>
        <v>0.41199999999999998</v>
      </c>
      <c r="T42" s="1">
        <f ca="1">IFERROR(__xludf.DUMMYFUNCTION("""COMPUTED_VALUE"""),167)</f>
        <v>167</v>
      </c>
      <c r="U42" s="1">
        <f ca="1">IFERROR(__xludf.DUMMYFUNCTION("""COMPUTED_VALUE"""),523)</f>
        <v>523</v>
      </c>
      <c r="V42" s="1">
        <f ca="1">IFERROR(__xludf.DUMMYFUNCTION("""COMPUTED_VALUE"""),0.319)</f>
        <v>0.31900000000000001</v>
      </c>
      <c r="W42" s="1">
        <f ca="1">IFERROR(__xludf.DUMMYFUNCTION("""COMPUTED_VALUE"""),428)</f>
        <v>428</v>
      </c>
      <c r="X42" s="1">
        <f ca="1">IFERROR(__xludf.DUMMYFUNCTION("""COMPUTED_VALUE"""),623)</f>
        <v>623</v>
      </c>
      <c r="Y42" s="1">
        <f ca="1">IFERROR(__xludf.DUMMYFUNCTION("""COMPUTED_VALUE"""),0.687)</f>
        <v>0.68700000000000006</v>
      </c>
      <c r="Z42" s="1">
        <f ca="1">IFERROR(__xludf.DUMMYFUNCTION("""COMPUTED_VALUE"""),323)</f>
        <v>323</v>
      </c>
      <c r="AA42" s="1">
        <f ca="1">IFERROR(__xludf.DUMMYFUNCTION("""COMPUTED_VALUE"""),1088)</f>
        <v>1088</v>
      </c>
      <c r="AB42" s="1">
        <f ca="1">IFERROR(__xludf.DUMMYFUNCTION("""COMPUTED_VALUE"""),305)</f>
        <v>305</v>
      </c>
      <c r="AC42" s="1">
        <f ca="1">IFERROR(__xludf.DUMMYFUNCTION("""COMPUTED_VALUE"""),156)</f>
        <v>156</v>
      </c>
      <c r="AD42" s="1">
        <f ca="1">IFERROR(__xludf.DUMMYFUNCTION("""COMPUTED_VALUE"""),62)</f>
        <v>62</v>
      </c>
      <c r="AE42" s="1">
        <f ca="1">IFERROR(__xludf.DUMMYFUNCTION("""COMPUTED_VALUE"""),391)</f>
        <v>391</v>
      </c>
      <c r="AF42" s="1">
        <f ca="1">IFERROR(__xludf.DUMMYFUNCTION("""COMPUTED_VALUE"""),566)</f>
        <v>566</v>
      </c>
    </row>
    <row r="43" spans="1:32" ht="12.5" x14ac:dyDescent="0.25">
      <c r="A43" s="1" t="str">
        <f ca="1">IFERROR(__xludf.DUMMYFUNCTION("""COMPUTED_VALUE"""),"Cal State Northridge")</f>
        <v>Cal State Northridge</v>
      </c>
      <c r="B43" s="1">
        <f ca="1">IFERROR(__xludf.DUMMYFUNCTION("""COMPUTED_VALUE"""),33)</f>
        <v>33</v>
      </c>
      <c r="C43" s="1">
        <f ca="1">IFERROR(__xludf.DUMMYFUNCTION("""COMPUTED_VALUE"""),9)</f>
        <v>9</v>
      </c>
      <c r="D43" s="1">
        <f ca="1">IFERROR(__xludf.DUMMYFUNCTION("""COMPUTED_VALUE"""),24)</f>
        <v>24</v>
      </c>
      <c r="E43" s="1">
        <f ca="1">IFERROR(__xludf.DUMMYFUNCTION("""COMPUTED_VALUE"""),0.273)</f>
        <v>0.27300000000000002</v>
      </c>
      <c r="F43" s="1">
        <f ca="1">IFERROR(__xludf.DUMMYFUNCTION("""COMPUTED_VALUE"""),-6.61)</f>
        <v>-6.61</v>
      </c>
      <c r="G43" s="1">
        <f ca="1">IFERROR(__xludf.DUMMYFUNCTION("""COMPUTED_VALUE"""),0.39)</f>
        <v>0.39</v>
      </c>
      <c r="H43" s="1">
        <f ca="1">IFERROR(__xludf.DUMMYFUNCTION("""COMPUTED_VALUE"""),4)</f>
        <v>4</v>
      </c>
      <c r="I43" s="1">
        <f ca="1">IFERROR(__xludf.DUMMYFUNCTION("""COMPUTED_VALUE"""),12)</f>
        <v>12</v>
      </c>
      <c r="J43" s="1">
        <f ca="1">IFERROR(__xludf.DUMMYFUNCTION("""COMPUTED_VALUE"""),7)</f>
        <v>7</v>
      </c>
      <c r="K43" s="1">
        <f ca="1">IFERROR(__xludf.DUMMYFUNCTION("""COMPUTED_VALUE"""),9)</f>
        <v>9</v>
      </c>
      <c r="L43" s="1">
        <f ca="1">IFERROR(__xludf.DUMMYFUNCTION("""COMPUTED_VALUE"""),1)</f>
        <v>1</v>
      </c>
      <c r="M43" s="1">
        <f ca="1">IFERROR(__xludf.DUMMYFUNCTION("""COMPUTED_VALUE"""),14)</f>
        <v>14</v>
      </c>
      <c r="N43" s="1">
        <f ca="1">IFERROR(__xludf.DUMMYFUNCTION("""COMPUTED_VALUE"""),2148)</f>
        <v>2148</v>
      </c>
      <c r="O43" s="1">
        <f ca="1">IFERROR(__xludf.DUMMYFUNCTION("""COMPUTED_VALUE"""),2325)</f>
        <v>2325</v>
      </c>
      <c r="P43" s="1">
        <f ca="1">IFERROR(__xludf.DUMMYFUNCTION("""COMPUTED_VALUE"""),1330)</f>
        <v>1330</v>
      </c>
      <c r="Q43" s="1">
        <f ca="1">IFERROR(__xludf.DUMMYFUNCTION("""COMPUTED_VALUE"""),740)</f>
        <v>740</v>
      </c>
      <c r="R43" s="1">
        <f ca="1">IFERROR(__xludf.DUMMYFUNCTION("""COMPUTED_VALUE"""),1742)</f>
        <v>1742</v>
      </c>
      <c r="S43" s="1">
        <f ca="1">IFERROR(__xludf.DUMMYFUNCTION("""COMPUTED_VALUE"""),0.425)</f>
        <v>0.42499999999999999</v>
      </c>
      <c r="T43" s="1">
        <f ca="1">IFERROR(__xludf.DUMMYFUNCTION("""COMPUTED_VALUE"""),110)</f>
        <v>110</v>
      </c>
      <c r="U43" s="1">
        <f ca="1">IFERROR(__xludf.DUMMYFUNCTION("""COMPUTED_VALUE"""),337)</f>
        <v>337</v>
      </c>
      <c r="V43" s="1">
        <f ca="1">IFERROR(__xludf.DUMMYFUNCTION("""COMPUTED_VALUE"""),0.326)</f>
        <v>0.32600000000000001</v>
      </c>
      <c r="W43" s="1">
        <f ca="1">IFERROR(__xludf.DUMMYFUNCTION("""COMPUTED_VALUE"""),558)</f>
        <v>558</v>
      </c>
      <c r="X43" s="1">
        <f ca="1">IFERROR(__xludf.DUMMYFUNCTION("""COMPUTED_VALUE"""),729)</f>
        <v>729</v>
      </c>
      <c r="Y43" s="1">
        <f ca="1">IFERROR(__xludf.DUMMYFUNCTION("""COMPUTED_VALUE"""),0.765)</f>
        <v>0.76500000000000001</v>
      </c>
      <c r="Z43" s="1">
        <f ca="1">IFERROR(__xludf.DUMMYFUNCTION("""COMPUTED_VALUE"""),325)</f>
        <v>325</v>
      </c>
      <c r="AA43" s="1">
        <f ca="1">IFERROR(__xludf.DUMMYFUNCTION("""COMPUTED_VALUE"""),1133)</f>
        <v>1133</v>
      </c>
      <c r="AB43" s="1">
        <f ca="1">IFERROR(__xludf.DUMMYFUNCTION("""COMPUTED_VALUE"""),443)</f>
        <v>443</v>
      </c>
      <c r="AC43" s="1">
        <f ca="1">IFERROR(__xludf.DUMMYFUNCTION("""COMPUTED_VALUE"""),180)</f>
        <v>180</v>
      </c>
      <c r="AD43" s="1">
        <f ca="1">IFERROR(__xludf.DUMMYFUNCTION("""COMPUTED_VALUE"""),125)</f>
        <v>125</v>
      </c>
      <c r="AE43" s="1">
        <f ca="1">IFERROR(__xludf.DUMMYFUNCTION("""COMPUTED_VALUE"""),435)</f>
        <v>435</v>
      </c>
      <c r="AF43" s="1">
        <f ca="1">IFERROR(__xludf.DUMMYFUNCTION("""COMPUTED_VALUE"""),597)</f>
        <v>597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IFERROR(__xludf.DUMMYFUNCTION("""COMPUTED_VALUE"""),"UC-Davis")</f>
        <v>UC-Davis</v>
      </c>
      <c r="B46" s="1">
        <f ca="1">IFERROR(__xludf.DUMMYFUNCTION("""COMPUTED_VALUE"""),32)</f>
        <v>32</v>
      </c>
      <c r="C46" s="1">
        <f ca="1">IFERROR(__xludf.DUMMYFUNCTION("""COMPUTED_VALUE"""),25)</f>
        <v>25</v>
      </c>
      <c r="D46" s="1">
        <f ca="1">IFERROR(__xludf.DUMMYFUNCTION("""COMPUTED_VALUE"""),7)</f>
        <v>7</v>
      </c>
      <c r="E46" s="1">
        <f ca="1">IFERROR(__xludf.DUMMYFUNCTION("""COMPUTED_VALUE"""),0.781)</f>
        <v>0.78100000000000003</v>
      </c>
      <c r="F46" s="1">
        <f ca="1">IFERROR(__xludf.DUMMYFUNCTION("""COMPUTED_VALUE"""),2.19)</f>
        <v>2.19</v>
      </c>
      <c r="G46" s="1">
        <f ca="1">IFERROR(__xludf.DUMMYFUNCTION("""COMPUTED_VALUE"""),-2.58)</f>
        <v>-2.58</v>
      </c>
      <c r="H46" s="1">
        <f ca="1">IFERROR(__xludf.DUMMYFUNCTION("""COMPUTED_VALUE"""),14)</f>
        <v>14</v>
      </c>
      <c r="I46" s="1">
        <f ca="1">IFERROR(__xludf.DUMMYFUNCTION("""COMPUTED_VALUE"""),2)</f>
        <v>2</v>
      </c>
      <c r="J46" s="1">
        <f ca="1">IFERROR(__xludf.DUMMYFUNCTION("""COMPUTED_VALUE"""),14)</f>
        <v>14</v>
      </c>
      <c r="K46" s="1">
        <f ca="1">IFERROR(__xludf.DUMMYFUNCTION("""COMPUTED_VALUE"""),0)</f>
        <v>0</v>
      </c>
      <c r="L46" s="1">
        <f ca="1">IFERROR(__xludf.DUMMYFUNCTION("""COMPUTED_VALUE"""),10)</f>
        <v>10</v>
      </c>
      <c r="M46" s="1">
        <f ca="1">IFERROR(__xludf.DUMMYFUNCTION("""COMPUTED_VALUE"""),6)</f>
        <v>6</v>
      </c>
      <c r="N46" s="1">
        <f ca="1">IFERROR(__xludf.DUMMYFUNCTION("""COMPUTED_VALUE"""),2263)</f>
        <v>2263</v>
      </c>
      <c r="O46" s="1">
        <f ca="1">IFERROR(__xludf.DUMMYFUNCTION("""COMPUTED_VALUE"""),2068)</f>
        <v>2068</v>
      </c>
      <c r="P46" s="1">
        <f ca="1">IFERROR(__xludf.DUMMYFUNCTION("""COMPUTED_VALUE"""),1295)</f>
        <v>1295</v>
      </c>
      <c r="Q46" s="1">
        <f ca="1">IFERROR(__xludf.DUMMYFUNCTION("""COMPUTED_VALUE"""),775)</f>
        <v>775</v>
      </c>
      <c r="R46" s="1">
        <f ca="1">IFERROR(__xludf.DUMMYFUNCTION("""COMPUTED_VALUE"""),1583)</f>
        <v>1583</v>
      </c>
      <c r="S46" s="1">
        <f ca="1">IFERROR(__xludf.DUMMYFUNCTION("""COMPUTED_VALUE"""),0.49)</f>
        <v>0.49</v>
      </c>
      <c r="T46" s="1">
        <f ca="1">IFERROR(__xludf.DUMMYFUNCTION("""COMPUTED_VALUE"""),274)</f>
        <v>274</v>
      </c>
      <c r="U46" s="1">
        <f ca="1">IFERROR(__xludf.DUMMYFUNCTION("""COMPUTED_VALUE"""),613)</f>
        <v>613</v>
      </c>
      <c r="V46" s="1">
        <f ca="1">IFERROR(__xludf.DUMMYFUNCTION("""COMPUTED_VALUE"""),0.447)</f>
        <v>0.44700000000000001</v>
      </c>
      <c r="W46" s="1">
        <f ca="1">IFERROR(__xludf.DUMMYFUNCTION("""COMPUTED_VALUE"""),439)</f>
        <v>439</v>
      </c>
      <c r="X46" s="1">
        <f ca="1">IFERROR(__xludf.DUMMYFUNCTION("""COMPUTED_VALUE"""),598)</f>
        <v>598</v>
      </c>
      <c r="Y46" s="1">
        <f ca="1">IFERROR(__xludf.DUMMYFUNCTION("""COMPUTED_VALUE"""),0.734)</f>
        <v>0.73399999999999999</v>
      </c>
      <c r="Z46" s="1">
        <f ca="1">IFERROR(__xludf.DUMMYFUNCTION("""COMPUTED_VALUE"""),255)</f>
        <v>255</v>
      </c>
      <c r="AA46" s="1">
        <f ca="1">IFERROR(__xludf.DUMMYFUNCTION("""COMPUTED_VALUE"""),995)</f>
        <v>995</v>
      </c>
      <c r="AB46" s="1">
        <f ca="1">IFERROR(__xludf.DUMMYFUNCTION("""COMPUTED_VALUE"""),425)</f>
        <v>425</v>
      </c>
      <c r="AC46" s="1">
        <f ca="1">IFERROR(__xludf.DUMMYFUNCTION("""COMPUTED_VALUE"""),165)</f>
        <v>165</v>
      </c>
      <c r="AD46" s="1">
        <f ca="1">IFERROR(__xludf.DUMMYFUNCTION("""COMPUTED_VALUE"""),63)</f>
        <v>63</v>
      </c>
      <c r="AE46" s="1">
        <f ca="1">IFERROR(__xludf.DUMMYFUNCTION("""COMPUTED_VALUE"""),427)</f>
        <v>427</v>
      </c>
      <c r="AF46" s="1">
        <f ca="1">IFERROR(__xludf.DUMMYFUNCTION("""COMPUTED_VALUE"""),563)</f>
        <v>563</v>
      </c>
    </row>
    <row r="47" spans="1:32" ht="12.5" x14ac:dyDescent="0.25">
      <c r="A47" s="1" t="str">
        <f ca="1">IFERROR(__xludf.DUMMYFUNCTION("""COMPUTED_VALUE"""),"UC-IrvineNCAA")</f>
        <v>UC-IrvineNCAA</v>
      </c>
      <c r="B47" s="1">
        <f ca="1">IFERROR(__xludf.DUMMYFUNCTION("""COMPUTED_VALUE"""),34)</f>
        <v>34</v>
      </c>
      <c r="C47" s="1">
        <f ca="1">IFERROR(__xludf.DUMMYFUNCTION("""COMPUTED_VALUE"""),21)</f>
        <v>21</v>
      </c>
      <c r="D47" s="1">
        <f ca="1">IFERROR(__xludf.DUMMYFUNCTION("""COMPUTED_VALUE"""),13)</f>
        <v>13</v>
      </c>
      <c r="E47" s="1">
        <f ca="1">IFERROR(__xludf.DUMMYFUNCTION("""COMPUTED_VALUE"""),0.618)</f>
        <v>0.61799999999999999</v>
      </c>
      <c r="F47" s="1">
        <f ca="1">IFERROR(__xludf.DUMMYFUNCTION("""COMPUTED_VALUE"""),3.63)</f>
        <v>3.63</v>
      </c>
      <c r="G47" s="1">
        <f ca="1">IFERROR(__xludf.DUMMYFUNCTION("""COMPUTED_VALUE"""),0.45)</f>
        <v>0.45</v>
      </c>
      <c r="H47" s="1">
        <f ca="1">IFERROR(__xludf.DUMMYFUNCTION("""COMPUTED_VALUE"""),11)</f>
        <v>11</v>
      </c>
      <c r="I47" s="1">
        <f ca="1">IFERROR(__xludf.DUMMYFUNCTION("""COMPUTED_VALUE"""),5)</f>
        <v>5</v>
      </c>
      <c r="J47" s="1">
        <f ca="1">IFERROR(__xludf.DUMMYFUNCTION("""COMPUTED_VALUE"""),10)</f>
        <v>10</v>
      </c>
      <c r="K47" s="1">
        <f ca="1">IFERROR(__xludf.DUMMYFUNCTION("""COMPUTED_VALUE"""),3)</f>
        <v>3</v>
      </c>
      <c r="L47" s="1">
        <f ca="1">IFERROR(__xludf.DUMMYFUNCTION("""COMPUTED_VALUE"""),6)</f>
        <v>6</v>
      </c>
      <c r="M47" s="1">
        <f ca="1">IFERROR(__xludf.DUMMYFUNCTION("""COMPUTED_VALUE"""),9)</f>
        <v>9</v>
      </c>
      <c r="N47" s="1">
        <f ca="1">IFERROR(__xludf.DUMMYFUNCTION("""COMPUTED_VALUE"""),2295)</f>
        <v>2295</v>
      </c>
      <c r="O47" s="1">
        <f ca="1">IFERROR(__xludf.DUMMYFUNCTION("""COMPUTED_VALUE"""),2113)</f>
        <v>2113</v>
      </c>
      <c r="P47" s="1">
        <f ca="1">IFERROR(__xludf.DUMMYFUNCTION("""COMPUTED_VALUE"""),1370)</f>
        <v>1370</v>
      </c>
      <c r="Q47" s="1">
        <f ca="1">IFERROR(__xludf.DUMMYFUNCTION("""COMPUTED_VALUE"""),854)</f>
        <v>854</v>
      </c>
      <c r="R47" s="1">
        <f ca="1">IFERROR(__xludf.DUMMYFUNCTION("""COMPUTED_VALUE"""),1851)</f>
        <v>1851</v>
      </c>
      <c r="S47" s="1">
        <f ca="1">IFERROR(__xludf.DUMMYFUNCTION("""COMPUTED_VALUE"""),0.461)</f>
        <v>0.46100000000000002</v>
      </c>
      <c r="T47" s="1">
        <f ca="1">IFERROR(__xludf.DUMMYFUNCTION("""COMPUTED_VALUE"""),217)</f>
        <v>217</v>
      </c>
      <c r="U47" s="1">
        <f ca="1">IFERROR(__xludf.DUMMYFUNCTION("""COMPUTED_VALUE"""),558)</f>
        <v>558</v>
      </c>
      <c r="V47" s="1">
        <f ca="1">IFERROR(__xludf.DUMMYFUNCTION("""COMPUTED_VALUE"""),0.389)</f>
        <v>0.38900000000000001</v>
      </c>
      <c r="W47" s="1">
        <f ca="1">IFERROR(__xludf.DUMMYFUNCTION("""COMPUTED_VALUE"""),370)</f>
        <v>370</v>
      </c>
      <c r="X47" s="1">
        <f ca="1">IFERROR(__xludf.DUMMYFUNCTION("""COMPUTED_VALUE"""),541)</f>
        <v>541</v>
      </c>
      <c r="Y47" s="1">
        <f ca="1">IFERROR(__xludf.DUMMYFUNCTION("""COMPUTED_VALUE"""),0.684)</f>
        <v>0.68400000000000005</v>
      </c>
      <c r="Z47" s="1">
        <f ca="1">IFERROR(__xludf.DUMMYFUNCTION("""COMPUTED_VALUE"""),329)</f>
        <v>329</v>
      </c>
      <c r="AA47" s="1">
        <f ca="1">IFERROR(__xludf.DUMMYFUNCTION("""COMPUTED_VALUE"""),1198)</f>
        <v>1198</v>
      </c>
      <c r="AB47" s="1">
        <f ca="1">IFERROR(__xludf.DUMMYFUNCTION("""COMPUTED_VALUE"""),480)</f>
        <v>480</v>
      </c>
      <c r="AC47" s="1">
        <f ca="1">IFERROR(__xludf.DUMMYFUNCTION("""COMPUTED_VALUE"""),194)</f>
        <v>194</v>
      </c>
      <c r="AD47" s="1">
        <f ca="1">IFERROR(__xludf.DUMMYFUNCTION("""COMPUTED_VALUE"""),168)</f>
        <v>168</v>
      </c>
      <c r="AE47" s="1">
        <f ca="1">IFERROR(__xludf.DUMMYFUNCTION("""COMPUTED_VALUE"""),396)</f>
        <v>396</v>
      </c>
      <c r="AF47" s="1">
        <f ca="1">IFERROR(__xludf.DUMMYFUNCTION("""COMPUTED_VALUE"""),578)</f>
        <v>578</v>
      </c>
    </row>
    <row r="48" spans="1:32" ht="12.5" x14ac:dyDescent="0.25">
      <c r="A48" s="1" t="str">
        <f ca="1">IFERROR(__xludf.DUMMYFUNCTION("""COMPUTED_VALUE"""),"UC-Riverside")</f>
        <v>UC-Riverside</v>
      </c>
      <c r="B48" s="1">
        <f ca="1">IFERROR(__xludf.DUMMYFUNCTION("""COMPUTED_VALUE"""),31)</f>
        <v>31</v>
      </c>
      <c r="C48" s="1">
        <f ca="1">IFERROR(__xludf.DUMMYFUNCTION("""COMPUTED_VALUE"""),14)</f>
        <v>14</v>
      </c>
      <c r="D48" s="1">
        <f ca="1">IFERROR(__xludf.DUMMYFUNCTION("""COMPUTED_VALUE"""),17)</f>
        <v>17</v>
      </c>
      <c r="E48" s="1">
        <f ca="1">IFERROR(__xludf.DUMMYFUNCTION("""COMPUTED_VALUE"""),0.452)</f>
        <v>0.45200000000000001</v>
      </c>
      <c r="F48" s="1">
        <f ca="1">IFERROR(__xludf.DUMMYFUNCTION("""COMPUTED_VALUE"""),-4.65)</f>
        <v>-4.6500000000000004</v>
      </c>
      <c r="G48" s="1">
        <f ca="1">IFERROR(__xludf.DUMMYFUNCTION("""COMPUTED_VALUE"""),-1.16)</f>
        <v>-1.1599999999999999</v>
      </c>
      <c r="H48" s="1">
        <f ca="1">IFERROR(__xludf.DUMMYFUNCTION("""COMPUTED_VALUE"""),7)</f>
        <v>7</v>
      </c>
      <c r="I48" s="1">
        <f ca="1">IFERROR(__xludf.DUMMYFUNCTION("""COMPUTED_VALUE"""),9)</f>
        <v>9</v>
      </c>
      <c r="J48" s="1">
        <f ca="1">IFERROR(__xludf.DUMMYFUNCTION("""COMPUTED_VALUE"""),12)</f>
        <v>12</v>
      </c>
      <c r="K48" s="1">
        <f ca="1">IFERROR(__xludf.DUMMYFUNCTION("""COMPUTED_VALUE"""),3)</f>
        <v>3</v>
      </c>
      <c r="L48" s="1">
        <f ca="1">IFERROR(__xludf.DUMMYFUNCTION("""COMPUTED_VALUE"""),2)</f>
        <v>2</v>
      </c>
      <c r="M48" s="1">
        <f ca="1">IFERROR(__xludf.DUMMYFUNCTION("""COMPUTED_VALUE"""),13)</f>
        <v>13</v>
      </c>
      <c r="N48" s="1">
        <f ca="1">IFERROR(__xludf.DUMMYFUNCTION("""COMPUTED_VALUE"""),2025)</f>
        <v>2025</v>
      </c>
      <c r="O48" s="1">
        <f ca="1">IFERROR(__xludf.DUMMYFUNCTION("""COMPUTED_VALUE"""),2050)</f>
        <v>2050</v>
      </c>
      <c r="P48" s="1">
        <f ca="1">IFERROR(__xludf.DUMMYFUNCTION("""COMPUTED_VALUE"""),1255)</f>
        <v>1255</v>
      </c>
      <c r="Q48" s="1">
        <f ca="1">IFERROR(__xludf.DUMMYFUNCTION("""COMPUTED_VALUE"""),707)</f>
        <v>707</v>
      </c>
      <c r="R48" s="1">
        <f ca="1">IFERROR(__xludf.DUMMYFUNCTION("""COMPUTED_VALUE"""),1691)</f>
        <v>1691</v>
      </c>
      <c r="S48" s="1">
        <f ca="1">IFERROR(__xludf.DUMMYFUNCTION("""COMPUTED_VALUE"""),0.418)</f>
        <v>0.41799999999999998</v>
      </c>
      <c r="T48" s="1">
        <f ca="1">IFERROR(__xludf.DUMMYFUNCTION("""COMPUTED_VALUE"""),207)</f>
        <v>207</v>
      </c>
      <c r="U48" s="1">
        <f ca="1">IFERROR(__xludf.DUMMYFUNCTION("""COMPUTED_VALUE"""),603)</f>
        <v>603</v>
      </c>
      <c r="V48" s="1">
        <f ca="1">IFERROR(__xludf.DUMMYFUNCTION("""COMPUTED_VALUE"""),0.343)</f>
        <v>0.34300000000000003</v>
      </c>
      <c r="W48" s="1">
        <f ca="1">IFERROR(__xludf.DUMMYFUNCTION("""COMPUTED_VALUE"""),404)</f>
        <v>404</v>
      </c>
      <c r="X48" s="1">
        <f ca="1">IFERROR(__xludf.DUMMYFUNCTION("""COMPUTED_VALUE"""),592)</f>
        <v>592</v>
      </c>
      <c r="Y48" s="1">
        <f ca="1">IFERROR(__xludf.DUMMYFUNCTION("""COMPUTED_VALUE"""),0.682)</f>
        <v>0.68200000000000005</v>
      </c>
      <c r="Z48" s="1">
        <f ca="1">IFERROR(__xludf.DUMMYFUNCTION("""COMPUTED_VALUE"""),337)</f>
        <v>337</v>
      </c>
      <c r="AA48" s="1">
        <f ca="1">IFERROR(__xludf.DUMMYFUNCTION("""COMPUTED_VALUE"""),1080)</f>
        <v>1080</v>
      </c>
      <c r="AB48" s="1">
        <f ca="1">IFERROR(__xludf.DUMMYFUNCTION("""COMPUTED_VALUE"""),399)</f>
        <v>399</v>
      </c>
      <c r="AC48" s="1">
        <f ca="1">IFERROR(__xludf.DUMMYFUNCTION("""COMPUTED_VALUE"""),208)</f>
        <v>208</v>
      </c>
      <c r="AD48" s="1">
        <f ca="1">IFERROR(__xludf.DUMMYFUNCTION("""COMPUTED_VALUE"""),111)</f>
        <v>111</v>
      </c>
      <c r="AE48" s="1">
        <f ca="1">IFERROR(__xludf.DUMMYFUNCTION("""COMPUTED_VALUE"""),413)</f>
        <v>413</v>
      </c>
      <c r="AF48" s="1">
        <f ca="1">IFERROR(__xludf.DUMMYFUNCTION("""COMPUTED_VALUE"""),626)</f>
        <v>626</v>
      </c>
    </row>
    <row r="49" spans="1:32" ht="12.5" x14ac:dyDescent="0.25">
      <c r="A49" s="1" t="str">
        <f ca="1">IFERROR(__xludf.DUMMYFUNCTION("""COMPUTED_VALUE"""),"UC-Santa Barbara")</f>
        <v>UC-Santa Barbara</v>
      </c>
      <c r="B49" s="1">
        <f ca="1">IFERROR(__xludf.DUMMYFUNCTION("""COMPUTED_VALUE"""),33)</f>
        <v>33</v>
      </c>
      <c r="C49" s="1">
        <f ca="1">IFERROR(__xludf.DUMMYFUNCTION("""COMPUTED_VALUE"""),19)</f>
        <v>19</v>
      </c>
      <c r="D49" s="1">
        <f ca="1">IFERROR(__xludf.DUMMYFUNCTION("""COMPUTED_VALUE"""),14)</f>
        <v>14</v>
      </c>
      <c r="E49" s="1">
        <f ca="1">IFERROR(__xludf.DUMMYFUNCTION("""COMPUTED_VALUE"""),0.576)</f>
        <v>0.57599999999999996</v>
      </c>
      <c r="F49" s="1">
        <f ca="1">IFERROR(__xludf.DUMMYFUNCTION("""COMPUTED_VALUE"""),3.47)</f>
        <v>3.47</v>
      </c>
      <c r="G49" s="1">
        <f ca="1">IFERROR(__xludf.DUMMYFUNCTION("""COMPUTED_VALUE"""),0.98)</f>
        <v>0.98</v>
      </c>
      <c r="H49" s="1">
        <f ca="1">IFERROR(__xludf.DUMMYFUNCTION("""COMPUTED_VALUE"""),11)</f>
        <v>11</v>
      </c>
      <c r="I49" s="1">
        <f ca="1">IFERROR(__xludf.DUMMYFUNCTION("""COMPUTED_VALUE"""),5)</f>
        <v>5</v>
      </c>
      <c r="J49" s="1">
        <f ca="1">IFERROR(__xludf.DUMMYFUNCTION("""COMPUTED_VALUE"""),12)</f>
        <v>12</v>
      </c>
      <c r="K49" s="1">
        <f ca="1">IFERROR(__xludf.DUMMYFUNCTION("""COMPUTED_VALUE"""),2)</f>
        <v>2</v>
      </c>
      <c r="L49" s="1">
        <f ca="1">IFERROR(__xludf.DUMMYFUNCTION("""COMPUTED_VALUE"""),4)</f>
        <v>4</v>
      </c>
      <c r="M49" s="1">
        <f ca="1">IFERROR(__xludf.DUMMYFUNCTION("""COMPUTED_VALUE"""),10)</f>
        <v>10</v>
      </c>
      <c r="N49" s="1">
        <f ca="1">IFERROR(__xludf.DUMMYFUNCTION("""COMPUTED_VALUE"""),2258)</f>
        <v>2258</v>
      </c>
      <c r="O49" s="1">
        <f ca="1">IFERROR(__xludf.DUMMYFUNCTION("""COMPUTED_VALUE"""),2112)</f>
        <v>2112</v>
      </c>
      <c r="P49" s="1">
        <f ca="1">IFERROR(__xludf.DUMMYFUNCTION("""COMPUTED_VALUE"""),1345)</f>
        <v>1345</v>
      </c>
      <c r="Q49" s="1">
        <f ca="1">IFERROR(__xludf.DUMMYFUNCTION("""COMPUTED_VALUE"""),806)</f>
        <v>806</v>
      </c>
      <c r="R49" s="1">
        <f ca="1">IFERROR(__xludf.DUMMYFUNCTION("""COMPUTED_VALUE"""),1836)</f>
        <v>1836</v>
      </c>
      <c r="S49" s="1">
        <f ca="1">IFERROR(__xludf.DUMMYFUNCTION("""COMPUTED_VALUE"""),0.439)</f>
        <v>0.439</v>
      </c>
      <c r="T49" s="1">
        <f ca="1">IFERROR(__xludf.DUMMYFUNCTION("""COMPUTED_VALUE"""),225)</f>
        <v>225</v>
      </c>
      <c r="U49" s="1">
        <f ca="1">IFERROR(__xludf.DUMMYFUNCTION("""COMPUTED_VALUE"""),602)</f>
        <v>602</v>
      </c>
      <c r="V49" s="1">
        <f ca="1">IFERROR(__xludf.DUMMYFUNCTION("""COMPUTED_VALUE"""),0.374)</f>
        <v>0.374</v>
      </c>
      <c r="W49" s="1">
        <f ca="1">IFERROR(__xludf.DUMMYFUNCTION("""COMPUTED_VALUE"""),421)</f>
        <v>421</v>
      </c>
      <c r="X49" s="1">
        <f ca="1">IFERROR(__xludf.DUMMYFUNCTION("""COMPUTED_VALUE"""),572)</f>
        <v>572</v>
      </c>
      <c r="Y49" s="1">
        <f ca="1">IFERROR(__xludf.DUMMYFUNCTION("""COMPUTED_VALUE"""),0.736)</f>
        <v>0.73599999999999999</v>
      </c>
      <c r="Z49" s="1">
        <f ca="1">IFERROR(__xludf.DUMMYFUNCTION("""COMPUTED_VALUE"""),352)</f>
        <v>352</v>
      </c>
      <c r="AA49" s="1">
        <f ca="1">IFERROR(__xludf.DUMMYFUNCTION("""COMPUTED_VALUE"""),1134)</f>
        <v>1134</v>
      </c>
      <c r="AB49" s="1">
        <f ca="1">IFERROR(__xludf.DUMMYFUNCTION("""COMPUTED_VALUE"""),503)</f>
        <v>503</v>
      </c>
      <c r="AC49" s="1">
        <f ca="1">IFERROR(__xludf.DUMMYFUNCTION("""COMPUTED_VALUE"""),171)</f>
        <v>171</v>
      </c>
      <c r="AD49" s="1">
        <f ca="1">IFERROR(__xludf.DUMMYFUNCTION("""COMPUTED_VALUE"""),118)</f>
        <v>118</v>
      </c>
      <c r="AE49" s="1">
        <f ca="1">IFERROR(__xludf.DUMMYFUNCTION("""COMPUTED_VALUE"""),360)</f>
        <v>360</v>
      </c>
      <c r="AF49" s="1">
        <f ca="1">IFERROR(__xludf.DUMMYFUNCTION("""COMPUTED_VALUE"""),619)</f>
        <v>619</v>
      </c>
    </row>
    <row r="50" spans="1:32" ht="12.5" x14ac:dyDescent="0.25">
      <c r="A50" s="1" t="str">
        <f ca="1">IFERROR(__xludf.DUMMYFUNCTION("""COMPUTED_VALUE"""),"University of California")</f>
        <v>University of California</v>
      </c>
      <c r="B50" s="1">
        <f ca="1">IFERROR(__xludf.DUMMYFUNCTION("""COMPUTED_VALUE"""),33)</f>
        <v>33</v>
      </c>
      <c r="C50" s="1">
        <f ca="1">IFERROR(__xludf.DUMMYFUNCTION("""COMPUTED_VALUE"""),18)</f>
        <v>18</v>
      </c>
      <c r="D50" s="1">
        <f ca="1">IFERROR(__xludf.DUMMYFUNCTION("""COMPUTED_VALUE"""),15)</f>
        <v>15</v>
      </c>
      <c r="E50" s="1">
        <f ca="1">IFERROR(__xludf.DUMMYFUNCTION("""COMPUTED_VALUE"""),0.545)</f>
        <v>0.54500000000000004</v>
      </c>
      <c r="F50" s="1">
        <f ca="1">IFERROR(__xludf.DUMMYFUNCTION("""COMPUTED_VALUE"""),5.36)</f>
        <v>5.36</v>
      </c>
      <c r="G50" s="1">
        <f ca="1">IFERROR(__xludf.DUMMYFUNCTION("""COMPUTED_VALUE"""),6.15)</f>
        <v>6.15</v>
      </c>
      <c r="H50" s="1">
        <f ca="1">IFERROR(__xludf.DUMMYFUNCTION("""COMPUTED_VALUE"""),7)</f>
        <v>7</v>
      </c>
      <c r="I50" s="1">
        <f ca="1">IFERROR(__xludf.DUMMYFUNCTION("""COMPUTED_VALUE"""),11)</f>
        <v>11</v>
      </c>
      <c r="J50" s="1">
        <f ca="1">IFERROR(__xludf.DUMMYFUNCTION("""COMPUTED_VALUE"""),11)</f>
        <v>11</v>
      </c>
      <c r="K50" s="1">
        <f ca="1">IFERROR(__xludf.DUMMYFUNCTION("""COMPUTED_VALUE"""),7)</f>
        <v>7</v>
      </c>
      <c r="L50" s="1">
        <f ca="1">IFERROR(__xludf.DUMMYFUNCTION("""COMPUTED_VALUE"""),5)</f>
        <v>5</v>
      </c>
      <c r="M50" s="1">
        <f ca="1">IFERROR(__xludf.DUMMYFUNCTION("""COMPUTED_VALUE"""),6)</f>
        <v>6</v>
      </c>
      <c r="N50" s="1">
        <f ca="1">IFERROR(__xludf.DUMMYFUNCTION("""COMPUTED_VALUE"""),2195)</f>
        <v>2195</v>
      </c>
      <c r="O50" s="1">
        <f ca="1">IFERROR(__xludf.DUMMYFUNCTION("""COMPUTED_VALUE"""),2221)</f>
        <v>2221</v>
      </c>
      <c r="P50" s="1">
        <f ca="1">IFERROR(__xludf.DUMMYFUNCTION("""COMPUTED_VALUE"""),1330)</f>
        <v>1330</v>
      </c>
      <c r="Q50" s="1">
        <f ca="1">IFERROR(__xludf.DUMMYFUNCTION("""COMPUTED_VALUE"""),821)</f>
        <v>821</v>
      </c>
      <c r="R50" s="1">
        <f ca="1">IFERROR(__xludf.DUMMYFUNCTION("""COMPUTED_VALUE"""),1868)</f>
        <v>1868</v>
      </c>
      <c r="S50" s="1">
        <f ca="1">IFERROR(__xludf.DUMMYFUNCTION("""COMPUTED_VALUE"""),0.44)</f>
        <v>0.44</v>
      </c>
      <c r="T50" s="1">
        <f ca="1">IFERROR(__xludf.DUMMYFUNCTION("""COMPUTED_VALUE"""),185)</f>
        <v>185</v>
      </c>
      <c r="U50" s="1">
        <f ca="1">IFERROR(__xludf.DUMMYFUNCTION("""COMPUTED_VALUE"""),515)</f>
        <v>515</v>
      </c>
      <c r="V50" s="1">
        <f ca="1">IFERROR(__xludf.DUMMYFUNCTION("""COMPUTED_VALUE"""),0.359)</f>
        <v>0.35899999999999999</v>
      </c>
      <c r="W50" s="1">
        <f ca="1">IFERROR(__xludf.DUMMYFUNCTION("""COMPUTED_VALUE"""),368)</f>
        <v>368</v>
      </c>
      <c r="X50" s="1">
        <f ca="1">IFERROR(__xludf.DUMMYFUNCTION("""COMPUTED_VALUE"""),567)</f>
        <v>567</v>
      </c>
      <c r="Y50" s="1">
        <f ca="1">IFERROR(__xludf.DUMMYFUNCTION("""COMPUTED_VALUE"""),0.649)</f>
        <v>0.64900000000000002</v>
      </c>
      <c r="Z50" s="1">
        <f ca="1">IFERROR(__xludf.DUMMYFUNCTION("""COMPUTED_VALUE"""),299)</f>
        <v>299</v>
      </c>
      <c r="AA50" s="1">
        <f ca="1">IFERROR(__xludf.DUMMYFUNCTION("""COMPUTED_VALUE"""),1170)</f>
        <v>1170</v>
      </c>
      <c r="AB50" s="1">
        <f ca="1">IFERROR(__xludf.DUMMYFUNCTION("""COMPUTED_VALUE"""),412)</f>
        <v>412</v>
      </c>
      <c r="AC50" s="1">
        <f ca="1">IFERROR(__xludf.DUMMYFUNCTION("""COMPUTED_VALUE"""),137)</f>
        <v>137</v>
      </c>
      <c r="AD50" s="1">
        <f ca="1">IFERROR(__xludf.DUMMYFUNCTION("""COMPUTED_VALUE"""),127)</f>
        <v>127</v>
      </c>
      <c r="AE50" s="1">
        <f ca="1">IFERROR(__xludf.DUMMYFUNCTION("""COMPUTED_VALUE"""),365)</f>
        <v>365</v>
      </c>
      <c r="AF50" s="1">
        <f ca="1">IFERROR(__xludf.DUMMYFUNCTION("""COMPUTED_VALUE"""),627)</f>
        <v>627</v>
      </c>
    </row>
    <row r="51" spans="1:32" ht="12.5" x14ac:dyDescent="0.25">
      <c r="A51" s="1" t="str">
        <f ca="1">IFERROR(__xludf.DUMMYFUNCTION("""COMPUTED_VALUE"""),"Campbell")</f>
        <v>Campbell</v>
      </c>
      <c r="B51" s="1">
        <f ca="1">IFERROR(__xludf.DUMMYFUNCTION("""COMPUTED_VALUE"""),32)</f>
        <v>32</v>
      </c>
      <c r="C51" s="1">
        <f ca="1">IFERROR(__xludf.DUMMYFUNCTION("""COMPUTED_VALUE"""),10)</f>
        <v>10</v>
      </c>
      <c r="D51" s="1">
        <f ca="1">IFERROR(__xludf.DUMMYFUNCTION("""COMPUTED_VALUE"""),22)</f>
        <v>22</v>
      </c>
      <c r="E51" s="1">
        <f ca="1">IFERROR(__xludf.DUMMYFUNCTION("""COMPUTED_VALUE"""),0.313)</f>
        <v>0.313</v>
      </c>
      <c r="F51" s="1">
        <f ca="1">IFERROR(__xludf.DUMMYFUNCTION("""COMPUTED_VALUE"""),-11.13)</f>
        <v>-11.13</v>
      </c>
      <c r="G51" s="1">
        <f ca="1">IFERROR(__xludf.DUMMYFUNCTION("""COMPUTED_VALUE"""),-5.3)</f>
        <v>-5.3</v>
      </c>
      <c r="H51" s="1">
        <f ca="1">IFERROR(__xludf.DUMMYFUNCTION("""COMPUTED_VALUE"""),4)</f>
        <v>4</v>
      </c>
      <c r="I51" s="1">
        <f ca="1">IFERROR(__xludf.DUMMYFUNCTION("""COMPUTED_VALUE"""),14)</f>
        <v>14</v>
      </c>
      <c r="J51" s="1">
        <f ca="1">IFERROR(__xludf.DUMMYFUNCTION("""COMPUTED_VALUE"""),9)</f>
        <v>9</v>
      </c>
      <c r="K51" s="1">
        <f ca="1">IFERROR(__xludf.DUMMYFUNCTION("""COMPUTED_VALUE"""),6)</f>
        <v>6</v>
      </c>
      <c r="L51" s="1">
        <f ca="1">IFERROR(__xludf.DUMMYFUNCTION("""COMPUTED_VALUE"""),1)</f>
        <v>1</v>
      </c>
      <c r="M51" s="1">
        <f ca="1">IFERROR(__xludf.DUMMYFUNCTION("""COMPUTED_VALUE"""),15)</f>
        <v>15</v>
      </c>
      <c r="N51" s="1">
        <f ca="1">IFERROR(__xludf.DUMMYFUNCTION("""COMPUTED_VALUE"""),2045)</f>
        <v>2045</v>
      </c>
      <c r="O51" s="1">
        <f ca="1">IFERROR(__xludf.DUMMYFUNCTION("""COMPUTED_VALUE"""),2124)</f>
        <v>2124</v>
      </c>
      <c r="P51" s="1">
        <f ca="1">IFERROR(__xludf.DUMMYFUNCTION("""COMPUTED_VALUE"""),1285)</f>
        <v>1285</v>
      </c>
      <c r="Q51" s="1">
        <f ca="1">IFERROR(__xludf.DUMMYFUNCTION("""COMPUTED_VALUE"""),705)</f>
        <v>705</v>
      </c>
      <c r="R51" s="1">
        <f ca="1">IFERROR(__xludf.DUMMYFUNCTION("""COMPUTED_VALUE"""),1654)</f>
        <v>1654</v>
      </c>
      <c r="S51" s="1">
        <f ca="1">IFERROR(__xludf.DUMMYFUNCTION("""COMPUTED_VALUE"""),0.426)</f>
        <v>0.42599999999999999</v>
      </c>
      <c r="T51" s="1">
        <f ca="1">IFERROR(__xludf.DUMMYFUNCTION("""COMPUTED_VALUE"""),262)</f>
        <v>262</v>
      </c>
      <c r="U51" s="1">
        <f ca="1">IFERROR(__xludf.DUMMYFUNCTION("""COMPUTED_VALUE"""),736)</f>
        <v>736</v>
      </c>
      <c r="V51" s="1">
        <f ca="1">IFERROR(__xludf.DUMMYFUNCTION("""COMPUTED_VALUE"""),0.356)</f>
        <v>0.35599999999999998</v>
      </c>
      <c r="W51" s="1">
        <f ca="1">IFERROR(__xludf.DUMMYFUNCTION("""COMPUTED_VALUE"""),373)</f>
        <v>373</v>
      </c>
      <c r="X51" s="1">
        <f ca="1">IFERROR(__xludf.DUMMYFUNCTION("""COMPUTED_VALUE"""),597)</f>
        <v>597</v>
      </c>
      <c r="Y51" s="1">
        <f ca="1">IFERROR(__xludf.DUMMYFUNCTION("""COMPUTED_VALUE"""),0.625)</f>
        <v>0.625</v>
      </c>
      <c r="Z51" s="1">
        <f ca="1">IFERROR(__xludf.DUMMYFUNCTION("""COMPUTED_VALUE"""),305)</f>
        <v>305</v>
      </c>
      <c r="AA51" s="1">
        <f ca="1">IFERROR(__xludf.DUMMYFUNCTION("""COMPUTED_VALUE"""),988)</f>
        <v>988</v>
      </c>
      <c r="AB51" s="1">
        <f ca="1">IFERROR(__xludf.DUMMYFUNCTION("""COMPUTED_VALUE"""),419)</f>
        <v>419</v>
      </c>
      <c r="AC51" s="1">
        <f ca="1">IFERROR(__xludf.DUMMYFUNCTION("""COMPUTED_VALUE"""),226)</f>
        <v>226</v>
      </c>
      <c r="AD51" s="1">
        <f ca="1">IFERROR(__xludf.DUMMYFUNCTION("""COMPUTED_VALUE"""),92)</f>
        <v>92</v>
      </c>
      <c r="AE51" s="1">
        <f ca="1">IFERROR(__xludf.DUMMYFUNCTION("""COMPUTED_VALUE"""),403)</f>
        <v>403</v>
      </c>
      <c r="AF51" s="1">
        <f ca="1">IFERROR(__xludf.DUMMYFUNCTION("""COMPUTED_VALUE"""),576)</f>
        <v>576</v>
      </c>
    </row>
    <row r="52" spans="1:32" ht="12.5" x14ac:dyDescent="0.25">
      <c r="A52" s="1" t="str">
        <f ca="1">IFERROR(__xludf.DUMMYFUNCTION("""COMPUTED_VALUE"""),"Canisius")</f>
        <v>Canisius</v>
      </c>
      <c r="B52" s="1">
        <f ca="1">IFERROR(__xludf.DUMMYFUNCTION("""COMPUTED_VALUE"""),33)</f>
        <v>33</v>
      </c>
      <c r="C52" s="1">
        <f ca="1">IFERROR(__xludf.DUMMYFUNCTION("""COMPUTED_VALUE"""),18)</f>
        <v>18</v>
      </c>
      <c r="D52" s="1">
        <f ca="1">IFERROR(__xludf.DUMMYFUNCTION("""COMPUTED_VALUE"""),15)</f>
        <v>15</v>
      </c>
      <c r="E52" s="1">
        <f ca="1">IFERROR(__xludf.DUMMYFUNCTION("""COMPUTED_VALUE"""),0.545)</f>
        <v>0.54500000000000004</v>
      </c>
      <c r="F52" s="1">
        <f ca="1">IFERROR(__xludf.DUMMYFUNCTION("""COMPUTED_VALUE"""),-0.04)</f>
        <v>-0.04</v>
      </c>
      <c r="G52" s="1">
        <f ca="1">IFERROR(__xludf.DUMMYFUNCTION("""COMPUTED_VALUE"""),-2.79)</f>
        <v>-2.79</v>
      </c>
      <c r="H52" s="1">
        <f ca="1">IFERROR(__xludf.DUMMYFUNCTION("""COMPUTED_VALUE"""),11)</f>
        <v>11</v>
      </c>
      <c r="I52" s="1">
        <f ca="1">IFERROR(__xludf.DUMMYFUNCTION("""COMPUTED_VALUE"""),9)</f>
        <v>9</v>
      </c>
      <c r="J52" s="1">
        <f ca="1">IFERROR(__xludf.DUMMYFUNCTION("""COMPUTED_VALUE"""),10)</f>
        <v>10</v>
      </c>
      <c r="K52" s="1">
        <f ca="1">IFERROR(__xludf.DUMMYFUNCTION("""COMPUTED_VALUE"""),5)</f>
        <v>5</v>
      </c>
      <c r="L52" s="1">
        <f ca="1">IFERROR(__xludf.DUMMYFUNCTION("""COMPUTED_VALUE"""),8)</f>
        <v>8</v>
      </c>
      <c r="M52" s="1">
        <f ca="1">IFERROR(__xludf.DUMMYFUNCTION("""COMPUTED_VALUE"""),8)</f>
        <v>8</v>
      </c>
      <c r="N52" s="1">
        <f ca="1">IFERROR(__xludf.DUMMYFUNCTION("""COMPUTED_VALUE"""),2168)</f>
        <v>2168</v>
      </c>
      <c r="O52" s="1">
        <f ca="1">IFERROR(__xludf.DUMMYFUNCTION("""COMPUTED_VALUE"""),2077)</f>
        <v>2077</v>
      </c>
      <c r="P52" s="1">
        <f ca="1">IFERROR(__xludf.DUMMYFUNCTION("""COMPUTED_VALUE"""),1330)</f>
        <v>1330</v>
      </c>
      <c r="Q52" s="1">
        <f ca="1">IFERROR(__xludf.DUMMYFUNCTION("""COMPUTED_VALUE"""),762)</f>
        <v>762</v>
      </c>
      <c r="R52" s="1">
        <f ca="1">IFERROR(__xludf.DUMMYFUNCTION("""COMPUTED_VALUE"""),1864)</f>
        <v>1864</v>
      </c>
      <c r="S52" s="1">
        <f ca="1">IFERROR(__xludf.DUMMYFUNCTION("""COMPUTED_VALUE"""),0.409)</f>
        <v>0.40899999999999997</v>
      </c>
      <c r="T52" s="1">
        <f ca="1">IFERROR(__xludf.DUMMYFUNCTION("""COMPUTED_VALUE"""),215)</f>
        <v>215</v>
      </c>
      <c r="U52" s="1">
        <f ca="1">IFERROR(__xludf.DUMMYFUNCTION("""COMPUTED_VALUE"""),677)</f>
        <v>677</v>
      </c>
      <c r="V52" s="1">
        <f ca="1">IFERROR(__xludf.DUMMYFUNCTION("""COMPUTED_VALUE"""),0.318)</f>
        <v>0.318</v>
      </c>
      <c r="W52" s="1">
        <f ca="1">IFERROR(__xludf.DUMMYFUNCTION("""COMPUTED_VALUE"""),429)</f>
        <v>429</v>
      </c>
      <c r="X52" s="1">
        <f ca="1">IFERROR(__xludf.DUMMYFUNCTION("""COMPUTED_VALUE"""),596)</f>
        <v>596</v>
      </c>
      <c r="Y52" s="1">
        <f ca="1">IFERROR(__xludf.DUMMYFUNCTION("""COMPUTED_VALUE"""),0.72)</f>
        <v>0.72</v>
      </c>
      <c r="Z52" s="1">
        <f ca="1">IFERROR(__xludf.DUMMYFUNCTION("""COMPUTED_VALUE"""),401)</f>
        <v>401</v>
      </c>
      <c r="AA52" s="1">
        <f ca="1">IFERROR(__xludf.DUMMYFUNCTION("""COMPUTED_VALUE"""),1157)</f>
        <v>1157</v>
      </c>
      <c r="AB52" s="1">
        <f ca="1">IFERROR(__xludf.DUMMYFUNCTION("""COMPUTED_VALUE"""),465)</f>
        <v>465</v>
      </c>
      <c r="AC52" s="1">
        <f ca="1">IFERROR(__xludf.DUMMYFUNCTION("""COMPUTED_VALUE"""),223)</f>
        <v>223</v>
      </c>
      <c r="AD52" s="1">
        <f ca="1">IFERROR(__xludf.DUMMYFUNCTION("""COMPUTED_VALUE"""),108)</f>
        <v>108</v>
      </c>
      <c r="AE52" s="1">
        <f ca="1">IFERROR(__xludf.DUMMYFUNCTION("""COMPUTED_VALUE"""),393)</f>
        <v>393</v>
      </c>
      <c r="AF52" s="1">
        <f ca="1">IFERROR(__xludf.DUMMYFUNCTION("""COMPUTED_VALUE"""),608)</f>
        <v>608</v>
      </c>
    </row>
    <row r="53" spans="1:32" ht="12.5" x14ac:dyDescent="0.25">
      <c r="A53" s="1" t="str">
        <f ca="1">IFERROR(__xludf.DUMMYFUNCTION("""COMPUTED_VALUE"""),"Central Arkansas")</f>
        <v>Central Arkansas</v>
      </c>
      <c r="B53" s="1">
        <f ca="1">IFERROR(__xludf.DUMMYFUNCTION("""COMPUTED_VALUE"""),29)</f>
        <v>29</v>
      </c>
      <c r="C53" s="1">
        <f ca="1">IFERROR(__xludf.DUMMYFUNCTION("""COMPUTED_VALUE"""),2)</f>
        <v>2</v>
      </c>
      <c r="D53" s="1">
        <f ca="1">IFERROR(__xludf.DUMMYFUNCTION("""COMPUTED_VALUE"""),27)</f>
        <v>27</v>
      </c>
      <c r="E53" s="1">
        <f ca="1">IFERROR(__xludf.DUMMYFUNCTION("""COMPUTED_VALUE"""),0.069)</f>
        <v>6.9000000000000006E-2</v>
      </c>
      <c r="F53" s="1">
        <f ca="1">IFERROR(__xludf.DUMMYFUNCTION("""COMPUTED_VALUE"""),-22.84)</f>
        <v>-22.84</v>
      </c>
      <c r="G53" s="1">
        <f ca="1">IFERROR(__xludf.DUMMYFUNCTION("""COMPUTED_VALUE"""),-5.94)</f>
        <v>-5.94</v>
      </c>
      <c r="H53" s="1">
        <f ca="1">IFERROR(__xludf.DUMMYFUNCTION("""COMPUTED_VALUE"""),2)</f>
        <v>2</v>
      </c>
      <c r="I53" s="1">
        <f ca="1">IFERROR(__xludf.DUMMYFUNCTION("""COMPUTED_VALUE"""),16)</f>
        <v>16</v>
      </c>
      <c r="J53" s="1">
        <f ca="1">IFERROR(__xludf.DUMMYFUNCTION("""COMPUTED_VALUE"""),2)</f>
        <v>2</v>
      </c>
      <c r="K53" s="1">
        <f ca="1">IFERROR(__xludf.DUMMYFUNCTION("""COMPUTED_VALUE"""),11)</f>
        <v>11</v>
      </c>
      <c r="L53" s="1">
        <f ca="1">IFERROR(__xludf.DUMMYFUNCTION("""COMPUTED_VALUE"""),0)</f>
        <v>0</v>
      </c>
      <c r="M53" s="1">
        <f ca="1">IFERROR(__xludf.DUMMYFUNCTION("""COMPUTED_VALUE"""),16)</f>
        <v>16</v>
      </c>
      <c r="N53" s="1">
        <f ca="1">IFERROR(__xludf.DUMMYFUNCTION("""COMPUTED_VALUE"""),1894)</f>
        <v>1894</v>
      </c>
      <c r="O53" s="1">
        <f ca="1">IFERROR(__xludf.DUMMYFUNCTION("""COMPUTED_VALUE"""),2384)</f>
        <v>2384</v>
      </c>
      <c r="P53" s="1">
        <f ca="1">IFERROR(__xludf.DUMMYFUNCTION("""COMPUTED_VALUE"""),1160)</f>
        <v>1160</v>
      </c>
      <c r="Q53" s="1">
        <f ca="1">IFERROR(__xludf.DUMMYFUNCTION("""COMPUTED_VALUE"""),646)</f>
        <v>646</v>
      </c>
      <c r="R53" s="1">
        <f ca="1">IFERROR(__xludf.DUMMYFUNCTION("""COMPUTED_VALUE"""),1524)</f>
        <v>1524</v>
      </c>
      <c r="S53" s="1">
        <f ca="1">IFERROR(__xludf.DUMMYFUNCTION("""COMPUTED_VALUE"""),0.424)</f>
        <v>0.42399999999999999</v>
      </c>
      <c r="T53" s="1">
        <f ca="1">IFERROR(__xludf.DUMMYFUNCTION("""COMPUTED_VALUE"""),196)</f>
        <v>196</v>
      </c>
      <c r="U53" s="1">
        <f ca="1">IFERROR(__xludf.DUMMYFUNCTION("""COMPUTED_VALUE"""),556)</f>
        <v>556</v>
      </c>
      <c r="V53" s="1">
        <f ca="1">IFERROR(__xludf.DUMMYFUNCTION("""COMPUTED_VALUE"""),0.353)</f>
        <v>0.35299999999999998</v>
      </c>
      <c r="W53" s="1">
        <f ca="1">IFERROR(__xludf.DUMMYFUNCTION("""COMPUTED_VALUE"""),406)</f>
        <v>406</v>
      </c>
      <c r="X53" s="1">
        <f ca="1">IFERROR(__xludf.DUMMYFUNCTION("""COMPUTED_VALUE"""),599)</f>
        <v>599</v>
      </c>
      <c r="Y53" s="1">
        <f ca="1">IFERROR(__xludf.DUMMYFUNCTION("""COMPUTED_VALUE"""),0.678)</f>
        <v>0.67800000000000005</v>
      </c>
      <c r="Z53" s="1">
        <f ca="1">IFERROR(__xludf.DUMMYFUNCTION("""COMPUTED_VALUE"""),273)</f>
        <v>273</v>
      </c>
      <c r="AA53" s="1">
        <f ca="1">IFERROR(__xludf.DUMMYFUNCTION("""COMPUTED_VALUE"""),903)</f>
        <v>903</v>
      </c>
      <c r="AB53" s="1">
        <f ca="1">IFERROR(__xludf.DUMMYFUNCTION("""COMPUTED_VALUE"""),361)</f>
        <v>361</v>
      </c>
      <c r="AC53" s="1">
        <f ca="1">IFERROR(__xludf.DUMMYFUNCTION("""COMPUTED_VALUE"""),182)</f>
        <v>182</v>
      </c>
      <c r="AD53" s="1">
        <f ca="1">IFERROR(__xludf.DUMMYFUNCTION("""COMPUTED_VALUE"""),114)</f>
        <v>114</v>
      </c>
      <c r="AE53" s="1">
        <f ca="1">IFERROR(__xludf.DUMMYFUNCTION("""COMPUTED_VALUE"""),529)</f>
        <v>529</v>
      </c>
      <c r="AF53" s="1">
        <f ca="1">IFERROR(__xludf.DUMMYFUNCTION("""COMPUTED_VALUE"""),604)</f>
        <v>604</v>
      </c>
    </row>
    <row r="54" spans="1:32" ht="12.5" x14ac:dyDescent="0.25">
      <c r="A54" s="1" t="str">
        <f ca="1">IFERROR(__xludf.DUMMYFUNCTION("""COMPUTED_VALUE"""),"Central Connecticut State")</f>
        <v>Central Connecticut State</v>
      </c>
      <c r="B54" s="1">
        <f ca="1">IFERROR(__xludf.DUMMYFUNCTION("""COMPUTED_VALUE"""),31)</f>
        <v>31</v>
      </c>
      <c r="C54" s="1">
        <f ca="1">IFERROR(__xludf.DUMMYFUNCTION("""COMPUTED_VALUE"""),5)</f>
        <v>5</v>
      </c>
      <c r="D54" s="1">
        <f ca="1">IFERROR(__xludf.DUMMYFUNCTION("""COMPUTED_VALUE"""),26)</f>
        <v>26</v>
      </c>
      <c r="E54" s="1">
        <f ca="1">IFERROR(__xludf.DUMMYFUNCTION("""COMPUTED_VALUE"""),0.161)</f>
        <v>0.161</v>
      </c>
      <c r="F54" s="1">
        <f ca="1">IFERROR(__xludf.DUMMYFUNCTION("""COMPUTED_VALUE"""),-16.56)</f>
        <v>-16.559999999999999</v>
      </c>
      <c r="G54" s="1">
        <f ca="1">IFERROR(__xludf.DUMMYFUNCTION("""COMPUTED_VALUE"""),-5.62)</f>
        <v>-5.62</v>
      </c>
      <c r="H54" s="1">
        <f ca="1">IFERROR(__xludf.DUMMYFUNCTION("""COMPUTED_VALUE"""),3)</f>
        <v>3</v>
      </c>
      <c r="I54" s="1">
        <f ca="1">IFERROR(__xludf.DUMMYFUNCTION("""COMPUTED_VALUE"""),15)</f>
        <v>15</v>
      </c>
      <c r="J54" s="1">
        <f ca="1">IFERROR(__xludf.DUMMYFUNCTION("""COMPUTED_VALUE"""),4)</f>
        <v>4</v>
      </c>
      <c r="K54" s="1">
        <f ca="1">IFERROR(__xludf.DUMMYFUNCTION("""COMPUTED_VALUE"""),9)</f>
        <v>9</v>
      </c>
      <c r="L54" s="1">
        <f ca="1">IFERROR(__xludf.DUMMYFUNCTION("""COMPUTED_VALUE"""),1)</f>
        <v>1</v>
      </c>
      <c r="M54" s="1">
        <f ca="1">IFERROR(__xludf.DUMMYFUNCTION("""COMPUTED_VALUE"""),13)</f>
        <v>13</v>
      </c>
      <c r="N54" s="1">
        <f ca="1">IFERROR(__xludf.DUMMYFUNCTION("""COMPUTED_VALUE"""),1834)</f>
        <v>1834</v>
      </c>
      <c r="O54" s="1">
        <f ca="1">IFERROR(__xludf.DUMMYFUNCTION("""COMPUTED_VALUE"""),2173)</f>
        <v>2173</v>
      </c>
      <c r="P54" s="1">
        <f ca="1">IFERROR(__xludf.DUMMYFUNCTION("""COMPUTED_VALUE"""),1245)</f>
        <v>1245</v>
      </c>
      <c r="Q54" s="1">
        <f ca="1">IFERROR(__xludf.DUMMYFUNCTION("""COMPUTED_VALUE"""),674)</f>
        <v>674</v>
      </c>
      <c r="R54" s="1">
        <f ca="1">IFERROR(__xludf.DUMMYFUNCTION("""COMPUTED_VALUE"""),1675)</f>
        <v>1675</v>
      </c>
      <c r="S54" s="1">
        <f ca="1">IFERROR(__xludf.DUMMYFUNCTION("""COMPUTED_VALUE"""),0.402)</f>
        <v>0.40200000000000002</v>
      </c>
      <c r="T54" s="1">
        <f ca="1">IFERROR(__xludf.DUMMYFUNCTION("""COMPUTED_VALUE"""),146)</f>
        <v>146</v>
      </c>
      <c r="U54" s="1">
        <f ca="1">IFERROR(__xludf.DUMMYFUNCTION("""COMPUTED_VALUE"""),454)</f>
        <v>454</v>
      </c>
      <c r="V54" s="1">
        <f ca="1">IFERROR(__xludf.DUMMYFUNCTION("""COMPUTED_VALUE"""),0.322)</f>
        <v>0.32200000000000001</v>
      </c>
      <c r="W54" s="1">
        <f ca="1">IFERROR(__xludf.DUMMYFUNCTION("""COMPUTED_VALUE"""),340)</f>
        <v>340</v>
      </c>
      <c r="X54" s="1">
        <f ca="1">IFERROR(__xludf.DUMMYFUNCTION("""COMPUTED_VALUE"""),479)</f>
        <v>479</v>
      </c>
      <c r="Y54" s="1">
        <f ca="1">IFERROR(__xludf.DUMMYFUNCTION("""COMPUTED_VALUE"""),0.71)</f>
        <v>0.71</v>
      </c>
      <c r="Z54" s="1">
        <f ca="1">IFERROR(__xludf.DUMMYFUNCTION("""COMPUTED_VALUE"""),332)</f>
        <v>332</v>
      </c>
      <c r="AA54" s="1">
        <f ca="1">IFERROR(__xludf.DUMMYFUNCTION("""COMPUTED_VALUE"""),1046)</f>
        <v>1046</v>
      </c>
      <c r="AB54" s="1">
        <f ca="1">IFERROR(__xludf.DUMMYFUNCTION("""COMPUTED_VALUE"""),340)</f>
        <v>340</v>
      </c>
      <c r="AC54" s="1">
        <f ca="1">IFERROR(__xludf.DUMMYFUNCTION("""COMPUTED_VALUE"""),153)</f>
        <v>153</v>
      </c>
      <c r="AD54" s="1">
        <f ca="1">IFERROR(__xludf.DUMMYFUNCTION("""COMPUTED_VALUE"""),109)</f>
        <v>109</v>
      </c>
      <c r="AE54" s="1">
        <f ca="1">IFERROR(__xludf.DUMMYFUNCTION("""COMPUTED_VALUE"""),425)</f>
        <v>425</v>
      </c>
      <c r="AF54" s="1">
        <f ca="1">IFERROR(__xludf.DUMMYFUNCTION("""COMPUTED_VALUE"""),429)</f>
        <v>429</v>
      </c>
    </row>
    <row r="55" spans="1:32" ht="12.5" x14ac:dyDescent="0.25">
      <c r="A55" s="1" t="str">
        <f ca="1">IFERROR(__xludf.DUMMYFUNCTION("""COMPUTED_VALUE"""),"Central Florida")</f>
        <v>Central Florida</v>
      </c>
      <c r="B55" s="1">
        <f ca="1">IFERROR(__xludf.DUMMYFUNCTION("""COMPUTED_VALUE"""),30)</f>
        <v>30</v>
      </c>
      <c r="C55" s="1">
        <f ca="1">IFERROR(__xludf.DUMMYFUNCTION("""COMPUTED_VALUE"""),12)</f>
        <v>12</v>
      </c>
      <c r="D55" s="1">
        <f ca="1">IFERROR(__xludf.DUMMYFUNCTION("""COMPUTED_VALUE"""),18)</f>
        <v>18</v>
      </c>
      <c r="E55" s="1">
        <f ca="1">IFERROR(__xludf.DUMMYFUNCTION("""COMPUTED_VALUE"""),0.4)</f>
        <v>0.4</v>
      </c>
      <c r="F55" s="1">
        <f ca="1">IFERROR(__xludf.DUMMYFUNCTION("""COMPUTED_VALUE"""),-5.73)</f>
        <v>-5.73</v>
      </c>
      <c r="G55" s="1">
        <f ca="1">IFERROR(__xludf.DUMMYFUNCTION("""COMPUTED_VALUE"""),0.78)</f>
        <v>0.78</v>
      </c>
      <c r="H55" s="1">
        <f ca="1">IFERROR(__xludf.DUMMYFUNCTION("""COMPUTED_VALUE"""),5)</f>
        <v>5</v>
      </c>
      <c r="I55" s="1">
        <f ca="1">IFERROR(__xludf.DUMMYFUNCTION("""COMPUTED_VALUE"""),13)</f>
        <v>13</v>
      </c>
      <c r="J55" s="1">
        <f ca="1">IFERROR(__xludf.DUMMYFUNCTION("""COMPUTED_VALUE"""),10)</f>
        <v>10</v>
      </c>
      <c r="K55" s="1">
        <f ca="1">IFERROR(__xludf.DUMMYFUNCTION("""COMPUTED_VALUE"""),8)</f>
        <v>8</v>
      </c>
      <c r="L55" s="1">
        <f ca="1">IFERROR(__xludf.DUMMYFUNCTION("""COMPUTED_VALUE"""),2)</f>
        <v>2</v>
      </c>
      <c r="M55" s="1">
        <f ca="1">IFERROR(__xludf.DUMMYFUNCTION("""COMPUTED_VALUE"""),9)</f>
        <v>9</v>
      </c>
      <c r="N55" s="1">
        <f ca="1">IFERROR(__xludf.DUMMYFUNCTION("""COMPUTED_VALUE"""),1981)</f>
        <v>1981</v>
      </c>
      <c r="O55" s="1">
        <f ca="1">IFERROR(__xludf.DUMMYFUNCTION("""COMPUTED_VALUE"""),2153)</f>
        <v>2153</v>
      </c>
      <c r="P55" s="1">
        <f ca="1">IFERROR(__xludf.DUMMYFUNCTION("""COMPUTED_VALUE"""),1230)</f>
        <v>1230</v>
      </c>
      <c r="Q55" s="1">
        <f ca="1">IFERROR(__xludf.DUMMYFUNCTION("""COMPUTED_VALUE"""),704)</f>
        <v>704</v>
      </c>
      <c r="R55" s="1">
        <f ca="1">IFERROR(__xludf.DUMMYFUNCTION("""COMPUTED_VALUE"""),1621)</f>
        <v>1621</v>
      </c>
      <c r="S55" s="1">
        <f ca="1">IFERROR(__xludf.DUMMYFUNCTION("""COMPUTED_VALUE"""),0.434)</f>
        <v>0.434</v>
      </c>
      <c r="T55" s="1">
        <f ca="1">IFERROR(__xludf.DUMMYFUNCTION("""COMPUTED_VALUE"""),202)</f>
        <v>202</v>
      </c>
      <c r="U55" s="1">
        <f ca="1">IFERROR(__xludf.DUMMYFUNCTION("""COMPUTED_VALUE"""),577)</f>
        <v>577</v>
      </c>
      <c r="V55" s="1">
        <f ca="1">IFERROR(__xludf.DUMMYFUNCTION("""COMPUTED_VALUE"""),0.35)</f>
        <v>0.35</v>
      </c>
      <c r="W55" s="1">
        <f ca="1">IFERROR(__xludf.DUMMYFUNCTION("""COMPUTED_VALUE"""),371)</f>
        <v>371</v>
      </c>
      <c r="X55" s="1">
        <f ca="1">IFERROR(__xludf.DUMMYFUNCTION("""COMPUTED_VALUE"""),577)</f>
        <v>577</v>
      </c>
      <c r="Y55" s="1">
        <f ca="1">IFERROR(__xludf.DUMMYFUNCTION("""COMPUTED_VALUE"""),0.643)</f>
        <v>0.64300000000000002</v>
      </c>
      <c r="Z55" s="1">
        <f ca="1">IFERROR(__xludf.DUMMYFUNCTION("""COMPUTED_VALUE"""),313)</f>
        <v>313</v>
      </c>
      <c r="AA55" s="1">
        <f ca="1">IFERROR(__xludf.DUMMYFUNCTION("""COMPUTED_VALUE"""),997)</f>
        <v>997</v>
      </c>
      <c r="AB55" s="1">
        <f ca="1">IFERROR(__xludf.DUMMYFUNCTION("""COMPUTED_VALUE"""),369)</f>
        <v>369</v>
      </c>
      <c r="AC55" s="1">
        <f ca="1">IFERROR(__xludf.DUMMYFUNCTION("""COMPUTED_VALUE"""),155)</f>
        <v>155</v>
      </c>
      <c r="AD55" s="1">
        <f ca="1">IFERROR(__xludf.DUMMYFUNCTION("""COMPUTED_VALUE"""),128)</f>
        <v>128</v>
      </c>
      <c r="AE55" s="1">
        <f ca="1">IFERROR(__xludf.DUMMYFUNCTION("""COMPUTED_VALUE"""),390)</f>
        <v>390</v>
      </c>
      <c r="AF55" s="1">
        <f ca="1">IFERROR(__xludf.DUMMYFUNCTION("""COMPUTED_VALUE"""),470)</f>
        <v>470</v>
      </c>
    </row>
    <row r="56" spans="1:32" ht="12.5" x14ac:dyDescent="0.25">
      <c r="A56" s="1" t="str">
        <f ca="1">IFERROR(__xludf.DUMMYFUNCTION("""COMPUTED_VALUE"""),"Central Michigan")</f>
        <v>Central Michigan</v>
      </c>
      <c r="B56" s="1">
        <f ca="1">IFERROR(__xludf.DUMMYFUNCTION("""COMPUTED_VALUE"""),32)</f>
        <v>32</v>
      </c>
      <c r="C56" s="1">
        <f ca="1">IFERROR(__xludf.DUMMYFUNCTION("""COMPUTED_VALUE"""),23)</f>
        <v>23</v>
      </c>
      <c r="D56" s="1">
        <f ca="1">IFERROR(__xludf.DUMMYFUNCTION("""COMPUTED_VALUE"""),9)</f>
        <v>9</v>
      </c>
      <c r="E56" s="1">
        <f ca="1">IFERROR(__xludf.DUMMYFUNCTION("""COMPUTED_VALUE"""),0.719)</f>
        <v>0.71899999999999997</v>
      </c>
      <c r="F56" s="1">
        <f ca="1">IFERROR(__xludf.DUMMYFUNCTION("""COMPUTED_VALUE"""),5.56)</f>
        <v>5.56</v>
      </c>
      <c r="G56" s="1">
        <f ca="1">IFERROR(__xludf.DUMMYFUNCTION("""COMPUTED_VALUE"""),-1.1)</f>
        <v>-1.1000000000000001</v>
      </c>
      <c r="H56" s="1">
        <f ca="1">IFERROR(__xludf.DUMMYFUNCTION("""COMPUTED_VALUE"""),12)</f>
        <v>12</v>
      </c>
      <c r="I56" s="1">
        <f ca="1">IFERROR(__xludf.DUMMYFUNCTION("""COMPUTED_VALUE"""),6)</f>
        <v>6</v>
      </c>
      <c r="J56" s="1">
        <f ca="1">IFERROR(__xludf.DUMMYFUNCTION("""COMPUTED_VALUE"""),16)</f>
        <v>16</v>
      </c>
      <c r="K56" s="1">
        <f ca="1">IFERROR(__xludf.DUMMYFUNCTION("""COMPUTED_VALUE"""),1)</f>
        <v>1</v>
      </c>
      <c r="L56" s="1">
        <f ca="1">IFERROR(__xludf.DUMMYFUNCTION("""COMPUTED_VALUE"""),6)</f>
        <v>6</v>
      </c>
      <c r="M56" s="1">
        <f ca="1">IFERROR(__xludf.DUMMYFUNCTION("""COMPUTED_VALUE"""),7)</f>
        <v>7</v>
      </c>
      <c r="N56" s="1">
        <f ca="1">IFERROR(__xludf.DUMMYFUNCTION("""COMPUTED_VALUE"""),2504)</f>
        <v>2504</v>
      </c>
      <c r="O56" s="1">
        <f ca="1">IFERROR(__xludf.DUMMYFUNCTION("""COMPUTED_VALUE"""),2187)</f>
        <v>2187</v>
      </c>
      <c r="P56" s="1">
        <f ca="1">IFERROR(__xludf.DUMMYFUNCTION("""COMPUTED_VALUE"""),1285)</f>
        <v>1285</v>
      </c>
      <c r="Q56" s="1">
        <f ca="1">IFERROR(__xludf.DUMMYFUNCTION("""COMPUTED_VALUE"""),848)</f>
        <v>848</v>
      </c>
      <c r="R56" s="1">
        <f ca="1">IFERROR(__xludf.DUMMYFUNCTION("""COMPUTED_VALUE"""),1816)</f>
        <v>1816</v>
      </c>
      <c r="S56" s="1">
        <f ca="1">IFERROR(__xludf.DUMMYFUNCTION("""COMPUTED_VALUE"""),0.467)</f>
        <v>0.46700000000000003</v>
      </c>
      <c r="T56" s="1">
        <f ca="1">IFERROR(__xludf.DUMMYFUNCTION("""COMPUTED_VALUE"""),322)</f>
        <v>322</v>
      </c>
      <c r="U56" s="1">
        <f ca="1">IFERROR(__xludf.DUMMYFUNCTION("""COMPUTED_VALUE"""),864)</f>
        <v>864</v>
      </c>
      <c r="V56" s="1">
        <f ca="1">IFERROR(__xludf.DUMMYFUNCTION("""COMPUTED_VALUE"""),0.373)</f>
        <v>0.373</v>
      </c>
      <c r="W56" s="1">
        <f ca="1">IFERROR(__xludf.DUMMYFUNCTION("""COMPUTED_VALUE"""),486)</f>
        <v>486</v>
      </c>
      <c r="X56" s="1">
        <f ca="1">IFERROR(__xludf.DUMMYFUNCTION("""COMPUTED_VALUE"""),670)</f>
        <v>670</v>
      </c>
      <c r="Y56" s="1">
        <f ca="1">IFERROR(__xludf.DUMMYFUNCTION("""COMPUTED_VALUE"""),0.725)</f>
        <v>0.72499999999999998</v>
      </c>
      <c r="Z56" s="1">
        <f ca="1">IFERROR(__xludf.DUMMYFUNCTION("""COMPUTED_VALUE"""),327)</f>
        <v>327</v>
      </c>
      <c r="AA56" s="1">
        <f ca="1">IFERROR(__xludf.DUMMYFUNCTION("""COMPUTED_VALUE"""),1080)</f>
        <v>1080</v>
      </c>
      <c r="AB56" s="1">
        <f ca="1">IFERROR(__xludf.DUMMYFUNCTION("""COMPUTED_VALUE"""),447)</f>
        <v>447</v>
      </c>
      <c r="AC56" s="1">
        <f ca="1">IFERROR(__xludf.DUMMYFUNCTION("""COMPUTED_VALUE"""),226)</f>
        <v>226</v>
      </c>
      <c r="AD56" s="1">
        <f ca="1">IFERROR(__xludf.DUMMYFUNCTION("""COMPUTED_VALUE"""),84)</f>
        <v>84</v>
      </c>
      <c r="AE56" s="1">
        <f ca="1">IFERROR(__xludf.DUMMYFUNCTION("""COMPUTED_VALUE"""),325)</f>
        <v>325</v>
      </c>
      <c r="AF56" s="1">
        <f ca="1">IFERROR(__xludf.DUMMYFUNCTION("""COMPUTED_VALUE"""),562)</f>
        <v>562</v>
      </c>
    </row>
    <row r="57" spans="1:32" ht="12.5" x14ac:dyDescent="0.25">
      <c r="A57" s="1" t="str">
        <f ca="1">IFERROR(__xludf.DUMMYFUNCTION("""COMPUTED_VALUE"""),"Charleston Southern")</f>
        <v>Charleston Southern</v>
      </c>
      <c r="B57" s="1">
        <f ca="1">IFERROR(__xludf.DUMMYFUNCTION("""COMPUTED_VALUE"""),31)</f>
        <v>31</v>
      </c>
      <c r="C57" s="1">
        <f ca="1">IFERROR(__xludf.DUMMYFUNCTION("""COMPUTED_VALUE"""),19)</f>
        <v>19</v>
      </c>
      <c r="D57" s="1">
        <f ca="1">IFERROR(__xludf.DUMMYFUNCTION("""COMPUTED_VALUE"""),12)</f>
        <v>12</v>
      </c>
      <c r="E57" s="1">
        <f ca="1">IFERROR(__xludf.DUMMYFUNCTION("""COMPUTED_VALUE"""),0.613)</f>
        <v>0.61299999999999999</v>
      </c>
      <c r="F57" s="1">
        <f ca="1">IFERROR(__xludf.DUMMYFUNCTION("""COMPUTED_VALUE"""),-4.48)</f>
        <v>-4.4800000000000004</v>
      </c>
      <c r="G57" s="1">
        <f ca="1">IFERROR(__xludf.DUMMYFUNCTION("""COMPUTED_VALUE"""),-5.23)</f>
        <v>-5.23</v>
      </c>
      <c r="H57" s="1">
        <f ca="1">IFERROR(__xludf.DUMMYFUNCTION("""COMPUTED_VALUE"""),13)</f>
        <v>13</v>
      </c>
      <c r="I57" s="1">
        <f ca="1">IFERROR(__xludf.DUMMYFUNCTION("""COMPUTED_VALUE"""),5)</f>
        <v>5</v>
      </c>
      <c r="J57" s="1">
        <f ca="1">IFERROR(__xludf.DUMMYFUNCTION("""COMPUTED_VALUE"""),13)</f>
        <v>13</v>
      </c>
      <c r="K57" s="1">
        <f ca="1">IFERROR(__xludf.DUMMYFUNCTION("""COMPUTED_VALUE"""),2)</f>
        <v>2</v>
      </c>
      <c r="L57" s="1">
        <f ca="1">IFERROR(__xludf.DUMMYFUNCTION("""COMPUTED_VALUE"""),6)</f>
        <v>6</v>
      </c>
      <c r="M57" s="1">
        <f ca="1">IFERROR(__xludf.DUMMYFUNCTION("""COMPUTED_VALUE"""),9)</f>
        <v>9</v>
      </c>
      <c r="N57" s="1">
        <f ca="1">IFERROR(__xludf.DUMMYFUNCTION("""COMPUTED_VALUE"""),2277)</f>
        <v>2277</v>
      </c>
      <c r="O57" s="1">
        <f ca="1">IFERROR(__xludf.DUMMYFUNCTION("""COMPUTED_VALUE"""),2130)</f>
        <v>2130</v>
      </c>
      <c r="P57" s="1">
        <f ca="1">IFERROR(__xludf.DUMMYFUNCTION("""COMPUTED_VALUE"""),1259)</f>
        <v>1259</v>
      </c>
      <c r="Q57" s="1">
        <f ca="1">IFERROR(__xludf.DUMMYFUNCTION("""COMPUTED_VALUE"""),777)</f>
        <v>777</v>
      </c>
      <c r="R57" s="1">
        <f ca="1">IFERROR(__xludf.DUMMYFUNCTION("""COMPUTED_VALUE"""),1846)</f>
        <v>1846</v>
      </c>
      <c r="S57" s="1">
        <f ca="1">IFERROR(__xludf.DUMMYFUNCTION("""COMPUTED_VALUE"""),0.421)</f>
        <v>0.42099999999999999</v>
      </c>
      <c r="T57" s="1">
        <f ca="1">IFERROR(__xludf.DUMMYFUNCTION("""COMPUTED_VALUE"""),288)</f>
        <v>288</v>
      </c>
      <c r="U57" s="1">
        <f ca="1">IFERROR(__xludf.DUMMYFUNCTION("""COMPUTED_VALUE"""),845)</f>
        <v>845</v>
      </c>
      <c r="V57" s="1">
        <f ca="1">IFERROR(__xludf.DUMMYFUNCTION("""COMPUTED_VALUE"""),0.341)</f>
        <v>0.34100000000000003</v>
      </c>
      <c r="W57" s="1">
        <f ca="1">IFERROR(__xludf.DUMMYFUNCTION("""COMPUTED_VALUE"""),435)</f>
        <v>435</v>
      </c>
      <c r="X57" s="1">
        <f ca="1">IFERROR(__xludf.DUMMYFUNCTION("""COMPUTED_VALUE"""),633)</f>
        <v>633</v>
      </c>
      <c r="Y57" s="1">
        <f ca="1">IFERROR(__xludf.DUMMYFUNCTION("""COMPUTED_VALUE"""),0.687)</f>
        <v>0.68700000000000006</v>
      </c>
      <c r="Z57" s="1">
        <f ca="1">IFERROR(__xludf.DUMMYFUNCTION("""COMPUTED_VALUE"""),403)</f>
        <v>403</v>
      </c>
      <c r="AA57" s="1">
        <f ca="1">IFERROR(__xludf.DUMMYFUNCTION("""COMPUTED_VALUE"""),1171)</f>
        <v>1171</v>
      </c>
      <c r="AB57" s="1">
        <f ca="1">IFERROR(__xludf.DUMMYFUNCTION("""COMPUTED_VALUE"""),397)</f>
        <v>397</v>
      </c>
      <c r="AC57" s="1">
        <f ca="1">IFERROR(__xludf.DUMMYFUNCTION("""COMPUTED_VALUE"""),214)</f>
        <v>214</v>
      </c>
      <c r="AD57" s="1">
        <f ca="1">IFERROR(__xludf.DUMMYFUNCTION("""COMPUTED_VALUE"""),69)</f>
        <v>69</v>
      </c>
      <c r="AE57" s="1">
        <f ca="1">IFERROR(__xludf.DUMMYFUNCTION("""COMPUTED_VALUE"""),354)</f>
        <v>354</v>
      </c>
      <c r="AF57" s="1">
        <f ca="1">IFERROR(__xludf.DUMMYFUNCTION("""COMPUTED_VALUE"""),540)</f>
        <v>540</v>
      </c>
    </row>
    <row r="58" spans="1:32" ht="12.5" x14ac:dyDescent="0.25">
      <c r="A58" s="1" t="str">
        <f ca="1">IFERROR(__xludf.DUMMYFUNCTION("""COMPUTED_VALUE"""),"Charlotte")</f>
        <v>Charlotte</v>
      </c>
      <c r="B58" s="1">
        <f ca="1">IFERROR(__xludf.DUMMYFUNCTION("""COMPUTED_VALUE"""),32)</f>
        <v>32</v>
      </c>
      <c r="C58" s="1">
        <f ca="1">IFERROR(__xludf.DUMMYFUNCTION("""COMPUTED_VALUE"""),14)</f>
        <v>14</v>
      </c>
      <c r="D58" s="1">
        <f ca="1">IFERROR(__xludf.DUMMYFUNCTION("""COMPUTED_VALUE"""),18)</f>
        <v>18</v>
      </c>
      <c r="E58" s="1">
        <f ca="1">IFERROR(__xludf.DUMMYFUNCTION("""COMPUTED_VALUE"""),0.438)</f>
        <v>0.438</v>
      </c>
      <c r="F58" s="1">
        <f ca="1">IFERROR(__xludf.DUMMYFUNCTION("""COMPUTED_VALUE"""),1.76)</f>
        <v>1.76</v>
      </c>
      <c r="G58" s="1">
        <f ca="1">IFERROR(__xludf.DUMMYFUNCTION("""COMPUTED_VALUE"""),0.35)</f>
        <v>0.35</v>
      </c>
      <c r="H58" s="1">
        <f ca="1">IFERROR(__xludf.DUMMYFUNCTION("""COMPUTED_VALUE"""),7)</f>
        <v>7</v>
      </c>
      <c r="I58" s="1">
        <f ca="1">IFERROR(__xludf.DUMMYFUNCTION("""COMPUTED_VALUE"""),11)</f>
        <v>11</v>
      </c>
      <c r="J58" s="1">
        <f ca="1">IFERROR(__xludf.DUMMYFUNCTION("""COMPUTED_VALUE"""),7)</f>
        <v>7</v>
      </c>
      <c r="K58" s="1">
        <f ca="1">IFERROR(__xludf.DUMMYFUNCTION("""COMPUTED_VALUE"""),6)</f>
        <v>6</v>
      </c>
      <c r="L58" s="1">
        <f ca="1">IFERROR(__xludf.DUMMYFUNCTION("""COMPUTED_VALUE"""),5)</f>
        <v>5</v>
      </c>
      <c r="M58" s="1">
        <f ca="1">IFERROR(__xludf.DUMMYFUNCTION("""COMPUTED_VALUE"""),9)</f>
        <v>9</v>
      </c>
      <c r="N58" s="1">
        <f ca="1">IFERROR(__xludf.DUMMYFUNCTION("""COMPUTED_VALUE"""),2362)</f>
        <v>2362</v>
      </c>
      <c r="O58" s="1">
        <f ca="1">IFERROR(__xludf.DUMMYFUNCTION("""COMPUTED_VALUE"""),2317)</f>
        <v>2317</v>
      </c>
      <c r="P58" s="1">
        <f ca="1">IFERROR(__xludf.DUMMYFUNCTION("""COMPUTED_VALUE"""),1320)</f>
        <v>1320</v>
      </c>
      <c r="Q58" s="1">
        <f ca="1">IFERROR(__xludf.DUMMYFUNCTION("""COMPUTED_VALUE"""),858)</f>
        <v>858</v>
      </c>
      <c r="R58" s="1">
        <f ca="1">IFERROR(__xludf.DUMMYFUNCTION("""COMPUTED_VALUE"""),1853)</f>
        <v>1853</v>
      </c>
      <c r="S58" s="1">
        <f ca="1">IFERROR(__xludf.DUMMYFUNCTION("""COMPUTED_VALUE"""),0.463)</f>
        <v>0.46300000000000002</v>
      </c>
      <c r="T58" s="1">
        <f ca="1">IFERROR(__xludf.DUMMYFUNCTION("""COMPUTED_VALUE"""),201)</f>
        <v>201</v>
      </c>
      <c r="U58" s="1">
        <f ca="1">IFERROR(__xludf.DUMMYFUNCTION("""COMPUTED_VALUE"""),533)</f>
        <v>533</v>
      </c>
      <c r="V58" s="1">
        <f ca="1">IFERROR(__xludf.DUMMYFUNCTION("""COMPUTED_VALUE"""),0.377)</f>
        <v>0.377</v>
      </c>
      <c r="W58" s="1">
        <f ca="1">IFERROR(__xludf.DUMMYFUNCTION("""COMPUTED_VALUE"""),445)</f>
        <v>445</v>
      </c>
      <c r="X58" s="1">
        <f ca="1">IFERROR(__xludf.DUMMYFUNCTION("""COMPUTED_VALUE"""),685)</f>
        <v>685</v>
      </c>
      <c r="Y58" s="1">
        <f ca="1">IFERROR(__xludf.DUMMYFUNCTION("""COMPUTED_VALUE"""),0.65)</f>
        <v>0.65</v>
      </c>
      <c r="Z58" s="1">
        <f ca="1">IFERROR(__xludf.DUMMYFUNCTION("""COMPUTED_VALUE"""),382)</f>
        <v>382</v>
      </c>
      <c r="AA58" s="1">
        <f ca="1">IFERROR(__xludf.DUMMYFUNCTION("""COMPUTED_VALUE"""),1166)</f>
        <v>1166</v>
      </c>
      <c r="AB58" s="1">
        <f ca="1">IFERROR(__xludf.DUMMYFUNCTION("""COMPUTED_VALUE"""),437)</f>
        <v>437</v>
      </c>
      <c r="AC58" s="1">
        <f ca="1">IFERROR(__xludf.DUMMYFUNCTION("""COMPUTED_VALUE"""),207)</f>
        <v>207</v>
      </c>
      <c r="AD58" s="1">
        <f ca="1">IFERROR(__xludf.DUMMYFUNCTION("""COMPUTED_VALUE"""),80)</f>
        <v>80</v>
      </c>
      <c r="AE58" s="1">
        <f ca="1">IFERROR(__xludf.DUMMYFUNCTION("""COMPUTED_VALUE"""),435)</f>
        <v>435</v>
      </c>
      <c r="AF58" s="1">
        <f ca="1">IFERROR(__xludf.DUMMYFUNCTION("""COMPUTED_VALUE"""),558)</f>
        <v>558</v>
      </c>
    </row>
    <row r="59" spans="1:32" ht="12.5" x14ac:dyDescent="0.25">
      <c r="A59" s="1" t="str">
        <f ca="1">IFERROR(__xludf.DUMMYFUNCTION("""COMPUTED_VALUE"""),"Chattanooga")</f>
        <v>Chattanooga</v>
      </c>
      <c r="B59" s="1">
        <f ca="1">IFERROR(__xludf.DUMMYFUNCTION("""COMPUTED_VALUE"""),32)</f>
        <v>32</v>
      </c>
      <c r="C59" s="1">
        <f ca="1">IFERROR(__xludf.DUMMYFUNCTION("""COMPUTED_VALUE"""),22)</f>
        <v>22</v>
      </c>
      <c r="D59" s="1">
        <f ca="1">IFERROR(__xludf.DUMMYFUNCTION("""COMPUTED_VALUE"""),10)</f>
        <v>10</v>
      </c>
      <c r="E59" s="1">
        <f ca="1">IFERROR(__xludf.DUMMYFUNCTION("""COMPUTED_VALUE"""),0.688)</f>
        <v>0.68799999999999994</v>
      </c>
      <c r="F59" s="1">
        <f ca="1">IFERROR(__xludf.DUMMYFUNCTION("""COMPUTED_VALUE"""),-1.63)</f>
        <v>-1.63</v>
      </c>
      <c r="G59" s="1">
        <f ca="1">IFERROR(__xludf.DUMMYFUNCTION("""COMPUTED_VALUE"""),-4.06)</f>
        <v>-4.0599999999999996</v>
      </c>
      <c r="H59" s="1">
        <f ca="1">IFERROR(__xludf.DUMMYFUNCTION("""COMPUTED_VALUE"""),15)</f>
        <v>15</v>
      </c>
      <c r="I59" s="1">
        <f ca="1">IFERROR(__xludf.DUMMYFUNCTION("""COMPUTED_VALUE"""),3)</f>
        <v>3</v>
      </c>
      <c r="J59" s="1">
        <f ca="1">IFERROR(__xludf.DUMMYFUNCTION("""COMPUTED_VALUE"""),15)</f>
        <v>15</v>
      </c>
      <c r="K59" s="1">
        <f ca="1">IFERROR(__xludf.DUMMYFUNCTION("""COMPUTED_VALUE"""),2)</f>
        <v>2</v>
      </c>
      <c r="L59" s="1">
        <f ca="1">IFERROR(__xludf.DUMMYFUNCTION("""COMPUTED_VALUE"""),7)</f>
        <v>7</v>
      </c>
      <c r="M59" s="1">
        <f ca="1">IFERROR(__xludf.DUMMYFUNCTION("""COMPUTED_VALUE"""),7)</f>
        <v>7</v>
      </c>
      <c r="N59" s="1">
        <f ca="1">IFERROR(__xludf.DUMMYFUNCTION("""COMPUTED_VALUE"""),2325)</f>
        <v>2325</v>
      </c>
      <c r="O59" s="1">
        <f ca="1">IFERROR(__xludf.DUMMYFUNCTION("""COMPUTED_VALUE"""),2141)</f>
        <v>2141</v>
      </c>
      <c r="P59" s="1">
        <f ca="1">IFERROR(__xludf.DUMMYFUNCTION("""COMPUTED_VALUE"""),1305)</f>
        <v>1305</v>
      </c>
      <c r="Q59" s="1">
        <f ca="1">IFERROR(__xludf.DUMMYFUNCTION("""COMPUTED_VALUE"""),793)</f>
        <v>793</v>
      </c>
      <c r="R59" s="1">
        <f ca="1">IFERROR(__xludf.DUMMYFUNCTION("""COMPUTED_VALUE"""),1754)</f>
        <v>1754</v>
      </c>
      <c r="S59" s="1">
        <f ca="1">IFERROR(__xludf.DUMMYFUNCTION("""COMPUTED_VALUE"""),0.452)</f>
        <v>0.45200000000000001</v>
      </c>
      <c r="T59" s="1">
        <f ca="1">IFERROR(__xludf.DUMMYFUNCTION("""COMPUTED_VALUE"""),217)</f>
        <v>217</v>
      </c>
      <c r="U59" s="1">
        <f ca="1">IFERROR(__xludf.DUMMYFUNCTION("""COMPUTED_VALUE"""),621)</f>
        <v>621</v>
      </c>
      <c r="V59" s="1">
        <f ca="1">IFERROR(__xludf.DUMMYFUNCTION("""COMPUTED_VALUE"""),0.349)</f>
        <v>0.34899999999999998</v>
      </c>
      <c r="W59" s="1">
        <f ca="1">IFERROR(__xludf.DUMMYFUNCTION("""COMPUTED_VALUE"""),522)</f>
        <v>522</v>
      </c>
      <c r="X59" s="1">
        <f ca="1">IFERROR(__xludf.DUMMYFUNCTION("""COMPUTED_VALUE"""),762)</f>
        <v>762</v>
      </c>
      <c r="Y59" s="1">
        <f ca="1">IFERROR(__xludf.DUMMYFUNCTION("""COMPUTED_VALUE"""),0.685)</f>
        <v>0.68500000000000005</v>
      </c>
      <c r="Z59" s="1">
        <f ca="1">IFERROR(__xludf.DUMMYFUNCTION("""COMPUTED_VALUE"""),371)</f>
        <v>371</v>
      </c>
      <c r="AA59" s="1">
        <f ca="1">IFERROR(__xludf.DUMMYFUNCTION("""COMPUTED_VALUE"""),1118)</f>
        <v>1118</v>
      </c>
      <c r="AB59" s="1">
        <f ca="1">IFERROR(__xludf.DUMMYFUNCTION("""COMPUTED_VALUE"""),384)</f>
        <v>384</v>
      </c>
      <c r="AC59" s="1">
        <f ca="1">IFERROR(__xludf.DUMMYFUNCTION("""COMPUTED_VALUE"""),210)</f>
        <v>210</v>
      </c>
      <c r="AD59" s="1">
        <f ca="1">IFERROR(__xludf.DUMMYFUNCTION("""COMPUTED_VALUE"""),203)</f>
        <v>203</v>
      </c>
      <c r="AE59" s="1">
        <f ca="1">IFERROR(__xludf.DUMMYFUNCTION("""COMPUTED_VALUE"""),418)</f>
        <v>418</v>
      </c>
      <c r="AF59" s="1">
        <f ca="1">IFERROR(__xludf.DUMMYFUNCTION("""COMPUTED_VALUE"""),620)</f>
        <v>620</v>
      </c>
    </row>
    <row r="60" spans="1:32" ht="12.5" x14ac:dyDescent="0.25">
      <c r="A60" s="1" t="str">
        <f ca="1">IFERROR(__xludf.DUMMYFUNCTION("""COMPUTED_VALUE"""),"Chicago State")</f>
        <v>Chicago State</v>
      </c>
      <c r="B60" s="1">
        <f ca="1">IFERROR(__xludf.DUMMYFUNCTION("""COMPUTED_VALUE"""),32)</f>
        <v>32</v>
      </c>
      <c r="C60" s="1">
        <f ca="1">IFERROR(__xludf.DUMMYFUNCTION("""COMPUTED_VALUE"""),8)</f>
        <v>8</v>
      </c>
      <c r="D60" s="1">
        <f ca="1">IFERROR(__xludf.DUMMYFUNCTION("""COMPUTED_VALUE"""),24)</f>
        <v>24</v>
      </c>
      <c r="E60" s="1">
        <f ca="1">IFERROR(__xludf.DUMMYFUNCTION("""COMPUTED_VALUE"""),0.25)</f>
        <v>0.25</v>
      </c>
      <c r="F60" s="1">
        <f ca="1">IFERROR(__xludf.DUMMYFUNCTION("""COMPUTED_VALUE"""),-14.76)</f>
        <v>-14.76</v>
      </c>
      <c r="G60" s="1">
        <f ca="1">IFERROR(__xludf.DUMMYFUNCTION("""COMPUTED_VALUE"""),-2.48)</f>
        <v>-2.48</v>
      </c>
      <c r="H60" s="1">
        <f ca="1">IFERROR(__xludf.DUMMYFUNCTION("""COMPUTED_VALUE"""),4)</f>
        <v>4</v>
      </c>
      <c r="I60" s="1">
        <f ca="1">IFERROR(__xludf.DUMMYFUNCTION("""COMPUTED_VALUE"""),10)</f>
        <v>10</v>
      </c>
      <c r="J60" s="1">
        <f ca="1">IFERROR(__xludf.DUMMYFUNCTION("""COMPUTED_VALUE"""),7)</f>
        <v>7</v>
      </c>
      <c r="K60" s="1">
        <f ca="1">IFERROR(__xludf.DUMMYFUNCTION("""COMPUTED_VALUE"""),5)</f>
        <v>5</v>
      </c>
      <c r="L60" s="1">
        <f ca="1">IFERROR(__xludf.DUMMYFUNCTION("""COMPUTED_VALUE"""),1)</f>
        <v>1</v>
      </c>
      <c r="M60" s="1">
        <f ca="1">IFERROR(__xludf.DUMMYFUNCTION("""COMPUTED_VALUE"""),16)</f>
        <v>16</v>
      </c>
      <c r="N60" s="1">
        <f ca="1">IFERROR(__xludf.DUMMYFUNCTION("""COMPUTED_VALUE"""),1855)</f>
        <v>1855</v>
      </c>
      <c r="O60" s="1">
        <f ca="1">IFERROR(__xludf.DUMMYFUNCTION("""COMPUTED_VALUE"""),2115)</f>
        <v>2115</v>
      </c>
      <c r="P60" s="1">
        <f ca="1">IFERROR(__xludf.DUMMYFUNCTION("""COMPUTED_VALUE"""),1285)</f>
        <v>1285</v>
      </c>
      <c r="Q60" s="1">
        <f ca="1">IFERROR(__xludf.DUMMYFUNCTION("""COMPUTED_VALUE"""),659)</f>
        <v>659</v>
      </c>
      <c r="R60" s="1">
        <f ca="1">IFERROR(__xludf.DUMMYFUNCTION("""COMPUTED_VALUE"""),1747)</f>
        <v>1747</v>
      </c>
      <c r="S60" s="1">
        <f ca="1">IFERROR(__xludf.DUMMYFUNCTION("""COMPUTED_VALUE"""),0.377)</f>
        <v>0.377</v>
      </c>
      <c r="T60" s="1">
        <f ca="1">IFERROR(__xludf.DUMMYFUNCTION("""COMPUTED_VALUE"""),194)</f>
        <v>194</v>
      </c>
      <c r="U60" s="1">
        <f ca="1">IFERROR(__xludf.DUMMYFUNCTION("""COMPUTED_VALUE"""),644)</f>
        <v>644</v>
      </c>
      <c r="V60" s="1">
        <f ca="1">IFERROR(__xludf.DUMMYFUNCTION("""COMPUTED_VALUE"""),0.301)</f>
        <v>0.30099999999999999</v>
      </c>
      <c r="W60" s="1">
        <f ca="1">IFERROR(__xludf.DUMMYFUNCTION("""COMPUTED_VALUE"""),343)</f>
        <v>343</v>
      </c>
      <c r="X60" s="1">
        <f ca="1">IFERROR(__xludf.DUMMYFUNCTION("""COMPUTED_VALUE"""),514)</f>
        <v>514</v>
      </c>
      <c r="Y60" s="1">
        <f ca="1">IFERROR(__xludf.DUMMYFUNCTION("""COMPUTED_VALUE"""),0.667)</f>
        <v>0.66700000000000004</v>
      </c>
      <c r="Z60" s="1">
        <f ca="1">IFERROR(__xludf.DUMMYFUNCTION("""COMPUTED_VALUE"""),391)</f>
        <v>391</v>
      </c>
      <c r="AA60" s="1">
        <f ca="1">IFERROR(__xludf.DUMMYFUNCTION("""COMPUTED_VALUE"""),1050)</f>
        <v>1050</v>
      </c>
      <c r="AB60" s="1">
        <f ca="1">IFERROR(__xludf.DUMMYFUNCTION("""COMPUTED_VALUE"""),295)</f>
        <v>295</v>
      </c>
      <c r="AC60" s="1">
        <f ca="1">IFERROR(__xludf.DUMMYFUNCTION("""COMPUTED_VALUE"""),268)</f>
        <v>268</v>
      </c>
      <c r="AD60" s="1">
        <f ca="1">IFERROR(__xludf.DUMMYFUNCTION("""COMPUTED_VALUE"""),93)</f>
        <v>93</v>
      </c>
      <c r="AE60" s="1">
        <f ca="1">IFERROR(__xludf.DUMMYFUNCTION("""COMPUTED_VALUE"""),471)</f>
        <v>471</v>
      </c>
      <c r="AF60" s="1">
        <f ca="1">IFERROR(__xludf.DUMMYFUNCTION("""COMPUTED_VALUE"""),680)</f>
        <v>680</v>
      </c>
    </row>
    <row r="61" spans="1:32" ht="12.5" x14ac:dyDescent="0.25">
      <c r="A61" s="1" t="str">
        <f ca="1">IFERROR(__xludf.DUMMYFUNCTION("""COMPUTED_VALUE"""),"CincinnatiNCAA")</f>
        <v>CincinnatiNCAA</v>
      </c>
      <c r="B61" s="1">
        <f ca="1">IFERROR(__xludf.DUMMYFUNCTION("""COMPUTED_VALUE"""),34)</f>
        <v>34</v>
      </c>
      <c r="C61" s="1">
        <f ca="1">IFERROR(__xludf.DUMMYFUNCTION("""COMPUTED_VALUE"""),23)</f>
        <v>23</v>
      </c>
      <c r="D61" s="1">
        <f ca="1">IFERROR(__xludf.DUMMYFUNCTION("""COMPUTED_VALUE"""),11)</f>
        <v>11</v>
      </c>
      <c r="E61" s="1">
        <f ca="1">IFERROR(__xludf.DUMMYFUNCTION("""COMPUTED_VALUE"""),0.676)</f>
        <v>0.67600000000000005</v>
      </c>
      <c r="F61" s="1">
        <f ca="1">IFERROR(__xludf.DUMMYFUNCTION("""COMPUTED_VALUE"""),10.72)</f>
        <v>10.72</v>
      </c>
      <c r="G61" s="1">
        <f ca="1">IFERROR(__xludf.DUMMYFUNCTION("""COMPUTED_VALUE"""),4.4)</f>
        <v>4.4000000000000004</v>
      </c>
      <c r="H61" s="1">
        <f ca="1">IFERROR(__xludf.DUMMYFUNCTION("""COMPUTED_VALUE"""),13)</f>
        <v>13</v>
      </c>
      <c r="I61" s="1">
        <f ca="1">IFERROR(__xludf.DUMMYFUNCTION("""COMPUTED_VALUE"""),5)</f>
        <v>5</v>
      </c>
      <c r="J61" s="1">
        <f ca="1">IFERROR(__xludf.DUMMYFUNCTION("""COMPUTED_VALUE"""),15)</f>
        <v>15</v>
      </c>
      <c r="K61" s="1">
        <f ca="1">IFERROR(__xludf.DUMMYFUNCTION("""COMPUTED_VALUE"""),3)</f>
        <v>3</v>
      </c>
      <c r="L61" s="1">
        <f ca="1">IFERROR(__xludf.DUMMYFUNCTION("""COMPUTED_VALUE"""),6)</f>
        <v>6</v>
      </c>
      <c r="M61" s="1">
        <f ca="1">IFERROR(__xludf.DUMMYFUNCTION("""COMPUTED_VALUE"""),5)</f>
        <v>5</v>
      </c>
      <c r="N61" s="1">
        <f ca="1">IFERROR(__xludf.DUMMYFUNCTION("""COMPUTED_VALUE"""),2113)</f>
        <v>2113</v>
      </c>
      <c r="O61" s="1">
        <f ca="1">IFERROR(__xludf.DUMMYFUNCTION("""COMPUTED_VALUE"""),1898)</f>
        <v>1898</v>
      </c>
      <c r="P61" s="1">
        <f ca="1">IFERROR(__xludf.DUMMYFUNCTION("""COMPUTED_VALUE"""),1380)</f>
        <v>1380</v>
      </c>
      <c r="Q61" s="1">
        <f ca="1">IFERROR(__xludf.DUMMYFUNCTION("""COMPUTED_VALUE"""),761)</f>
        <v>761</v>
      </c>
      <c r="R61" s="1">
        <f ca="1">IFERROR(__xludf.DUMMYFUNCTION("""COMPUTED_VALUE"""),1705)</f>
        <v>1705</v>
      </c>
      <c r="S61" s="1">
        <f ca="1">IFERROR(__xludf.DUMMYFUNCTION("""COMPUTED_VALUE"""),0.446)</f>
        <v>0.44600000000000001</v>
      </c>
      <c r="T61" s="1">
        <f ca="1">IFERROR(__xludf.DUMMYFUNCTION("""COMPUTED_VALUE"""),167)</f>
        <v>167</v>
      </c>
      <c r="U61" s="1">
        <f ca="1">IFERROR(__xludf.DUMMYFUNCTION("""COMPUTED_VALUE"""),507)</f>
        <v>507</v>
      </c>
      <c r="V61" s="1">
        <f ca="1">IFERROR(__xludf.DUMMYFUNCTION("""COMPUTED_VALUE"""),0.329)</f>
        <v>0.32900000000000001</v>
      </c>
      <c r="W61" s="1">
        <f ca="1">IFERROR(__xludf.DUMMYFUNCTION("""COMPUTED_VALUE"""),424)</f>
        <v>424</v>
      </c>
      <c r="X61" s="1">
        <f ca="1">IFERROR(__xludf.DUMMYFUNCTION("""COMPUTED_VALUE"""),633)</f>
        <v>633</v>
      </c>
      <c r="Y61" s="1">
        <f ca="1">IFERROR(__xludf.DUMMYFUNCTION("""COMPUTED_VALUE"""),0.67)</f>
        <v>0.67</v>
      </c>
      <c r="Z61" s="1">
        <f ca="1">IFERROR(__xludf.DUMMYFUNCTION("""COMPUTED_VALUE"""),383)</f>
        <v>383</v>
      </c>
      <c r="AA61" s="1">
        <f ca="1">IFERROR(__xludf.DUMMYFUNCTION("""COMPUTED_VALUE"""),1178)</f>
        <v>1178</v>
      </c>
      <c r="AB61" s="1">
        <f ca="1">IFERROR(__xludf.DUMMYFUNCTION("""COMPUTED_VALUE"""),394)</f>
        <v>394</v>
      </c>
      <c r="AC61" s="1">
        <f ca="1">IFERROR(__xludf.DUMMYFUNCTION("""COMPUTED_VALUE"""),222)</f>
        <v>222</v>
      </c>
      <c r="AD61" s="1">
        <f ca="1">IFERROR(__xludf.DUMMYFUNCTION("""COMPUTED_VALUE"""),185)</f>
        <v>185</v>
      </c>
      <c r="AE61" s="1">
        <f ca="1">IFERROR(__xludf.DUMMYFUNCTION("""COMPUTED_VALUE"""),432)</f>
        <v>432</v>
      </c>
      <c r="AF61" s="1">
        <f ca="1">IFERROR(__xludf.DUMMYFUNCTION("""COMPUTED_VALUE"""),507)</f>
        <v>507</v>
      </c>
    </row>
    <row r="62" spans="1:32" ht="12.5" x14ac:dyDescent="0.25">
      <c r="A62" s="1" t="str">
        <f ca="1">IFERROR(__xludf.DUMMYFUNCTION("""COMPUTED_VALUE"""),"Citadel")</f>
        <v>Citadel</v>
      </c>
      <c r="B62" s="1">
        <f ca="1">IFERROR(__xludf.DUMMYFUNCTION("""COMPUTED_VALUE"""),30)</f>
        <v>30</v>
      </c>
      <c r="C62" s="1">
        <f ca="1">IFERROR(__xludf.DUMMYFUNCTION("""COMPUTED_VALUE"""),11)</f>
        <v>11</v>
      </c>
      <c r="D62" s="1">
        <f ca="1">IFERROR(__xludf.DUMMYFUNCTION("""COMPUTED_VALUE"""),19)</f>
        <v>19</v>
      </c>
      <c r="E62" s="1">
        <f ca="1">IFERROR(__xludf.DUMMYFUNCTION("""COMPUTED_VALUE"""),0.367)</f>
        <v>0.36699999999999999</v>
      </c>
      <c r="F62" s="1">
        <f ca="1">IFERROR(__xludf.DUMMYFUNCTION("""COMPUTED_VALUE"""),-12.91)</f>
        <v>-12.91</v>
      </c>
      <c r="G62" s="1">
        <f ca="1">IFERROR(__xludf.DUMMYFUNCTION("""COMPUTED_VALUE"""),-4.68)</f>
        <v>-4.68</v>
      </c>
      <c r="H62" s="1">
        <f ca="1">IFERROR(__xludf.DUMMYFUNCTION("""COMPUTED_VALUE"""),6)</f>
        <v>6</v>
      </c>
      <c r="I62" s="1">
        <f ca="1">IFERROR(__xludf.DUMMYFUNCTION("""COMPUTED_VALUE"""),12)</f>
        <v>12</v>
      </c>
      <c r="J62" s="1">
        <f ca="1">IFERROR(__xludf.DUMMYFUNCTION("""COMPUTED_VALUE"""),8)</f>
        <v>8</v>
      </c>
      <c r="K62" s="1">
        <f ca="1">IFERROR(__xludf.DUMMYFUNCTION("""COMPUTED_VALUE"""),6)</f>
        <v>6</v>
      </c>
      <c r="L62" s="1">
        <f ca="1">IFERROR(__xludf.DUMMYFUNCTION("""COMPUTED_VALUE"""),3)</f>
        <v>3</v>
      </c>
      <c r="M62" s="1">
        <f ca="1">IFERROR(__xludf.DUMMYFUNCTION("""COMPUTED_VALUE"""),10)</f>
        <v>10</v>
      </c>
      <c r="N62" s="1">
        <f ca="1">IFERROR(__xludf.DUMMYFUNCTION("""COMPUTED_VALUE"""),1919)</f>
        <v>1919</v>
      </c>
      <c r="O62" s="1">
        <f ca="1">IFERROR(__xludf.DUMMYFUNCTION("""COMPUTED_VALUE"""),2058)</f>
        <v>2058</v>
      </c>
      <c r="P62" s="1">
        <f ca="1">IFERROR(__xludf.DUMMYFUNCTION("""COMPUTED_VALUE"""),1210)</f>
        <v>1210</v>
      </c>
      <c r="Q62" s="1">
        <f ca="1">IFERROR(__xludf.DUMMYFUNCTION("""COMPUTED_VALUE"""),647)</f>
        <v>647</v>
      </c>
      <c r="R62" s="1">
        <f ca="1">IFERROR(__xludf.DUMMYFUNCTION("""COMPUTED_VALUE"""),1436)</f>
        <v>1436</v>
      </c>
      <c r="S62" s="1">
        <f ca="1">IFERROR(__xludf.DUMMYFUNCTION("""COMPUTED_VALUE"""),0.451)</f>
        <v>0.45100000000000001</v>
      </c>
      <c r="T62" s="1">
        <f ca="1">IFERROR(__xludf.DUMMYFUNCTION("""COMPUTED_VALUE"""),206)</f>
        <v>206</v>
      </c>
      <c r="U62" s="1">
        <f ca="1">IFERROR(__xludf.DUMMYFUNCTION("""COMPUTED_VALUE"""),515)</f>
        <v>515</v>
      </c>
      <c r="V62" s="1">
        <f ca="1">IFERROR(__xludf.DUMMYFUNCTION("""COMPUTED_VALUE"""),0.4)</f>
        <v>0.4</v>
      </c>
      <c r="W62" s="1">
        <f ca="1">IFERROR(__xludf.DUMMYFUNCTION("""COMPUTED_VALUE"""),419)</f>
        <v>419</v>
      </c>
      <c r="X62" s="1">
        <f ca="1">IFERROR(__xludf.DUMMYFUNCTION("""COMPUTED_VALUE"""),546)</f>
        <v>546</v>
      </c>
      <c r="Y62" s="1">
        <f ca="1">IFERROR(__xludf.DUMMYFUNCTION("""COMPUTED_VALUE"""),0.767)</f>
        <v>0.76700000000000002</v>
      </c>
      <c r="Z62" s="1">
        <f ca="1">IFERROR(__xludf.DUMMYFUNCTION("""COMPUTED_VALUE"""),271)</f>
        <v>271</v>
      </c>
      <c r="AA62" s="1">
        <f ca="1">IFERROR(__xludf.DUMMYFUNCTION("""COMPUTED_VALUE"""),874)</f>
        <v>874</v>
      </c>
      <c r="AB62" s="1">
        <f ca="1">IFERROR(__xludf.DUMMYFUNCTION("""COMPUTED_VALUE"""),394)</f>
        <v>394</v>
      </c>
      <c r="AC62" s="1">
        <f ca="1">IFERROR(__xludf.DUMMYFUNCTION("""COMPUTED_VALUE"""),141)</f>
        <v>141</v>
      </c>
      <c r="AD62" s="1">
        <f ca="1">IFERROR(__xludf.DUMMYFUNCTION("""COMPUTED_VALUE"""),66)</f>
        <v>66</v>
      </c>
      <c r="AE62" s="1">
        <f ca="1">IFERROR(__xludf.DUMMYFUNCTION("""COMPUTED_VALUE"""),392)</f>
        <v>392</v>
      </c>
      <c r="AF62" s="1">
        <f ca="1">IFERROR(__xludf.DUMMYFUNCTION("""COMPUTED_VALUE"""),449)</f>
        <v>449</v>
      </c>
    </row>
    <row r="63" spans="1:32" ht="12.5" x14ac:dyDescent="0.25">
      <c r="A63" s="1" t="str">
        <f ca="1">IFERROR(__xludf.DUMMYFUNCTION("""COMPUTED_VALUE"""),"Clemson")</f>
        <v>Clemson</v>
      </c>
      <c r="B63" s="1">
        <f ca="1">IFERROR(__xludf.DUMMYFUNCTION("""COMPUTED_VALUE"""),31)</f>
        <v>31</v>
      </c>
      <c r="C63" s="1">
        <f ca="1">IFERROR(__xludf.DUMMYFUNCTION("""COMPUTED_VALUE"""),16)</f>
        <v>16</v>
      </c>
      <c r="D63" s="1">
        <f ca="1">IFERROR(__xludf.DUMMYFUNCTION("""COMPUTED_VALUE"""),15)</f>
        <v>15</v>
      </c>
      <c r="E63" s="1">
        <f ca="1">IFERROR(__xludf.DUMMYFUNCTION("""COMPUTED_VALUE"""),0.516)</f>
        <v>0.51600000000000001</v>
      </c>
      <c r="F63" s="1">
        <f ca="1">IFERROR(__xludf.DUMMYFUNCTION("""COMPUTED_VALUE"""),7.73)</f>
        <v>7.73</v>
      </c>
      <c r="G63" s="1">
        <f ca="1">IFERROR(__xludf.DUMMYFUNCTION("""COMPUTED_VALUE"""),7.18)</f>
        <v>7.18</v>
      </c>
      <c r="H63" s="1">
        <f ca="1">IFERROR(__xludf.DUMMYFUNCTION("""COMPUTED_VALUE"""),8)</f>
        <v>8</v>
      </c>
      <c r="I63" s="1">
        <f ca="1">IFERROR(__xludf.DUMMYFUNCTION("""COMPUTED_VALUE"""),10)</f>
        <v>10</v>
      </c>
      <c r="J63" s="1">
        <f ca="1">IFERROR(__xludf.DUMMYFUNCTION("""COMPUTED_VALUE"""),11)</f>
        <v>11</v>
      </c>
      <c r="K63" s="1">
        <f ca="1">IFERROR(__xludf.DUMMYFUNCTION("""COMPUTED_VALUE"""),6)</f>
        <v>6</v>
      </c>
      <c r="L63" s="1">
        <f ca="1">IFERROR(__xludf.DUMMYFUNCTION("""COMPUTED_VALUE"""),3)</f>
        <v>3</v>
      </c>
      <c r="M63" s="1">
        <f ca="1">IFERROR(__xludf.DUMMYFUNCTION("""COMPUTED_VALUE"""),7)</f>
        <v>7</v>
      </c>
      <c r="N63" s="1">
        <f ca="1">IFERROR(__xludf.DUMMYFUNCTION("""COMPUTED_VALUE"""),1944)</f>
        <v>1944</v>
      </c>
      <c r="O63" s="1">
        <f ca="1">IFERROR(__xludf.DUMMYFUNCTION("""COMPUTED_VALUE"""),1927)</f>
        <v>1927</v>
      </c>
      <c r="P63" s="1">
        <f ca="1">IFERROR(__xludf.DUMMYFUNCTION("""COMPUTED_VALUE"""),1250)</f>
        <v>1250</v>
      </c>
      <c r="Q63" s="1">
        <f ca="1">IFERROR(__xludf.DUMMYFUNCTION("""COMPUTED_VALUE"""),689)</f>
        <v>689</v>
      </c>
      <c r="R63" s="1">
        <f ca="1">IFERROR(__xludf.DUMMYFUNCTION("""COMPUTED_VALUE"""),1685)</f>
        <v>1685</v>
      </c>
      <c r="S63" s="1">
        <f ca="1">IFERROR(__xludf.DUMMYFUNCTION("""COMPUTED_VALUE"""),0.409)</f>
        <v>0.40899999999999997</v>
      </c>
      <c r="T63" s="1">
        <f ca="1">IFERROR(__xludf.DUMMYFUNCTION("""COMPUTED_VALUE"""),171)</f>
        <v>171</v>
      </c>
      <c r="U63" s="1">
        <f ca="1">IFERROR(__xludf.DUMMYFUNCTION("""COMPUTED_VALUE"""),572)</f>
        <v>572</v>
      </c>
      <c r="V63" s="1">
        <f ca="1">IFERROR(__xludf.DUMMYFUNCTION("""COMPUTED_VALUE"""),0.299)</f>
        <v>0.29899999999999999</v>
      </c>
      <c r="W63" s="1">
        <f ca="1">IFERROR(__xludf.DUMMYFUNCTION("""COMPUTED_VALUE"""),395)</f>
        <v>395</v>
      </c>
      <c r="X63" s="1">
        <f ca="1">IFERROR(__xludf.DUMMYFUNCTION("""COMPUTED_VALUE"""),579)</f>
        <v>579</v>
      </c>
      <c r="Y63" s="1">
        <f ca="1">IFERROR(__xludf.DUMMYFUNCTION("""COMPUTED_VALUE"""),0.682)</f>
        <v>0.68200000000000005</v>
      </c>
      <c r="Z63" s="1">
        <f ca="1">IFERROR(__xludf.DUMMYFUNCTION("""COMPUTED_VALUE"""),369)</f>
        <v>369</v>
      </c>
      <c r="AA63" s="1">
        <f ca="1">IFERROR(__xludf.DUMMYFUNCTION("""COMPUTED_VALUE"""),1122)</f>
        <v>1122</v>
      </c>
      <c r="AB63" s="1">
        <f ca="1">IFERROR(__xludf.DUMMYFUNCTION("""COMPUTED_VALUE"""),330)</f>
        <v>330</v>
      </c>
      <c r="AC63" s="1">
        <f ca="1">IFERROR(__xludf.DUMMYFUNCTION("""COMPUTED_VALUE"""),168)</f>
        <v>168</v>
      </c>
      <c r="AD63" s="1">
        <f ca="1">IFERROR(__xludf.DUMMYFUNCTION("""COMPUTED_VALUE"""),148)</f>
        <v>148</v>
      </c>
      <c r="AE63" s="1">
        <f ca="1">IFERROR(__xludf.DUMMYFUNCTION("""COMPUTED_VALUE"""),365)</f>
        <v>365</v>
      </c>
      <c r="AF63" s="1">
        <f ca="1">IFERROR(__xludf.DUMMYFUNCTION("""COMPUTED_VALUE"""),502)</f>
        <v>502</v>
      </c>
    </row>
    <row r="64" spans="1:32" ht="12.5" x14ac:dyDescent="0.25">
      <c r="A64" s="1" t="str">
        <f ca="1">IFERROR(__xludf.DUMMYFUNCTION("""COMPUTED_VALUE"""),"Cleveland State")</f>
        <v>Cleveland State</v>
      </c>
      <c r="B64" s="1">
        <f ca="1">IFERROR(__xludf.DUMMYFUNCTION("""COMPUTED_VALUE"""),34)</f>
        <v>34</v>
      </c>
      <c r="C64" s="1">
        <f ca="1">IFERROR(__xludf.DUMMYFUNCTION("""COMPUTED_VALUE"""),19)</f>
        <v>19</v>
      </c>
      <c r="D64" s="1">
        <f ca="1">IFERROR(__xludf.DUMMYFUNCTION("""COMPUTED_VALUE"""),15)</f>
        <v>15</v>
      </c>
      <c r="E64" s="1">
        <f ca="1">IFERROR(__xludf.DUMMYFUNCTION("""COMPUTED_VALUE"""),0.559)</f>
        <v>0.55900000000000005</v>
      </c>
      <c r="F64" s="1">
        <f ca="1">IFERROR(__xludf.DUMMYFUNCTION("""COMPUTED_VALUE"""),3.07)</f>
        <v>3.07</v>
      </c>
      <c r="G64" s="1">
        <f ca="1">IFERROR(__xludf.DUMMYFUNCTION("""COMPUTED_VALUE"""),-0.78)</f>
        <v>-0.78</v>
      </c>
      <c r="H64" s="1">
        <f ca="1">IFERROR(__xludf.DUMMYFUNCTION("""COMPUTED_VALUE"""),11)</f>
        <v>11</v>
      </c>
      <c r="I64" s="1">
        <f ca="1">IFERROR(__xludf.DUMMYFUNCTION("""COMPUTED_VALUE"""),5)</f>
        <v>5</v>
      </c>
      <c r="J64" s="1">
        <f ca="1">IFERROR(__xludf.DUMMYFUNCTION("""COMPUTED_VALUE"""),12)</f>
        <v>12</v>
      </c>
      <c r="K64" s="1">
        <f ca="1">IFERROR(__xludf.DUMMYFUNCTION("""COMPUTED_VALUE"""),3)</f>
        <v>3</v>
      </c>
      <c r="L64" s="1">
        <f ca="1">IFERROR(__xludf.DUMMYFUNCTION("""COMPUTED_VALUE"""),6)</f>
        <v>6</v>
      </c>
      <c r="M64" s="1">
        <f ca="1">IFERROR(__xludf.DUMMYFUNCTION("""COMPUTED_VALUE"""),12)</f>
        <v>12</v>
      </c>
      <c r="N64" s="1">
        <f ca="1">IFERROR(__xludf.DUMMYFUNCTION("""COMPUTED_VALUE"""),2296)</f>
        <v>2296</v>
      </c>
      <c r="O64" s="1">
        <f ca="1">IFERROR(__xludf.DUMMYFUNCTION("""COMPUTED_VALUE"""),2098)</f>
        <v>2098</v>
      </c>
      <c r="P64" s="1">
        <f ca="1">IFERROR(__xludf.DUMMYFUNCTION("""COMPUTED_VALUE"""),1335)</f>
        <v>1335</v>
      </c>
      <c r="Q64" s="1">
        <f ca="1">IFERROR(__xludf.DUMMYFUNCTION("""COMPUTED_VALUE"""),794)</f>
        <v>794</v>
      </c>
      <c r="R64" s="1">
        <f ca="1">IFERROR(__xludf.DUMMYFUNCTION("""COMPUTED_VALUE"""),1760)</f>
        <v>1760</v>
      </c>
      <c r="S64" s="1">
        <f ca="1">IFERROR(__xludf.DUMMYFUNCTION("""COMPUTED_VALUE"""),0.451)</f>
        <v>0.45100000000000001</v>
      </c>
      <c r="T64" s="1">
        <f ca="1">IFERROR(__xludf.DUMMYFUNCTION("""COMPUTED_VALUE"""),238)</f>
        <v>238</v>
      </c>
      <c r="U64" s="1">
        <f ca="1">IFERROR(__xludf.DUMMYFUNCTION("""COMPUTED_VALUE"""),629)</f>
        <v>629</v>
      </c>
      <c r="V64" s="1">
        <f ca="1">IFERROR(__xludf.DUMMYFUNCTION("""COMPUTED_VALUE"""),0.378)</f>
        <v>0.378</v>
      </c>
      <c r="W64" s="1">
        <f ca="1">IFERROR(__xludf.DUMMYFUNCTION("""COMPUTED_VALUE"""),382)</f>
        <v>382</v>
      </c>
      <c r="X64" s="1">
        <f ca="1">IFERROR(__xludf.DUMMYFUNCTION("""COMPUTED_VALUE"""),557)</f>
        <v>557</v>
      </c>
      <c r="Y64" s="1">
        <f ca="1">IFERROR(__xludf.DUMMYFUNCTION("""COMPUTED_VALUE"""),0.686)</f>
        <v>0.68600000000000005</v>
      </c>
      <c r="Z64" s="1">
        <f ca="1">IFERROR(__xludf.DUMMYFUNCTION("""COMPUTED_VALUE"""),353)</f>
        <v>353</v>
      </c>
      <c r="AA64" s="1">
        <f ca="1">IFERROR(__xludf.DUMMYFUNCTION("""COMPUTED_VALUE"""),1072)</f>
        <v>1072</v>
      </c>
      <c r="AB64" s="1">
        <f ca="1">IFERROR(__xludf.DUMMYFUNCTION("""COMPUTED_VALUE"""),441)</f>
        <v>441</v>
      </c>
      <c r="AC64" s="1">
        <f ca="1">IFERROR(__xludf.DUMMYFUNCTION("""COMPUTED_VALUE"""),250)</f>
        <v>250</v>
      </c>
      <c r="AD64" s="1">
        <f ca="1">IFERROR(__xludf.DUMMYFUNCTION("""COMPUTED_VALUE"""),109)</f>
        <v>109</v>
      </c>
      <c r="AE64" s="1">
        <f ca="1">IFERROR(__xludf.DUMMYFUNCTION("""COMPUTED_VALUE"""),408)</f>
        <v>408</v>
      </c>
      <c r="AF64" s="1">
        <f ca="1">IFERROR(__xludf.DUMMYFUNCTION("""COMPUTED_VALUE"""),636)</f>
        <v>636</v>
      </c>
    </row>
    <row r="65" spans="1:32" ht="12.5" x14ac:dyDescent="0.25">
      <c r="A65" s="1" t="str">
        <f ca="1">IFERROR(__xludf.DUMMYFUNCTION("""COMPUTED_VALUE"""),"Coastal CarolinaNCAA")</f>
        <v>Coastal CarolinaNCAA</v>
      </c>
      <c r="B65" s="1">
        <f ca="1">IFERROR(__xludf.DUMMYFUNCTION("""COMPUTED_VALUE"""),34)</f>
        <v>34</v>
      </c>
      <c r="C65" s="1">
        <f ca="1">IFERROR(__xludf.DUMMYFUNCTION("""COMPUTED_VALUE"""),24)</f>
        <v>24</v>
      </c>
      <c r="D65" s="1">
        <f ca="1">IFERROR(__xludf.DUMMYFUNCTION("""COMPUTED_VALUE"""),10)</f>
        <v>10</v>
      </c>
      <c r="E65" s="1">
        <f ca="1">IFERROR(__xludf.DUMMYFUNCTION("""COMPUTED_VALUE"""),0.706)</f>
        <v>0.70599999999999996</v>
      </c>
      <c r="F65" s="1">
        <f ca="1">IFERROR(__xludf.DUMMYFUNCTION("""COMPUTED_VALUE"""),-1.02)</f>
        <v>-1.02</v>
      </c>
      <c r="G65" s="1">
        <f ca="1">IFERROR(__xludf.DUMMYFUNCTION("""COMPUTED_VALUE"""),-6.18)</f>
        <v>-6.18</v>
      </c>
      <c r="H65" s="1">
        <f ca="1">IFERROR(__xludf.DUMMYFUNCTION("""COMPUTED_VALUE"""),12)</f>
        <v>12</v>
      </c>
      <c r="I65" s="1">
        <f ca="1">IFERROR(__xludf.DUMMYFUNCTION("""COMPUTED_VALUE"""),6)</f>
        <v>6</v>
      </c>
      <c r="J65" s="1">
        <f ca="1">IFERROR(__xludf.DUMMYFUNCTION("""COMPUTED_VALUE"""),14)</f>
        <v>14</v>
      </c>
      <c r="K65" s="1">
        <f ca="1">IFERROR(__xludf.DUMMYFUNCTION("""COMPUTED_VALUE"""),2)</f>
        <v>2</v>
      </c>
      <c r="L65" s="1">
        <f ca="1">IFERROR(__xludf.DUMMYFUNCTION("""COMPUTED_VALUE"""),8)</f>
        <v>8</v>
      </c>
      <c r="M65" s="1">
        <f ca="1">IFERROR(__xludf.DUMMYFUNCTION("""COMPUTED_VALUE"""),7)</f>
        <v>7</v>
      </c>
      <c r="N65" s="1">
        <f ca="1">IFERROR(__xludf.DUMMYFUNCTION("""COMPUTED_VALUE"""),2438)</f>
        <v>2438</v>
      </c>
      <c r="O65" s="1">
        <f ca="1">IFERROR(__xludf.DUMMYFUNCTION("""COMPUTED_VALUE"""),2121)</f>
        <v>2121</v>
      </c>
      <c r="P65" s="1">
        <f ca="1">IFERROR(__xludf.DUMMYFUNCTION("""COMPUTED_VALUE"""),1360)</f>
        <v>1360</v>
      </c>
      <c r="Q65" s="1">
        <f ca="1">IFERROR(__xludf.DUMMYFUNCTION("""COMPUTED_VALUE"""),836)</f>
        <v>836</v>
      </c>
      <c r="R65" s="1">
        <f ca="1">IFERROR(__xludf.DUMMYFUNCTION("""COMPUTED_VALUE"""),1899)</f>
        <v>1899</v>
      </c>
      <c r="S65" s="1">
        <f ca="1">IFERROR(__xludf.DUMMYFUNCTION("""COMPUTED_VALUE"""),0.44)</f>
        <v>0.44</v>
      </c>
      <c r="T65" s="1">
        <f ca="1">IFERROR(__xludf.DUMMYFUNCTION("""COMPUTED_VALUE"""),228)</f>
        <v>228</v>
      </c>
      <c r="U65" s="1">
        <f ca="1">IFERROR(__xludf.DUMMYFUNCTION("""COMPUTED_VALUE"""),633)</f>
        <v>633</v>
      </c>
      <c r="V65" s="1">
        <f ca="1">IFERROR(__xludf.DUMMYFUNCTION("""COMPUTED_VALUE"""),0.36)</f>
        <v>0.36</v>
      </c>
      <c r="W65" s="1">
        <f ca="1">IFERROR(__xludf.DUMMYFUNCTION("""COMPUTED_VALUE"""),538)</f>
        <v>538</v>
      </c>
      <c r="X65" s="1">
        <f ca="1">IFERROR(__xludf.DUMMYFUNCTION("""COMPUTED_VALUE"""),780)</f>
        <v>780</v>
      </c>
      <c r="Y65" s="1">
        <f ca="1">IFERROR(__xludf.DUMMYFUNCTION("""COMPUTED_VALUE"""),0.69)</f>
        <v>0.69</v>
      </c>
      <c r="Z65" s="1">
        <f ca="1">IFERROR(__xludf.DUMMYFUNCTION("""COMPUTED_VALUE"""),447)</f>
        <v>447</v>
      </c>
      <c r="AA65" s="1">
        <f ca="1">IFERROR(__xludf.DUMMYFUNCTION("""COMPUTED_VALUE"""),1338)</f>
        <v>1338</v>
      </c>
      <c r="AB65" s="1">
        <f ca="1">IFERROR(__xludf.DUMMYFUNCTION("""COMPUTED_VALUE"""),385)</f>
        <v>385</v>
      </c>
      <c r="AC65" s="1">
        <f ca="1">IFERROR(__xludf.DUMMYFUNCTION("""COMPUTED_VALUE"""),240)</f>
        <v>240</v>
      </c>
      <c r="AD65" s="1">
        <f ca="1">IFERROR(__xludf.DUMMYFUNCTION("""COMPUTED_VALUE"""),111)</f>
        <v>111</v>
      </c>
      <c r="AE65" s="1">
        <f ca="1">IFERROR(__xludf.DUMMYFUNCTION("""COMPUTED_VALUE"""),399)</f>
        <v>399</v>
      </c>
      <c r="AF65" s="1">
        <f ca="1">IFERROR(__xludf.DUMMYFUNCTION("""COMPUTED_VALUE"""),559)</f>
        <v>559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IFERROR(__xludf.DUMMYFUNCTION("""COMPUTED_VALUE"""),"Colgate")</f>
        <v>Colgate</v>
      </c>
      <c r="B68" s="1">
        <f ca="1">IFERROR(__xludf.DUMMYFUNCTION("""COMPUTED_VALUE"""),33)</f>
        <v>33</v>
      </c>
      <c r="C68" s="1">
        <f ca="1">IFERROR(__xludf.DUMMYFUNCTION("""COMPUTED_VALUE"""),16)</f>
        <v>16</v>
      </c>
      <c r="D68" s="1">
        <f ca="1">IFERROR(__xludf.DUMMYFUNCTION("""COMPUTED_VALUE"""),17)</f>
        <v>17</v>
      </c>
      <c r="E68" s="1">
        <f ca="1">IFERROR(__xludf.DUMMYFUNCTION("""COMPUTED_VALUE"""),0.485)</f>
        <v>0.48499999999999999</v>
      </c>
      <c r="F68" s="1">
        <f ca="1">IFERROR(__xludf.DUMMYFUNCTION("""COMPUTED_VALUE"""),-2.91)</f>
        <v>-2.91</v>
      </c>
      <c r="G68" s="1">
        <f ca="1">IFERROR(__xludf.DUMMYFUNCTION("""COMPUTED_VALUE"""),-3.41)</f>
        <v>-3.41</v>
      </c>
      <c r="H68" s="1">
        <f ca="1">IFERROR(__xludf.DUMMYFUNCTION("""COMPUTED_VALUE"""),12)</f>
        <v>12</v>
      </c>
      <c r="I68" s="1">
        <f ca="1">IFERROR(__xludf.DUMMYFUNCTION("""COMPUTED_VALUE"""),6)</f>
        <v>6</v>
      </c>
      <c r="J68" s="1">
        <f ca="1">IFERROR(__xludf.DUMMYFUNCTION("""COMPUTED_VALUE"""),10)</f>
        <v>10</v>
      </c>
      <c r="K68" s="1">
        <f ca="1">IFERROR(__xludf.DUMMYFUNCTION("""COMPUTED_VALUE"""),5)</f>
        <v>5</v>
      </c>
      <c r="L68" s="1">
        <f ca="1">IFERROR(__xludf.DUMMYFUNCTION("""COMPUTED_VALUE"""),6)</f>
        <v>6</v>
      </c>
      <c r="M68" s="1">
        <f ca="1">IFERROR(__xludf.DUMMYFUNCTION("""COMPUTED_VALUE"""),12)</f>
        <v>12</v>
      </c>
      <c r="N68" s="1">
        <f ca="1">IFERROR(__xludf.DUMMYFUNCTION("""COMPUTED_VALUE"""),2177)</f>
        <v>2177</v>
      </c>
      <c r="O68" s="1">
        <f ca="1">IFERROR(__xludf.DUMMYFUNCTION("""COMPUTED_VALUE"""),2125)</f>
        <v>2125</v>
      </c>
      <c r="P68" s="1">
        <f ca="1">IFERROR(__xludf.DUMMYFUNCTION("""COMPUTED_VALUE"""),1345)</f>
        <v>1345</v>
      </c>
      <c r="Q68" s="1">
        <f ca="1">IFERROR(__xludf.DUMMYFUNCTION("""COMPUTED_VALUE"""),804)</f>
        <v>804</v>
      </c>
      <c r="R68" s="1">
        <f ca="1">IFERROR(__xludf.DUMMYFUNCTION("""COMPUTED_VALUE"""),1661)</f>
        <v>1661</v>
      </c>
      <c r="S68" s="1">
        <f ca="1">IFERROR(__xludf.DUMMYFUNCTION("""COMPUTED_VALUE"""),0.484)</f>
        <v>0.48399999999999999</v>
      </c>
      <c r="T68" s="1">
        <f ca="1">IFERROR(__xludf.DUMMYFUNCTION("""COMPUTED_VALUE"""),253)</f>
        <v>253</v>
      </c>
      <c r="U68" s="1">
        <f ca="1">IFERROR(__xludf.DUMMYFUNCTION("""COMPUTED_VALUE"""),649)</f>
        <v>649</v>
      </c>
      <c r="V68" s="1">
        <f ca="1">IFERROR(__xludf.DUMMYFUNCTION("""COMPUTED_VALUE"""),0.39)</f>
        <v>0.39</v>
      </c>
      <c r="W68" s="1">
        <f ca="1">IFERROR(__xludf.DUMMYFUNCTION("""COMPUTED_VALUE"""),316)</f>
        <v>316</v>
      </c>
      <c r="X68" s="1">
        <f ca="1">IFERROR(__xludf.DUMMYFUNCTION("""COMPUTED_VALUE"""),453)</f>
        <v>453</v>
      </c>
      <c r="Y68" s="1">
        <f ca="1">IFERROR(__xludf.DUMMYFUNCTION("""COMPUTED_VALUE"""),0.698)</f>
        <v>0.69799999999999995</v>
      </c>
      <c r="Z68" s="1">
        <f ca="1">IFERROR(__xludf.DUMMYFUNCTION("""COMPUTED_VALUE"""),229)</f>
        <v>229</v>
      </c>
      <c r="AA68" s="1">
        <f ca="1">IFERROR(__xludf.DUMMYFUNCTION("""COMPUTED_VALUE"""),994)</f>
        <v>994</v>
      </c>
      <c r="AB68" s="1">
        <f ca="1">IFERROR(__xludf.DUMMYFUNCTION("""COMPUTED_VALUE"""),446)</f>
        <v>446</v>
      </c>
      <c r="AC68" s="1">
        <f ca="1">IFERROR(__xludf.DUMMYFUNCTION("""COMPUTED_VALUE"""),170)</f>
        <v>170</v>
      </c>
      <c r="AD68" s="1">
        <f ca="1">IFERROR(__xludf.DUMMYFUNCTION("""COMPUTED_VALUE"""),89)</f>
        <v>89</v>
      </c>
      <c r="AE68" s="1">
        <f ca="1">IFERROR(__xludf.DUMMYFUNCTION("""COMPUTED_VALUE"""),379)</f>
        <v>379</v>
      </c>
      <c r="AF68" s="1">
        <f ca="1">IFERROR(__xludf.DUMMYFUNCTION("""COMPUTED_VALUE"""),557)</f>
        <v>557</v>
      </c>
    </row>
    <row r="69" spans="1:32" ht="12.5" x14ac:dyDescent="0.25">
      <c r="A69" s="1" t="str">
        <f ca="1">IFERROR(__xludf.DUMMYFUNCTION("""COMPUTED_VALUE"""),"College of Charleston")</f>
        <v>College of Charleston</v>
      </c>
      <c r="B69" s="1">
        <f ca="1">IFERROR(__xludf.DUMMYFUNCTION("""COMPUTED_VALUE"""),33)</f>
        <v>33</v>
      </c>
      <c r="C69" s="1">
        <f ca="1">IFERROR(__xludf.DUMMYFUNCTION("""COMPUTED_VALUE"""),9)</f>
        <v>9</v>
      </c>
      <c r="D69" s="1">
        <f ca="1">IFERROR(__xludf.DUMMYFUNCTION("""COMPUTED_VALUE"""),24)</f>
        <v>24</v>
      </c>
      <c r="E69" s="1">
        <f ca="1">IFERROR(__xludf.DUMMYFUNCTION("""COMPUTED_VALUE"""),0.273)</f>
        <v>0.27300000000000002</v>
      </c>
      <c r="F69" s="1">
        <f ca="1">IFERROR(__xludf.DUMMYFUNCTION("""COMPUTED_VALUE"""),-7.23)</f>
        <v>-7.23</v>
      </c>
      <c r="G69" s="1">
        <f ca="1">IFERROR(__xludf.DUMMYFUNCTION("""COMPUTED_VALUE"""),-1.26)</f>
        <v>-1.26</v>
      </c>
      <c r="H69" s="1">
        <f ca="1">IFERROR(__xludf.DUMMYFUNCTION("""COMPUTED_VALUE"""),3)</f>
        <v>3</v>
      </c>
      <c r="I69" s="1">
        <f ca="1">IFERROR(__xludf.DUMMYFUNCTION("""COMPUTED_VALUE"""),15)</f>
        <v>15</v>
      </c>
      <c r="J69" s="1">
        <f ca="1">IFERROR(__xludf.DUMMYFUNCTION("""COMPUTED_VALUE"""),5)</f>
        <v>5</v>
      </c>
      <c r="K69" s="1">
        <f ca="1">IFERROR(__xludf.DUMMYFUNCTION("""COMPUTED_VALUE"""),9)</f>
        <v>9</v>
      </c>
      <c r="L69" s="1">
        <f ca="1">IFERROR(__xludf.DUMMYFUNCTION("""COMPUTED_VALUE"""),2)</f>
        <v>2</v>
      </c>
      <c r="M69" s="1">
        <f ca="1">IFERROR(__xludf.DUMMYFUNCTION("""COMPUTED_VALUE"""),12)</f>
        <v>12</v>
      </c>
      <c r="N69" s="1">
        <f ca="1">IFERROR(__xludf.DUMMYFUNCTION("""COMPUTED_VALUE"""),1934)</f>
        <v>1934</v>
      </c>
      <c r="O69" s="1">
        <f ca="1">IFERROR(__xludf.DUMMYFUNCTION("""COMPUTED_VALUE"""),2131)</f>
        <v>2131</v>
      </c>
      <c r="P69" s="1">
        <f ca="1">IFERROR(__xludf.DUMMYFUNCTION("""COMPUTED_VALUE"""),1330)</f>
        <v>1330</v>
      </c>
      <c r="Q69" s="1">
        <f ca="1">IFERROR(__xludf.DUMMYFUNCTION("""COMPUTED_VALUE"""),686)</f>
        <v>686</v>
      </c>
      <c r="R69" s="1">
        <f ca="1">IFERROR(__xludf.DUMMYFUNCTION("""COMPUTED_VALUE"""),1708)</f>
        <v>1708</v>
      </c>
      <c r="S69" s="1">
        <f ca="1">IFERROR(__xludf.DUMMYFUNCTION("""COMPUTED_VALUE"""),0.402)</f>
        <v>0.40200000000000002</v>
      </c>
      <c r="T69" s="1">
        <f ca="1">IFERROR(__xludf.DUMMYFUNCTION("""COMPUTED_VALUE"""),197)</f>
        <v>197</v>
      </c>
      <c r="U69" s="1">
        <f ca="1">IFERROR(__xludf.DUMMYFUNCTION("""COMPUTED_VALUE"""),575)</f>
        <v>575</v>
      </c>
      <c r="V69" s="1">
        <f ca="1">IFERROR(__xludf.DUMMYFUNCTION("""COMPUTED_VALUE"""),0.343)</f>
        <v>0.34300000000000003</v>
      </c>
      <c r="W69" s="1">
        <f ca="1">IFERROR(__xludf.DUMMYFUNCTION("""COMPUTED_VALUE"""),365)</f>
        <v>365</v>
      </c>
      <c r="X69" s="1">
        <f ca="1">IFERROR(__xludf.DUMMYFUNCTION("""COMPUTED_VALUE"""),553)</f>
        <v>553</v>
      </c>
      <c r="Y69" s="1">
        <f ca="1">IFERROR(__xludf.DUMMYFUNCTION("""COMPUTED_VALUE"""),0.66)</f>
        <v>0.66</v>
      </c>
      <c r="Z69" s="1">
        <f ca="1">IFERROR(__xludf.DUMMYFUNCTION("""COMPUTED_VALUE"""),314)</f>
        <v>314</v>
      </c>
      <c r="AA69" s="1">
        <f ca="1">IFERROR(__xludf.DUMMYFUNCTION("""COMPUTED_VALUE"""),1064)</f>
        <v>1064</v>
      </c>
      <c r="AB69" s="1">
        <f ca="1">IFERROR(__xludf.DUMMYFUNCTION("""COMPUTED_VALUE"""),317)</f>
        <v>317</v>
      </c>
      <c r="AC69" s="1">
        <f ca="1">IFERROR(__xludf.DUMMYFUNCTION("""COMPUTED_VALUE"""),182)</f>
        <v>182</v>
      </c>
      <c r="AD69" s="1">
        <f ca="1">IFERROR(__xludf.DUMMYFUNCTION("""COMPUTED_VALUE"""),96)</f>
        <v>96</v>
      </c>
      <c r="AE69" s="1">
        <f ca="1">IFERROR(__xludf.DUMMYFUNCTION("""COMPUTED_VALUE"""),397)</f>
        <v>397</v>
      </c>
      <c r="AF69" s="1">
        <f ca="1">IFERROR(__xludf.DUMMYFUNCTION("""COMPUTED_VALUE"""),679)</f>
        <v>679</v>
      </c>
    </row>
    <row r="70" spans="1:32" ht="12.5" x14ac:dyDescent="0.25">
      <c r="A70" s="1" t="str">
        <f ca="1">IFERROR(__xludf.DUMMYFUNCTION("""COMPUTED_VALUE"""),"Colorado State")</f>
        <v>Colorado State</v>
      </c>
      <c r="B70" s="1">
        <f ca="1">IFERROR(__xludf.DUMMYFUNCTION("""COMPUTED_VALUE"""),34)</f>
        <v>34</v>
      </c>
      <c r="C70" s="1">
        <f ca="1">IFERROR(__xludf.DUMMYFUNCTION("""COMPUTED_VALUE"""),27)</f>
        <v>27</v>
      </c>
      <c r="D70" s="1">
        <f ca="1">IFERROR(__xludf.DUMMYFUNCTION("""COMPUTED_VALUE"""),7)</f>
        <v>7</v>
      </c>
      <c r="E70" s="1">
        <f ca="1">IFERROR(__xludf.DUMMYFUNCTION("""COMPUTED_VALUE"""),0.794)</f>
        <v>0.79400000000000004</v>
      </c>
      <c r="F70" s="1">
        <f ca="1">IFERROR(__xludf.DUMMYFUNCTION("""COMPUTED_VALUE"""),8.12)</f>
        <v>8.1199999999999992</v>
      </c>
      <c r="G70" s="1">
        <f ca="1">IFERROR(__xludf.DUMMYFUNCTION("""COMPUTED_VALUE"""),0.69)</f>
        <v>0.69</v>
      </c>
      <c r="H70" s="1">
        <f ca="1">IFERROR(__xludf.DUMMYFUNCTION("""COMPUTED_VALUE"""),13)</f>
        <v>13</v>
      </c>
      <c r="I70" s="1">
        <f ca="1">IFERROR(__xludf.DUMMYFUNCTION("""COMPUTED_VALUE"""),5)</f>
        <v>5</v>
      </c>
      <c r="J70" s="1">
        <f ca="1">IFERROR(__xludf.DUMMYFUNCTION("""COMPUTED_VALUE"""),15)</f>
        <v>15</v>
      </c>
      <c r="K70" s="1">
        <f ca="1">IFERROR(__xludf.DUMMYFUNCTION("""COMPUTED_VALUE"""),2)</f>
        <v>2</v>
      </c>
      <c r="L70" s="1">
        <f ca="1">IFERROR(__xludf.DUMMYFUNCTION("""COMPUTED_VALUE"""),8)</f>
        <v>8</v>
      </c>
      <c r="M70" s="1">
        <f ca="1">IFERROR(__xludf.DUMMYFUNCTION("""COMPUTED_VALUE"""),4)</f>
        <v>4</v>
      </c>
      <c r="N70" s="1">
        <f ca="1">IFERROR(__xludf.DUMMYFUNCTION("""COMPUTED_VALUE"""),2454)</f>
        <v>2454</v>
      </c>
      <c r="O70" s="1">
        <f ca="1">IFERROR(__xludf.DUMMYFUNCTION("""COMPUTED_VALUE"""),2181)</f>
        <v>2181</v>
      </c>
      <c r="P70" s="1">
        <f ca="1">IFERROR(__xludf.DUMMYFUNCTION("""COMPUTED_VALUE"""),1365)</f>
        <v>1365</v>
      </c>
      <c r="Q70" s="1">
        <f ca="1">IFERROR(__xludf.DUMMYFUNCTION("""COMPUTED_VALUE"""),837)</f>
        <v>837</v>
      </c>
      <c r="R70" s="1">
        <f ca="1">IFERROR(__xludf.DUMMYFUNCTION("""COMPUTED_VALUE"""),1901)</f>
        <v>1901</v>
      </c>
      <c r="S70" s="1">
        <f ca="1">IFERROR(__xludf.DUMMYFUNCTION("""COMPUTED_VALUE"""),0.44)</f>
        <v>0.44</v>
      </c>
      <c r="T70" s="1">
        <f ca="1">IFERROR(__xludf.DUMMYFUNCTION("""COMPUTED_VALUE"""),245)</f>
        <v>245</v>
      </c>
      <c r="U70" s="1">
        <f ca="1">IFERROR(__xludf.DUMMYFUNCTION("""COMPUTED_VALUE"""),699)</f>
        <v>699</v>
      </c>
      <c r="V70" s="1">
        <f ca="1">IFERROR(__xludf.DUMMYFUNCTION("""COMPUTED_VALUE"""),0.351)</f>
        <v>0.35099999999999998</v>
      </c>
      <c r="W70" s="1">
        <f ca="1">IFERROR(__xludf.DUMMYFUNCTION("""COMPUTED_VALUE"""),535)</f>
        <v>535</v>
      </c>
      <c r="X70" s="1">
        <f ca="1">IFERROR(__xludf.DUMMYFUNCTION("""COMPUTED_VALUE"""),794)</f>
        <v>794</v>
      </c>
      <c r="Y70" s="1">
        <f ca="1">IFERROR(__xludf.DUMMYFUNCTION("""COMPUTED_VALUE"""),0.674)</f>
        <v>0.67400000000000004</v>
      </c>
      <c r="Z70" s="1">
        <f ca="1">IFERROR(__xludf.DUMMYFUNCTION("""COMPUTED_VALUE"""),411)</f>
        <v>411</v>
      </c>
      <c r="AA70" s="1">
        <f ca="1">IFERROR(__xludf.DUMMYFUNCTION("""COMPUTED_VALUE"""),1287)</f>
        <v>1287</v>
      </c>
      <c r="AB70" s="1">
        <f ca="1">IFERROR(__xludf.DUMMYFUNCTION("""COMPUTED_VALUE"""),499)</f>
        <v>499</v>
      </c>
      <c r="AC70" s="1">
        <f ca="1">IFERROR(__xludf.DUMMYFUNCTION("""COMPUTED_VALUE"""),190)</f>
        <v>190</v>
      </c>
      <c r="AD70" s="1">
        <f ca="1">IFERROR(__xludf.DUMMYFUNCTION("""COMPUTED_VALUE"""),116)</f>
        <v>116</v>
      </c>
      <c r="AE70" s="1">
        <f ca="1">IFERROR(__xludf.DUMMYFUNCTION("""COMPUTED_VALUE"""),361)</f>
        <v>361</v>
      </c>
      <c r="AF70" s="1">
        <f ca="1">IFERROR(__xludf.DUMMYFUNCTION("""COMPUTED_VALUE"""),573)</f>
        <v>573</v>
      </c>
    </row>
    <row r="71" spans="1:32" ht="12.5" x14ac:dyDescent="0.25">
      <c r="A71" s="1" t="str">
        <f ca="1">IFERROR(__xludf.DUMMYFUNCTION("""COMPUTED_VALUE"""),"Colorado")</f>
        <v>Colorado</v>
      </c>
      <c r="B71" s="1">
        <f ca="1">IFERROR(__xludf.DUMMYFUNCTION("""COMPUTED_VALUE"""),34)</f>
        <v>34</v>
      </c>
      <c r="C71" s="1">
        <f ca="1">IFERROR(__xludf.DUMMYFUNCTION("""COMPUTED_VALUE"""),16)</f>
        <v>16</v>
      </c>
      <c r="D71" s="1">
        <f ca="1">IFERROR(__xludf.DUMMYFUNCTION("""COMPUTED_VALUE"""),18)</f>
        <v>18</v>
      </c>
      <c r="E71" s="1">
        <f ca="1">IFERROR(__xludf.DUMMYFUNCTION("""COMPUTED_VALUE"""),0.471)</f>
        <v>0.47099999999999997</v>
      </c>
      <c r="F71" s="1">
        <f ca="1">IFERROR(__xludf.DUMMYFUNCTION("""COMPUTED_VALUE"""),7.01)</f>
        <v>7.01</v>
      </c>
      <c r="G71" s="1">
        <f ca="1">IFERROR(__xludf.DUMMYFUNCTION("""COMPUTED_VALUE"""),6.19)</f>
        <v>6.19</v>
      </c>
      <c r="H71" s="1">
        <f ca="1">IFERROR(__xludf.DUMMYFUNCTION("""COMPUTED_VALUE"""),7)</f>
        <v>7</v>
      </c>
      <c r="I71" s="1">
        <f ca="1">IFERROR(__xludf.DUMMYFUNCTION("""COMPUTED_VALUE"""),11)</f>
        <v>11</v>
      </c>
      <c r="J71" s="1">
        <f ca="1">IFERROR(__xludf.DUMMYFUNCTION("""COMPUTED_VALUE"""),12)</f>
        <v>12</v>
      </c>
      <c r="K71" s="1">
        <f ca="1">IFERROR(__xludf.DUMMYFUNCTION("""COMPUTED_VALUE"""),5)</f>
        <v>5</v>
      </c>
      <c r="L71" s="1">
        <f ca="1">IFERROR(__xludf.DUMMYFUNCTION("""COMPUTED_VALUE"""),2)</f>
        <v>2</v>
      </c>
      <c r="M71" s="1">
        <f ca="1">IFERROR(__xludf.DUMMYFUNCTION("""COMPUTED_VALUE"""),11)</f>
        <v>11</v>
      </c>
      <c r="N71" s="1">
        <f ca="1">IFERROR(__xludf.DUMMYFUNCTION("""COMPUTED_VALUE"""),2345)</f>
        <v>2345</v>
      </c>
      <c r="O71" s="1">
        <f ca="1">IFERROR(__xludf.DUMMYFUNCTION("""COMPUTED_VALUE"""),2317)</f>
        <v>2317</v>
      </c>
      <c r="P71" s="1">
        <f ca="1">IFERROR(__xludf.DUMMYFUNCTION("""COMPUTED_VALUE"""),1380)</f>
        <v>1380</v>
      </c>
      <c r="Q71" s="1">
        <f ca="1">IFERROR(__xludf.DUMMYFUNCTION("""COMPUTED_VALUE"""),812)</f>
        <v>812</v>
      </c>
      <c r="R71" s="1">
        <f ca="1">IFERROR(__xludf.DUMMYFUNCTION("""COMPUTED_VALUE"""),1861)</f>
        <v>1861</v>
      </c>
      <c r="S71" s="1">
        <f ca="1">IFERROR(__xludf.DUMMYFUNCTION("""COMPUTED_VALUE"""),0.436)</f>
        <v>0.436</v>
      </c>
      <c r="T71" s="1">
        <f ca="1">IFERROR(__xludf.DUMMYFUNCTION("""COMPUTED_VALUE"""),179)</f>
        <v>179</v>
      </c>
      <c r="U71" s="1">
        <f ca="1">IFERROR(__xludf.DUMMYFUNCTION("""COMPUTED_VALUE"""),535)</f>
        <v>535</v>
      </c>
      <c r="V71" s="1">
        <f ca="1">IFERROR(__xludf.DUMMYFUNCTION("""COMPUTED_VALUE"""),0.335)</f>
        <v>0.33500000000000002</v>
      </c>
      <c r="W71" s="1">
        <f ca="1">IFERROR(__xludf.DUMMYFUNCTION("""COMPUTED_VALUE"""),542)</f>
        <v>542</v>
      </c>
      <c r="X71" s="1">
        <f ca="1">IFERROR(__xludf.DUMMYFUNCTION("""COMPUTED_VALUE"""),760)</f>
        <v>760</v>
      </c>
      <c r="Y71" s="1">
        <f ca="1">IFERROR(__xludf.DUMMYFUNCTION("""COMPUTED_VALUE"""),0.713)</f>
        <v>0.71299999999999997</v>
      </c>
      <c r="Z71" s="1">
        <f ca="1">IFERROR(__xludf.DUMMYFUNCTION("""COMPUTED_VALUE"""),400)</f>
        <v>400</v>
      </c>
      <c r="AA71" s="1">
        <f ca="1">IFERROR(__xludf.DUMMYFUNCTION("""COMPUTED_VALUE"""),1269)</f>
        <v>1269</v>
      </c>
      <c r="AB71" s="1">
        <f ca="1">IFERROR(__xludf.DUMMYFUNCTION("""COMPUTED_VALUE"""),400)</f>
        <v>400</v>
      </c>
      <c r="AC71" s="1">
        <f ca="1">IFERROR(__xludf.DUMMYFUNCTION("""COMPUTED_VALUE"""),194)</f>
        <v>194</v>
      </c>
      <c r="AD71" s="1">
        <f ca="1">IFERROR(__xludf.DUMMYFUNCTION("""COMPUTED_VALUE"""),133)</f>
        <v>133</v>
      </c>
      <c r="AE71" s="1">
        <f ca="1">IFERROR(__xludf.DUMMYFUNCTION("""COMPUTED_VALUE"""),450)</f>
        <v>450</v>
      </c>
      <c r="AF71" s="1">
        <f ca="1">IFERROR(__xludf.DUMMYFUNCTION("""COMPUTED_VALUE"""),614)</f>
        <v>614</v>
      </c>
    </row>
    <row r="72" spans="1:32" ht="12.5" x14ac:dyDescent="0.25">
      <c r="A72" s="1" t="str">
        <f ca="1">IFERROR(__xludf.DUMMYFUNCTION("""COMPUTED_VALUE"""),"Columbia")</f>
        <v>Columbia</v>
      </c>
      <c r="B72" s="1">
        <f ca="1">IFERROR(__xludf.DUMMYFUNCTION("""COMPUTED_VALUE"""),28)</f>
        <v>28</v>
      </c>
      <c r="C72" s="1">
        <f ca="1">IFERROR(__xludf.DUMMYFUNCTION("""COMPUTED_VALUE"""),13)</f>
        <v>13</v>
      </c>
      <c r="D72" s="1">
        <f ca="1">IFERROR(__xludf.DUMMYFUNCTION("""COMPUTED_VALUE"""),15)</f>
        <v>15</v>
      </c>
      <c r="E72" s="1">
        <f ca="1">IFERROR(__xludf.DUMMYFUNCTION("""COMPUTED_VALUE"""),0.464)</f>
        <v>0.46400000000000002</v>
      </c>
      <c r="F72" s="1">
        <f ca="1">IFERROR(__xludf.DUMMYFUNCTION("""COMPUTED_VALUE"""),-0.38)</f>
        <v>-0.38</v>
      </c>
      <c r="G72" s="1">
        <f ca="1">IFERROR(__xludf.DUMMYFUNCTION("""COMPUTED_VALUE"""),-1.49)</f>
        <v>-1.49</v>
      </c>
      <c r="H72" s="1">
        <f ca="1">IFERROR(__xludf.DUMMYFUNCTION("""COMPUTED_VALUE"""),5)</f>
        <v>5</v>
      </c>
      <c r="I72" s="1">
        <f ca="1">IFERROR(__xludf.DUMMYFUNCTION("""COMPUTED_VALUE"""),9)</f>
        <v>9</v>
      </c>
      <c r="J72" s="1">
        <f ca="1">IFERROR(__xludf.DUMMYFUNCTION("""COMPUTED_VALUE"""),9)</f>
        <v>9</v>
      </c>
      <c r="K72" s="1">
        <f ca="1">IFERROR(__xludf.DUMMYFUNCTION("""COMPUTED_VALUE"""),7)</f>
        <v>7</v>
      </c>
      <c r="L72" s="1">
        <f ca="1">IFERROR(__xludf.DUMMYFUNCTION("""COMPUTED_VALUE"""),4)</f>
        <v>4</v>
      </c>
      <c r="M72" s="1">
        <f ca="1">IFERROR(__xludf.DUMMYFUNCTION("""COMPUTED_VALUE"""),7)</f>
        <v>7</v>
      </c>
      <c r="N72" s="1">
        <f ca="1">IFERROR(__xludf.DUMMYFUNCTION("""COMPUTED_VALUE"""),1816)</f>
        <v>1816</v>
      </c>
      <c r="O72" s="1">
        <f ca="1">IFERROR(__xludf.DUMMYFUNCTION("""COMPUTED_VALUE"""),1737)</f>
        <v>1737</v>
      </c>
      <c r="P72" s="1">
        <f ca="1">IFERROR(__xludf.DUMMYFUNCTION("""COMPUTED_VALUE"""),1120)</f>
        <v>1120</v>
      </c>
      <c r="Q72" s="1">
        <f ca="1">IFERROR(__xludf.DUMMYFUNCTION("""COMPUTED_VALUE"""),637)</f>
        <v>637</v>
      </c>
      <c r="R72" s="1">
        <f ca="1">IFERROR(__xludf.DUMMYFUNCTION("""COMPUTED_VALUE"""),1453)</f>
        <v>1453</v>
      </c>
      <c r="S72" s="1">
        <f ca="1">IFERROR(__xludf.DUMMYFUNCTION("""COMPUTED_VALUE"""),0.438)</f>
        <v>0.438</v>
      </c>
      <c r="T72" s="1">
        <f ca="1">IFERROR(__xludf.DUMMYFUNCTION("""COMPUTED_VALUE"""),244)</f>
        <v>244</v>
      </c>
      <c r="U72" s="1">
        <f ca="1">IFERROR(__xludf.DUMMYFUNCTION("""COMPUTED_VALUE"""),670)</f>
        <v>670</v>
      </c>
      <c r="V72" s="1">
        <f ca="1">IFERROR(__xludf.DUMMYFUNCTION("""COMPUTED_VALUE"""),0.364)</f>
        <v>0.36399999999999999</v>
      </c>
      <c r="W72" s="1">
        <f ca="1">IFERROR(__xludf.DUMMYFUNCTION("""COMPUTED_VALUE"""),298)</f>
        <v>298</v>
      </c>
      <c r="X72" s="1">
        <f ca="1">IFERROR(__xludf.DUMMYFUNCTION("""COMPUTED_VALUE"""),416)</f>
        <v>416</v>
      </c>
      <c r="Y72" s="1">
        <f ca="1">IFERROR(__xludf.DUMMYFUNCTION("""COMPUTED_VALUE"""),0.716)</f>
        <v>0.71599999999999997</v>
      </c>
      <c r="Z72" s="1">
        <f ca="1">IFERROR(__xludf.DUMMYFUNCTION("""COMPUTED_VALUE"""),287)</f>
        <v>287</v>
      </c>
      <c r="AA72" s="1">
        <f ca="1">IFERROR(__xludf.DUMMYFUNCTION("""COMPUTED_VALUE"""),916)</f>
        <v>916</v>
      </c>
      <c r="AB72" s="1">
        <f ca="1">IFERROR(__xludf.DUMMYFUNCTION("""COMPUTED_VALUE"""),333)</f>
        <v>333</v>
      </c>
      <c r="AC72" s="1">
        <f ca="1">IFERROR(__xludf.DUMMYFUNCTION("""COMPUTED_VALUE"""),137)</f>
        <v>137</v>
      </c>
      <c r="AD72" s="1">
        <f ca="1">IFERROR(__xludf.DUMMYFUNCTION("""COMPUTED_VALUE"""),100)</f>
        <v>100</v>
      </c>
      <c r="AE72" s="1">
        <f ca="1">IFERROR(__xludf.DUMMYFUNCTION("""COMPUTED_VALUE"""),328)</f>
        <v>328</v>
      </c>
      <c r="AF72" s="1">
        <f ca="1">IFERROR(__xludf.DUMMYFUNCTION("""COMPUTED_VALUE"""),502)</f>
        <v>502</v>
      </c>
    </row>
    <row r="73" spans="1:32" ht="12.5" x14ac:dyDescent="0.25">
      <c r="A73" s="1" t="str">
        <f ca="1">IFERROR(__xludf.DUMMYFUNCTION("""COMPUTED_VALUE"""),"Connecticut")</f>
        <v>Connecticut</v>
      </c>
      <c r="B73" s="1">
        <f ca="1">IFERROR(__xludf.DUMMYFUNCTION("""COMPUTED_VALUE"""),35)</f>
        <v>35</v>
      </c>
      <c r="C73" s="1">
        <f ca="1">IFERROR(__xludf.DUMMYFUNCTION("""COMPUTED_VALUE"""),20)</f>
        <v>20</v>
      </c>
      <c r="D73" s="1">
        <f ca="1">IFERROR(__xludf.DUMMYFUNCTION("""COMPUTED_VALUE"""),15)</f>
        <v>15</v>
      </c>
      <c r="E73" s="1">
        <f ca="1">IFERROR(__xludf.DUMMYFUNCTION("""COMPUTED_VALUE"""),0.571)</f>
        <v>0.57099999999999995</v>
      </c>
      <c r="F73" s="1">
        <f ca="1">IFERROR(__xludf.DUMMYFUNCTION("""COMPUTED_VALUE"""),8.28)</f>
        <v>8.2799999999999994</v>
      </c>
      <c r="G73" s="1">
        <f ca="1">IFERROR(__xludf.DUMMYFUNCTION("""COMPUTED_VALUE"""),4.22)</f>
        <v>4.22</v>
      </c>
      <c r="H73" s="1">
        <f ca="1">IFERROR(__xludf.DUMMYFUNCTION("""COMPUTED_VALUE"""),10)</f>
        <v>10</v>
      </c>
      <c r="I73" s="1">
        <f ca="1">IFERROR(__xludf.DUMMYFUNCTION("""COMPUTED_VALUE"""),8)</f>
        <v>8</v>
      </c>
      <c r="J73" s="1">
        <f ca="1">IFERROR(__xludf.DUMMYFUNCTION("""COMPUTED_VALUE"""),11)</f>
        <v>11</v>
      </c>
      <c r="K73" s="1">
        <f ca="1">IFERROR(__xludf.DUMMYFUNCTION("""COMPUTED_VALUE"""),5)</f>
        <v>5</v>
      </c>
      <c r="L73" s="1">
        <f ca="1">IFERROR(__xludf.DUMMYFUNCTION("""COMPUTED_VALUE"""),4)</f>
        <v>4</v>
      </c>
      <c r="M73" s="1">
        <f ca="1">IFERROR(__xludf.DUMMYFUNCTION("""COMPUTED_VALUE"""),7)</f>
        <v>7</v>
      </c>
      <c r="N73" s="1">
        <f ca="1">IFERROR(__xludf.DUMMYFUNCTION("""COMPUTED_VALUE"""),2243)</f>
        <v>2243</v>
      </c>
      <c r="O73" s="1">
        <f ca="1">IFERROR(__xludf.DUMMYFUNCTION("""COMPUTED_VALUE"""),2101)</f>
        <v>2101</v>
      </c>
      <c r="P73" s="1">
        <f ca="1">IFERROR(__xludf.DUMMYFUNCTION("""COMPUTED_VALUE"""),1405)</f>
        <v>1405</v>
      </c>
      <c r="Q73" s="1">
        <f ca="1">IFERROR(__xludf.DUMMYFUNCTION("""COMPUTED_VALUE"""),800)</f>
        <v>800</v>
      </c>
      <c r="R73" s="1">
        <f ca="1">IFERROR(__xludf.DUMMYFUNCTION("""COMPUTED_VALUE"""),1824)</f>
        <v>1824</v>
      </c>
      <c r="S73" s="1">
        <f ca="1">IFERROR(__xludf.DUMMYFUNCTION("""COMPUTED_VALUE"""),0.439)</f>
        <v>0.439</v>
      </c>
      <c r="T73" s="1">
        <f ca="1">IFERROR(__xludf.DUMMYFUNCTION("""COMPUTED_VALUE"""),226)</f>
        <v>226</v>
      </c>
      <c r="U73" s="1">
        <f ca="1">IFERROR(__xludf.DUMMYFUNCTION("""COMPUTED_VALUE"""),637)</f>
        <v>637</v>
      </c>
      <c r="V73" s="1">
        <f ca="1">IFERROR(__xludf.DUMMYFUNCTION("""COMPUTED_VALUE"""),0.355)</f>
        <v>0.35499999999999998</v>
      </c>
      <c r="W73" s="1">
        <f ca="1">IFERROR(__xludf.DUMMYFUNCTION("""COMPUTED_VALUE"""),417)</f>
        <v>417</v>
      </c>
      <c r="X73" s="1">
        <f ca="1">IFERROR(__xludf.DUMMYFUNCTION("""COMPUTED_VALUE"""),590)</f>
        <v>590</v>
      </c>
      <c r="Y73" s="1">
        <f ca="1">IFERROR(__xludf.DUMMYFUNCTION("""COMPUTED_VALUE"""),0.707)</f>
        <v>0.70699999999999996</v>
      </c>
      <c r="Z73" s="1">
        <f ca="1">IFERROR(__xludf.DUMMYFUNCTION("""COMPUTED_VALUE"""),331)</f>
        <v>331</v>
      </c>
      <c r="AA73" s="1">
        <f ca="1">IFERROR(__xludf.DUMMYFUNCTION("""COMPUTED_VALUE"""),1178)</f>
        <v>1178</v>
      </c>
      <c r="AB73" s="1">
        <f ca="1">IFERROR(__xludf.DUMMYFUNCTION("""COMPUTED_VALUE"""),416)</f>
        <v>416</v>
      </c>
      <c r="AC73" s="1">
        <f ca="1">IFERROR(__xludf.DUMMYFUNCTION("""COMPUTED_VALUE"""),166)</f>
        <v>166</v>
      </c>
      <c r="AD73" s="1">
        <f ca="1">IFERROR(__xludf.DUMMYFUNCTION("""COMPUTED_VALUE"""),183)</f>
        <v>183</v>
      </c>
      <c r="AE73" s="1">
        <f ca="1">IFERROR(__xludf.DUMMYFUNCTION("""COMPUTED_VALUE"""),404)</f>
        <v>404</v>
      </c>
      <c r="AF73" s="1">
        <f ca="1">IFERROR(__xludf.DUMMYFUNCTION("""COMPUTED_VALUE"""),573)</f>
        <v>573</v>
      </c>
    </row>
    <row r="74" spans="1:32" ht="12.5" x14ac:dyDescent="0.25">
      <c r="A74" s="1" t="str">
        <f ca="1">IFERROR(__xludf.DUMMYFUNCTION("""COMPUTED_VALUE"""),"Coppin State")</f>
        <v>Coppin State</v>
      </c>
      <c r="B74" s="1">
        <f ca="1">IFERROR(__xludf.DUMMYFUNCTION("""COMPUTED_VALUE"""),31)</f>
        <v>31</v>
      </c>
      <c r="C74" s="1">
        <f ca="1">IFERROR(__xludf.DUMMYFUNCTION("""COMPUTED_VALUE"""),8)</f>
        <v>8</v>
      </c>
      <c r="D74" s="1">
        <f ca="1">IFERROR(__xludf.DUMMYFUNCTION("""COMPUTED_VALUE"""),23)</f>
        <v>23</v>
      </c>
      <c r="E74" s="1">
        <f ca="1">IFERROR(__xludf.DUMMYFUNCTION("""COMPUTED_VALUE"""),0.258)</f>
        <v>0.25800000000000001</v>
      </c>
      <c r="F74" s="1">
        <f ca="1">IFERROR(__xludf.DUMMYFUNCTION("""COMPUTED_VALUE"""),-17.84)</f>
        <v>-17.84</v>
      </c>
      <c r="G74" s="1">
        <f ca="1">IFERROR(__xludf.DUMMYFUNCTION("""COMPUTED_VALUE"""),-4.78)</f>
        <v>-4.78</v>
      </c>
      <c r="H74" s="1">
        <f ca="1">IFERROR(__xludf.DUMMYFUNCTION("""COMPUTED_VALUE"""),6)</f>
        <v>6</v>
      </c>
      <c r="I74" s="1">
        <f ca="1">IFERROR(__xludf.DUMMYFUNCTION("""COMPUTED_VALUE"""),10)</f>
        <v>10</v>
      </c>
      <c r="J74" s="1">
        <f ca="1">IFERROR(__xludf.DUMMYFUNCTION("""COMPUTED_VALUE"""),4)</f>
        <v>4</v>
      </c>
      <c r="K74" s="1">
        <f ca="1">IFERROR(__xludf.DUMMYFUNCTION("""COMPUTED_VALUE"""),7)</f>
        <v>7</v>
      </c>
      <c r="L74" s="1">
        <f ca="1">IFERROR(__xludf.DUMMYFUNCTION("""COMPUTED_VALUE"""),3)</f>
        <v>3</v>
      </c>
      <c r="M74" s="1">
        <f ca="1">IFERROR(__xludf.DUMMYFUNCTION("""COMPUTED_VALUE"""),15)</f>
        <v>15</v>
      </c>
      <c r="N74" s="1">
        <f ca="1">IFERROR(__xludf.DUMMYFUNCTION("""COMPUTED_VALUE"""),2219)</f>
        <v>2219</v>
      </c>
      <c r="O74" s="1">
        <f ca="1">IFERROR(__xludf.DUMMYFUNCTION("""COMPUTED_VALUE"""),2558)</f>
        <v>2558</v>
      </c>
      <c r="P74" s="1">
        <f ca="1">IFERROR(__xludf.DUMMYFUNCTION("""COMPUTED_VALUE"""),1240)</f>
        <v>1240</v>
      </c>
      <c r="Q74" s="1">
        <f ca="1">IFERROR(__xludf.DUMMYFUNCTION("""COMPUTED_VALUE"""),758)</f>
        <v>758</v>
      </c>
      <c r="R74" s="1">
        <f ca="1">IFERROR(__xludf.DUMMYFUNCTION("""COMPUTED_VALUE"""),1906)</f>
        <v>1906</v>
      </c>
      <c r="S74" s="1">
        <f ca="1">IFERROR(__xludf.DUMMYFUNCTION("""COMPUTED_VALUE"""),0.398)</f>
        <v>0.39800000000000002</v>
      </c>
      <c r="T74" s="1">
        <f ca="1">IFERROR(__xludf.DUMMYFUNCTION("""COMPUTED_VALUE"""),295)</f>
        <v>295</v>
      </c>
      <c r="U74" s="1">
        <f ca="1">IFERROR(__xludf.DUMMYFUNCTION("""COMPUTED_VALUE"""),826)</f>
        <v>826</v>
      </c>
      <c r="V74" s="1">
        <f ca="1">IFERROR(__xludf.DUMMYFUNCTION("""COMPUTED_VALUE"""),0.357)</f>
        <v>0.35699999999999998</v>
      </c>
      <c r="W74" s="1">
        <f ca="1">IFERROR(__xludf.DUMMYFUNCTION("""COMPUTED_VALUE"""),408)</f>
        <v>408</v>
      </c>
      <c r="X74" s="1">
        <f ca="1">IFERROR(__xludf.DUMMYFUNCTION("""COMPUTED_VALUE"""),590)</f>
        <v>590</v>
      </c>
      <c r="Y74" s="1">
        <f ca="1">IFERROR(__xludf.DUMMYFUNCTION("""COMPUTED_VALUE"""),0.692)</f>
        <v>0.69199999999999995</v>
      </c>
      <c r="Z74" s="1">
        <f ca="1">IFERROR(__xludf.DUMMYFUNCTION("""COMPUTED_VALUE"""),319)</f>
        <v>319</v>
      </c>
      <c r="AA74" s="1">
        <f ca="1">IFERROR(__xludf.DUMMYFUNCTION("""COMPUTED_VALUE"""),994)</f>
        <v>994</v>
      </c>
      <c r="AB74" s="1">
        <f ca="1">IFERROR(__xludf.DUMMYFUNCTION("""COMPUTED_VALUE"""),390)</f>
        <v>390</v>
      </c>
      <c r="AC74" s="1">
        <f ca="1">IFERROR(__xludf.DUMMYFUNCTION("""COMPUTED_VALUE"""),207)</f>
        <v>207</v>
      </c>
      <c r="AD74" s="1">
        <f ca="1">IFERROR(__xludf.DUMMYFUNCTION("""COMPUTED_VALUE"""),99)</f>
        <v>99</v>
      </c>
      <c r="AE74" s="1">
        <f ca="1">IFERROR(__xludf.DUMMYFUNCTION("""COMPUTED_VALUE"""),418)</f>
        <v>418</v>
      </c>
      <c r="AF74" s="1">
        <f ca="1">IFERROR(__xludf.DUMMYFUNCTION("""COMPUTED_VALUE"""),632)</f>
        <v>632</v>
      </c>
    </row>
    <row r="75" spans="1:32" ht="12.5" x14ac:dyDescent="0.25">
      <c r="A75" s="1" t="str">
        <f ca="1">IFERROR(__xludf.DUMMYFUNCTION("""COMPUTED_VALUE"""),"Cornell")</f>
        <v>Cornell</v>
      </c>
      <c r="B75" s="1">
        <f ca="1">IFERROR(__xludf.DUMMYFUNCTION("""COMPUTED_VALUE"""),30)</f>
        <v>30</v>
      </c>
      <c r="C75" s="1">
        <f ca="1">IFERROR(__xludf.DUMMYFUNCTION("""COMPUTED_VALUE"""),13)</f>
        <v>13</v>
      </c>
      <c r="D75" s="1">
        <f ca="1">IFERROR(__xludf.DUMMYFUNCTION("""COMPUTED_VALUE"""),17)</f>
        <v>17</v>
      </c>
      <c r="E75" s="1">
        <f ca="1">IFERROR(__xludf.DUMMYFUNCTION("""COMPUTED_VALUE"""),0.433)</f>
        <v>0.433</v>
      </c>
      <c r="F75" s="1">
        <f ca="1">IFERROR(__xludf.DUMMYFUNCTION("""COMPUTED_VALUE"""),-3.58)</f>
        <v>-3.58</v>
      </c>
      <c r="G75" s="1">
        <f ca="1">IFERROR(__xludf.DUMMYFUNCTION("""COMPUTED_VALUE"""),-1.92)</f>
        <v>-1.92</v>
      </c>
      <c r="H75" s="1">
        <f ca="1">IFERROR(__xludf.DUMMYFUNCTION("""COMPUTED_VALUE"""),5)</f>
        <v>5</v>
      </c>
      <c r="I75" s="1">
        <f ca="1">IFERROR(__xludf.DUMMYFUNCTION("""COMPUTED_VALUE"""),9)</f>
        <v>9</v>
      </c>
      <c r="J75" s="1">
        <f ca="1">IFERROR(__xludf.DUMMYFUNCTION("""COMPUTED_VALUE"""),8)</f>
        <v>8</v>
      </c>
      <c r="K75" s="1">
        <f ca="1">IFERROR(__xludf.DUMMYFUNCTION("""COMPUTED_VALUE"""),5)</f>
        <v>5</v>
      </c>
      <c r="L75" s="1">
        <f ca="1">IFERROR(__xludf.DUMMYFUNCTION("""COMPUTED_VALUE"""),5)</f>
        <v>5</v>
      </c>
      <c r="M75" s="1">
        <f ca="1">IFERROR(__xludf.DUMMYFUNCTION("""COMPUTED_VALUE"""),9)</f>
        <v>9</v>
      </c>
      <c r="N75" s="1">
        <f ca="1">IFERROR(__xludf.DUMMYFUNCTION("""COMPUTED_VALUE"""),1868)</f>
        <v>1868</v>
      </c>
      <c r="O75" s="1">
        <f ca="1">IFERROR(__xludf.DUMMYFUNCTION("""COMPUTED_VALUE"""),1838)</f>
        <v>1838</v>
      </c>
      <c r="P75" s="1">
        <f ca="1">IFERROR(__xludf.DUMMYFUNCTION("""COMPUTED_VALUE"""),1210)</f>
        <v>1210</v>
      </c>
      <c r="Q75" s="1">
        <f ca="1">IFERROR(__xludf.DUMMYFUNCTION("""COMPUTED_VALUE"""),615)</f>
        <v>615</v>
      </c>
      <c r="R75" s="1">
        <f ca="1">IFERROR(__xludf.DUMMYFUNCTION("""COMPUTED_VALUE"""),1558)</f>
        <v>1558</v>
      </c>
      <c r="S75" s="1">
        <f ca="1">IFERROR(__xludf.DUMMYFUNCTION("""COMPUTED_VALUE"""),0.395)</f>
        <v>0.39500000000000002</v>
      </c>
      <c r="T75" s="1">
        <f ca="1">IFERROR(__xludf.DUMMYFUNCTION("""COMPUTED_VALUE"""),181)</f>
        <v>181</v>
      </c>
      <c r="U75" s="1">
        <f ca="1">IFERROR(__xludf.DUMMYFUNCTION("""COMPUTED_VALUE"""),579)</f>
        <v>579</v>
      </c>
      <c r="V75" s="1">
        <f ca="1">IFERROR(__xludf.DUMMYFUNCTION("""COMPUTED_VALUE"""),0.313)</f>
        <v>0.313</v>
      </c>
      <c r="W75" s="1">
        <f ca="1">IFERROR(__xludf.DUMMYFUNCTION("""COMPUTED_VALUE"""),457)</f>
        <v>457</v>
      </c>
      <c r="X75" s="1">
        <f ca="1">IFERROR(__xludf.DUMMYFUNCTION("""COMPUTED_VALUE"""),610)</f>
        <v>610</v>
      </c>
      <c r="Y75" s="1">
        <f ca="1">IFERROR(__xludf.DUMMYFUNCTION("""COMPUTED_VALUE"""),0.749)</f>
        <v>0.749</v>
      </c>
      <c r="Z75" s="1">
        <f ca="1">IFERROR(__xludf.DUMMYFUNCTION("""COMPUTED_VALUE"""),248)</f>
        <v>248</v>
      </c>
      <c r="AA75" s="1">
        <f ca="1">IFERROR(__xludf.DUMMYFUNCTION("""COMPUTED_VALUE"""),981)</f>
        <v>981</v>
      </c>
      <c r="AB75" s="1">
        <f ca="1">IFERROR(__xludf.DUMMYFUNCTION("""COMPUTED_VALUE"""),312)</f>
        <v>312</v>
      </c>
      <c r="AC75" s="1">
        <f ca="1">IFERROR(__xludf.DUMMYFUNCTION("""COMPUTED_VALUE"""),187)</f>
        <v>187</v>
      </c>
      <c r="AD75" s="1">
        <f ca="1">IFERROR(__xludf.DUMMYFUNCTION("""COMPUTED_VALUE"""),142)</f>
        <v>142</v>
      </c>
      <c r="AE75" s="1">
        <f ca="1">IFERROR(__xludf.DUMMYFUNCTION("""COMPUTED_VALUE"""),359)</f>
        <v>359</v>
      </c>
      <c r="AF75" s="1">
        <f ca="1">IFERROR(__xludf.DUMMYFUNCTION("""COMPUTED_VALUE"""),569)</f>
        <v>569</v>
      </c>
    </row>
    <row r="76" spans="1:32" ht="12.5" x14ac:dyDescent="0.25">
      <c r="A76" s="1" t="str">
        <f ca="1">IFERROR(__xludf.DUMMYFUNCTION("""COMPUTED_VALUE"""),"Creighton")</f>
        <v>Creighton</v>
      </c>
      <c r="B76" s="1">
        <f ca="1">IFERROR(__xludf.DUMMYFUNCTION("""COMPUTED_VALUE"""),33)</f>
        <v>33</v>
      </c>
      <c r="C76" s="1">
        <f ca="1">IFERROR(__xludf.DUMMYFUNCTION("""COMPUTED_VALUE"""),14)</f>
        <v>14</v>
      </c>
      <c r="D76" s="1">
        <f ca="1">IFERROR(__xludf.DUMMYFUNCTION("""COMPUTED_VALUE"""),19)</f>
        <v>19</v>
      </c>
      <c r="E76" s="1">
        <f ca="1">IFERROR(__xludf.DUMMYFUNCTION("""COMPUTED_VALUE"""),0.424)</f>
        <v>0.42399999999999999</v>
      </c>
      <c r="F76" s="1">
        <f ca="1">IFERROR(__xludf.DUMMYFUNCTION("""COMPUTED_VALUE"""),7.48)</f>
        <v>7.48</v>
      </c>
      <c r="G76" s="1">
        <f ca="1">IFERROR(__xludf.DUMMYFUNCTION("""COMPUTED_VALUE"""),7.05)</f>
        <v>7.05</v>
      </c>
      <c r="H76" s="1">
        <f ca="1">IFERROR(__xludf.DUMMYFUNCTION("""COMPUTED_VALUE"""),4)</f>
        <v>4</v>
      </c>
      <c r="I76" s="1">
        <f ca="1">IFERROR(__xludf.DUMMYFUNCTION("""COMPUTED_VALUE"""),14)</f>
        <v>14</v>
      </c>
      <c r="J76" s="1">
        <f ca="1">IFERROR(__xludf.DUMMYFUNCTION("""COMPUTED_VALUE"""),9)</f>
        <v>9</v>
      </c>
      <c r="K76" s="1">
        <f ca="1">IFERROR(__xludf.DUMMYFUNCTION("""COMPUTED_VALUE"""),8)</f>
        <v>8</v>
      </c>
      <c r="L76" s="1">
        <f ca="1">IFERROR(__xludf.DUMMYFUNCTION("""COMPUTED_VALUE"""),3)</f>
        <v>3</v>
      </c>
      <c r="M76" s="1">
        <f ca="1">IFERROR(__xludf.DUMMYFUNCTION("""COMPUTED_VALUE"""),9)</f>
        <v>9</v>
      </c>
      <c r="N76" s="1">
        <f ca="1">IFERROR(__xludf.DUMMYFUNCTION("""COMPUTED_VALUE"""),2221)</f>
        <v>2221</v>
      </c>
      <c r="O76" s="1">
        <f ca="1">IFERROR(__xludf.DUMMYFUNCTION("""COMPUTED_VALUE"""),2207)</f>
        <v>2207</v>
      </c>
      <c r="P76" s="1">
        <f ca="1">IFERROR(__xludf.DUMMYFUNCTION("""COMPUTED_VALUE"""),1340)</f>
        <v>1340</v>
      </c>
      <c r="Q76" s="1">
        <f ca="1">IFERROR(__xludf.DUMMYFUNCTION("""COMPUTED_VALUE"""),746)</f>
        <v>746</v>
      </c>
      <c r="R76" s="1">
        <f ca="1">IFERROR(__xludf.DUMMYFUNCTION("""COMPUTED_VALUE"""),1776)</f>
        <v>1776</v>
      </c>
      <c r="S76" s="1">
        <f ca="1">IFERROR(__xludf.DUMMYFUNCTION("""COMPUTED_VALUE"""),0.42)</f>
        <v>0.42</v>
      </c>
      <c r="T76" s="1">
        <f ca="1">IFERROR(__xludf.DUMMYFUNCTION("""COMPUTED_VALUE"""),262)</f>
        <v>262</v>
      </c>
      <c r="U76" s="1">
        <f ca="1">IFERROR(__xludf.DUMMYFUNCTION("""COMPUTED_VALUE"""),759)</f>
        <v>759</v>
      </c>
      <c r="V76" s="1">
        <f ca="1">IFERROR(__xludf.DUMMYFUNCTION("""COMPUTED_VALUE"""),0.345)</f>
        <v>0.34499999999999997</v>
      </c>
      <c r="W76" s="1">
        <f ca="1">IFERROR(__xludf.DUMMYFUNCTION("""COMPUTED_VALUE"""),467)</f>
        <v>467</v>
      </c>
      <c r="X76" s="1">
        <f ca="1">IFERROR(__xludf.DUMMYFUNCTION("""COMPUTED_VALUE"""),644)</f>
        <v>644</v>
      </c>
      <c r="Y76" s="1">
        <f ca="1">IFERROR(__xludf.DUMMYFUNCTION("""COMPUTED_VALUE"""),0.725)</f>
        <v>0.72499999999999998</v>
      </c>
      <c r="Z76" s="1">
        <f ca="1">IFERROR(__xludf.DUMMYFUNCTION("""COMPUTED_VALUE"""),348)</f>
        <v>348</v>
      </c>
      <c r="AA76" s="1">
        <f ca="1">IFERROR(__xludf.DUMMYFUNCTION("""COMPUTED_VALUE"""),1139)</f>
        <v>1139</v>
      </c>
      <c r="AB76" s="1">
        <f ca="1">IFERROR(__xludf.DUMMYFUNCTION("""COMPUTED_VALUE"""),449)</f>
        <v>449</v>
      </c>
      <c r="AC76" s="1">
        <f ca="1">IFERROR(__xludf.DUMMYFUNCTION("""COMPUTED_VALUE"""),147)</f>
        <v>147</v>
      </c>
      <c r="AD76" s="1">
        <f ca="1">IFERROR(__xludf.DUMMYFUNCTION("""COMPUTED_VALUE"""),77)</f>
        <v>77</v>
      </c>
      <c r="AE76" s="1">
        <f ca="1">IFERROR(__xludf.DUMMYFUNCTION("""COMPUTED_VALUE"""),391)</f>
        <v>391</v>
      </c>
      <c r="AF76" s="1">
        <f ca="1">IFERROR(__xludf.DUMMYFUNCTION("""COMPUTED_VALUE"""),591)</f>
        <v>591</v>
      </c>
    </row>
    <row r="77" spans="1:32" ht="12.5" x14ac:dyDescent="0.25">
      <c r="A77" s="1" t="str">
        <f ca="1">IFERROR(__xludf.DUMMYFUNCTION("""COMPUTED_VALUE"""),"Dartmouth")</f>
        <v>Dartmouth</v>
      </c>
      <c r="B77" s="1">
        <f ca="1">IFERROR(__xludf.DUMMYFUNCTION("""COMPUTED_VALUE"""),29)</f>
        <v>29</v>
      </c>
      <c r="C77" s="1">
        <f ca="1">IFERROR(__xludf.DUMMYFUNCTION("""COMPUTED_VALUE"""),14)</f>
        <v>14</v>
      </c>
      <c r="D77" s="1">
        <f ca="1">IFERROR(__xludf.DUMMYFUNCTION("""COMPUTED_VALUE"""),15)</f>
        <v>15</v>
      </c>
      <c r="E77" s="1">
        <f ca="1">IFERROR(__xludf.DUMMYFUNCTION("""COMPUTED_VALUE"""),0.483)</f>
        <v>0.48299999999999998</v>
      </c>
      <c r="F77" s="1">
        <f ca="1">IFERROR(__xludf.DUMMYFUNCTION("""COMPUTED_VALUE"""),-3.11)</f>
        <v>-3.11</v>
      </c>
      <c r="G77" s="1">
        <f ca="1">IFERROR(__xludf.DUMMYFUNCTION("""COMPUTED_VALUE"""),-3.32)</f>
        <v>-3.32</v>
      </c>
      <c r="H77" s="1">
        <f ca="1">IFERROR(__xludf.DUMMYFUNCTION("""COMPUTED_VALUE"""),7)</f>
        <v>7</v>
      </c>
      <c r="I77" s="1">
        <f ca="1">IFERROR(__xludf.DUMMYFUNCTION("""COMPUTED_VALUE"""),7)</f>
        <v>7</v>
      </c>
      <c r="J77" s="1">
        <f ca="1">IFERROR(__xludf.DUMMYFUNCTION("""COMPUTED_VALUE"""),8)</f>
        <v>8</v>
      </c>
      <c r="K77" s="1">
        <f ca="1">IFERROR(__xludf.DUMMYFUNCTION("""COMPUTED_VALUE"""),4)</f>
        <v>4</v>
      </c>
      <c r="L77" s="1">
        <f ca="1">IFERROR(__xludf.DUMMYFUNCTION("""COMPUTED_VALUE"""),6)</f>
        <v>6</v>
      </c>
      <c r="M77" s="1">
        <f ca="1">IFERROR(__xludf.DUMMYFUNCTION("""COMPUTED_VALUE"""),11)</f>
        <v>11</v>
      </c>
      <c r="N77" s="1">
        <f ca="1">IFERROR(__xludf.DUMMYFUNCTION("""COMPUTED_VALUE"""),1835)</f>
        <v>1835</v>
      </c>
      <c r="O77" s="1">
        <f ca="1">IFERROR(__xludf.DUMMYFUNCTION("""COMPUTED_VALUE"""),1829)</f>
        <v>1829</v>
      </c>
      <c r="P77" s="1">
        <f ca="1">IFERROR(__xludf.DUMMYFUNCTION("""COMPUTED_VALUE"""),1170)</f>
        <v>1170</v>
      </c>
      <c r="Q77" s="1">
        <f ca="1">IFERROR(__xludf.DUMMYFUNCTION("""COMPUTED_VALUE"""),657)</f>
        <v>657</v>
      </c>
      <c r="R77" s="1">
        <f ca="1">IFERROR(__xludf.DUMMYFUNCTION("""COMPUTED_VALUE"""),1510)</f>
        <v>1510</v>
      </c>
      <c r="S77" s="1">
        <f ca="1">IFERROR(__xludf.DUMMYFUNCTION("""COMPUTED_VALUE"""),0.435)</f>
        <v>0.435</v>
      </c>
      <c r="T77" s="1">
        <f ca="1">IFERROR(__xludf.DUMMYFUNCTION("""COMPUTED_VALUE"""),173)</f>
        <v>173</v>
      </c>
      <c r="U77" s="1">
        <f ca="1">IFERROR(__xludf.DUMMYFUNCTION("""COMPUTED_VALUE"""),500)</f>
        <v>500</v>
      </c>
      <c r="V77" s="1">
        <f ca="1">IFERROR(__xludf.DUMMYFUNCTION("""COMPUTED_VALUE"""),0.346)</f>
        <v>0.34599999999999997</v>
      </c>
      <c r="W77" s="1">
        <f ca="1">IFERROR(__xludf.DUMMYFUNCTION("""COMPUTED_VALUE"""),348)</f>
        <v>348</v>
      </c>
      <c r="X77" s="1">
        <f ca="1">IFERROR(__xludf.DUMMYFUNCTION("""COMPUTED_VALUE"""),539)</f>
        <v>539</v>
      </c>
      <c r="Y77" s="1">
        <f ca="1">IFERROR(__xludf.DUMMYFUNCTION("""COMPUTED_VALUE"""),0.646)</f>
        <v>0.64600000000000002</v>
      </c>
      <c r="Z77" s="1">
        <f ca="1">IFERROR(__xludf.DUMMYFUNCTION("""COMPUTED_VALUE"""),298)</f>
        <v>298</v>
      </c>
      <c r="AA77" s="1">
        <f ca="1">IFERROR(__xludf.DUMMYFUNCTION("""COMPUTED_VALUE"""),949)</f>
        <v>949</v>
      </c>
      <c r="AB77" s="1">
        <f ca="1">IFERROR(__xludf.DUMMYFUNCTION("""COMPUTED_VALUE"""),357)</f>
        <v>357</v>
      </c>
      <c r="AC77" s="1">
        <f ca="1">IFERROR(__xludf.DUMMYFUNCTION("""COMPUTED_VALUE"""),222)</f>
        <v>222</v>
      </c>
      <c r="AD77" s="1">
        <f ca="1">IFERROR(__xludf.DUMMYFUNCTION("""COMPUTED_VALUE"""),101)</f>
        <v>101</v>
      </c>
      <c r="AE77" s="1">
        <f ca="1">IFERROR(__xludf.DUMMYFUNCTION("""COMPUTED_VALUE"""),373)</f>
        <v>373</v>
      </c>
      <c r="AF77" s="1">
        <f ca="1">IFERROR(__xludf.DUMMYFUNCTION("""COMPUTED_VALUE"""),557)</f>
        <v>557</v>
      </c>
    </row>
    <row r="78" spans="1:32" ht="12.5" x14ac:dyDescent="0.25">
      <c r="A78" s="1" t="str">
        <f ca="1">IFERROR(__xludf.DUMMYFUNCTION("""COMPUTED_VALUE"""),"DavidsonNCAA")</f>
        <v>DavidsonNCAA</v>
      </c>
      <c r="B78" s="1">
        <f ca="1">IFERROR(__xludf.DUMMYFUNCTION("""COMPUTED_VALUE"""),32)</f>
        <v>32</v>
      </c>
      <c r="C78" s="1">
        <f ca="1">IFERROR(__xludf.DUMMYFUNCTION("""COMPUTED_VALUE"""),24)</f>
        <v>24</v>
      </c>
      <c r="D78" s="1">
        <f ca="1">IFERROR(__xludf.DUMMYFUNCTION("""COMPUTED_VALUE"""),8)</f>
        <v>8</v>
      </c>
      <c r="E78" s="1">
        <f ca="1">IFERROR(__xludf.DUMMYFUNCTION("""COMPUTED_VALUE"""),0.75)</f>
        <v>0.75</v>
      </c>
      <c r="F78" s="1">
        <f ca="1">IFERROR(__xludf.DUMMYFUNCTION("""COMPUTED_VALUE"""),11.97)</f>
        <v>11.97</v>
      </c>
      <c r="G78" s="1">
        <f ca="1">IFERROR(__xludf.DUMMYFUNCTION("""COMPUTED_VALUE"""),3.19)</f>
        <v>3.19</v>
      </c>
      <c r="H78" s="1">
        <f ca="1">IFERROR(__xludf.DUMMYFUNCTION("""COMPUTED_VALUE"""),14)</f>
        <v>14</v>
      </c>
      <c r="I78" s="1">
        <f ca="1">IFERROR(__xludf.DUMMYFUNCTION("""COMPUTED_VALUE"""),4)</f>
        <v>4</v>
      </c>
      <c r="J78" s="1">
        <f ca="1">IFERROR(__xludf.DUMMYFUNCTION("""COMPUTED_VALUE"""),14)</f>
        <v>14</v>
      </c>
      <c r="K78" s="1">
        <f ca="1">IFERROR(__xludf.DUMMYFUNCTION("""COMPUTED_VALUE"""),1)</f>
        <v>1</v>
      </c>
      <c r="L78" s="1">
        <f ca="1">IFERROR(__xludf.DUMMYFUNCTION("""COMPUTED_VALUE"""),9)</f>
        <v>9</v>
      </c>
      <c r="M78" s="1">
        <f ca="1">IFERROR(__xludf.DUMMYFUNCTION("""COMPUTED_VALUE"""),4)</f>
        <v>4</v>
      </c>
      <c r="N78" s="1">
        <f ca="1">IFERROR(__xludf.DUMMYFUNCTION("""COMPUTED_VALUE"""),2529)</f>
        <v>2529</v>
      </c>
      <c r="O78" s="1">
        <f ca="1">IFERROR(__xludf.DUMMYFUNCTION("""COMPUTED_VALUE"""),2221)</f>
        <v>2221</v>
      </c>
      <c r="P78" s="1">
        <f ca="1">IFERROR(__xludf.DUMMYFUNCTION("""COMPUTED_VALUE"""),1285)</f>
        <v>1285</v>
      </c>
      <c r="Q78" s="1">
        <f ca="1">IFERROR(__xludf.DUMMYFUNCTION("""COMPUTED_VALUE"""),898)</f>
        <v>898</v>
      </c>
      <c r="R78" s="1">
        <f ca="1">IFERROR(__xludf.DUMMYFUNCTION("""COMPUTED_VALUE"""),1924)</f>
        <v>1924</v>
      </c>
      <c r="S78" s="1">
        <f ca="1">IFERROR(__xludf.DUMMYFUNCTION("""COMPUTED_VALUE"""),0.467)</f>
        <v>0.46700000000000003</v>
      </c>
      <c r="T78" s="1">
        <f ca="1">IFERROR(__xludf.DUMMYFUNCTION("""COMPUTED_VALUE"""),343)</f>
        <v>343</v>
      </c>
      <c r="U78" s="1">
        <f ca="1">IFERROR(__xludf.DUMMYFUNCTION("""COMPUTED_VALUE"""),877)</f>
        <v>877</v>
      </c>
      <c r="V78" s="1">
        <f ca="1">IFERROR(__xludf.DUMMYFUNCTION("""COMPUTED_VALUE"""),0.391)</f>
        <v>0.39100000000000001</v>
      </c>
      <c r="W78" s="1">
        <f ca="1">IFERROR(__xludf.DUMMYFUNCTION("""COMPUTED_VALUE"""),390)</f>
        <v>390</v>
      </c>
      <c r="X78" s="1">
        <f ca="1">IFERROR(__xludf.DUMMYFUNCTION("""COMPUTED_VALUE"""),553)</f>
        <v>553</v>
      </c>
      <c r="Y78" s="1">
        <f ca="1">IFERROR(__xludf.DUMMYFUNCTION("""COMPUTED_VALUE"""),0.705)</f>
        <v>0.70499999999999996</v>
      </c>
      <c r="Z78" s="1">
        <f ca="1">IFERROR(__xludf.DUMMYFUNCTION("""COMPUTED_VALUE"""),335)</f>
        <v>335</v>
      </c>
      <c r="AA78" s="1">
        <f ca="1">IFERROR(__xludf.DUMMYFUNCTION("""COMPUTED_VALUE"""),1144)</f>
        <v>1144</v>
      </c>
      <c r="AB78" s="1">
        <f ca="1">IFERROR(__xludf.DUMMYFUNCTION("""COMPUTED_VALUE"""),547)</f>
        <v>547</v>
      </c>
      <c r="AC78" s="1">
        <f ca="1">IFERROR(__xludf.DUMMYFUNCTION("""COMPUTED_VALUE"""),171)</f>
        <v>171</v>
      </c>
      <c r="AD78" s="1">
        <f ca="1">IFERROR(__xludf.DUMMYFUNCTION("""COMPUTED_VALUE"""),93)</f>
        <v>93</v>
      </c>
      <c r="AE78" s="1">
        <f ca="1">IFERROR(__xludf.DUMMYFUNCTION("""COMPUTED_VALUE"""),303)</f>
        <v>303</v>
      </c>
      <c r="AF78" s="1">
        <f ca="1">IFERROR(__xludf.DUMMYFUNCTION("""COMPUTED_VALUE"""),601)</f>
        <v>601</v>
      </c>
    </row>
    <row r="79" spans="1:32" ht="12.5" x14ac:dyDescent="0.25">
      <c r="A79" s="1" t="str">
        <f ca="1">IFERROR(__xludf.DUMMYFUNCTION("""COMPUTED_VALUE"""),"DaytonNCAA")</f>
        <v>DaytonNCAA</v>
      </c>
      <c r="B79" s="1">
        <f ca="1">IFERROR(__xludf.DUMMYFUNCTION("""COMPUTED_VALUE"""),36)</f>
        <v>36</v>
      </c>
      <c r="C79" s="1">
        <f ca="1">IFERROR(__xludf.DUMMYFUNCTION("""COMPUTED_VALUE"""),27)</f>
        <v>27</v>
      </c>
      <c r="D79" s="1">
        <f ca="1">IFERROR(__xludf.DUMMYFUNCTION("""COMPUTED_VALUE"""),9)</f>
        <v>9</v>
      </c>
      <c r="E79" s="1">
        <f ca="1">IFERROR(__xludf.DUMMYFUNCTION("""COMPUTED_VALUE"""),0.75)</f>
        <v>0.75</v>
      </c>
      <c r="F79" s="1">
        <f ca="1">IFERROR(__xludf.DUMMYFUNCTION("""COMPUTED_VALUE"""),10.98)</f>
        <v>10.98</v>
      </c>
      <c r="G79" s="1">
        <f ca="1">IFERROR(__xludf.DUMMYFUNCTION("""COMPUTED_VALUE"""),4.06)</f>
        <v>4.0599999999999996</v>
      </c>
      <c r="H79" s="1">
        <f ca="1">IFERROR(__xludf.DUMMYFUNCTION("""COMPUTED_VALUE"""),13)</f>
        <v>13</v>
      </c>
      <c r="I79" s="1">
        <f ca="1">IFERROR(__xludf.DUMMYFUNCTION("""COMPUTED_VALUE"""),5)</f>
        <v>5</v>
      </c>
      <c r="J79" s="1">
        <f ca="1">IFERROR(__xludf.DUMMYFUNCTION("""COMPUTED_VALUE"""),16)</f>
        <v>16</v>
      </c>
      <c r="K79" s="1">
        <f ca="1">IFERROR(__xludf.DUMMYFUNCTION("""COMPUTED_VALUE"""),0)</f>
        <v>0</v>
      </c>
      <c r="L79" s="1">
        <f ca="1">IFERROR(__xludf.DUMMYFUNCTION("""COMPUTED_VALUE"""),5)</f>
        <v>5</v>
      </c>
      <c r="M79" s="1">
        <f ca="1">IFERROR(__xludf.DUMMYFUNCTION("""COMPUTED_VALUE"""),6)</f>
        <v>6</v>
      </c>
      <c r="N79" s="1">
        <f ca="1">IFERROR(__xludf.DUMMYFUNCTION("""COMPUTED_VALUE"""),2439)</f>
        <v>2439</v>
      </c>
      <c r="O79" s="1">
        <f ca="1">IFERROR(__xludf.DUMMYFUNCTION("""COMPUTED_VALUE"""),2190)</f>
        <v>2190</v>
      </c>
      <c r="P79" s="1">
        <f ca="1">IFERROR(__xludf.DUMMYFUNCTION("""COMPUTED_VALUE"""),1445)</f>
        <v>1445</v>
      </c>
      <c r="Q79" s="1">
        <f ca="1">IFERROR(__xludf.DUMMYFUNCTION("""COMPUTED_VALUE"""),810)</f>
        <v>810</v>
      </c>
      <c r="R79" s="1">
        <f ca="1">IFERROR(__xludf.DUMMYFUNCTION("""COMPUTED_VALUE"""),1755)</f>
        <v>1755</v>
      </c>
      <c r="S79" s="1">
        <f ca="1">IFERROR(__xludf.DUMMYFUNCTION("""COMPUTED_VALUE"""),0.462)</f>
        <v>0.46200000000000002</v>
      </c>
      <c r="T79" s="1">
        <f ca="1">IFERROR(__xludf.DUMMYFUNCTION("""COMPUTED_VALUE"""),239)</f>
        <v>239</v>
      </c>
      <c r="U79" s="1">
        <f ca="1">IFERROR(__xludf.DUMMYFUNCTION("""COMPUTED_VALUE"""),670)</f>
        <v>670</v>
      </c>
      <c r="V79" s="1">
        <f ca="1">IFERROR(__xludf.DUMMYFUNCTION("""COMPUTED_VALUE"""),0.357)</f>
        <v>0.35699999999999998</v>
      </c>
      <c r="W79" s="1">
        <f ca="1">IFERROR(__xludf.DUMMYFUNCTION("""COMPUTED_VALUE"""),580)</f>
        <v>580</v>
      </c>
      <c r="X79" s="1">
        <f ca="1">IFERROR(__xludf.DUMMYFUNCTION("""COMPUTED_VALUE"""),846)</f>
        <v>846</v>
      </c>
      <c r="Y79" s="1">
        <f ca="1">IFERROR(__xludf.DUMMYFUNCTION("""COMPUTED_VALUE"""),0.686)</f>
        <v>0.68600000000000005</v>
      </c>
      <c r="Z79" s="1">
        <f ca="1">IFERROR(__xludf.DUMMYFUNCTION("""COMPUTED_VALUE"""),255)</f>
        <v>255</v>
      </c>
      <c r="AA79" s="1">
        <f ca="1">IFERROR(__xludf.DUMMYFUNCTION("""COMPUTED_VALUE"""),1121)</f>
        <v>1121</v>
      </c>
      <c r="AB79" s="1">
        <f ca="1">IFERROR(__xludf.DUMMYFUNCTION("""COMPUTED_VALUE"""),490)</f>
        <v>490</v>
      </c>
      <c r="AC79" s="1">
        <f ca="1">IFERROR(__xludf.DUMMYFUNCTION("""COMPUTED_VALUE"""),250)</f>
        <v>250</v>
      </c>
      <c r="AD79" s="1">
        <f ca="1">IFERROR(__xludf.DUMMYFUNCTION("""COMPUTED_VALUE"""),91)</f>
        <v>91</v>
      </c>
      <c r="AE79" s="1">
        <f ca="1">IFERROR(__xludf.DUMMYFUNCTION("""COMPUTED_VALUE"""),415)</f>
        <v>415</v>
      </c>
      <c r="AF79" s="1">
        <f ca="1">IFERROR(__xludf.DUMMYFUNCTION("""COMPUTED_VALUE"""),573)</f>
        <v>573</v>
      </c>
    </row>
    <row r="80" spans="1:32" ht="12.5" x14ac:dyDescent="0.25">
      <c r="A80" s="1" t="str">
        <f ca="1">IFERROR(__xludf.DUMMYFUNCTION("""COMPUTED_VALUE"""),"Delaware State")</f>
        <v>Delaware State</v>
      </c>
      <c r="B80" s="1">
        <f ca="1">IFERROR(__xludf.DUMMYFUNCTION("""COMPUTED_VALUE"""),36)</f>
        <v>36</v>
      </c>
      <c r="C80" s="1">
        <f ca="1">IFERROR(__xludf.DUMMYFUNCTION("""COMPUTED_VALUE"""),18)</f>
        <v>18</v>
      </c>
      <c r="D80" s="1">
        <f ca="1">IFERROR(__xludf.DUMMYFUNCTION("""COMPUTED_VALUE"""),18)</f>
        <v>18</v>
      </c>
      <c r="E80" s="1">
        <f ca="1">IFERROR(__xludf.DUMMYFUNCTION("""COMPUTED_VALUE"""),0.5)</f>
        <v>0.5</v>
      </c>
      <c r="F80" s="1">
        <f ca="1">IFERROR(__xludf.DUMMYFUNCTION("""COMPUTED_VALUE"""),-10.78)</f>
        <v>-10.78</v>
      </c>
      <c r="G80" s="1">
        <f ca="1">IFERROR(__xludf.DUMMYFUNCTION("""COMPUTED_VALUE"""),-6.75)</f>
        <v>-6.75</v>
      </c>
      <c r="H80" s="1">
        <f ca="1">IFERROR(__xludf.DUMMYFUNCTION("""COMPUTED_VALUE"""),9)</f>
        <v>9</v>
      </c>
      <c r="I80" s="1">
        <f ca="1">IFERROR(__xludf.DUMMYFUNCTION("""COMPUTED_VALUE"""),7)</f>
        <v>7</v>
      </c>
      <c r="J80" s="1">
        <f ca="1">IFERROR(__xludf.DUMMYFUNCTION("""COMPUTED_VALUE"""),6)</f>
        <v>6</v>
      </c>
      <c r="K80" s="1">
        <f ca="1">IFERROR(__xludf.DUMMYFUNCTION("""COMPUTED_VALUE"""),6)</f>
        <v>6</v>
      </c>
      <c r="L80" s="1">
        <f ca="1">IFERROR(__xludf.DUMMYFUNCTION("""COMPUTED_VALUE"""),9)</f>
        <v>9</v>
      </c>
      <c r="M80" s="1">
        <f ca="1">IFERROR(__xludf.DUMMYFUNCTION("""COMPUTED_VALUE"""),11)</f>
        <v>11</v>
      </c>
      <c r="N80" s="1">
        <f ca="1">IFERROR(__xludf.DUMMYFUNCTION("""COMPUTED_VALUE"""),2533)</f>
        <v>2533</v>
      </c>
      <c r="O80" s="1">
        <f ca="1">IFERROR(__xludf.DUMMYFUNCTION("""COMPUTED_VALUE"""),2607)</f>
        <v>2607</v>
      </c>
      <c r="P80" s="1">
        <f ca="1">IFERROR(__xludf.DUMMYFUNCTION("""COMPUTED_VALUE"""),1445)</f>
        <v>1445</v>
      </c>
      <c r="Q80" s="1">
        <f ca="1">IFERROR(__xludf.DUMMYFUNCTION("""COMPUTED_VALUE"""),888)</f>
        <v>888</v>
      </c>
      <c r="R80" s="1">
        <f ca="1">IFERROR(__xludf.DUMMYFUNCTION("""COMPUTED_VALUE"""),2121)</f>
        <v>2121</v>
      </c>
      <c r="S80" s="1">
        <f ca="1">IFERROR(__xludf.DUMMYFUNCTION("""COMPUTED_VALUE"""),0.419)</f>
        <v>0.41899999999999998</v>
      </c>
      <c r="T80" s="1">
        <f ca="1">IFERROR(__xludf.DUMMYFUNCTION("""COMPUTED_VALUE"""),282)</f>
        <v>282</v>
      </c>
      <c r="U80" s="1">
        <f ca="1">IFERROR(__xludf.DUMMYFUNCTION("""COMPUTED_VALUE"""),798)</f>
        <v>798</v>
      </c>
      <c r="V80" s="1">
        <f ca="1">IFERROR(__xludf.DUMMYFUNCTION("""COMPUTED_VALUE"""),0.353)</f>
        <v>0.35299999999999998</v>
      </c>
      <c r="W80" s="1">
        <f ca="1">IFERROR(__xludf.DUMMYFUNCTION("""COMPUTED_VALUE"""),475)</f>
        <v>475</v>
      </c>
      <c r="X80" s="1">
        <f ca="1">IFERROR(__xludf.DUMMYFUNCTION("""COMPUTED_VALUE"""),672)</f>
        <v>672</v>
      </c>
      <c r="Y80" s="1">
        <f ca="1">IFERROR(__xludf.DUMMYFUNCTION("""COMPUTED_VALUE"""),0.707)</f>
        <v>0.70699999999999996</v>
      </c>
      <c r="Z80" s="1">
        <f ca="1">IFERROR(__xludf.DUMMYFUNCTION("""COMPUTED_VALUE"""),424)</f>
        <v>424</v>
      </c>
      <c r="AA80" s="1">
        <f ca="1">IFERROR(__xludf.DUMMYFUNCTION("""COMPUTED_VALUE"""),1375)</f>
        <v>1375</v>
      </c>
      <c r="AB80" s="1">
        <f ca="1">IFERROR(__xludf.DUMMYFUNCTION("""COMPUTED_VALUE"""),430)</f>
        <v>430</v>
      </c>
      <c r="AC80" s="1">
        <f ca="1">IFERROR(__xludf.DUMMYFUNCTION("""COMPUTED_VALUE"""),179)</f>
        <v>179</v>
      </c>
      <c r="AD80" s="1">
        <f ca="1">IFERROR(__xludf.DUMMYFUNCTION("""COMPUTED_VALUE"""),141)</f>
        <v>141</v>
      </c>
      <c r="AE80" s="1">
        <f ca="1">IFERROR(__xludf.DUMMYFUNCTION("""COMPUTED_VALUE"""),484)</f>
        <v>484</v>
      </c>
      <c r="AF80" s="1">
        <f ca="1">IFERROR(__xludf.DUMMYFUNCTION("""COMPUTED_VALUE"""),614)</f>
        <v>614</v>
      </c>
    </row>
    <row r="81" spans="1:32" ht="12.5" x14ac:dyDescent="0.25">
      <c r="A81" s="1" t="str">
        <f ca="1">IFERROR(__xludf.DUMMYFUNCTION("""COMPUTED_VALUE"""),"Delaware")</f>
        <v>Delaware</v>
      </c>
      <c r="B81" s="1">
        <f ca="1">IFERROR(__xludf.DUMMYFUNCTION("""COMPUTED_VALUE"""),30)</f>
        <v>30</v>
      </c>
      <c r="C81" s="1">
        <f ca="1">IFERROR(__xludf.DUMMYFUNCTION("""COMPUTED_VALUE"""),10)</f>
        <v>10</v>
      </c>
      <c r="D81" s="1">
        <f ca="1">IFERROR(__xludf.DUMMYFUNCTION("""COMPUTED_VALUE"""),20)</f>
        <v>20</v>
      </c>
      <c r="E81" s="1">
        <f ca="1">IFERROR(__xludf.DUMMYFUNCTION("""COMPUTED_VALUE"""),0.333)</f>
        <v>0.33300000000000002</v>
      </c>
      <c r="F81" s="1">
        <f ca="1">IFERROR(__xludf.DUMMYFUNCTION("""COMPUTED_VALUE"""),-7.76)</f>
        <v>-7.76</v>
      </c>
      <c r="G81" s="1">
        <f ca="1">IFERROR(__xludf.DUMMYFUNCTION("""COMPUTED_VALUE"""),-1.69)</f>
        <v>-1.69</v>
      </c>
      <c r="H81" s="1">
        <f ca="1">IFERROR(__xludf.DUMMYFUNCTION("""COMPUTED_VALUE"""),9)</f>
        <v>9</v>
      </c>
      <c r="I81" s="1">
        <f ca="1">IFERROR(__xludf.DUMMYFUNCTION("""COMPUTED_VALUE"""),9)</f>
        <v>9</v>
      </c>
      <c r="J81" s="1">
        <f ca="1">IFERROR(__xludf.DUMMYFUNCTION("""COMPUTED_VALUE"""),5)</f>
        <v>5</v>
      </c>
      <c r="K81" s="1">
        <f ca="1">IFERROR(__xludf.DUMMYFUNCTION("""COMPUTED_VALUE"""),8)</f>
        <v>8</v>
      </c>
      <c r="L81" s="1">
        <f ca="1">IFERROR(__xludf.DUMMYFUNCTION("""COMPUTED_VALUE"""),5)</f>
        <v>5</v>
      </c>
      <c r="M81" s="1">
        <f ca="1">IFERROR(__xludf.DUMMYFUNCTION("""COMPUTED_VALUE"""),10)</f>
        <v>10</v>
      </c>
      <c r="N81" s="1">
        <f ca="1">IFERROR(__xludf.DUMMYFUNCTION("""COMPUTED_VALUE"""),1979)</f>
        <v>1979</v>
      </c>
      <c r="O81" s="1">
        <f ca="1">IFERROR(__xludf.DUMMYFUNCTION("""COMPUTED_VALUE"""),2161)</f>
        <v>2161</v>
      </c>
      <c r="P81" s="1">
        <f ca="1">IFERROR(__xludf.DUMMYFUNCTION("""COMPUTED_VALUE"""),1215)</f>
        <v>1215</v>
      </c>
      <c r="Q81" s="1">
        <f ca="1">IFERROR(__xludf.DUMMYFUNCTION("""COMPUTED_VALUE"""),675)</f>
        <v>675</v>
      </c>
      <c r="R81" s="1">
        <f ca="1">IFERROR(__xludf.DUMMYFUNCTION("""COMPUTED_VALUE"""),1646)</f>
        <v>1646</v>
      </c>
      <c r="S81" s="1">
        <f ca="1">IFERROR(__xludf.DUMMYFUNCTION("""COMPUTED_VALUE"""),0.41)</f>
        <v>0.41</v>
      </c>
      <c r="T81" s="1">
        <f ca="1">IFERROR(__xludf.DUMMYFUNCTION("""COMPUTED_VALUE"""),199)</f>
        <v>199</v>
      </c>
      <c r="U81" s="1">
        <f ca="1">IFERROR(__xludf.DUMMYFUNCTION("""COMPUTED_VALUE"""),576)</f>
        <v>576</v>
      </c>
      <c r="V81" s="1">
        <f ca="1">IFERROR(__xludf.DUMMYFUNCTION("""COMPUTED_VALUE"""),0.345)</f>
        <v>0.34499999999999997</v>
      </c>
      <c r="W81" s="1">
        <f ca="1">IFERROR(__xludf.DUMMYFUNCTION("""COMPUTED_VALUE"""),430)</f>
        <v>430</v>
      </c>
      <c r="X81" s="1">
        <f ca="1">IFERROR(__xludf.DUMMYFUNCTION("""COMPUTED_VALUE"""),627)</f>
        <v>627</v>
      </c>
      <c r="Y81" s="1">
        <f ca="1">IFERROR(__xludf.DUMMYFUNCTION("""COMPUTED_VALUE"""),0.686)</f>
        <v>0.68600000000000005</v>
      </c>
      <c r="Z81" s="1">
        <f ca="1">IFERROR(__xludf.DUMMYFUNCTION("""COMPUTED_VALUE"""),314)</f>
        <v>314</v>
      </c>
      <c r="AA81" s="1">
        <f ca="1">IFERROR(__xludf.DUMMYFUNCTION("""COMPUTED_VALUE"""),1061)</f>
        <v>1061</v>
      </c>
      <c r="AB81" s="1">
        <f ca="1">IFERROR(__xludf.DUMMYFUNCTION("""COMPUTED_VALUE"""),376)</f>
        <v>376</v>
      </c>
      <c r="AC81" s="1">
        <f ca="1">IFERROR(__xludf.DUMMYFUNCTION("""COMPUTED_VALUE"""),128)</f>
        <v>128</v>
      </c>
      <c r="AD81" s="1">
        <f ca="1">IFERROR(__xludf.DUMMYFUNCTION("""COMPUTED_VALUE"""),108)</f>
        <v>108</v>
      </c>
      <c r="AE81" s="1">
        <f ca="1">IFERROR(__xludf.DUMMYFUNCTION("""COMPUTED_VALUE"""),367)</f>
        <v>367</v>
      </c>
      <c r="AF81" s="1">
        <f ca="1">IFERROR(__xludf.DUMMYFUNCTION("""COMPUTED_VALUE"""),522)</f>
        <v>522</v>
      </c>
    </row>
    <row r="82" spans="1:32" ht="12.5" x14ac:dyDescent="0.25">
      <c r="A82" s="1" t="str">
        <f ca="1">IFERROR(__xludf.DUMMYFUNCTION("""COMPUTED_VALUE"""),"Denver")</f>
        <v>Denver</v>
      </c>
      <c r="B82" s="1">
        <f ca="1">IFERROR(__xludf.DUMMYFUNCTION("""COMPUTED_VALUE"""),30)</f>
        <v>30</v>
      </c>
      <c r="C82" s="1">
        <f ca="1">IFERROR(__xludf.DUMMYFUNCTION("""COMPUTED_VALUE"""),12)</f>
        <v>12</v>
      </c>
      <c r="D82" s="1">
        <f ca="1">IFERROR(__xludf.DUMMYFUNCTION("""COMPUTED_VALUE"""),18)</f>
        <v>18</v>
      </c>
      <c r="E82" s="1">
        <f ca="1">IFERROR(__xludf.DUMMYFUNCTION("""COMPUTED_VALUE"""),0.4)</f>
        <v>0.4</v>
      </c>
      <c r="F82" s="1">
        <f ca="1">IFERROR(__xludf.DUMMYFUNCTION("""COMPUTED_VALUE"""),-3.96)</f>
        <v>-3.96</v>
      </c>
      <c r="G82" s="1">
        <f ca="1">IFERROR(__xludf.DUMMYFUNCTION("""COMPUTED_VALUE"""),-3.13)</f>
        <v>-3.13</v>
      </c>
      <c r="H82" s="1">
        <f ca="1">IFERROR(__xludf.DUMMYFUNCTION("""COMPUTED_VALUE"""),6)</f>
        <v>6</v>
      </c>
      <c r="I82" s="1">
        <f ca="1">IFERROR(__xludf.DUMMYFUNCTION("""COMPUTED_VALUE"""),10)</f>
        <v>10</v>
      </c>
      <c r="J82" s="1">
        <f ca="1">IFERROR(__xludf.DUMMYFUNCTION("""COMPUTED_VALUE"""),9)</f>
        <v>9</v>
      </c>
      <c r="K82" s="1">
        <f ca="1">IFERROR(__xludf.DUMMYFUNCTION("""COMPUTED_VALUE"""),7)</f>
        <v>7</v>
      </c>
      <c r="L82" s="1">
        <f ca="1">IFERROR(__xludf.DUMMYFUNCTION("""COMPUTED_VALUE"""),3)</f>
        <v>3</v>
      </c>
      <c r="M82" s="1">
        <f ca="1">IFERROR(__xludf.DUMMYFUNCTION("""COMPUTED_VALUE"""),10)</f>
        <v>10</v>
      </c>
      <c r="N82" s="1">
        <f ca="1">IFERROR(__xludf.DUMMYFUNCTION("""COMPUTED_VALUE"""),1865)</f>
        <v>1865</v>
      </c>
      <c r="O82" s="1">
        <f ca="1">IFERROR(__xludf.DUMMYFUNCTION("""COMPUTED_VALUE"""),1890)</f>
        <v>1890</v>
      </c>
      <c r="P82" s="1">
        <f ca="1">IFERROR(__xludf.DUMMYFUNCTION("""COMPUTED_VALUE"""),1215)</f>
        <v>1215</v>
      </c>
      <c r="Q82" s="1">
        <f ca="1">IFERROR(__xludf.DUMMYFUNCTION("""COMPUTED_VALUE"""),657)</f>
        <v>657</v>
      </c>
      <c r="R82" s="1">
        <f ca="1">IFERROR(__xludf.DUMMYFUNCTION("""COMPUTED_VALUE"""),1369)</f>
        <v>1369</v>
      </c>
      <c r="S82" s="1">
        <f ca="1">IFERROR(__xludf.DUMMYFUNCTION("""COMPUTED_VALUE"""),0.48)</f>
        <v>0.48</v>
      </c>
      <c r="T82" s="1">
        <f ca="1">IFERROR(__xludf.DUMMYFUNCTION("""COMPUTED_VALUE"""),224)</f>
        <v>224</v>
      </c>
      <c r="U82" s="1">
        <f ca="1">IFERROR(__xludf.DUMMYFUNCTION("""COMPUTED_VALUE"""),589)</f>
        <v>589</v>
      </c>
      <c r="V82" s="1">
        <f ca="1">IFERROR(__xludf.DUMMYFUNCTION("""COMPUTED_VALUE"""),0.38)</f>
        <v>0.38</v>
      </c>
      <c r="W82" s="1">
        <f ca="1">IFERROR(__xludf.DUMMYFUNCTION("""COMPUTED_VALUE"""),327)</f>
        <v>327</v>
      </c>
      <c r="X82" s="1">
        <f ca="1">IFERROR(__xludf.DUMMYFUNCTION("""COMPUTED_VALUE"""),427)</f>
        <v>427</v>
      </c>
      <c r="Y82" s="1">
        <f ca="1">IFERROR(__xludf.DUMMYFUNCTION("""COMPUTED_VALUE"""),0.766)</f>
        <v>0.76600000000000001</v>
      </c>
      <c r="Z82" s="1">
        <f ca="1">IFERROR(__xludf.DUMMYFUNCTION("""COMPUTED_VALUE"""),148)</f>
        <v>148</v>
      </c>
      <c r="AA82" s="1">
        <f ca="1">IFERROR(__xludf.DUMMYFUNCTION("""COMPUTED_VALUE"""),717)</f>
        <v>717</v>
      </c>
      <c r="AB82" s="1">
        <f ca="1">IFERROR(__xludf.DUMMYFUNCTION("""COMPUTED_VALUE"""),457)</f>
        <v>457</v>
      </c>
      <c r="AC82" s="1">
        <f ca="1">IFERROR(__xludf.DUMMYFUNCTION("""COMPUTED_VALUE"""),179)</f>
        <v>179</v>
      </c>
      <c r="AD82" s="1">
        <f ca="1">IFERROR(__xludf.DUMMYFUNCTION("""COMPUTED_VALUE"""),55)</f>
        <v>55</v>
      </c>
      <c r="AE82" s="1">
        <f ca="1">IFERROR(__xludf.DUMMYFUNCTION("""COMPUTED_VALUE"""),338)</f>
        <v>338</v>
      </c>
      <c r="AF82" s="1">
        <f ca="1">IFERROR(__xludf.DUMMYFUNCTION("""COMPUTED_VALUE"""),611)</f>
        <v>611</v>
      </c>
    </row>
    <row r="83" spans="1:32" ht="12.5" x14ac:dyDescent="0.25">
      <c r="A83" s="1" t="str">
        <f ca="1">IFERROR(__xludf.DUMMYFUNCTION("""COMPUTED_VALUE"""),"DePaul")</f>
        <v>DePaul</v>
      </c>
      <c r="B83" s="1">
        <f ca="1">IFERROR(__xludf.DUMMYFUNCTION("""COMPUTED_VALUE"""),32)</f>
        <v>32</v>
      </c>
      <c r="C83" s="1">
        <f ca="1">IFERROR(__xludf.DUMMYFUNCTION("""COMPUTED_VALUE"""),12)</f>
        <v>12</v>
      </c>
      <c r="D83" s="1">
        <f ca="1">IFERROR(__xludf.DUMMYFUNCTION("""COMPUTED_VALUE"""),20)</f>
        <v>20</v>
      </c>
      <c r="E83" s="1">
        <f ca="1">IFERROR(__xludf.DUMMYFUNCTION("""COMPUTED_VALUE"""),0.375)</f>
        <v>0.375</v>
      </c>
      <c r="F83" s="1">
        <f ca="1">IFERROR(__xludf.DUMMYFUNCTION("""COMPUTED_VALUE"""),3.3)</f>
        <v>3.3</v>
      </c>
      <c r="G83" s="1">
        <f ca="1">IFERROR(__xludf.DUMMYFUNCTION("""COMPUTED_VALUE"""),7.49)</f>
        <v>7.49</v>
      </c>
      <c r="H83" s="1">
        <f ca="1">IFERROR(__xludf.DUMMYFUNCTION("""COMPUTED_VALUE"""),6)</f>
        <v>6</v>
      </c>
      <c r="I83" s="1">
        <f ca="1">IFERROR(__xludf.DUMMYFUNCTION("""COMPUTED_VALUE"""),12)</f>
        <v>12</v>
      </c>
      <c r="J83" s="1">
        <f ca="1">IFERROR(__xludf.DUMMYFUNCTION("""COMPUTED_VALUE"""),9)</f>
        <v>9</v>
      </c>
      <c r="K83" s="1">
        <f ca="1">IFERROR(__xludf.DUMMYFUNCTION("""COMPUTED_VALUE"""),7)</f>
        <v>7</v>
      </c>
      <c r="L83" s="1">
        <f ca="1">IFERROR(__xludf.DUMMYFUNCTION("""COMPUTED_VALUE"""),3)</f>
        <v>3</v>
      </c>
      <c r="M83" s="1">
        <f ca="1">IFERROR(__xludf.DUMMYFUNCTION("""COMPUTED_VALUE"""),9)</f>
        <v>9</v>
      </c>
      <c r="N83" s="1">
        <f ca="1">IFERROR(__xludf.DUMMYFUNCTION("""COMPUTED_VALUE"""),2220)</f>
        <v>2220</v>
      </c>
      <c r="O83" s="1">
        <f ca="1">IFERROR(__xludf.DUMMYFUNCTION("""COMPUTED_VALUE"""),2354)</f>
        <v>2354</v>
      </c>
      <c r="P83" s="1">
        <f ca="1">IFERROR(__xludf.DUMMYFUNCTION("""COMPUTED_VALUE"""),1285)</f>
        <v>1285</v>
      </c>
      <c r="Q83" s="1">
        <f ca="1">IFERROR(__xludf.DUMMYFUNCTION("""COMPUTED_VALUE"""),757)</f>
        <v>757</v>
      </c>
      <c r="R83" s="1">
        <f ca="1">IFERROR(__xludf.DUMMYFUNCTION("""COMPUTED_VALUE"""),1739)</f>
        <v>1739</v>
      </c>
      <c r="S83" s="1">
        <f ca="1">IFERROR(__xludf.DUMMYFUNCTION("""COMPUTED_VALUE"""),0.435)</f>
        <v>0.435</v>
      </c>
      <c r="T83" s="1">
        <f ca="1">IFERROR(__xludf.DUMMYFUNCTION("""COMPUTED_VALUE"""),248)</f>
        <v>248</v>
      </c>
      <c r="U83" s="1">
        <f ca="1">IFERROR(__xludf.DUMMYFUNCTION("""COMPUTED_VALUE"""),705)</f>
        <v>705</v>
      </c>
      <c r="V83" s="1">
        <f ca="1">IFERROR(__xludf.DUMMYFUNCTION("""COMPUTED_VALUE"""),0.352)</f>
        <v>0.35199999999999998</v>
      </c>
      <c r="W83" s="1">
        <f ca="1">IFERROR(__xludf.DUMMYFUNCTION("""COMPUTED_VALUE"""),458)</f>
        <v>458</v>
      </c>
      <c r="X83" s="1">
        <f ca="1">IFERROR(__xludf.DUMMYFUNCTION("""COMPUTED_VALUE"""),635)</f>
        <v>635</v>
      </c>
      <c r="Y83" s="1">
        <f ca="1">IFERROR(__xludf.DUMMYFUNCTION("""COMPUTED_VALUE"""),0.721)</f>
        <v>0.72099999999999997</v>
      </c>
      <c r="Z83" s="1">
        <f ca="1">IFERROR(__xludf.DUMMYFUNCTION("""COMPUTED_VALUE"""),292)</f>
        <v>292</v>
      </c>
      <c r="AA83" s="1">
        <f ca="1">IFERROR(__xludf.DUMMYFUNCTION("""COMPUTED_VALUE"""),969)</f>
        <v>969</v>
      </c>
      <c r="AB83" s="1">
        <f ca="1">IFERROR(__xludf.DUMMYFUNCTION("""COMPUTED_VALUE"""),395)</f>
        <v>395</v>
      </c>
      <c r="AC83" s="1">
        <f ca="1">IFERROR(__xludf.DUMMYFUNCTION("""COMPUTED_VALUE"""),212)</f>
        <v>212</v>
      </c>
      <c r="AD83" s="1">
        <f ca="1">IFERROR(__xludf.DUMMYFUNCTION("""COMPUTED_VALUE"""),122)</f>
        <v>122</v>
      </c>
      <c r="AE83" s="1">
        <f ca="1">IFERROR(__xludf.DUMMYFUNCTION("""COMPUTED_VALUE"""),428)</f>
        <v>428</v>
      </c>
      <c r="AF83" s="1">
        <f ca="1">IFERROR(__xludf.DUMMYFUNCTION("""COMPUTED_VALUE"""),679)</f>
        <v>679</v>
      </c>
    </row>
    <row r="84" spans="1:32" ht="12.5" x14ac:dyDescent="0.25">
      <c r="A84" s="1" t="str">
        <f ca="1">IFERROR(__xludf.DUMMYFUNCTION("""COMPUTED_VALUE"""),"Detroit Mercy")</f>
        <v>Detroit Mercy</v>
      </c>
      <c r="B84" s="1">
        <f ca="1">IFERROR(__xludf.DUMMYFUNCTION("""COMPUTED_VALUE"""),33)</f>
        <v>33</v>
      </c>
      <c r="C84" s="1">
        <f ca="1">IFERROR(__xludf.DUMMYFUNCTION("""COMPUTED_VALUE"""),15)</f>
        <v>15</v>
      </c>
      <c r="D84" s="1">
        <f ca="1">IFERROR(__xludf.DUMMYFUNCTION("""COMPUTED_VALUE"""),18)</f>
        <v>18</v>
      </c>
      <c r="E84" s="1">
        <f ca="1">IFERROR(__xludf.DUMMYFUNCTION("""COMPUTED_VALUE"""),0.455)</f>
        <v>0.45500000000000002</v>
      </c>
      <c r="F84" s="1">
        <f ca="1">IFERROR(__xludf.DUMMYFUNCTION("""COMPUTED_VALUE"""),-2.25)</f>
        <v>-2.25</v>
      </c>
      <c r="G84" s="1">
        <f ca="1">IFERROR(__xludf.DUMMYFUNCTION("""COMPUTED_VALUE"""),0.13)</f>
        <v>0.13</v>
      </c>
      <c r="H84" s="1">
        <f ca="1">IFERROR(__xludf.DUMMYFUNCTION("""COMPUTED_VALUE"""),7)</f>
        <v>7</v>
      </c>
      <c r="I84" s="1">
        <f ca="1">IFERROR(__xludf.DUMMYFUNCTION("""COMPUTED_VALUE"""),9)</f>
        <v>9</v>
      </c>
      <c r="J84" s="1">
        <f ca="1">IFERROR(__xludf.DUMMYFUNCTION("""COMPUTED_VALUE"""),10)</f>
        <v>10</v>
      </c>
      <c r="K84" s="1">
        <f ca="1">IFERROR(__xludf.DUMMYFUNCTION("""COMPUTED_VALUE"""),6)</f>
        <v>6</v>
      </c>
      <c r="L84" s="1">
        <f ca="1">IFERROR(__xludf.DUMMYFUNCTION("""COMPUTED_VALUE"""),3)</f>
        <v>3</v>
      </c>
      <c r="M84" s="1">
        <f ca="1">IFERROR(__xludf.DUMMYFUNCTION("""COMPUTED_VALUE"""),11)</f>
        <v>11</v>
      </c>
      <c r="N84" s="1">
        <f ca="1">IFERROR(__xludf.DUMMYFUNCTION("""COMPUTED_VALUE"""),2334)</f>
        <v>2334</v>
      </c>
      <c r="O84" s="1">
        <f ca="1">IFERROR(__xludf.DUMMYFUNCTION("""COMPUTED_VALUE"""),2335)</f>
        <v>2335</v>
      </c>
      <c r="P84" s="1">
        <f ca="1">IFERROR(__xludf.DUMMYFUNCTION("""COMPUTED_VALUE"""),1335)</f>
        <v>1335</v>
      </c>
      <c r="Q84" s="1">
        <f ca="1">IFERROR(__xludf.DUMMYFUNCTION("""COMPUTED_VALUE"""),840)</f>
        <v>840</v>
      </c>
      <c r="R84" s="1">
        <f ca="1">IFERROR(__xludf.DUMMYFUNCTION("""COMPUTED_VALUE"""),1889)</f>
        <v>1889</v>
      </c>
      <c r="S84" s="1">
        <f ca="1">IFERROR(__xludf.DUMMYFUNCTION("""COMPUTED_VALUE"""),0.445)</f>
        <v>0.44500000000000001</v>
      </c>
      <c r="T84" s="1">
        <f ca="1">IFERROR(__xludf.DUMMYFUNCTION("""COMPUTED_VALUE"""),231)</f>
        <v>231</v>
      </c>
      <c r="U84" s="1">
        <f ca="1">IFERROR(__xludf.DUMMYFUNCTION("""COMPUTED_VALUE"""),602)</f>
        <v>602</v>
      </c>
      <c r="V84" s="1">
        <f ca="1">IFERROR(__xludf.DUMMYFUNCTION("""COMPUTED_VALUE"""),0.384)</f>
        <v>0.38400000000000001</v>
      </c>
      <c r="W84" s="1">
        <f ca="1">IFERROR(__xludf.DUMMYFUNCTION("""COMPUTED_VALUE"""),423)</f>
        <v>423</v>
      </c>
      <c r="X84" s="1">
        <f ca="1">IFERROR(__xludf.DUMMYFUNCTION("""COMPUTED_VALUE"""),619)</f>
        <v>619</v>
      </c>
      <c r="Y84" s="1">
        <f ca="1">IFERROR(__xludf.DUMMYFUNCTION("""COMPUTED_VALUE"""),0.683)</f>
        <v>0.68300000000000005</v>
      </c>
      <c r="Z84" s="1">
        <f ca="1">IFERROR(__xludf.DUMMYFUNCTION("""COMPUTED_VALUE"""),343)</f>
        <v>343</v>
      </c>
      <c r="AA84" s="1">
        <f ca="1">IFERROR(__xludf.DUMMYFUNCTION("""COMPUTED_VALUE"""),1109)</f>
        <v>1109</v>
      </c>
      <c r="AB84" s="1">
        <f ca="1">IFERROR(__xludf.DUMMYFUNCTION("""COMPUTED_VALUE"""),444)</f>
        <v>444</v>
      </c>
      <c r="AC84" s="1">
        <f ca="1">IFERROR(__xludf.DUMMYFUNCTION("""COMPUTED_VALUE"""),254)</f>
        <v>254</v>
      </c>
      <c r="AD84" s="1">
        <f ca="1">IFERROR(__xludf.DUMMYFUNCTION("""COMPUTED_VALUE"""),112)</f>
        <v>112</v>
      </c>
      <c r="AE84" s="1">
        <f ca="1">IFERROR(__xludf.DUMMYFUNCTION("""COMPUTED_VALUE"""),436)</f>
        <v>436</v>
      </c>
      <c r="AF84" s="1">
        <f ca="1">IFERROR(__xludf.DUMMYFUNCTION("""COMPUTED_VALUE"""),687)</f>
        <v>687</v>
      </c>
    </row>
    <row r="85" spans="1:32" ht="12.5" x14ac:dyDescent="0.25">
      <c r="A85" s="1" t="str">
        <f ca="1">IFERROR(__xludf.DUMMYFUNCTION("""COMPUTED_VALUE"""),"Drake")</f>
        <v>Drake</v>
      </c>
      <c r="B85" s="1">
        <f ca="1">IFERROR(__xludf.DUMMYFUNCTION("""COMPUTED_VALUE"""),31)</f>
        <v>31</v>
      </c>
      <c r="C85" s="1">
        <f ca="1">IFERROR(__xludf.DUMMYFUNCTION("""COMPUTED_VALUE"""),9)</f>
        <v>9</v>
      </c>
      <c r="D85" s="1">
        <f ca="1">IFERROR(__xludf.DUMMYFUNCTION("""COMPUTED_VALUE"""),22)</f>
        <v>22</v>
      </c>
      <c r="E85" s="1">
        <f ca="1">IFERROR(__xludf.DUMMYFUNCTION("""COMPUTED_VALUE"""),0.29)</f>
        <v>0.28999999999999998</v>
      </c>
      <c r="F85" s="1">
        <f ca="1">IFERROR(__xludf.DUMMYFUNCTION("""COMPUTED_VALUE"""),-6.04)</f>
        <v>-6.04</v>
      </c>
      <c r="G85" s="1">
        <f ca="1">IFERROR(__xludf.DUMMYFUNCTION("""COMPUTED_VALUE"""),2.22)</f>
        <v>2.2200000000000002</v>
      </c>
      <c r="H85" s="1">
        <f ca="1">IFERROR(__xludf.DUMMYFUNCTION("""COMPUTED_VALUE"""),6)</f>
        <v>6</v>
      </c>
      <c r="I85" s="1">
        <f ca="1">IFERROR(__xludf.DUMMYFUNCTION("""COMPUTED_VALUE"""),12)</f>
        <v>12</v>
      </c>
      <c r="J85" s="1">
        <f ca="1">IFERROR(__xludf.DUMMYFUNCTION("""COMPUTED_VALUE"""),8)</f>
        <v>8</v>
      </c>
      <c r="K85" s="1">
        <f ca="1">IFERROR(__xludf.DUMMYFUNCTION("""COMPUTED_VALUE"""),7)</f>
        <v>7</v>
      </c>
      <c r="L85" s="1">
        <f ca="1">IFERROR(__xludf.DUMMYFUNCTION("""COMPUTED_VALUE"""),1)</f>
        <v>1</v>
      </c>
      <c r="M85" s="1">
        <f ca="1">IFERROR(__xludf.DUMMYFUNCTION("""COMPUTED_VALUE"""),11)</f>
        <v>11</v>
      </c>
      <c r="N85" s="1">
        <f ca="1">IFERROR(__xludf.DUMMYFUNCTION("""COMPUTED_VALUE"""),1844)</f>
        <v>1844</v>
      </c>
      <c r="O85" s="1">
        <f ca="1">IFERROR(__xludf.DUMMYFUNCTION("""COMPUTED_VALUE"""),2070)</f>
        <v>2070</v>
      </c>
      <c r="P85" s="1">
        <f ca="1">IFERROR(__xludf.DUMMYFUNCTION("""COMPUTED_VALUE"""),1250)</f>
        <v>1250</v>
      </c>
      <c r="Q85" s="1">
        <f ca="1">IFERROR(__xludf.DUMMYFUNCTION("""COMPUTED_VALUE"""),637)</f>
        <v>637</v>
      </c>
      <c r="R85" s="1">
        <f ca="1">IFERROR(__xludf.DUMMYFUNCTION("""COMPUTED_VALUE"""),1396)</f>
        <v>1396</v>
      </c>
      <c r="S85" s="1">
        <f ca="1">IFERROR(__xludf.DUMMYFUNCTION("""COMPUTED_VALUE"""),0.456)</f>
        <v>0.45600000000000002</v>
      </c>
      <c r="T85" s="1">
        <f ca="1">IFERROR(__xludf.DUMMYFUNCTION("""COMPUTED_VALUE"""),200)</f>
        <v>200</v>
      </c>
      <c r="U85" s="1">
        <f ca="1">IFERROR(__xludf.DUMMYFUNCTION("""COMPUTED_VALUE"""),490)</f>
        <v>490</v>
      </c>
      <c r="V85" s="1">
        <f ca="1">IFERROR(__xludf.DUMMYFUNCTION("""COMPUTED_VALUE"""),0.408)</f>
        <v>0.40799999999999997</v>
      </c>
      <c r="W85" s="1">
        <f ca="1">IFERROR(__xludf.DUMMYFUNCTION("""COMPUTED_VALUE"""),370)</f>
        <v>370</v>
      </c>
      <c r="X85" s="1">
        <f ca="1">IFERROR(__xludf.DUMMYFUNCTION("""COMPUTED_VALUE"""),482)</f>
        <v>482</v>
      </c>
      <c r="Y85" s="1">
        <f ca="1">IFERROR(__xludf.DUMMYFUNCTION("""COMPUTED_VALUE"""),0.768)</f>
        <v>0.76800000000000002</v>
      </c>
      <c r="Z85" s="1">
        <f ca="1">IFERROR(__xludf.DUMMYFUNCTION("""COMPUTED_VALUE"""),192)</f>
        <v>192</v>
      </c>
      <c r="AA85" s="1">
        <f ca="1">IFERROR(__xludf.DUMMYFUNCTION("""COMPUTED_VALUE"""),810)</f>
        <v>810</v>
      </c>
      <c r="AB85" s="1">
        <f ca="1">IFERROR(__xludf.DUMMYFUNCTION("""COMPUTED_VALUE"""),370)</f>
        <v>370</v>
      </c>
      <c r="AC85" s="1">
        <f ca="1">IFERROR(__xludf.DUMMYFUNCTION("""COMPUTED_VALUE"""),138)</f>
        <v>138</v>
      </c>
      <c r="AD85" s="1">
        <f ca="1">IFERROR(__xludf.DUMMYFUNCTION("""COMPUTED_VALUE"""),60)</f>
        <v>60</v>
      </c>
      <c r="AE85" s="1">
        <f ca="1">IFERROR(__xludf.DUMMYFUNCTION("""COMPUTED_VALUE"""),409)</f>
        <v>409</v>
      </c>
      <c r="AF85" s="1">
        <f ca="1">IFERROR(__xludf.DUMMYFUNCTION("""COMPUTED_VALUE"""),485)</f>
        <v>485</v>
      </c>
    </row>
    <row r="86" spans="1:32" ht="12.5" x14ac:dyDescent="0.25">
      <c r="A86" s="1" t="str">
        <f ca="1">IFERROR(__xludf.DUMMYFUNCTION("""COMPUTED_VALUE"""),"Drexel")</f>
        <v>Drexel</v>
      </c>
      <c r="B86" s="1">
        <f ca="1">IFERROR(__xludf.DUMMYFUNCTION("""COMPUTED_VALUE"""),30)</f>
        <v>30</v>
      </c>
      <c r="C86" s="1">
        <f ca="1">IFERROR(__xludf.DUMMYFUNCTION("""COMPUTED_VALUE"""),11)</f>
        <v>11</v>
      </c>
      <c r="D86" s="1">
        <f ca="1">IFERROR(__xludf.DUMMYFUNCTION("""COMPUTED_VALUE"""),19)</f>
        <v>19</v>
      </c>
      <c r="E86" s="1">
        <f ca="1">IFERROR(__xludf.DUMMYFUNCTION("""COMPUTED_VALUE"""),0.367)</f>
        <v>0.36699999999999999</v>
      </c>
      <c r="F86" s="1">
        <f ca="1">IFERROR(__xludf.DUMMYFUNCTION("""COMPUTED_VALUE"""),-5.71)</f>
        <v>-5.71</v>
      </c>
      <c r="G86" s="1">
        <f ca="1">IFERROR(__xludf.DUMMYFUNCTION("""COMPUTED_VALUE"""),-0.85)</f>
        <v>-0.85</v>
      </c>
      <c r="H86" s="1">
        <f ca="1">IFERROR(__xludf.DUMMYFUNCTION("""COMPUTED_VALUE"""),9)</f>
        <v>9</v>
      </c>
      <c r="I86" s="1">
        <f ca="1">IFERROR(__xludf.DUMMYFUNCTION("""COMPUTED_VALUE"""),9)</f>
        <v>9</v>
      </c>
      <c r="J86" s="1">
        <f ca="1">IFERROR(__xludf.DUMMYFUNCTION("""COMPUTED_VALUE"""),5)</f>
        <v>5</v>
      </c>
      <c r="K86" s="1">
        <f ca="1">IFERROR(__xludf.DUMMYFUNCTION("""COMPUTED_VALUE"""),9)</f>
        <v>9</v>
      </c>
      <c r="L86" s="1">
        <f ca="1">IFERROR(__xludf.DUMMYFUNCTION("""COMPUTED_VALUE"""),5)</f>
        <v>5</v>
      </c>
      <c r="M86" s="1">
        <f ca="1">IFERROR(__xludf.DUMMYFUNCTION("""COMPUTED_VALUE"""),6)</f>
        <v>6</v>
      </c>
      <c r="N86" s="1">
        <f ca="1">IFERROR(__xludf.DUMMYFUNCTION("""COMPUTED_VALUE"""),1787)</f>
        <v>1787</v>
      </c>
      <c r="O86" s="1">
        <f ca="1">IFERROR(__xludf.DUMMYFUNCTION("""COMPUTED_VALUE"""),1930)</f>
        <v>1930</v>
      </c>
      <c r="P86" s="1">
        <f ca="1">IFERROR(__xludf.DUMMYFUNCTION("""COMPUTED_VALUE"""),1205)</f>
        <v>1205</v>
      </c>
      <c r="Q86" s="1">
        <f ca="1">IFERROR(__xludf.DUMMYFUNCTION("""COMPUTED_VALUE"""),614)</f>
        <v>614</v>
      </c>
      <c r="R86" s="1">
        <f ca="1">IFERROR(__xludf.DUMMYFUNCTION("""COMPUTED_VALUE"""),1569)</f>
        <v>1569</v>
      </c>
      <c r="S86" s="1">
        <f ca="1">IFERROR(__xludf.DUMMYFUNCTION("""COMPUTED_VALUE"""),0.391)</f>
        <v>0.39100000000000001</v>
      </c>
      <c r="T86" s="1">
        <f ca="1">IFERROR(__xludf.DUMMYFUNCTION("""COMPUTED_VALUE"""),176)</f>
        <v>176</v>
      </c>
      <c r="U86" s="1">
        <f ca="1">IFERROR(__xludf.DUMMYFUNCTION("""COMPUTED_VALUE"""),540)</f>
        <v>540</v>
      </c>
      <c r="V86" s="1">
        <f ca="1">IFERROR(__xludf.DUMMYFUNCTION("""COMPUTED_VALUE"""),0.326)</f>
        <v>0.32600000000000001</v>
      </c>
      <c r="W86" s="1">
        <f ca="1">IFERROR(__xludf.DUMMYFUNCTION("""COMPUTED_VALUE"""),383)</f>
        <v>383</v>
      </c>
      <c r="X86" s="1">
        <f ca="1">IFERROR(__xludf.DUMMYFUNCTION("""COMPUTED_VALUE"""),514)</f>
        <v>514</v>
      </c>
      <c r="Y86" s="1">
        <f ca="1">IFERROR(__xludf.DUMMYFUNCTION("""COMPUTED_VALUE"""),0.745)</f>
        <v>0.745</v>
      </c>
      <c r="Z86" s="1">
        <f ca="1">IFERROR(__xludf.DUMMYFUNCTION("""COMPUTED_VALUE"""),287)</f>
        <v>287</v>
      </c>
      <c r="AA86" s="1">
        <f ca="1">IFERROR(__xludf.DUMMYFUNCTION("""COMPUTED_VALUE"""),948)</f>
        <v>948</v>
      </c>
      <c r="AB86" s="1">
        <f ca="1">IFERROR(__xludf.DUMMYFUNCTION("""COMPUTED_VALUE"""),317)</f>
        <v>317</v>
      </c>
      <c r="AC86" s="1">
        <f ca="1">IFERROR(__xludf.DUMMYFUNCTION("""COMPUTED_VALUE"""),155)</f>
        <v>155</v>
      </c>
      <c r="AD86" s="1">
        <f ca="1">IFERROR(__xludf.DUMMYFUNCTION("""COMPUTED_VALUE"""),110)</f>
        <v>110</v>
      </c>
      <c r="AE86" s="1">
        <f ca="1">IFERROR(__xludf.DUMMYFUNCTION("""COMPUTED_VALUE"""),313)</f>
        <v>313</v>
      </c>
      <c r="AF86" s="1">
        <f ca="1">IFERROR(__xludf.DUMMYFUNCTION("""COMPUTED_VALUE"""),523)</f>
        <v>523</v>
      </c>
    </row>
    <row r="87" spans="1:32" ht="12.5" x14ac:dyDescent="0.25">
      <c r="A87" s="1" t="str">
        <f ca="1">IFERROR(__xludf.DUMMYFUNCTION("""COMPUTED_VALUE"""),"DukeNCAA")</f>
        <v>DukeNCAA</v>
      </c>
      <c r="B87" s="1">
        <f ca="1">IFERROR(__xludf.DUMMYFUNCTION("""COMPUTED_VALUE"""),39)</f>
        <v>39</v>
      </c>
      <c r="C87" s="1">
        <f ca="1">IFERROR(__xludf.DUMMYFUNCTION("""COMPUTED_VALUE"""),35)</f>
        <v>35</v>
      </c>
      <c r="D87" s="1">
        <f ca="1">IFERROR(__xludf.DUMMYFUNCTION("""COMPUTED_VALUE"""),4)</f>
        <v>4</v>
      </c>
      <c r="E87" s="1">
        <f ca="1">IFERROR(__xludf.DUMMYFUNCTION("""COMPUTED_VALUE"""),0.897)</f>
        <v>0.89700000000000002</v>
      </c>
      <c r="F87" s="1">
        <f ca="1">IFERROR(__xludf.DUMMYFUNCTION("""COMPUTED_VALUE"""),24.97)</f>
        <v>24.97</v>
      </c>
      <c r="G87" s="1">
        <f ca="1">IFERROR(__xludf.DUMMYFUNCTION("""COMPUTED_VALUE"""),9.87)</f>
        <v>9.8699999999999992</v>
      </c>
      <c r="H87" s="1">
        <f ca="1">IFERROR(__xludf.DUMMYFUNCTION("""COMPUTED_VALUE"""),15)</f>
        <v>15</v>
      </c>
      <c r="I87" s="1">
        <f ca="1">IFERROR(__xludf.DUMMYFUNCTION("""COMPUTED_VALUE"""),3)</f>
        <v>3</v>
      </c>
      <c r="J87" s="1">
        <f ca="1">IFERROR(__xludf.DUMMYFUNCTION("""COMPUTED_VALUE"""),15)</f>
        <v>15</v>
      </c>
      <c r="K87" s="1">
        <f ca="1">IFERROR(__xludf.DUMMYFUNCTION("""COMPUTED_VALUE"""),1)</f>
        <v>1</v>
      </c>
      <c r="L87" s="1">
        <f ca="1">IFERROR(__xludf.DUMMYFUNCTION("""COMPUTED_VALUE"""),9)</f>
        <v>9</v>
      </c>
      <c r="M87" s="1">
        <f ca="1">IFERROR(__xludf.DUMMYFUNCTION("""COMPUTED_VALUE"""),2)</f>
        <v>2</v>
      </c>
      <c r="N87" s="1">
        <f ca="1">IFERROR(__xludf.DUMMYFUNCTION("""COMPUTED_VALUE"""),3091)</f>
        <v>3091</v>
      </c>
      <c r="O87" s="1">
        <f ca="1">IFERROR(__xludf.DUMMYFUNCTION("""COMPUTED_VALUE"""),2502)</f>
        <v>2502</v>
      </c>
      <c r="P87" s="1">
        <f ca="1">IFERROR(__xludf.DUMMYFUNCTION("""COMPUTED_VALUE"""),1570)</f>
        <v>1570</v>
      </c>
      <c r="Q87" s="1">
        <f ca="1">IFERROR(__xludf.DUMMYFUNCTION("""COMPUTED_VALUE"""),1099)</f>
        <v>1099</v>
      </c>
      <c r="R87" s="1">
        <f ca="1">IFERROR(__xludf.DUMMYFUNCTION("""COMPUTED_VALUE"""),2191)</f>
        <v>2191</v>
      </c>
      <c r="S87" s="1">
        <f ca="1">IFERROR(__xludf.DUMMYFUNCTION("""COMPUTED_VALUE"""),0.502)</f>
        <v>0.502</v>
      </c>
      <c r="T87" s="1">
        <f ca="1">IFERROR(__xludf.DUMMYFUNCTION("""COMPUTED_VALUE"""),283)</f>
        <v>283</v>
      </c>
      <c r="U87" s="1">
        <f ca="1">IFERROR(__xludf.DUMMYFUNCTION("""COMPUTED_VALUE"""),732)</f>
        <v>732</v>
      </c>
      <c r="V87" s="1">
        <f ca="1">IFERROR(__xludf.DUMMYFUNCTION("""COMPUTED_VALUE"""),0.387)</f>
        <v>0.38700000000000001</v>
      </c>
      <c r="W87" s="1">
        <f ca="1">IFERROR(__xludf.DUMMYFUNCTION("""COMPUTED_VALUE"""),610)</f>
        <v>610</v>
      </c>
      <c r="X87" s="1">
        <f ca="1">IFERROR(__xludf.DUMMYFUNCTION("""COMPUTED_VALUE"""),873)</f>
        <v>873</v>
      </c>
      <c r="Y87" s="1">
        <f ca="1">IFERROR(__xludf.DUMMYFUNCTION("""COMPUTED_VALUE"""),0.699)</f>
        <v>0.69899999999999995</v>
      </c>
      <c r="Z87" s="1">
        <f ca="1">IFERROR(__xludf.DUMMYFUNCTION("""COMPUTED_VALUE"""),445)</f>
        <v>445</v>
      </c>
      <c r="AA87" s="1">
        <f ca="1">IFERROR(__xludf.DUMMYFUNCTION("""COMPUTED_VALUE"""),1436)</f>
        <v>1436</v>
      </c>
      <c r="AB87" s="1">
        <f ca="1">IFERROR(__xludf.DUMMYFUNCTION("""COMPUTED_VALUE"""),588)</f>
        <v>588</v>
      </c>
      <c r="AC87" s="1">
        <f ca="1">IFERROR(__xludf.DUMMYFUNCTION("""COMPUTED_VALUE"""),278)</f>
        <v>278</v>
      </c>
      <c r="AD87" s="1">
        <f ca="1">IFERROR(__xludf.DUMMYFUNCTION("""COMPUTED_VALUE"""),149)</f>
        <v>149</v>
      </c>
      <c r="AE87" s="1">
        <f ca="1">IFERROR(__xludf.DUMMYFUNCTION("""COMPUTED_VALUE"""),421)</f>
        <v>421</v>
      </c>
      <c r="AF87" s="1">
        <f ca="1">IFERROR(__xludf.DUMMYFUNCTION("""COMPUTED_VALUE"""),607)</f>
        <v>607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IFERROR(__xludf.DUMMYFUNCTION("""COMPUTED_VALUE"""),"Duquesne")</f>
        <v>Duquesne</v>
      </c>
      <c r="B90" s="1">
        <f ca="1">IFERROR(__xludf.DUMMYFUNCTION("""COMPUTED_VALUE"""),31)</f>
        <v>31</v>
      </c>
      <c r="C90" s="1">
        <f ca="1">IFERROR(__xludf.DUMMYFUNCTION("""COMPUTED_VALUE"""),12)</f>
        <v>12</v>
      </c>
      <c r="D90" s="1">
        <f ca="1">IFERROR(__xludf.DUMMYFUNCTION("""COMPUTED_VALUE"""),19)</f>
        <v>19</v>
      </c>
      <c r="E90" s="1">
        <f ca="1">IFERROR(__xludf.DUMMYFUNCTION("""COMPUTED_VALUE"""),0.387)</f>
        <v>0.38700000000000001</v>
      </c>
      <c r="F90" s="1">
        <f ca="1">IFERROR(__xludf.DUMMYFUNCTION("""COMPUTED_VALUE"""),-2.93)</f>
        <v>-2.93</v>
      </c>
      <c r="G90" s="1">
        <f ca="1">IFERROR(__xludf.DUMMYFUNCTION("""COMPUTED_VALUE"""),1.41)</f>
        <v>1.41</v>
      </c>
      <c r="H90" s="1">
        <f ca="1">IFERROR(__xludf.DUMMYFUNCTION("""COMPUTED_VALUE"""),6)</f>
        <v>6</v>
      </c>
      <c r="I90" s="1">
        <f ca="1">IFERROR(__xludf.DUMMYFUNCTION("""COMPUTED_VALUE"""),12)</f>
        <v>12</v>
      </c>
      <c r="J90" s="1">
        <f ca="1">IFERROR(__xludf.DUMMYFUNCTION("""COMPUTED_VALUE"""),9)</f>
        <v>9</v>
      </c>
      <c r="K90" s="1">
        <f ca="1">IFERROR(__xludf.DUMMYFUNCTION("""COMPUTED_VALUE"""),7)</f>
        <v>7</v>
      </c>
      <c r="L90" s="1">
        <f ca="1">IFERROR(__xludf.DUMMYFUNCTION("""COMPUTED_VALUE"""),2)</f>
        <v>2</v>
      </c>
      <c r="M90" s="1">
        <f ca="1">IFERROR(__xludf.DUMMYFUNCTION("""COMPUTED_VALUE"""),10)</f>
        <v>10</v>
      </c>
      <c r="N90" s="1">
        <f ca="1">IFERROR(__xludf.DUMMYFUNCTION("""COMPUTED_VALUE"""),2213)</f>
        <v>2213</v>
      </c>
      <c r="O90" s="1">
        <f ca="1">IFERROR(__xludf.DUMMYFUNCTION("""COMPUTED_VALUE"""),2303)</f>
        <v>2303</v>
      </c>
      <c r="P90" s="1">
        <f ca="1">IFERROR(__xludf.DUMMYFUNCTION("""COMPUTED_VALUE"""),1245)</f>
        <v>1245</v>
      </c>
      <c r="Q90" s="1">
        <f ca="1">IFERROR(__xludf.DUMMYFUNCTION("""COMPUTED_VALUE"""),803)</f>
        <v>803</v>
      </c>
      <c r="R90" s="1">
        <f ca="1">IFERROR(__xludf.DUMMYFUNCTION("""COMPUTED_VALUE"""),1788)</f>
        <v>1788</v>
      </c>
      <c r="S90" s="1">
        <f ca="1">IFERROR(__xludf.DUMMYFUNCTION("""COMPUTED_VALUE"""),0.449)</f>
        <v>0.44900000000000001</v>
      </c>
      <c r="T90" s="1">
        <f ca="1">IFERROR(__xludf.DUMMYFUNCTION("""COMPUTED_VALUE"""),245)</f>
        <v>245</v>
      </c>
      <c r="U90" s="1">
        <f ca="1">IFERROR(__xludf.DUMMYFUNCTION("""COMPUTED_VALUE"""),663)</f>
        <v>663</v>
      </c>
      <c r="V90" s="1">
        <f ca="1">IFERROR(__xludf.DUMMYFUNCTION("""COMPUTED_VALUE"""),0.37)</f>
        <v>0.37</v>
      </c>
      <c r="W90" s="1">
        <f ca="1">IFERROR(__xludf.DUMMYFUNCTION("""COMPUTED_VALUE"""),362)</f>
        <v>362</v>
      </c>
      <c r="X90" s="1">
        <f ca="1">IFERROR(__xludf.DUMMYFUNCTION("""COMPUTED_VALUE"""),577)</f>
        <v>577</v>
      </c>
      <c r="Y90" s="1">
        <f ca="1">IFERROR(__xludf.DUMMYFUNCTION("""COMPUTED_VALUE"""),0.627)</f>
        <v>0.627</v>
      </c>
      <c r="Z90" s="1">
        <f ca="1">IFERROR(__xludf.DUMMYFUNCTION("""COMPUTED_VALUE"""),353)</f>
        <v>353</v>
      </c>
      <c r="AA90" s="1">
        <f ca="1">IFERROR(__xludf.DUMMYFUNCTION("""COMPUTED_VALUE"""),1124)</f>
        <v>1124</v>
      </c>
      <c r="AB90" s="1">
        <f ca="1">IFERROR(__xludf.DUMMYFUNCTION("""COMPUTED_VALUE"""),466)</f>
        <v>466</v>
      </c>
      <c r="AC90" s="1">
        <f ca="1">IFERROR(__xludf.DUMMYFUNCTION("""COMPUTED_VALUE"""),159)</f>
        <v>159</v>
      </c>
      <c r="AD90" s="1">
        <f ca="1">IFERROR(__xludf.DUMMYFUNCTION("""COMPUTED_VALUE"""),104)</f>
        <v>104</v>
      </c>
      <c r="AE90" s="1">
        <f ca="1">IFERROR(__xludf.DUMMYFUNCTION("""COMPUTED_VALUE"""),381)</f>
        <v>381</v>
      </c>
      <c r="AF90" s="1">
        <f ca="1">IFERROR(__xludf.DUMMYFUNCTION("""COMPUTED_VALUE"""),558)</f>
        <v>558</v>
      </c>
    </row>
    <row r="91" spans="1:32" ht="12.5" x14ac:dyDescent="0.25">
      <c r="A91" s="1" t="str">
        <f ca="1">IFERROR(__xludf.DUMMYFUNCTION("""COMPUTED_VALUE"""),"East Carolina")</f>
        <v>East Carolina</v>
      </c>
      <c r="B91" s="1">
        <f ca="1">IFERROR(__xludf.DUMMYFUNCTION("""COMPUTED_VALUE"""),33)</f>
        <v>33</v>
      </c>
      <c r="C91" s="1">
        <f ca="1">IFERROR(__xludf.DUMMYFUNCTION("""COMPUTED_VALUE"""),14)</f>
        <v>14</v>
      </c>
      <c r="D91" s="1">
        <f ca="1">IFERROR(__xludf.DUMMYFUNCTION("""COMPUTED_VALUE"""),19)</f>
        <v>19</v>
      </c>
      <c r="E91" s="1">
        <f ca="1">IFERROR(__xludf.DUMMYFUNCTION("""COMPUTED_VALUE"""),0.424)</f>
        <v>0.42399999999999999</v>
      </c>
      <c r="F91" s="1">
        <f ca="1">IFERROR(__xludf.DUMMYFUNCTION("""COMPUTED_VALUE"""),-2.84)</f>
        <v>-2.84</v>
      </c>
      <c r="G91" s="1">
        <f ca="1">IFERROR(__xludf.DUMMYFUNCTION("""COMPUTED_VALUE"""),1)</f>
        <v>1</v>
      </c>
      <c r="H91" s="1">
        <f ca="1">IFERROR(__xludf.DUMMYFUNCTION("""COMPUTED_VALUE"""),6)</f>
        <v>6</v>
      </c>
      <c r="I91" s="1">
        <f ca="1">IFERROR(__xludf.DUMMYFUNCTION("""COMPUTED_VALUE"""),12)</f>
        <v>12</v>
      </c>
      <c r="J91" s="1">
        <f ca="1">IFERROR(__xludf.DUMMYFUNCTION("""COMPUTED_VALUE"""),11)</f>
        <v>11</v>
      </c>
      <c r="K91" s="1">
        <f ca="1">IFERROR(__xludf.DUMMYFUNCTION("""COMPUTED_VALUE"""),5)</f>
        <v>5</v>
      </c>
      <c r="L91" s="1">
        <f ca="1">IFERROR(__xludf.DUMMYFUNCTION("""COMPUTED_VALUE"""),1)</f>
        <v>1</v>
      </c>
      <c r="M91" s="1">
        <f ca="1">IFERROR(__xludf.DUMMYFUNCTION("""COMPUTED_VALUE"""),11)</f>
        <v>11</v>
      </c>
      <c r="N91" s="1">
        <f ca="1">IFERROR(__xludf.DUMMYFUNCTION("""COMPUTED_VALUE"""),2116)</f>
        <v>2116</v>
      </c>
      <c r="O91" s="1">
        <f ca="1">IFERROR(__xludf.DUMMYFUNCTION("""COMPUTED_VALUE"""),2176)</f>
        <v>2176</v>
      </c>
      <c r="P91" s="1">
        <f ca="1">IFERROR(__xludf.DUMMYFUNCTION("""COMPUTED_VALUE"""),1325)</f>
        <v>1325</v>
      </c>
      <c r="Q91" s="1">
        <f ca="1">IFERROR(__xludf.DUMMYFUNCTION("""COMPUTED_VALUE"""),750)</f>
        <v>750</v>
      </c>
      <c r="R91" s="1">
        <f ca="1">IFERROR(__xludf.DUMMYFUNCTION("""COMPUTED_VALUE"""),1777)</f>
        <v>1777</v>
      </c>
      <c r="S91" s="1">
        <f ca="1">IFERROR(__xludf.DUMMYFUNCTION("""COMPUTED_VALUE"""),0.422)</f>
        <v>0.42199999999999999</v>
      </c>
      <c r="T91" s="1">
        <f ca="1">IFERROR(__xludf.DUMMYFUNCTION("""COMPUTED_VALUE"""),233)</f>
        <v>233</v>
      </c>
      <c r="U91" s="1">
        <f ca="1">IFERROR(__xludf.DUMMYFUNCTION("""COMPUTED_VALUE"""),663)</f>
        <v>663</v>
      </c>
      <c r="V91" s="1">
        <f ca="1">IFERROR(__xludf.DUMMYFUNCTION("""COMPUTED_VALUE"""),0.351)</f>
        <v>0.35099999999999998</v>
      </c>
      <c r="W91" s="1">
        <f ca="1">IFERROR(__xludf.DUMMYFUNCTION("""COMPUTED_VALUE"""),383)</f>
        <v>383</v>
      </c>
      <c r="X91" s="1">
        <f ca="1">IFERROR(__xludf.DUMMYFUNCTION("""COMPUTED_VALUE"""),563)</f>
        <v>563</v>
      </c>
      <c r="Y91" s="1">
        <f ca="1">IFERROR(__xludf.DUMMYFUNCTION("""COMPUTED_VALUE"""),0.68)</f>
        <v>0.68</v>
      </c>
      <c r="Z91" s="1">
        <f ca="1">IFERROR(__xludf.DUMMYFUNCTION("""COMPUTED_VALUE"""),333)</f>
        <v>333</v>
      </c>
      <c r="AA91" s="1">
        <f ca="1">IFERROR(__xludf.DUMMYFUNCTION("""COMPUTED_VALUE"""),1048)</f>
        <v>1048</v>
      </c>
      <c r="AB91" s="1">
        <f ca="1">IFERROR(__xludf.DUMMYFUNCTION("""COMPUTED_VALUE"""),443)</f>
        <v>443</v>
      </c>
      <c r="AC91" s="1">
        <f ca="1">IFERROR(__xludf.DUMMYFUNCTION("""COMPUTED_VALUE"""),208)</f>
        <v>208</v>
      </c>
      <c r="AD91" s="1">
        <f ca="1">IFERROR(__xludf.DUMMYFUNCTION("""COMPUTED_VALUE"""),64)</f>
        <v>64</v>
      </c>
      <c r="AE91" s="1">
        <f ca="1">IFERROR(__xludf.DUMMYFUNCTION("""COMPUTED_VALUE"""),379)</f>
        <v>379</v>
      </c>
      <c r="AF91" s="1">
        <f ca="1">IFERROR(__xludf.DUMMYFUNCTION("""COMPUTED_VALUE"""),571)</f>
        <v>571</v>
      </c>
    </row>
    <row r="92" spans="1:32" ht="12.5" x14ac:dyDescent="0.25">
      <c r="A92" s="1" t="str">
        <f ca="1">IFERROR(__xludf.DUMMYFUNCTION("""COMPUTED_VALUE"""),"East Tennessee State")</f>
        <v>East Tennessee State</v>
      </c>
      <c r="B92" s="1">
        <f ca="1">IFERROR(__xludf.DUMMYFUNCTION("""COMPUTED_VALUE"""),30)</f>
        <v>30</v>
      </c>
      <c r="C92" s="1">
        <f ca="1">IFERROR(__xludf.DUMMYFUNCTION("""COMPUTED_VALUE"""),16)</f>
        <v>16</v>
      </c>
      <c r="D92" s="1">
        <f ca="1">IFERROR(__xludf.DUMMYFUNCTION("""COMPUTED_VALUE"""),14)</f>
        <v>14</v>
      </c>
      <c r="E92" s="1">
        <f ca="1">IFERROR(__xludf.DUMMYFUNCTION("""COMPUTED_VALUE"""),0.533)</f>
        <v>0.53300000000000003</v>
      </c>
      <c r="F92" s="1">
        <f ca="1">IFERROR(__xludf.DUMMYFUNCTION("""COMPUTED_VALUE"""),-4.8)</f>
        <v>-4.8</v>
      </c>
      <c r="G92" s="1">
        <f ca="1">IFERROR(__xludf.DUMMYFUNCTION("""COMPUTED_VALUE"""),-4.01)</f>
        <v>-4.01</v>
      </c>
      <c r="H92" s="1">
        <f ca="1">IFERROR(__xludf.DUMMYFUNCTION("""COMPUTED_VALUE"""),8)</f>
        <v>8</v>
      </c>
      <c r="I92" s="1">
        <f ca="1">IFERROR(__xludf.DUMMYFUNCTION("""COMPUTED_VALUE"""),10)</f>
        <v>10</v>
      </c>
      <c r="J92" s="1">
        <f ca="1">IFERROR(__xludf.DUMMYFUNCTION("""COMPUTED_VALUE"""),10)</f>
        <v>10</v>
      </c>
      <c r="K92" s="1">
        <f ca="1">IFERROR(__xludf.DUMMYFUNCTION("""COMPUTED_VALUE"""),4)</f>
        <v>4</v>
      </c>
      <c r="L92" s="1">
        <f ca="1">IFERROR(__xludf.DUMMYFUNCTION("""COMPUTED_VALUE"""),6)</f>
        <v>6</v>
      </c>
      <c r="M92" s="1">
        <f ca="1">IFERROR(__xludf.DUMMYFUNCTION("""COMPUTED_VALUE"""),9)</f>
        <v>9</v>
      </c>
      <c r="N92" s="1">
        <f ca="1">IFERROR(__xludf.DUMMYFUNCTION("""COMPUTED_VALUE"""),2201)</f>
        <v>2201</v>
      </c>
      <c r="O92" s="1">
        <f ca="1">IFERROR(__xludf.DUMMYFUNCTION("""COMPUTED_VALUE"""),2140)</f>
        <v>2140</v>
      </c>
      <c r="P92" s="1">
        <f ca="1">IFERROR(__xludf.DUMMYFUNCTION("""COMPUTED_VALUE"""),1210)</f>
        <v>1210</v>
      </c>
      <c r="Q92" s="1">
        <f ca="1">IFERROR(__xludf.DUMMYFUNCTION("""COMPUTED_VALUE"""),722)</f>
        <v>722</v>
      </c>
      <c r="R92" s="1">
        <f ca="1">IFERROR(__xludf.DUMMYFUNCTION("""COMPUTED_VALUE"""),1712)</f>
        <v>1712</v>
      </c>
      <c r="S92" s="1">
        <f ca="1">IFERROR(__xludf.DUMMYFUNCTION("""COMPUTED_VALUE"""),0.422)</f>
        <v>0.42199999999999999</v>
      </c>
      <c r="T92" s="1">
        <f ca="1">IFERROR(__xludf.DUMMYFUNCTION("""COMPUTED_VALUE"""),280)</f>
        <v>280</v>
      </c>
      <c r="U92" s="1">
        <f ca="1">IFERROR(__xludf.DUMMYFUNCTION("""COMPUTED_VALUE"""),764)</f>
        <v>764</v>
      </c>
      <c r="V92" s="1">
        <f ca="1">IFERROR(__xludf.DUMMYFUNCTION("""COMPUTED_VALUE"""),0.366)</f>
        <v>0.36599999999999999</v>
      </c>
      <c r="W92" s="1">
        <f ca="1">IFERROR(__xludf.DUMMYFUNCTION("""COMPUTED_VALUE"""),477)</f>
        <v>477</v>
      </c>
      <c r="X92" s="1">
        <f ca="1">IFERROR(__xludf.DUMMYFUNCTION("""COMPUTED_VALUE"""),661)</f>
        <v>661</v>
      </c>
      <c r="Y92" s="1">
        <f ca="1">IFERROR(__xludf.DUMMYFUNCTION("""COMPUTED_VALUE"""),0.722)</f>
        <v>0.72199999999999998</v>
      </c>
      <c r="Z92" s="1">
        <f ca="1">IFERROR(__xludf.DUMMYFUNCTION("""COMPUTED_VALUE"""),331)</f>
        <v>331</v>
      </c>
      <c r="AA92" s="1">
        <f ca="1">IFERROR(__xludf.DUMMYFUNCTION("""COMPUTED_VALUE"""),1052)</f>
        <v>1052</v>
      </c>
      <c r="AB92" s="1">
        <f ca="1">IFERROR(__xludf.DUMMYFUNCTION("""COMPUTED_VALUE"""),382)</f>
        <v>382</v>
      </c>
      <c r="AC92" s="1">
        <f ca="1">IFERROR(__xludf.DUMMYFUNCTION("""COMPUTED_VALUE"""),235)</f>
        <v>235</v>
      </c>
      <c r="AD92" s="1">
        <f ca="1">IFERROR(__xludf.DUMMYFUNCTION("""COMPUTED_VALUE"""),83)</f>
        <v>83</v>
      </c>
      <c r="AE92" s="1">
        <f ca="1">IFERROR(__xludf.DUMMYFUNCTION("""COMPUTED_VALUE"""),381)</f>
        <v>381</v>
      </c>
      <c r="AF92" s="1">
        <f ca="1">IFERROR(__xludf.DUMMYFUNCTION("""COMPUTED_VALUE"""),611)</f>
        <v>611</v>
      </c>
    </row>
    <row r="93" spans="1:32" ht="12.5" x14ac:dyDescent="0.25">
      <c r="A93" s="1" t="str">
        <f ca="1">IFERROR(__xludf.DUMMYFUNCTION("""COMPUTED_VALUE"""),"Eastern Illinois")</f>
        <v>Eastern Illinois</v>
      </c>
      <c r="B93" s="1">
        <f ca="1">IFERROR(__xludf.DUMMYFUNCTION("""COMPUTED_VALUE"""),33)</f>
        <v>33</v>
      </c>
      <c r="C93" s="1">
        <f ca="1">IFERROR(__xludf.DUMMYFUNCTION("""COMPUTED_VALUE"""),18)</f>
        <v>18</v>
      </c>
      <c r="D93" s="1">
        <f ca="1">IFERROR(__xludf.DUMMYFUNCTION("""COMPUTED_VALUE"""),15)</f>
        <v>15</v>
      </c>
      <c r="E93" s="1">
        <f ca="1">IFERROR(__xludf.DUMMYFUNCTION("""COMPUTED_VALUE"""),0.545)</f>
        <v>0.54500000000000004</v>
      </c>
      <c r="F93" s="1">
        <f ca="1">IFERROR(__xludf.DUMMYFUNCTION("""COMPUTED_VALUE"""),-5.52)</f>
        <v>-5.52</v>
      </c>
      <c r="G93" s="1">
        <f ca="1">IFERROR(__xludf.DUMMYFUNCTION("""COMPUTED_VALUE"""),-2.42)</f>
        <v>-2.42</v>
      </c>
      <c r="H93" s="1">
        <f ca="1">IFERROR(__xludf.DUMMYFUNCTION("""COMPUTED_VALUE"""),9)</f>
        <v>9</v>
      </c>
      <c r="I93" s="1">
        <f ca="1">IFERROR(__xludf.DUMMYFUNCTION("""COMPUTED_VALUE"""),7)</f>
        <v>7</v>
      </c>
      <c r="J93" s="1">
        <f ca="1">IFERROR(__xludf.DUMMYFUNCTION("""COMPUTED_VALUE"""),9)</f>
        <v>9</v>
      </c>
      <c r="K93" s="1">
        <f ca="1">IFERROR(__xludf.DUMMYFUNCTION("""COMPUTED_VALUE"""),5)</f>
        <v>5</v>
      </c>
      <c r="L93" s="1">
        <f ca="1">IFERROR(__xludf.DUMMYFUNCTION("""COMPUTED_VALUE"""),7)</f>
        <v>7</v>
      </c>
      <c r="M93" s="1">
        <f ca="1">IFERROR(__xludf.DUMMYFUNCTION("""COMPUTED_VALUE"""),8)</f>
        <v>8</v>
      </c>
      <c r="N93" s="1">
        <f ca="1">IFERROR(__xludf.DUMMYFUNCTION("""COMPUTED_VALUE"""),2097)</f>
        <v>2097</v>
      </c>
      <c r="O93" s="1">
        <f ca="1">IFERROR(__xludf.DUMMYFUNCTION("""COMPUTED_VALUE"""),2136)</f>
        <v>2136</v>
      </c>
      <c r="P93" s="1">
        <f ca="1">IFERROR(__xludf.DUMMYFUNCTION("""COMPUTED_VALUE"""),1330)</f>
        <v>1330</v>
      </c>
      <c r="Q93" s="1">
        <f ca="1">IFERROR(__xludf.DUMMYFUNCTION("""COMPUTED_VALUE"""),746)</f>
        <v>746</v>
      </c>
      <c r="R93" s="1">
        <f ca="1">IFERROR(__xludf.DUMMYFUNCTION("""COMPUTED_VALUE"""),1696)</f>
        <v>1696</v>
      </c>
      <c r="S93" s="1">
        <f ca="1">IFERROR(__xludf.DUMMYFUNCTION("""COMPUTED_VALUE"""),0.44)</f>
        <v>0.44</v>
      </c>
      <c r="T93" s="1">
        <f ca="1">IFERROR(__xludf.DUMMYFUNCTION("""COMPUTED_VALUE"""),241)</f>
        <v>241</v>
      </c>
      <c r="U93" s="1">
        <f ca="1">IFERROR(__xludf.DUMMYFUNCTION("""COMPUTED_VALUE"""),643)</f>
        <v>643</v>
      </c>
      <c r="V93" s="1">
        <f ca="1">IFERROR(__xludf.DUMMYFUNCTION("""COMPUTED_VALUE"""),0.375)</f>
        <v>0.375</v>
      </c>
      <c r="W93" s="1">
        <f ca="1">IFERROR(__xludf.DUMMYFUNCTION("""COMPUTED_VALUE"""),364)</f>
        <v>364</v>
      </c>
      <c r="X93" s="1">
        <f ca="1">IFERROR(__xludf.DUMMYFUNCTION("""COMPUTED_VALUE"""),558)</f>
        <v>558</v>
      </c>
      <c r="Y93" s="1">
        <f ca="1">IFERROR(__xludf.DUMMYFUNCTION("""COMPUTED_VALUE"""),0.652)</f>
        <v>0.65200000000000002</v>
      </c>
      <c r="Z93" s="1">
        <f ca="1">IFERROR(__xludf.DUMMYFUNCTION("""COMPUTED_VALUE"""),255)</f>
        <v>255</v>
      </c>
      <c r="AA93" s="1">
        <f ca="1">IFERROR(__xludf.DUMMYFUNCTION("""COMPUTED_VALUE"""),1003)</f>
        <v>1003</v>
      </c>
      <c r="AB93" s="1">
        <f ca="1">IFERROR(__xludf.DUMMYFUNCTION("""COMPUTED_VALUE"""),435)</f>
        <v>435</v>
      </c>
      <c r="AC93" s="1">
        <f ca="1">IFERROR(__xludf.DUMMYFUNCTION("""COMPUTED_VALUE"""),186)</f>
        <v>186</v>
      </c>
      <c r="AD93" s="1">
        <f ca="1">IFERROR(__xludf.DUMMYFUNCTION("""COMPUTED_VALUE"""),141)</f>
        <v>141</v>
      </c>
      <c r="AE93" s="1">
        <f ca="1">IFERROR(__xludf.DUMMYFUNCTION("""COMPUTED_VALUE"""),396)</f>
        <v>396</v>
      </c>
      <c r="AF93" s="1">
        <f ca="1">IFERROR(__xludf.DUMMYFUNCTION("""COMPUTED_VALUE"""),535)</f>
        <v>535</v>
      </c>
    </row>
    <row r="94" spans="1:32" ht="12.5" x14ac:dyDescent="0.25">
      <c r="A94" s="1" t="str">
        <f ca="1">IFERROR(__xludf.DUMMYFUNCTION("""COMPUTED_VALUE"""),"Eastern Kentucky")</f>
        <v>Eastern Kentucky</v>
      </c>
      <c r="B94" s="1">
        <f ca="1">IFERROR(__xludf.DUMMYFUNCTION("""COMPUTED_VALUE"""),33)</f>
        <v>33</v>
      </c>
      <c r="C94" s="1">
        <f ca="1">IFERROR(__xludf.DUMMYFUNCTION("""COMPUTED_VALUE"""),21)</f>
        <v>21</v>
      </c>
      <c r="D94" s="1">
        <f ca="1">IFERROR(__xludf.DUMMYFUNCTION("""COMPUTED_VALUE"""),12)</f>
        <v>12</v>
      </c>
      <c r="E94" s="1">
        <f ca="1">IFERROR(__xludf.DUMMYFUNCTION("""COMPUTED_VALUE"""),0.636)</f>
        <v>0.63600000000000001</v>
      </c>
      <c r="F94" s="1">
        <f ca="1">IFERROR(__xludf.DUMMYFUNCTION("""COMPUTED_VALUE"""),-0.03)</f>
        <v>-0.03</v>
      </c>
      <c r="G94" s="1">
        <f ca="1">IFERROR(__xludf.DUMMYFUNCTION("""COMPUTED_VALUE"""),-4.16)</f>
        <v>-4.16</v>
      </c>
      <c r="H94" s="1">
        <f ca="1">IFERROR(__xludf.DUMMYFUNCTION("""COMPUTED_VALUE"""),11)</f>
        <v>11</v>
      </c>
      <c r="I94" s="1">
        <f ca="1">IFERROR(__xludf.DUMMYFUNCTION("""COMPUTED_VALUE"""),5)</f>
        <v>5</v>
      </c>
      <c r="J94" s="1">
        <f ca="1">IFERROR(__xludf.DUMMYFUNCTION("""COMPUTED_VALUE"""),13)</f>
        <v>13</v>
      </c>
      <c r="K94" s="1">
        <f ca="1">IFERROR(__xludf.DUMMYFUNCTION("""COMPUTED_VALUE"""),4)</f>
        <v>4</v>
      </c>
      <c r="L94" s="1">
        <f ca="1">IFERROR(__xludf.DUMMYFUNCTION("""COMPUTED_VALUE"""),8)</f>
        <v>8</v>
      </c>
      <c r="M94" s="1">
        <f ca="1">IFERROR(__xludf.DUMMYFUNCTION("""COMPUTED_VALUE"""),7)</f>
        <v>7</v>
      </c>
      <c r="N94" s="1">
        <f ca="1">IFERROR(__xludf.DUMMYFUNCTION("""COMPUTED_VALUE"""),2373)</f>
        <v>2373</v>
      </c>
      <c r="O94" s="1">
        <f ca="1">IFERROR(__xludf.DUMMYFUNCTION("""COMPUTED_VALUE"""),2100)</f>
        <v>2100</v>
      </c>
      <c r="P94" s="1">
        <f ca="1">IFERROR(__xludf.DUMMYFUNCTION("""COMPUTED_VALUE"""),1330)</f>
        <v>1330</v>
      </c>
      <c r="Q94" s="1">
        <f ca="1">IFERROR(__xludf.DUMMYFUNCTION("""COMPUTED_VALUE"""),818)</f>
        <v>818</v>
      </c>
      <c r="R94" s="1">
        <f ca="1">IFERROR(__xludf.DUMMYFUNCTION("""COMPUTED_VALUE"""),1763)</f>
        <v>1763</v>
      </c>
      <c r="S94" s="1">
        <f ca="1">IFERROR(__xludf.DUMMYFUNCTION("""COMPUTED_VALUE"""),0.464)</f>
        <v>0.46400000000000002</v>
      </c>
      <c r="T94" s="1">
        <f ca="1">IFERROR(__xludf.DUMMYFUNCTION("""COMPUTED_VALUE"""),299)</f>
        <v>299</v>
      </c>
      <c r="U94" s="1">
        <f ca="1">IFERROR(__xludf.DUMMYFUNCTION("""COMPUTED_VALUE"""),837)</f>
        <v>837</v>
      </c>
      <c r="V94" s="1">
        <f ca="1">IFERROR(__xludf.DUMMYFUNCTION("""COMPUTED_VALUE"""),0.357)</f>
        <v>0.35699999999999998</v>
      </c>
      <c r="W94" s="1">
        <f ca="1">IFERROR(__xludf.DUMMYFUNCTION("""COMPUTED_VALUE"""),438)</f>
        <v>438</v>
      </c>
      <c r="X94" s="1">
        <f ca="1">IFERROR(__xludf.DUMMYFUNCTION("""COMPUTED_VALUE"""),562)</f>
        <v>562</v>
      </c>
      <c r="Y94" s="1">
        <f ca="1">IFERROR(__xludf.DUMMYFUNCTION("""COMPUTED_VALUE"""),0.779)</f>
        <v>0.77900000000000003</v>
      </c>
      <c r="Z94" s="1">
        <f ca="1">IFERROR(__xludf.DUMMYFUNCTION("""COMPUTED_VALUE"""),225)</f>
        <v>225</v>
      </c>
      <c r="AA94" s="1">
        <f ca="1">IFERROR(__xludf.DUMMYFUNCTION("""COMPUTED_VALUE"""),876)</f>
        <v>876</v>
      </c>
      <c r="AB94" s="1">
        <f ca="1">IFERROR(__xludf.DUMMYFUNCTION("""COMPUTED_VALUE"""),495)</f>
        <v>495</v>
      </c>
      <c r="AC94" s="1">
        <f ca="1">IFERROR(__xludf.DUMMYFUNCTION("""COMPUTED_VALUE"""),321)</f>
        <v>321</v>
      </c>
      <c r="AD94" s="1">
        <f ca="1">IFERROR(__xludf.DUMMYFUNCTION("""COMPUTED_VALUE"""),98)</f>
        <v>98</v>
      </c>
      <c r="AE94" s="1">
        <f ca="1">IFERROR(__xludf.DUMMYFUNCTION("""COMPUTED_VALUE"""),374)</f>
        <v>374</v>
      </c>
      <c r="AF94" s="1">
        <f ca="1">IFERROR(__xludf.DUMMYFUNCTION("""COMPUTED_VALUE"""),556)</f>
        <v>556</v>
      </c>
    </row>
    <row r="95" spans="1:32" ht="12.5" x14ac:dyDescent="0.25">
      <c r="A95" s="1" t="str">
        <f ca="1">IFERROR(__xludf.DUMMYFUNCTION("""COMPUTED_VALUE"""),"Eastern Michigan")</f>
        <v>Eastern Michigan</v>
      </c>
      <c r="B95" s="1">
        <f ca="1">IFERROR(__xludf.DUMMYFUNCTION("""COMPUTED_VALUE"""),35)</f>
        <v>35</v>
      </c>
      <c r="C95" s="1">
        <f ca="1">IFERROR(__xludf.DUMMYFUNCTION("""COMPUTED_VALUE"""),21)</f>
        <v>21</v>
      </c>
      <c r="D95" s="1">
        <f ca="1">IFERROR(__xludf.DUMMYFUNCTION("""COMPUTED_VALUE"""),14)</f>
        <v>14</v>
      </c>
      <c r="E95" s="1">
        <f ca="1">IFERROR(__xludf.DUMMYFUNCTION("""COMPUTED_VALUE"""),0.6)</f>
        <v>0.6</v>
      </c>
      <c r="F95" s="1">
        <f ca="1">IFERROR(__xludf.DUMMYFUNCTION("""COMPUTED_VALUE"""),1.96)</f>
        <v>1.96</v>
      </c>
      <c r="G95" s="1">
        <f ca="1">IFERROR(__xludf.DUMMYFUNCTION("""COMPUTED_VALUE"""),-0.14)</f>
        <v>-0.14000000000000001</v>
      </c>
      <c r="H95" s="1">
        <f ca="1">IFERROR(__xludf.DUMMYFUNCTION("""COMPUTED_VALUE"""),8)</f>
        <v>8</v>
      </c>
      <c r="I95" s="1">
        <f ca="1">IFERROR(__xludf.DUMMYFUNCTION("""COMPUTED_VALUE"""),10)</f>
        <v>10</v>
      </c>
      <c r="J95" s="1">
        <f ca="1">IFERROR(__xludf.DUMMYFUNCTION("""COMPUTED_VALUE"""),16)</f>
        <v>16</v>
      </c>
      <c r="K95" s="1">
        <f ca="1">IFERROR(__xludf.DUMMYFUNCTION("""COMPUTED_VALUE"""),3)</f>
        <v>3</v>
      </c>
      <c r="L95" s="1">
        <f ca="1">IFERROR(__xludf.DUMMYFUNCTION("""COMPUTED_VALUE"""),4)</f>
        <v>4</v>
      </c>
      <c r="M95" s="1">
        <f ca="1">IFERROR(__xludf.DUMMYFUNCTION("""COMPUTED_VALUE"""),10)</f>
        <v>10</v>
      </c>
      <c r="N95" s="1">
        <f ca="1">IFERROR(__xludf.DUMMYFUNCTION("""COMPUTED_VALUE"""),2429)</f>
        <v>2429</v>
      </c>
      <c r="O95" s="1">
        <f ca="1">IFERROR(__xludf.DUMMYFUNCTION("""COMPUTED_VALUE"""),2230)</f>
        <v>2230</v>
      </c>
      <c r="P95" s="1">
        <f ca="1">IFERROR(__xludf.DUMMYFUNCTION("""COMPUTED_VALUE"""),1415)</f>
        <v>1415</v>
      </c>
      <c r="Q95" s="1">
        <f ca="1">IFERROR(__xludf.DUMMYFUNCTION("""COMPUTED_VALUE"""),806)</f>
        <v>806</v>
      </c>
      <c r="R95" s="1">
        <f ca="1">IFERROR(__xludf.DUMMYFUNCTION("""COMPUTED_VALUE"""),1963)</f>
        <v>1963</v>
      </c>
      <c r="S95" s="1">
        <f ca="1">IFERROR(__xludf.DUMMYFUNCTION("""COMPUTED_VALUE"""),0.411)</f>
        <v>0.41099999999999998</v>
      </c>
      <c r="T95" s="1">
        <f ca="1">IFERROR(__xludf.DUMMYFUNCTION("""COMPUTED_VALUE"""),230)</f>
        <v>230</v>
      </c>
      <c r="U95" s="1">
        <f ca="1">IFERROR(__xludf.DUMMYFUNCTION("""COMPUTED_VALUE"""),742)</f>
        <v>742</v>
      </c>
      <c r="V95" s="1">
        <f ca="1">IFERROR(__xludf.DUMMYFUNCTION("""COMPUTED_VALUE"""),0.31)</f>
        <v>0.31</v>
      </c>
      <c r="W95" s="1">
        <f ca="1">IFERROR(__xludf.DUMMYFUNCTION("""COMPUTED_VALUE"""),587)</f>
        <v>587</v>
      </c>
      <c r="X95" s="1">
        <f ca="1">IFERROR(__xludf.DUMMYFUNCTION("""COMPUTED_VALUE"""),817)</f>
        <v>817</v>
      </c>
      <c r="Y95" s="1">
        <f ca="1">IFERROR(__xludf.DUMMYFUNCTION("""COMPUTED_VALUE"""),0.718)</f>
        <v>0.71799999999999997</v>
      </c>
      <c r="Z95" s="1">
        <f ca="1">IFERROR(__xludf.DUMMYFUNCTION("""COMPUTED_VALUE"""),403)</f>
        <v>403</v>
      </c>
      <c r="AA95" s="1">
        <f ca="1">IFERROR(__xludf.DUMMYFUNCTION("""COMPUTED_VALUE"""),1271)</f>
        <v>1271</v>
      </c>
      <c r="AB95" s="1">
        <f ca="1">IFERROR(__xludf.DUMMYFUNCTION("""COMPUTED_VALUE"""),371)</f>
        <v>371</v>
      </c>
      <c r="AC95" s="1">
        <f ca="1">IFERROR(__xludf.DUMMYFUNCTION("""COMPUTED_VALUE"""),305)</f>
        <v>305</v>
      </c>
      <c r="AD95" s="1">
        <f ca="1">IFERROR(__xludf.DUMMYFUNCTION("""COMPUTED_VALUE"""),157)</f>
        <v>157</v>
      </c>
      <c r="AE95" s="1">
        <f ca="1">IFERROR(__xludf.DUMMYFUNCTION("""COMPUTED_VALUE"""),411)</f>
        <v>411</v>
      </c>
      <c r="AF95" s="1">
        <f ca="1">IFERROR(__xludf.DUMMYFUNCTION("""COMPUTED_VALUE"""),659)</f>
        <v>659</v>
      </c>
    </row>
    <row r="96" spans="1:32" ht="12.5" x14ac:dyDescent="0.25">
      <c r="A96" s="1" t="str">
        <f ca="1">IFERROR(__xludf.DUMMYFUNCTION("""COMPUTED_VALUE"""),"Eastern WashingtonNCAA")</f>
        <v>Eastern WashingtonNCAA</v>
      </c>
      <c r="B96" s="1">
        <f ca="1">IFERROR(__xludf.DUMMYFUNCTION("""COMPUTED_VALUE"""),35)</f>
        <v>35</v>
      </c>
      <c r="C96" s="1">
        <f ca="1">IFERROR(__xludf.DUMMYFUNCTION("""COMPUTED_VALUE"""),26)</f>
        <v>26</v>
      </c>
      <c r="D96" s="1">
        <f ca="1">IFERROR(__xludf.DUMMYFUNCTION("""COMPUTED_VALUE"""),9)</f>
        <v>9</v>
      </c>
      <c r="E96" s="1">
        <f ca="1">IFERROR(__xludf.DUMMYFUNCTION("""COMPUTED_VALUE"""),0.743)</f>
        <v>0.74299999999999999</v>
      </c>
      <c r="F96" s="1">
        <f ca="1">IFERROR(__xludf.DUMMYFUNCTION("""COMPUTED_VALUE"""),0.79)</f>
        <v>0.79</v>
      </c>
      <c r="G96" s="1">
        <f ca="1">IFERROR(__xludf.DUMMYFUNCTION("""COMPUTED_VALUE"""),-3.84)</f>
        <v>-3.84</v>
      </c>
      <c r="H96" s="1">
        <f ca="1">IFERROR(__xludf.DUMMYFUNCTION("""COMPUTED_VALUE"""),14)</f>
        <v>14</v>
      </c>
      <c r="I96" s="1">
        <f ca="1">IFERROR(__xludf.DUMMYFUNCTION("""COMPUTED_VALUE"""),4)</f>
        <v>4</v>
      </c>
      <c r="J96" s="1">
        <f ca="1">IFERROR(__xludf.DUMMYFUNCTION("""COMPUTED_VALUE"""),13)</f>
        <v>13</v>
      </c>
      <c r="K96" s="1">
        <f ca="1">IFERROR(__xludf.DUMMYFUNCTION("""COMPUTED_VALUE"""),2)</f>
        <v>2</v>
      </c>
      <c r="L96" s="1">
        <f ca="1">IFERROR(__xludf.DUMMYFUNCTION("""COMPUTED_VALUE"""),11)</f>
        <v>11</v>
      </c>
      <c r="M96" s="1">
        <f ca="1">IFERROR(__xludf.DUMMYFUNCTION("""COMPUTED_VALUE"""),6)</f>
        <v>6</v>
      </c>
      <c r="N96" s="1">
        <f ca="1">IFERROR(__xludf.DUMMYFUNCTION("""COMPUTED_VALUE"""),2820)</f>
        <v>2820</v>
      </c>
      <c r="O96" s="1">
        <f ca="1">IFERROR(__xludf.DUMMYFUNCTION("""COMPUTED_VALUE"""),2588)</f>
        <v>2588</v>
      </c>
      <c r="P96" s="1">
        <f ca="1">IFERROR(__xludf.DUMMYFUNCTION("""COMPUTED_VALUE"""),1410)</f>
        <v>1410</v>
      </c>
      <c r="Q96" s="1">
        <f ca="1">IFERROR(__xludf.DUMMYFUNCTION("""COMPUTED_VALUE"""),977)</f>
        <v>977</v>
      </c>
      <c r="R96" s="1">
        <f ca="1">IFERROR(__xludf.DUMMYFUNCTION("""COMPUTED_VALUE"""),2045)</f>
        <v>2045</v>
      </c>
      <c r="S96" s="1">
        <f ca="1">IFERROR(__xludf.DUMMYFUNCTION("""COMPUTED_VALUE"""),0.478)</f>
        <v>0.47799999999999998</v>
      </c>
      <c r="T96" s="1">
        <f ca="1">IFERROR(__xludf.DUMMYFUNCTION("""COMPUTED_VALUE"""),344)</f>
        <v>344</v>
      </c>
      <c r="U96" s="1">
        <f ca="1">IFERROR(__xludf.DUMMYFUNCTION("""COMPUTED_VALUE"""),860)</f>
        <v>860</v>
      </c>
      <c r="V96" s="1">
        <f ca="1">IFERROR(__xludf.DUMMYFUNCTION("""COMPUTED_VALUE"""),0.4)</f>
        <v>0.4</v>
      </c>
      <c r="W96" s="1">
        <f ca="1">IFERROR(__xludf.DUMMYFUNCTION("""COMPUTED_VALUE"""),522)</f>
        <v>522</v>
      </c>
      <c r="X96" s="1">
        <f ca="1">IFERROR(__xludf.DUMMYFUNCTION("""COMPUTED_VALUE"""),719)</f>
        <v>719</v>
      </c>
      <c r="Y96" s="1">
        <f ca="1">IFERROR(__xludf.DUMMYFUNCTION("""COMPUTED_VALUE"""),0.726)</f>
        <v>0.72599999999999998</v>
      </c>
      <c r="Z96" s="1">
        <f ca="1">IFERROR(__xludf.DUMMYFUNCTION("""COMPUTED_VALUE"""),351)</f>
        <v>351</v>
      </c>
      <c r="AA96" s="1">
        <f ca="1">IFERROR(__xludf.DUMMYFUNCTION("""COMPUTED_VALUE"""),1183)</f>
        <v>1183</v>
      </c>
      <c r="AB96" s="1">
        <f ca="1">IFERROR(__xludf.DUMMYFUNCTION("""COMPUTED_VALUE"""),454)</f>
        <v>454</v>
      </c>
      <c r="AC96" s="1">
        <f ca="1">IFERROR(__xludf.DUMMYFUNCTION("""COMPUTED_VALUE"""),219)</f>
        <v>219</v>
      </c>
      <c r="AD96" s="1">
        <f ca="1">IFERROR(__xludf.DUMMYFUNCTION("""COMPUTED_VALUE"""),167)</f>
        <v>167</v>
      </c>
      <c r="AE96" s="1">
        <f ca="1">IFERROR(__xludf.DUMMYFUNCTION("""COMPUTED_VALUE"""),376)</f>
        <v>376</v>
      </c>
      <c r="AF96" s="1">
        <f ca="1">IFERROR(__xludf.DUMMYFUNCTION("""COMPUTED_VALUE"""),624)</f>
        <v>624</v>
      </c>
    </row>
    <row r="97" spans="1:32" ht="12.5" x14ac:dyDescent="0.25">
      <c r="A97" s="1" t="str">
        <f ca="1">IFERROR(__xludf.DUMMYFUNCTION("""COMPUTED_VALUE"""),"Elon")</f>
        <v>Elon</v>
      </c>
      <c r="B97" s="1">
        <f ca="1">IFERROR(__xludf.DUMMYFUNCTION("""COMPUTED_VALUE"""),33)</f>
        <v>33</v>
      </c>
      <c r="C97" s="1">
        <f ca="1">IFERROR(__xludf.DUMMYFUNCTION("""COMPUTED_VALUE"""),15)</f>
        <v>15</v>
      </c>
      <c r="D97" s="1">
        <f ca="1">IFERROR(__xludf.DUMMYFUNCTION("""COMPUTED_VALUE"""),18)</f>
        <v>18</v>
      </c>
      <c r="E97" s="1">
        <f ca="1">IFERROR(__xludf.DUMMYFUNCTION("""COMPUTED_VALUE"""),0.455)</f>
        <v>0.45500000000000002</v>
      </c>
      <c r="F97" s="1">
        <f ca="1">IFERROR(__xludf.DUMMYFUNCTION("""COMPUTED_VALUE"""),-5.91)</f>
        <v>-5.91</v>
      </c>
      <c r="G97" s="1">
        <f ca="1">IFERROR(__xludf.DUMMYFUNCTION("""COMPUTED_VALUE"""),-2.69)</f>
        <v>-2.69</v>
      </c>
      <c r="H97" s="1">
        <f ca="1">IFERROR(__xludf.DUMMYFUNCTION("""COMPUTED_VALUE"""),6)</f>
        <v>6</v>
      </c>
      <c r="I97" s="1">
        <f ca="1">IFERROR(__xludf.DUMMYFUNCTION("""COMPUTED_VALUE"""),12)</f>
        <v>12</v>
      </c>
      <c r="J97" s="1">
        <f ca="1">IFERROR(__xludf.DUMMYFUNCTION("""COMPUTED_VALUE"""),8)</f>
        <v>8</v>
      </c>
      <c r="K97" s="1">
        <f ca="1">IFERROR(__xludf.DUMMYFUNCTION("""COMPUTED_VALUE"""),6)</f>
        <v>6</v>
      </c>
      <c r="L97" s="1">
        <f ca="1">IFERROR(__xludf.DUMMYFUNCTION("""COMPUTED_VALUE"""),5)</f>
        <v>5</v>
      </c>
      <c r="M97" s="1">
        <f ca="1">IFERROR(__xludf.DUMMYFUNCTION("""COMPUTED_VALUE"""),10)</f>
        <v>10</v>
      </c>
      <c r="N97" s="1">
        <f ca="1">IFERROR(__xludf.DUMMYFUNCTION("""COMPUTED_VALUE"""),2329)</f>
        <v>2329</v>
      </c>
      <c r="O97" s="1">
        <f ca="1">IFERROR(__xludf.DUMMYFUNCTION("""COMPUTED_VALUE"""),2329)</f>
        <v>2329</v>
      </c>
      <c r="P97" s="1">
        <f ca="1">IFERROR(__xludf.DUMMYFUNCTION("""COMPUTED_VALUE"""),1335)</f>
        <v>1335</v>
      </c>
      <c r="Q97" s="1">
        <f ca="1">IFERROR(__xludf.DUMMYFUNCTION("""COMPUTED_VALUE"""),807)</f>
        <v>807</v>
      </c>
      <c r="R97" s="1">
        <f ca="1">IFERROR(__xludf.DUMMYFUNCTION("""COMPUTED_VALUE"""),1906)</f>
        <v>1906</v>
      </c>
      <c r="S97" s="1">
        <f ca="1">IFERROR(__xludf.DUMMYFUNCTION("""COMPUTED_VALUE"""),0.423)</f>
        <v>0.42299999999999999</v>
      </c>
      <c r="T97" s="1">
        <f ca="1">IFERROR(__xludf.DUMMYFUNCTION("""COMPUTED_VALUE"""),240)</f>
        <v>240</v>
      </c>
      <c r="U97" s="1">
        <f ca="1">IFERROR(__xludf.DUMMYFUNCTION("""COMPUTED_VALUE"""),684)</f>
        <v>684</v>
      </c>
      <c r="V97" s="1">
        <f ca="1">IFERROR(__xludf.DUMMYFUNCTION("""COMPUTED_VALUE"""),0.351)</f>
        <v>0.35099999999999998</v>
      </c>
      <c r="W97" s="1">
        <f ca="1">IFERROR(__xludf.DUMMYFUNCTION("""COMPUTED_VALUE"""),475)</f>
        <v>475</v>
      </c>
      <c r="X97" s="1">
        <f ca="1">IFERROR(__xludf.DUMMYFUNCTION("""COMPUTED_VALUE"""),695)</f>
        <v>695</v>
      </c>
      <c r="Y97" s="1">
        <f ca="1">IFERROR(__xludf.DUMMYFUNCTION("""COMPUTED_VALUE"""),0.683)</f>
        <v>0.68300000000000005</v>
      </c>
      <c r="Z97" s="1">
        <f ca="1">IFERROR(__xludf.DUMMYFUNCTION("""COMPUTED_VALUE"""),355)</f>
        <v>355</v>
      </c>
      <c r="AA97" s="1">
        <f ca="1">IFERROR(__xludf.DUMMYFUNCTION("""COMPUTED_VALUE"""),1151)</f>
        <v>1151</v>
      </c>
      <c r="AB97" s="1">
        <f ca="1">IFERROR(__xludf.DUMMYFUNCTION("""COMPUTED_VALUE"""),394)</f>
        <v>394</v>
      </c>
      <c r="AC97" s="1">
        <f ca="1">IFERROR(__xludf.DUMMYFUNCTION("""COMPUTED_VALUE"""),213)</f>
        <v>213</v>
      </c>
      <c r="AD97" s="1">
        <f ca="1">IFERROR(__xludf.DUMMYFUNCTION("""COMPUTED_VALUE"""),45)</f>
        <v>45</v>
      </c>
      <c r="AE97" s="1">
        <f ca="1">IFERROR(__xludf.DUMMYFUNCTION("""COMPUTED_VALUE"""),440)</f>
        <v>440</v>
      </c>
      <c r="AF97" s="1">
        <f ca="1">IFERROR(__xludf.DUMMYFUNCTION("""COMPUTED_VALUE"""),691)</f>
        <v>691</v>
      </c>
    </row>
    <row r="98" spans="1:32" ht="12.5" x14ac:dyDescent="0.25">
      <c r="A98" s="1" t="str">
        <f ca="1">IFERROR(__xludf.DUMMYFUNCTION("""COMPUTED_VALUE"""),"Evansville")</f>
        <v>Evansville</v>
      </c>
      <c r="B98" s="1">
        <f ca="1">IFERROR(__xludf.DUMMYFUNCTION("""COMPUTED_VALUE"""),36)</f>
        <v>36</v>
      </c>
      <c r="C98" s="1">
        <f ca="1">IFERROR(__xludf.DUMMYFUNCTION("""COMPUTED_VALUE"""),24)</f>
        <v>24</v>
      </c>
      <c r="D98" s="1">
        <f ca="1">IFERROR(__xludf.DUMMYFUNCTION("""COMPUTED_VALUE"""),12)</f>
        <v>12</v>
      </c>
      <c r="E98" s="1">
        <f ca="1">IFERROR(__xludf.DUMMYFUNCTION("""COMPUTED_VALUE"""),0.667)</f>
        <v>0.66700000000000004</v>
      </c>
      <c r="F98" s="1">
        <f ca="1">IFERROR(__xludf.DUMMYFUNCTION("""COMPUTED_VALUE"""),3.36)</f>
        <v>3.36</v>
      </c>
      <c r="G98" s="1">
        <f ca="1">IFERROR(__xludf.DUMMYFUNCTION("""COMPUTED_VALUE"""),-0.07)</f>
        <v>-7.0000000000000007E-2</v>
      </c>
      <c r="H98" s="1">
        <f ca="1">IFERROR(__xludf.DUMMYFUNCTION("""COMPUTED_VALUE"""),9)</f>
        <v>9</v>
      </c>
      <c r="I98" s="1">
        <f ca="1">IFERROR(__xludf.DUMMYFUNCTION("""COMPUTED_VALUE"""),9)</f>
        <v>9</v>
      </c>
      <c r="J98" s="1">
        <f ca="1">IFERROR(__xludf.DUMMYFUNCTION("""COMPUTED_VALUE"""),14)</f>
        <v>14</v>
      </c>
      <c r="K98" s="1">
        <f ca="1">IFERROR(__xludf.DUMMYFUNCTION("""COMPUTED_VALUE"""),5)</f>
        <v>5</v>
      </c>
      <c r="L98" s="1">
        <f ca="1">IFERROR(__xludf.DUMMYFUNCTION("""COMPUTED_VALUE"""),8)</f>
        <v>8</v>
      </c>
      <c r="M98" s="1">
        <f ca="1">IFERROR(__xludf.DUMMYFUNCTION("""COMPUTED_VALUE"""),5)</f>
        <v>5</v>
      </c>
      <c r="N98" s="1">
        <f ca="1">IFERROR(__xludf.DUMMYFUNCTION("""COMPUTED_VALUE"""),2552)</f>
        <v>2552</v>
      </c>
      <c r="O98" s="1">
        <f ca="1">IFERROR(__xludf.DUMMYFUNCTION("""COMPUTED_VALUE"""),2361)</f>
        <v>2361</v>
      </c>
      <c r="P98" s="1">
        <f ca="1">IFERROR(__xludf.DUMMYFUNCTION("""COMPUTED_VALUE"""),1455)</f>
        <v>1455</v>
      </c>
      <c r="Q98" s="1">
        <f ca="1">IFERROR(__xludf.DUMMYFUNCTION("""COMPUTED_VALUE"""),899)</f>
        <v>899</v>
      </c>
      <c r="R98" s="1">
        <f ca="1">IFERROR(__xludf.DUMMYFUNCTION("""COMPUTED_VALUE"""),1854)</f>
        <v>1854</v>
      </c>
      <c r="S98" s="1">
        <f ca="1">IFERROR(__xludf.DUMMYFUNCTION("""COMPUTED_VALUE"""),0.485)</f>
        <v>0.48499999999999999</v>
      </c>
      <c r="T98" s="1">
        <f ca="1">IFERROR(__xludf.DUMMYFUNCTION("""COMPUTED_VALUE"""),153)</f>
        <v>153</v>
      </c>
      <c r="U98" s="1">
        <f ca="1">IFERROR(__xludf.DUMMYFUNCTION("""COMPUTED_VALUE"""),431)</f>
        <v>431</v>
      </c>
      <c r="V98" s="1">
        <f ca="1">IFERROR(__xludf.DUMMYFUNCTION("""COMPUTED_VALUE"""),0.355)</f>
        <v>0.35499999999999998</v>
      </c>
      <c r="W98" s="1">
        <f ca="1">IFERROR(__xludf.DUMMYFUNCTION("""COMPUTED_VALUE"""),601)</f>
        <v>601</v>
      </c>
      <c r="X98" s="1">
        <f ca="1">IFERROR(__xludf.DUMMYFUNCTION("""COMPUTED_VALUE"""),803)</f>
        <v>803</v>
      </c>
      <c r="Y98" s="1">
        <f ca="1">IFERROR(__xludf.DUMMYFUNCTION("""COMPUTED_VALUE"""),0.748)</f>
        <v>0.748</v>
      </c>
      <c r="Z98" s="1">
        <f ca="1">IFERROR(__xludf.DUMMYFUNCTION("""COMPUTED_VALUE"""),284)</f>
        <v>284</v>
      </c>
      <c r="AA98" s="1">
        <f ca="1">IFERROR(__xludf.DUMMYFUNCTION("""COMPUTED_VALUE"""),1168)</f>
        <v>1168</v>
      </c>
      <c r="AB98" s="1">
        <f ca="1">IFERROR(__xludf.DUMMYFUNCTION("""COMPUTED_VALUE"""),574)</f>
        <v>574</v>
      </c>
      <c r="AC98" s="1">
        <f ca="1">IFERROR(__xludf.DUMMYFUNCTION("""COMPUTED_VALUE"""),210)</f>
        <v>210</v>
      </c>
      <c r="AD98" s="1">
        <f ca="1">IFERROR(__xludf.DUMMYFUNCTION("""COMPUTED_VALUE"""),129)</f>
        <v>129</v>
      </c>
      <c r="AE98" s="1">
        <f ca="1">IFERROR(__xludf.DUMMYFUNCTION("""COMPUTED_VALUE"""),455)</f>
        <v>455</v>
      </c>
      <c r="AF98" s="1">
        <f ca="1">IFERROR(__xludf.DUMMYFUNCTION("""COMPUTED_VALUE"""),619)</f>
        <v>619</v>
      </c>
    </row>
    <row r="99" spans="1:32" ht="12.5" x14ac:dyDescent="0.25">
      <c r="A99" s="1" t="str">
        <f ca="1">IFERROR(__xludf.DUMMYFUNCTION("""COMPUTED_VALUE"""),"Fairfield")</f>
        <v>Fairfield</v>
      </c>
      <c r="B99" s="1">
        <f ca="1">IFERROR(__xludf.DUMMYFUNCTION("""COMPUTED_VALUE"""),31)</f>
        <v>31</v>
      </c>
      <c r="C99" s="1">
        <f ca="1">IFERROR(__xludf.DUMMYFUNCTION("""COMPUTED_VALUE"""),7)</f>
        <v>7</v>
      </c>
      <c r="D99" s="1">
        <f ca="1">IFERROR(__xludf.DUMMYFUNCTION("""COMPUTED_VALUE"""),24)</f>
        <v>24</v>
      </c>
      <c r="E99" s="1">
        <f ca="1">IFERROR(__xludf.DUMMYFUNCTION("""COMPUTED_VALUE"""),0.226)</f>
        <v>0.22600000000000001</v>
      </c>
      <c r="F99" s="1">
        <f ca="1">IFERROR(__xludf.DUMMYFUNCTION("""COMPUTED_VALUE"""),-8.63)</f>
        <v>-8.6300000000000008</v>
      </c>
      <c r="G99" s="1">
        <f ca="1">IFERROR(__xludf.DUMMYFUNCTION("""COMPUTED_VALUE"""),-2.31)</f>
        <v>-2.31</v>
      </c>
      <c r="H99" s="1">
        <f ca="1">IFERROR(__xludf.DUMMYFUNCTION("""COMPUTED_VALUE"""),5)</f>
        <v>5</v>
      </c>
      <c r="I99" s="1">
        <f ca="1">IFERROR(__xludf.DUMMYFUNCTION("""COMPUTED_VALUE"""),15)</f>
        <v>15</v>
      </c>
      <c r="J99" s="1">
        <f ca="1">IFERROR(__xludf.DUMMYFUNCTION("""COMPUTED_VALUE"""),4)</f>
        <v>4</v>
      </c>
      <c r="K99" s="1">
        <f ca="1">IFERROR(__xludf.DUMMYFUNCTION("""COMPUTED_VALUE"""),11)</f>
        <v>11</v>
      </c>
      <c r="L99" s="1">
        <f ca="1">IFERROR(__xludf.DUMMYFUNCTION("""COMPUTED_VALUE"""),2)</f>
        <v>2</v>
      </c>
      <c r="M99" s="1">
        <f ca="1">IFERROR(__xludf.DUMMYFUNCTION("""COMPUTED_VALUE"""),11)</f>
        <v>11</v>
      </c>
      <c r="N99" s="1">
        <f ca="1">IFERROR(__xludf.DUMMYFUNCTION("""COMPUTED_VALUE"""),1845)</f>
        <v>1845</v>
      </c>
      <c r="O99" s="1">
        <f ca="1">IFERROR(__xludf.DUMMYFUNCTION("""COMPUTED_VALUE"""),2041)</f>
        <v>2041</v>
      </c>
      <c r="P99" s="1">
        <f ca="1">IFERROR(__xludf.DUMMYFUNCTION("""COMPUTED_VALUE"""),1265)</f>
        <v>1265</v>
      </c>
      <c r="Q99" s="1">
        <f ca="1">IFERROR(__xludf.DUMMYFUNCTION("""COMPUTED_VALUE"""),614)</f>
        <v>614</v>
      </c>
      <c r="R99" s="1">
        <f ca="1">IFERROR(__xludf.DUMMYFUNCTION("""COMPUTED_VALUE"""),1578)</f>
        <v>1578</v>
      </c>
      <c r="S99" s="1">
        <f ca="1">IFERROR(__xludf.DUMMYFUNCTION("""COMPUTED_VALUE"""),0.389)</f>
        <v>0.38900000000000001</v>
      </c>
      <c r="T99" s="1">
        <f ca="1">IFERROR(__xludf.DUMMYFUNCTION("""COMPUTED_VALUE"""),198)</f>
        <v>198</v>
      </c>
      <c r="U99" s="1">
        <f ca="1">IFERROR(__xludf.DUMMYFUNCTION("""COMPUTED_VALUE"""),614)</f>
        <v>614</v>
      </c>
      <c r="V99" s="1">
        <f ca="1">IFERROR(__xludf.DUMMYFUNCTION("""COMPUTED_VALUE"""),0.322)</f>
        <v>0.32200000000000001</v>
      </c>
      <c r="W99" s="1">
        <f ca="1">IFERROR(__xludf.DUMMYFUNCTION("""COMPUTED_VALUE"""),419)</f>
        <v>419</v>
      </c>
      <c r="X99" s="1">
        <f ca="1">IFERROR(__xludf.DUMMYFUNCTION("""COMPUTED_VALUE"""),585)</f>
        <v>585</v>
      </c>
      <c r="Y99" s="1">
        <f ca="1">IFERROR(__xludf.DUMMYFUNCTION("""COMPUTED_VALUE"""),0.716)</f>
        <v>0.71599999999999997</v>
      </c>
      <c r="Z99" s="1">
        <f ca="1">IFERROR(__xludf.DUMMYFUNCTION("""COMPUTED_VALUE"""),286)</f>
        <v>286</v>
      </c>
      <c r="AA99" s="1">
        <f ca="1">IFERROR(__xludf.DUMMYFUNCTION("""COMPUTED_VALUE"""),979)</f>
        <v>979</v>
      </c>
      <c r="AB99" s="1">
        <f ca="1">IFERROR(__xludf.DUMMYFUNCTION("""COMPUTED_VALUE"""),324)</f>
        <v>324</v>
      </c>
      <c r="AC99" s="1">
        <f ca="1">IFERROR(__xludf.DUMMYFUNCTION("""COMPUTED_VALUE"""),154)</f>
        <v>154</v>
      </c>
      <c r="AD99" s="1">
        <f ca="1">IFERROR(__xludf.DUMMYFUNCTION("""COMPUTED_VALUE"""),109)</f>
        <v>109</v>
      </c>
      <c r="AE99" s="1">
        <f ca="1">IFERROR(__xludf.DUMMYFUNCTION("""COMPUTED_VALUE"""),396)</f>
        <v>396</v>
      </c>
      <c r="AF99" s="1">
        <f ca="1">IFERROR(__xludf.DUMMYFUNCTION("""COMPUTED_VALUE"""),592)</f>
        <v>592</v>
      </c>
    </row>
    <row r="100" spans="1:32" ht="12.5" x14ac:dyDescent="0.25">
      <c r="A100" s="1" t="str">
        <f ca="1">IFERROR(__xludf.DUMMYFUNCTION("""COMPUTED_VALUE"""),"Fairleigh Dickinson")</f>
        <v>Fairleigh Dickinson</v>
      </c>
      <c r="B100" s="1">
        <f ca="1">IFERROR(__xludf.DUMMYFUNCTION("""COMPUTED_VALUE"""),29)</f>
        <v>29</v>
      </c>
      <c r="C100" s="1">
        <f ca="1">IFERROR(__xludf.DUMMYFUNCTION("""COMPUTED_VALUE"""),8)</f>
        <v>8</v>
      </c>
      <c r="D100" s="1">
        <f ca="1">IFERROR(__xludf.DUMMYFUNCTION("""COMPUTED_VALUE"""),21)</f>
        <v>21</v>
      </c>
      <c r="E100" s="1">
        <f ca="1">IFERROR(__xludf.DUMMYFUNCTION("""COMPUTED_VALUE"""),0.276)</f>
        <v>0.27600000000000002</v>
      </c>
      <c r="F100" s="1">
        <f ca="1">IFERROR(__xludf.DUMMYFUNCTION("""COMPUTED_VALUE"""),-12.22)</f>
        <v>-12.22</v>
      </c>
      <c r="G100" s="1">
        <f ca="1">IFERROR(__xludf.DUMMYFUNCTION("""COMPUTED_VALUE"""),-4.54)</f>
        <v>-4.54</v>
      </c>
      <c r="H100" s="1">
        <f ca="1">IFERROR(__xludf.DUMMYFUNCTION("""COMPUTED_VALUE"""),3)</f>
        <v>3</v>
      </c>
      <c r="I100" s="1">
        <f ca="1">IFERROR(__xludf.DUMMYFUNCTION("""COMPUTED_VALUE"""),15)</f>
        <v>15</v>
      </c>
      <c r="J100" s="1">
        <f ca="1">IFERROR(__xludf.DUMMYFUNCTION("""COMPUTED_VALUE"""),4)</f>
        <v>4</v>
      </c>
      <c r="K100" s="1">
        <f ca="1">IFERROR(__xludf.DUMMYFUNCTION("""COMPUTED_VALUE"""),9)</f>
        <v>9</v>
      </c>
      <c r="L100" s="1">
        <f ca="1">IFERROR(__xludf.DUMMYFUNCTION("""COMPUTED_VALUE"""),4)</f>
        <v>4</v>
      </c>
      <c r="M100" s="1">
        <f ca="1">IFERROR(__xludf.DUMMYFUNCTION("""COMPUTED_VALUE"""),12)</f>
        <v>12</v>
      </c>
      <c r="N100" s="1">
        <f ca="1">IFERROR(__xludf.DUMMYFUNCTION("""COMPUTED_VALUE"""),1956)</f>
        <v>1956</v>
      </c>
      <c r="O100" s="1">
        <f ca="1">IFERROR(__xludf.DUMMYFUNCTION("""COMPUTED_VALUE"""),2130)</f>
        <v>2130</v>
      </c>
      <c r="P100" s="1">
        <f ca="1">IFERROR(__xludf.DUMMYFUNCTION("""COMPUTED_VALUE"""),1175)</f>
        <v>1175</v>
      </c>
      <c r="Q100" s="1">
        <f ca="1">IFERROR(__xludf.DUMMYFUNCTION("""COMPUTED_VALUE"""),681)</f>
        <v>681</v>
      </c>
      <c r="R100" s="1">
        <f ca="1">IFERROR(__xludf.DUMMYFUNCTION("""COMPUTED_VALUE"""),1658)</f>
        <v>1658</v>
      </c>
      <c r="S100" s="1">
        <f ca="1">IFERROR(__xludf.DUMMYFUNCTION("""COMPUTED_VALUE"""),0.411)</f>
        <v>0.41099999999999998</v>
      </c>
      <c r="T100" s="1">
        <f ca="1">IFERROR(__xludf.DUMMYFUNCTION("""COMPUTED_VALUE"""),208)</f>
        <v>208</v>
      </c>
      <c r="U100" s="1">
        <f ca="1">IFERROR(__xludf.DUMMYFUNCTION("""COMPUTED_VALUE"""),628)</f>
        <v>628</v>
      </c>
      <c r="V100" s="1">
        <f ca="1">IFERROR(__xludf.DUMMYFUNCTION("""COMPUTED_VALUE"""),0.331)</f>
        <v>0.33100000000000002</v>
      </c>
      <c r="W100" s="1">
        <f ca="1">IFERROR(__xludf.DUMMYFUNCTION("""COMPUTED_VALUE"""),386)</f>
        <v>386</v>
      </c>
      <c r="X100" s="1">
        <f ca="1">IFERROR(__xludf.DUMMYFUNCTION("""COMPUTED_VALUE"""),557)</f>
        <v>557</v>
      </c>
      <c r="Y100" s="1">
        <f ca="1">IFERROR(__xludf.DUMMYFUNCTION("""COMPUTED_VALUE"""),0.693)</f>
        <v>0.69299999999999995</v>
      </c>
      <c r="Z100" s="1">
        <f ca="1">IFERROR(__xludf.DUMMYFUNCTION("""COMPUTED_VALUE"""),300)</f>
        <v>300</v>
      </c>
      <c r="AA100" s="1">
        <f ca="1">IFERROR(__xludf.DUMMYFUNCTION("""COMPUTED_VALUE"""),869)</f>
        <v>869</v>
      </c>
      <c r="AB100" s="1">
        <f ca="1">IFERROR(__xludf.DUMMYFUNCTION("""COMPUTED_VALUE"""),325)</f>
        <v>325</v>
      </c>
      <c r="AC100" s="1">
        <f ca="1">IFERROR(__xludf.DUMMYFUNCTION("""COMPUTED_VALUE"""),252)</f>
        <v>252</v>
      </c>
      <c r="AD100" s="1">
        <f ca="1">IFERROR(__xludf.DUMMYFUNCTION("""COMPUTED_VALUE"""),94)</f>
        <v>94</v>
      </c>
      <c r="AE100" s="1">
        <f ca="1">IFERROR(__xludf.DUMMYFUNCTION("""COMPUTED_VALUE"""),372)</f>
        <v>372</v>
      </c>
      <c r="AF100" s="1">
        <f ca="1">IFERROR(__xludf.DUMMYFUNCTION("""COMPUTED_VALUE"""),648)</f>
        <v>648</v>
      </c>
    </row>
    <row r="101" spans="1:32" ht="12.5" x14ac:dyDescent="0.25">
      <c r="A101" s="1" t="str">
        <f ca="1">IFERROR(__xludf.DUMMYFUNCTION("""COMPUTED_VALUE"""),"Florida A&amp;M")</f>
        <v>Florida A&amp;M</v>
      </c>
      <c r="B101" s="1">
        <f ca="1">IFERROR(__xludf.DUMMYFUNCTION("""COMPUTED_VALUE"""),29)</f>
        <v>29</v>
      </c>
      <c r="C101" s="1">
        <f ca="1">IFERROR(__xludf.DUMMYFUNCTION("""COMPUTED_VALUE"""),2)</f>
        <v>2</v>
      </c>
      <c r="D101" s="1">
        <f ca="1">IFERROR(__xludf.DUMMYFUNCTION("""COMPUTED_VALUE"""),27)</f>
        <v>27</v>
      </c>
      <c r="E101" s="1">
        <f ca="1">IFERROR(__xludf.DUMMYFUNCTION("""COMPUTED_VALUE"""),0.069)</f>
        <v>6.9000000000000006E-2</v>
      </c>
      <c r="F101" s="1">
        <f ca="1">IFERROR(__xludf.DUMMYFUNCTION("""COMPUTED_VALUE"""),-26.04)</f>
        <v>-26.04</v>
      </c>
      <c r="G101" s="1">
        <f ca="1">IFERROR(__xludf.DUMMYFUNCTION("""COMPUTED_VALUE"""),-8.52)</f>
        <v>-8.52</v>
      </c>
      <c r="H101" s="1">
        <f ca="1">IFERROR(__xludf.DUMMYFUNCTION("""COMPUTED_VALUE"""),2)</f>
        <v>2</v>
      </c>
      <c r="I101" s="1">
        <f ca="1">IFERROR(__xludf.DUMMYFUNCTION("""COMPUTED_VALUE"""),14)</f>
        <v>14</v>
      </c>
      <c r="J101" s="1">
        <f ca="1">IFERROR(__xludf.DUMMYFUNCTION("""COMPUTED_VALUE"""),2)</f>
        <v>2</v>
      </c>
      <c r="K101" s="1">
        <f ca="1">IFERROR(__xludf.DUMMYFUNCTION("""COMPUTED_VALUE"""),9)</f>
        <v>9</v>
      </c>
      <c r="L101" s="1">
        <f ca="1">IFERROR(__xludf.DUMMYFUNCTION("""COMPUTED_VALUE"""),0)</f>
        <v>0</v>
      </c>
      <c r="M101" s="1">
        <f ca="1">IFERROR(__xludf.DUMMYFUNCTION("""COMPUTED_VALUE"""),17)</f>
        <v>17</v>
      </c>
      <c r="N101" s="1">
        <f ca="1">IFERROR(__xludf.DUMMYFUNCTION("""COMPUTED_VALUE"""),1607)</f>
        <v>1607</v>
      </c>
      <c r="O101" s="1">
        <f ca="1">IFERROR(__xludf.DUMMYFUNCTION("""COMPUTED_VALUE"""),2115)</f>
        <v>2115</v>
      </c>
      <c r="P101" s="1">
        <f ca="1">IFERROR(__xludf.DUMMYFUNCTION("""COMPUTED_VALUE"""),1160)</f>
        <v>1160</v>
      </c>
      <c r="Q101" s="1">
        <f ca="1">IFERROR(__xludf.DUMMYFUNCTION("""COMPUTED_VALUE"""),560)</f>
        <v>560</v>
      </c>
      <c r="R101" s="1">
        <f ca="1">IFERROR(__xludf.DUMMYFUNCTION("""COMPUTED_VALUE"""),1500)</f>
        <v>1500</v>
      </c>
      <c r="S101" s="1">
        <f ca="1">IFERROR(__xludf.DUMMYFUNCTION("""COMPUTED_VALUE"""),0.373)</f>
        <v>0.373</v>
      </c>
      <c r="T101" s="1">
        <f ca="1">IFERROR(__xludf.DUMMYFUNCTION("""COMPUTED_VALUE"""),119)</f>
        <v>119</v>
      </c>
      <c r="U101" s="1">
        <f ca="1">IFERROR(__xludf.DUMMYFUNCTION("""COMPUTED_VALUE"""),421)</f>
        <v>421</v>
      </c>
      <c r="V101" s="1">
        <f ca="1">IFERROR(__xludf.DUMMYFUNCTION("""COMPUTED_VALUE"""),0.283)</f>
        <v>0.28299999999999997</v>
      </c>
      <c r="W101" s="1">
        <f ca="1">IFERROR(__xludf.DUMMYFUNCTION("""COMPUTED_VALUE"""),368)</f>
        <v>368</v>
      </c>
      <c r="X101" s="1">
        <f ca="1">IFERROR(__xludf.DUMMYFUNCTION("""COMPUTED_VALUE"""),567)</f>
        <v>567</v>
      </c>
      <c r="Y101" s="1">
        <f ca="1">IFERROR(__xludf.DUMMYFUNCTION("""COMPUTED_VALUE"""),0.649)</f>
        <v>0.64900000000000002</v>
      </c>
      <c r="Z101" s="1">
        <f ca="1">IFERROR(__xludf.DUMMYFUNCTION("""COMPUTED_VALUE"""),281)</f>
        <v>281</v>
      </c>
      <c r="AA101" s="1">
        <f ca="1">IFERROR(__xludf.DUMMYFUNCTION("""COMPUTED_VALUE"""),914)</f>
        <v>914</v>
      </c>
      <c r="AB101" s="1">
        <f ca="1">IFERROR(__xludf.DUMMYFUNCTION("""COMPUTED_VALUE"""),241)</f>
        <v>241</v>
      </c>
      <c r="AC101" s="1">
        <f ca="1">IFERROR(__xludf.DUMMYFUNCTION("""COMPUTED_VALUE"""),143)</f>
        <v>143</v>
      </c>
      <c r="AD101" s="1">
        <f ca="1">IFERROR(__xludf.DUMMYFUNCTION("""COMPUTED_VALUE"""),62)</f>
        <v>62</v>
      </c>
      <c r="AE101" s="1">
        <f ca="1">IFERROR(__xludf.DUMMYFUNCTION("""COMPUTED_VALUE"""),415)</f>
        <v>415</v>
      </c>
      <c r="AF101" s="1">
        <f ca="1">IFERROR(__xludf.DUMMYFUNCTION("""COMPUTED_VALUE"""),518)</f>
        <v>518</v>
      </c>
    </row>
    <row r="102" spans="1:32" ht="12.5" x14ac:dyDescent="0.25">
      <c r="A102" s="1" t="str">
        <f ca="1">IFERROR(__xludf.DUMMYFUNCTION("""COMPUTED_VALUE"""),"Florida Atlantic")</f>
        <v>Florida Atlantic</v>
      </c>
      <c r="B102" s="1">
        <f ca="1">IFERROR(__xludf.DUMMYFUNCTION("""COMPUTED_VALUE"""),29)</f>
        <v>29</v>
      </c>
      <c r="C102" s="1">
        <f ca="1">IFERROR(__xludf.DUMMYFUNCTION("""COMPUTED_VALUE"""),9)</f>
        <v>9</v>
      </c>
      <c r="D102" s="1">
        <f ca="1">IFERROR(__xludf.DUMMYFUNCTION("""COMPUTED_VALUE"""),20)</f>
        <v>20</v>
      </c>
      <c r="E102" s="1">
        <f ca="1">IFERROR(__xludf.DUMMYFUNCTION("""COMPUTED_VALUE"""),0.31)</f>
        <v>0.31</v>
      </c>
      <c r="F102" s="1">
        <f ca="1">IFERROR(__xludf.DUMMYFUNCTION("""COMPUTED_VALUE"""),-7.8)</f>
        <v>-7.8</v>
      </c>
      <c r="G102" s="1">
        <f ca="1">IFERROR(__xludf.DUMMYFUNCTION("""COMPUTED_VALUE"""),-2.06)</f>
        <v>-2.06</v>
      </c>
      <c r="H102" s="1">
        <f ca="1">IFERROR(__xludf.DUMMYFUNCTION("""COMPUTED_VALUE"""),2)</f>
        <v>2</v>
      </c>
      <c r="I102" s="1">
        <f ca="1">IFERROR(__xludf.DUMMYFUNCTION("""COMPUTED_VALUE"""),16)</f>
        <v>16</v>
      </c>
      <c r="J102" s="1">
        <f ca="1">IFERROR(__xludf.DUMMYFUNCTION("""COMPUTED_VALUE"""),7)</f>
        <v>7</v>
      </c>
      <c r="K102" s="1">
        <f ca="1">IFERROR(__xludf.DUMMYFUNCTION("""COMPUTED_VALUE"""),7)</f>
        <v>7</v>
      </c>
      <c r="L102" s="1">
        <f ca="1">IFERROR(__xludf.DUMMYFUNCTION("""COMPUTED_VALUE"""),2)</f>
        <v>2</v>
      </c>
      <c r="M102" s="1">
        <f ca="1">IFERROR(__xludf.DUMMYFUNCTION("""COMPUTED_VALUE"""),13)</f>
        <v>13</v>
      </c>
      <c r="N102" s="1">
        <f ca="1">IFERROR(__xludf.DUMMYFUNCTION("""COMPUTED_VALUE"""),1815)</f>
        <v>1815</v>
      </c>
      <c r="O102" s="1">
        <f ca="1">IFERROR(__xludf.DUMMYFUNCTION("""COMPUTED_VALUE"""),1934)</f>
        <v>1934</v>
      </c>
      <c r="P102" s="1">
        <f ca="1">IFERROR(__xludf.DUMMYFUNCTION("""COMPUTED_VALUE"""),1165)</f>
        <v>1165</v>
      </c>
      <c r="Q102" s="1">
        <f ca="1">IFERROR(__xludf.DUMMYFUNCTION("""COMPUTED_VALUE"""),651)</f>
        <v>651</v>
      </c>
      <c r="R102" s="1">
        <f ca="1">IFERROR(__xludf.DUMMYFUNCTION("""COMPUTED_VALUE"""),1562)</f>
        <v>1562</v>
      </c>
      <c r="S102" s="1">
        <f ca="1">IFERROR(__xludf.DUMMYFUNCTION("""COMPUTED_VALUE"""),0.417)</f>
        <v>0.41699999999999998</v>
      </c>
      <c r="T102" s="1">
        <f ca="1">IFERROR(__xludf.DUMMYFUNCTION("""COMPUTED_VALUE"""),212)</f>
        <v>212</v>
      </c>
      <c r="U102" s="1">
        <f ca="1">IFERROR(__xludf.DUMMYFUNCTION("""COMPUTED_VALUE"""),610)</f>
        <v>610</v>
      </c>
      <c r="V102" s="1">
        <f ca="1">IFERROR(__xludf.DUMMYFUNCTION("""COMPUTED_VALUE"""),0.348)</f>
        <v>0.34799999999999998</v>
      </c>
      <c r="W102" s="1">
        <f ca="1">IFERROR(__xludf.DUMMYFUNCTION("""COMPUTED_VALUE"""),301)</f>
        <v>301</v>
      </c>
      <c r="X102" s="1">
        <f ca="1">IFERROR(__xludf.DUMMYFUNCTION("""COMPUTED_VALUE"""),447)</f>
        <v>447</v>
      </c>
      <c r="Y102" s="1">
        <f ca="1">IFERROR(__xludf.DUMMYFUNCTION("""COMPUTED_VALUE"""),0.673)</f>
        <v>0.67300000000000004</v>
      </c>
      <c r="Z102" s="1">
        <f ca="1">IFERROR(__xludf.DUMMYFUNCTION("""COMPUTED_VALUE"""),265)</f>
        <v>265</v>
      </c>
      <c r="AA102" s="1">
        <f ca="1">IFERROR(__xludf.DUMMYFUNCTION("""COMPUTED_VALUE"""),904)</f>
        <v>904</v>
      </c>
      <c r="AB102" s="1">
        <f ca="1">IFERROR(__xludf.DUMMYFUNCTION("""COMPUTED_VALUE"""),297)</f>
        <v>297</v>
      </c>
      <c r="AC102" s="1">
        <f ca="1">IFERROR(__xludf.DUMMYFUNCTION("""COMPUTED_VALUE"""),126)</f>
        <v>126</v>
      </c>
      <c r="AD102" s="1">
        <f ca="1">IFERROR(__xludf.DUMMYFUNCTION("""COMPUTED_VALUE"""),99)</f>
        <v>99</v>
      </c>
      <c r="AE102" s="1">
        <f ca="1">IFERROR(__xludf.DUMMYFUNCTION("""COMPUTED_VALUE"""),367)</f>
        <v>367</v>
      </c>
      <c r="AF102" s="1">
        <f ca="1">IFERROR(__xludf.DUMMYFUNCTION("""COMPUTED_VALUE"""),522)</f>
        <v>522</v>
      </c>
    </row>
    <row r="103" spans="1:32" ht="12.5" x14ac:dyDescent="0.25">
      <c r="A103" s="1" t="str">
        <f ca="1">IFERROR(__xludf.DUMMYFUNCTION("""COMPUTED_VALUE"""),"Florida Gulf Coast")</f>
        <v>Florida Gulf Coast</v>
      </c>
      <c r="B103" s="1">
        <f ca="1">IFERROR(__xludf.DUMMYFUNCTION("""COMPUTED_VALUE"""),33)</f>
        <v>33</v>
      </c>
      <c r="C103" s="1">
        <f ca="1">IFERROR(__xludf.DUMMYFUNCTION("""COMPUTED_VALUE"""),22)</f>
        <v>22</v>
      </c>
      <c r="D103" s="1">
        <f ca="1">IFERROR(__xludf.DUMMYFUNCTION("""COMPUTED_VALUE"""),11)</f>
        <v>11</v>
      </c>
      <c r="E103" s="1">
        <f ca="1">IFERROR(__xludf.DUMMYFUNCTION("""COMPUTED_VALUE"""),0.667)</f>
        <v>0.66700000000000004</v>
      </c>
      <c r="F103" s="1">
        <f ca="1">IFERROR(__xludf.DUMMYFUNCTION("""COMPUTED_VALUE"""),-1.81)</f>
        <v>-1.81</v>
      </c>
      <c r="G103" s="1">
        <f ca="1">IFERROR(__xludf.DUMMYFUNCTION("""COMPUTED_VALUE"""),-4.98)</f>
        <v>-4.9800000000000004</v>
      </c>
      <c r="H103" s="1">
        <f ca="1">IFERROR(__xludf.DUMMYFUNCTION("""COMPUTED_VALUE"""),11)</f>
        <v>11</v>
      </c>
      <c r="I103" s="1">
        <f ca="1">IFERROR(__xludf.DUMMYFUNCTION("""COMPUTED_VALUE"""),3)</f>
        <v>3</v>
      </c>
      <c r="J103" s="1">
        <f ca="1">IFERROR(__xludf.DUMMYFUNCTION("""COMPUTED_VALUE"""),14)</f>
        <v>14</v>
      </c>
      <c r="K103" s="1">
        <f ca="1">IFERROR(__xludf.DUMMYFUNCTION("""COMPUTED_VALUE"""),4)</f>
        <v>4</v>
      </c>
      <c r="L103" s="1">
        <f ca="1">IFERROR(__xludf.DUMMYFUNCTION("""COMPUTED_VALUE"""),6)</f>
        <v>6</v>
      </c>
      <c r="M103" s="1">
        <f ca="1">IFERROR(__xludf.DUMMYFUNCTION("""COMPUTED_VALUE"""),6)</f>
        <v>6</v>
      </c>
      <c r="N103" s="1">
        <f ca="1">IFERROR(__xludf.DUMMYFUNCTION("""COMPUTED_VALUE"""),2224)</f>
        <v>2224</v>
      </c>
      <c r="O103" s="1">
        <f ca="1">IFERROR(__xludf.DUMMYFUNCTION("""COMPUTED_VALUE"""),2085)</f>
        <v>2085</v>
      </c>
      <c r="P103" s="1">
        <f ca="1">IFERROR(__xludf.DUMMYFUNCTION("""COMPUTED_VALUE"""),1325)</f>
        <v>1325</v>
      </c>
      <c r="Q103" s="1">
        <f ca="1">IFERROR(__xludf.DUMMYFUNCTION("""COMPUTED_VALUE"""),814)</f>
        <v>814</v>
      </c>
      <c r="R103" s="1">
        <f ca="1">IFERROR(__xludf.DUMMYFUNCTION("""COMPUTED_VALUE"""),1883)</f>
        <v>1883</v>
      </c>
      <c r="S103" s="1">
        <f ca="1">IFERROR(__xludf.DUMMYFUNCTION("""COMPUTED_VALUE"""),0.432)</f>
        <v>0.432</v>
      </c>
      <c r="T103" s="1">
        <f ca="1">IFERROR(__xludf.DUMMYFUNCTION("""COMPUTED_VALUE"""),197)</f>
        <v>197</v>
      </c>
      <c r="U103" s="1">
        <f ca="1">IFERROR(__xludf.DUMMYFUNCTION("""COMPUTED_VALUE"""),585)</f>
        <v>585</v>
      </c>
      <c r="V103" s="1">
        <f ca="1">IFERROR(__xludf.DUMMYFUNCTION("""COMPUTED_VALUE"""),0.337)</f>
        <v>0.33700000000000002</v>
      </c>
      <c r="W103" s="1">
        <f ca="1">IFERROR(__xludf.DUMMYFUNCTION("""COMPUTED_VALUE"""),399)</f>
        <v>399</v>
      </c>
      <c r="X103" s="1">
        <f ca="1">IFERROR(__xludf.DUMMYFUNCTION("""COMPUTED_VALUE"""),603)</f>
        <v>603</v>
      </c>
      <c r="Y103" s="1">
        <f ca="1">IFERROR(__xludf.DUMMYFUNCTION("""COMPUTED_VALUE"""),0.662)</f>
        <v>0.66200000000000003</v>
      </c>
      <c r="Z103" s="1">
        <f ca="1">IFERROR(__xludf.DUMMYFUNCTION("""COMPUTED_VALUE"""),404)</f>
        <v>404</v>
      </c>
      <c r="AA103" s="1">
        <f ca="1">IFERROR(__xludf.DUMMYFUNCTION("""COMPUTED_VALUE"""),1257)</f>
        <v>1257</v>
      </c>
      <c r="AB103" s="1">
        <f ca="1">IFERROR(__xludf.DUMMYFUNCTION("""COMPUTED_VALUE"""),467)</f>
        <v>467</v>
      </c>
      <c r="AC103" s="1">
        <f ca="1">IFERROR(__xludf.DUMMYFUNCTION("""COMPUTED_VALUE"""),185)</f>
        <v>185</v>
      </c>
      <c r="AD103" s="1">
        <f ca="1">IFERROR(__xludf.DUMMYFUNCTION("""COMPUTED_VALUE"""),127)</f>
        <v>127</v>
      </c>
      <c r="AE103" s="1">
        <f ca="1">IFERROR(__xludf.DUMMYFUNCTION("""COMPUTED_VALUE"""),386)</f>
        <v>386</v>
      </c>
      <c r="AF103" s="1">
        <f ca="1">IFERROR(__xludf.DUMMYFUNCTION("""COMPUTED_VALUE"""),559)</f>
        <v>559</v>
      </c>
    </row>
    <row r="104" spans="1:32" ht="12.5" x14ac:dyDescent="0.25">
      <c r="A104" s="1" t="str">
        <f ca="1">IFERROR(__xludf.DUMMYFUNCTION("""COMPUTED_VALUE"""),"Florida International")</f>
        <v>Florida International</v>
      </c>
      <c r="B104" s="1">
        <f ca="1">IFERROR(__xludf.DUMMYFUNCTION("""COMPUTED_VALUE"""),33)</f>
        <v>33</v>
      </c>
      <c r="C104" s="1">
        <f ca="1">IFERROR(__xludf.DUMMYFUNCTION("""COMPUTED_VALUE"""),16)</f>
        <v>16</v>
      </c>
      <c r="D104" s="1">
        <f ca="1">IFERROR(__xludf.DUMMYFUNCTION("""COMPUTED_VALUE"""),17)</f>
        <v>17</v>
      </c>
      <c r="E104" s="1">
        <f ca="1">IFERROR(__xludf.DUMMYFUNCTION("""COMPUTED_VALUE"""),0.485)</f>
        <v>0.48499999999999999</v>
      </c>
      <c r="F104" s="1">
        <f ca="1">IFERROR(__xludf.DUMMYFUNCTION("""COMPUTED_VALUE"""),-7.78)</f>
        <v>-7.78</v>
      </c>
      <c r="G104" s="1">
        <f ca="1">IFERROR(__xludf.DUMMYFUNCTION("""COMPUTED_VALUE"""),-3.23)</f>
        <v>-3.23</v>
      </c>
      <c r="H104" s="1">
        <f ca="1">IFERROR(__xludf.DUMMYFUNCTION("""COMPUTED_VALUE"""),8)</f>
        <v>8</v>
      </c>
      <c r="I104" s="1">
        <f ca="1">IFERROR(__xludf.DUMMYFUNCTION("""COMPUTED_VALUE"""),10)</f>
        <v>10</v>
      </c>
      <c r="J104" s="1">
        <f ca="1">IFERROR(__xludf.DUMMYFUNCTION("""COMPUTED_VALUE"""),8)</f>
        <v>8</v>
      </c>
      <c r="K104" s="1">
        <f ca="1">IFERROR(__xludf.DUMMYFUNCTION("""COMPUTED_VALUE"""),4)</f>
        <v>4</v>
      </c>
      <c r="L104" s="1">
        <f ca="1">IFERROR(__xludf.DUMMYFUNCTION("""COMPUTED_VALUE"""),6)</f>
        <v>6</v>
      </c>
      <c r="M104" s="1">
        <f ca="1">IFERROR(__xludf.DUMMYFUNCTION("""COMPUTED_VALUE"""),10)</f>
        <v>10</v>
      </c>
      <c r="N104" s="1">
        <f ca="1">IFERROR(__xludf.DUMMYFUNCTION("""COMPUTED_VALUE"""),2060)</f>
        <v>2060</v>
      </c>
      <c r="O104" s="1">
        <f ca="1">IFERROR(__xludf.DUMMYFUNCTION("""COMPUTED_VALUE"""),2153)</f>
        <v>2153</v>
      </c>
      <c r="P104" s="1">
        <f ca="1">IFERROR(__xludf.DUMMYFUNCTION("""COMPUTED_VALUE"""),1335)</f>
        <v>1335</v>
      </c>
      <c r="Q104" s="1">
        <f ca="1">IFERROR(__xludf.DUMMYFUNCTION("""COMPUTED_VALUE"""),749)</f>
        <v>749</v>
      </c>
      <c r="R104" s="1">
        <f ca="1">IFERROR(__xludf.DUMMYFUNCTION("""COMPUTED_VALUE"""),1694)</f>
        <v>1694</v>
      </c>
      <c r="S104" s="1">
        <f ca="1">IFERROR(__xludf.DUMMYFUNCTION("""COMPUTED_VALUE"""),0.442)</f>
        <v>0.442</v>
      </c>
      <c r="T104" s="1">
        <f ca="1">IFERROR(__xludf.DUMMYFUNCTION("""COMPUTED_VALUE"""),151)</f>
        <v>151</v>
      </c>
      <c r="U104" s="1">
        <f ca="1">IFERROR(__xludf.DUMMYFUNCTION("""COMPUTED_VALUE"""),487)</f>
        <v>487</v>
      </c>
      <c r="V104" s="1">
        <f ca="1">IFERROR(__xludf.DUMMYFUNCTION("""COMPUTED_VALUE"""),0.31)</f>
        <v>0.31</v>
      </c>
      <c r="W104" s="1">
        <f ca="1">IFERROR(__xludf.DUMMYFUNCTION("""COMPUTED_VALUE"""),411)</f>
        <v>411</v>
      </c>
      <c r="X104" s="1">
        <f ca="1">IFERROR(__xludf.DUMMYFUNCTION("""COMPUTED_VALUE"""),647)</f>
        <v>647</v>
      </c>
      <c r="Y104" s="1">
        <f ca="1">IFERROR(__xludf.DUMMYFUNCTION("""COMPUTED_VALUE"""),0.635)</f>
        <v>0.63500000000000001</v>
      </c>
      <c r="Z104" s="1">
        <f ca="1">IFERROR(__xludf.DUMMYFUNCTION("""COMPUTED_VALUE"""),313)</f>
        <v>313</v>
      </c>
      <c r="AA104" s="1">
        <f ca="1">IFERROR(__xludf.DUMMYFUNCTION("""COMPUTED_VALUE"""),1129)</f>
        <v>1129</v>
      </c>
      <c r="AB104" s="1">
        <f ca="1">IFERROR(__xludf.DUMMYFUNCTION("""COMPUTED_VALUE"""),374)</f>
        <v>374</v>
      </c>
      <c r="AC104" s="1">
        <f ca="1">IFERROR(__xludf.DUMMYFUNCTION("""COMPUTED_VALUE"""),224)</f>
        <v>224</v>
      </c>
      <c r="AD104" s="1">
        <f ca="1">IFERROR(__xludf.DUMMYFUNCTION("""COMPUTED_VALUE"""),150)</f>
        <v>150</v>
      </c>
      <c r="AE104" s="1">
        <f ca="1">IFERROR(__xludf.DUMMYFUNCTION("""COMPUTED_VALUE"""),493)</f>
        <v>493</v>
      </c>
      <c r="AF104" s="1">
        <f ca="1">IFERROR(__xludf.DUMMYFUNCTION("""COMPUTED_VALUE"""),613)</f>
        <v>613</v>
      </c>
    </row>
    <row r="105" spans="1:32" ht="12.5" x14ac:dyDescent="0.25">
      <c r="A105" s="1" t="str">
        <f ca="1">IFERROR(__xludf.DUMMYFUNCTION("""COMPUTED_VALUE"""),"Florida State")</f>
        <v>Florida State</v>
      </c>
      <c r="B105" s="1">
        <f ca="1">IFERROR(__xludf.DUMMYFUNCTION("""COMPUTED_VALUE"""),33)</f>
        <v>33</v>
      </c>
      <c r="C105" s="1">
        <f ca="1">IFERROR(__xludf.DUMMYFUNCTION("""COMPUTED_VALUE"""),17)</f>
        <v>17</v>
      </c>
      <c r="D105" s="1">
        <f ca="1">IFERROR(__xludf.DUMMYFUNCTION("""COMPUTED_VALUE"""),16)</f>
        <v>16</v>
      </c>
      <c r="E105" s="1">
        <f ca="1">IFERROR(__xludf.DUMMYFUNCTION("""COMPUTED_VALUE"""),0.515)</f>
        <v>0.51500000000000001</v>
      </c>
      <c r="F105" s="1">
        <f ca="1">IFERROR(__xludf.DUMMYFUNCTION("""COMPUTED_VALUE"""),6.69)</f>
        <v>6.69</v>
      </c>
      <c r="G105" s="1">
        <f ca="1">IFERROR(__xludf.DUMMYFUNCTION("""COMPUTED_VALUE"""),7.02)</f>
        <v>7.02</v>
      </c>
      <c r="H105" s="1">
        <f ca="1">IFERROR(__xludf.DUMMYFUNCTION("""COMPUTED_VALUE"""),8)</f>
        <v>8</v>
      </c>
      <c r="I105" s="1">
        <f ca="1">IFERROR(__xludf.DUMMYFUNCTION("""COMPUTED_VALUE"""),10)</f>
        <v>10</v>
      </c>
      <c r="J105" s="1">
        <f ca="1">IFERROR(__xludf.DUMMYFUNCTION("""COMPUTED_VALUE"""),12)</f>
        <v>12</v>
      </c>
      <c r="K105" s="1">
        <f ca="1">IFERROR(__xludf.DUMMYFUNCTION("""COMPUTED_VALUE"""),6)</f>
        <v>6</v>
      </c>
      <c r="L105" s="1">
        <f ca="1">IFERROR(__xludf.DUMMYFUNCTION("""COMPUTED_VALUE"""),3)</f>
        <v>3</v>
      </c>
      <c r="M105" s="1">
        <f ca="1">IFERROR(__xludf.DUMMYFUNCTION("""COMPUTED_VALUE"""),7)</f>
        <v>7</v>
      </c>
      <c r="N105" s="1">
        <f ca="1">IFERROR(__xludf.DUMMYFUNCTION("""COMPUTED_VALUE"""),2199)</f>
        <v>2199</v>
      </c>
      <c r="O105" s="1">
        <f ca="1">IFERROR(__xludf.DUMMYFUNCTION("""COMPUTED_VALUE"""),2210)</f>
        <v>2210</v>
      </c>
      <c r="P105" s="1">
        <f ca="1">IFERROR(__xludf.DUMMYFUNCTION("""COMPUTED_VALUE"""),1330)</f>
        <v>1330</v>
      </c>
      <c r="Q105" s="1">
        <f ca="1">IFERROR(__xludf.DUMMYFUNCTION("""COMPUTED_VALUE"""),763)</f>
        <v>763</v>
      </c>
      <c r="R105" s="1">
        <f ca="1">IFERROR(__xludf.DUMMYFUNCTION("""COMPUTED_VALUE"""),1669)</f>
        <v>1669</v>
      </c>
      <c r="S105" s="1">
        <f ca="1">IFERROR(__xludf.DUMMYFUNCTION("""COMPUTED_VALUE"""),0.457)</f>
        <v>0.45700000000000002</v>
      </c>
      <c r="T105" s="1">
        <f ca="1">IFERROR(__xludf.DUMMYFUNCTION("""COMPUTED_VALUE"""),147)</f>
        <v>147</v>
      </c>
      <c r="U105" s="1">
        <f ca="1">IFERROR(__xludf.DUMMYFUNCTION("""COMPUTED_VALUE"""),470)</f>
        <v>470</v>
      </c>
      <c r="V105" s="1">
        <f ca="1">IFERROR(__xludf.DUMMYFUNCTION("""COMPUTED_VALUE"""),0.313)</f>
        <v>0.313</v>
      </c>
      <c r="W105" s="1">
        <f ca="1">IFERROR(__xludf.DUMMYFUNCTION("""COMPUTED_VALUE"""),524)</f>
        <v>524</v>
      </c>
      <c r="X105" s="1">
        <f ca="1">IFERROR(__xludf.DUMMYFUNCTION("""COMPUTED_VALUE"""),783)</f>
        <v>783</v>
      </c>
      <c r="Y105" s="1">
        <f ca="1">IFERROR(__xludf.DUMMYFUNCTION("""COMPUTED_VALUE"""),0.669)</f>
        <v>0.66900000000000004</v>
      </c>
      <c r="Z105" s="1">
        <f ca="1">IFERROR(__xludf.DUMMYFUNCTION("""COMPUTED_VALUE"""),328)</f>
        <v>328</v>
      </c>
      <c r="AA105" s="1">
        <f ca="1">IFERROR(__xludf.DUMMYFUNCTION("""COMPUTED_VALUE"""),1109)</f>
        <v>1109</v>
      </c>
      <c r="AB105" s="1">
        <f ca="1">IFERROR(__xludf.DUMMYFUNCTION("""COMPUTED_VALUE"""),380)</f>
        <v>380</v>
      </c>
      <c r="AC105" s="1">
        <f ca="1">IFERROR(__xludf.DUMMYFUNCTION("""COMPUTED_VALUE"""),181)</f>
        <v>181</v>
      </c>
      <c r="AD105" s="1">
        <f ca="1">IFERROR(__xludf.DUMMYFUNCTION("""COMPUTED_VALUE"""),157)</f>
        <v>157</v>
      </c>
      <c r="AE105" s="1">
        <f ca="1">IFERROR(__xludf.DUMMYFUNCTION("""COMPUTED_VALUE"""),478)</f>
        <v>478</v>
      </c>
      <c r="AF105" s="1">
        <f ca="1">IFERROR(__xludf.DUMMYFUNCTION("""COMPUTED_VALUE"""),612)</f>
        <v>612</v>
      </c>
    </row>
    <row r="106" spans="1:32" ht="12.5" x14ac:dyDescent="0.25">
      <c r="A106" s="1" t="str">
        <f ca="1">IFERROR(__xludf.DUMMYFUNCTION("""COMPUTED_VALUE"""),"Florida")</f>
        <v>Florida</v>
      </c>
      <c r="B106" s="1">
        <f ca="1">IFERROR(__xludf.DUMMYFUNCTION("""COMPUTED_VALUE"""),33)</f>
        <v>33</v>
      </c>
      <c r="C106" s="1">
        <f ca="1">IFERROR(__xludf.DUMMYFUNCTION("""COMPUTED_VALUE"""),16)</f>
        <v>16</v>
      </c>
      <c r="D106" s="1">
        <f ca="1">IFERROR(__xludf.DUMMYFUNCTION("""COMPUTED_VALUE"""),17)</f>
        <v>17</v>
      </c>
      <c r="E106" s="1">
        <f ca="1">IFERROR(__xludf.DUMMYFUNCTION("""COMPUTED_VALUE"""),0.485)</f>
        <v>0.48499999999999999</v>
      </c>
      <c r="F106" s="1">
        <f ca="1">IFERROR(__xludf.DUMMYFUNCTION("""COMPUTED_VALUE"""),13.27)</f>
        <v>13.27</v>
      </c>
      <c r="G106" s="1">
        <f ca="1">IFERROR(__xludf.DUMMYFUNCTION("""COMPUTED_VALUE"""),9.67)</f>
        <v>9.67</v>
      </c>
      <c r="H106" s="1">
        <f ca="1">IFERROR(__xludf.DUMMYFUNCTION("""COMPUTED_VALUE"""),8)</f>
        <v>8</v>
      </c>
      <c r="I106" s="1">
        <f ca="1">IFERROR(__xludf.DUMMYFUNCTION("""COMPUTED_VALUE"""),10)</f>
        <v>10</v>
      </c>
      <c r="J106" s="1">
        <f ca="1">IFERROR(__xludf.DUMMYFUNCTION("""COMPUTED_VALUE"""),11)</f>
        <v>11</v>
      </c>
      <c r="K106" s="1">
        <f ca="1">IFERROR(__xludf.DUMMYFUNCTION("""COMPUTED_VALUE"""),5)</f>
        <v>5</v>
      </c>
      <c r="L106" s="1">
        <f ca="1">IFERROR(__xludf.DUMMYFUNCTION("""COMPUTED_VALUE"""),2)</f>
        <v>2</v>
      </c>
      <c r="M106" s="1">
        <f ca="1">IFERROR(__xludf.DUMMYFUNCTION("""COMPUTED_VALUE"""),9)</f>
        <v>9</v>
      </c>
      <c r="N106" s="1">
        <f ca="1">IFERROR(__xludf.DUMMYFUNCTION("""COMPUTED_VALUE"""),2101)</f>
        <v>2101</v>
      </c>
      <c r="O106" s="1">
        <f ca="1">IFERROR(__xludf.DUMMYFUNCTION("""COMPUTED_VALUE"""),1982)</f>
        <v>1982</v>
      </c>
      <c r="P106" s="1">
        <f ca="1">IFERROR(__xludf.DUMMYFUNCTION("""COMPUTED_VALUE"""),1330)</f>
        <v>1330</v>
      </c>
      <c r="Q106" s="1">
        <f ca="1">IFERROR(__xludf.DUMMYFUNCTION("""COMPUTED_VALUE"""),766)</f>
        <v>766</v>
      </c>
      <c r="R106" s="1">
        <f ca="1">IFERROR(__xludf.DUMMYFUNCTION("""COMPUTED_VALUE"""),1763)</f>
        <v>1763</v>
      </c>
      <c r="S106" s="1">
        <f ca="1">IFERROR(__xludf.DUMMYFUNCTION("""COMPUTED_VALUE"""),0.434)</f>
        <v>0.434</v>
      </c>
      <c r="T106" s="1">
        <f ca="1">IFERROR(__xludf.DUMMYFUNCTION("""COMPUTED_VALUE"""),218)</f>
        <v>218</v>
      </c>
      <c r="U106" s="1">
        <f ca="1">IFERROR(__xludf.DUMMYFUNCTION("""COMPUTED_VALUE"""),674)</f>
        <v>674</v>
      </c>
      <c r="V106" s="1">
        <f ca="1">IFERROR(__xludf.DUMMYFUNCTION("""COMPUTED_VALUE"""),0.323)</f>
        <v>0.32300000000000001</v>
      </c>
      <c r="W106" s="1">
        <f ca="1">IFERROR(__xludf.DUMMYFUNCTION("""COMPUTED_VALUE"""),351)</f>
        <v>351</v>
      </c>
      <c r="X106" s="1">
        <f ca="1">IFERROR(__xludf.DUMMYFUNCTION("""COMPUTED_VALUE"""),553)</f>
        <v>553</v>
      </c>
      <c r="Y106" s="1">
        <f ca="1">IFERROR(__xludf.DUMMYFUNCTION("""COMPUTED_VALUE"""),0.635)</f>
        <v>0.63500000000000001</v>
      </c>
      <c r="Z106" s="1">
        <f ca="1">IFERROR(__xludf.DUMMYFUNCTION("""COMPUTED_VALUE"""),348)</f>
        <v>348</v>
      </c>
      <c r="AA106" s="1">
        <f ca="1">IFERROR(__xludf.DUMMYFUNCTION("""COMPUTED_VALUE"""),1095)</f>
        <v>1095</v>
      </c>
      <c r="AB106" s="1">
        <f ca="1">IFERROR(__xludf.DUMMYFUNCTION("""COMPUTED_VALUE"""),431)</f>
        <v>431</v>
      </c>
      <c r="AC106" s="1">
        <f ca="1">IFERROR(__xludf.DUMMYFUNCTION("""COMPUTED_VALUE"""),228)</f>
        <v>228</v>
      </c>
      <c r="AD106" s="1">
        <f ca="1">IFERROR(__xludf.DUMMYFUNCTION("""COMPUTED_VALUE"""),118)</f>
        <v>118</v>
      </c>
      <c r="AE106" s="1">
        <f ca="1">IFERROR(__xludf.DUMMYFUNCTION("""COMPUTED_VALUE"""),409)</f>
        <v>409</v>
      </c>
      <c r="AF106" s="1">
        <f ca="1">IFERROR(__xludf.DUMMYFUNCTION("""COMPUTED_VALUE"""),558)</f>
        <v>558</v>
      </c>
    </row>
    <row r="107" spans="1:32" ht="12.5" x14ac:dyDescent="0.25">
      <c r="A107" s="1" t="str">
        <f ca="1">IFERROR(__xludf.DUMMYFUNCTION("""COMPUTED_VALUE"""),"Fordham")</f>
        <v>Fordham</v>
      </c>
      <c r="B107" s="1">
        <f ca="1">IFERROR(__xludf.DUMMYFUNCTION("""COMPUTED_VALUE"""),31)</f>
        <v>31</v>
      </c>
      <c r="C107" s="1">
        <f ca="1">IFERROR(__xludf.DUMMYFUNCTION("""COMPUTED_VALUE"""),10)</f>
        <v>10</v>
      </c>
      <c r="D107" s="1">
        <f ca="1">IFERROR(__xludf.DUMMYFUNCTION("""COMPUTED_VALUE"""),21)</f>
        <v>21</v>
      </c>
      <c r="E107" s="1">
        <f ca="1">IFERROR(__xludf.DUMMYFUNCTION("""COMPUTED_VALUE"""),0.323)</f>
        <v>0.32300000000000001</v>
      </c>
      <c r="F107" s="1">
        <f ca="1">IFERROR(__xludf.DUMMYFUNCTION("""COMPUTED_VALUE"""),-2.15)</f>
        <v>-2.15</v>
      </c>
      <c r="G107" s="1">
        <f ca="1">IFERROR(__xludf.DUMMYFUNCTION("""COMPUTED_VALUE"""),2.72)</f>
        <v>2.72</v>
      </c>
      <c r="H107" s="1">
        <f ca="1">IFERROR(__xludf.DUMMYFUNCTION("""COMPUTED_VALUE"""),4)</f>
        <v>4</v>
      </c>
      <c r="I107" s="1">
        <f ca="1">IFERROR(__xludf.DUMMYFUNCTION("""COMPUTED_VALUE"""),14)</f>
        <v>14</v>
      </c>
      <c r="J107" s="1">
        <f ca="1">IFERROR(__xludf.DUMMYFUNCTION("""COMPUTED_VALUE"""),8)</f>
        <v>8</v>
      </c>
      <c r="K107" s="1">
        <f ca="1">IFERROR(__xludf.DUMMYFUNCTION("""COMPUTED_VALUE"""),8)</f>
        <v>8</v>
      </c>
      <c r="L107" s="1">
        <f ca="1">IFERROR(__xludf.DUMMYFUNCTION("""COMPUTED_VALUE"""),1)</f>
        <v>1</v>
      </c>
      <c r="M107" s="1">
        <f ca="1">IFERROR(__xludf.DUMMYFUNCTION("""COMPUTED_VALUE"""),11)</f>
        <v>11</v>
      </c>
      <c r="N107" s="1">
        <f ca="1">IFERROR(__xludf.DUMMYFUNCTION("""COMPUTED_VALUE"""),2015)</f>
        <v>2015</v>
      </c>
      <c r="O107" s="1">
        <f ca="1">IFERROR(__xludf.DUMMYFUNCTION("""COMPUTED_VALUE"""),2144)</f>
        <v>2144</v>
      </c>
      <c r="P107" s="1">
        <f ca="1">IFERROR(__xludf.DUMMYFUNCTION("""COMPUTED_VALUE"""),1245)</f>
        <v>1245</v>
      </c>
      <c r="Q107" s="1">
        <f ca="1">IFERROR(__xludf.DUMMYFUNCTION("""COMPUTED_VALUE"""),711)</f>
        <v>711</v>
      </c>
      <c r="R107" s="1">
        <f ca="1">IFERROR(__xludf.DUMMYFUNCTION("""COMPUTED_VALUE"""),1713)</f>
        <v>1713</v>
      </c>
      <c r="S107" s="1">
        <f ca="1">IFERROR(__xludf.DUMMYFUNCTION("""COMPUTED_VALUE"""),0.415)</f>
        <v>0.41499999999999998</v>
      </c>
      <c r="T107" s="1">
        <f ca="1">IFERROR(__xludf.DUMMYFUNCTION("""COMPUTED_VALUE"""),187)</f>
        <v>187</v>
      </c>
      <c r="U107" s="1">
        <f ca="1">IFERROR(__xludf.DUMMYFUNCTION("""COMPUTED_VALUE"""),613)</f>
        <v>613</v>
      </c>
      <c r="V107" s="1">
        <f ca="1">IFERROR(__xludf.DUMMYFUNCTION("""COMPUTED_VALUE"""),0.305)</f>
        <v>0.30499999999999999</v>
      </c>
      <c r="W107" s="1">
        <f ca="1">IFERROR(__xludf.DUMMYFUNCTION("""COMPUTED_VALUE"""),406)</f>
        <v>406</v>
      </c>
      <c r="X107" s="1">
        <f ca="1">IFERROR(__xludf.DUMMYFUNCTION("""COMPUTED_VALUE"""),559)</f>
        <v>559</v>
      </c>
      <c r="Y107" s="1">
        <f ca="1">IFERROR(__xludf.DUMMYFUNCTION("""COMPUTED_VALUE"""),0.726)</f>
        <v>0.72599999999999998</v>
      </c>
      <c r="Z107" s="1">
        <f ca="1">IFERROR(__xludf.DUMMYFUNCTION("""COMPUTED_VALUE"""),373)</f>
        <v>373</v>
      </c>
      <c r="AA107" s="1">
        <f ca="1">IFERROR(__xludf.DUMMYFUNCTION("""COMPUTED_VALUE"""),1117)</f>
        <v>1117</v>
      </c>
      <c r="AB107" s="1">
        <f ca="1">IFERROR(__xludf.DUMMYFUNCTION("""COMPUTED_VALUE"""),390)</f>
        <v>390</v>
      </c>
      <c r="AC107" s="1">
        <f ca="1">IFERROR(__xludf.DUMMYFUNCTION("""COMPUTED_VALUE"""),209)</f>
        <v>209</v>
      </c>
      <c r="AD107" s="1">
        <f ca="1">IFERROR(__xludf.DUMMYFUNCTION("""COMPUTED_VALUE"""),119)</f>
        <v>119</v>
      </c>
      <c r="AE107" s="1">
        <f ca="1">IFERROR(__xludf.DUMMYFUNCTION("""COMPUTED_VALUE"""),452)</f>
        <v>452</v>
      </c>
      <c r="AF107" s="1">
        <f ca="1">IFERROR(__xludf.DUMMYFUNCTION("""COMPUTED_VALUE"""),582)</f>
        <v>582</v>
      </c>
    </row>
    <row r="108" spans="1:32" ht="12.5" x14ac:dyDescent="0.25">
      <c r="A108" s="1" t="str">
        <f ca="1">IFERROR(__xludf.DUMMYFUNCTION("""COMPUTED_VALUE"""),"Fresno State")</f>
        <v>Fresno State</v>
      </c>
      <c r="B108" s="1">
        <f ca="1">IFERROR(__xludf.DUMMYFUNCTION("""COMPUTED_VALUE"""),32)</f>
        <v>32</v>
      </c>
      <c r="C108" s="1">
        <f ca="1">IFERROR(__xludf.DUMMYFUNCTION("""COMPUTED_VALUE"""),15)</f>
        <v>15</v>
      </c>
      <c r="D108" s="1">
        <f ca="1">IFERROR(__xludf.DUMMYFUNCTION("""COMPUTED_VALUE"""),17)</f>
        <v>17</v>
      </c>
      <c r="E108" s="1">
        <f ca="1">IFERROR(__xludf.DUMMYFUNCTION("""COMPUTED_VALUE"""),0.469)</f>
        <v>0.46899999999999997</v>
      </c>
      <c r="F108" s="1">
        <f ca="1">IFERROR(__xludf.DUMMYFUNCTION("""COMPUTED_VALUE"""),-2.23)</f>
        <v>-2.23</v>
      </c>
      <c r="G108" s="1">
        <f ca="1">IFERROR(__xludf.DUMMYFUNCTION("""COMPUTED_VALUE"""),1.3)</f>
        <v>1.3</v>
      </c>
      <c r="H108" s="1">
        <f ca="1">IFERROR(__xludf.DUMMYFUNCTION("""COMPUTED_VALUE"""),10)</f>
        <v>10</v>
      </c>
      <c r="I108" s="1">
        <f ca="1">IFERROR(__xludf.DUMMYFUNCTION("""COMPUTED_VALUE"""),8)</f>
        <v>8</v>
      </c>
      <c r="J108" s="1">
        <f ca="1">IFERROR(__xludf.DUMMYFUNCTION("""COMPUTED_VALUE"""),11)</f>
        <v>11</v>
      </c>
      <c r="K108" s="1">
        <f ca="1">IFERROR(__xludf.DUMMYFUNCTION("""COMPUTED_VALUE"""),3)</f>
        <v>3</v>
      </c>
      <c r="L108" s="1">
        <f ca="1">IFERROR(__xludf.DUMMYFUNCTION("""COMPUTED_VALUE"""),4)</f>
        <v>4</v>
      </c>
      <c r="M108" s="1">
        <f ca="1">IFERROR(__xludf.DUMMYFUNCTION("""COMPUTED_VALUE"""),10)</f>
        <v>10</v>
      </c>
      <c r="N108" s="1">
        <f ca="1">IFERROR(__xludf.DUMMYFUNCTION("""COMPUTED_VALUE"""),2086)</f>
        <v>2086</v>
      </c>
      <c r="O108" s="1">
        <f ca="1">IFERROR(__xludf.DUMMYFUNCTION("""COMPUTED_VALUE"""),2123)</f>
        <v>2123</v>
      </c>
      <c r="P108" s="1">
        <f ca="1">IFERROR(__xludf.DUMMYFUNCTION("""COMPUTED_VALUE"""),1295)</f>
        <v>1295</v>
      </c>
      <c r="Q108" s="1">
        <f ca="1">IFERROR(__xludf.DUMMYFUNCTION("""COMPUTED_VALUE"""),725)</f>
        <v>725</v>
      </c>
      <c r="R108" s="1">
        <f ca="1">IFERROR(__xludf.DUMMYFUNCTION("""COMPUTED_VALUE"""),1692)</f>
        <v>1692</v>
      </c>
      <c r="S108" s="1">
        <f ca="1">IFERROR(__xludf.DUMMYFUNCTION("""COMPUTED_VALUE"""),0.428)</f>
        <v>0.42799999999999999</v>
      </c>
      <c r="T108" s="1">
        <f ca="1">IFERROR(__xludf.DUMMYFUNCTION("""COMPUTED_VALUE"""),179)</f>
        <v>179</v>
      </c>
      <c r="U108" s="1">
        <f ca="1">IFERROR(__xludf.DUMMYFUNCTION("""COMPUTED_VALUE"""),559)</f>
        <v>559</v>
      </c>
      <c r="V108" s="1">
        <f ca="1">IFERROR(__xludf.DUMMYFUNCTION("""COMPUTED_VALUE"""),0.32)</f>
        <v>0.32</v>
      </c>
      <c r="W108" s="1">
        <f ca="1">IFERROR(__xludf.DUMMYFUNCTION("""COMPUTED_VALUE"""),457)</f>
        <v>457</v>
      </c>
      <c r="X108" s="1">
        <f ca="1">IFERROR(__xludf.DUMMYFUNCTION("""COMPUTED_VALUE"""),662)</f>
        <v>662</v>
      </c>
      <c r="Y108" s="1">
        <f ca="1">IFERROR(__xludf.DUMMYFUNCTION("""COMPUTED_VALUE"""),0.69)</f>
        <v>0.69</v>
      </c>
      <c r="Z108" s="1">
        <f ca="1">IFERROR(__xludf.DUMMYFUNCTION("""COMPUTED_VALUE"""),286)</f>
        <v>286</v>
      </c>
      <c r="AA108" s="1">
        <f ca="1">IFERROR(__xludf.DUMMYFUNCTION("""COMPUTED_VALUE"""),1010)</f>
        <v>1010</v>
      </c>
      <c r="AB108" s="1">
        <f ca="1">IFERROR(__xludf.DUMMYFUNCTION("""COMPUTED_VALUE"""),336)</f>
        <v>336</v>
      </c>
      <c r="AC108" s="1">
        <f ca="1">IFERROR(__xludf.DUMMYFUNCTION("""COMPUTED_VALUE"""),250)</f>
        <v>250</v>
      </c>
      <c r="AD108" s="1">
        <f ca="1">IFERROR(__xludf.DUMMYFUNCTION("""COMPUTED_VALUE"""),114)</f>
        <v>114</v>
      </c>
      <c r="AE108" s="1">
        <f ca="1">IFERROR(__xludf.DUMMYFUNCTION("""COMPUTED_VALUE"""),358)</f>
        <v>358</v>
      </c>
      <c r="AF108" s="1">
        <f ca="1">IFERROR(__xludf.DUMMYFUNCTION("""COMPUTED_VALUE"""),644)</f>
        <v>644</v>
      </c>
    </row>
    <row r="109" spans="1:32" ht="12.5" x14ac:dyDescent="0.25">
      <c r="A109" s="1" t="str">
        <f ca="1">IFERROR(__xludf.DUMMYFUNCTION("""COMPUTED_VALUE"""),"Furman")</f>
        <v>Furman</v>
      </c>
      <c r="B109" s="1">
        <f ca="1">IFERROR(__xludf.DUMMYFUNCTION("""COMPUTED_VALUE"""),33)</f>
        <v>33</v>
      </c>
      <c r="C109" s="1">
        <f ca="1">IFERROR(__xludf.DUMMYFUNCTION("""COMPUTED_VALUE"""),11)</f>
        <v>11</v>
      </c>
      <c r="D109" s="1">
        <f ca="1">IFERROR(__xludf.DUMMYFUNCTION("""COMPUTED_VALUE"""),22)</f>
        <v>22</v>
      </c>
      <c r="E109" s="1">
        <f ca="1">IFERROR(__xludf.DUMMYFUNCTION("""COMPUTED_VALUE"""),0.333)</f>
        <v>0.33300000000000002</v>
      </c>
      <c r="F109" s="1">
        <f ca="1">IFERROR(__xludf.DUMMYFUNCTION("""COMPUTED_VALUE"""),-10.55)</f>
        <v>-10.55</v>
      </c>
      <c r="G109" s="1">
        <f ca="1">IFERROR(__xludf.DUMMYFUNCTION("""COMPUTED_VALUE"""),-3.46)</f>
        <v>-3.46</v>
      </c>
      <c r="H109" s="1">
        <f ca="1">IFERROR(__xludf.DUMMYFUNCTION("""COMPUTED_VALUE"""),5)</f>
        <v>5</v>
      </c>
      <c r="I109" s="1">
        <f ca="1">IFERROR(__xludf.DUMMYFUNCTION("""COMPUTED_VALUE"""),13)</f>
        <v>13</v>
      </c>
      <c r="J109" s="1">
        <f ca="1">IFERROR(__xludf.DUMMYFUNCTION("""COMPUTED_VALUE"""),7)</f>
        <v>7</v>
      </c>
      <c r="K109" s="1">
        <f ca="1">IFERROR(__xludf.DUMMYFUNCTION("""COMPUTED_VALUE"""),7)</f>
        <v>7</v>
      </c>
      <c r="L109" s="1">
        <f ca="1">IFERROR(__xludf.DUMMYFUNCTION("""COMPUTED_VALUE"""),1)</f>
        <v>1</v>
      </c>
      <c r="M109" s="1">
        <f ca="1">IFERROR(__xludf.DUMMYFUNCTION("""COMPUTED_VALUE"""),14)</f>
        <v>14</v>
      </c>
      <c r="N109" s="1">
        <f ca="1">IFERROR(__xludf.DUMMYFUNCTION("""COMPUTED_VALUE"""),2098)</f>
        <v>2098</v>
      </c>
      <c r="O109" s="1">
        <f ca="1">IFERROR(__xludf.DUMMYFUNCTION("""COMPUTED_VALUE"""),2245)</f>
        <v>2245</v>
      </c>
      <c r="P109" s="1">
        <f ca="1">IFERROR(__xludf.DUMMYFUNCTION("""COMPUTED_VALUE"""),1330)</f>
        <v>1330</v>
      </c>
      <c r="Q109" s="1">
        <f ca="1">IFERROR(__xludf.DUMMYFUNCTION("""COMPUTED_VALUE"""),701)</f>
        <v>701</v>
      </c>
      <c r="R109" s="1">
        <f ca="1">IFERROR(__xludf.DUMMYFUNCTION("""COMPUTED_VALUE"""),1636)</f>
        <v>1636</v>
      </c>
      <c r="S109" s="1">
        <f ca="1">IFERROR(__xludf.DUMMYFUNCTION("""COMPUTED_VALUE"""),0.428)</f>
        <v>0.42799999999999999</v>
      </c>
      <c r="T109" s="1">
        <f ca="1">IFERROR(__xludf.DUMMYFUNCTION("""COMPUTED_VALUE"""),216)</f>
        <v>216</v>
      </c>
      <c r="U109" s="1">
        <f ca="1">IFERROR(__xludf.DUMMYFUNCTION("""COMPUTED_VALUE"""),658)</f>
        <v>658</v>
      </c>
      <c r="V109" s="1">
        <f ca="1">IFERROR(__xludf.DUMMYFUNCTION("""COMPUTED_VALUE"""),0.328)</f>
        <v>0.32800000000000001</v>
      </c>
      <c r="W109" s="1">
        <f ca="1">IFERROR(__xludf.DUMMYFUNCTION("""COMPUTED_VALUE"""),480)</f>
        <v>480</v>
      </c>
      <c r="X109" s="1">
        <f ca="1">IFERROR(__xludf.DUMMYFUNCTION("""COMPUTED_VALUE"""),717)</f>
        <v>717</v>
      </c>
      <c r="Y109" s="1">
        <f ca="1">IFERROR(__xludf.DUMMYFUNCTION("""COMPUTED_VALUE"""),0.669)</f>
        <v>0.66900000000000004</v>
      </c>
      <c r="Z109" s="1">
        <f ca="1">IFERROR(__xludf.DUMMYFUNCTION("""COMPUTED_VALUE"""),316)</f>
        <v>316</v>
      </c>
      <c r="AA109" s="1">
        <f ca="1">IFERROR(__xludf.DUMMYFUNCTION("""COMPUTED_VALUE"""),1068)</f>
        <v>1068</v>
      </c>
      <c r="AB109" s="1">
        <f ca="1">IFERROR(__xludf.DUMMYFUNCTION("""COMPUTED_VALUE"""),342)</f>
        <v>342</v>
      </c>
      <c r="AC109" s="1">
        <f ca="1">IFERROR(__xludf.DUMMYFUNCTION("""COMPUTED_VALUE"""),183)</f>
        <v>183</v>
      </c>
      <c r="AD109" s="1">
        <f ca="1">IFERROR(__xludf.DUMMYFUNCTION("""COMPUTED_VALUE"""),94)</f>
        <v>94</v>
      </c>
      <c r="AE109" s="1">
        <f ca="1">IFERROR(__xludf.DUMMYFUNCTION("""COMPUTED_VALUE"""),438)</f>
        <v>438</v>
      </c>
      <c r="AF109" s="1">
        <f ca="1">IFERROR(__xludf.DUMMYFUNCTION("""COMPUTED_VALUE"""),582)</f>
        <v>582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IFERROR(__xludf.DUMMYFUNCTION("""COMPUTED_VALUE"""),"Gardner-Webb")</f>
        <v>Gardner-Webb</v>
      </c>
      <c r="B112" s="1">
        <f ca="1">IFERROR(__xludf.DUMMYFUNCTION("""COMPUTED_VALUE"""),35)</f>
        <v>35</v>
      </c>
      <c r="C112" s="1">
        <f ca="1">IFERROR(__xludf.DUMMYFUNCTION("""COMPUTED_VALUE"""),20)</f>
        <v>20</v>
      </c>
      <c r="D112" s="1">
        <f ca="1">IFERROR(__xludf.DUMMYFUNCTION("""COMPUTED_VALUE"""),15)</f>
        <v>15</v>
      </c>
      <c r="E112" s="1">
        <f ca="1">IFERROR(__xludf.DUMMYFUNCTION("""COMPUTED_VALUE"""),0.571)</f>
        <v>0.57099999999999995</v>
      </c>
      <c r="F112" s="1">
        <f ca="1">IFERROR(__xludf.DUMMYFUNCTION("""COMPUTED_VALUE"""),-5.24)</f>
        <v>-5.24</v>
      </c>
      <c r="G112" s="1">
        <f ca="1">IFERROR(__xludf.DUMMYFUNCTION("""COMPUTED_VALUE"""),-3.11)</f>
        <v>-3.11</v>
      </c>
      <c r="H112" s="1">
        <f ca="1">IFERROR(__xludf.DUMMYFUNCTION("""COMPUTED_VALUE"""),10)</f>
        <v>10</v>
      </c>
      <c r="I112" s="1">
        <f ca="1">IFERROR(__xludf.DUMMYFUNCTION("""COMPUTED_VALUE"""),8)</f>
        <v>8</v>
      </c>
      <c r="J112" s="1">
        <f ca="1">IFERROR(__xludf.DUMMYFUNCTION("""COMPUTED_VALUE"""),12)</f>
        <v>12</v>
      </c>
      <c r="K112" s="1">
        <f ca="1">IFERROR(__xludf.DUMMYFUNCTION("""COMPUTED_VALUE"""),2)</f>
        <v>2</v>
      </c>
      <c r="L112" s="1">
        <f ca="1">IFERROR(__xludf.DUMMYFUNCTION("""COMPUTED_VALUE"""),5)</f>
        <v>5</v>
      </c>
      <c r="M112" s="1">
        <f ca="1">IFERROR(__xludf.DUMMYFUNCTION("""COMPUTED_VALUE"""),11)</f>
        <v>11</v>
      </c>
      <c r="N112" s="1">
        <f ca="1">IFERROR(__xludf.DUMMYFUNCTION("""COMPUTED_VALUE"""),2619)</f>
        <v>2619</v>
      </c>
      <c r="O112" s="1">
        <f ca="1">IFERROR(__xludf.DUMMYFUNCTION("""COMPUTED_VALUE"""),2595)</f>
        <v>2595</v>
      </c>
      <c r="P112" s="1">
        <f ca="1">IFERROR(__xludf.DUMMYFUNCTION("""COMPUTED_VALUE"""),1420)</f>
        <v>1420</v>
      </c>
      <c r="Q112" s="1">
        <f ca="1">IFERROR(__xludf.DUMMYFUNCTION("""COMPUTED_VALUE"""),909)</f>
        <v>909</v>
      </c>
      <c r="R112" s="1">
        <f ca="1">IFERROR(__xludf.DUMMYFUNCTION("""COMPUTED_VALUE"""),2028)</f>
        <v>2028</v>
      </c>
      <c r="S112" s="1">
        <f ca="1">IFERROR(__xludf.DUMMYFUNCTION("""COMPUTED_VALUE"""),0.448)</f>
        <v>0.44800000000000001</v>
      </c>
      <c r="T112" s="1">
        <f ca="1">IFERROR(__xludf.DUMMYFUNCTION("""COMPUTED_VALUE"""),288)</f>
        <v>288</v>
      </c>
      <c r="U112" s="1">
        <f ca="1">IFERROR(__xludf.DUMMYFUNCTION("""COMPUTED_VALUE"""),823)</f>
        <v>823</v>
      </c>
      <c r="V112" s="1">
        <f ca="1">IFERROR(__xludf.DUMMYFUNCTION("""COMPUTED_VALUE"""),0.35)</f>
        <v>0.35</v>
      </c>
      <c r="W112" s="1">
        <f ca="1">IFERROR(__xludf.DUMMYFUNCTION("""COMPUTED_VALUE"""),513)</f>
        <v>513</v>
      </c>
      <c r="X112" s="1">
        <f ca="1">IFERROR(__xludf.DUMMYFUNCTION("""COMPUTED_VALUE"""),767)</f>
        <v>767</v>
      </c>
      <c r="Y112" s="1">
        <f ca="1">IFERROR(__xludf.DUMMYFUNCTION("""COMPUTED_VALUE"""),0.669)</f>
        <v>0.66900000000000004</v>
      </c>
      <c r="Z112" s="1">
        <f ca="1">IFERROR(__xludf.DUMMYFUNCTION("""COMPUTED_VALUE"""),387)</f>
        <v>387</v>
      </c>
      <c r="AA112" s="1">
        <f ca="1">IFERROR(__xludf.DUMMYFUNCTION("""COMPUTED_VALUE"""),1226)</f>
        <v>1226</v>
      </c>
      <c r="AB112" s="1">
        <f ca="1">IFERROR(__xludf.DUMMYFUNCTION("""COMPUTED_VALUE"""),565)</f>
        <v>565</v>
      </c>
      <c r="AC112" s="1">
        <f ca="1">IFERROR(__xludf.DUMMYFUNCTION("""COMPUTED_VALUE"""),233)</f>
        <v>233</v>
      </c>
      <c r="AD112" s="1">
        <f ca="1">IFERROR(__xludf.DUMMYFUNCTION("""COMPUTED_VALUE"""),83)</f>
        <v>83</v>
      </c>
      <c r="AE112" s="1">
        <f ca="1">IFERROR(__xludf.DUMMYFUNCTION("""COMPUTED_VALUE"""),430)</f>
        <v>430</v>
      </c>
      <c r="AF112" s="1">
        <f ca="1">IFERROR(__xludf.DUMMYFUNCTION("""COMPUTED_VALUE"""),569)</f>
        <v>569</v>
      </c>
    </row>
    <row r="113" spans="1:32" ht="12.5" x14ac:dyDescent="0.25">
      <c r="A113" s="1" t="str">
        <f ca="1">IFERROR(__xludf.DUMMYFUNCTION("""COMPUTED_VALUE"""),"George Mason")</f>
        <v>George Mason</v>
      </c>
      <c r="B113" s="1">
        <f ca="1">IFERROR(__xludf.DUMMYFUNCTION("""COMPUTED_VALUE"""),31)</f>
        <v>31</v>
      </c>
      <c r="C113" s="1">
        <f ca="1">IFERROR(__xludf.DUMMYFUNCTION("""COMPUTED_VALUE"""),9)</f>
        <v>9</v>
      </c>
      <c r="D113" s="1">
        <f ca="1">IFERROR(__xludf.DUMMYFUNCTION("""COMPUTED_VALUE"""),22)</f>
        <v>22</v>
      </c>
      <c r="E113" s="1">
        <f ca="1">IFERROR(__xludf.DUMMYFUNCTION("""COMPUTED_VALUE"""),0.29)</f>
        <v>0.28999999999999998</v>
      </c>
      <c r="F113" s="1">
        <f ca="1">IFERROR(__xludf.DUMMYFUNCTION("""COMPUTED_VALUE"""),-1.43)</f>
        <v>-1.43</v>
      </c>
      <c r="G113" s="1">
        <f ca="1">IFERROR(__xludf.DUMMYFUNCTION("""COMPUTED_VALUE"""),4.6)</f>
        <v>4.5999999999999996</v>
      </c>
      <c r="H113" s="1">
        <f ca="1">IFERROR(__xludf.DUMMYFUNCTION("""COMPUTED_VALUE"""),4)</f>
        <v>4</v>
      </c>
      <c r="I113" s="1">
        <f ca="1">IFERROR(__xludf.DUMMYFUNCTION("""COMPUTED_VALUE"""),14)</f>
        <v>14</v>
      </c>
      <c r="J113" s="1">
        <f ca="1">IFERROR(__xludf.DUMMYFUNCTION("""COMPUTED_VALUE"""),7)</f>
        <v>7</v>
      </c>
      <c r="K113" s="1">
        <f ca="1">IFERROR(__xludf.DUMMYFUNCTION("""COMPUTED_VALUE"""),8)</f>
        <v>8</v>
      </c>
      <c r="L113" s="1">
        <f ca="1">IFERROR(__xludf.DUMMYFUNCTION("""COMPUTED_VALUE"""),2)</f>
        <v>2</v>
      </c>
      <c r="M113" s="1">
        <f ca="1">IFERROR(__xludf.DUMMYFUNCTION("""COMPUTED_VALUE"""),9)</f>
        <v>9</v>
      </c>
      <c r="N113" s="1">
        <f ca="1">IFERROR(__xludf.DUMMYFUNCTION("""COMPUTED_VALUE"""),1996)</f>
        <v>1996</v>
      </c>
      <c r="O113" s="1">
        <f ca="1">IFERROR(__xludf.DUMMYFUNCTION("""COMPUTED_VALUE"""),2147)</f>
        <v>2147</v>
      </c>
      <c r="P113" s="1">
        <f ca="1">IFERROR(__xludf.DUMMYFUNCTION("""COMPUTED_VALUE"""),1255)</f>
        <v>1255</v>
      </c>
      <c r="Q113" s="1">
        <f ca="1">IFERROR(__xludf.DUMMYFUNCTION("""COMPUTED_VALUE"""),708)</f>
        <v>708</v>
      </c>
      <c r="R113" s="1">
        <f ca="1">IFERROR(__xludf.DUMMYFUNCTION("""COMPUTED_VALUE"""),1663)</f>
        <v>1663</v>
      </c>
      <c r="S113" s="1">
        <f ca="1">IFERROR(__xludf.DUMMYFUNCTION("""COMPUTED_VALUE"""),0.426)</f>
        <v>0.42599999999999999</v>
      </c>
      <c r="T113" s="1">
        <f ca="1">IFERROR(__xludf.DUMMYFUNCTION("""COMPUTED_VALUE"""),130)</f>
        <v>130</v>
      </c>
      <c r="U113" s="1">
        <f ca="1">IFERROR(__xludf.DUMMYFUNCTION("""COMPUTED_VALUE"""),406)</f>
        <v>406</v>
      </c>
      <c r="V113" s="1">
        <f ca="1">IFERROR(__xludf.DUMMYFUNCTION("""COMPUTED_VALUE"""),0.32)</f>
        <v>0.32</v>
      </c>
      <c r="W113" s="1">
        <f ca="1">IFERROR(__xludf.DUMMYFUNCTION("""COMPUTED_VALUE"""),450)</f>
        <v>450</v>
      </c>
      <c r="X113" s="1">
        <f ca="1">IFERROR(__xludf.DUMMYFUNCTION("""COMPUTED_VALUE"""),676)</f>
        <v>676</v>
      </c>
      <c r="Y113" s="1">
        <f ca="1">IFERROR(__xludf.DUMMYFUNCTION("""COMPUTED_VALUE"""),0.666)</f>
        <v>0.66600000000000004</v>
      </c>
      <c r="Z113" s="1">
        <f ca="1">IFERROR(__xludf.DUMMYFUNCTION("""COMPUTED_VALUE"""),391)</f>
        <v>391</v>
      </c>
      <c r="AA113" s="1">
        <f ca="1">IFERROR(__xludf.DUMMYFUNCTION("""COMPUTED_VALUE"""),1113)</f>
        <v>1113</v>
      </c>
      <c r="AB113" s="1">
        <f ca="1">IFERROR(__xludf.DUMMYFUNCTION("""COMPUTED_VALUE"""),315)</f>
        <v>315</v>
      </c>
      <c r="AC113" s="1">
        <f ca="1">IFERROR(__xludf.DUMMYFUNCTION("""COMPUTED_VALUE"""),187)</f>
        <v>187</v>
      </c>
      <c r="AD113" s="1">
        <f ca="1">IFERROR(__xludf.DUMMYFUNCTION("""COMPUTED_VALUE"""),120)</f>
        <v>120</v>
      </c>
      <c r="AE113" s="1">
        <f ca="1">IFERROR(__xludf.DUMMYFUNCTION("""COMPUTED_VALUE"""),445)</f>
        <v>445</v>
      </c>
      <c r="AF113" s="1">
        <f ca="1">IFERROR(__xludf.DUMMYFUNCTION("""COMPUTED_VALUE"""),638)</f>
        <v>638</v>
      </c>
    </row>
    <row r="114" spans="1:32" ht="12.5" x14ac:dyDescent="0.25">
      <c r="A114" s="1" t="str">
        <f ca="1">IFERROR(__xludf.DUMMYFUNCTION("""COMPUTED_VALUE"""),"George Washington")</f>
        <v>George Washington</v>
      </c>
      <c r="B114" s="1">
        <f ca="1">IFERROR(__xludf.DUMMYFUNCTION("""COMPUTED_VALUE"""),35)</f>
        <v>35</v>
      </c>
      <c r="C114" s="1">
        <f ca="1">IFERROR(__xludf.DUMMYFUNCTION("""COMPUTED_VALUE"""),22)</f>
        <v>22</v>
      </c>
      <c r="D114" s="1">
        <f ca="1">IFERROR(__xludf.DUMMYFUNCTION("""COMPUTED_VALUE"""),13)</f>
        <v>13</v>
      </c>
      <c r="E114" s="1">
        <f ca="1">IFERROR(__xludf.DUMMYFUNCTION("""COMPUTED_VALUE"""),0.629)</f>
        <v>0.629</v>
      </c>
      <c r="F114" s="1">
        <f ca="1">IFERROR(__xludf.DUMMYFUNCTION("""COMPUTED_VALUE"""),8.07)</f>
        <v>8.07</v>
      </c>
      <c r="G114" s="1">
        <f ca="1">IFERROR(__xludf.DUMMYFUNCTION("""COMPUTED_VALUE"""),2.79)</f>
        <v>2.79</v>
      </c>
      <c r="H114" s="1">
        <f ca="1">IFERROR(__xludf.DUMMYFUNCTION("""COMPUTED_VALUE"""),10)</f>
        <v>10</v>
      </c>
      <c r="I114" s="1">
        <f ca="1">IFERROR(__xludf.DUMMYFUNCTION("""COMPUTED_VALUE"""),8)</f>
        <v>8</v>
      </c>
      <c r="J114" s="1">
        <f ca="1">IFERROR(__xludf.DUMMYFUNCTION("""COMPUTED_VALUE"""),12)</f>
        <v>12</v>
      </c>
      <c r="K114" s="1">
        <f ca="1">IFERROR(__xludf.DUMMYFUNCTION("""COMPUTED_VALUE"""),2)</f>
        <v>2</v>
      </c>
      <c r="L114" s="1">
        <f ca="1">IFERROR(__xludf.DUMMYFUNCTION("""COMPUTED_VALUE"""),5)</f>
        <v>5</v>
      </c>
      <c r="M114" s="1">
        <f ca="1">IFERROR(__xludf.DUMMYFUNCTION("""COMPUTED_VALUE"""),10)</f>
        <v>10</v>
      </c>
      <c r="N114" s="1">
        <f ca="1">IFERROR(__xludf.DUMMYFUNCTION("""COMPUTED_VALUE"""),2354)</f>
        <v>2354</v>
      </c>
      <c r="O114" s="1">
        <f ca="1">IFERROR(__xludf.DUMMYFUNCTION("""COMPUTED_VALUE"""),2169)</f>
        <v>2169</v>
      </c>
      <c r="P114" s="1">
        <f ca="1">IFERROR(__xludf.DUMMYFUNCTION("""COMPUTED_VALUE"""),1415)</f>
        <v>1415</v>
      </c>
      <c r="Q114" s="1">
        <f ca="1">IFERROR(__xludf.DUMMYFUNCTION("""COMPUTED_VALUE"""),827)</f>
        <v>827</v>
      </c>
      <c r="R114" s="1">
        <f ca="1">IFERROR(__xludf.DUMMYFUNCTION("""COMPUTED_VALUE"""),1887)</f>
        <v>1887</v>
      </c>
      <c r="S114" s="1">
        <f ca="1">IFERROR(__xludf.DUMMYFUNCTION("""COMPUTED_VALUE"""),0.438)</f>
        <v>0.438</v>
      </c>
      <c r="T114" s="1">
        <f ca="1">IFERROR(__xludf.DUMMYFUNCTION("""COMPUTED_VALUE"""),192)</f>
        <v>192</v>
      </c>
      <c r="U114" s="1">
        <f ca="1">IFERROR(__xludf.DUMMYFUNCTION("""COMPUTED_VALUE"""),545)</f>
        <v>545</v>
      </c>
      <c r="V114" s="1">
        <f ca="1">IFERROR(__xludf.DUMMYFUNCTION("""COMPUTED_VALUE"""),0.352)</f>
        <v>0.35199999999999998</v>
      </c>
      <c r="W114" s="1">
        <f ca="1">IFERROR(__xludf.DUMMYFUNCTION("""COMPUTED_VALUE"""),508)</f>
        <v>508</v>
      </c>
      <c r="X114" s="1">
        <f ca="1">IFERROR(__xludf.DUMMYFUNCTION("""COMPUTED_VALUE"""),754)</f>
        <v>754</v>
      </c>
      <c r="Y114" s="1">
        <f ca="1">IFERROR(__xludf.DUMMYFUNCTION("""COMPUTED_VALUE"""),0.674)</f>
        <v>0.67400000000000004</v>
      </c>
      <c r="Z114" s="1">
        <f ca="1">IFERROR(__xludf.DUMMYFUNCTION("""COMPUTED_VALUE"""),422)</f>
        <v>422</v>
      </c>
      <c r="AA114" s="1">
        <f ca="1">IFERROR(__xludf.DUMMYFUNCTION("""COMPUTED_VALUE"""),1278)</f>
        <v>1278</v>
      </c>
      <c r="AB114" s="1">
        <f ca="1">IFERROR(__xludf.DUMMYFUNCTION("""COMPUTED_VALUE"""),408)</f>
        <v>408</v>
      </c>
      <c r="AC114" s="1">
        <f ca="1">IFERROR(__xludf.DUMMYFUNCTION("""COMPUTED_VALUE"""),197)</f>
        <v>197</v>
      </c>
      <c r="AD114" s="1">
        <f ca="1">IFERROR(__xludf.DUMMYFUNCTION("""COMPUTED_VALUE"""),136)</f>
        <v>136</v>
      </c>
      <c r="AE114" s="1">
        <f ca="1">IFERROR(__xludf.DUMMYFUNCTION("""COMPUTED_VALUE"""),420)</f>
        <v>420</v>
      </c>
      <c r="AF114" s="1">
        <f ca="1">IFERROR(__xludf.DUMMYFUNCTION("""COMPUTED_VALUE"""),560)</f>
        <v>560</v>
      </c>
    </row>
    <row r="115" spans="1:32" ht="12.5" x14ac:dyDescent="0.25">
      <c r="A115" s="1" t="str">
        <f ca="1">IFERROR(__xludf.DUMMYFUNCTION("""COMPUTED_VALUE"""),"GeorgetownNCAA")</f>
        <v>GeorgetownNCAA</v>
      </c>
      <c r="B115" s="1">
        <f ca="1">IFERROR(__xludf.DUMMYFUNCTION("""COMPUTED_VALUE"""),33)</f>
        <v>33</v>
      </c>
      <c r="C115" s="1">
        <f ca="1">IFERROR(__xludf.DUMMYFUNCTION("""COMPUTED_VALUE"""),22)</f>
        <v>22</v>
      </c>
      <c r="D115" s="1">
        <f ca="1">IFERROR(__xludf.DUMMYFUNCTION("""COMPUTED_VALUE"""),11)</f>
        <v>11</v>
      </c>
      <c r="E115" s="1">
        <f ca="1">IFERROR(__xludf.DUMMYFUNCTION("""COMPUTED_VALUE"""),0.667)</f>
        <v>0.66700000000000004</v>
      </c>
      <c r="F115" s="1">
        <f ca="1">IFERROR(__xludf.DUMMYFUNCTION("""COMPUTED_VALUE"""),15.48)</f>
        <v>15.48</v>
      </c>
      <c r="G115" s="1">
        <f ca="1">IFERROR(__xludf.DUMMYFUNCTION("""COMPUTED_VALUE"""),9.81)</f>
        <v>9.81</v>
      </c>
      <c r="H115" s="1">
        <f ca="1">IFERROR(__xludf.DUMMYFUNCTION("""COMPUTED_VALUE"""),12)</f>
        <v>12</v>
      </c>
      <c r="I115" s="1">
        <f ca="1">IFERROR(__xludf.DUMMYFUNCTION("""COMPUTED_VALUE"""),6)</f>
        <v>6</v>
      </c>
      <c r="J115" s="1">
        <f ca="1">IFERROR(__xludf.DUMMYFUNCTION("""COMPUTED_VALUE"""),13)</f>
        <v>13</v>
      </c>
      <c r="K115" s="1">
        <f ca="1">IFERROR(__xludf.DUMMYFUNCTION("""COMPUTED_VALUE"""),3)</f>
        <v>3</v>
      </c>
      <c r="L115" s="1">
        <f ca="1">IFERROR(__xludf.DUMMYFUNCTION("""COMPUTED_VALUE"""),5)</f>
        <v>5</v>
      </c>
      <c r="M115" s="1">
        <f ca="1">IFERROR(__xludf.DUMMYFUNCTION("""COMPUTED_VALUE"""),4)</f>
        <v>4</v>
      </c>
      <c r="N115" s="1">
        <f ca="1">IFERROR(__xludf.DUMMYFUNCTION("""COMPUTED_VALUE"""),2340)</f>
        <v>2340</v>
      </c>
      <c r="O115" s="1">
        <f ca="1">IFERROR(__xludf.DUMMYFUNCTION("""COMPUTED_VALUE"""),2153)</f>
        <v>2153</v>
      </c>
      <c r="P115" s="1">
        <f ca="1">IFERROR(__xludf.DUMMYFUNCTION("""COMPUTED_VALUE"""),1340)</f>
        <v>1340</v>
      </c>
      <c r="Q115" s="1">
        <f ca="1">IFERROR(__xludf.DUMMYFUNCTION("""COMPUTED_VALUE"""),799)</f>
        <v>799</v>
      </c>
      <c r="R115" s="1">
        <f ca="1">IFERROR(__xludf.DUMMYFUNCTION("""COMPUTED_VALUE"""),1753)</f>
        <v>1753</v>
      </c>
      <c r="S115" s="1">
        <f ca="1">IFERROR(__xludf.DUMMYFUNCTION("""COMPUTED_VALUE"""),0.456)</f>
        <v>0.45600000000000002</v>
      </c>
      <c r="T115" s="1">
        <f ca="1">IFERROR(__xludf.DUMMYFUNCTION("""COMPUTED_VALUE"""),201)</f>
        <v>201</v>
      </c>
      <c r="U115" s="1">
        <f ca="1">IFERROR(__xludf.DUMMYFUNCTION("""COMPUTED_VALUE"""),569)</f>
        <v>569</v>
      </c>
      <c r="V115" s="1">
        <f ca="1">IFERROR(__xludf.DUMMYFUNCTION("""COMPUTED_VALUE"""),0.353)</f>
        <v>0.35299999999999998</v>
      </c>
      <c r="W115" s="1">
        <f ca="1">IFERROR(__xludf.DUMMYFUNCTION("""COMPUTED_VALUE"""),541)</f>
        <v>541</v>
      </c>
      <c r="X115" s="1">
        <f ca="1">IFERROR(__xludf.DUMMYFUNCTION("""COMPUTED_VALUE"""),769)</f>
        <v>769</v>
      </c>
      <c r="Y115" s="1">
        <f ca="1">IFERROR(__xludf.DUMMYFUNCTION("""COMPUTED_VALUE"""),0.704)</f>
        <v>0.70399999999999996</v>
      </c>
      <c r="Z115" s="1">
        <f ca="1">IFERROR(__xludf.DUMMYFUNCTION("""COMPUTED_VALUE"""),367)</f>
        <v>367</v>
      </c>
      <c r="AA115" s="1">
        <f ca="1">IFERROR(__xludf.DUMMYFUNCTION("""COMPUTED_VALUE"""),1152)</f>
        <v>1152</v>
      </c>
      <c r="AB115" s="1">
        <f ca="1">IFERROR(__xludf.DUMMYFUNCTION("""COMPUTED_VALUE"""),427)</f>
        <v>427</v>
      </c>
      <c r="AC115" s="1">
        <f ca="1">IFERROR(__xludf.DUMMYFUNCTION("""COMPUTED_VALUE"""),251)</f>
        <v>251</v>
      </c>
      <c r="AD115" s="1">
        <f ca="1">IFERROR(__xludf.DUMMYFUNCTION("""COMPUTED_VALUE"""),156)</f>
        <v>156</v>
      </c>
      <c r="AE115" s="1">
        <f ca="1">IFERROR(__xludf.DUMMYFUNCTION("""COMPUTED_VALUE"""),415)</f>
        <v>415</v>
      </c>
      <c r="AF115" s="1">
        <f ca="1">IFERROR(__xludf.DUMMYFUNCTION("""COMPUTED_VALUE"""),668)</f>
        <v>668</v>
      </c>
    </row>
    <row r="116" spans="1:32" ht="12.5" x14ac:dyDescent="0.25">
      <c r="A116" s="1" t="str">
        <f ca="1">IFERROR(__xludf.DUMMYFUNCTION("""COMPUTED_VALUE"""),"Georgia Southern")</f>
        <v>Georgia Southern</v>
      </c>
      <c r="B116" s="1">
        <f ca="1">IFERROR(__xludf.DUMMYFUNCTION("""COMPUTED_VALUE"""),31)</f>
        <v>31</v>
      </c>
      <c r="C116" s="1">
        <f ca="1">IFERROR(__xludf.DUMMYFUNCTION("""COMPUTED_VALUE"""),22)</f>
        <v>22</v>
      </c>
      <c r="D116" s="1">
        <f ca="1">IFERROR(__xludf.DUMMYFUNCTION("""COMPUTED_VALUE"""),9)</f>
        <v>9</v>
      </c>
      <c r="E116" s="1">
        <f ca="1">IFERROR(__xludf.DUMMYFUNCTION("""COMPUTED_VALUE"""),0.71)</f>
        <v>0.71</v>
      </c>
      <c r="F116" s="1">
        <f ca="1">IFERROR(__xludf.DUMMYFUNCTION("""COMPUTED_VALUE"""),-0.4)</f>
        <v>-0.4</v>
      </c>
      <c r="G116" s="1">
        <f ca="1">IFERROR(__xludf.DUMMYFUNCTION("""COMPUTED_VALUE"""),-4.72)</f>
        <v>-4.72</v>
      </c>
      <c r="H116" s="1">
        <f ca="1">IFERROR(__xludf.DUMMYFUNCTION("""COMPUTED_VALUE"""),14)</f>
        <v>14</v>
      </c>
      <c r="I116" s="1">
        <f ca="1">IFERROR(__xludf.DUMMYFUNCTION("""COMPUTED_VALUE"""),6)</f>
        <v>6</v>
      </c>
      <c r="J116" s="1">
        <f ca="1">IFERROR(__xludf.DUMMYFUNCTION("""COMPUTED_VALUE"""),13)</f>
        <v>13</v>
      </c>
      <c r="K116" s="1">
        <f ca="1">IFERROR(__xludf.DUMMYFUNCTION("""COMPUTED_VALUE"""),2)</f>
        <v>2</v>
      </c>
      <c r="L116" s="1">
        <f ca="1">IFERROR(__xludf.DUMMYFUNCTION("""COMPUTED_VALUE"""),8)</f>
        <v>8</v>
      </c>
      <c r="M116" s="1">
        <f ca="1">IFERROR(__xludf.DUMMYFUNCTION("""COMPUTED_VALUE"""),6)</f>
        <v>6</v>
      </c>
      <c r="N116" s="1">
        <f ca="1">IFERROR(__xludf.DUMMYFUNCTION("""COMPUTED_VALUE"""),2112)</f>
        <v>2112</v>
      </c>
      <c r="O116" s="1">
        <f ca="1">IFERROR(__xludf.DUMMYFUNCTION("""COMPUTED_VALUE"""),1865)</f>
        <v>1865</v>
      </c>
      <c r="P116" s="1">
        <f ca="1">IFERROR(__xludf.DUMMYFUNCTION("""COMPUTED_VALUE"""),1250)</f>
        <v>1250</v>
      </c>
      <c r="Q116" s="1">
        <f ca="1">IFERROR(__xludf.DUMMYFUNCTION("""COMPUTED_VALUE"""),733)</f>
        <v>733</v>
      </c>
      <c r="R116" s="1">
        <f ca="1">IFERROR(__xludf.DUMMYFUNCTION("""COMPUTED_VALUE"""),1765)</f>
        <v>1765</v>
      </c>
      <c r="S116" s="1">
        <f ca="1">IFERROR(__xludf.DUMMYFUNCTION("""COMPUTED_VALUE"""),0.415)</f>
        <v>0.41499999999999998</v>
      </c>
      <c r="T116" s="1">
        <f ca="1">IFERROR(__xludf.DUMMYFUNCTION("""COMPUTED_VALUE"""),234)</f>
        <v>234</v>
      </c>
      <c r="U116" s="1">
        <f ca="1">IFERROR(__xludf.DUMMYFUNCTION("""COMPUTED_VALUE"""),740)</f>
        <v>740</v>
      </c>
      <c r="V116" s="1">
        <f ca="1">IFERROR(__xludf.DUMMYFUNCTION("""COMPUTED_VALUE"""),0.316)</f>
        <v>0.316</v>
      </c>
      <c r="W116" s="1">
        <f ca="1">IFERROR(__xludf.DUMMYFUNCTION("""COMPUTED_VALUE"""),412)</f>
        <v>412</v>
      </c>
      <c r="X116" s="1">
        <f ca="1">IFERROR(__xludf.DUMMYFUNCTION("""COMPUTED_VALUE"""),616)</f>
        <v>616</v>
      </c>
      <c r="Y116" s="1">
        <f ca="1">IFERROR(__xludf.DUMMYFUNCTION("""COMPUTED_VALUE"""),0.669)</f>
        <v>0.66900000000000004</v>
      </c>
      <c r="Z116" s="1">
        <f ca="1">IFERROR(__xludf.DUMMYFUNCTION("""COMPUTED_VALUE"""),391)</f>
        <v>391</v>
      </c>
      <c r="AA116" s="1">
        <f ca="1">IFERROR(__xludf.DUMMYFUNCTION("""COMPUTED_VALUE"""),1160)</f>
        <v>1160</v>
      </c>
      <c r="AB116" s="1">
        <f ca="1">IFERROR(__xludf.DUMMYFUNCTION("""COMPUTED_VALUE"""),361)</f>
        <v>361</v>
      </c>
      <c r="AC116" s="1">
        <f ca="1">IFERROR(__xludf.DUMMYFUNCTION("""COMPUTED_VALUE"""),226)</f>
        <v>226</v>
      </c>
      <c r="AD116" s="1">
        <f ca="1">IFERROR(__xludf.DUMMYFUNCTION("""COMPUTED_VALUE"""),99)</f>
        <v>99</v>
      </c>
      <c r="AE116" s="1">
        <f ca="1">IFERROR(__xludf.DUMMYFUNCTION("""COMPUTED_VALUE"""),365)</f>
        <v>365</v>
      </c>
      <c r="AF116" s="1">
        <f ca="1">IFERROR(__xludf.DUMMYFUNCTION("""COMPUTED_VALUE"""),522)</f>
        <v>522</v>
      </c>
    </row>
    <row r="117" spans="1:32" ht="12.5" x14ac:dyDescent="0.25">
      <c r="A117" s="1" t="str">
        <f ca="1">IFERROR(__xludf.DUMMYFUNCTION("""COMPUTED_VALUE"""),"Georgia StateNCAA")</f>
        <v>Georgia StateNCAA</v>
      </c>
      <c r="B117" s="1">
        <f ca="1">IFERROR(__xludf.DUMMYFUNCTION("""COMPUTED_VALUE"""),35)</f>
        <v>35</v>
      </c>
      <c r="C117" s="1">
        <f ca="1">IFERROR(__xludf.DUMMYFUNCTION("""COMPUTED_VALUE"""),25)</f>
        <v>25</v>
      </c>
      <c r="D117" s="1">
        <f ca="1">IFERROR(__xludf.DUMMYFUNCTION("""COMPUTED_VALUE"""),10)</f>
        <v>10</v>
      </c>
      <c r="E117" s="1">
        <f ca="1">IFERROR(__xludf.DUMMYFUNCTION("""COMPUTED_VALUE"""),0.714)</f>
        <v>0.71399999999999997</v>
      </c>
      <c r="F117" s="1">
        <f ca="1">IFERROR(__xludf.DUMMYFUNCTION("""COMPUTED_VALUE"""),5.47)</f>
        <v>5.47</v>
      </c>
      <c r="G117" s="1">
        <f ca="1">IFERROR(__xludf.DUMMYFUNCTION("""COMPUTED_VALUE"""),-2.03)</f>
        <v>-2.0299999999999998</v>
      </c>
      <c r="H117" s="1">
        <f ca="1">IFERROR(__xludf.DUMMYFUNCTION("""COMPUTED_VALUE"""),15)</f>
        <v>15</v>
      </c>
      <c r="I117" s="1">
        <f ca="1">IFERROR(__xludf.DUMMYFUNCTION("""COMPUTED_VALUE"""),5)</f>
        <v>5</v>
      </c>
      <c r="J117" s="1">
        <f ca="1">IFERROR(__xludf.DUMMYFUNCTION("""COMPUTED_VALUE"""),12)</f>
        <v>12</v>
      </c>
      <c r="K117" s="1">
        <f ca="1">IFERROR(__xludf.DUMMYFUNCTION("""COMPUTED_VALUE"""),1)</f>
        <v>1</v>
      </c>
      <c r="L117" s="1">
        <f ca="1">IFERROR(__xludf.DUMMYFUNCTION("""COMPUTED_VALUE"""),8)</f>
        <v>8</v>
      </c>
      <c r="M117" s="1">
        <f ca="1">IFERROR(__xludf.DUMMYFUNCTION("""COMPUTED_VALUE"""),8)</f>
        <v>8</v>
      </c>
      <c r="N117" s="1">
        <f ca="1">IFERROR(__xludf.DUMMYFUNCTION("""COMPUTED_VALUE"""),2499)</f>
        <v>2499</v>
      </c>
      <c r="O117" s="1">
        <f ca="1">IFERROR(__xludf.DUMMYFUNCTION("""COMPUTED_VALUE"""),2184)</f>
        <v>2184</v>
      </c>
      <c r="P117" s="1">
        <f ca="1">IFERROR(__xludf.DUMMYFUNCTION("""COMPUTED_VALUE"""),1415)</f>
        <v>1415</v>
      </c>
      <c r="Q117" s="1">
        <f ca="1">IFERROR(__xludf.DUMMYFUNCTION("""COMPUTED_VALUE"""),902)</f>
        <v>902</v>
      </c>
      <c r="R117" s="1">
        <f ca="1">IFERROR(__xludf.DUMMYFUNCTION("""COMPUTED_VALUE"""),1878)</f>
        <v>1878</v>
      </c>
      <c r="S117" s="1">
        <f ca="1">IFERROR(__xludf.DUMMYFUNCTION("""COMPUTED_VALUE"""),0.48)</f>
        <v>0.48</v>
      </c>
      <c r="T117" s="1">
        <f ca="1">IFERROR(__xludf.DUMMYFUNCTION("""COMPUTED_VALUE"""),174)</f>
        <v>174</v>
      </c>
      <c r="U117" s="1">
        <f ca="1">IFERROR(__xludf.DUMMYFUNCTION("""COMPUTED_VALUE"""),522)</f>
        <v>522</v>
      </c>
      <c r="V117" s="1">
        <f ca="1">IFERROR(__xludf.DUMMYFUNCTION("""COMPUTED_VALUE"""),0.333)</f>
        <v>0.33300000000000002</v>
      </c>
      <c r="W117" s="1">
        <f ca="1">IFERROR(__xludf.DUMMYFUNCTION("""COMPUTED_VALUE"""),521)</f>
        <v>521</v>
      </c>
      <c r="X117" s="1">
        <f ca="1">IFERROR(__xludf.DUMMYFUNCTION("""COMPUTED_VALUE"""),719)</f>
        <v>719</v>
      </c>
      <c r="Y117" s="1">
        <f ca="1">IFERROR(__xludf.DUMMYFUNCTION("""COMPUTED_VALUE"""),0.725)</f>
        <v>0.72499999999999998</v>
      </c>
      <c r="Z117" s="1">
        <f ca="1">IFERROR(__xludf.DUMMYFUNCTION("""COMPUTED_VALUE"""),322)</f>
        <v>322</v>
      </c>
      <c r="AA117" s="1">
        <f ca="1">IFERROR(__xludf.DUMMYFUNCTION("""COMPUTED_VALUE"""),1116)</f>
        <v>1116</v>
      </c>
      <c r="AB117" s="1">
        <f ca="1">IFERROR(__xludf.DUMMYFUNCTION("""COMPUTED_VALUE"""),479)</f>
        <v>479</v>
      </c>
      <c r="AC117" s="1">
        <f ca="1">IFERROR(__xludf.DUMMYFUNCTION("""COMPUTED_VALUE"""),321)</f>
        <v>321</v>
      </c>
      <c r="AD117" s="1">
        <f ca="1">IFERROR(__xludf.DUMMYFUNCTION("""COMPUTED_VALUE"""),143)</f>
        <v>143</v>
      </c>
      <c r="AE117" s="1">
        <f ca="1">IFERROR(__xludf.DUMMYFUNCTION("""COMPUTED_VALUE"""),366)</f>
        <v>366</v>
      </c>
      <c r="AF117" s="1">
        <f ca="1">IFERROR(__xludf.DUMMYFUNCTION("""COMPUTED_VALUE"""),642)</f>
        <v>642</v>
      </c>
    </row>
    <row r="118" spans="1:32" ht="12.5" x14ac:dyDescent="0.25">
      <c r="A118" s="1" t="str">
        <f ca="1">IFERROR(__xludf.DUMMYFUNCTION("""COMPUTED_VALUE"""),"Georgia Tech")</f>
        <v>Georgia Tech</v>
      </c>
      <c r="B118" s="1">
        <f ca="1">IFERROR(__xludf.DUMMYFUNCTION("""COMPUTED_VALUE"""),31)</f>
        <v>31</v>
      </c>
      <c r="C118" s="1">
        <f ca="1">IFERROR(__xludf.DUMMYFUNCTION("""COMPUTED_VALUE"""),12)</f>
        <v>12</v>
      </c>
      <c r="D118" s="1">
        <f ca="1">IFERROR(__xludf.DUMMYFUNCTION("""COMPUTED_VALUE"""),19)</f>
        <v>19</v>
      </c>
      <c r="E118" s="1">
        <f ca="1">IFERROR(__xludf.DUMMYFUNCTION("""COMPUTED_VALUE"""),0.387)</f>
        <v>0.38700000000000001</v>
      </c>
      <c r="F118" s="1">
        <f ca="1">IFERROR(__xludf.DUMMYFUNCTION("""COMPUTED_VALUE"""),7.16)</f>
        <v>7.16</v>
      </c>
      <c r="G118" s="1">
        <f ca="1">IFERROR(__xludf.DUMMYFUNCTION("""COMPUTED_VALUE"""),8.45)</f>
        <v>8.4499999999999993</v>
      </c>
      <c r="H118" s="1">
        <f ca="1">IFERROR(__xludf.DUMMYFUNCTION("""COMPUTED_VALUE"""),3)</f>
        <v>3</v>
      </c>
      <c r="I118" s="1">
        <f ca="1">IFERROR(__xludf.DUMMYFUNCTION("""COMPUTED_VALUE"""),15)</f>
        <v>15</v>
      </c>
      <c r="J118" s="1">
        <f ca="1">IFERROR(__xludf.DUMMYFUNCTION("""COMPUTED_VALUE"""),8)</f>
        <v>8</v>
      </c>
      <c r="K118" s="1">
        <f ca="1">IFERROR(__xludf.DUMMYFUNCTION("""COMPUTED_VALUE"""),8)</f>
        <v>8</v>
      </c>
      <c r="L118" s="1">
        <f ca="1">IFERROR(__xludf.DUMMYFUNCTION("""COMPUTED_VALUE"""),2)</f>
        <v>2</v>
      </c>
      <c r="M118" s="1">
        <f ca="1">IFERROR(__xludf.DUMMYFUNCTION("""COMPUTED_VALUE"""),9)</f>
        <v>9</v>
      </c>
      <c r="N118" s="1">
        <f ca="1">IFERROR(__xludf.DUMMYFUNCTION("""COMPUTED_VALUE"""),1962)</f>
        <v>1962</v>
      </c>
      <c r="O118" s="1">
        <f ca="1">IFERROR(__xludf.DUMMYFUNCTION("""COMPUTED_VALUE"""),2002)</f>
        <v>2002</v>
      </c>
      <c r="P118" s="1">
        <f ca="1">IFERROR(__xludf.DUMMYFUNCTION("""COMPUTED_VALUE"""),1260)</f>
        <v>1260</v>
      </c>
      <c r="Q118" s="1">
        <f ca="1">IFERROR(__xludf.DUMMYFUNCTION("""COMPUTED_VALUE"""),734)</f>
        <v>734</v>
      </c>
      <c r="R118" s="1">
        <f ca="1">IFERROR(__xludf.DUMMYFUNCTION("""COMPUTED_VALUE"""),1800)</f>
        <v>1800</v>
      </c>
      <c r="S118" s="1">
        <f ca="1">IFERROR(__xludf.DUMMYFUNCTION("""COMPUTED_VALUE"""),0.408)</f>
        <v>0.40799999999999997</v>
      </c>
      <c r="T118" s="1">
        <f ca="1">IFERROR(__xludf.DUMMYFUNCTION("""COMPUTED_VALUE"""),131)</f>
        <v>131</v>
      </c>
      <c r="U118" s="1">
        <f ca="1">IFERROR(__xludf.DUMMYFUNCTION("""COMPUTED_VALUE"""),491)</f>
        <v>491</v>
      </c>
      <c r="V118" s="1">
        <f ca="1">IFERROR(__xludf.DUMMYFUNCTION("""COMPUTED_VALUE"""),0.267)</f>
        <v>0.26700000000000002</v>
      </c>
      <c r="W118" s="1">
        <f ca="1">IFERROR(__xludf.DUMMYFUNCTION("""COMPUTED_VALUE"""),363)</f>
        <v>363</v>
      </c>
      <c r="X118" s="1">
        <f ca="1">IFERROR(__xludf.DUMMYFUNCTION("""COMPUTED_VALUE"""),560)</f>
        <v>560</v>
      </c>
      <c r="Y118" s="1">
        <f ca="1">IFERROR(__xludf.DUMMYFUNCTION("""COMPUTED_VALUE"""),0.648)</f>
        <v>0.64800000000000002</v>
      </c>
      <c r="Z118" s="1">
        <f ca="1">IFERROR(__xludf.DUMMYFUNCTION("""COMPUTED_VALUE"""),444)</f>
        <v>444</v>
      </c>
      <c r="AA118" s="1">
        <f ca="1">IFERROR(__xludf.DUMMYFUNCTION("""COMPUTED_VALUE"""),1187)</f>
        <v>1187</v>
      </c>
      <c r="AB118" s="1">
        <f ca="1">IFERROR(__xludf.DUMMYFUNCTION("""COMPUTED_VALUE"""),362)</f>
        <v>362</v>
      </c>
      <c r="AC118" s="1">
        <f ca="1">IFERROR(__xludf.DUMMYFUNCTION("""COMPUTED_VALUE"""),177)</f>
        <v>177</v>
      </c>
      <c r="AD118" s="1">
        <f ca="1">IFERROR(__xludf.DUMMYFUNCTION("""COMPUTED_VALUE"""),104)</f>
        <v>104</v>
      </c>
      <c r="AE118" s="1">
        <f ca="1">IFERROR(__xludf.DUMMYFUNCTION("""COMPUTED_VALUE"""),394)</f>
        <v>394</v>
      </c>
      <c r="AF118" s="1">
        <f ca="1">IFERROR(__xludf.DUMMYFUNCTION("""COMPUTED_VALUE"""),516)</f>
        <v>516</v>
      </c>
    </row>
    <row r="119" spans="1:32" ht="12.5" x14ac:dyDescent="0.25">
      <c r="A119" s="1" t="str">
        <f ca="1">IFERROR(__xludf.DUMMYFUNCTION("""COMPUTED_VALUE"""),"GeorgiaNCAA")</f>
        <v>GeorgiaNCAA</v>
      </c>
      <c r="B119" s="1">
        <f ca="1">IFERROR(__xludf.DUMMYFUNCTION("""COMPUTED_VALUE"""),33)</f>
        <v>33</v>
      </c>
      <c r="C119" s="1">
        <f ca="1">IFERROR(__xludf.DUMMYFUNCTION("""COMPUTED_VALUE"""),21)</f>
        <v>21</v>
      </c>
      <c r="D119" s="1">
        <f ca="1">IFERROR(__xludf.DUMMYFUNCTION("""COMPUTED_VALUE"""),12)</f>
        <v>12</v>
      </c>
      <c r="E119" s="1">
        <f ca="1">IFERROR(__xludf.DUMMYFUNCTION("""COMPUTED_VALUE"""),0.636)</f>
        <v>0.63600000000000001</v>
      </c>
      <c r="F119" s="1">
        <f ca="1">IFERROR(__xludf.DUMMYFUNCTION("""COMPUTED_VALUE"""),12.42)</f>
        <v>12.42</v>
      </c>
      <c r="G119" s="1">
        <f ca="1">IFERROR(__xludf.DUMMYFUNCTION("""COMPUTED_VALUE"""),8.6)</f>
        <v>8.6</v>
      </c>
      <c r="H119" s="1">
        <f ca="1">IFERROR(__xludf.DUMMYFUNCTION("""COMPUTED_VALUE"""),11)</f>
        <v>11</v>
      </c>
      <c r="I119" s="1">
        <f ca="1">IFERROR(__xludf.DUMMYFUNCTION("""COMPUTED_VALUE"""),7)</f>
        <v>7</v>
      </c>
      <c r="J119" s="1">
        <f ca="1">IFERROR(__xludf.DUMMYFUNCTION("""COMPUTED_VALUE"""),12)</f>
        <v>12</v>
      </c>
      <c r="K119" s="1">
        <f ca="1">IFERROR(__xludf.DUMMYFUNCTION("""COMPUTED_VALUE"""),4)</f>
        <v>4</v>
      </c>
      <c r="L119" s="1">
        <f ca="1">IFERROR(__xludf.DUMMYFUNCTION("""COMPUTED_VALUE"""),8)</f>
        <v>8</v>
      </c>
      <c r="M119" s="1">
        <f ca="1">IFERROR(__xludf.DUMMYFUNCTION("""COMPUTED_VALUE"""),4)</f>
        <v>4</v>
      </c>
      <c r="N119" s="1">
        <f ca="1">IFERROR(__xludf.DUMMYFUNCTION("""COMPUTED_VALUE"""),2250)</f>
        <v>2250</v>
      </c>
      <c r="O119" s="1">
        <f ca="1">IFERROR(__xludf.DUMMYFUNCTION("""COMPUTED_VALUE"""),2124)</f>
        <v>2124</v>
      </c>
      <c r="P119" s="1">
        <f ca="1">IFERROR(__xludf.DUMMYFUNCTION("""COMPUTED_VALUE"""),1351)</f>
        <v>1351</v>
      </c>
      <c r="Q119" s="1">
        <f ca="1">IFERROR(__xludf.DUMMYFUNCTION("""COMPUTED_VALUE"""),747)</f>
        <v>747</v>
      </c>
      <c r="R119" s="1">
        <f ca="1">IFERROR(__xludf.DUMMYFUNCTION("""COMPUTED_VALUE"""),1730)</f>
        <v>1730</v>
      </c>
      <c r="S119" s="1">
        <f ca="1">IFERROR(__xludf.DUMMYFUNCTION("""COMPUTED_VALUE"""),0.432)</f>
        <v>0.432</v>
      </c>
      <c r="T119" s="1">
        <f ca="1">IFERROR(__xludf.DUMMYFUNCTION("""COMPUTED_VALUE"""),184)</f>
        <v>184</v>
      </c>
      <c r="U119" s="1">
        <f ca="1">IFERROR(__xludf.DUMMYFUNCTION("""COMPUTED_VALUE"""),538)</f>
        <v>538</v>
      </c>
      <c r="V119" s="1">
        <f ca="1">IFERROR(__xludf.DUMMYFUNCTION("""COMPUTED_VALUE"""),0.342)</f>
        <v>0.34200000000000003</v>
      </c>
      <c r="W119" s="1">
        <f ca="1">IFERROR(__xludf.DUMMYFUNCTION("""COMPUTED_VALUE"""),572)</f>
        <v>572</v>
      </c>
      <c r="X119" s="1">
        <f ca="1">IFERROR(__xludf.DUMMYFUNCTION("""COMPUTED_VALUE"""),826)</f>
        <v>826</v>
      </c>
      <c r="Y119" s="1">
        <f ca="1">IFERROR(__xludf.DUMMYFUNCTION("""COMPUTED_VALUE"""),0.692)</f>
        <v>0.69199999999999995</v>
      </c>
      <c r="Z119" s="1">
        <f ca="1">IFERROR(__xludf.DUMMYFUNCTION("""COMPUTED_VALUE"""),360)</f>
        <v>360</v>
      </c>
      <c r="AA119" s="1">
        <f ca="1">IFERROR(__xludf.DUMMYFUNCTION("""COMPUTED_VALUE"""),1260)</f>
        <v>1260</v>
      </c>
      <c r="AB119" s="1">
        <f ca="1">IFERROR(__xludf.DUMMYFUNCTION("""COMPUTED_VALUE"""),411)</f>
        <v>411</v>
      </c>
      <c r="AC119" s="1">
        <f ca="1">IFERROR(__xludf.DUMMYFUNCTION("""COMPUTED_VALUE"""),183)</f>
        <v>183</v>
      </c>
      <c r="AD119" s="1">
        <f ca="1">IFERROR(__xludf.DUMMYFUNCTION("""COMPUTED_VALUE"""),151)</f>
        <v>151</v>
      </c>
      <c r="AE119" s="1">
        <f ca="1">IFERROR(__xludf.DUMMYFUNCTION("""COMPUTED_VALUE"""),420)</f>
        <v>420</v>
      </c>
      <c r="AF119" s="1">
        <f ca="1">IFERROR(__xludf.DUMMYFUNCTION("""COMPUTED_VALUE"""),608)</f>
        <v>608</v>
      </c>
    </row>
    <row r="120" spans="1:32" ht="12.5" x14ac:dyDescent="0.25">
      <c r="A120" s="1" t="str">
        <f ca="1">IFERROR(__xludf.DUMMYFUNCTION("""COMPUTED_VALUE"""),"GonzagaNCAA")</f>
        <v>GonzagaNCAA</v>
      </c>
      <c r="B120" s="1">
        <f ca="1">IFERROR(__xludf.DUMMYFUNCTION("""COMPUTED_VALUE"""),38)</f>
        <v>38</v>
      </c>
      <c r="C120" s="1">
        <f ca="1">IFERROR(__xludf.DUMMYFUNCTION("""COMPUTED_VALUE"""),35)</f>
        <v>35</v>
      </c>
      <c r="D120" s="1">
        <f ca="1">IFERROR(__xludf.DUMMYFUNCTION("""COMPUTED_VALUE"""),3)</f>
        <v>3</v>
      </c>
      <c r="E120" s="1">
        <f ca="1">IFERROR(__xludf.DUMMYFUNCTION("""COMPUTED_VALUE"""),0.921)</f>
        <v>0.92100000000000004</v>
      </c>
      <c r="F120" s="1">
        <f ca="1">IFERROR(__xludf.DUMMYFUNCTION("""COMPUTED_VALUE"""),21.12)</f>
        <v>21.12</v>
      </c>
      <c r="G120" s="1">
        <f ca="1">IFERROR(__xludf.DUMMYFUNCTION("""COMPUTED_VALUE"""),5.12)</f>
        <v>5.12</v>
      </c>
      <c r="H120" s="1">
        <f ca="1">IFERROR(__xludf.DUMMYFUNCTION("""COMPUTED_VALUE"""),17)</f>
        <v>17</v>
      </c>
      <c r="I120" s="1">
        <f ca="1">IFERROR(__xludf.DUMMYFUNCTION("""COMPUTED_VALUE"""),1)</f>
        <v>1</v>
      </c>
      <c r="J120" s="1">
        <f ca="1">IFERROR(__xludf.DUMMYFUNCTION("""COMPUTED_VALUE"""),15)</f>
        <v>15</v>
      </c>
      <c r="K120" s="1">
        <f ca="1">IFERROR(__xludf.DUMMYFUNCTION("""COMPUTED_VALUE"""),1)</f>
        <v>1</v>
      </c>
      <c r="L120" s="1">
        <f ca="1">IFERROR(__xludf.DUMMYFUNCTION("""COMPUTED_VALUE"""),10)</f>
        <v>10</v>
      </c>
      <c r="M120" s="1">
        <f ca="1">IFERROR(__xludf.DUMMYFUNCTION("""COMPUTED_VALUE"""),1)</f>
        <v>1</v>
      </c>
      <c r="N120" s="1">
        <f ca="1">IFERROR(__xludf.DUMMYFUNCTION("""COMPUTED_VALUE"""),2989)</f>
        <v>2989</v>
      </c>
      <c r="O120" s="1">
        <f ca="1">IFERROR(__xludf.DUMMYFUNCTION("""COMPUTED_VALUE"""),2343)</f>
        <v>2343</v>
      </c>
      <c r="P120" s="1">
        <f ca="1">IFERROR(__xludf.DUMMYFUNCTION("""COMPUTED_VALUE"""),1525)</f>
        <v>1525</v>
      </c>
      <c r="Q120" s="1">
        <f ca="1">IFERROR(__xludf.DUMMYFUNCTION("""COMPUTED_VALUE"""),1084)</f>
        <v>1084</v>
      </c>
      <c r="R120" s="1">
        <f ca="1">IFERROR(__xludf.DUMMYFUNCTION("""COMPUTED_VALUE"""),2083)</f>
        <v>2083</v>
      </c>
      <c r="S120" s="1">
        <f ca="1">IFERROR(__xludf.DUMMYFUNCTION("""COMPUTED_VALUE"""),0.52)</f>
        <v>0.52</v>
      </c>
      <c r="T120" s="1">
        <f ca="1">IFERROR(__xludf.DUMMYFUNCTION("""COMPUTED_VALUE"""),264)</f>
        <v>264</v>
      </c>
      <c r="U120" s="1">
        <f ca="1">IFERROR(__xludf.DUMMYFUNCTION("""COMPUTED_VALUE"""),660)</f>
        <v>660</v>
      </c>
      <c r="V120" s="1">
        <f ca="1">IFERROR(__xludf.DUMMYFUNCTION("""COMPUTED_VALUE"""),0.4)</f>
        <v>0.4</v>
      </c>
      <c r="W120" s="1">
        <f ca="1">IFERROR(__xludf.DUMMYFUNCTION("""COMPUTED_VALUE"""),557)</f>
        <v>557</v>
      </c>
      <c r="X120" s="1">
        <f ca="1">IFERROR(__xludf.DUMMYFUNCTION("""COMPUTED_VALUE"""),806)</f>
        <v>806</v>
      </c>
      <c r="Y120" s="1">
        <f ca="1">IFERROR(__xludf.DUMMYFUNCTION("""COMPUTED_VALUE"""),0.691)</f>
        <v>0.69099999999999995</v>
      </c>
      <c r="Z120" s="1">
        <f ca="1">IFERROR(__xludf.DUMMYFUNCTION("""COMPUTED_VALUE"""),391)</f>
        <v>391</v>
      </c>
      <c r="AA120" s="1">
        <f ca="1">IFERROR(__xludf.DUMMYFUNCTION("""COMPUTED_VALUE"""),1441)</f>
        <v>1441</v>
      </c>
      <c r="AB120" s="1">
        <f ca="1">IFERROR(__xludf.DUMMYFUNCTION("""COMPUTED_VALUE"""),620)</f>
        <v>620</v>
      </c>
      <c r="AC120" s="1">
        <f ca="1">IFERROR(__xludf.DUMMYFUNCTION("""COMPUTED_VALUE"""),226)</f>
        <v>226</v>
      </c>
      <c r="AD120" s="1">
        <f ca="1">IFERROR(__xludf.DUMMYFUNCTION("""COMPUTED_VALUE"""),126)</f>
        <v>126</v>
      </c>
      <c r="AE120" s="1">
        <f ca="1">IFERROR(__xludf.DUMMYFUNCTION("""COMPUTED_VALUE"""),397)</f>
        <v>397</v>
      </c>
      <c r="AF120" s="1">
        <f ca="1">IFERROR(__xludf.DUMMYFUNCTION("""COMPUTED_VALUE"""),637)</f>
        <v>637</v>
      </c>
    </row>
    <row r="121" spans="1:32" ht="12.5" x14ac:dyDescent="0.25">
      <c r="A121" s="1" t="str">
        <f ca="1">IFERROR(__xludf.DUMMYFUNCTION("""COMPUTED_VALUE"""),"Grambling")</f>
        <v>Grambling</v>
      </c>
      <c r="B121" s="1">
        <f ca="1">IFERROR(__xludf.DUMMYFUNCTION("""COMPUTED_VALUE"""),29)</f>
        <v>29</v>
      </c>
      <c r="C121" s="1">
        <f ca="1">IFERROR(__xludf.DUMMYFUNCTION("""COMPUTED_VALUE"""),2)</f>
        <v>2</v>
      </c>
      <c r="D121" s="1">
        <f ca="1">IFERROR(__xludf.DUMMYFUNCTION("""COMPUTED_VALUE"""),27)</f>
        <v>27</v>
      </c>
      <c r="E121" s="1">
        <f ca="1">IFERROR(__xludf.DUMMYFUNCTION("""COMPUTED_VALUE"""),0.069)</f>
        <v>6.9000000000000006E-2</v>
      </c>
      <c r="F121" s="1">
        <f ca="1">IFERROR(__xludf.DUMMYFUNCTION("""COMPUTED_VALUE"""),-30.67)</f>
        <v>-30.67</v>
      </c>
      <c r="G121" s="1">
        <f ca="1">IFERROR(__xludf.DUMMYFUNCTION("""COMPUTED_VALUE"""),-8)</f>
        <v>-8</v>
      </c>
      <c r="H121" s="1">
        <f ca="1">IFERROR(__xludf.DUMMYFUNCTION("""COMPUTED_VALUE"""),0)</f>
        <v>0</v>
      </c>
      <c r="I121" s="1">
        <f ca="1">IFERROR(__xludf.DUMMYFUNCTION("""COMPUTED_VALUE"""),18)</f>
        <v>18</v>
      </c>
      <c r="J121" s="1">
        <f ca="1">IFERROR(__xludf.DUMMYFUNCTION("""COMPUTED_VALUE"""),2)</f>
        <v>2</v>
      </c>
      <c r="K121" s="1">
        <f ca="1">IFERROR(__xludf.DUMMYFUNCTION("""COMPUTED_VALUE"""),9)</f>
        <v>9</v>
      </c>
      <c r="L121" s="1">
        <f ca="1">IFERROR(__xludf.DUMMYFUNCTION("""COMPUTED_VALUE"""),0)</f>
        <v>0</v>
      </c>
      <c r="M121" s="1">
        <f ca="1">IFERROR(__xludf.DUMMYFUNCTION("""COMPUTED_VALUE"""),17)</f>
        <v>17</v>
      </c>
      <c r="N121" s="1">
        <f ca="1">IFERROR(__xludf.DUMMYFUNCTION("""COMPUTED_VALUE"""),1509)</f>
        <v>1509</v>
      </c>
      <c r="O121" s="1">
        <f ca="1">IFERROR(__xludf.DUMMYFUNCTION("""COMPUTED_VALUE"""),2105)</f>
        <v>2105</v>
      </c>
      <c r="P121" s="1">
        <f ca="1">IFERROR(__xludf.DUMMYFUNCTION("""COMPUTED_VALUE"""),1160)</f>
        <v>1160</v>
      </c>
      <c r="Q121" s="1">
        <f ca="1">IFERROR(__xludf.DUMMYFUNCTION("""COMPUTED_VALUE"""),512)</f>
        <v>512</v>
      </c>
      <c r="R121" s="1">
        <f ca="1">IFERROR(__xludf.DUMMYFUNCTION("""COMPUTED_VALUE"""),1417)</f>
        <v>1417</v>
      </c>
      <c r="S121" s="1">
        <f ca="1">IFERROR(__xludf.DUMMYFUNCTION("""COMPUTED_VALUE"""),0.361)</f>
        <v>0.36099999999999999</v>
      </c>
      <c r="T121" s="1">
        <f ca="1">IFERROR(__xludf.DUMMYFUNCTION("""COMPUTED_VALUE"""),105)</f>
        <v>105</v>
      </c>
      <c r="U121" s="1">
        <f ca="1">IFERROR(__xludf.DUMMYFUNCTION("""COMPUTED_VALUE"""),366)</f>
        <v>366</v>
      </c>
      <c r="V121" s="1">
        <f ca="1">IFERROR(__xludf.DUMMYFUNCTION("""COMPUTED_VALUE"""),0.287)</f>
        <v>0.28699999999999998</v>
      </c>
      <c r="W121" s="1">
        <f ca="1">IFERROR(__xludf.DUMMYFUNCTION("""COMPUTED_VALUE"""),380)</f>
        <v>380</v>
      </c>
      <c r="X121" s="1">
        <f ca="1">IFERROR(__xludf.DUMMYFUNCTION("""COMPUTED_VALUE"""),584)</f>
        <v>584</v>
      </c>
      <c r="Y121" s="1">
        <f ca="1">IFERROR(__xludf.DUMMYFUNCTION("""COMPUTED_VALUE"""),0.651)</f>
        <v>0.65100000000000002</v>
      </c>
      <c r="Z121" s="1">
        <f ca="1">IFERROR(__xludf.DUMMYFUNCTION("""COMPUTED_VALUE"""),294)</f>
        <v>294</v>
      </c>
      <c r="AA121" s="1">
        <f ca="1">IFERROR(__xludf.DUMMYFUNCTION("""COMPUTED_VALUE"""),928)</f>
        <v>928</v>
      </c>
      <c r="AB121" s="1">
        <f ca="1">IFERROR(__xludf.DUMMYFUNCTION("""COMPUTED_VALUE"""),225)</f>
        <v>225</v>
      </c>
      <c r="AC121" s="1">
        <f ca="1">IFERROR(__xludf.DUMMYFUNCTION("""COMPUTED_VALUE"""),154)</f>
        <v>154</v>
      </c>
      <c r="AD121" s="1">
        <f ca="1">IFERROR(__xludf.DUMMYFUNCTION("""COMPUTED_VALUE"""),52)</f>
        <v>52</v>
      </c>
      <c r="AE121" s="1">
        <f ca="1">IFERROR(__xludf.DUMMYFUNCTION("""COMPUTED_VALUE"""),486)</f>
        <v>486</v>
      </c>
      <c r="AF121" s="1">
        <f ca="1">IFERROR(__xludf.DUMMYFUNCTION("""COMPUTED_VALUE"""),551)</f>
        <v>551</v>
      </c>
    </row>
    <row r="122" spans="1:32" ht="12.5" x14ac:dyDescent="0.25">
      <c r="A122" s="1" t="str">
        <f ca="1">IFERROR(__xludf.DUMMYFUNCTION("""COMPUTED_VALUE"""),"Grand Canyon")</f>
        <v>Grand Canyon</v>
      </c>
      <c r="B122" s="1">
        <f ca="1">IFERROR(__xludf.DUMMYFUNCTION("""COMPUTED_VALUE"""),32)</f>
        <v>32</v>
      </c>
      <c r="C122" s="1">
        <f ca="1">IFERROR(__xludf.DUMMYFUNCTION("""COMPUTED_VALUE"""),17)</f>
        <v>17</v>
      </c>
      <c r="D122" s="1">
        <f ca="1">IFERROR(__xludf.DUMMYFUNCTION("""COMPUTED_VALUE"""),15)</f>
        <v>15</v>
      </c>
      <c r="E122" s="1">
        <f ca="1">IFERROR(__xludf.DUMMYFUNCTION("""COMPUTED_VALUE"""),0.531)</f>
        <v>0.53100000000000003</v>
      </c>
      <c r="F122" s="1">
        <f ca="1">IFERROR(__xludf.DUMMYFUNCTION("""COMPUTED_VALUE"""),-6.62)</f>
        <v>-6.62</v>
      </c>
      <c r="G122" s="1">
        <f ca="1">IFERROR(__xludf.DUMMYFUNCTION("""COMPUTED_VALUE"""),-5.45)</f>
        <v>-5.45</v>
      </c>
      <c r="H122" s="1">
        <f ca="1">IFERROR(__xludf.DUMMYFUNCTION("""COMPUTED_VALUE"""),8)</f>
        <v>8</v>
      </c>
      <c r="I122" s="1">
        <f ca="1">IFERROR(__xludf.DUMMYFUNCTION("""COMPUTED_VALUE"""),6)</f>
        <v>6</v>
      </c>
      <c r="J122" s="1">
        <f ca="1">IFERROR(__xludf.DUMMYFUNCTION("""COMPUTED_VALUE"""),13)</f>
        <v>13</v>
      </c>
      <c r="K122" s="1">
        <f ca="1">IFERROR(__xludf.DUMMYFUNCTION("""COMPUTED_VALUE"""),8)</f>
        <v>8</v>
      </c>
      <c r="L122" s="1">
        <f ca="1">IFERROR(__xludf.DUMMYFUNCTION("""COMPUTED_VALUE"""),4)</f>
        <v>4</v>
      </c>
      <c r="M122" s="1">
        <f ca="1">IFERROR(__xludf.DUMMYFUNCTION("""COMPUTED_VALUE"""),7)</f>
        <v>7</v>
      </c>
      <c r="N122" s="1">
        <f ca="1">IFERROR(__xludf.DUMMYFUNCTION("""COMPUTED_VALUE"""),2198)</f>
        <v>2198</v>
      </c>
      <c r="O122" s="1">
        <f ca="1">IFERROR(__xludf.DUMMYFUNCTION("""COMPUTED_VALUE"""),2188)</f>
        <v>2188</v>
      </c>
      <c r="P122" s="1">
        <f ca="1">IFERROR(__xludf.DUMMYFUNCTION("""COMPUTED_VALUE"""),1280)</f>
        <v>1280</v>
      </c>
      <c r="Q122" s="1">
        <f ca="1">IFERROR(__xludf.DUMMYFUNCTION("""COMPUTED_VALUE"""),759)</f>
        <v>759</v>
      </c>
      <c r="R122" s="1">
        <f ca="1">IFERROR(__xludf.DUMMYFUNCTION("""COMPUTED_VALUE"""),1683)</f>
        <v>1683</v>
      </c>
      <c r="S122" s="1">
        <f ca="1">IFERROR(__xludf.DUMMYFUNCTION("""COMPUTED_VALUE"""),0.451)</f>
        <v>0.45100000000000001</v>
      </c>
      <c r="T122" s="1">
        <f ca="1">IFERROR(__xludf.DUMMYFUNCTION("""COMPUTED_VALUE"""),198)</f>
        <v>198</v>
      </c>
      <c r="U122" s="1">
        <f ca="1">IFERROR(__xludf.DUMMYFUNCTION("""COMPUTED_VALUE"""),594)</f>
        <v>594</v>
      </c>
      <c r="V122" s="1">
        <f ca="1">IFERROR(__xludf.DUMMYFUNCTION("""COMPUTED_VALUE"""),0.333)</f>
        <v>0.33300000000000002</v>
      </c>
      <c r="W122" s="1">
        <f ca="1">IFERROR(__xludf.DUMMYFUNCTION("""COMPUTED_VALUE"""),482)</f>
        <v>482</v>
      </c>
      <c r="X122" s="1">
        <f ca="1">IFERROR(__xludf.DUMMYFUNCTION("""COMPUTED_VALUE"""),674)</f>
        <v>674</v>
      </c>
      <c r="Y122" s="1">
        <f ca="1">IFERROR(__xludf.DUMMYFUNCTION("""COMPUTED_VALUE"""),0.715)</f>
        <v>0.71499999999999997</v>
      </c>
      <c r="Z122" s="1">
        <f ca="1">IFERROR(__xludf.DUMMYFUNCTION("""COMPUTED_VALUE"""),281)</f>
        <v>281</v>
      </c>
      <c r="AA122" s="1">
        <f ca="1">IFERROR(__xludf.DUMMYFUNCTION("""COMPUTED_VALUE"""),1016)</f>
        <v>1016</v>
      </c>
      <c r="AB122" s="1">
        <f ca="1">IFERROR(__xludf.DUMMYFUNCTION("""COMPUTED_VALUE"""),388)</f>
        <v>388</v>
      </c>
      <c r="AC122" s="1">
        <f ca="1">IFERROR(__xludf.DUMMYFUNCTION("""COMPUTED_VALUE"""),171)</f>
        <v>171</v>
      </c>
      <c r="AD122" s="1">
        <f ca="1">IFERROR(__xludf.DUMMYFUNCTION("""COMPUTED_VALUE"""),99)</f>
        <v>99</v>
      </c>
      <c r="AE122" s="1">
        <f ca="1">IFERROR(__xludf.DUMMYFUNCTION("""COMPUTED_VALUE"""),358)</f>
        <v>358</v>
      </c>
      <c r="AF122" s="1">
        <f ca="1">IFERROR(__xludf.DUMMYFUNCTION("""COMPUTED_VALUE"""),627)</f>
        <v>627</v>
      </c>
    </row>
    <row r="123" spans="1:32" ht="12.5" x14ac:dyDescent="0.25">
      <c r="A123" s="1" t="str">
        <f ca="1">IFERROR(__xludf.DUMMYFUNCTION("""COMPUTED_VALUE"""),"Green Bay")</f>
        <v>Green Bay</v>
      </c>
      <c r="B123" s="1">
        <f ca="1">IFERROR(__xludf.DUMMYFUNCTION("""COMPUTED_VALUE"""),33)</f>
        <v>33</v>
      </c>
      <c r="C123" s="1">
        <f ca="1">IFERROR(__xludf.DUMMYFUNCTION("""COMPUTED_VALUE"""),24)</f>
        <v>24</v>
      </c>
      <c r="D123" s="1">
        <f ca="1">IFERROR(__xludf.DUMMYFUNCTION("""COMPUTED_VALUE"""),9)</f>
        <v>9</v>
      </c>
      <c r="E123" s="1">
        <f ca="1">IFERROR(__xludf.DUMMYFUNCTION("""COMPUTED_VALUE"""),0.727)</f>
        <v>0.72699999999999998</v>
      </c>
      <c r="F123" s="1">
        <f ca="1">IFERROR(__xludf.DUMMYFUNCTION("""COMPUTED_VALUE"""),5.7)</f>
        <v>5.7</v>
      </c>
      <c r="G123" s="1">
        <f ca="1">IFERROR(__xludf.DUMMYFUNCTION("""COMPUTED_VALUE"""),-0.4)</f>
        <v>-0.4</v>
      </c>
      <c r="H123" s="1">
        <f ca="1">IFERROR(__xludf.DUMMYFUNCTION("""COMPUTED_VALUE"""),12)</f>
        <v>12</v>
      </c>
      <c r="I123" s="1">
        <f ca="1">IFERROR(__xludf.DUMMYFUNCTION("""COMPUTED_VALUE"""),4)</f>
        <v>4</v>
      </c>
      <c r="J123" s="1">
        <f ca="1">IFERROR(__xludf.DUMMYFUNCTION("""COMPUTED_VALUE"""),13)</f>
        <v>13</v>
      </c>
      <c r="K123" s="1">
        <f ca="1">IFERROR(__xludf.DUMMYFUNCTION("""COMPUTED_VALUE"""),1)</f>
        <v>1</v>
      </c>
      <c r="L123" s="1">
        <f ca="1">IFERROR(__xludf.DUMMYFUNCTION("""COMPUTED_VALUE"""),6)</f>
        <v>6</v>
      </c>
      <c r="M123" s="1">
        <f ca="1">IFERROR(__xludf.DUMMYFUNCTION("""COMPUTED_VALUE"""),7)</f>
        <v>7</v>
      </c>
      <c r="N123" s="1">
        <f ca="1">IFERROR(__xludf.DUMMYFUNCTION("""COMPUTED_VALUE"""),2252)</f>
        <v>2252</v>
      </c>
      <c r="O123" s="1">
        <f ca="1">IFERROR(__xludf.DUMMYFUNCTION("""COMPUTED_VALUE"""),2006)</f>
        <v>2006</v>
      </c>
      <c r="P123" s="1">
        <f ca="1">IFERROR(__xludf.DUMMYFUNCTION("""COMPUTED_VALUE"""),1325)</f>
        <v>1325</v>
      </c>
      <c r="Q123" s="1">
        <f ca="1">IFERROR(__xludf.DUMMYFUNCTION("""COMPUTED_VALUE"""),829)</f>
        <v>829</v>
      </c>
      <c r="R123" s="1">
        <f ca="1">IFERROR(__xludf.DUMMYFUNCTION("""COMPUTED_VALUE"""),1808)</f>
        <v>1808</v>
      </c>
      <c r="S123" s="1">
        <f ca="1">IFERROR(__xludf.DUMMYFUNCTION("""COMPUTED_VALUE"""),0.459)</f>
        <v>0.45900000000000002</v>
      </c>
      <c r="T123" s="1">
        <f ca="1">IFERROR(__xludf.DUMMYFUNCTION("""COMPUTED_VALUE"""),141)</f>
        <v>141</v>
      </c>
      <c r="U123" s="1">
        <f ca="1">IFERROR(__xludf.DUMMYFUNCTION("""COMPUTED_VALUE"""),480)</f>
        <v>480</v>
      </c>
      <c r="V123" s="1">
        <f ca="1">IFERROR(__xludf.DUMMYFUNCTION("""COMPUTED_VALUE"""),0.294)</f>
        <v>0.29399999999999998</v>
      </c>
      <c r="W123" s="1">
        <f ca="1">IFERROR(__xludf.DUMMYFUNCTION("""COMPUTED_VALUE"""),453)</f>
        <v>453</v>
      </c>
      <c r="X123" s="1">
        <f ca="1">IFERROR(__xludf.DUMMYFUNCTION("""COMPUTED_VALUE"""),705)</f>
        <v>705</v>
      </c>
      <c r="Y123" s="1">
        <f ca="1">IFERROR(__xludf.DUMMYFUNCTION("""COMPUTED_VALUE"""),0.643)</f>
        <v>0.64300000000000002</v>
      </c>
      <c r="Z123" s="1">
        <f ca="1">IFERROR(__xludf.DUMMYFUNCTION("""COMPUTED_VALUE"""),369)</f>
        <v>369</v>
      </c>
      <c r="AA123" s="1">
        <f ca="1">IFERROR(__xludf.DUMMYFUNCTION("""COMPUTED_VALUE"""),1178)</f>
        <v>1178</v>
      </c>
      <c r="AB123" s="1">
        <f ca="1">IFERROR(__xludf.DUMMYFUNCTION("""COMPUTED_VALUE"""),464)</f>
        <v>464</v>
      </c>
      <c r="AC123" s="1">
        <f ca="1">IFERROR(__xludf.DUMMYFUNCTION("""COMPUTED_VALUE"""),245)</f>
        <v>245</v>
      </c>
      <c r="AD123" s="1">
        <f ca="1">IFERROR(__xludf.DUMMYFUNCTION("""COMPUTED_VALUE"""),161)</f>
        <v>161</v>
      </c>
      <c r="AE123" s="1">
        <f ca="1">IFERROR(__xludf.DUMMYFUNCTION("""COMPUTED_VALUE"""),391)</f>
        <v>391</v>
      </c>
      <c r="AF123" s="1">
        <f ca="1">IFERROR(__xludf.DUMMYFUNCTION("""COMPUTED_VALUE"""),610)</f>
        <v>610</v>
      </c>
    </row>
    <row r="124" spans="1:32" ht="12.5" x14ac:dyDescent="0.25">
      <c r="A124" s="1" t="str">
        <f ca="1">IFERROR(__xludf.DUMMYFUNCTION("""COMPUTED_VALUE"""),"HamptonNCAA")</f>
        <v>HamptonNCAA</v>
      </c>
      <c r="B124" s="1">
        <f ca="1">IFERROR(__xludf.DUMMYFUNCTION("""COMPUTED_VALUE"""),35)</f>
        <v>35</v>
      </c>
      <c r="C124" s="1">
        <f ca="1">IFERROR(__xludf.DUMMYFUNCTION("""COMPUTED_VALUE"""),17)</f>
        <v>17</v>
      </c>
      <c r="D124" s="1">
        <f ca="1">IFERROR(__xludf.DUMMYFUNCTION("""COMPUTED_VALUE"""),18)</f>
        <v>18</v>
      </c>
      <c r="E124" s="1">
        <f ca="1">IFERROR(__xludf.DUMMYFUNCTION("""COMPUTED_VALUE"""),0.486)</f>
        <v>0.48599999999999999</v>
      </c>
      <c r="F124" s="1">
        <f ca="1">IFERROR(__xludf.DUMMYFUNCTION("""COMPUTED_VALUE"""),-8.25)</f>
        <v>-8.25</v>
      </c>
      <c r="G124" s="1">
        <f ca="1">IFERROR(__xludf.DUMMYFUNCTION("""COMPUTED_VALUE"""),-7.08)</f>
        <v>-7.08</v>
      </c>
      <c r="H124" s="1">
        <f ca="1">IFERROR(__xludf.DUMMYFUNCTION("""COMPUTED_VALUE"""),8)</f>
        <v>8</v>
      </c>
      <c r="I124" s="1">
        <f ca="1">IFERROR(__xludf.DUMMYFUNCTION("""COMPUTED_VALUE"""),8)</f>
        <v>8</v>
      </c>
      <c r="J124" s="1">
        <f ca="1">IFERROR(__xludf.DUMMYFUNCTION("""COMPUTED_VALUE"""),6)</f>
        <v>6</v>
      </c>
      <c r="K124" s="1">
        <f ca="1">IFERROR(__xludf.DUMMYFUNCTION("""COMPUTED_VALUE"""),5)</f>
        <v>5</v>
      </c>
      <c r="L124" s="1">
        <f ca="1">IFERROR(__xludf.DUMMYFUNCTION("""COMPUTED_VALUE"""),5)</f>
        <v>5</v>
      </c>
      <c r="M124" s="1">
        <f ca="1">IFERROR(__xludf.DUMMYFUNCTION("""COMPUTED_VALUE"""),12)</f>
        <v>12</v>
      </c>
      <c r="N124" s="1">
        <f ca="1">IFERROR(__xludf.DUMMYFUNCTION("""COMPUTED_VALUE"""),2346)</f>
        <v>2346</v>
      </c>
      <c r="O124" s="1">
        <f ca="1">IFERROR(__xludf.DUMMYFUNCTION("""COMPUTED_VALUE"""),2387)</f>
        <v>2387</v>
      </c>
      <c r="P124" s="1">
        <f ca="1">IFERROR(__xludf.DUMMYFUNCTION("""COMPUTED_VALUE"""),1405)</f>
        <v>1405</v>
      </c>
      <c r="Q124" s="1">
        <f ca="1">IFERROR(__xludf.DUMMYFUNCTION("""COMPUTED_VALUE"""),796)</f>
        <v>796</v>
      </c>
      <c r="R124" s="1">
        <f ca="1">IFERROR(__xludf.DUMMYFUNCTION("""COMPUTED_VALUE"""),1959)</f>
        <v>1959</v>
      </c>
      <c r="S124" s="1">
        <f ca="1">IFERROR(__xludf.DUMMYFUNCTION("""COMPUTED_VALUE"""),0.406)</f>
        <v>0.40600000000000003</v>
      </c>
      <c r="T124" s="1">
        <f ca="1">IFERROR(__xludf.DUMMYFUNCTION("""COMPUTED_VALUE"""),194)</f>
        <v>194</v>
      </c>
      <c r="U124" s="1">
        <f ca="1">IFERROR(__xludf.DUMMYFUNCTION("""COMPUTED_VALUE"""),638)</f>
        <v>638</v>
      </c>
      <c r="V124" s="1">
        <f ca="1">IFERROR(__xludf.DUMMYFUNCTION("""COMPUTED_VALUE"""),0.304)</f>
        <v>0.30399999999999999</v>
      </c>
      <c r="W124" s="1">
        <f ca="1">IFERROR(__xludf.DUMMYFUNCTION("""COMPUTED_VALUE"""),560)</f>
        <v>560</v>
      </c>
      <c r="X124" s="1">
        <f ca="1">IFERROR(__xludf.DUMMYFUNCTION("""COMPUTED_VALUE"""),859)</f>
        <v>859</v>
      </c>
      <c r="Y124" s="1">
        <f ca="1">IFERROR(__xludf.DUMMYFUNCTION("""COMPUTED_VALUE"""),0.652)</f>
        <v>0.65200000000000002</v>
      </c>
      <c r="Z124" s="1">
        <f ca="1">IFERROR(__xludf.DUMMYFUNCTION("""COMPUTED_VALUE"""),416)</f>
        <v>416</v>
      </c>
      <c r="AA124" s="1">
        <f ca="1">IFERROR(__xludf.DUMMYFUNCTION("""COMPUTED_VALUE"""),1292)</f>
        <v>1292</v>
      </c>
      <c r="AB124" s="1">
        <f ca="1">IFERROR(__xludf.DUMMYFUNCTION("""COMPUTED_VALUE"""),372)</f>
        <v>372</v>
      </c>
      <c r="AC124" s="1">
        <f ca="1">IFERROR(__xludf.DUMMYFUNCTION("""COMPUTED_VALUE"""),235)</f>
        <v>235</v>
      </c>
      <c r="AD124" s="1">
        <f ca="1">IFERROR(__xludf.DUMMYFUNCTION("""COMPUTED_VALUE"""),141)</f>
        <v>141</v>
      </c>
      <c r="AE124" s="1">
        <f ca="1">IFERROR(__xludf.DUMMYFUNCTION("""COMPUTED_VALUE"""),494)</f>
        <v>494</v>
      </c>
      <c r="AF124" s="1">
        <f ca="1">IFERROR(__xludf.DUMMYFUNCTION("""COMPUTED_VALUE"""),752)</f>
        <v>752</v>
      </c>
    </row>
    <row r="125" spans="1:32" ht="12.5" x14ac:dyDescent="0.25">
      <c r="A125" s="1" t="str">
        <f ca="1">IFERROR(__xludf.DUMMYFUNCTION("""COMPUTED_VALUE"""),"Hartford")</f>
        <v>Hartford</v>
      </c>
      <c r="B125" s="1">
        <f ca="1">IFERROR(__xludf.DUMMYFUNCTION("""COMPUTED_VALUE"""),30)</f>
        <v>30</v>
      </c>
      <c r="C125" s="1">
        <f ca="1">IFERROR(__xludf.DUMMYFUNCTION("""COMPUTED_VALUE"""),14)</f>
        <v>14</v>
      </c>
      <c r="D125" s="1">
        <f ca="1">IFERROR(__xludf.DUMMYFUNCTION("""COMPUTED_VALUE"""),16)</f>
        <v>16</v>
      </c>
      <c r="E125" s="1">
        <f ca="1">IFERROR(__xludf.DUMMYFUNCTION("""COMPUTED_VALUE"""),0.467)</f>
        <v>0.46700000000000003</v>
      </c>
      <c r="F125" s="1">
        <f ca="1">IFERROR(__xludf.DUMMYFUNCTION("""COMPUTED_VALUE"""),-8.58)</f>
        <v>-8.58</v>
      </c>
      <c r="G125" s="1">
        <f ca="1">IFERROR(__xludf.DUMMYFUNCTION("""COMPUTED_VALUE"""),-5.16)</f>
        <v>-5.16</v>
      </c>
      <c r="H125" s="1">
        <f ca="1">IFERROR(__xludf.DUMMYFUNCTION("""COMPUTED_VALUE"""),7)</f>
        <v>7</v>
      </c>
      <c r="I125" s="1">
        <f ca="1">IFERROR(__xludf.DUMMYFUNCTION("""COMPUTED_VALUE"""),9)</f>
        <v>9</v>
      </c>
      <c r="J125" s="1">
        <f ca="1">IFERROR(__xludf.DUMMYFUNCTION("""COMPUTED_VALUE"""),7)</f>
        <v>7</v>
      </c>
      <c r="K125" s="1">
        <f ca="1">IFERROR(__xludf.DUMMYFUNCTION("""COMPUTED_VALUE"""),7)</f>
        <v>7</v>
      </c>
      <c r="L125" s="1">
        <f ca="1">IFERROR(__xludf.DUMMYFUNCTION("""COMPUTED_VALUE"""),7)</f>
        <v>7</v>
      </c>
      <c r="M125" s="1">
        <f ca="1">IFERROR(__xludf.DUMMYFUNCTION("""COMPUTED_VALUE"""),8)</f>
        <v>8</v>
      </c>
      <c r="N125" s="1">
        <f ca="1">IFERROR(__xludf.DUMMYFUNCTION("""COMPUTED_VALUE"""),1858)</f>
        <v>1858</v>
      </c>
      <c r="O125" s="1">
        <f ca="1">IFERROR(__xludf.DUMMYFUNCTION("""COMPUTED_VALUE"""),1924)</f>
        <v>1924</v>
      </c>
      <c r="P125" s="1">
        <f ca="1">IFERROR(__xludf.DUMMYFUNCTION("""COMPUTED_VALUE"""),1215)</f>
        <v>1215</v>
      </c>
      <c r="Q125" s="1">
        <f ca="1">IFERROR(__xludf.DUMMYFUNCTION("""COMPUTED_VALUE"""),645)</f>
        <v>645</v>
      </c>
      <c r="R125" s="1">
        <f ca="1">IFERROR(__xludf.DUMMYFUNCTION("""COMPUTED_VALUE"""),1596)</f>
        <v>1596</v>
      </c>
      <c r="S125" s="1">
        <f ca="1">IFERROR(__xludf.DUMMYFUNCTION("""COMPUTED_VALUE"""),0.404)</f>
        <v>0.40400000000000003</v>
      </c>
      <c r="T125" s="1">
        <f ca="1">IFERROR(__xludf.DUMMYFUNCTION("""COMPUTED_VALUE"""),235)</f>
        <v>235</v>
      </c>
      <c r="U125" s="1">
        <f ca="1">IFERROR(__xludf.DUMMYFUNCTION("""COMPUTED_VALUE"""),722)</f>
        <v>722</v>
      </c>
      <c r="V125" s="1">
        <f ca="1">IFERROR(__xludf.DUMMYFUNCTION("""COMPUTED_VALUE"""),0.325)</f>
        <v>0.32500000000000001</v>
      </c>
      <c r="W125" s="1">
        <f ca="1">IFERROR(__xludf.DUMMYFUNCTION("""COMPUTED_VALUE"""),333)</f>
        <v>333</v>
      </c>
      <c r="X125" s="1">
        <f ca="1">IFERROR(__xludf.DUMMYFUNCTION("""COMPUTED_VALUE"""),477)</f>
        <v>477</v>
      </c>
      <c r="Y125" s="1">
        <f ca="1">IFERROR(__xludf.DUMMYFUNCTION("""COMPUTED_VALUE"""),0.698)</f>
        <v>0.69799999999999995</v>
      </c>
      <c r="Z125" s="1">
        <f ca="1">IFERROR(__xludf.DUMMYFUNCTION("""COMPUTED_VALUE"""),264)</f>
        <v>264</v>
      </c>
      <c r="AA125" s="1">
        <f ca="1">IFERROR(__xludf.DUMMYFUNCTION("""COMPUTED_VALUE"""),936)</f>
        <v>936</v>
      </c>
      <c r="AB125" s="1">
        <f ca="1">IFERROR(__xludf.DUMMYFUNCTION("""COMPUTED_VALUE"""),362)</f>
        <v>362</v>
      </c>
      <c r="AC125" s="1">
        <f ca="1">IFERROR(__xludf.DUMMYFUNCTION("""COMPUTED_VALUE"""),187)</f>
        <v>187</v>
      </c>
      <c r="AD125" s="1">
        <f ca="1">IFERROR(__xludf.DUMMYFUNCTION("""COMPUTED_VALUE"""),48)</f>
        <v>48</v>
      </c>
      <c r="AE125" s="1">
        <f ca="1">IFERROR(__xludf.DUMMYFUNCTION("""COMPUTED_VALUE"""),364)</f>
        <v>364</v>
      </c>
      <c r="AF125" s="1">
        <f ca="1">IFERROR(__xludf.DUMMYFUNCTION("""COMPUTED_VALUE"""),555)</f>
        <v>555</v>
      </c>
    </row>
    <row r="126" spans="1:32" ht="12.5" x14ac:dyDescent="0.25">
      <c r="A126" s="1" t="str">
        <f ca="1">IFERROR(__xludf.DUMMYFUNCTION("""COMPUTED_VALUE"""),"HarvardNCAA")</f>
        <v>HarvardNCAA</v>
      </c>
      <c r="B126" s="1">
        <f ca="1">IFERROR(__xludf.DUMMYFUNCTION("""COMPUTED_VALUE"""),30)</f>
        <v>30</v>
      </c>
      <c r="C126" s="1">
        <f ca="1">IFERROR(__xludf.DUMMYFUNCTION("""COMPUTED_VALUE"""),22)</f>
        <v>22</v>
      </c>
      <c r="D126" s="1">
        <f ca="1">IFERROR(__xludf.DUMMYFUNCTION("""COMPUTED_VALUE"""),8)</f>
        <v>8</v>
      </c>
      <c r="E126" s="1">
        <f ca="1">IFERROR(__xludf.DUMMYFUNCTION("""COMPUTED_VALUE"""),0.733)</f>
        <v>0.73299999999999998</v>
      </c>
      <c r="F126" s="1">
        <f ca="1">IFERROR(__xludf.DUMMYFUNCTION("""COMPUTED_VALUE"""),4.47)</f>
        <v>4.47</v>
      </c>
      <c r="G126" s="1">
        <f ca="1">IFERROR(__xludf.DUMMYFUNCTION("""COMPUTED_VALUE"""),-0.25)</f>
        <v>-0.25</v>
      </c>
      <c r="H126" s="1">
        <f ca="1">IFERROR(__xludf.DUMMYFUNCTION("""COMPUTED_VALUE"""),12)</f>
        <v>12</v>
      </c>
      <c r="I126" s="1">
        <f ca="1">IFERROR(__xludf.DUMMYFUNCTION("""COMPUTED_VALUE"""),3)</f>
        <v>3</v>
      </c>
      <c r="J126" s="1">
        <f ca="1">IFERROR(__xludf.DUMMYFUNCTION("""COMPUTED_VALUE"""),12)</f>
        <v>12</v>
      </c>
      <c r="K126" s="1">
        <f ca="1">IFERROR(__xludf.DUMMYFUNCTION("""COMPUTED_VALUE"""),2)</f>
        <v>2</v>
      </c>
      <c r="L126" s="1">
        <f ca="1">IFERROR(__xludf.DUMMYFUNCTION("""COMPUTED_VALUE"""),9)</f>
        <v>9</v>
      </c>
      <c r="M126" s="1">
        <f ca="1">IFERROR(__xludf.DUMMYFUNCTION("""COMPUTED_VALUE"""),4)</f>
        <v>4</v>
      </c>
      <c r="N126" s="1">
        <f ca="1">IFERROR(__xludf.DUMMYFUNCTION("""COMPUTED_VALUE"""),1926)</f>
        <v>1926</v>
      </c>
      <c r="O126" s="1">
        <f ca="1">IFERROR(__xludf.DUMMYFUNCTION("""COMPUTED_VALUE"""),1727)</f>
        <v>1727</v>
      </c>
      <c r="P126" s="1">
        <f ca="1">IFERROR(__xludf.DUMMYFUNCTION("""COMPUTED_VALUE"""),1220)</f>
        <v>1220</v>
      </c>
      <c r="Q126" s="1">
        <f ca="1">IFERROR(__xludf.DUMMYFUNCTION("""COMPUTED_VALUE"""),671)</f>
        <v>671</v>
      </c>
      <c r="R126" s="1">
        <f ca="1">IFERROR(__xludf.DUMMYFUNCTION("""COMPUTED_VALUE"""),1548)</f>
        <v>1548</v>
      </c>
      <c r="S126" s="1">
        <f ca="1">IFERROR(__xludf.DUMMYFUNCTION("""COMPUTED_VALUE"""),0.433)</f>
        <v>0.433</v>
      </c>
      <c r="T126" s="1">
        <f ca="1">IFERROR(__xludf.DUMMYFUNCTION("""COMPUTED_VALUE"""),146)</f>
        <v>146</v>
      </c>
      <c r="U126" s="1">
        <f ca="1">IFERROR(__xludf.DUMMYFUNCTION("""COMPUTED_VALUE"""),412)</f>
        <v>412</v>
      </c>
      <c r="V126" s="1">
        <f ca="1">IFERROR(__xludf.DUMMYFUNCTION("""COMPUTED_VALUE"""),0.354)</f>
        <v>0.35399999999999998</v>
      </c>
      <c r="W126" s="1">
        <f ca="1">IFERROR(__xludf.DUMMYFUNCTION("""COMPUTED_VALUE"""),438)</f>
        <v>438</v>
      </c>
      <c r="X126" s="1">
        <f ca="1">IFERROR(__xludf.DUMMYFUNCTION("""COMPUTED_VALUE"""),609)</f>
        <v>609</v>
      </c>
      <c r="Y126" s="1">
        <f ca="1">IFERROR(__xludf.DUMMYFUNCTION("""COMPUTED_VALUE"""),0.719)</f>
        <v>0.71899999999999997</v>
      </c>
      <c r="Z126" s="1">
        <f ca="1">IFERROR(__xludf.DUMMYFUNCTION("""COMPUTED_VALUE"""),316)</f>
        <v>316</v>
      </c>
      <c r="AA126" s="1">
        <f ca="1">IFERROR(__xludf.DUMMYFUNCTION("""COMPUTED_VALUE"""),1025)</f>
        <v>1025</v>
      </c>
      <c r="AB126" s="1">
        <f ca="1">IFERROR(__xludf.DUMMYFUNCTION("""COMPUTED_VALUE"""),384)</f>
        <v>384</v>
      </c>
      <c r="AC126" s="1">
        <f ca="1">IFERROR(__xludf.DUMMYFUNCTION("""COMPUTED_VALUE"""),213)</f>
        <v>213</v>
      </c>
      <c r="AD126" s="1">
        <f ca="1">IFERROR(__xludf.DUMMYFUNCTION("""COMPUTED_VALUE"""),135)</f>
        <v>135</v>
      </c>
      <c r="AE126" s="1">
        <f ca="1">IFERROR(__xludf.DUMMYFUNCTION("""COMPUTED_VALUE"""),349)</f>
        <v>349</v>
      </c>
      <c r="AF126" s="1">
        <f ca="1">IFERROR(__xludf.DUMMYFUNCTION("""COMPUTED_VALUE"""),472)</f>
        <v>472</v>
      </c>
    </row>
    <row r="127" spans="1:32" ht="12.5" x14ac:dyDescent="0.25">
      <c r="A127" s="1" t="str">
        <f ca="1">IFERROR(__xludf.DUMMYFUNCTION("""COMPUTED_VALUE"""),"Hawaii")</f>
        <v>Hawaii</v>
      </c>
      <c r="B127" s="1">
        <f ca="1">IFERROR(__xludf.DUMMYFUNCTION("""COMPUTED_VALUE"""),35)</f>
        <v>35</v>
      </c>
      <c r="C127" s="1">
        <f ca="1">IFERROR(__xludf.DUMMYFUNCTION("""COMPUTED_VALUE"""),22)</f>
        <v>22</v>
      </c>
      <c r="D127" s="1">
        <f ca="1">IFERROR(__xludf.DUMMYFUNCTION("""COMPUTED_VALUE"""),13)</f>
        <v>13</v>
      </c>
      <c r="E127" s="1">
        <f ca="1">IFERROR(__xludf.DUMMYFUNCTION("""COMPUTED_VALUE"""),0.629)</f>
        <v>0.629</v>
      </c>
      <c r="F127" s="1">
        <f ca="1">IFERROR(__xludf.DUMMYFUNCTION("""COMPUTED_VALUE"""),2.65)</f>
        <v>2.65</v>
      </c>
      <c r="G127" s="1">
        <f ca="1">IFERROR(__xludf.DUMMYFUNCTION("""COMPUTED_VALUE"""),-0.83)</f>
        <v>-0.83</v>
      </c>
      <c r="H127" s="1">
        <f ca="1">IFERROR(__xludf.DUMMYFUNCTION("""COMPUTED_VALUE"""),8)</f>
        <v>8</v>
      </c>
      <c r="I127" s="1">
        <f ca="1">IFERROR(__xludf.DUMMYFUNCTION("""COMPUTED_VALUE"""),8)</f>
        <v>8</v>
      </c>
      <c r="J127" s="1">
        <f ca="1">IFERROR(__xludf.DUMMYFUNCTION("""COMPUTED_VALUE"""),13)</f>
        <v>13</v>
      </c>
      <c r="K127" s="1">
        <f ca="1">IFERROR(__xludf.DUMMYFUNCTION("""COMPUTED_VALUE"""),5)</f>
        <v>5</v>
      </c>
      <c r="L127" s="1">
        <f ca="1">IFERROR(__xludf.DUMMYFUNCTION("""COMPUTED_VALUE"""),3)</f>
        <v>3</v>
      </c>
      <c r="M127" s="1">
        <f ca="1">IFERROR(__xludf.DUMMYFUNCTION("""COMPUTED_VALUE"""),5)</f>
        <v>5</v>
      </c>
      <c r="N127" s="1">
        <f ca="1">IFERROR(__xludf.DUMMYFUNCTION("""COMPUTED_VALUE"""),2551)</f>
        <v>2551</v>
      </c>
      <c r="O127" s="1">
        <f ca="1">IFERROR(__xludf.DUMMYFUNCTION("""COMPUTED_VALUE"""),2387)</f>
        <v>2387</v>
      </c>
      <c r="P127" s="1">
        <f ca="1">IFERROR(__xludf.DUMMYFUNCTION("""COMPUTED_VALUE"""),1410)</f>
        <v>1410</v>
      </c>
      <c r="Q127" s="1">
        <f ca="1">IFERROR(__xludf.DUMMYFUNCTION("""COMPUTED_VALUE"""),901)</f>
        <v>901</v>
      </c>
      <c r="R127" s="1">
        <f ca="1">IFERROR(__xludf.DUMMYFUNCTION("""COMPUTED_VALUE"""),2056)</f>
        <v>2056</v>
      </c>
      <c r="S127" s="1">
        <f ca="1">IFERROR(__xludf.DUMMYFUNCTION("""COMPUTED_VALUE"""),0.438)</f>
        <v>0.438</v>
      </c>
      <c r="T127" s="1">
        <f ca="1">IFERROR(__xludf.DUMMYFUNCTION("""COMPUTED_VALUE"""),226)</f>
        <v>226</v>
      </c>
      <c r="U127" s="1">
        <f ca="1">IFERROR(__xludf.DUMMYFUNCTION("""COMPUTED_VALUE"""),702)</f>
        <v>702</v>
      </c>
      <c r="V127" s="1">
        <f ca="1">IFERROR(__xludf.DUMMYFUNCTION("""COMPUTED_VALUE"""),0.322)</f>
        <v>0.32200000000000001</v>
      </c>
      <c r="W127" s="1">
        <f ca="1">IFERROR(__xludf.DUMMYFUNCTION("""COMPUTED_VALUE"""),523)</f>
        <v>523</v>
      </c>
      <c r="X127" s="1">
        <f ca="1">IFERROR(__xludf.DUMMYFUNCTION("""COMPUTED_VALUE"""),762)</f>
        <v>762</v>
      </c>
      <c r="Y127" s="1">
        <f ca="1">IFERROR(__xludf.DUMMYFUNCTION("""COMPUTED_VALUE"""),0.686)</f>
        <v>0.68600000000000005</v>
      </c>
      <c r="Z127" s="1">
        <f ca="1">IFERROR(__xludf.DUMMYFUNCTION("""COMPUTED_VALUE"""),421)</f>
        <v>421</v>
      </c>
      <c r="AA127" s="1">
        <f ca="1">IFERROR(__xludf.DUMMYFUNCTION("""COMPUTED_VALUE"""),1231)</f>
        <v>1231</v>
      </c>
      <c r="AB127" s="1">
        <f ca="1">IFERROR(__xludf.DUMMYFUNCTION("""COMPUTED_VALUE"""),465)</f>
        <v>465</v>
      </c>
      <c r="AC127" s="1">
        <f ca="1">IFERROR(__xludf.DUMMYFUNCTION("""COMPUTED_VALUE"""),337)</f>
        <v>337</v>
      </c>
      <c r="AD127" s="1">
        <f ca="1">IFERROR(__xludf.DUMMYFUNCTION("""COMPUTED_VALUE"""),139)</f>
        <v>139</v>
      </c>
      <c r="AE127" s="1">
        <f ca="1">IFERROR(__xludf.DUMMYFUNCTION("""COMPUTED_VALUE"""),467)</f>
        <v>467</v>
      </c>
      <c r="AF127" s="1">
        <f ca="1">IFERROR(__xludf.DUMMYFUNCTION("""COMPUTED_VALUE"""),712)</f>
        <v>712</v>
      </c>
    </row>
    <row r="128" spans="1:32" ht="12.5" x14ac:dyDescent="0.25">
      <c r="A128" s="1" t="str">
        <f ca="1">IFERROR(__xludf.DUMMYFUNCTION("""COMPUTED_VALUE"""),"High Point")</f>
        <v>High Point</v>
      </c>
      <c r="B128" s="1">
        <f ca="1">IFERROR(__xludf.DUMMYFUNCTION("""COMPUTED_VALUE"""),33)</f>
        <v>33</v>
      </c>
      <c r="C128" s="1">
        <f ca="1">IFERROR(__xludf.DUMMYFUNCTION("""COMPUTED_VALUE"""),23)</f>
        <v>23</v>
      </c>
      <c r="D128" s="1">
        <f ca="1">IFERROR(__xludf.DUMMYFUNCTION("""COMPUTED_VALUE"""),10)</f>
        <v>10</v>
      </c>
      <c r="E128" s="1">
        <f ca="1">IFERROR(__xludf.DUMMYFUNCTION("""COMPUTED_VALUE"""),0.697)</f>
        <v>0.69699999999999995</v>
      </c>
      <c r="F128" s="1">
        <f ca="1">IFERROR(__xludf.DUMMYFUNCTION("""COMPUTED_VALUE"""),-2.47)</f>
        <v>-2.4700000000000002</v>
      </c>
      <c r="G128" s="1">
        <f ca="1">IFERROR(__xludf.DUMMYFUNCTION("""COMPUTED_VALUE"""),-4.61)</f>
        <v>-4.6100000000000003</v>
      </c>
      <c r="H128" s="1">
        <f ca="1">IFERROR(__xludf.DUMMYFUNCTION("""COMPUTED_VALUE"""),13)</f>
        <v>13</v>
      </c>
      <c r="I128" s="1">
        <f ca="1">IFERROR(__xludf.DUMMYFUNCTION("""COMPUTED_VALUE"""),5)</f>
        <v>5</v>
      </c>
      <c r="J128" s="1">
        <f ca="1">IFERROR(__xludf.DUMMYFUNCTION("""COMPUTED_VALUE"""),12)</f>
        <v>12</v>
      </c>
      <c r="K128" s="1">
        <f ca="1">IFERROR(__xludf.DUMMYFUNCTION("""COMPUTED_VALUE"""),2)</f>
        <v>2</v>
      </c>
      <c r="L128" s="1">
        <f ca="1">IFERROR(__xludf.DUMMYFUNCTION("""COMPUTED_VALUE"""),9)</f>
        <v>9</v>
      </c>
      <c r="M128" s="1">
        <f ca="1">IFERROR(__xludf.DUMMYFUNCTION("""COMPUTED_VALUE"""),7)</f>
        <v>7</v>
      </c>
      <c r="N128" s="1">
        <f ca="1">IFERROR(__xludf.DUMMYFUNCTION("""COMPUTED_VALUE"""),2407)</f>
        <v>2407</v>
      </c>
      <c r="O128" s="1">
        <f ca="1">IFERROR(__xludf.DUMMYFUNCTION("""COMPUTED_VALUE"""),2231)</f>
        <v>2231</v>
      </c>
      <c r="P128" s="1">
        <f ca="1">IFERROR(__xludf.DUMMYFUNCTION("""COMPUTED_VALUE"""),1370)</f>
        <v>1370</v>
      </c>
      <c r="Q128" s="1">
        <f ca="1">IFERROR(__xludf.DUMMYFUNCTION("""COMPUTED_VALUE"""),862)</f>
        <v>862</v>
      </c>
      <c r="R128" s="1">
        <f ca="1">IFERROR(__xludf.DUMMYFUNCTION("""COMPUTED_VALUE"""),1816)</f>
        <v>1816</v>
      </c>
      <c r="S128" s="1">
        <f ca="1">IFERROR(__xludf.DUMMYFUNCTION("""COMPUTED_VALUE"""),0.475)</f>
        <v>0.47499999999999998</v>
      </c>
      <c r="T128" s="1">
        <f ca="1">IFERROR(__xludf.DUMMYFUNCTION("""COMPUTED_VALUE"""),206)</f>
        <v>206</v>
      </c>
      <c r="U128" s="1">
        <f ca="1">IFERROR(__xludf.DUMMYFUNCTION("""COMPUTED_VALUE"""),535)</f>
        <v>535</v>
      </c>
      <c r="V128" s="1">
        <f ca="1">IFERROR(__xludf.DUMMYFUNCTION("""COMPUTED_VALUE"""),0.385)</f>
        <v>0.38500000000000001</v>
      </c>
      <c r="W128" s="1">
        <f ca="1">IFERROR(__xludf.DUMMYFUNCTION("""COMPUTED_VALUE"""),477)</f>
        <v>477</v>
      </c>
      <c r="X128" s="1">
        <f ca="1">IFERROR(__xludf.DUMMYFUNCTION("""COMPUTED_VALUE"""),649)</f>
        <v>649</v>
      </c>
      <c r="Y128" s="1">
        <f ca="1">IFERROR(__xludf.DUMMYFUNCTION("""COMPUTED_VALUE"""),0.735)</f>
        <v>0.73499999999999999</v>
      </c>
      <c r="Z128" s="1">
        <f ca="1">IFERROR(__xludf.DUMMYFUNCTION("""COMPUTED_VALUE"""),323)</f>
        <v>323</v>
      </c>
      <c r="AA128" s="1">
        <f ca="1">IFERROR(__xludf.DUMMYFUNCTION("""COMPUTED_VALUE"""),1086)</f>
        <v>1086</v>
      </c>
      <c r="AB128" s="1">
        <f ca="1">IFERROR(__xludf.DUMMYFUNCTION("""COMPUTED_VALUE"""),487)</f>
        <v>487</v>
      </c>
      <c r="AC128" s="1">
        <f ca="1">IFERROR(__xludf.DUMMYFUNCTION("""COMPUTED_VALUE"""),206)</f>
        <v>206</v>
      </c>
      <c r="AD128" s="1">
        <f ca="1">IFERROR(__xludf.DUMMYFUNCTION("""COMPUTED_VALUE"""),94)</f>
        <v>94</v>
      </c>
      <c r="AE128" s="1">
        <f ca="1">IFERROR(__xludf.DUMMYFUNCTION("""COMPUTED_VALUE"""),376)</f>
        <v>376</v>
      </c>
      <c r="AF128" s="1">
        <f ca="1">IFERROR(__xludf.DUMMYFUNCTION("""COMPUTED_VALUE"""),515)</f>
        <v>515</v>
      </c>
    </row>
    <row r="129" spans="1:32" ht="12.5" x14ac:dyDescent="0.25">
      <c r="A129" s="1" t="str">
        <f ca="1">IFERROR(__xludf.DUMMYFUNCTION("""COMPUTED_VALUE"""),"Hofstra")</f>
        <v>Hofstra</v>
      </c>
      <c r="B129" s="1">
        <f ca="1">IFERROR(__xludf.DUMMYFUNCTION("""COMPUTED_VALUE"""),34)</f>
        <v>34</v>
      </c>
      <c r="C129" s="1">
        <f ca="1">IFERROR(__xludf.DUMMYFUNCTION("""COMPUTED_VALUE"""),20)</f>
        <v>20</v>
      </c>
      <c r="D129" s="1">
        <f ca="1">IFERROR(__xludf.DUMMYFUNCTION("""COMPUTED_VALUE"""),14)</f>
        <v>14</v>
      </c>
      <c r="E129" s="1">
        <f ca="1">IFERROR(__xludf.DUMMYFUNCTION("""COMPUTED_VALUE"""),0.588)</f>
        <v>0.58799999999999997</v>
      </c>
      <c r="F129" s="1">
        <f ca="1">IFERROR(__xludf.DUMMYFUNCTION("""COMPUTED_VALUE"""),3.78)</f>
        <v>3.78</v>
      </c>
      <c r="G129" s="1">
        <f ca="1">IFERROR(__xludf.DUMMYFUNCTION("""COMPUTED_VALUE"""),-4.46)</f>
        <v>-4.46</v>
      </c>
      <c r="H129" s="1">
        <f ca="1">IFERROR(__xludf.DUMMYFUNCTION("""COMPUTED_VALUE"""),10)</f>
        <v>10</v>
      </c>
      <c r="I129" s="1">
        <f ca="1">IFERROR(__xludf.DUMMYFUNCTION("""COMPUTED_VALUE"""),8)</f>
        <v>8</v>
      </c>
      <c r="J129" s="1">
        <f ca="1">IFERROR(__xludf.DUMMYFUNCTION("""COMPUTED_VALUE"""),8)</f>
        <v>8</v>
      </c>
      <c r="K129" s="1">
        <f ca="1">IFERROR(__xludf.DUMMYFUNCTION("""COMPUTED_VALUE"""),7)</f>
        <v>7</v>
      </c>
      <c r="L129" s="1">
        <f ca="1">IFERROR(__xludf.DUMMYFUNCTION("""COMPUTED_VALUE"""),10)</f>
        <v>10</v>
      </c>
      <c r="M129" s="1">
        <f ca="1">IFERROR(__xludf.DUMMYFUNCTION("""COMPUTED_VALUE"""),6)</f>
        <v>6</v>
      </c>
      <c r="N129" s="1">
        <f ca="1">IFERROR(__xludf.DUMMYFUNCTION("""COMPUTED_VALUE"""),2668)</f>
        <v>2668</v>
      </c>
      <c r="O129" s="1">
        <f ca="1">IFERROR(__xludf.DUMMYFUNCTION("""COMPUTED_VALUE"""),2388)</f>
        <v>2388</v>
      </c>
      <c r="P129" s="1">
        <f ca="1">IFERROR(__xludf.DUMMYFUNCTION("""COMPUTED_VALUE"""),1370)</f>
        <v>1370</v>
      </c>
      <c r="Q129" s="1">
        <f ca="1">IFERROR(__xludf.DUMMYFUNCTION("""COMPUTED_VALUE"""),902)</f>
        <v>902</v>
      </c>
      <c r="R129" s="1">
        <f ca="1">IFERROR(__xludf.DUMMYFUNCTION("""COMPUTED_VALUE"""),2013)</f>
        <v>2013</v>
      </c>
      <c r="S129" s="1">
        <f ca="1">IFERROR(__xludf.DUMMYFUNCTION("""COMPUTED_VALUE"""),0.448)</f>
        <v>0.44800000000000001</v>
      </c>
      <c r="T129" s="1">
        <f ca="1">IFERROR(__xludf.DUMMYFUNCTION("""COMPUTED_VALUE"""),303)</f>
        <v>303</v>
      </c>
      <c r="U129" s="1">
        <f ca="1">IFERROR(__xludf.DUMMYFUNCTION("""COMPUTED_VALUE"""),837)</f>
        <v>837</v>
      </c>
      <c r="V129" s="1">
        <f ca="1">IFERROR(__xludf.DUMMYFUNCTION("""COMPUTED_VALUE"""),0.362)</f>
        <v>0.36199999999999999</v>
      </c>
      <c r="W129" s="1">
        <f ca="1">IFERROR(__xludf.DUMMYFUNCTION("""COMPUTED_VALUE"""),561)</f>
        <v>561</v>
      </c>
      <c r="X129" s="1">
        <f ca="1">IFERROR(__xludf.DUMMYFUNCTION("""COMPUTED_VALUE"""),801)</f>
        <v>801</v>
      </c>
      <c r="Y129" s="1">
        <f ca="1">IFERROR(__xludf.DUMMYFUNCTION("""COMPUTED_VALUE"""),0.7)</f>
        <v>0.7</v>
      </c>
      <c r="Z129" s="1">
        <f ca="1">IFERROR(__xludf.DUMMYFUNCTION("""COMPUTED_VALUE"""),402)</f>
        <v>402</v>
      </c>
      <c r="AA129" s="1">
        <f ca="1">IFERROR(__xludf.DUMMYFUNCTION("""COMPUTED_VALUE"""),1240)</f>
        <v>1240</v>
      </c>
      <c r="AB129" s="1">
        <f ca="1">IFERROR(__xludf.DUMMYFUNCTION("""COMPUTED_VALUE"""),525)</f>
        <v>525</v>
      </c>
      <c r="AC129" s="1">
        <f ca="1">IFERROR(__xludf.DUMMYFUNCTION("""COMPUTED_VALUE"""),254)</f>
        <v>254</v>
      </c>
      <c r="AD129" s="1">
        <f ca="1">IFERROR(__xludf.DUMMYFUNCTION("""COMPUTED_VALUE"""),90)</f>
        <v>90</v>
      </c>
      <c r="AE129" s="1">
        <f ca="1">IFERROR(__xludf.DUMMYFUNCTION("""COMPUTED_VALUE"""),379)</f>
        <v>379</v>
      </c>
      <c r="AF129" s="1">
        <f ca="1">IFERROR(__xludf.DUMMYFUNCTION("""COMPUTED_VALUE"""),650)</f>
        <v>650</v>
      </c>
    </row>
    <row r="130" spans="1:32" ht="12.5" x14ac:dyDescent="0.25">
      <c r="A130" s="1" t="str">
        <f ca="1">IFERROR(__xludf.DUMMYFUNCTION("""COMPUTED_VALUE"""),"Holy Cross")</f>
        <v>Holy Cross</v>
      </c>
      <c r="B130" s="1">
        <f ca="1">IFERROR(__xludf.DUMMYFUNCTION("""COMPUTED_VALUE"""),30)</f>
        <v>30</v>
      </c>
      <c r="C130" s="1">
        <f ca="1">IFERROR(__xludf.DUMMYFUNCTION("""COMPUTED_VALUE"""),14)</f>
        <v>14</v>
      </c>
      <c r="D130" s="1">
        <f ca="1">IFERROR(__xludf.DUMMYFUNCTION("""COMPUTED_VALUE"""),16)</f>
        <v>16</v>
      </c>
      <c r="E130" s="1">
        <f ca="1">IFERROR(__xludf.DUMMYFUNCTION("""COMPUTED_VALUE"""),0.467)</f>
        <v>0.46700000000000003</v>
      </c>
      <c r="F130" s="1">
        <f ca="1">IFERROR(__xludf.DUMMYFUNCTION("""COMPUTED_VALUE"""),-6.23)</f>
        <v>-6.23</v>
      </c>
      <c r="G130" s="1">
        <f ca="1">IFERROR(__xludf.DUMMYFUNCTION("""COMPUTED_VALUE"""),-3.82)</f>
        <v>-3.82</v>
      </c>
      <c r="H130" s="1">
        <f ca="1">IFERROR(__xludf.DUMMYFUNCTION("""COMPUTED_VALUE"""),8)</f>
        <v>8</v>
      </c>
      <c r="I130" s="1">
        <f ca="1">IFERROR(__xludf.DUMMYFUNCTION("""COMPUTED_VALUE"""),10)</f>
        <v>10</v>
      </c>
      <c r="J130" s="1">
        <f ca="1">IFERROR(__xludf.DUMMYFUNCTION("""COMPUTED_VALUE"""),10)</f>
        <v>10</v>
      </c>
      <c r="K130" s="1">
        <f ca="1">IFERROR(__xludf.DUMMYFUNCTION("""COMPUTED_VALUE"""),4)</f>
        <v>4</v>
      </c>
      <c r="L130" s="1">
        <f ca="1">IFERROR(__xludf.DUMMYFUNCTION("""COMPUTED_VALUE"""),3)</f>
        <v>3</v>
      </c>
      <c r="M130" s="1">
        <f ca="1">IFERROR(__xludf.DUMMYFUNCTION("""COMPUTED_VALUE"""),12)</f>
        <v>12</v>
      </c>
      <c r="N130" s="1">
        <f ca="1">IFERROR(__xludf.DUMMYFUNCTION("""COMPUTED_VALUE"""),1981)</f>
        <v>1981</v>
      </c>
      <c r="O130" s="1">
        <f ca="1">IFERROR(__xludf.DUMMYFUNCTION("""COMPUTED_VALUE"""),2020)</f>
        <v>2020</v>
      </c>
      <c r="P130" s="1">
        <f ca="1">IFERROR(__xludf.DUMMYFUNCTION("""COMPUTED_VALUE"""),1220)</f>
        <v>1220</v>
      </c>
      <c r="Q130" s="1">
        <f ca="1">IFERROR(__xludf.DUMMYFUNCTION("""COMPUTED_VALUE"""),692)</f>
        <v>692</v>
      </c>
      <c r="R130" s="1">
        <f ca="1">IFERROR(__xludf.DUMMYFUNCTION("""COMPUTED_VALUE"""),1643)</f>
        <v>1643</v>
      </c>
      <c r="S130" s="1">
        <f ca="1">IFERROR(__xludf.DUMMYFUNCTION("""COMPUTED_VALUE"""),0.421)</f>
        <v>0.42099999999999999</v>
      </c>
      <c r="T130" s="1">
        <f ca="1">IFERROR(__xludf.DUMMYFUNCTION("""COMPUTED_VALUE"""),189)</f>
        <v>189</v>
      </c>
      <c r="U130" s="1">
        <f ca="1">IFERROR(__xludf.DUMMYFUNCTION("""COMPUTED_VALUE"""),557)</f>
        <v>557</v>
      </c>
      <c r="V130" s="1">
        <f ca="1">IFERROR(__xludf.DUMMYFUNCTION("""COMPUTED_VALUE"""),0.339)</f>
        <v>0.33900000000000002</v>
      </c>
      <c r="W130" s="1">
        <f ca="1">IFERROR(__xludf.DUMMYFUNCTION("""COMPUTED_VALUE"""),406)</f>
        <v>406</v>
      </c>
      <c r="X130" s="1">
        <f ca="1">IFERROR(__xludf.DUMMYFUNCTION("""COMPUTED_VALUE"""),568)</f>
        <v>568</v>
      </c>
      <c r="Y130" s="1">
        <f ca="1">IFERROR(__xludf.DUMMYFUNCTION("""COMPUTED_VALUE"""),0.715)</f>
        <v>0.71499999999999997</v>
      </c>
      <c r="Z130" s="1">
        <f ca="1">IFERROR(__xludf.DUMMYFUNCTION("""COMPUTED_VALUE"""),305)</f>
        <v>305</v>
      </c>
      <c r="AA130" s="1">
        <f ca="1">IFERROR(__xludf.DUMMYFUNCTION("""COMPUTED_VALUE"""),930)</f>
        <v>930</v>
      </c>
      <c r="AB130" s="1">
        <f ca="1">IFERROR(__xludf.DUMMYFUNCTION("""COMPUTED_VALUE"""),334)</f>
        <v>334</v>
      </c>
      <c r="AC130" s="1">
        <f ca="1">IFERROR(__xludf.DUMMYFUNCTION("""COMPUTED_VALUE"""),228)</f>
        <v>228</v>
      </c>
      <c r="AD130" s="1">
        <f ca="1">IFERROR(__xludf.DUMMYFUNCTION("""COMPUTED_VALUE"""),143)</f>
        <v>143</v>
      </c>
      <c r="AE130" s="1">
        <f ca="1">IFERROR(__xludf.DUMMYFUNCTION("""COMPUTED_VALUE"""),328)</f>
        <v>328</v>
      </c>
      <c r="AF130" s="1">
        <f ca="1">IFERROR(__xludf.DUMMYFUNCTION("""COMPUTED_VALUE"""),582)</f>
        <v>582</v>
      </c>
    </row>
    <row r="131" spans="1:32" ht="12.5" x14ac:dyDescent="0.25">
      <c r="A131" s="1" t="str">
        <f ca="1">IFERROR(__xludf.DUMMYFUNCTION("""COMPUTED_VALUE"""),"Houston Baptist")</f>
        <v>Houston Baptist</v>
      </c>
      <c r="B131" s="1">
        <f ca="1">IFERROR(__xludf.DUMMYFUNCTION("""COMPUTED_VALUE"""),28)</f>
        <v>28</v>
      </c>
      <c r="C131" s="1">
        <f ca="1">IFERROR(__xludf.DUMMYFUNCTION("""COMPUTED_VALUE"""),12)</f>
        <v>12</v>
      </c>
      <c r="D131" s="1">
        <f ca="1">IFERROR(__xludf.DUMMYFUNCTION("""COMPUTED_VALUE"""),16)</f>
        <v>16</v>
      </c>
      <c r="E131" s="1">
        <f ca="1">IFERROR(__xludf.DUMMYFUNCTION("""COMPUTED_VALUE"""),0.429)</f>
        <v>0.42899999999999999</v>
      </c>
      <c r="F131" s="1">
        <f ca="1">IFERROR(__xludf.DUMMYFUNCTION("""COMPUTED_VALUE"""),-13.18)</f>
        <v>-13.18</v>
      </c>
      <c r="G131" s="1">
        <f ca="1">IFERROR(__xludf.DUMMYFUNCTION("""COMPUTED_VALUE"""),-5.63)</f>
        <v>-5.63</v>
      </c>
      <c r="H131" s="1">
        <f ca="1">IFERROR(__xludf.DUMMYFUNCTION("""COMPUTED_VALUE"""),7)</f>
        <v>7</v>
      </c>
      <c r="I131" s="1">
        <f ca="1">IFERROR(__xludf.DUMMYFUNCTION("""COMPUTED_VALUE"""),11)</f>
        <v>11</v>
      </c>
      <c r="J131" s="1">
        <f ca="1">IFERROR(__xludf.DUMMYFUNCTION("""COMPUTED_VALUE"""),10)</f>
        <v>10</v>
      </c>
      <c r="K131" s="1">
        <f ca="1">IFERROR(__xludf.DUMMYFUNCTION("""COMPUTED_VALUE"""),3)</f>
        <v>3</v>
      </c>
      <c r="L131" s="1">
        <f ca="1">IFERROR(__xludf.DUMMYFUNCTION("""COMPUTED_VALUE"""),2)</f>
        <v>2</v>
      </c>
      <c r="M131" s="1">
        <f ca="1">IFERROR(__xludf.DUMMYFUNCTION("""COMPUTED_VALUE"""),13)</f>
        <v>13</v>
      </c>
      <c r="N131" s="1">
        <f ca="1">IFERROR(__xludf.DUMMYFUNCTION("""COMPUTED_VALUE"""),2028)</f>
        <v>2028</v>
      </c>
      <c r="O131" s="1">
        <f ca="1">IFERROR(__xludf.DUMMYFUNCTION("""COMPUTED_VALUE"""),2063)</f>
        <v>2063</v>
      </c>
      <c r="P131" s="1">
        <f ca="1">IFERROR(__xludf.DUMMYFUNCTION("""COMPUTED_VALUE"""),1126)</f>
        <v>1126</v>
      </c>
      <c r="Q131" s="1">
        <f ca="1">IFERROR(__xludf.DUMMYFUNCTION("""COMPUTED_VALUE"""),728)</f>
        <v>728</v>
      </c>
      <c r="R131" s="1">
        <f ca="1">IFERROR(__xludf.DUMMYFUNCTION("""COMPUTED_VALUE"""),1596)</f>
        <v>1596</v>
      </c>
      <c r="S131" s="1">
        <f ca="1">IFERROR(__xludf.DUMMYFUNCTION("""COMPUTED_VALUE"""),0.456)</f>
        <v>0.45600000000000002</v>
      </c>
      <c r="T131" s="1">
        <f ca="1">IFERROR(__xludf.DUMMYFUNCTION("""COMPUTED_VALUE"""),129)</f>
        <v>129</v>
      </c>
      <c r="U131" s="1">
        <f ca="1">IFERROR(__xludf.DUMMYFUNCTION("""COMPUTED_VALUE"""),399)</f>
        <v>399</v>
      </c>
      <c r="V131" s="1">
        <f ca="1">IFERROR(__xludf.DUMMYFUNCTION("""COMPUTED_VALUE"""),0.323)</f>
        <v>0.32300000000000001</v>
      </c>
      <c r="W131" s="1">
        <f ca="1">IFERROR(__xludf.DUMMYFUNCTION("""COMPUTED_VALUE"""),443)</f>
        <v>443</v>
      </c>
      <c r="X131" s="1">
        <f ca="1">IFERROR(__xludf.DUMMYFUNCTION("""COMPUTED_VALUE"""),611)</f>
        <v>611</v>
      </c>
      <c r="Y131" s="1">
        <f ca="1">IFERROR(__xludf.DUMMYFUNCTION("""COMPUTED_VALUE"""),0.725)</f>
        <v>0.72499999999999998</v>
      </c>
      <c r="Z131" s="1">
        <f ca="1">IFERROR(__xludf.DUMMYFUNCTION("""COMPUTED_VALUE"""),366)</f>
        <v>366</v>
      </c>
      <c r="AA131" s="1">
        <f ca="1">IFERROR(__xludf.DUMMYFUNCTION("""COMPUTED_VALUE"""),1061)</f>
        <v>1061</v>
      </c>
      <c r="AB131" s="1">
        <f ca="1">IFERROR(__xludf.DUMMYFUNCTION("""COMPUTED_VALUE"""),348)</f>
        <v>348</v>
      </c>
      <c r="AC131" s="1">
        <f ca="1">IFERROR(__xludf.DUMMYFUNCTION("""COMPUTED_VALUE"""),166)</f>
        <v>166</v>
      </c>
      <c r="AD131" s="1">
        <f ca="1">IFERROR(__xludf.DUMMYFUNCTION("""COMPUTED_VALUE"""),115)</f>
        <v>115</v>
      </c>
      <c r="AE131" s="1">
        <f ca="1">IFERROR(__xludf.DUMMYFUNCTION("""COMPUTED_VALUE"""),429)</f>
        <v>429</v>
      </c>
      <c r="AF131" s="1">
        <f ca="1">IFERROR(__xludf.DUMMYFUNCTION("""COMPUTED_VALUE"""),585)</f>
        <v>585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IFERROR(__xludf.DUMMYFUNCTION("""COMPUTED_VALUE"""),"Houston")</f>
        <v>Houston</v>
      </c>
      <c r="B134" s="1">
        <f ca="1">IFERROR(__xludf.DUMMYFUNCTION("""COMPUTED_VALUE"""),32)</f>
        <v>32</v>
      </c>
      <c r="C134" s="1">
        <f ca="1">IFERROR(__xludf.DUMMYFUNCTION("""COMPUTED_VALUE"""),13)</f>
        <v>13</v>
      </c>
      <c r="D134" s="1">
        <f ca="1">IFERROR(__xludf.DUMMYFUNCTION("""COMPUTED_VALUE"""),19)</f>
        <v>19</v>
      </c>
      <c r="E134" s="1">
        <f ca="1">IFERROR(__xludf.DUMMYFUNCTION("""COMPUTED_VALUE"""),0.406)</f>
        <v>0.40600000000000003</v>
      </c>
      <c r="F134" s="1">
        <f ca="1">IFERROR(__xludf.DUMMYFUNCTION("""COMPUTED_VALUE"""),-2.06)</f>
        <v>-2.06</v>
      </c>
      <c r="G134" s="1">
        <f ca="1">IFERROR(__xludf.DUMMYFUNCTION("""COMPUTED_VALUE"""),-0.91)</f>
        <v>-0.91</v>
      </c>
      <c r="H134" s="1">
        <f ca="1">IFERROR(__xludf.DUMMYFUNCTION("""COMPUTED_VALUE"""),4)</f>
        <v>4</v>
      </c>
      <c r="I134" s="1">
        <f ca="1">IFERROR(__xludf.DUMMYFUNCTION("""COMPUTED_VALUE"""),14)</f>
        <v>14</v>
      </c>
      <c r="J134" s="1">
        <f ca="1">IFERROR(__xludf.DUMMYFUNCTION("""COMPUTED_VALUE"""),9)</f>
        <v>9</v>
      </c>
      <c r="K134" s="1">
        <f ca="1">IFERROR(__xludf.DUMMYFUNCTION("""COMPUTED_VALUE"""),8)</f>
        <v>8</v>
      </c>
      <c r="L134" s="1">
        <f ca="1">IFERROR(__xludf.DUMMYFUNCTION("""COMPUTED_VALUE"""),2)</f>
        <v>2</v>
      </c>
      <c r="M134" s="1">
        <f ca="1">IFERROR(__xludf.DUMMYFUNCTION("""COMPUTED_VALUE"""),9)</f>
        <v>9</v>
      </c>
      <c r="N134" s="1">
        <f ca="1">IFERROR(__xludf.DUMMYFUNCTION("""COMPUTED_VALUE"""),2060)</f>
        <v>2060</v>
      </c>
      <c r="O134" s="1">
        <f ca="1">IFERROR(__xludf.DUMMYFUNCTION("""COMPUTED_VALUE"""),2097)</f>
        <v>2097</v>
      </c>
      <c r="P134" s="1">
        <f ca="1">IFERROR(__xludf.DUMMYFUNCTION("""COMPUTED_VALUE"""),1300)</f>
        <v>1300</v>
      </c>
      <c r="Q134" s="1">
        <f ca="1">IFERROR(__xludf.DUMMYFUNCTION("""COMPUTED_VALUE"""),705)</f>
        <v>705</v>
      </c>
      <c r="R134" s="1">
        <f ca="1">IFERROR(__xludf.DUMMYFUNCTION("""COMPUTED_VALUE"""),1795)</f>
        <v>1795</v>
      </c>
      <c r="S134" s="1">
        <f ca="1">IFERROR(__xludf.DUMMYFUNCTION("""COMPUTED_VALUE"""),0.393)</f>
        <v>0.39300000000000002</v>
      </c>
      <c r="T134" s="1">
        <f ca="1">IFERROR(__xludf.DUMMYFUNCTION("""COMPUTED_VALUE"""),259)</f>
        <v>259</v>
      </c>
      <c r="U134" s="1">
        <f ca="1">IFERROR(__xludf.DUMMYFUNCTION("""COMPUTED_VALUE"""),809)</f>
        <v>809</v>
      </c>
      <c r="V134" s="1">
        <f ca="1">IFERROR(__xludf.DUMMYFUNCTION("""COMPUTED_VALUE"""),0.32)</f>
        <v>0.32</v>
      </c>
      <c r="W134" s="1">
        <f ca="1">IFERROR(__xludf.DUMMYFUNCTION("""COMPUTED_VALUE"""),391)</f>
        <v>391</v>
      </c>
      <c r="X134" s="1">
        <f ca="1">IFERROR(__xludf.DUMMYFUNCTION("""COMPUTED_VALUE"""),575)</f>
        <v>575</v>
      </c>
      <c r="Y134" s="1">
        <f ca="1">IFERROR(__xludf.DUMMYFUNCTION("""COMPUTED_VALUE"""),0.68)</f>
        <v>0.68</v>
      </c>
      <c r="Z134" s="1">
        <f ca="1">IFERROR(__xludf.DUMMYFUNCTION("""COMPUTED_VALUE"""),403)</f>
        <v>403</v>
      </c>
      <c r="AA134" s="1">
        <f ca="1">IFERROR(__xludf.DUMMYFUNCTION("""COMPUTED_VALUE"""),1129)</f>
        <v>1129</v>
      </c>
      <c r="AB134" s="1">
        <f ca="1">IFERROR(__xludf.DUMMYFUNCTION("""COMPUTED_VALUE"""),376)</f>
        <v>376</v>
      </c>
      <c r="AC134" s="1">
        <f ca="1">IFERROR(__xludf.DUMMYFUNCTION("""COMPUTED_VALUE"""),184)</f>
        <v>184</v>
      </c>
      <c r="AD134" s="1">
        <f ca="1">IFERROR(__xludf.DUMMYFUNCTION("""COMPUTED_VALUE"""),121)</f>
        <v>121</v>
      </c>
      <c r="AE134" s="1">
        <f ca="1">IFERROR(__xludf.DUMMYFUNCTION("""COMPUTED_VALUE"""),425)</f>
        <v>425</v>
      </c>
      <c r="AF134" s="1">
        <f ca="1">IFERROR(__xludf.DUMMYFUNCTION("""COMPUTED_VALUE"""),565)</f>
        <v>565</v>
      </c>
    </row>
    <row r="135" spans="1:32" ht="12.5" x14ac:dyDescent="0.25">
      <c r="A135" s="1" t="str">
        <f ca="1">IFERROR(__xludf.DUMMYFUNCTION("""COMPUTED_VALUE"""),"Howard")</f>
        <v>Howard</v>
      </c>
      <c r="B135" s="1">
        <f ca="1">IFERROR(__xludf.DUMMYFUNCTION("""COMPUTED_VALUE"""),32)</f>
        <v>32</v>
      </c>
      <c r="C135" s="1">
        <f ca="1">IFERROR(__xludf.DUMMYFUNCTION("""COMPUTED_VALUE"""),16)</f>
        <v>16</v>
      </c>
      <c r="D135" s="1">
        <f ca="1">IFERROR(__xludf.DUMMYFUNCTION("""COMPUTED_VALUE"""),16)</f>
        <v>16</v>
      </c>
      <c r="E135" s="1">
        <f ca="1">IFERROR(__xludf.DUMMYFUNCTION("""COMPUTED_VALUE"""),0.5)</f>
        <v>0.5</v>
      </c>
      <c r="F135" s="1">
        <f ca="1">IFERROR(__xludf.DUMMYFUNCTION("""COMPUTED_VALUE"""),-9.89)</f>
        <v>-9.89</v>
      </c>
      <c r="G135" s="1">
        <f ca="1">IFERROR(__xludf.DUMMYFUNCTION("""COMPUTED_VALUE"""),-7.86)</f>
        <v>-7.86</v>
      </c>
      <c r="H135" s="1">
        <f ca="1">IFERROR(__xludf.DUMMYFUNCTION("""COMPUTED_VALUE"""),10)</f>
        <v>10</v>
      </c>
      <c r="I135" s="1">
        <f ca="1">IFERROR(__xludf.DUMMYFUNCTION("""COMPUTED_VALUE"""),6)</f>
        <v>6</v>
      </c>
      <c r="J135" s="1">
        <f ca="1">IFERROR(__xludf.DUMMYFUNCTION("""COMPUTED_VALUE"""),9)</f>
        <v>9</v>
      </c>
      <c r="K135" s="1">
        <f ca="1">IFERROR(__xludf.DUMMYFUNCTION("""COMPUTED_VALUE"""),3)</f>
        <v>3</v>
      </c>
      <c r="L135" s="1">
        <f ca="1">IFERROR(__xludf.DUMMYFUNCTION("""COMPUTED_VALUE"""),7)</f>
        <v>7</v>
      </c>
      <c r="M135" s="1">
        <f ca="1">IFERROR(__xludf.DUMMYFUNCTION("""COMPUTED_VALUE"""),12)</f>
        <v>12</v>
      </c>
      <c r="N135" s="1">
        <f ca="1">IFERROR(__xludf.DUMMYFUNCTION("""COMPUTED_VALUE"""),2032)</f>
        <v>2032</v>
      </c>
      <c r="O135" s="1">
        <f ca="1">IFERROR(__xludf.DUMMYFUNCTION("""COMPUTED_VALUE"""),2004)</f>
        <v>2004</v>
      </c>
      <c r="P135" s="1">
        <f ca="1">IFERROR(__xludf.DUMMYFUNCTION("""COMPUTED_VALUE"""),1300)</f>
        <v>1300</v>
      </c>
      <c r="Q135" s="1">
        <f ca="1">IFERROR(__xludf.DUMMYFUNCTION("""COMPUTED_VALUE"""),695)</f>
        <v>695</v>
      </c>
      <c r="R135" s="1">
        <f ca="1">IFERROR(__xludf.DUMMYFUNCTION("""COMPUTED_VALUE"""),1621)</f>
        <v>1621</v>
      </c>
      <c r="S135" s="1">
        <f ca="1">IFERROR(__xludf.DUMMYFUNCTION("""COMPUTED_VALUE"""),0.429)</f>
        <v>0.42899999999999999</v>
      </c>
      <c r="T135" s="1">
        <f ca="1">IFERROR(__xludf.DUMMYFUNCTION("""COMPUTED_VALUE"""),149)</f>
        <v>149</v>
      </c>
      <c r="U135" s="1">
        <f ca="1">IFERROR(__xludf.DUMMYFUNCTION("""COMPUTED_VALUE"""),501)</f>
        <v>501</v>
      </c>
      <c r="V135" s="1">
        <f ca="1">IFERROR(__xludf.DUMMYFUNCTION("""COMPUTED_VALUE"""),0.297)</f>
        <v>0.29699999999999999</v>
      </c>
      <c r="W135" s="1">
        <f ca="1">IFERROR(__xludf.DUMMYFUNCTION("""COMPUTED_VALUE"""),493)</f>
        <v>493</v>
      </c>
      <c r="X135" s="1">
        <f ca="1">IFERROR(__xludf.DUMMYFUNCTION("""COMPUTED_VALUE"""),705)</f>
        <v>705</v>
      </c>
      <c r="Y135" s="1">
        <f ca="1">IFERROR(__xludf.DUMMYFUNCTION("""COMPUTED_VALUE"""),0.699)</f>
        <v>0.69899999999999995</v>
      </c>
      <c r="Z135" s="1">
        <f ca="1">IFERROR(__xludf.DUMMYFUNCTION("""COMPUTED_VALUE"""),353)</f>
        <v>353</v>
      </c>
      <c r="AA135" s="1">
        <f ca="1">IFERROR(__xludf.DUMMYFUNCTION("""COMPUTED_VALUE"""),1110)</f>
        <v>1110</v>
      </c>
      <c r="AB135" s="1">
        <f ca="1">IFERROR(__xludf.DUMMYFUNCTION("""COMPUTED_VALUE"""),270)</f>
        <v>270</v>
      </c>
      <c r="AC135" s="1">
        <f ca="1">IFERROR(__xludf.DUMMYFUNCTION("""COMPUTED_VALUE"""),242)</f>
        <v>242</v>
      </c>
      <c r="AD135" s="1">
        <f ca="1">IFERROR(__xludf.DUMMYFUNCTION("""COMPUTED_VALUE"""),130)</f>
        <v>130</v>
      </c>
      <c r="AE135" s="1">
        <f ca="1">IFERROR(__xludf.DUMMYFUNCTION("""COMPUTED_VALUE"""),517)</f>
        <v>517</v>
      </c>
      <c r="AF135" s="1">
        <f ca="1">IFERROR(__xludf.DUMMYFUNCTION("""COMPUTED_VALUE"""),596)</f>
        <v>596</v>
      </c>
    </row>
    <row r="136" spans="1:32" ht="12.5" x14ac:dyDescent="0.25">
      <c r="A136" s="1" t="str">
        <f ca="1">IFERROR(__xludf.DUMMYFUNCTION("""COMPUTED_VALUE"""),"Idaho State")</f>
        <v>Idaho State</v>
      </c>
      <c r="B136" s="1">
        <f ca="1">IFERROR(__xludf.DUMMYFUNCTION("""COMPUTED_VALUE"""),30)</f>
        <v>30</v>
      </c>
      <c r="C136" s="1">
        <f ca="1">IFERROR(__xludf.DUMMYFUNCTION("""COMPUTED_VALUE"""),7)</f>
        <v>7</v>
      </c>
      <c r="D136" s="1">
        <f ca="1">IFERROR(__xludf.DUMMYFUNCTION("""COMPUTED_VALUE"""),23)</f>
        <v>23</v>
      </c>
      <c r="E136" s="1">
        <f ca="1">IFERROR(__xludf.DUMMYFUNCTION("""COMPUTED_VALUE"""),0.233)</f>
        <v>0.23300000000000001</v>
      </c>
      <c r="F136" s="1">
        <f ca="1">IFERROR(__xludf.DUMMYFUNCTION("""COMPUTED_VALUE"""),-11.52)</f>
        <v>-11.52</v>
      </c>
      <c r="G136" s="1">
        <f ca="1">IFERROR(__xludf.DUMMYFUNCTION("""COMPUTED_VALUE"""),-5.45)</f>
        <v>-5.45</v>
      </c>
      <c r="H136" s="1">
        <f ca="1">IFERROR(__xludf.DUMMYFUNCTION("""COMPUTED_VALUE"""),4)</f>
        <v>4</v>
      </c>
      <c r="I136" s="1">
        <f ca="1">IFERROR(__xludf.DUMMYFUNCTION("""COMPUTED_VALUE"""),14)</f>
        <v>14</v>
      </c>
      <c r="J136" s="1">
        <f ca="1">IFERROR(__xludf.DUMMYFUNCTION("""COMPUTED_VALUE"""),6)</f>
        <v>6</v>
      </c>
      <c r="K136" s="1">
        <f ca="1">IFERROR(__xludf.DUMMYFUNCTION("""COMPUTED_VALUE"""),7)</f>
        <v>7</v>
      </c>
      <c r="L136" s="1">
        <f ca="1">IFERROR(__xludf.DUMMYFUNCTION("""COMPUTED_VALUE"""),1)</f>
        <v>1</v>
      </c>
      <c r="M136" s="1">
        <f ca="1">IFERROR(__xludf.DUMMYFUNCTION("""COMPUTED_VALUE"""),14)</f>
        <v>14</v>
      </c>
      <c r="N136" s="1">
        <f ca="1">IFERROR(__xludf.DUMMYFUNCTION("""COMPUTED_VALUE"""),1937)</f>
        <v>1937</v>
      </c>
      <c r="O136" s="1">
        <f ca="1">IFERROR(__xludf.DUMMYFUNCTION("""COMPUTED_VALUE"""),2075)</f>
        <v>2075</v>
      </c>
      <c r="P136" s="1">
        <f ca="1">IFERROR(__xludf.DUMMYFUNCTION("""COMPUTED_VALUE"""),1205)</f>
        <v>1205</v>
      </c>
      <c r="Q136" s="1">
        <f ca="1">IFERROR(__xludf.DUMMYFUNCTION("""COMPUTED_VALUE"""),699)</f>
        <v>699</v>
      </c>
      <c r="R136" s="1">
        <f ca="1">IFERROR(__xludf.DUMMYFUNCTION("""COMPUTED_VALUE"""),1588)</f>
        <v>1588</v>
      </c>
      <c r="S136" s="1">
        <f ca="1">IFERROR(__xludf.DUMMYFUNCTION("""COMPUTED_VALUE"""),0.44)</f>
        <v>0.44</v>
      </c>
      <c r="T136" s="1">
        <f ca="1">IFERROR(__xludf.DUMMYFUNCTION("""COMPUTED_VALUE"""),148)</f>
        <v>148</v>
      </c>
      <c r="U136" s="1">
        <f ca="1">IFERROR(__xludf.DUMMYFUNCTION("""COMPUTED_VALUE"""),420)</f>
        <v>420</v>
      </c>
      <c r="V136" s="1">
        <f ca="1">IFERROR(__xludf.DUMMYFUNCTION("""COMPUTED_VALUE"""),0.352)</f>
        <v>0.35199999999999998</v>
      </c>
      <c r="W136" s="1">
        <f ca="1">IFERROR(__xludf.DUMMYFUNCTION("""COMPUTED_VALUE"""),391)</f>
        <v>391</v>
      </c>
      <c r="X136" s="1">
        <f ca="1">IFERROR(__xludf.DUMMYFUNCTION("""COMPUTED_VALUE"""),601)</f>
        <v>601</v>
      </c>
      <c r="Y136" s="1">
        <f ca="1">IFERROR(__xludf.DUMMYFUNCTION("""COMPUTED_VALUE"""),0.651)</f>
        <v>0.65100000000000002</v>
      </c>
      <c r="Z136" s="1">
        <f ca="1">IFERROR(__xludf.DUMMYFUNCTION("""COMPUTED_VALUE"""),302)</f>
        <v>302</v>
      </c>
      <c r="AA136" s="1">
        <f ca="1">IFERROR(__xludf.DUMMYFUNCTION("""COMPUTED_VALUE"""),972)</f>
        <v>972</v>
      </c>
      <c r="AB136" s="1">
        <f ca="1">IFERROR(__xludf.DUMMYFUNCTION("""COMPUTED_VALUE"""),337)</f>
        <v>337</v>
      </c>
      <c r="AC136" s="1">
        <f ca="1">IFERROR(__xludf.DUMMYFUNCTION("""COMPUTED_VALUE"""),207)</f>
        <v>207</v>
      </c>
      <c r="AD136" s="1">
        <f ca="1">IFERROR(__xludf.DUMMYFUNCTION("""COMPUTED_VALUE"""),77)</f>
        <v>77</v>
      </c>
      <c r="AE136" s="1">
        <f ca="1">IFERROR(__xludf.DUMMYFUNCTION("""COMPUTED_VALUE"""),355)</f>
        <v>355</v>
      </c>
      <c r="AF136" s="1">
        <f ca="1">IFERROR(__xludf.DUMMYFUNCTION("""COMPUTED_VALUE"""),526)</f>
        <v>526</v>
      </c>
    </row>
    <row r="137" spans="1:32" ht="12.5" x14ac:dyDescent="0.25">
      <c r="A137" s="1" t="str">
        <f ca="1">IFERROR(__xludf.DUMMYFUNCTION("""COMPUTED_VALUE"""),"Idaho")</f>
        <v>Idaho</v>
      </c>
      <c r="B137" s="1">
        <f ca="1">IFERROR(__xludf.DUMMYFUNCTION("""COMPUTED_VALUE"""),30)</f>
        <v>30</v>
      </c>
      <c r="C137" s="1">
        <f ca="1">IFERROR(__xludf.DUMMYFUNCTION("""COMPUTED_VALUE"""),13)</f>
        <v>13</v>
      </c>
      <c r="D137" s="1">
        <f ca="1">IFERROR(__xludf.DUMMYFUNCTION("""COMPUTED_VALUE"""),17)</f>
        <v>17</v>
      </c>
      <c r="E137" s="1">
        <f ca="1">IFERROR(__xludf.DUMMYFUNCTION("""COMPUTED_VALUE"""),0.433)</f>
        <v>0.433</v>
      </c>
      <c r="F137" s="1">
        <f ca="1">IFERROR(__xludf.DUMMYFUNCTION("""COMPUTED_VALUE"""),-5.75)</f>
        <v>-5.75</v>
      </c>
      <c r="G137" s="1">
        <f ca="1">IFERROR(__xludf.DUMMYFUNCTION("""COMPUTED_VALUE"""),-4.79)</f>
        <v>-4.79</v>
      </c>
      <c r="H137" s="1">
        <f ca="1">IFERROR(__xludf.DUMMYFUNCTION("""COMPUTED_VALUE"""),8)</f>
        <v>8</v>
      </c>
      <c r="I137" s="1">
        <f ca="1">IFERROR(__xludf.DUMMYFUNCTION("""COMPUTED_VALUE"""),10)</f>
        <v>10</v>
      </c>
      <c r="J137" s="1">
        <f ca="1">IFERROR(__xludf.DUMMYFUNCTION("""COMPUTED_VALUE"""),11)</f>
        <v>11</v>
      </c>
      <c r="K137" s="1">
        <f ca="1">IFERROR(__xludf.DUMMYFUNCTION("""COMPUTED_VALUE"""),3)</f>
        <v>3</v>
      </c>
      <c r="L137" s="1">
        <f ca="1">IFERROR(__xludf.DUMMYFUNCTION("""COMPUTED_VALUE"""),2)</f>
        <v>2</v>
      </c>
      <c r="M137" s="1">
        <f ca="1">IFERROR(__xludf.DUMMYFUNCTION("""COMPUTED_VALUE"""),12)</f>
        <v>12</v>
      </c>
      <c r="N137" s="1">
        <f ca="1">IFERROR(__xludf.DUMMYFUNCTION("""COMPUTED_VALUE"""),2301)</f>
        <v>2301</v>
      </c>
      <c r="O137" s="1">
        <f ca="1">IFERROR(__xludf.DUMMYFUNCTION("""COMPUTED_VALUE"""),2269)</f>
        <v>2269</v>
      </c>
      <c r="P137" s="1">
        <f ca="1">IFERROR(__xludf.DUMMYFUNCTION("""COMPUTED_VALUE"""),1220)</f>
        <v>1220</v>
      </c>
      <c r="Q137" s="1">
        <f ca="1">IFERROR(__xludf.DUMMYFUNCTION("""COMPUTED_VALUE"""),805)</f>
        <v>805</v>
      </c>
      <c r="R137" s="1">
        <f ca="1">IFERROR(__xludf.DUMMYFUNCTION("""COMPUTED_VALUE"""),1726)</f>
        <v>1726</v>
      </c>
      <c r="S137" s="1">
        <f ca="1">IFERROR(__xludf.DUMMYFUNCTION("""COMPUTED_VALUE"""),0.466)</f>
        <v>0.46600000000000003</v>
      </c>
      <c r="T137" s="1">
        <f ca="1">IFERROR(__xludf.DUMMYFUNCTION("""COMPUTED_VALUE"""),236)</f>
        <v>236</v>
      </c>
      <c r="U137" s="1">
        <f ca="1">IFERROR(__xludf.DUMMYFUNCTION("""COMPUTED_VALUE"""),572)</f>
        <v>572</v>
      </c>
      <c r="V137" s="1">
        <f ca="1">IFERROR(__xludf.DUMMYFUNCTION("""COMPUTED_VALUE"""),0.413)</f>
        <v>0.41299999999999998</v>
      </c>
      <c r="W137" s="1">
        <f ca="1">IFERROR(__xludf.DUMMYFUNCTION("""COMPUTED_VALUE"""),455)</f>
        <v>455</v>
      </c>
      <c r="X137" s="1">
        <f ca="1">IFERROR(__xludf.DUMMYFUNCTION("""COMPUTED_VALUE"""),642)</f>
        <v>642</v>
      </c>
      <c r="Y137" s="1">
        <f ca="1">IFERROR(__xludf.DUMMYFUNCTION("""COMPUTED_VALUE"""),0.709)</f>
        <v>0.70899999999999996</v>
      </c>
      <c r="Z137" s="1">
        <f ca="1">IFERROR(__xludf.DUMMYFUNCTION("""COMPUTED_VALUE"""),312)</f>
        <v>312</v>
      </c>
      <c r="AA137" s="1">
        <f ca="1">IFERROR(__xludf.DUMMYFUNCTION("""COMPUTED_VALUE"""),1086)</f>
        <v>1086</v>
      </c>
      <c r="AB137" s="1">
        <f ca="1">IFERROR(__xludf.DUMMYFUNCTION("""COMPUTED_VALUE"""),405)</f>
        <v>405</v>
      </c>
      <c r="AC137" s="1">
        <f ca="1">IFERROR(__xludf.DUMMYFUNCTION("""COMPUTED_VALUE"""),140)</f>
        <v>140</v>
      </c>
      <c r="AD137" s="1">
        <f ca="1">IFERROR(__xludf.DUMMYFUNCTION("""COMPUTED_VALUE"""),57)</f>
        <v>57</v>
      </c>
      <c r="AE137" s="1">
        <f ca="1">IFERROR(__xludf.DUMMYFUNCTION("""COMPUTED_VALUE"""),360)</f>
        <v>360</v>
      </c>
      <c r="AF137" s="1">
        <f ca="1">IFERROR(__xludf.DUMMYFUNCTION("""COMPUTED_VALUE"""),634)</f>
        <v>634</v>
      </c>
    </row>
    <row r="138" spans="1:32" ht="12.5" x14ac:dyDescent="0.25">
      <c r="A138" s="1" t="str">
        <f ca="1">IFERROR(__xludf.DUMMYFUNCTION("""COMPUTED_VALUE"""),"Illinois-Chicago")</f>
        <v>Illinois-Chicago</v>
      </c>
      <c r="B138" s="1">
        <f ca="1">IFERROR(__xludf.DUMMYFUNCTION("""COMPUTED_VALUE"""),34)</f>
        <v>34</v>
      </c>
      <c r="C138" s="1">
        <f ca="1">IFERROR(__xludf.DUMMYFUNCTION("""COMPUTED_VALUE"""),10)</f>
        <v>10</v>
      </c>
      <c r="D138" s="1">
        <f ca="1">IFERROR(__xludf.DUMMYFUNCTION("""COMPUTED_VALUE"""),24)</f>
        <v>24</v>
      </c>
      <c r="E138" s="1">
        <f ca="1">IFERROR(__xludf.DUMMYFUNCTION("""COMPUTED_VALUE"""),0.294)</f>
        <v>0.29399999999999998</v>
      </c>
      <c r="F138" s="1">
        <f ca="1">IFERROR(__xludf.DUMMYFUNCTION("""COMPUTED_VALUE"""),-7.86)</f>
        <v>-7.86</v>
      </c>
      <c r="G138" s="1">
        <f ca="1">IFERROR(__xludf.DUMMYFUNCTION("""COMPUTED_VALUE"""),-0.36)</f>
        <v>-0.36</v>
      </c>
      <c r="H138" s="1">
        <f ca="1">IFERROR(__xludf.DUMMYFUNCTION("""COMPUTED_VALUE"""),4)</f>
        <v>4</v>
      </c>
      <c r="I138" s="1">
        <f ca="1">IFERROR(__xludf.DUMMYFUNCTION("""COMPUTED_VALUE"""),12)</f>
        <v>12</v>
      </c>
      <c r="J138" s="1">
        <f ca="1">IFERROR(__xludf.DUMMYFUNCTION("""COMPUTED_VALUE"""),7)</f>
        <v>7</v>
      </c>
      <c r="K138" s="1">
        <f ca="1">IFERROR(__xludf.DUMMYFUNCTION("""COMPUTED_VALUE"""),9)</f>
        <v>9</v>
      </c>
      <c r="L138" s="1">
        <f ca="1">IFERROR(__xludf.DUMMYFUNCTION("""COMPUTED_VALUE"""),2)</f>
        <v>2</v>
      </c>
      <c r="M138" s="1">
        <f ca="1">IFERROR(__xludf.DUMMYFUNCTION("""COMPUTED_VALUE"""),11)</f>
        <v>11</v>
      </c>
      <c r="N138" s="1">
        <f ca="1">IFERROR(__xludf.DUMMYFUNCTION("""COMPUTED_VALUE"""),2201)</f>
        <v>2201</v>
      </c>
      <c r="O138" s="1">
        <f ca="1">IFERROR(__xludf.DUMMYFUNCTION("""COMPUTED_VALUE"""),2389)</f>
        <v>2389</v>
      </c>
      <c r="P138" s="1">
        <f ca="1">IFERROR(__xludf.DUMMYFUNCTION("""COMPUTED_VALUE"""),1365)</f>
        <v>1365</v>
      </c>
      <c r="Q138" s="1">
        <f ca="1">IFERROR(__xludf.DUMMYFUNCTION("""COMPUTED_VALUE"""),724)</f>
        <v>724</v>
      </c>
      <c r="R138" s="1">
        <f ca="1">IFERROR(__xludf.DUMMYFUNCTION("""COMPUTED_VALUE"""),1870)</f>
        <v>1870</v>
      </c>
      <c r="S138" s="1">
        <f ca="1">IFERROR(__xludf.DUMMYFUNCTION("""COMPUTED_VALUE"""),0.387)</f>
        <v>0.38700000000000001</v>
      </c>
      <c r="T138" s="1">
        <f ca="1">IFERROR(__xludf.DUMMYFUNCTION("""COMPUTED_VALUE"""),204)</f>
        <v>204</v>
      </c>
      <c r="U138" s="1">
        <f ca="1">IFERROR(__xludf.DUMMYFUNCTION("""COMPUTED_VALUE"""),629)</f>
        <v>629</v>
      </c>
      <c r="V138" s="1">
        <f ca="1">IFERROR(__xludf.DUMMYFUNCTION("""COMPUTED_VALUE"""),0.324)</f>
        <v>0.32400000000000001</v>
      </c>
      <c r="W138" s="1">
        <f ca="1">IFERROR(__xludf.DUMMYFUNCTION("""COMPUTED_VALUE"""),549)</f>
        <v>549</v>
      </c>
      <c r="X138" s="1">
        <f ca="1">IFERROR(__xludf.DUMMYFUNCTION("""COMPUTED_VALUE"""),745)</f>
        <v>745</v>
      </c>
      <c r="Y138" s="1">
        <f ca="1">IFERROR(__xludf.DUMMYFUNCTION("""COMPUTED_VALUE"""),0.737)</f>
        <v>0.73699999999999999</v>
      </c>
      <c r="Z138" s="1">
        <f ca="1">IFERROR(__xludf.DUMMYFUNCTION("""COMPUTED_VALUE"""),391)</f>
        <v>391</v>
      </c>
      <c r="AA138" s="1">
        <f ca="1">IFERROR(__xludf.DUMMYFUNCTION("""COMPUTED_VALUE"""),1142)</f>
        <v>1142</v>
      </c>
      <c r="AB138" s="1">
        <f ca="1">IFERROR(__xludf.DUMMYFUNCTION("""COMPUTED_VALUE"""),413)</f>
        <v>413</v>
      </c>
      <c r="AC138" s="1">
        <f ca="1">IFERROR(__xludf.DUMMYFUNCTION("""COMPUTED_VALUE"""),205)</f>
        <v>205</v>
      </c>
      <c r="AD138" s="1">
        <f ca="1">IFERROR(__xludf.DUMMYFUNCTION("""COMPUTED_VALUE"""),92)</f>
        <v>92</v>
      </c>
      <c r="AE138" s="1">
        <f ca="1">IFERROR(__xludf.DUMMYFUNCTION("""COMPUTED_VALUE"""),375)</f>
        <v>375</v>
      </c>
      <c r="AF138" s="1">
        <f ca="1">IFERROR(__xludf.DUMMYFUNCTION("""COMPUTED_VALUE"""),609)</f>
        <v>609</v>
      </c>
    </row>
    <row r="139" spans="1:32" ht="12.5" x14ac:dyDescent="0.25">
      <c r="A139" s="1" t="str">
        <f ca="1">IFERROR(__xludf.DUMMYFUNCTION("""COMPUTED_VALUE"""),"Illinois State")</f>
        <v>Illinois State</v>
      </c>
      <c r="B139" s="1">
        <f ca="1">IFERROR(__xludf.DUMMYFUNCTION("""COMPUTED_VALUE"""),35)</f>
        <v>35</v>
      </c>
      <c r="C139" s="1">
        <f ca="1">IFERROR(__xludf.DUMMYFUNCTION("""COMPUTED_VALUE"""),22)</f>
        <v>22</v>
      </c>
      <c r="D139" s="1">
        <f ca="1">IFERROR(__xludf.DUMMYFUNCTION("""COMPUTED_VALUE"""),13)</f>
        <v>13</v>
      </c>
      <c r="E139" s="1">
        <f ca="1">IFERROR(__xludf.DUMMYFUNCTION("""COMPUTED_VALUE"""),0.629)</f>
        <v>0.629</v>
      </c>
      <c r="F139" s="1">
        <f ca="1">IFERROR(__xludf.DUMMYFUNCTION("""COMPUTED_VALUE"""),7.96)</f>
        <v>7.96</v>
      </c>
      <c r="G139" s="1">
        <f ca="1">IFERROR(__xludf.DUMMYFUNCTION("""COMPUTED_VALUE"""),2.87)</f>
        <v>2.87</v>
      </c>
      <c r="H139" s="1">
        <f ca="1">IFERROR(__xludf.DUMMYFUNCTION("""COMPUTED_VALUE"""),11)</f>
        <v>11</v>
      </c>
      <c r="I139" s="1">
        <f ca="1">IFERROR(__xludf.DUMMYFUNCTION("""COMPUTED_VALUE"""),7)</f>
        <v>7</v>
      </c>
      <c r="J139" s="1">
        <f ca="1">IFERROR(__xludf.DUMMYFUNCTION("""COMPUTED_VALUE"""),11)</f>
        <v>11</v>
      </c>
      <c r="K139" s="1">
        <f ca="1">IFERROR(__xludf.DUMMYFUNCTION("""COMPUTED_VALUE"""),5)</f>
        <v>5</v>
      </c>
      <c r="L139" s="1">
        <f ca="1">IFERROR(__xludf.DUMMYFUNCTION("""COMPUTED_VALUE"""),7)</f>
        <v>7</v>
      </c>
      <c r="M139" s="1">
        <f ca="1">IFERROR(__xludf.DUMMYFUNCTION("""COMPUTED_VALUE"""),6)</f>
        <v>6</v>
      </c>
      <c r="N139" s="1">
        <f ca="1">IFERROR(__xludf.DUMMYFUNCTION("""COMPUTED_VALUE"""),2385)</f>
        <v>2385</v>
      </c>
      <c r="O139" s="1">
        <f ca="1">IFERROR(__xludf.DUMMYFUNCTION("""COMPUTED_VALUE"""),2170)</f>
        <v>2170</v>
      </c>
      <c r="P139" s="1">
        <f ca="1">IFERROR(__xludf.DUMMYFUNCTION("""COMPUTED_VALUE"""),1415)</f>
        <v>1415</v>
      </c>
      <c r="Q139" s="1">
        <f ca="1">IFERROR(__xludf.DUMMYFUNCTION("""COMPUTED_VALUE"""),846)</f>
        <v>846</v>
      </c>
      <c r="R139" s="1">
        <f ca="1">IFERROR(__xludf.DUMMYFUNCTION("""COMPUTED_VALUE"""),1945)</f>
        <v>1945</v>
      </c>
      <c r="S139" s="1">
        <f ca="1">IFERROR(__xludf.DUMMYFUNCTION("""COMPUTED_VALUE"""),0.435)</f>
        <v>0.435</v>
      </c>
      <c r="T139" s="1">
        <f ca="1">IFERROR(__xludf.DUMMYFUNCTION("""COMPUTED_VALUE"""),212)</f>
        <v>212</v>
      </c>
      <c r="U139" s="1">
        <f ca="1">IFERROR(__xludf.DUMMYFUNCTION("""COMPUTED_VALUE"""),615)</f>
        <v>615</v>
      </c>
      <c r="V139" s="1">
        <f ca="1">IFERROR(__xludf.DUMMYFUNCTION("""COMPUTED_VALUE"""),0.345)</f>
        <v>0.34499999999999997</v>
      </c>
      <c r="W139" s="1">
        <f ca="1">IFERROR(__xludf.DUMMYFUNCTION("""COMPUTED_VALUE"""),481)</f>
        <v>481</v>
      </c>
      <c r="X139" s="1">
        <f ca="1">IFERROR(__xludf.DUMMYFUNCTION("""COMPUTED_VALUE"""),674)</f>
        <v>674</v>
      </c>
      <c r="Y139" s="1">
        <f ca="1">IFERROR(__xludf.DUMMYFUNCTION("""COMPUTED_VALUE"""),0.714)</f>
        <v>0.71399999999999997</v>
      </c>
      <c r="Z139" s="1">
        <f ca="1">IFERROR(__xludf.DUMMYFUNCTION("""COMPUTED_VALUE"""),439)</f>
        <v>439</v>
      </c>
      <c r="AA139" s="1">
        <f ca="1">IFERROR(__xludf.DUMMYFUNCTION("""COMPUTED_VALUE"""),1256)</f>
        <v>1256</v>
      </c>
      <c r="AB139" s="1">
        <f ca="1">IFERROR(__xludf.DUMMYFUNCTION("""COMPUTED_VALUE"""),408)</f>
        <v>408</v>
      </c>
      <c r="AC139" s="1">
        <f ca="1">IFERROR(__xludf.DUMMYFUNCTION("""COMPUTED_VALUE"""),254)</f>
        <v>254</v>
      </c>
      <c r="AD139" s="1">
        <f ca="1">IFERROR(__xludf.DUMMYFUNCTION("""COMPUTED_VALUE"""),152)</f>
        <v>152</v>
      </c>
      <c r="AE139" s="1">
        <f ca="1">IFERROR(__xludf.DUMMYFUNCTION("""COMPUTED_VALUE"""),449)</f>
        <v>449</v>
      </c>
      <c r="AF139" s="1">
        <f ca="1">IFERROR(__xludf.DUMMYFUNCTION("""COMPUTED_VALUE"""),662)</f>
        <v>662</v>
      </c>
    </row>
    <row r="140" spans="1:32" ht="12.5" x14ac:dyDescent="0.25">
      <c r="A140" s="1" t="str">
        <f ca="1">IFERROR(__xludf.DUMMYFUNCTION("""COMPUTED_VALUE"""),"Illinois")</f>
        <v>Illinois</v>
      </c>
      <c r="B140" s="1">
        <f ca="1">IFERROR(__xludf.DUMMYFUNCTION("""COMPUTED_VALUE"""),33)</f>
        <v>33</v>
      </c>
      <c r="C140" s="1">
        <f ca="1">IFERROR(__xludf.DUMMYFUNCTION("""COMPUTED_VALUE"""),19)</f>
        <v>19</v>
      </c>
      <c r="D140" s="1">
        <f ca="1">IFERROR(__xludf.DUMMYFUNCTION("""COMPUTED_VALUE"""),14)</f>
        <v>14</v>
      </c>
      <c r="E140" s="1">
        <f ca="1">IFERROR(__xludf.DUMMYFUNCTION("""COMPUTED_VALUE"""),0.576)</f>
        <v>0.57599999999999996</v>
      </c>
      <c r="F140" s="1">
        <f ca="1">IFERROR(__xludf.DUMMYFUNCTION("""COMPUTED_VALUE"""),12.42)</f>
        <v>12.42</v>
      </c>
      <c r="G140" s="1">
        <f ca="1">IFERROR(__xludf.DUMMYFUNCTION("""COMPUTED_VALUE"""),6.93)</f>
        <v>6.93</v>
      </c>
      <c r="H140" s="1">
        <f ca="1">IFERROR(__xludf.DUMMYFUNCTION("""COMPUTED_VALUE"""),9)</f>
        <v>9</v>
      </c>
      <c r="I140" s="1">
        <f ca="1">IFERROR(__xludf.DUMMYFUNCTION("""COMPUTED_VALUE"""),9)</f>
        <v>9</v>
      </c>
      <c r="J140" s="1">
        <f ca="1">IFERROR(__xludf.DUMMYFUNCTION("""COMPUTED_VALUE"""),14)</f>
        <v>14</v>
      </c>
      <c r="K140" s="1">
        <f ca="1">IFERROR(__xludf.DUMMYFUNCTION("""COMPUTED_VALUE"""),3)</f>
        <v>3</v>
      </c>
      <c r="L140" s="1">
        <f ca="1">IFERROR(__xludf.DUMMYFUNCTION("""COMPUTED_VALUE"""),2)</f>
        <v>2</v>
      </c>
      <c r="M140" s="1">
        <f ca="1">IFERROR(__xludf.DUMMYFUNCTION("""COMPUTED_VALUE"""),9)</f>
        <v>9</v>
      </c>
      <c r="N140" s="1">
        <f ca="1">IFERROR(__xludf.DUMMYFUNCTION("""COMPUTED_VALUE"""),2281)</f>
        <v>2281</v>
      </c>
      <c r="O140" s="1">
        <f ca="1">IFERROR(__xludf.DUMMYFUNCTION("""COMPUTED_VALUE"""),2100)</f>
        <v>2100</v>
      </c>
      <c r="P140" s="1">
        <f ca="1">IFERROR(__xludf.DUMMYFUNCTION("""COMPUTED_VALUE"""),1330)</f>
        <v>1330</v>
      </c>
      <c r="Q140" s="1">
        <f ca="1">IFERROR(__xludf.DUMMYFUNCTION("""COMPUTED_VALUE"""),786)</f>
        <v>786</v>
      </c>
      <c r="R140" s="1">
        <f ca="1">IFERROR(__xludf.DUMMYFUNCTION("""COMPUTED_VALUE"""),1903)</f>
        <v>1903</v>
      </c>
      <c r="S140" s="1">
        <f ca="1">IFERROR(__xludf.DUMMYFUNCTION("""COMPUTED_VALUE"""),0.413)</f>
        <v>0.41299999999999998</v>
      </c>
      <c r="T140" s="1">
        <f ca="1">IFERROR(__xludf.DUMMYFUNCTION("""COMPUTED_VALUE"""),238)</f>
        <v>238</v>
      </c>
      <c r="U140" s="1">
        <f ca="1">IFERROR(__xludf.DUMMYFUNCTION("""COMPUTED_VALUE"""),670)</f>
        <v>670</v>
      </c>
      <c r="V140" s="1">
        <f ca="1">IFERROR(__xludf.DUMMYFUNCTION("""COMPUTED_VALUE"""),0.355)</f>
        <v>0.35499999999999998</v>
      </c>
      <c r="W140" s="1">
        <f ca="1">IFERROR(__xludf.DUMMYFUNCTION("""COMPUTED_VALUE"""),471)</f>
        <v>471</v>
      </c>
      <c r="X140" s="1">
        <f ca="1">IFERROR(__xludf.DUMMYFUNCTION("""COMPUTED_VALUE"""),593)</f>
        <v>593</v>
      </c>
      <c r="Y140" s="1">
        <f ca="1">IFERROR(__xludf.DUMMYFUNCTION("""COMPUTED_VALUE"""),0.794)</f>
        <v>0.79400000000000004</v>
      </c>
      <c r="Z140" s="1">
        <f ca="1">IFERROR(__xludf.DUMMYFUNCTION("""COMPUTED_VALUE"""),351)</f>
        <v>351</v>
      </c>
      <c r="AA140" s="1">
        <f ca="1">IFERROR(__xludf.DUMMYFUNCTION("""COMPUTED_VALUE"""),1134)</f>
        <v>1134</v>
      </c>
      <c r="AB140" s="1">
        <f ca="1">IFERROR(__xludf.DUMMYFUNCTION("""COMPUTED_VALUE"""),389)</f>
        <v>389</v>
      </c>
      <c r="AC140" s="1">
        <f ca="1">IFERROR(__xludf.DUMMYFUNCTION("""COMPUTED_VALUE"""),208)</f>
        <v>208</v>
      </c>
      <c r="AD140" s="1">
        <f ca="1">IFERROR(__xludf.DUMMYFUNCTION("""COMPUTED_VALUE"""),105)</f>
        <v>105</v>
      </c>
      <c r="AE140" s="1">
        <f ca="1">IFERROR(__xludf.DUMMYFUNCTION("""COMPUTED_VALUE"""),328)</f>
        <v>328</v>
      </c>
      <c r="AF140" s="1">
        <f ca="1">IFERROR(__xludf.DUMMYFUNCTION("""COMPUTED_VALUE"""),577)</f>
        <v>577</v>
      </c>
    </row>
    <row r="141" spans="1:32" ht="12.5" x14ac:dyDescent="0.25">
      <c r="A141" s="1" t="str">
        <f ca="1">IFERROR(__xludf.DUMMYFUNCTION("""COMPUTED_VALUE"""),"Incarnate Word")</f>
        <v>Incarnate Word</v>
      </c>
      <c r="B141" s="1">
        <f ca="1">IFERROR(__xludf.DUMMYFUNCTION("""COMPUTED_VALUE"""),29)</f>
        <v>29</v>
      </c>
      <c r="C141" s="1">
        <f ca="1">IFERROR(__xludf.DUMMYFUNCTION("""COMPUTED_VALUE"""),18)</f>
        <v>18</v>
      </c>
      <c r="D141" s="1">
        <f ca="1">IFERROR(__xludf.DUMMYFUNCTION("""COMPUTED_VALUE"""),11)</f>
        <v>11</v>
      </c>
      <c r="E141" s="1">
        <f ca="1">IFERROR(__xludf.DUMMYFUNCTION("""COMPUTED_VALUE"""),0.621)</f>
        <v>0.621</v>
      </c>
      <c r="F141" s="1">
        <f ca="1">IFERROR(__xludf.DUMMYFUNCTION("""COMPUTED_VALUE"""),-6.15)</f>
        <v>-6.15</v>
      </c>
      <c r="G141" s="1">
        <f ca="1">IFERROR(__xludf.DUMMYFUNCTION("""COMPUTED_VALUE"""),-6.47)</f>
        <v>-6.47</v>
      </c>
      <c r="H141" s="1">
        <f ca="1">IFERROR(__xludf.DUMMYFUNCTION("""COMPUTED_VALUE"""),10)</f>
        <v>10</v>
      </c>
      <c r="I141" s="1">
        <f ca="1">IFERROR(__xludf.DUMMYFUNCTION("""COMPUTED_VALUE"""),8)</f>
        <v>8</v>
      </c>
      <c r="J141" s="1">
        <f ca="1">IFERROR(__xludf.DUMMYFUNCTION("""COMPUTED_VALUE"""),11)</f>
        <v>11</v>
      </c>
      <c r="K141" s="1">
        <f ca="1">IFERROR(__xludf.DUMMYFUNCTION("""COMPUTED_VALUE"""),3)</f>
        <v>3</v>
      </c>
      <c r="L141" s="1">
        <f ca="1">IFERROR(__xludf.DUMMYFUNCTION("""COMPUTED_VALUE"""),7)</f>
        <v>7</v>
      </c>
      <c r="M141" s="1">
        <f ca="1">IFERROR(__xludf.DUMMYFUNCTION("""COMPUTED_VALUE"""),8)</f>
        <v>8</v>
      </c>
      <c r="N141" s="1">
        <f ca="1">IFERROR(__xludf.DUMMYFUNCTION("""COMPUTED_VALUE"""),2298)</f>
        <v>2298</v>
      </c>
      <c r="O141" s="1">
        <f ca="1">IFERROR(__xludf.DUMMYFUNCTION("""COMPUTED_VALUE"""),2180)</f>
        <v>2180</v>
      </c>
      <c r="P141" s="1">
        <f ca="1">IFERROR(__xludf.DUMMYFUNCTION("""COMPUTED_VALUE"""),1190)</f>
        <v>1190</v>
      </c>
      <c r="Q141" s="1">
        <f ca="1">IFERROR(__xludf.DUMMYFUNCTION("""COMPUTED_VALUE"""),773)</f>
        <v>773</v>
      </c>
      <c r="R141" s="1">
        <f ca="1">IFERROR(__xludf.DUMMYFUNCTION("""COMPUTED_VALUE"""),1647)</f>
        <v>1647</v>
      </c>
      <c r="S141" s="1">
        <f ca="1">IFERROR(__xludf.DUMMYFUNCTION("""COMPUTED_VALUE"""),0.469)</f>
        <v>0.46899999999999997</v>
      </c>
      <c r="T141" s="1">
        <f ca="1">IFERROR(__xludf.DUMMYFUNCTION("""COMPUTED_VALUE"""),204)</f>
        <v>204</v>
      </c>
      <c r="U141" s="1">
        <f ca="1">IFERROR(__xludf.DUMMYFUNCTION("""COMPUTED_VALUE"""),550)</f>
        <v>550</v>
      </c>
      <c r="V141" s="1">
        <f ca="1">IFERROR(__xludf.DUMMYFUNCTION("""COMPUTED_VALUE"""),0.371)</f>
        <v>0.371</v>
      </c>
      <c r="W141" s="1">
        <f ca="1">IFERROR(__xludf.DUMMYFUNCTION("""COMPUTED_VALUE"""),548)</f>
        <v>548</v>
      </c>
      <c r="X141" s="1">
        <f ca="1">IFERROR(__xludf.DUMMYFUNCTION("""COMPUTED_VALUE"""),747)</f>
        <v>747</v>
      </c>
      <c r="Y141" s="1">
        <f ca="1">IFERROR(__xludf.DUMMYFUNCTION("""COMPUTED_VALUE"""),0.734)</f>
        <v>0.73399999999999999</v>
      </c>
      <c r="Z141" s="1">
        <f ca="1">IFERROR(__xludf.DUMMYFUNCTION("""COMPUTED_VALUE"""),267)</f>
        <v>267</v>
      </c>
      <c r="AA141" s="1">
        <f ca="1">IFERROR(__xludf.DUMMYFUNCTION("""COMPUTED_VALUE"""),969)</f>
        <v>969</v>
      </c>
      <c r="AB141" s="1">
        <f ca="1">IFERROR(__xludf.DUMMYFUNCTION("""COMPUTED_VALUE"""),382)</f>
        <v>382</v>
      </c>
      <c r="AC141" s="1">
        <f ca="1">IFERROR(__xludf.DUMMYFUNCTION("""COMPUTED_VALUE"""),229)</f>
        <v>229</v>
      </c>
      <c r="AD141" s="1">
        <f ca="1">IFERROR(__xludf.DUMMYFUNCTION("""COMPUTED_VALUE"""),128)</f>
        <v>128</v>
      </c>
      <c r="AE141" s="1">
        <f ca="1">IFERROR(__xludf.DUMMYFUNCTION("""COMPUTED_VALUE"""),329)</f>
        <v>329</v>
      </c>
      <c r="AF141" s="1">
        <f ca="1">IFERROR(__xludf.DUMMYFUNCTION("""COMPUTED_VALUE"""),538)</f>
        <v>538</v>
      </c>
    </row>
    <row r="142" spans="1:32" ht="12.5" x14ac:dyDescent="0.25">
      <c r="A142" s="1" t="str">
        <f ca="1">IFERROR(__xludf.DUMMYFUNCTION("""COMPUTED_VALUE"""),"Indiana State")</f>
        <v>Indiana State</v>
      </c>
      <c r="B142" s="1">
        <f ca="1">IFERROR(__xludf.DUMMYFUNCTION("""COMPUTED_VALUE"""),31)</f>
        <v>31</v>
      </c>
      <c r="C142" s="1">
        <f ca="1">IFERROR(__xludf.DUMMYFUNCTION("""COMPUTED_VALUE"""),15)</f>
        <v>15</v>
      </c>
      <c r="D142" s="1">
        <f ca="1">IFERROR(__xludf.DUMMYFUNCTION("""COMPUTED_VALUE"""),16)</f>
        <v>16</v>
      </c>
      <c r="E142" s="1">
        <f ca="1">IFERROR(__xludf.DUMMYFUNCTION("""COMPUTED_VALUE"""),0.484)</f>
        <v>0.48399999999999999</v>
      </c>
      <c r="F142" s="1">
        <f ca="1">IFERROR(__xludf.DUMMYFUNCTION("""COMPUTED_VALUE"""),-0.49)</f>
        <v>-0.49</v>
      </c>
      <c r="G142" s="1">
        <f ca="1">IFERROR(__xludf.DUMMYFUNCTION("""COMPUTED_VALUE"""),1.21)</f>
        <v>1.21</v>
      </c>
      <c r="H142" s="1">
        <f ca="1">IFERROR(__xludf.DUMMYFUNCTION("""COMPUTED_VALUE"""),11)</f>
        <v>11</v>
      </c>
      <c r="I142" s="1">
        <f ca="1">IFERROR(__xludf.DUMMYFUNCTION("""COMPUTED_VALUE"""),7)</f>
        <v>7</v>
      </c>
      <c r="J142" s="1">
        <f ca="1">IFERROR(__xludf.DUMMYFUNCTION("""COMPUTED_VALUE"""),10)</f>
        <v>10</v>
      </c>
      <c r="K142" s="1">
        <f ca="1">IFERROR(__xludf.DUMMYFUNCTION("""COMPUTED_VALUE"""),6)</f>
        <v>6</v>
      </c>
      <c r="L142" s="1">
        <f ca="1">IFERROR(__xludf.DUMMYFUNCTION("""COMPUTED_VALUE"""),5)</f>
        <v>5</v>
      </c>
      <c r="M142" s="1">
        <f ca="1">IFERROR(__xludf.DUMMYFUNCTION("""COMPUTED_VALUE"""),7)</f>
        <v>7</v>
      </c>
      <c r="N142" s="1">
        <f ca="1">IFERROR(__xludf.DUMMYFUNCTION("""COMPUTED_VALUE"""),2060)</f>
        <v>2060</v>
      </c>
      <c r="O142" s="1">
        <f ca="1">IFERROR(__xludf.DUMMYFUNCTION("""COMPUTED_VALUE"""),2101)</f>
        <v>2101</v>
      </c>
      <c r="P142" s="1">
        <f ca="1">IFERROR(__xludf.DUMMYFUNCTION("""COMPUTED_VALUE"""),1265)</f>
        <v>1265</v>
      </c>
      <c r="Q142" s="1">
        <f ca="1">IFERROR(__xludf.DUMMYFUNCTION("""COMPUTED_VALUE"""),681)</f>
        <v>681</v>
      </c>
      <c r="R142" s="1">
        <f ca="1">IFERROR(__xludf.DUMMYFUNCTION("""COMPUTED_VALUE"""),1601)</f>
        <v>1601</v>
      </c>
      <c r="S142" s="1">
        <f ca="1">IFERROR(__xludf.DUMMYFUNCTION("""COMPUTED_VALUE"""),0.425)</f>
        <v>0.42499999999999999</v>
      </c>
      <c r="T142" s="1">
        <f ca="1">IFERROR(__xludf.DUMMYFUNCTION("""COMPUTED_VALUE"""),225)</f>
        <v>225</v>
      </c>
      <c r="U142" s="1">
        <f ca="1">IFERROR(__xludf.DUMMYFUNCTION("""COMPUTED_VALUE"""),631)</f>
        <v>631</v>
      </c>
      <c r="V142" s="1">
        <f ca="1">IFERROR(__xludf.DUMMYFUNCTION("""COMPUTED_VALUE"""),0.357)</f>
        <v>0.35699999999999998</v>
      </c>
      <c r="W142" s="1">
        <f ca="1">IFERROR(__xludf.DUMMYFUNCTION("""COMPUTED_VALUE"""),473)</f>
        <v>473</v>
      </c>
      <c r="X142" s="1">
        <f ca="1">IFERROR(__xludf.DUMMYFUNCTION("""COMPUTED_VALUE"""),674)</f>
        <v>674</v>
      </c>
      <c r="Y142" s="1">
        <f ca="1">IFERROR(__xludf.DUMMYFUNCTION("""COMPUTED_VALUE"""),0.702)</f>
        <v>0.70199999999999996</v>
      </c>
      <c r="Z142" s="1">
        <f ca="1">IFERROR(__xludf.DUMMYFUNCTION("""COMPUTED_VALUE"""),271)</f>
        <v>271</v>
      </c>
      <c r="AA142" s="1">
        <f ca="1">IFERROR(__xludf.DUMMYFUNCTION("""COMPUTED_VALUE"""),1008)</f>
        <v>1008</v>
      </c>
      <c r="AB142" s="1">
        <f ca="1">IFERROR(__xludf.DUMMYFUNCTION("""COMPUTED_VALUE"""),398)</f>
        <v>398</v>
      </c>
      <c r="AC142" s="1">
        <f ca="1">IFERROR(__xludf.DUMMYFUNCTION("""COMPUTED_VALUE"""),175)</f>
        <v>175</v>
      </c>
      <c r="AD142" s="1">
        <f ca="1">IFERROR(__xludf.DUMMYFUNCTION("""COMPUTED_VALUE"""),98)</f>
        <v>98</v>
      </c>
      <c r="AE142" s="1">
        <f ca="1">IFERROR(__xludf.DUMMYFUNCTION("""COMPUTED_VALUE"""),437)</f>
        <v>437</v>
      </c>
      <c r="AF142" s="1">
        <f ca="1">IFERROR(__xludf.DUMMYFUNCTION("""COMPUTED_VALUE"""),562)</f>
        <v>562</v>
      </c>
    </row>
    <row r="143" spans="1:32" ht="12.5" x14ac:dyDescent="0.25">
      <c r="A143" s="1" t="str">
        <f ca="1">IFERROR(__xludf.DUMMYFUNCTION("""COMPUTED_VALUE"""),"IndianaNCAA")</f>
        <v>IndianaNCAA</v>
      </c>
      <c r="B143" s="1">
        <f ca="1">IFERROR(__xludf.DUMMYFUNCTION("""COMPUTED_VALUE"""),34)</f>
        <v>34</v>
      </c>
      <c r="C143" s="1">
        <f ca="1">IFERROR(__xludf.DUMMYFUNCTION("""COMPUTED_VALUE"""),20)</f>
        <v>20</v>
      </c>
      <c r="D143" s="1">
        <f ca="1">IFERROR(__xludf.DUMMYFUNCTION("""COMPUTED_VALUE"""),14)</f>
        <v>14</v>
      </c>
      <c r="E143" s="1">
        <f ca="1">IFERROR(__xludf.DUMMYFUNCTION("""COMPUTED_VALUE"""),0.588)</f>
        <v>0.58799999999999997</v>
      </c>
      <c r="F143" s="1">
        <f ca="1">IFERROR(__xludf.DUMMYFUNCTION("""COMPUTED_VALUE"""),12.94)</f>
        <v>12.94</v>
      </c>
      <c r="G143" s="1">
        <f ca="1">IFERROR(__xludf.DUMMYFUNCTION("""COMPUTED_VALUE"""),7.2)</f>
        <v>7.2</v>
      </c>
      <c r="H143" s="1">
        <f ca="1">IFERROR(__xludf.DUMMYFUNCTION("""COMPUTED_VALUE"""),9)</f>
        <v>9</v>
      </c>
      <c r="I143" s="1">
        <f ca="1">IFERROR(__xludf.DUMMYFUNCTION("""COMPUTED_VALUE"""),9)</f>
        <v>9</v>
      </c>
      <c r="J143" s="1">
        <f ca="1">IFERROR(__xludf.DUMMYFUNCTION("""COMPUTED_VALUE"""),15)</f>
        <v>15</v>
      </c>
      <c r="K143" s="1">
        <f ca="1">IFERROR(__xludf.DUMMYFUNCTION("""COMPUTED_VALUE"""),4)</f>
        <v>4</v>
      </c>
      <c r="L143" s="1">
        <f ca="1">IFERROR(__xludf.DUMMYFUNCTION("""COMPUTED_VALUE"""),3)</f>
        <v>3</v>
      </c>
      <c r="M143" s="1">
        <f ca="1">IFERROR(__xludf.DUMMYFUNCTION("""COMPUTED_VALUE"""),6)</f>
        <v>6</v>
      </c>
      <c r="N143" s="1">
        <f ca="1">IFERROR(__xludf.DUMMYFUNCTION("""COMPUTED_VALUE"""),2633)</f>
        <v>2633</v>
      </c>
      <c r="O143" s="1">
        <f ca="1">IFERROR(__xludf.DUMMYFUNCTION("""COMPUTED_VALUE"""),2438)</f>
        <v>2438</v>
      </c>
      <c r="P143" s="1">
        <f ca="1">IFERROR(__xludf.DUMMYFUNCTION("""COMPUTED_VALUE"""),1365)</f>
        <v>1365</v>
      </c>
      <c r="Q143" s="1">
        <f ca="1">IFERROR(__xludf.DUMMYFUNCTION("""COMPUTED_VALUE"""),923)</f>
        <v>923</v>
      </c>
      <c r="R143" s="1">
        <f ca="1">IFERROR(__xludf.DUMMYFUNCTION("""COMPUTED_VALUE"""),1989)</f>
        <v>1989</v>
      </c>
      <c r="S143" s="1">
        <f ca="1">IFERROR(__xludf.DUMMYFUNCTION("""COMPUTED_VALUE"""),0.464)</f>
        <v>0.46400000000000002</v>
      </c>
      <c r="T143" s="1">
        <f ca="1">IFERROR(__xludf.DUMMYFUNCTION("""COMPUTED_VALUE"""),319)</f>
        <v>319</v>
      </c>
      <c r="U143" s="1">
        <f ca="1">IFERROR(__xludf.DUMMYFUNCTION("""COMPUTED_VALUE"""),786)</f>
        <v>786</v>
      </c>
      <c r="V143" s="1">
        <f ca="1">IFERROR(__xludf.DUMMYFUNCTION("""COMPUTED_VALUE"""),0.406)</f>
        <v>0.40600000000000003</v>
      </c>
      <c r="W143" s="1">
        <f ca="1">IFERROR(__xludf.DUMMYFUNCTION("""COMPUTED_VALUE"""),468)</f>
        <v>468</v>
      </c>
      <c r="X143" s="1">
        <f ca="1">IFERROR(__xludf.DUMMYFUNCTION("""COMPUTED_VALUE"""),651)</f>
        <v>651</v>
      </c>
      <c r="Y143" s="1">
        <f ca="1">IFERROR(__xludf.DUMMYFUNCTION("""COMPUTED_VALUE"""),0.719)</f>
        <v>0.71899999999999997</v>
      </c>
      <c r="Z143" s="1">
        <f ca="1">IFERROR(__xludf.DUMMYFUNCTION("""COMPUTED_VALUE"""),407)</f>
        <v>407</v>
      </c>
      <c r="AA143" s="1">
        <f ca="1">IFERROR(__xludf.DUMMYFUNCTION("""COMPUTED_VALUE"""),1224)</f>
        <v>1224</v>
      </c>
      <c r="AB143" s="1">
        <f ca="1">IFERROR(__xludf.DUMMYFUNCTION("""COMPUTED_VALUE"""),473)</f>
        <v>473</v>
      </c>
      <c r="AC143" s="1">
        <f ca="1">IFERROR(__xludf.DUMMYFUNCTION("""COMPUTED_VALUE"""),170)</f>
        <v>170</v>
      </c>
      <c r="AD143" s="1">
        <f ca="1">IFERROR(__xludf.DUMMYFUNCTION("""COMPUTED_VALUE"""),108)</f>
        <v>108</v>
      </c>
      <c r="AE143" s="1">
        <f ca="1">IFERROR(__xludf.DUMMYFUNCTION("""COMPUTED_VALUE"""),392)</f>
        <v>392</v>
      </c>
      <c r="AF143" s="1">
        <f ca="1">IFERROR(__xludf.DUMMYFUNCTION("""COMPUTED_VALUE"""),606)</f>
        <v>606</v>
      </c>
    </row>
    <row r="144" spans="1:32" ht="12.5" x14ac:dyDescent="0.25">
      <c r="A144" s="1" t="str">
        <f ca="1">IFERROR(__xludf.DUMMYFUNCTION("""COMPUTED_VALUE"""),"Iona")</f>
        <v>Iona</v>
      </c>
      <c r="B144" s="1">
        <f ca="1">IFERROR(__xludf.DUMMYFUNCTION("""COMPUTED_VALUE"""),35)</f>
        <v>35</v>
      </c>
      <c r="C144" s="1">
        <f ca="1">IFERROR(__xludf.DUMMYFUNCTION("""COMPUTED_VALUE"""),26)</f>
        <v>26</v>
      </c>
      <c r="D144" s="1">
        <f ca="1">IFERROR(__xludf.DUMMYFUNCTION("""COMPUTED_VALUE"""),9)</f>
        <v>9</v>
      </c>
      <c r="E144" s="1">
        <f ca="1">IFERROR(__xludf.DUMMYFUNCTION("""COMPUTED_VALUE"""),0.743)</f>
        <v>0.74299999999999999</v>
      </c>
      <c r="F144" s="1">
        <f ca="1">IFERROR(__xludf.DUMMYFUNCTION("""COMPUTED_VALUE"""),3.71)</f>
        <v>3.71</v>
      </c>
      <c r="G144" s="1">
        <f ca="1">IFERROR(__xludf.DUMMYFUNCTION("""COMPUTED_VALUE"""),-2.52)</f>
        <v>-2.52</v>
      </c>
      <c r="H144" s="1">
        <f ca="1">IFERROR(__xludf.DUMMYFUNCTION("""COMPUTED_VALUE"""),17)</f>
        <v>17</v>
      </c>
      <c r="I144" s="1">
        <f ca="1">IFERROR(__xludf.DUMMYFUNCTION("""COMPUTED_VALUE"""),3)</f>
        <v>3</v>
      </c>
      <c r="J144" s="1">
        <f ca="1">IFERROR(__xludf.DUMMYFUNCTION("""COMPUTED_VALUE"""),13)</f>
        <v>13</v>
      </c>
      <c r="K144" s="1">
        <f ca="1">IFERROR(__xludf.DUMMYFUNCTION("""COMPUTED_VALUE"""),0)</f>
        <v>0</v>
      </c>
      <c r="L144" s="1">
        <f ca="1">IFERROR(__xludf.DUMMYFUNCTION("""COMPUTED_VALUE"""),10)</f>
        <v>10</v>
      </c>
      <c r="M144" s="1">
        <f ca="1">IFERROR(__xludf.DUMMYFUNCTION("""COMPUTED_VALUE"""),8)</f>
        <v>8</v>
      </c>
      <c r="N144" s="1">
        <f ca="1">IFERROR(__xludf.DUMMYFUNCTION("""COMPUTED_VALUE"""),2782)</f>
        <v>2782</v>
      </c>
      <c r="O144" s="1">
        <f ca="1">IFERROR(__xludf.DUMMYFUNCTION("""COMPUTED_VALUE"""),2564)</f>
        <v>2564</v>
      </c>
      <c r="P144" s="1">
        <f ca="1">IFERROR(__xludf.DUMMYFUNCTION("""COMPUTED_VALUE"""),1405)</f>
        <v>1405</v>
      </c>
      <c r="Q144" s="1">
        <f ca="1">IFERROR(__xludf.DUMMYFUNCTION("""COMPUTED_VALUE"""),950)</f>
        <v>950</v>
      </c>
      <c r="R144" s="1">
        <f ca="1">IFERROR(__xludf.DUMMYFUNCTION("""COMPUTED_VALUE"""),2051)</f>
        <v>2051</v>
      </c>
      <c r="S144" s="1">
        <f ca="1">IFERROR(__xludf.DUMMYFUNCTION("""COMPUTED_VALUE"""),0.463)</f>
        <v>0.46300000000000002</v>
      </c>
      <c r="T144" s="1">
        <f ca="1">IFERROR(__xludf.DUMMYFUNCTION("""COMPUTED_VALUE"""),344)</f>
        <v>344</v>
      </c>
      <c r="U144" s="1">
        <f ca="1">IFERROR(__xludf.DUMMYFUNCTION("""COMPUTED_VALUE"""),869)</f>
        <v>869</v>
      </c>
      <c r="V144" s="1">
        <f ca="1">IFERROR(__xludf.DUMMYFUNCTION("""COMPUTED_VALUE"""),0.396)</f>
        <v>0.39600000000000002</v>
      </c>
      <c r="W144" s="1">
        <f ca="1">IFERROR(__xludf.DUMMYFUNCTION("""COMPUTED_VALUE"""),538)</f>
        <v>538</v>
      </c>
      <c r="X144" s="1">
        <f ca="1">IFERROR(__xludf.DUMMYFUNCTION("""COMPUTED_VALUE"""),768)</f>
        <v>768</v>
      </c>
      <c r="Y144" s="1">
        <f ca="1">IFERROR(__xludf.DUMMYFUNCTION("""COMPUTED_VALUE"""),0.701)</f>
        <v>0.70099999999999996</v>
      </c>
      <c r="Z144" s="1">
        <f ca="1">IFERROR(__xludf.DUMMYFUNCTION("""COMPUTED_VALUE"""),348)</f>
        <v>348</v>
      </c>
      <c r="AA144" s="1">
        <f ca="1">IFERROR(__xludf.DUMMYFUNCTION("""COMPUTED_VALUE"""),1260)</f>
        <v>1260</v>
      </c>
      <c r="AB144" s="1">
        <f ca="1">IFERROR(__xludf.DUMMYFUNCTION("""COMPUTED_VALUE"""),573)</f>
        <v>573</v>
      </c>
      <c r="AC144" s="1">
        <f ca="1">IFERROR(__xludf.DUMMYFUNCTION("""COMPUTED_VALUE"""),226)</f>
        <v>226</v>
      </c>
      <c r="AD144" s="1">
        <f ca="1">IFERROR(__xludf.DUMMYFUNCTION("""COMPUTED_VALUE"""),135)</f>
        <v>135</v>
      </c>
      <c r="AE144" s="1">
        <f ca="1">IFERROR(__xludf.DUMMYFUNCTION("""COMPUTED_VALUE"""),427)</f>
        <v>427</v>
      </c>
      <c r="AF144" s="1">
        <f ca="1">IFERROR(__xludf.DUMMYFUNCTION("""COMPUTED_VALUE"""),605)</f>
        <v>605</v>
      </c>
    </row>
    <row r="145" spans="1:32" ht="12.5" x14ac:dyDescent="0.25">
      <c r="A145" s="1" t="str">
        <f ca="1">IFERROR(__xludf.DUMMYFUNCTION("""COMPUTED_VALUE"""),"Iowa StateNCAA")</f>
        <v>Iowa StateNCAA</v>
      </c>
      <c r="B145" s="1">
        <f ca="1">IFERROR(__xludf.DUMMYFUNCTION("""COMPUTED_VALUE"""),34)</f>
        <v>34</v>
      </c>
      <c r="C145" s="1">
        <f ca="1">IFERROR(__xludf.DUMMYFUNCTION("""COMPUTED_VALUE"""),25)</f>
        <v>25</v>
      </c>
      <c r="D145" s="1">
        <f ca="1">IFERROR(__xludf.DUMMYFUNCTION("""COMPUTED_VALUE"""),9)</f>
        <v>9</v>
      </c>
      <c r="E145" s="1">
        <f ca="1">IFERROR(__xludf.DUMMYFUNCTION("""COMPUTED_VALUE"""),0.735)</f>
        <v>0.73499999999999999</v>
      </c>
      <c r="F145" s="1">
        <f ca="1">IFERROR(__xludf.DUMMYFUNCTION("""COMPUTED_VALUE"""),17.94)</f>
        <v>17.940000000000001</v>
      </c>
      <c r="G145" s="1">
        <f ca="1">IFERROR(__xludf.DUMMYFUNCTION("""COMPUTED_VALUE"""),9.15)</f>
        <v>9.15</v>
      </c>
      <c r="H145" s="1">
        <f ca="1">IFERROR(__xludf.DUMMYFUNCTION("""COMPUTED_VALUE"""),12)</f>
        <v>12</v>
      </c>
      <c r="I145" s="1">
        <f ca="1">IFERROR(__xludf.DUMMYFUNCTION("""COMPUTED_VALUE"""),6)</f>
        <v>6</v>
      </c>
      <c r="J145" s="1">
        <f ca="1">IFERROR(__xludf.DUMMYFUNCTION("""COMPUTED_VALUE"""),15)</f>
        <v>15</v>
      </c>
      <c r="K145" s="1">
        <f ca="1">IFERROR(__xludf.DUMMYFUNCTION("""COMPUTED_VALUE"""),1)</f>
        <v>1</v>
      </c>
      <c r="L145" s="1">
        <f ca="1">IFERROR(__xludf.DUMMYFUNCTION("""COMPUTED_VALUE"""),6)</f>
        <v>6</v>
      </c>
      <c r="M145" s="1">
        <f ca="1">IFERROR(__xludf.DUMMYFUNCTION("""COMPUTED_VALUE"""),5)</f>
        <v>5</v>
      </c>
      <c r="N145" s="1">
        <f ca="1">IFERROR(__xludf.DUMMYFUNCTION("""COMPUTED_VALUE"""),2645)</f>
        <v>2645</v>
      </c>
      <c r="O145" s="1">
        <f ca="1">IFERROR(__xludf.DUMMYFUNCTION("""COMPUTED_VALUE"""),2346)</f>
        <v>2346</v>
      </c>
      <c r="P145" s="1">
        <f ca="1">IFERROR(__xludf.DUMMYFUNCTION("""COMPUTED_VALUE"""),1360)</f>
        <v>1360</v>
      </c>
      <c r="Q145" s="1">
        <f ca="1">IFERROR(__xludf.DUMMYFUNCTION("""COMPUTED_VALUE"""),940)</f>
        <v>940</v>
      </c>
      <c r="R145" s="1">
        <f ca="1">IFERROR(__xludf.DUMMYFUNCTION("""COMPUTED_VALUE"""),1973)</f>
        <v>1973</v>
      </c>
      <c r="S145" s="1">
        <f ca="1">IFERROR(__xludf.DUMMYFUNCTION("""COMPUTED_VALUE"""),0.476)</f>
        <v>0.47599999999999998</v>
      </c>
      <c r="T145" s="1">
        <f ca="1">IFERROR(__xludf.DUMMYFUNCTION("""COMPUTED_VALUE"""),263)</f>
        <v>263</v>
      </c>
      <c r="U145" s="1">
        <f ca="1">IFERROR(__xludf.DUMMYFUNCTION("""COMPUTED_VALUE"""),726)</f>
        <v>726</v>
      </c>
      <c r="V145" s="1">
        <f ca="1">IFERROR(__xludf.DUMMYFUNCTION("""COMPUTED_VALUE"""),0.362)</f>
        <v>0.36199999999999999</v>
      </c>
      <c r="W145" s="1">
        <f ca="1">IFERROR(__xludf.DUMMYFUNCTION("""COMPUTED_VALUE"""),502)</f>
        <v>502</v>
      </c>
      <c r="X145" s="1">
        <f ca="1">IFERROR(__xludf.DUMMYFUNCTION("""COMPUTED_VALUE"""),721)</f>
        <v>721</v>
      </c>
      <c r="Y145" s="1">
        <f ca="1">IFERROR(__xludf.DUMMYFUNCTION("""COMPUTED_VALUE"""),0.696)</f>
        <v>0.69599999999999995</v>
      </c>
      <c r="Z145" s="1">
        <f ca="1">IFERROR(__xludf.DUMMYFUNCTION("""COMPUTED_VALUE"""),323)</f>
        <v>323</v>
      </c>
      <c r="AA145" s="1">
        <f ca="1">IFERROR(__xludf.DUMMYFUNCTION("""COMPUTED_VALUE"""),1221)</f>
        <v>1221</v>
      </c>
      <c r="AB145" s="1">
        <f ca="1">IFERROR(__xludf.DUMMYFUNCTION("""COMPUTED_VALUE"""),546)</f>
        <v>546</v>
      </c>
      <c r="AC145" s="1">
        <f ca="1">IFERROR(__xludf.DUMMYFUNCTION("""COMPUTED_VALUE"""),218)</f>
        <v>218</v>
      </c>
      <c r="AD145" s="1">
        <f ca="1">IFERROR(__xludf.DUMMYFUNCTION("""COMPUTED_VALUE"""),133)</f>
        <v>133</v>
      </c>
      <c r="AE145" s="1">
        <f ca="1">IFERROR(__xludf.DUMMYFUNCTION("""COMPUTED_VALUE"""),375)</f>
        <v>375</v>
      </c>
      <c r="AF145" s="1">
        <f ca="1">IFERROR(__xludf.DUMMYFUNCTION("""COMPUTED_VALUE"""),527)</f>
        <v>527</v>
      </c>
    </row>
    <row r="146" spans="1:32" ht="12.5" x14ac:dyDescent="0.25">
      <c r="A146" s="1" t="str">
        <f ca="1">IFERROR(__xludf.DUMMYFUNCTION("""COMPUTED_VALUE"""),"IowaNCAA")</f>
        <v>IowaNCAA</v>
      </c>
      <c r="B146" s="1">
        <f ca="1">IFERROR(__xludf.DUMMYFUNCTION("""COMPUTED_VALUE"""),34)</f>
        <v>34</v>
      </c>
      <c r="C146" s="1">
        <f ca="1">IFERROR(__xludf.DUMMYFUNCTION("""COMPUTED_VALUE"""),22)</f>
        <v>22</v>
      </c>
      <c r="D146" s="1">
        <f ca="1">IFERROR(__xludf.DUMMYFUNCTION("""COMPUTED_VALUE"""),12)</f>
        <v>12</v>
      </c>
      <c r="E146" s="1">
        <f ca="1">IFERROR(__xludf.DUMMYFUNCTION("""COMPUTED_VALUE"""),0.647)</f>
        <v>0.64700000000000002</v>
      </c>
      <c r="F146" s="1">
        <f ca="1">IFERROR(__xludf.DUMMYFUNCTION("""COMPUTED_VALUE"""),15.83)</f>
        <v>15.83</v>
      </c>
      <c r="G146" s="1">
        <f ca="1">IFERROR(__xludf.DUMMYFUNCTION("""COMPUTED_VALUE"""),8.39)</f>
        <v>8.39</v>
      </c>
      <c r="H146" s="1">
        <f ca="1">IFERROR(__xludf.DUMMYFUNCTION("""COMPUTED_VALUE"""),12)</f>
        <v>12</v>
      </c>
      <c r="I146" s="1">
        <f ca="1">IFERROR(__xludf.DUMMYFUNCTION("""COMPUTED_VALUE"""),6)</f>
        <v>6</v>
      </c>
      <c r="J146" s="1">
        <f ca="1">IFERROR(__xludf.DUMMYFUNCTION("""COMPUTED_VALUE"""),14)</f>
        <v>14</v>
      </c>
      <c r="K146" s="1">
        <f ca="1">IFERROR(__xludf.DUMMYFUNCTION("""COMPUTED_VALUE"""),4)</f>
        <v>4</v>
      </c>
      <c r="L146" s="1">
        <f ca="1">IFERROR(__xludf.DUMMYFUNCTION("""COMPUTED_VALUE"""),7)</f>
        <v>7</v>
      </c>
      <c r="M146" s="1">
        <f ca="1">IFERROR(__xludf.DUMMYFUNCTION("""COMPUTED_VALUE"""),4)</f>
        <v>4</v>
      </c>
      <c r="N146" s="1">
        <f ca="1">IFERROR(__xludf.DUMMYFUNCTION("""COMPUTED_VALUE"""),2372)</f>
        <v>2372</v>
      </c>
      <c r="O146" s="1">
        <f ca="1">IFERROR(__xludf.DUMMYFUNCTION("""COMPUTED_VALUE"""),2119)</f>
        <v>2119</v>
      </c>
      <c r="P146" s="1">
        <f ca="1">IFERROR(__xludf.DUMMYFUNCTION("""COMPUTED_VALUE"""),1370)</f>
        <v>1370</v>
      </c>
      <c r="Q146" s="1">
        <f ca="1">IFERROR(__xludf.DUMMYFUNCTION("""COMPUTED_VALUE"""),821)</f>
        <v>821</v>
      </c>
      <c r="R146" s="1">
        <f ca="1">IFERROR(__xludf.DUMMYFUNCTION("""COMPUTED_VALUE"""),1905)</f>
        <v>1905</v>
      </c>
      <c r="S146" s="1">
        <f ca="1">IFERROR(__xludf.DUMMYFUNCTION("""COMPUTED_VALUE"""),0.431)</f>
        <v>0.43099999999999999</v>
      </c>
      <c r="T146" s="1">
        <f ca="1">IFERROR(__xludf.DUMMYFUNCTION("""COMPUTED_VALUE"""),192)</f>
        <v>192</v>
      </c>
      <c r="U146" s="1">
        <f ca="1">IFERROR(__xludf.DUMMYFUNCTION("""COMPUTED_VALUE"""),576)</f>
        <v>576</v>
      </c>
      <c r="V146" s="1">
        <f ca="1">IFERROR(__xludf.DUMMYFUNCTION("""COMPUTED_VALUE"""),0.333)</f>
        <v>0.33300000000000002</v>
      </c>
      <c r="W146" s="1">
        <f ca="1">IFERROR(__xludf.DUMMYFUNCTION("""COMPUTED_VALUE"""),538)</f>
        <v>538</v>
      </c>
      <c r="X146" s="1">
        <f ca="1">IFERROR(__xludf.DUMMYFUNCTION("""COMPUTED_VALUE"""),723)</f>
        <v>723</v>
      </c>
      <c r="Y146" s="1">
        <f ca="1">IFERROR(__xludf.DUMMYFUNCTION("""COMPUTED_VALUE"""),0.744)</f>
        <v>0.74399999999999999</v>
      </c>
      <c r="Z146" s="1">
        <f ca="1">IFERROR(__xludf.DUMMYFUNCTION("""COMPUTED_VALUE"""),422)</f>
        <v>422</v>
      </c>
      <c r="AA146" s="1">
        <f ca="1">IFERROR(__xludf.DUMMYFUNCTION("""COMPUTED_VALUE"""),1274)</f>
        <v>1274</v>
      </c>
      <c r="AB146" s="1">
        <f ca="1">IFERROR(__xludf.DUMMYFUNCTION("""COMPUTED_VALUE"""),482)</f>
        <v>482</v>
      </c>
      <c r="AC146" s="1">
        <f ca="1">IFERROR(__xludf.DUMMYFUNCTION("""COMPUTED_VALUE"""),218)</f>
        <v>218</v>
      </c>
      <c r="AD146" s="1">
        <f ca="1">IFERROR(__xludf.DUMMYFUNCTION("""COMPUTED_VALUE"""),158)</f>
        <v>158</v>
      </c>
      <c r="AE146" s="1">
        <f ca="1">IFERROR(__xludf.DUMMYFUNCTION("""COMPUTED_VALUE"""),377)</f>
        <v>377</v>
      </c>
      <c r="AF146" s="1">
        <f ca="1">IFERROR(__xludf.DUMMYFUNCTION("""COMPUTED_VALUE"""),536)</f>
        <v>536</v>
      </c>
    </row>
    <row r="147" spans="1:32" ht="12.5" x14ac:dyDescent="0.25">
      <c r="A147" s="1" t="str">
        <f ca="1">IFERROR(__xludf.DUMMYFUNCTION("""COMPUTED_VALUE"""),"Purdue-Fort Wayne")</f>
        <v>Purdue-Fort Wayne</v>
      </c>
      <c r="B147" s="1">
        <f ca="1">IFERROR(__xludf.DUMMYFUNCTION("""COMPUTED_VALUE"""),31)</f>
        <v>31</v>
      </c>
      <c r="C147" s="1">
        <f ca="1">IFERROR(__xludf.DUMMYFUNCTION("""COMPUTED_VALUE"""),16)</f>
        <v>16</v>
      </c>
      <c r="D147" s="1">
        <f ca="1">IFERROR(__xludf.DUMMYFUNCTION("""COMPUTED_VALUE"""),15)</f>
        <v>15</v>
      </c>
      <c r="E147" s="1">
        <f ca="1">IFERROR(__xludf.DUMMYFUNCTION("""COMPUTED_VALUE"""),0.516)</f>
        <v>0.51600000000000001</v>
      </c>
      <c r="F147" s="1">
        <f ca="1">IFERROR(__xludf.DUMMYFUNCTION("""COMPUTED_VALUE"""),-3.13)</f>
        <v>-3.13</v>
      </c>
      <c r="G147" s="1">
        <f ca="1">IFERROR(__xludf.DUMMYFUNCTION("""COMPUTED_VALUE"""),-3.41)</f>
        <v>-3.41</v>
      </c>
      <c r="H147" s="1">
        <f ca="1">IFERROR(__xludf.DUMMYFUNCTION("""COMPUTED_VALUE"""),9)</f>
        <v>9</v>
      </c>
      <c r="I147" s="1">
        <f ca="1">IFERROR(__xludf.DUMMYFUNCTION("""COMPUTED_VALUE"""),7)</f>
        <v>7</v>
      </c>
      <c r="J147" s="1">
        <f ca="1">IFERROR(__xludf.DUMMYFUNCTION("""COMPUTED_VALUE"""),10)</f>
        <v>10</v>
      </c>
      <c r="K147" s="1">
        <f ca="1">IFERROR(__xludf.DUMMYFUNCTION("""COMPUTED_VALUE"""),5)</f>
        <v>5</v>
      </c>
      <c r="L147" s="1">
        <f ca="1">IFERROR(__xludf.DUMMYFUNCTION("""COMPUTED_VALUE"""),6)</f>
        <v>6</v>
      </c>
      <c r="M147" s="1">
        <f ca="1">IFERROR(__xludf.DUMMYFUNCTION("""COMPUTED_VALUE"""),9)</f>
        <v>9</v>
      </c>
      <c r="N147" s="1">
        <f ca="1">IFERROR(__xludf.DUMMYFUNCTION("""COMPUTED_VALUE"""),2171)</f>
        <v>2171</v>
      </c>
      <c r="O147" s="1">
        <f ca="1">IFERROR(__xludf.DUMMYFUNCTION("""COMPUTED_VALUE"""),2081)</f>
        <v>2081</v>
      </c>
      <c r="P147" s="1">
        <f ca="1">IFERROR(__xludf.DUMMYFUNCTION("""COMPUTED_VALUE"""),1240)</f>
        <v>1240</v>
      </c>
      <c r="Q147" s="1">
        <f ca="1">IFERROR(__xludf.DUMMYFUNCTION("""COMPUTED_VALUE"""),754)</f>
        <v>754</v>
      </c>
      <c r="R147" s="1">
        <f ca="1">IFERROR(__xludf.DUMMYFUNCTION("""COMPUTED_VALUE"""),1603)</f>
        <v>1603</v>
      </c>
      <c r="S147" s="1">
        <f ca="1">IFERROR(__xludf.DUMMYFUNCTION("""COMPUTED_VALUE"""),0.47)</f>
        <v>0.47</v>
      </c>
      <c r="T147" s="1">
        <f ca="1">IFERROR(__xludf.DUMMYFUNCTION("""COMPUTED_VALUE"""),221)</f>
        <v>221</v>
      </c>
      <c r="U147" s="1">
        <f ca="1">IFERROR(__xludf.DUMMYFUNCTION("""COMPUTED_VALUE"""),619)</f>
        <v>619</v>
      </c>
      <c r="V147" s="1">
        <f ca="1">IFERROR(__xludf.DUMMYFUNCTION("""COMPUTED_VALUE"""),0.357)</f>
        <v>0.35699999999999998</v>
      </c>
      <c r="W147" s="1">
        <f ca="1">IFERROR(__xludf.DUMMYFUNCTION("""COMPUTED_VALUE"""),442)</f>
        <v>442</v>
      </c>
      <c r="X147" s="1">
        <f ca="1">IFERROR(__xludf.DUMMYFUNCTION("""COMPUTED_VALUE"""),645)</f>
        <v>645</v>
      </c>
      <c r="Y147" s="1">
        <f ca="1">IFERROR(__xludf.DUMMYFUNCTION("""COMPUTED_VALUE"""),0.685)</f>
        <v>0.68500000000000005</v>
      </c>
      <c r="Z147" s="1">
        <f ca="1">IFERROR(__xludf.DUMMYFUNCTION("""COMPUTED_VALUE"""),242)</f>
        <v>242</v>
      </c>
      <c r="AA147" s="1">
        <f ca="1">IFERROR(__xludf.DUMMYFUNCTION("""COMPUTED_VALUE"""),1001)</f>
        <v>1001</v>
      </c>
      <c r="AB147" s="1">
        <f ca="1">IFERROR(__xludf.DUMMYFUNCTION("""COMPUTED_VALUE"""),444)</f>
        <v>444</v>
      </c>
      <c r="AC147" s="1">
        <f ca="1">IFERROR(__xludf.DUMMYFUNCTION("""COMPUTED_VALUE"""),178)</f>
        <v>178</v>
      </c>
      <c r="AD147" s="1">
        <f ca="1">IFERROR(__xludf.DUMMYFUNCTION("""COMPUTED_VALUE"""),92)</f>
        <v>92</v>
      </c>
      <c r="AE147" s="1">
        <f ca="1">IFERROR(__xludf.DUMMYFUNCTION("""COMPUTED_VALUE"""),365)</f>
        <v>365</v>
      </c>
      <c r="AF147" s="1">
        <f ca="1">IFERROR(__xludf.DUMMYFUNCTION("""COMPUTED_VALUE"""),502)</f>
        <v>502</v>
      </c>
    </row>
    <row r="148" spans="1:32" ht="12.5" x14ac:dyDescent="0.25">
      <c r="A148" s="1" t="str">
        <f ca="1">IFERROR(__xludf.DUMMYFUNCTION("""COMPUTED_VALUE"""),"IUPUI")</f>
        <v>IUPUI</v>
      </c>
      <c r="B148" s="1">
        <f ca="1">IFERROR(__xludf.DUMMYFUNCTION("""COMPUTED_VALUE"""),31)</f>
        <v>31</v>
      </c>
      <c r="C148" s="1">
        <f ca="1">IFERROR(__xludf.DUMMYFUNCTION("""COMPUTED_VALUE"""),10)</f>
        <v>10</v>
      </c>
      <c r="D148" s="1">
        <f ca="1">IFERROR(__xludf.DUMMYFUNCTION("""COMPUTED_VALUE"""),21)</f>
        <v>21</v>
      </c>
      <c r="E148" s="1">
        <f ca="1">IFERROR(__xludf.DUMMYFUNCTION("""COMPUTED_VALUE"""),0.323)</f>
        <v>0.32300000000000001</v>
      </c>
      <c r="F148" s="1">
        <f ca="1">IFERROR(__xludf.DUMMYFUNCTION("""COMPUTED_VALUE"""),-8.28)</f>
        <v>-8.2799999999999994</v>
      </c>
      <c r="G148" s="1">
        <f ca="1">IFERROR(__xludf.DUMMYFUNCTION("""COMPUTED_VALUE"""),-1.93)</f>
        <v>-1.93</v>
      </c>
      <c r="H148" s="1">
        <f ca="1">IFERROR(__xludf.DUMMYFUNCTION("""COMPUTED_VALUE"""),6)</f>
        <v>6</v>
      </c>
      <c r="I148" s="1">
        <f ca="1">IFERROR(__xludf.DUMMYFUNCTION("""COMPUTED_VALUE"""),10)</f>
        <v>10</v>
      </c>
      <c r="J148" s="1">
        <f ca="1">IFERROR(__xludf.DUMMYFUNCTION("""COMPUTED_VALUE"""),5)</f>
        <v>5</v>
      </c>
      <c r="K148" s="1">
        <f ca="1">IFERROR(__xludf.DUMMYFUNCTION("""COMPUTED_VALUE"""),8)</f>
        <v>8</v>
      </c>
      <c r="L148" s="1">
        <f ca="1">IFERROR(__xludf.DUMMYFUNCTION("""COMPUTED_VALUE"""),5)</f>
        <v>5</v>
      </c>
      <c r="M148" s="1">
        <f ca="1">IFERROR(__xludf.DUMMYFUNCTION("""COMPUTED_VALUE"""),12)</f>
        <v>12</v>
      </c>
      <c r="N148" s="1">
        <f ca="1">IFERROR(__xludf.DUMMYFUNCTION("""COMPUTED_VALUE"""),1883)</f>
        <v>1883</v>
      </c>
      <c r="O148" s="1">
        <f ca="1">IFERROR(__xludf.DUMMYFUNCTION("""COMPUTED_VALUE"""),2080)</f>
        <v>2080</v>
      </c>
      <c r="P148" s="1">
        <f ca="1">IFERROR(__xludf.DUMMYFUNCTION("""COMPUTED_VALUE"""),1275)</f>
        <v>1275</v>
      </c>
      <c r="Q148" s="1">
        <f ca="1">IFERROR(__xludf.DUMMYFUNCTION("""COMPUTED_VALUE"""),692)</f>
        <v>692</v>
      </c>
      <c r="R148" s="1">
        <f ca="1">IFERROR(__xludf.DUMMYFUNCTION("""COMPUTED_VALUE"""),1623)</f>
        <v>1623</v>
      </c>
      <c r="S148" s="1">
        <f ca="1">IFERROR(__xludf.DUMMYFUNCTION("""COMPUTED_VALUE"""),0.426)</f>
        <v>0.42599999999999999</v>
      </c>
      <c r="T148" s="1">
        <f ca="1">IFERROR(__xludf.DUMMYFUNCTION("""COMPUTED_VALUE"""),126)</f>
        <v>126</v>
      </c>
      <c r="U148" s="1">
        <f ca="1">IFERROR(__xludf.DUMMYFUNCTION("""COMPUTED_VALUE"""),426)</f>
        <v>426</v>
      </c>
      <c r="V148" s="1">
        <f ca="1">IFERROR(__xludf.DUMMYFUNCTION("""COMPUTED_VALUE"""),0.296)</f>
        <v>0.29599999999999999</v>
      </c>
      <c r="W148" s="1">
        <f ca="1">IFERROR(__xludf.DUMMYFUNCTION("""COMPUTED_VALUE"""),373)</f>
        <v>373</v>
      </c>
      <c r="X148" s="1">
        <f ca="1">IFERROR(__xludf.DUMMYFUNCTION("""COMPUTED_VALUE"""),532)</f>
        <v>532</v>
      </c>
      <c r="Y148" s="1">
        <f ca="1">IFERROR(__xludf.DUMMYFUNCTION("""COMPUTED_VALUE"""),0.701)</f>
        <v>0.70099999999999996</v>
      </c>
      <c r="Z148" s="1">
        <f ca="1">IFERROR(__xludf.DUMMYFUNCTION("""COMPUTED_VALUE"""),318)</f>
        <v>318</v>
      </c>
      <c r="AA148" s="1">
        <f ca="1">IFERROR(__xludf.DUMMYFUNCTION("""COMPUTED_VALUE"""),1009)</f>
        <v>1009</v>
      </c>
      <c r="AB148" s="1">
        <f ca="1">IFERROR(__xludf.DUMMYFUNCTION("""COMPUTED_VALUE"""),348)</f>
        <v>348</v>
      </c>
      <c r="AC148" s="1">
        <f ca="1">IFERROR(__xludf.DUMMYFUNCTION("""COMPUTED_VALUE"""),218)</f>
        <v>218</v>
      </c>
      <c r="AD148" s="1">
        <f ca="1">IFERROR(__xludf.DUMMYFUNCTION("""COMPUTED_VALUE"""),65)</f>
        <v>65</v>
      </c>
      <c r="AE148" s="1">
        <f ca="1">IFERROR(__xludf.DUMMYFUNCTION("""COMPUTED_VALUE"""),482)</f>
        <v>482</v>
      </c>
      <c r="AF148" s="1">
        <f ca="1">IFERROR(__xludf.DUMMYFUNCTION("""COMPUTED_VALUE"""),635)</f>
        <v>635</v>
      </c>
    </row>
    <row r="149" spans="1:32" ht="12.5" x14ac:dyDescent="0.25">
      <c r="A149" s="1" t="str">
        <f ca="1">IFERROR(__xludf.DUMMYFUNCTION("""COMPUTED_VALUE"""),"Jackson State")</f>
        <v>Jackson State</v>
      </c>
      <c r="B149" s="1">
        <f ca="1">IFERROR(__xludf.DUMMYFUNCTION("""COMPUTED_VALUE"""),32)</f>
        <v>32</v>
      </c>
      <c r="C149" s="1">
        <f ca="1">IFERROR(__xludf.DUMMYFUNCTION("""COMPUTED_VALUE"""),11)</f>
        <v>11</v>
      </c>
      <c r="D149" s="1">
        <f ca="1">IFERROR(__xludf.DUMMYFUNCTION("""COMPUTED_VALUE"""),21)</f>
        <v>21</v>
      </c>
      <c r="E149" s="1">
        <f ca="1">IFERROR(__xludf.DUMMYFUNCTION("""COMPUTED_VALUE"""),0.344)</f>
        <v>0.34399999999999997</v>
      </c>
      <c r="F149" s="1">
        <f ca="1">IFERROR(__xludf.DUMMYFUNCTION("""COMPUTED_VALUE"""),-12.36)</f>
        <v>-12.36</v>
      </c>
      <c r="G149" s="1">
        <f ca="1">IFERROR(__xludf.DUMMYFUNCTION("""COMPUTED_VALUE"""),-9.52)</f>
        <v>-9.52</v>
      </c>
      <c r="H149" s="1">
        <f ca="1">IFERROR(__xludf.DUMMYFUNCTION("""COMPUTED_VALUE"""),9)</f>
        <v>9</v>
      </c>
      <c r="I149" s="1">
        <f ca="1">IFERROR(__xludf.DUMMYFUNCTION("""COMPUTED_VALUE"""),9)</f>
        <v>9</v>
      </c>
      <c r="J149" s="1">
        <f ca="1">IFERROR(__xludf.DUMMYFUNCTION("""COMPUTED_VALUE"""),6)</f>
        <v>6</v>
      </c>
      <c r="K149" s="1">
        <f ca="1">IFERROR(__xludf.DUMMYFUNCTION("""COMPUTED_VALUE"""),6)</f>
        <v>6</v>
      </c>
      <c r="L149" s="1">
        <f ca="1">IFERROR(__xludf.DUMMYFUNCTION("""COMPUTED_VALUE"""),5)</f>
        <v>5</v>
      </c>
      <c r="M149" s="1">
        <f ca="1">IFERROR(__xludf.DUMMYFUNCTION("""COMPUTED_VALUE"""),14)</f>
        <v>14</v>
      </c>
      <c r="N149" s="1">
        <f ca="1">IFERROR(__xludf.DUMMYFUNCTION("""COMPUTED_VALUE"""),1941)</f>
        <v>1941</v>
      </c>
      <c r="O149" s="1">
        <f ca="1">IFERROR(__xludf.DUMMYFUNCTION("""COMPUTED_VALUE"""),2032)</f>
        <v>2032</v>
      </c>
      <c r="P149" s="1">
        <f ca="1">IFERROR(__xludf.DUMMYFUNCTION("""COMPUTED_VALUE"""),1290)</f>
        <v>1290</v>
      </c>
      <c r="Q149" s="1">
        <f ca="1">IFERROR(__xludf.DUMMYFUNCTION("""COMPUTED_VALUE"""),701)</f>
        <v>701</v>
      </c>
      <c r="R149" s="1">
        <f ca="1">IFERROR(__xludf.DUMMYFUNCTION("""COMPUTED_VALUE"""),1812)</f>
        <v>1812</v>
      </c>
      <c r="S149" s="1">
        <f ca="1">IFERROR(__xludf.DUMMYFUNCTION("""COMPUTED_VALUE"""),0.387)</f>
        <v>0.38700000000000001</v>
      </c>
      <c r="T149" s="1">
        <f ca="1">IFERROR(__xludf.DUMMYFUNCTION("""COMPUTED_VALUE"""),153)</f>
        <v>153</v>
      </c>
      <c r="U149" s="1">
        <f ca="1">IFERROR(__xludf.DUMMYFUNCTION("""COMPUTED_VALUE"""),558)</f>
        <v>558</v>
      </c>
      <c r="V149" s="1">
        <f ca="1">IFERROR(__xludf.DUMMYFUNCTION("""COMPUTED_VALUE"""),0.274)</f>
        <v>0.27400000000000002</v>
      </c>
      <c r="W149" s="1">
        <f ca="1">IFERROR(__xludf.DUMMYFUNCTION("""COMPUTED_VALUE"""),386)</f>
        <v>386</v>
      </c>
      <c r="X149" s="1">
        <f ca="1">IFERROR(__xludf.DUMMYFUNCTION("""COMPUTED_VALUE"""),597)</f>
        <v>597</v>
      </c>
      <c r="Y149" s="1">
        <f ca="1">IFERROR(__xludf.DUMMYFUNCTION("""COMPUTED_VALUE"""),0.647)</f>
        <v>0.64700000000000002</v>
      </c>
      <c r="Z149" s="1">
        <f ca="1">IFERROR(__xludf.DUMMYFUNCTION("""COMPUTED_VALUE"""),460)</f>
        <v>460</v>
      </c>
      <c r="AA149" s="1">
        <f ca="1">IFERROR(__xludf.DUMMYFUNCTION("""COMPUTED_VALUE"""),1188)</f>
        <v>1188</v>
      </c>
      <c r="AB149" s="1">
        <f ca="1">IFERROR(__xludf.DUMMYFUNCTION("""COMPUTED_VALUE"""),324)</f>
        <v>324</v>
      </c>
      <c r="AC149" s="1">
        <f ca="1">IFERROR(__xludf.DUMMYFUNCTION("""COMPUTED_VALUE"""),203)</f>
        <v>203</v>
      </c>
      <c r="AD149" s="1">
        <f ca="1">IFERROR(__xludf.DUMMYFUNCTION("""COMPUTED_VALUE"""),81)</f>
        <v>81</v>
      </c>
      <c r="AE149" s="1">
        <f ca="1">IFERROR(__xludf.DUMMYFUNCTION("""COMPUTED_VALUE"""),459)</f>
        <v>459</v>
      </c>
      <c r="AF149" s="1">
        <f ca="1">IFERROR(__xludf.DUMMYFUNCTION("""COMPUTED_VALUE"""),695)</f>
        <v>695</v>
      </c>
    </row>
    <row r="150" spans="1:32" ht="12.5" x14ac:dyDescent="0.25">
      <c r="A150" s="1" t="str">
        <f ca="1">IFERROR(__xludf.DUMMYFUNCTION("""COMPUTED_VALUE"""),"Jacksonville State")</f>
        <v>Jacksonville State</v>
      </c>
      <c r="B150" s="1">
        <f ca="1">IFERROR(__xludf.DUMMYFUNCTION("""COMPUTED_VALUE"""),31)</f>
        <v>31</v>
      </c>
      <c r="C150" s="1">
        <f ca="1">IFERROR(__xludf.DUMMYFUNCTION("""COMPUTED_VALUE"""),12)</f>
        <v>12</v>
      </c>
      <c r="D150" s="1">
        <f ca="1">IFERROR(__xludf.DUMMYFUNCTION("""COMPUTED_VALUE"""),19)</f>
        <v>19</v>
      </c>
      <c r="E150" s="1">
        <f ca="1">IFERROR(__xludf.DUMMYFUNCTION("""COMPUTED_VALUE"""),0.387)</f>
        <v>0.38700000000000001</v>
      </c>
      <c r="F150" s="1">
        <f ca="1">IFERROR(__xludf.DUMMYFUNCTION("""COMPUTED_VALUE"""),-12.65)</f>
        <v>-12.65</v>
      </c>
      <c r="G150" s="1">
        <f ca="1">IFERROR(__xludf.DUMMYFUNCTION("""COMPUTED_VALUE"""),-4.52)</f>
        <v>-4.5199999999999996</v>
      </c>
      <c r="H150" s="1">
        <f ca="1">IFERROR(__xludf.DUMMYFUNCTION("""COMPUTED_VALUE"""),5)</f>
        <v>5</v>
      </c>
      <c r="I150" s="1">
        <f ca="1">IFERROR(__xludf.DUMMYFUNCTION("""COMPUTED_VALUE"""),11)</f>
        <v>11</v>
      </c>
      <c r="J150" s="1">
        <f ca="1">IFERROR(__xludf.DUMMYFUNCTION("""COMPUTED_VALUE"""),11)</f>
        <v>11</v>
      </c>
      <c r="K150" s="1">
        <f ca="1">IFERROR(__xludf.DUMMYFUNCTION("""COMPUTED_VALUE"""),3)</f>
        <v>3</v>
      </c>
      <c r="L150" s="1">
        <f ca="1">IFERROR(__xludf.DUMMYFUNCTION("""COMPUTED_VALUE"""),1)</f>
        <v>1</v>
      </c>
      <c r="M150" s="1">
        <f ca="1">IFERROR(__xludf.DUMMYFUNCTION("""COMPUTED_VALUE"""),16)</f>
        <v>16</v>
      </c>
      <c r="N150" s="1">
        <f ca="1">IFERROR(__xludf.DUMMYFUNCTION("""COMPUTED_VALUE"""),1939)</f>
        <v>1939</v>
      </c>
      <c r="O150" s="1">
        <f ca="1">IFERROR(__xludf.DUMMYFUNCTION("""COMPUTED_VALUE"""),2126)</f>
        <v>2126</v>
      </c>
      <c r="P150" s="1">
        <f ca="1">IFERROR(__xludf.DUMMYFUNCTION("""COMPUTED_VALUE"""),1255)</f>
        <v>1255</v>
      </c>
      <c r="Q150" s="1">
        <f ca="1">IFERROR(__xludf.DUMMYFUNCTION("""COMPUTED_VALUE"""),647)</f>
        <v>647</v>
      </c>
      <c r="R150" s="1">
        <f ca="1">IFERROR(__xludf.DUMMYFUNCTION("""COMPUTED_VALUE"""),1698)</f>
        <v>1698</v>
      </c>
      <c r="S150" s="1">
        <f ca="1">IFERROR(__xludf.DUMMYFUNCTION("""COMPUTED_VALUE"""),0.381)</f>
        <v>0.38100000000000001</v>
      </c>
      <c r="T150" s="1">
        <f ca="1">IFERROR(__xludf.DUMMYFUNCTION("""COMPUTED_VALUE"""),179)</f>
        <v>179</v>
      </c>
      <c r="U150" s="1">
        <f ca="1">IFERROR(__xludf.DUMMYFUNCTION("""COMPUTED_VALUE"""),598)</f>
        <v>598</v>
      </c>
      <c r="V150" s="1">
        <f ca="1">IFERROR(__xludf.DUMMYFUNCTION("""COMPUTED_VALUE"""),0.299)</f>
        <v>0.29899999999999999</v>
      </c>
      <c r="W150" s="1">
        <f ca="1">IFERROR(__xludf.DUMMYFUNCTION("""COMPUTED_VALUE"""),466)</f>
        <v>466</v>
      </c>
      <c r="X150" s="1">
        <f ca="1">IFERROR(__xludf.DUMMYFUNCTION("""COMPUTED_VALUE"""),651)</f>
        <v>651</v>
      </c>
      <c r="Y150" s="1">
        <f ca="1">IFERROR(__xludf.DUMMYFUNCTION("""COMPUTED_VALUE"""),0.716)</f>
        <v>0.71599999999999997</v>
      </c>
      <c r="Z150" s="1">
        <f ca="1">IFERROR(__xludf.DUMMYFUNCTION("""COMPUTED_VALUE"""),346)</f>
        <v>346</v>
      </c>
      <c r="AA150" s="1">
        <f ca="1">IFERROR(__xludf.DUMMYFUNCTION("""COMPUTED_VALUE"""),1043)</f>
        <v>1043</v>
      </c>
      <c r="AB150" s="1">
        <f ca="1">IFERROR(__xludf.DUMMYFUNCTION("""COMPUTED_VALUE"""),371)</f>
        <v>371</v>
      </c>
      <c r="AC150" s="1">
        <f ca="1">IFERROR(__xludf.DUMMYFUNCTION("""COMPUTED_VALUE"""),191)</f>
        <v>191</v>
      </c>
      <c r="AD150" s="1">
        <f ca="1">IFERROR(__xludf.DUMMYFUNCTION("""COMPUTED_VALUE"""),129)</f>
        <v>129</v>
      </c>
      <c r="AE150" s="1">
        <f ca="1">IFERROR(__xludf.DUMMYFUNCTION("""COMPUTED_VALUE"""),377)</f>
        <v>377</v>
      </c>
      <c r="AF150" s="1">
        <f ca="1">IFERROR(__xludf.DUMMYFUNCTION("""COMPUTED_VALUE"""),606)</f>
        <v>606</v>
      </c>
    </row>
    <row r="151" spans="1:32" ht="12.5" x14ac:dyDescent="0.25">
      <c r="A151" s="1" t="str">
        <f ca="1">IFERROR(__xludf.DUMMYFUNCTION("""COMPUTED_VALUE"""),"Jacksonville")</f>
        <v>Jacksonville</v>
      </c>
      <c r="B151" s="1">
        <f ca="1">IFERROR(__xludf.DUMMYFUNCTION("""COMPUTED_VALUE"""),32)</f>
        <v>32</v>
      </c>
      <c r="C151" s="1">
        <f ca="1">IFERROR(__xludf.DUMMYFUNCTION("""COMPUTED_VALUE"""),10)</f>
        <v>10</v>
      </c>
      <c r="D151" s="1">
        <f ca="1">IFERROR(__xludf.DUMMYFUNCTION("""COMPUTED_VALUE"""),22)</f>
        <v>22</v>
      </c>
      <c r="E151" s="1">
        <f ca="1">IFERROR(__xludf.DUMMYFUNCTION("""COMPUTED_VALUE"""),0.313)</f>
        <v>0.313</v>
      </c>
      <c r="F151" s="1">
        <f ca="1">IFERROR(__xludf.DUMMYFUNCTION("""COMPUTED_VALUE"""),-16.7)</f>
        <v>-16.7</v>
      </c>
      <c r="G151" s="1">
        <f ca="1">IFERROR(__xludf.DUMMYFUNCTION("""COMPUTED_VALUE"""),-6.46)</f>
        <v>-6.46</v>
      </c>
      <c r="H151" s="1">
        <f ca="1">IFERROR(__xludf.DUMMYFUNCTION("""COMPUTED_VALUE"""),4)</f>
        <v>4</v>
      </c>
      <c r="I151" s="1">
        <f ca="1">IFERROR(__xludf.DUMMYFUNCTION("""COMPUTED_VALUE"""),10)</f>
        <v>10</v>
      </c>
      <c r="J151" s="1">
        <f ca="1">IFERROR(__xludf.DUMMYFUNCTION("""COMPUTED_VALUE"""),8)</f>
        <v>8</v>
      </c>
      <c r="K151" s="1">
        <f ca="1">IFERROR(__xludf.DUMMYFUNCTION("""COMPUTED_VALUE"""),7)</f>
        <v>7</v>
      </c>
      <c r="L151" s="1">
        <f ca="1">IFERROR(__xludf.DUMMYFUNCTION("""COMPUTED_VALUE"""),2)</f>
        <v>2</v>
      </c>
      <c r="M151" s="1">
        <f ca="1">IFERROR(__xludf.DUMMYFUNCTION("""COMPUTED_VALUE"""),15)</f>
        <v>15</v>
      </c>
      <c r="N151" s="1">
        <f ca="1">IFERROR(__xludf.DUMMYFUNCTION("""COMPUTED_VALUE"""),2058)</f>
        <v>2058</v>
      </c>
      <c r="O151" s="1">
        <f ca="1">IFERROR(__xludf.DUMMYFUNCTION("""COMPUTED_VALUE"""),2303)</f>
        <v>2303</v>
      </c>
      <c r="P151" s="1">
        <f ca="1">IFERROR(__xludf.DUMMYFUNCTION("""COMPUTED_VALUE"""),1300)</f>
        <v>1300</v>
      </c>
      <c r="Q151" s="1">
        <f ca="1">IFERROR(__xludf.DUMMYFUNCTION("""COMPUTED_VALUE"""),701)</f>
        <v>701</v>
      </c>
      <c r="R151" s="1">
        <f ca="1">IFERROR(__xludf.DUMMYFUNCTION("""COMPUTED_VALUE"""),1710)</f>
        <v>1710</v>
      </c>
      <c r="S151" s="1">
        <f ca="1">IFERROR(__xludf.DUMMYFUNCTION("""COMPUTED_VALUE"""),0.41)</f>
        <v>0.41</v>
      </c>
      <c r="T151" s="1">
        <f ca="1">IFERROR(__xludf.DUMMYFUNCTION("""COMPUTED_VALUE"""),203)</f>
        <v>203</v>
      </c>
      <c r="U151" s="1">
        <f ca="1">IFERROR(__xludf.DUMMYFUNCTION("""COMPUTED_VALUE"""),566)</f>
        <v>566</v>
      </c>
      <c r="V151" s="1">
        <f ca="1">IFERROR(__xludf.DUMMYFUNCTION("""COMPUTED_VALUE"""),0.359)</f>
        <v>0.35899999999999999</v>
      </c>
      <c r="W151" s="1">
        <f ca="1">IFERROR(__xludf.DUMMYFUNCTION("""COMPUTED_VALUE"""),453)</f>
        <v>453</v>
      </c>
      <c r="X151" s="1">
        <f ca="1">IFERROR(__xludf.DUMMYFUNCTION("""COMPUTED_VALUE"""),685)</f>
        <v>685</v>
      </c>
      <c r="Y151" s="1">
        <f ca="1">IFERROR(__xludf.DUMMYFUNCTION("""COMPUTED_VALUE"""),0.661)</f>
        <v>0.66100000000000003</v>
      </c>
      <c r="Z151" s="1">
        <f ca="1">IFERROR(__xludf.DUMMYFUNCTION("""COMPUTED_VALUE"""),317)</f>
        <v>317</v>
      </c>
      <c r="AA151" s="1">
        <f ca="1">IFERROR(__xludf.DUMMYFUNCTION("""COMPUTED_VALUE"""),1008)</f>
        <v>1008</v>
      </c>
      <c r="AB151" s="1">
        <f ca="1">IFERROR(__xludf.DUMMYFUNCTION("""COMPUTED_VALUE"""),341)</f>
        <v>341</v>
      </c>
      <c r="AC151" s="1">
        <f ca="1">IFERROR(__xludf.DUMMYFUNCTION("""COMPUTED_VALUE"""),207)</f>
        <v>207</v>
      </c>
      <c r="AD151" s="1">
        <f ca="1">IFERROR(__xludf.DUMMYFUNCTION("""COMPUTED_VALUE"""),79)</f>
        <v>79</v>
      </c>
      <c r="AE151" s="1">
        <f ca="1">IFERROR(__xludf.DUMMYFUNCTION("""COMPUTED_VALUE"""),394)</f>
        <v>394</v>
      </c>
      <c r="AF151" s="1">
        <f ca="1">IFERROR(__xludf.DUMMYFUNCTION("""COMPUTED_VALUE"""),578)</f>
        <v>578</v>
      </c>
    </row>
    <row r="152" spans="1:32" ht="12.5" x14ac:dyDescent="0.25">
      <c r="A152" s="1" t="str">
        <f ca="1">IFERROR(__xludf.DUMMYFUNCTION("""COMPUTED_VALUE"""),"James Madison")</f>
        <v>James Madison</v>
      </c>
      <c r="B152" s="1">
        <f ca="1">IFERROR(__xludf.DUMMYFUNCTION("""COMPUTED_VALUE"""),33)</f>
        <v>33</v>
      </c>
      <c r="C152" s="1">
        <f ca="1">IFERROR(__xludf.DUMMYFUNCTION("""COMPUTED_VALUE"""),19)</f>
        <v>19</v>
      </c>
      <c r="D152" s="1">
        <f ca="1">IFERROR(__xludf.DUMMYFUNCTION("""COMPUTED_VALUE"""),14)</f>
        <v>14</v>
      </c>
      <c r="E152" s="1">
        <f ca="1">IFERROR(__xludf.DUMMYFUNCTION("""COMPUTED_VALUE"""),0.576)</f>
        <v>0.57599999999999996</v>
      </c>
      <c r="F152" s="1">
        <f ca="1">IFERROR(__xludf.DUMMYFUNCTION("""COMPUTED_VALUE"""),-2.65)</f>
        <v>-2.65</v>
      </c>
      <c r="G152" s="1">
        <f ca="1">IFERROR(__xludf.DUMMYFUNCTION("""COMPUTED_VALUE"""),-1.53)</f>
        <v>-1.53</v>
      </c>
      <c r="H152" s="1">
        <f ca="1">IFERROR(__xludf.DUMMYFUNCTION("""COMPUTED_VALUE"""),12)</f>
        <v>12</v>
      </c>
      <c r="I152" s="1">
        <f ca="1">IFERROR(__xludf.DUMMYFUNCTION("""COMPUTED_VALUE"""),6)</f>
        <v>6</v>
      </c>
      <c r="J152" s="1">
        <f ca="1">IFERROR(__xludf.DUMMYFUNCTION("""COMPUTED_VALUE"""),12)</f>
        <v>12</v>
      </c>
      <c r="K152" s="1">
        <f ca="1">IFERROR(__xludf.DUMMYFUNCTION("""COMPUTED_VALUE"""),7)</f>
        <v>7</v>
      </c>
      <c r="L152" s="1">
        <f ca="1">IFERROR(__xludf.DUMMYFUNCTION("""COMPUTED_VALUE"""),7)</f>
        <v>7</v>
      </c>
      <c r="M152" s="1">
        <f ca="1">IFERROR(__xludf.DUMMYFUNCTION("""COMPUTED_VALUE"""),6)</f>
        <v>6</v>
      </c>
      <c r="N152" s="1">
        <f ca="1">IFERROR(__xludf.DUMMYFUNCTION("""COMPUTED_VALUE"""),2217)</f>
        <v>2217</v>
      </c>
      <c r="O152" s="1">
        <f ca="1">IFERROR(__xludf.DUMMYFUNCTION("""COMPUTED_VALUE"""),2254)</f>
        <v>2254</v>
      </c>
      <c r="P152" s="1">
        <f ca="1">IFERROR(__xludf.DUMMYFUNCTION("""COMPUTED_VALUE"""),1325)</f>
        <v>1325</v>
      </c>
      <c r="Q152" s="1">
        <f ca="1">IFERROR(__xludf.DUMMYFUNCTION("""COMPUTED_VALUE"""),748)</f>
        <v>748</v>
      </c>
      <c r="R152" s="1">
        <f ca="1">IFERROR(__xludf.DUMMYFUNCTION("""COMPUTED_VALUE"""),1660)</f>
        <v>1660</v>
      </c>
      <c r="S152" s="1">
        <f ca="1">IFERROR(__xludf.DUMMYFUNCTION("""COMPUTED_VALUE"""),0.451)</f>
        <v>0.45100000000000001</v>
      </c>
      <c r="T152" s="1">
        <f ca="1">IFERROR(__xludf.DUMMYFUNCTION("""COMPUTED_VALUE"""),228)</f>
        <v>228</v>
      </c>
      <c r="U152" s="1">
        <f ca="1">IFERROR(__xludf.DUMMYFUNCTION("""COMPUTED_VALUE"""),613)</f>
        <v>613</v>
      </c>
      <c r="V152" s="1">
        <f ca="1">IFERROR(__xludf.DUMMYFUNCTION("""COMPUTED_VALUE"""),0.372)</f>
        <v>0.372</v>
      </c>
      <c r="W152" s="1">
        <f ca="1">IFERROR(__xludf.DUMMYFUNCTION("""COMPUTED_VALUE"""),493)</f>
        <v>493</v>
      </c>
      <c r="X152" s="1">
        <f ca="1">IFERROR(__xludf.DUMMYFUNCTION("""COMPUTED_VALUE"""),700)</f>
        <v>700</v>
      </c>
      <c r="Y152" s="1">
        <f ca="1">IFERROR(__xludf.DUMMYFUNCTION("""COMPUTED_VALUE"""),0.704)</f>
        <v>0.70399999999999996</v>
      </c>
      <c r="Z152" s="1">
        <f ca="1">IFERROR(__xludf.DUMMYFUNCTION("""COMPUTED_VALUE"""),299)</f>
        <v>299</v>
      </c>
      <c r="AA152" s="1">
        <f ca="1">IFERROR(__xludf.DUMMYFUNCTION("""COMPUTED_VALUE"""),1067)</f>
        <v>1067</v>
      </c>
      <c r="AB152" s="1">
        <f ca="1">IFERROR(__xludf.DUMMYFUNCTION("""COMPUTED_VALUE"""),419)</f>
        <v>419</v>
      </c>
      <c r="AC152" s="1">
        <f ca="1">IFERROR(__xludf.DUMMYFUNCTION("""COMPUTED_VALUE"""),212)</f>
        <v>212</v>
      </c>
      <c r="AD152" s="1">
        <f ca="1">IFERROR(__xludf.DUMMYFUNCTION("""COMPUTED_VALUE"""),78)</f>
        <v>78</v>
      </c>
      <c r="AE152" s="1">
        <f ca="1">IFERROR(__xludf.DUMMYFUNCTION("""COMPUTED_VALUE"""),431)</f>
        <v>431</v>
      </c>
      <c r="AF152" s="1">
        <f ca="1">IFERROR(__xludf.DUMMYFUNCTION("""COMPUTED_VALUE"""),531)</f>
        <v>531</v>
      </c>
    </row>
    <row r="153" spans="1:32" ht="12.5" x14ac:dyDescent="0.25">
      <c r="A153" s="1" t="str">
        <f ca="1">IFERROR(__xludf.DUMMYFUNCTION("""COMPUTED_VALUE"""),"Kansas State")</f>
        <v>Kansas State</v>
      </c>
      <c r="B153" s="1">
        <f ca="1">IFERROR(__xludf.DUMMYFUNCTION("""COMPUTED_VALUE"""),32)</f>
        <v>32</v>
      </c>
      <c r="C153" s="1">
        <f ca="1">IFERROR(__xludf.DUMMYFUNCTION("""COMPUTED_VALUE"""),15)</f>
        <v>15</v>
      </c>
      <c r="D153" s="1">
        <f ca="1">IFERROR(__xludf.DUMMYFUNCTION("""COMPUTED_VALUE"""),17)</f>
        <v>17</v>
      </c>
      <c r="E153" s="1">
        <f ca="1">IFERROR(__xludf.DUMMYFUNCTION("""COMPUTED_VALUE"""),0.469)</f>
        <v>0.46899999999999997</v>
      </c>
      <c r="F153" s="1">
        <f ca="1">IFERROR(__xludf.DUMMYFUNCTION("""COMPUTED_VALUE"""),8.48)</f>
        <v>8.48</v>
      </c>
      <c r="G153" s="1">
        <f ca="1">IFERROR(__xludf.DUMMYFUNCTION("""COMPUTED_VALUE"""),9.29)</f>
        <v>9.2899999999999991</v>
      </c>
      <c r="H153" s="1">
        <f ca="1">IFERROR(__xludf.DUMMYFUNCTION("""COMPUTED_VALUE"""),8)</f>
        <v>8</v>
      </c>
      <c r="I153" s="1">
        <f ca="1">IFERROR(__xludf.DUMMYFUNCTION("""COMPUTED_VALUE"""),10)</f>
        <v>10</v>
      </c>
      <c r="J153" s="1">
        <f ca="1">IFERROR(__xludf.DUMMYFUNCTION("""COMPUTED_VALUE"""),13)</f>
        <v>13</v>
      </c>
      <c r="K153" s="1">
        <f ca="1">IFERROR(__xludf.DUMMYFUNCTION("""COMPUTED_VALUE"""),4)</f>
        <v>4</v>
      </c>
      <c r="L153" s="1">
        <f ca="1">IFERROR(__xludf.DUMMYFUNCTION("""COMPUTED_VALUE"""),1)</f>
        <v>1</v>
      </c>
      <c r="M153" s="1">
        <f ca="1">IFERROR(__xludf.DUMMYFUNCTION("""COMPUTED_VALUE"""),10)</f>
        <v>10</v>
      </c>
      <c r="N153" s="1">
        <f ca="1">IFERROR(__xludf.DUMMYFUNCTION("""COMPUTED_VALUE"""),2016)</f>
        <v>2016</v>
      </c>
      <c r="O153" s="1">
        <f ca="1">IFERROR(__xludf.DUMMYFUNCTION("""COMPUTED_VALUE"""),2042)</f>
        <v>2042</v>
      </c>
      <c r="P153" s="1">
        <f ca="1">IFERROR(__xludf.DUMMYFUNCTION("""COMPUTED_VALUE"""),1285)</f>
        <v>1285</v>
      </c>
      <c r="Q153" s="1">
        <f ca="1">IFERROR(__xludf.DUMMYFUNCTION("""COMPUTED_VALUE"""),690)</f>
        <v>690</v>
      </c>
      <c r="R153" s="1">
        <f ca="1">IFERROR(__xludf.DUMMYFUNCTION("""COMPUTED_VALUE"""),1593)</f>
        <v>1593</v>
      </c>
      <c r="S153" s="1">
        <f ca="1">IFERROR(__xludf.DUMMYFUNCTION("""COMPUTED_VALUE"""),0.433)</f>
        <v>0.433</v>
      </c>
      <c r="T153" s="1">
        <f ca="1">IFERROR(__xludf.DUMMYFUNCTION("""COMPUTED_VALUE"""),141)</f>
        <v>141</v>
      </c>
      <c r="U153" s="1">
        <f ca="1">IFERROR(__xludf.DUMMYFUNCTION("""COMPUTED_VALUE"""),421)</f>
        <v>421</v>
      </c>
      <c r="V153" s="1">
        <f ca="1">IFERROR(__xludf.DUMMYFUNCTION("""COMPUTED_VALUE"""),0.335)</f>
        <v>0.33500000000000002</v>
      </c>
      <c r="W153" s="1">
        <f ca="1">IFERROR(__xludf.DUMMYFUNCTION("""COMPUTED_VALUE"""),495)</f>
        <v>495</v>
      </c>
      <c r="X153" s="1">
        <f ca="1">IFERROR(__xludf.DUMMYFUNCTION("""COMPUTED_VALUE"""),732)</f>
        <v>732</v>
      </c>
      <c r="Y153" s="1">
        <f ca="1">IFERROR(__xludf.DUMMYFUNCTION("""COMPUTED_VALUE"""),0.676)</f>
        <v>0.67600000000000005</v>
      </c>
      <c r="Z153" s="1">
        <f ca="1">IFERROR(__xludf.DUMMYFUNCTION("""COMPUTED_VALUE"""),338)</f>
        <v>338</v>
      </c>
      <c r="AA153" s="1">
        <f ca="1">IFERROR(__xludf.DUMMYFUNCTION("""COMPUTED_VALUE"""),1015)</f>
        <v>1015</v>
      </c>
      <c r="AB153" s="1">
        <f ca="1">IFERROR(__xludf.DUMMYFUNCTION("""COMPUTED_VALUE"""),417)</f>
        <v>417</v>
      </c>
      <c r="AC153" s="1">
        <f ca="1">IFERROR(__xludf.DUMMYFUNCTION("""COMPUTED_VALUE"""),195)</f>
        <v>195</v>
      </c>
      <c r="AD153" s="1">
        <f ca="1">IFERROR(__xludf.DUMMYFUNCTION("""COMPUTED_VALUE"""),74)</f>
        <v>74</v>
      </c>
      <c r="AE153" s="1">
        <f ca="1">IFERROR(__xludf.DUMMYFUNCTION("""COMPUTED_VALUE"""),424)</f>
        <v>424</v>
      </c>
      <c r="AF153" s="1">
        <f ca="1">IFERROR(__xludf.DUMMYFUNCTION("""COMPUTED_VALUE"""),639)</f>
        <v>639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IFERROR(__xludf.DUMMYFUNCTION("""COMPUTED_VALUE"""),"KansasNCAA")</f>
        <v>KansasNCAA</v>
      </c>
      <c r="B156" s="1">
        <f ca="1">IFERROR(__xludf.DUMMYFUNCTION("""COMPUTED_VALUE"""),36)</f>
        <v>36</v>
      </c>
      <c r="C156" s="1">
        <f ca="1">IFERROR(__xludf.DUMMYFUNCTION("""COMPUTED_VALUE"""),27)</f>
        <v>27</v>
      </c>
      <c r="D156" s="1">
        <f ca="1">IFERROR(__xludf.DUMMYFUNCTION("""COMPUTED_VALUE"""),9)</f>
        <v>9</v>
      </c>
      <c r="E156" s="1">
        <f ca="1">IFERROR(__xludf.DUMMYFUNCTION("""COMPUTED_VALUE"""),0.75)</f>
        <v>0.75</v>
      </c>
      <c r="F156" s="1">
        <f ca="1">IFERROR(__xludf.DUMMYFUNCTION("""COMPUTED_VALUE"""),18.47)</f>
        <v>18.47</v>
      </c>
      <c r="G156" s="1">
        <f ca="1">IFERROR(__xludf.DUMMYFUNCTION("""COMPUTED_VALUE"""),12.13)</f>
        <v>12.13</v>
      </c>
      <c r="H156" s="1">
        <f ca="1">IFERROR(__xludf.DUMMYFUNCTION("""COMPUTED_VALUE"""),13)</f>
        <v>13</v>
      </c>
      <c r="I156" s="1">
        <f ca="1">IFERROR(__xludf.DUMMYFUNCTION("""COMPUTED_VALUE"""),5)</f>
        <v>5</v>
      </c>
      <c r="J156" s="1">
        <f ca="1">IFERROR(__xludf.DUMMYFUNCTION("""COMPUTED_VALUE"""),15)</f>
        <v>15</v>
      </c>
      <c r="K156" s="1">
        <f ca="1">IFERROR(__xludf.DUMMYFUNCTION("""COMPUTED_VALUE"""),0)</f>
        <v>0</v>
      </c>
      <c r="L156" s="1">
        <f ca="1">IFERROR(__xludf.DUMMYFUNCTION("""COMPUTED_VALUE"""),5)</f>
        <v>5</v>
      </c>
      <c r="M156" s="1">
        <f ca="1">IFERROR(__xludf.DUMMYFUNCTION("""COMPUTED_VALUE"""),5)</f>
        <v>5</v>
      </c>
      <c r="N156" s="1">
        <f ca="1">IFERROR(__xludf.DUMMYFUNCTION("""COMPUTED_VALUE"""),2561)</f>
        <v>2561</v>
      </c>
      <c r="O156" s="1">
        <f ca="1">IFERROR(__xludf.DUMMYFUNCTION("""COMPUTED_VALUE"""),2333)</f>
        <v>2333</v>
      </c>
      <c r="P156" s="1">
        <f ca="1">IFERROR(__xludf.DUMMYFUNCTION("""COMPUTED_VALUE"""),1445)</f>
        <v>1445</v>
      </c>
      <c r="Q156" s="1">
        <f ca="1">IFERROR(__xludf.DUMMYFUNCTION("""COMPUTED_VALUE"""),869)</f>
        <v>869</v>
      </c>
      <c r="R156" s="1">
        <f ca="1">IFERROR(__xludf.DUMMYFUNCTION("""COMPUTED_VALUE"""),1976)</f>
        <v>1976</v>
      </c>
      <c r="S156" s="1">
        <f ca="1">IFERROR(__xludf.DUMMYFUNCTION("""COMPUTED_VALUE"""),0.44)</f>
        <v>0.44</v>
      </c>
      <c r="T156" s="1">
        <f ca="1">IFERROR(__xludf.DUMMYFUNCTION("""COMPUTED_VALUE"""),213)</f>
        <v>213</v>
      </c>
      <c r="U156" s="1">
        <f ca="1">IFERROR(__xludf.DUMMYFUNCTION("""COMPUTED_VALUE"""),562)</f>
        <v>562</v>
      </c>
      <c r="V156" s="1">
        <f ca="1">IFERROR(__xludf.DUMMYFUNCTION("""COMPUTED_VALUE"""),0.379)</f>
        <v>0.379</v>
      </c>
      <c r="W156" s="1">
        <f ca="1">IFERROR(__xludf.DUMMYFUNCTION("""COMPUTED_VALUE"""),610)</f>
        <v>610</v>
      </c>
      <c r="X156" s="1">
        <f ca="1">IFERROR(__xludf.DUMMYFUNCTION("""COMPUTED_VALUE"""),842)</f>
        <v>842</v>
      </c>
      <c r="Y156" s="1">
        <f ca="1">IFERROR(__xludf.DUMMYFUNCTION("""COMPUTED_VALUE"""),0.724)</f>
        <v>0.72399999999999998</v>
      </c>
      <c r="Z156" s="1">
        <f ca="1">IFERROR(__xludf.DUMMYFUNCTION("""COMPUTED_VALUE"""),426)</f>
        <v>426</v>
      </c>
      <c r="AA156" s="1">
        <f ca="1">IFERROR(__xludf.DUMMYFUNCTION("""COMPUTED_VALUE"""),1364)</f>
        <v>1364</v>
      </c>
      <c r="AB156" s="1">
        <f ca="1">IFERROR(__xludf.DUMMYFUNCTION("""COMPUTED_VALUE"""),475)</f>
        <v>475</v>
      </c>
      <c r="AC156" s="1">
        <f ca="1">IFERROR(__xludf.DUMMYFUNCTION("""COMPUTED_VALUE"""),237)</f>
        <v>237</v>
      </c>
      <c r="AD156" s="1">
        <f ca="1">IFERROR(__xludf.DUMMYFUNCTION("""COMPUTED_VALUE"""),175)</f>
        <v>175</v>
      </c>
      <c r="AE156" s="1">
        <f ca="1">IFERROR(__xludf.DUMMYFUNCTION("""COMPUTED_VALUE"""),463)</f>
        <v>463</v>
      </c>
      <c r="AF156" s="1">
        <f ca="1">IFERROR(__xludf.DUMMYFUNCTION("""COMPUTED_VALUE"""),639)</f>
        <v>639</v>
      </c>
    </row>
    <row r="157" spans="1:32" ht="12.5" x14ac:dyDescent="0.25">
      <c r="A157" s="1" t="str">
        <f ca="1">IFERROR(__xludf.DUMMYFUNCTION("""COMPUTED_VALUE"""),"Kennesaw State")</f>
        <v>Kennesaw State</v>
      </c>
      <c r="B157" s="1">
        <f ca="1">IFERROR(__xludf.DUMMYFUNCTION("""COMPUTED_VALUE"""),32)</f>
        <v>32</v>
      </c>
      <c r="C157" s="1">
        <f ca="1">IFERROR(__xludf.DUMMYFUNCTION("""COMPUTED_VALUE"""),10)</f>
        <v>10</v>
      </c>
      <c r="D157" s="1">
        <f ca="1">IFERROR(__xludf.DUMMYFUNCTION("""COMPUTED_VALUE"""),22)</f>
        <v>22</v>
      </c>
      <c r="E157" s="1">
        <f ca="1">IFERROR(__xludf.DUMMYFUNCTION("""COMPUTED_VALUE"""),0.313)</f>
        <v>0.313</v>
      </c>
      <c r="F157" s="1">
        <f ca="1">IFERROR(__xludf.DUMMYFUNCTION("""COMPUTED_VALUE"""),-17.33)</f>
        <v>-17.329999999999998</v>
      </c>
      <c r="G157" s="1">
        <f ca="1">IFERROR(__xludf.DUMMYFUNCTION("""COMPUTED_VALUE"""),-5.1)</f>
        <v>-5.0999999999999996</v>
      </c>
      <c r="H157" s="1">
        <f ca="1">IFERROR(__xludf.DUMMYFUNCTION("""COMPUTED_VALUE"""),4)</f>
        <v>4</v>
      </c>
      <c r="I157" s="1">
        <f ca="1">IFERROR(__xludf.DUMMYFUNCTION("""COMPUTED_VALUE"""),10)</f>
        <v>10</v>
      </c>
      <c r="J157" s="1">
        <f ca="1">IFERROR(__xludf.DUMMYFUNCTION("""COMPUTED_VALUE"""),6)</f>
        <v>6</v>
      </c>
      <c r="K157" s="1">
        <f ca="1">IFERROR(__xludf.DUMMYFUNCTION("""COMPUTED_VALUE"""),8)</f>
        <v>8</v>
      </c>
      <c r="L157" s="1">
        <f ca="1">IFERROR(__xludf.DUMMYFUNCTION("""COMPUTED_VALUE"""),3)</f>
        <v>3</v>
      </c>
      <c r="M157" s="1">
        <f ca="1">IFERROR(__xludf.DUMMYFUNCTION("""COMPUTED_VALUE"""),14)</f>
        <v>14</v>
      </c>
      <c r="N157" s="1">
        <f ca="1">IFERROR(__xludf.DUMMYFUNCTION("""COMPUTED_VALUE"""),2027)</f>
        <v>2027</v>
      </c>
      <c r="O157" s="1">
        <f ca="1">IFERROR(__xludf.DUMMYFUNCTION("""COMPUTED_VALUE"""),2363)</f>
        <v>2363</v>
      </c>
      <c r="P157" s="1">
        <f ca="1">IFERROR(__xludf.DUMMYFUNCTION("""COMPUTED_VALUE"""),1280)</f>
        <v>1280</v>
      </c>
      <c r="Q157" s="1">
        <f ca="1">IFERROR(__xludf.DUMMYFUNCTION("""COMPUTED_VALUE"""),717)</f>
        <v>717</v>
      </c>
      <c r="R157" s="1">
        <f ca="1">IFERROR(__xludf.DUMMYFUNCTION("""COMPUTED_VALUE"""),1775)</f>
        <v>1775</v>
      </c>
      <c r="S157" s="1">
        <f ca="1">IFERROR(__xludf.DUMMYFUNCTION("""COMPUTED_VALUE"""),0.404)</f>
        <v>0.40400000000000003</v>
      </c>
      <c r="T157" s="1">
        <f ca="1">IFERROR(__xludf.DUMMYFUNCTION("""COMPUTED_VALUE"""),214)</f>
        <v>214</v>
      </c>
      <c r="U157" s="1">
        <f ca="1">IFERROR(__xludf.DUMMYFUNCTION("""COMPUTED_VALUE"""),661)</f>
        <v>661</v>
      </c>
      <c r="V157" s="1">
        <f ca="1">IFERROR(__xludf.DUMMYFUNCTION("""COMPUTED_VALUE"""),0.324)</f>
        <v>0.32400000000000001</v>
      </c>
      <c r="W157" s="1">
        <f ca="1">IFERROR(__xludf.DUMMYFUNCTION("""COMPUTED_VALUE"""),379)</f>
        <v>379</v>
      </c>
      <c r="X157" s="1">
        <f ca="1">IFERROR(__xludf.DUMMYFUNCTION("""COMPUTED_VALUE"""),518)</f>
        <v>518</v>
      </c>
      <c r="Y157" s="1">
        <f ca="1">IFERROR(__xludf.DUMMYFUNCTION("""COMPUTED_VALUE"""),0.732)</f>
        <v>0.73199999999999998</v>
      </c>
      <c r="Z157" s="1">
        <f ca="1">IFERROR(__xludf.DUMMYFUNCTION("""COMPUTED_VALUE"""),343)</f>
        <v>343</v>
      </c>
      <c r="AA157" s="1">
        <f ca="1">IFERROR(__xludf.DUMMYFUNCTION("""COMPUTED_VALUE"""),1094)</f>
        <v>1094</v>
      </c>
      <c r="AB157" s="1">
        <f ca="1">IFERROR(__xludf.DUMMYFUNCTION("""COMPUTED_VALUE"""),331)</f>
        <v>331</v>
      </c>
      <c r="AC157" s="1">
        <f ca="1">IFERROR(__xludf.DUMMYFUNCTION("""COMPUTED_VALUE"""),173)</f>
        <v>173</v>
      </c>
      <c r="AD157" s="1">
        <f ca="1">IFERROR(__xludf.DUMMYFUNCTION("""COMPUTED_VALUE"""),110)</f>
        <v>110</v>
      </c>
      <c r="AE157" s="1">
        <f ca="1">IFERROR(__xludf.DUMMYFUNCTION("""COMPUTED_VALUE"""),455)</f>
        <v>455</v>
      </c>
      <c r="AF157" s="1">
        <f ca="1">IFERROR(__xludf.DUMMYFUNCTION("""COMPUTED_VALUE"""),567)</f>
        <v>567</v>
      </c>
    </row>
    <row r="158" spans="1:32" ht="12.5" x14ac:dyDescent="0.25">
      <c r="A158" s="1" t="str">
        <f ca="1">IFERROR(__xludf.DUMMYFUNCTION("""COMPUTED_VALUE"""),"Kent State")</f>
        <v>Kent State</v>
      </c>
      <c r="B158" s="1">
        <f ca="1">IFERROR(__xludf.DUMMYFUNCTION("""COMPUTED_VALUE"""),35)</f>
        <v>35</v>
      </c>
      <c r="C158" s="1">
        <f ca="1">IFERROR(__xludf.DUMMYFUNCTION("""COMPUTED_VALUE"""),23)</f>
        <v>23</v>
      </c>
      <c r="D158" s="1">
        <f ca="1">IFERROR(__xludf.DUMMYFUNCTION("""COMPUTED_VALUE"""),12)</f>
        <v>12</v>
      </c>
      <c r="E158" s="1">
        <f ca="1">IFERROR(__xludf.DUMMYFUNCTION("""COMPUTED_VALUE"""),0.657)</f>
        <v>0.65700000000000003</v>
      </c>
      <c r="F158" s="1">
        <f ca="1">IFERROR(__xludf.DUMMYFUNCTION("""COMPUTED_VALUE"""),2.04)</f>
        <v>2.04</v>
      </c>
      <c r="G158" s="1">
        <f ca="1">IFERROR(__xludf.DUMMYFUNCTION("""COMPUTED_VALUE"""),-0.94)</f>
        <v>-0.94</v>
      </c>
      <c r="H158" s="1">
        <f ca="1">IFERROR(__xludf.DUMMYFUNCTION("""COMPUTED_VALUE"""),12)</f>
        <v>12</v>
      </c>
      <c r="I158" s="1">
        <f ca="1">IFERROR(__xludf.DUMMYFUNCTION("""COMPUTED_VALUE"""),6)</f>
        <v>6</v>
      </c>
      <c r="J158" s="1">
        <f ca="1">IFERROR(__xludf.DUMMYFUNCTION("""COMPUTED_VALUE"""),11)</f>
        <v>11</v>
      </c>
      <c r="K158" s="1">
        <f ca="1">IFERROR(__xludf.DUMMYFUNCTION("""COMPUTED_VALUE"""),4)</f>
        <v>4</v>
      </c>
      <c r="L158" s="1">
        <f ca="1">IFERROR(__xludf.DUMMYFUNCTION("""COMPUTED_VALUE"""),10)</f>
        <v>10</v>
      </c>
      <c r="M158" s="1">
        <f ca="1">IFERROR(__xludf.DUMMYFUNCTION("""COMPUTED_VALUE"""),6)</f>
        <v>6</v>
      </c>
      <c r="N158" s="1">
        <f ca="1">IFERROR(__xludf.DUMMYFUNCTION("""COMPUTED_VALUE"""),2313)</f>
        <v>2313</v>
      </c>
      <c r="O158" s="1">
        <f ca="1">IFERROR(__xludf.DUMMYFUNCTION("""COMPUTED_VALUE"""),2202)</f>
        <v>2202</v>
      </c>
      <c r="P158" s="1">
        <f ca="1">IFERROR(__xludf.DUMMYFUNCTION("""COMPUTED_VALUE"""),1420)</f>
        <v>1420</v>
      </c>
      <c r="Q158" s="1">
        <f ca="1">IFERROR(__xludf.DUMMYFUNCTION("""COMPUTED_VALUE"""),797)</f>
        <v>797</v>
      </c>
      <c r="R158" s="1">
        <f ca="1">IFERROR(__xludf.DUMMYFUNCTION("""COMPUTED_VALUE"""),1868)</f>
        <v>1868</v>
      </c>
      <c r="S158" s="1">
        <f ca="1">IFERROR(__xludf.DUMMYFUNCTION("""COMPUTED_VALUE"""),0.427)</f>
        <v>0.42699999999999999</v>
      </c>
      <c r="T158" s="1">
        <f ca="1">IFERROR(__xludf.DUMMYFUNCTION("""COMPUTED_VALUE"""),250)</f>
        <v>250</v>
      </c>
      <c r="U158" s="1">
        <f ca="1">IFERROR(__xludf.DUMMYFUNCTION("""COMPUTED_VALUE"""),693)</f>
        <v>693</v>
      </c>
      <c r="V158" s="1">
        <f ca="1">IFERROR(__xludf.DUMMYFUNCTION("""COMPUTED_VALUE"""),0.361)</f>
        <v>0.36099999999999999</v>
      </c>
      <c r="W158" s="1">
        <f ca="1">IFERROR(__xludf.DUMMYFUNCTION("""COMPUTED_VALUE"""),469)</f>
        <v>469</v>
      </c>
      <c r="X158" s="1">
        <f ca="1">IFERROR(__xludf.DUMMYFUNCTION("""COMPUTED_VALUE"""),713)</f>
        <v>713</v>
      </c>
      <c r="Y158" s="1">
        <f ca="1">IFERROR(__xludf.DUMMYFUNCTION("""COMPUTED_VALUE"""),0.658)</f>
        <v>0.65800000000000003</v>
      </c>
      <c r="Z158" s="1">
        <f ca="1">IFERROR(__xludf.DUMMYFUNCTION("""COMPUTED_VALUE"""),405)</f>
        <v>405</v>
      </c>
      <c r="AA158" s="1">
        <f ca="1">IFERROR(__xludf.DUMMYFUNCTION("""COMPUTED_VALUE"""),1222)</f>
        <v>1222</v>
      </c>
      <c r="AB158" s="1">
        <f ca="1">IFERROR(__xludf.DUMMYFUNCTION("""COMPUTED_VALUE"""),368)</f>
        <v>368</v>
      </c>
      <c r="AC158" s="1">
        <f ca="1">IFERROR(__xludf.DUMMYFUNCTION("""COMPUTED_VALUE"""),177)</f>
        <v>177</v>
      </c>
      <c r="AD158" s="1">
        <f ca="1">IFERROR(__xludf.DUMMYFUNCTION("""COMPUTED_VALUE"""),133)</f>
        <v>133</v>
      </c>
      <c r="AE158" s="1">
        <f ca="1">IFERROR(__xludf.DUMMYFUNCTION("""COMPUTED_VALUE"""),393)</f>
        <v>393</v>
      </c>
      <c r="AF158" s="1">
        <f ca="1">IFERROR(__xludf.DUMMYFUNCTION("""COMPUTED_VALUE"""),645)</f>
        <v>645</v>
      </c>
    </row>
    <row r="159" spans="1:32" ht="12.5" x14ac:dyDescent="0.25">
      <c r="A159" s="1" t="str">
        <f ca="1">IFERROR(__xludf.DUMMYFUNCTION("""COMPUTED_VALUE"""),"KentuckyNCAA")</f>
        <v>KentuckyNCAA</v>
      </c>
      <c r="B159" s="1">
        <f ca="1">IFERROR(__xludf.DUMMYFUNCTION("""COMPUTED_VALUE"""),39)</f>
        <v>39</v>
      </c>
      <c r="C159" s="1">
        <f ca="1">IFERROR(__xludf.DUMMYFUNCTION("""COMPUTED_VALUE"""),38)</f>
        <v>38</v>
      </c>
      <c r="D159" s="1">
        <f ca="1">IFERROR(__xludf.DUMMYFUNCTION("""COMPUTED_VALUE"""),1)</f>
        <v>1</v>
      </c>
      <c r="E159" s="1">
        <f ca="1">IFERROR(__xludf.DUMMYFUNCTION("""COMPUTED_VALUE"""),0.974)</f>
        <v>0.97399999999999998</v>
      </c>
      <c r="F159" s="1">
        <f ca="1">IFERROR(__xludf.DUMMYFUNCTION("""COMPUTED_VALUE"""),28.72)</f>
        <v>28.72</v>
      </c>
      <c r="G159" s="1">
        <f ca="1">IFERROR(__xludf.DUMMYFUNCTION("""COMPUTED_VALUE"""),8.67)</f>
        <v>8.67</v>
      </c>
      <c r="H159" s="1">
        <f ca="1">IFERROR(__xludf.DUMMYFUNCTION("""COMPUTED_VALUE"""),18)</f>
        <v>18</v>
      </c>
      <c r="I159" s="1">
        <f ca="1">IFERROR(__xludf.DUMMYFUNCTION("""COMPUTED_VALUE"""),0)</f>
        <v>0</v>
      </c>
      <c r="J159" s="1">
        <f ca="1">IFERROR(__xludf.DUMMYFUNCTION("""COMPUTED_VALUE"""),19)</f>
        <v>19</v>
      </c>
      <c r="K159" s="1">
        <f ca="1">IFERROR(__xludf.DUMMYFUNCTION("""COMPUTED_VALUE"""),0)</f>
        <v>0</v>
      </c>
      <c r="L159" s="1">
        <f ca="1">IFERROR(__xludf.DUMMYFUNCTION("""COMPUTED_VALUE"""),10)</f>
        <v>10</v>
      </c>
      <c r="M159" s="1">
        <f ca="1">IFERROR(__xludf.DUMMYFUNCTION("""COMPUTED_VALUE"""),0)</f>
        <v>0</v>
      </c>
      <c r="N159" s="1">
        <f ca="1">IFERROR(__xludf.DUMMYFUNCTION("""COMPUTED_VALUE"""),2900)</f>
        <v>2900</v>
      </c>
      <c r="O159" s="1">
        <f ca="1">IFERROR(__xludf.DUMMYFUNCTION("""COMPUTED_VALUE"""),2118)</f>
        <v>2118</v>
      </c>
      <c r="P159" s="1">
        <f ca="1">IFERROR(__xludf.DUMMYFUNCTION("""COMPUTED_VALUE"""),1575)</f>
        <v>1575</v>
      </c>
      <c r="Q159" s="1">
        <f ca="1">IFERROR(__xludf.DUMMYFUNCTION("""COMPUTED_VALUE"""),1006)</f>
        <v>1006</v>
      </c>
      <c r="R159" s="1">
        <f ca="1">IFERROR(__xludf.DUMMYFUNCTION("""COMPUTED_VALUE"""),2150)</f>
        <v>2150</v>
      </c>
      <c r="S159" s="1">
        <f ca="1">IFERROR(__xludf.DUMMYFUNCTION("""COMPUTED_VALUE"""),0.468)</f>
        <v>0.46800000000000003</v>
      </c>
      <c r="T159" s="1">
        <f ca="1">IFERROR(__xludf.DUMMYFUNCTION("""COMPUTED_VALUE"""),203)</f>
        <v>203</v>
      </c>
      <c r="U159" s="1">
        <f ca="1">IFERROR(__xludf.DUMMYFUNCTION("""COMPUTED_VALUE"""),582)</f>
        <v>582</v>
      </c>
      <c r="V159" s="1">
        <f ca="1">IFERROR(__xludf.DUMMYFUNCTION("""COMPUTED_VALUE"""),0.349)</f>
        <v>0.34899999999999998</v>
      </c>
      <c r="W159" s="1">
        <f ca="1">IFERROR(__xludf.DUMMYFUNCTION("""COMPUTED_VALUE"""),685)</f>
        <v>685</v>
      </c>
      <c r="X159" s="1">
        <f ca="1">IFERROR(__xludf.DUMMYFUNCTION("""COMPUTED_VALUE"""),943)</f>
        <v>943</v>
      </c>
      <c r="Y159" s="1">
        <f ca="1">IFERROR(__xludf.DUMMYFUNCTION("""COMPUTED_VALUE"""),0.726)</f>
        <v>0.72599999999999998</v>
      </c>
      <c r="Z159" s="1">
        <f ca="1">IFERROR(__xludf.DUMMYFUNCTION("""COMPUTED_VALUE"""),491)</f>
        <v>491</v>
      </c>
      <c r="AA159" s="1">
        <f ca="1">IFERROR(__xludf.DUMMYFUNCTION("""COMPUTED_VALUE"""),1482)</f>
        <v>1482</v>
      </c>
      <c r="AB159" s="1">
        <f ca="1">IFERROR(__xludf.DUMMYFUNCTION("""COMPUTED_VALUE"""),553)</f>
        <v>553</v>
      </c>
      <c r="AC159" s="1">
        <f ca="1">IFERROR(__xludf.DUMMYFUNCTION("""COMPUTED_VALUE"""),253)</f>
        <v>253</v>
      </c>
      <c r="AD159" s="1">
        <f ca="1">IFERROR(__xludf.DUMMYFUNCTION("""COMPUTED_VALUE"""),268)</f>
        <v>268</v>
      </c>
      <c r="AE159" s="1">
        <f ca="1">IFERROR(__xludf.DUMMYFUNCTION("""COMPUTED_VALUE"""),408)</f>
        <v>408</v>
      </c>
      <c r="AF159" s="1">
        <f ca="1">IFERROR(__xludf.DUMMYFUNCTION("""COMPUTED_VALUE"""),665)</f>
        <v>665</v>
      </c>
    </row>
    <row r="160" spans="1:32" ht="12.5" x14ac:dyDescent="0.25">
      <c r="A160" s="1" t="str">
        <f ca="1">IFERROR(__xludf.DUMMYFUNCTION("""COMPUTED_VALUE"""),"La Salle")</f>
        <v>La Salle</v>
      </c>
      <c r="B160" s="1">
        <f ca="1">IFERROR(__xludf.DUMMYFUNCTION("""COMPUTED_VALUE"""),33)</f>
        <v>33</v>
      </c>
      <c r="C160" s="1">
        <f ca="1">IFERROR(__xludf.DUMMYFUNCTION("""COMPUTED_VALUE"""),17)</f>
        <v>17</v>
      </c>
      <c r="D160" s="1">
        <f ca="1">IFERROR(__xludf.DUMMYFUNCTION("""COMPUTED_VALUE"""),16)</f>
        <v>16</v>
      </c>
      <c r="E160" s="1">
        <f ca="1">IFERROR(__xludf.DUMMYFUNCTION("""COMPUTED_VALUE"""),0.515)</f>
        <v>0.51500000000000001</v>
      </c>
      <c r="F160" s="1">
        <f ca="1">IFERROR(__xludf.DUMMYFUNCTION("""COMPUTED_VALUE"""),4.85)</f>
        <v>4.8499999999999996</v>
      </c>
      <c r="G160" s="1">
        <f ca="1">IFERROR(__xludf.DUMMYFUNCTION("""COMPUTED_VALUE"""),3.91)</f>
        <v>3.91</v>
      </c>
      <c r="H160" s="1">
        <f ca="1">IFERROR(__xludf.DUMMYFUNCTION("""COMPUTED_VALUE"""),8)</f>
        <v>8</v>
      </c>
      <c r="I160" s="1">
        <f ca="1">IFERROR(__xludf.DUMMYFUNCTION("""COMPUTED_VALUE"""),10)</f>
        <v>10</v>
      </c>
      <c r="J160" s="1">
        <f ca="1">IFERROR(__xludf.DUMMYFUNCTION("""COMPUTED_VALUE"""),10)</f>
        <v>10</v>
      </c>
      <c r="K160" s="1">
        <f ca="1">IFERROR(__xludf.DUMMYFUNCTION("""COMPUTED_VALUE"""),5)</f>
        <v>5</v>
      </c>
      <c r="L160" s="1">
        <f ca="1">IFERROR(__xludf.DUMMYFUNCTION("""COMPUTED_VALUE"""),6)</f>
        <v>6</v>
      </c>
      <c r="M160" s="1">
        <f ca="1">IFERROR(__xludf.DUMMYFUNCTION("""COMPUTED_VALUE"""),7)</f>
        <v>7</v>
      </c>
      <c r="N160" s="1">
        <f ca="1">IFERROR(__xludf.DUMMYFUNCTION("""COMPUTED_VALUE"""),2086)</f>
        <v>2086</v>
      </c>
      <c r="O160" s="1">
        <f ca="1">IFERROR(__xludf.DUMMYFUNCTION("""COMPUTED_VALUE"""),2055)</f>
        <v>2055</v>
      </c>
      <c r="P160" s="1">
        <f ca="1">IFERROR(__xludf.DUMMYFUNCTION("""COMPUTED_VALUE"""),1340)</f>
        <v>1340</v>
      </c>
      <c r="Q160" s="1">
        <f ca="1">IFERROR(__xludf.DUMMYFUNCTION("""COMPUTED_VALUE"""),738)</f>
        <v>738</v>
      </c>
      <c r="R160" s="1">
        <f ca="1">IFERROR(__xludf.DUMMYFUNCTION("""COMPUTED_VALUE"""),1757)</f>
        <v>1757</v>
      </c>
      <c r="S160" s="1">
        <f ca="1">IFERROR(__xludf.DUMMYFUNCTION("""COMPUTED_VALUE"""),0.42)</f>
        <v>0.42</v>
      </c>
      <c r="T160" s="1">
        <f ca="1">IFERROR(__xludf.DUMMYFUNCTION("""COMPUTED_VALUE"""),166)</f>
        <v>166</v>
      </c>
      <c r="U160" s="1">
        <f ca="1">IFERROR(__xludf.DUMMYFUNCTION("""COMPUTED_VALUE"""),517)</f>
        <v>517</v>
      </c>
      <c r="V160" s="1">
        <f ca="1">IFERROR(__xludf.DUMMYFUNCTION("""COMPUTED_VALUE"""),0.321)</f>
        <v>0.32100000000000001</v>
      </c>
      <c r="W160" s="1">
        <f ca="1">IFERROR(__xludf.DUMMYFUNCTION("""COMPUTED_VALUE"""),444)</f>
        <v>444</v>
      </c>
      <c r="X160" s="1">
        <f ca="1">IFERROR(__xludf.DUMMYFUNCTION("""COMPUTED_VALUE"""),640)</f>
        <v>640</v>
      </c>
      <c r="Y160" s="1">
        <f ca="1">IFERROR(__xludf.DUMMYFUNCTION("""COMPUTED_VALUE"""),0.694)</f>
        <v>0.69399999999999995</v>
      </c>
      <c r="Z160" s="1">
        <f ca="1">IFERROR(__xludf.DUMMYFUNCTION("""COMPUTED_VALUE"""),332)</f>
        <v>332</v>
      </c>
      <c r="AA160" s="1">
        <f ca="1">IFERROR(__xludf.DUMMYFUNCTION("""COMPUTED_VALUE"""),1126)</f>
        <v>1126</v>
      </c>
      <c r="AB160" s="1">
        <f ca="1">IFERROR(__xludf.DUMMYFUNCTION("""COMPUTED_VALUE"""),398)</f>
        <v>398</v>
      </c>
      <c r="AC160" s="1">
        <f ca="1">IFERROR(__xludf.DUMMYFUNCTION("""COMPUTED_VALUE"""),211)</f>
        <v>211</v>
      </c>
      <c r="AD160" s="1">
        <f ca="1">IFERROR(__xludf.DUMMYFUNCTION("""COMPUTED_VALUE"""),120)</f>
        <v>120</v>
      </c>
      <c r="AE160" s="1">
        <f ca="1">IFERROR(__xludf.DUMMYFUNCTION("""COMPUTED_VALUE"""),429)</f>
        <v>429</v>
      </c>
      <c r="AF160" s="1">
        <f ca="1">IFERROR(__xludf.DUMMYFUNCTION("""COMPUTED_VALUE"""),582)</f>
        <v>582</v>
      </c>
    </row>
    <row r="161" spans="1:32" ht="12.5" x14ac:dyDescent="0.25">
      <c r="A161" s="1" t="str">
        <f ca="1">IFERROR(__xludf.DUMMYFUNCTION("""COMPUTED_VALUE"""),"LafayetteNCAA")</f>
        <v>LafayetteNCAA</v>
      </c>
      <c r="B161" s="1">
        <f ca="1">IFERROR(__xludf.DUMMYFUNCTION("""COMPUTED_VALUE"""),33)</f>
        <v>33</v>
      </c>
      <c r="C161" s="1">
        <f ca="1">IFERROR(__xludf.DUMMYFUNCTION("""COMPUTED_VALUE"""),20)</f>
        <v>20</v>
      </c>
      <c r="D161" s="1">
        <f ca="1">IFERROR(__xludf.DUMMYFUNCTION("""COMPUTED_VALUE"""),13)</f>
        <v>13</v>
      </c>
      <c r="E161" s="1">
        <f ca="1">IFERROR(__xludf.DUMMYFUNCTION("""COMPUTED_VALUE"""),0.606)</f>
        <v>0.60599999999999998</v>
      </c>
      <c r="F161" s="1">
        <f ca="1">IFERROR(__xludf.DUMMYFUNCTION("""COMPUTED_VALUE"""),-3.37)</f>
        <v>-3.37</v>
      </c>
      <c r="G161" s="1">
        <f ca="1">IFERROR(__xludf.DUMMYFUNCTION("""COMPUTED_VALUE"""),-3.12)</f>
        <v>-3.12</v>
      </c>
      <c r="H161" s="1">
        <f ca="1">IFERROR(__xludf.DUMMYFUNCTION("""COMPUTED_VALUE"""),9)</f>
        <v>9</v>
      </c>
      <c r="I161" s="1">
        <f ca="1">IFERROR(__xludf.DUMMYFUNCTION("""COMPUTED_VALUE"""),9)</f>
        <v>9</v>
      </c>
      <c r="J161" s="1">
        <f ca="1">IFERROR(__xludf.DUMMYFUNCTION("""COMPUTED_VALUE"""),11)</f>
        <v>11</v>
      </c>
      <c r="K161" s="1">
        <f ca="1">IFERROR(__xludf.DUMMYFUNCTION("""COMPUTED_VALUE"""),5)</f>
        <v>5</v>
      </c>
      <c r="L161" s="1">
        <f ca="1">IFERROR(__xludf.DUMMYFUNCTION("""COMPUTED_VALUE"""),9)</f>
        <v>9</v>
      </c>
      <c r="M161" s="1">
        <f ca="1">IFERROR(__xludf.DUMMYFUNCTION("""COMPUTED_VALUE"""),7)</f>
        <v>7</v>
      </c>
      <c r="N161" s="1">
        <f ca="1">IFERROR(__xludf.DUMMYFUNCTION("""COMPUTED_VALUE"""),2426)</f>
        <v>2426</v>
      </c>
      <c r="O161" s="1">
        <f ca="1">IFERROR(__xludf.DUMMYFUNCTION("""COMPUTED_VALUE"""),2409)</f>
        <v>2409</v>
      </c>
      <c r="P161" s="1">
        <f ca="1">IFERROR(__xludf.DUMMYFUNCTION("""COMPUTED_VALUE"""),1325)</f>
        <v>1325</v>
      </c>
      <c r="Q161" s="1">
        <f ca="1">IFERROR(__xludf.DUMMYFUNCTION("""COMPUTED_VALUE"""),872)</f>
        <v>872</v>
      </c>
      <c r="R161" s="1">
        <f ca="1">IFERROR(__xludf.DUMMYFUNCTION("""COMPUTED_VALUE"""),1799)</f>
        <v>1799</v>
      </c>
      <c r="S161" s="1">
        <f ca="1">IFERROR(__xludf.DUMMYFUNCTION("""COMPUTED_VALUE"""),0.485)</f>
        <v>0.48499999999999999</v>
      </c>
      <c r="T161" s="1">
        <f ca="1">IFERROR(__xludf.DUMMYFUNCTION("""COMPUTED_VALUE"""),261)</f>
        <v>261</v>
      </c>
      <c r="U161" s="1">
        <f ca="1">IFERROR(__xludf.DUMMYFUNCTION("""COMPUTED_VALUE"""),640)</f>
        <v>640</v>
      </c>
      <c r="V161" s="1">
        <f ca="1">IFERROR(__xludf.DUMMYFUNCTION("""COMPUTED_VALUE"""),0.408)</f>
        <v>0.40799999999999997</v>
      </c>
      <c r="W161" s="1">
        <f ca="1">IFERROR(__xludf.DUMMYFUNCTION("""COMPUTED_VALUE"""),421)</f>
        <v>421</v>
      </c>
      <c r="X161" s="1">
        <f ca="1">IFERROR(__xludf.DUMMYFUNCTION("""COMPUTED_VALUE"""),549)</f>
        <v>549</v>
      </c>
      <c r="Y161" s="1">
        <f ca="1">IFERROR(__xludf.DUMMYFUNCTION("""COMPUTED_VALUE"""),0.767)</f>
        <v>0.76700000000000002</v>
      </c>
      <c r="Z161" s="1">
        <f ca="1">IFERROR(__xludf.DUMMYFUNCTION("""COMPUTED_VALUE"""),282)</f>
        <v>282</v>
      </c>
      <c r="AA161" s="1">
        <f ca="1">IFERROR(__xludf.DUMMYFUNCTION("""COMPUTED_VALUE"""),1017)</f>
        <v>1017</v>
      </c>
      <c r="AB161" s="1">
        <f ca="1">IFERROR(__xludf.DUMMYFUNCTION("""COMPUTED_VALUE"""),514)</f>
        <v>514</v>
      </c>
      <c r="AC161" s="1">
        <f ca="1">IFERROR(__xludf.DUMMYFUNCTION("""COMPUTED_VALUE"""),181)</f>
        <v>181</v>
      </c>
      <c r="AD161" s="1">
        <f ca="1">IFERROR(__xludf.DUMMYFUNCTION("""COMPUTED_VALUE"""),83)</f>
        <v>83</v>
      </c>
      <c r="AE161" s="1">
        <f ca="1">IFERROR(__xludf.DUMMYFUNCTION("""COMPUTED_VALUE"""),366)</f>
        <v>366</v>
      </c>
      <c r="AF161" s="1">
        <f ca="1">IFERROR(__xludf.DUMMYFUNCTION("""COMPUTED_VALUE"""),515)</f>
        <v>515</v>
      </c>
    </row>
    <row r="162" spans="1:32" ht="12.5" x14ac:dyDescent="0.25">
      <c r="A162" s="1" t="str">
        <f ca="1">IFERROR(__xludf.DUMMYFUNCTION("""COMPUTED_VALUE"""),"Lamar")</f>
        <v>Lamar</v>
      </c>
      <c r="B162" s="1">
        <f ca="1">IFERROR(__xludf.DUMMYFUNCTION("""COMPUTED_VALUE"""),30)</f>
        <v>30</v>
      </c>
      <c r="C162" s="1">
        <f ca="1">IFERROR(__xludf.DUMMYFUNCTION("""COMPUTED_VALUE"""),15)</f>
        <v>15</v>
      </c>
      <c r="D162" s="1">
        <f ca="1">IFERROR(__xludf.DUMMYFUNCTION("""COMPUTED_VALUE"""),15)</f>
        <v>15</v>
      </c>
      <c r="E162" s="1">
        <f ca="1">IFERROR(__xludf.DUMMYFUNCTION("""COMPUTED_VALUE"""),0.5)</f>
        <v>0.5</v>
      </c>
      <c r="F162" s="1">
        <f ca="1">IFERROR(__xludf.DUMMYFUNCTION("""COMPUTED_VALUE"""),-9.75)</f>
        <v>-9.75</v>
      </c>
      <c r="G162" s="1">
        <f ca="1">IFERROR(__xludf.DUMMYFUNCTION("""COMPUTED_VALUE"""),-5.29)</f>
        <v>-5.29</v>
      </c>
      <c r="H162" s="1">
        <f ca="1">IFERROR(__xludf.DUMMYFUNCTION("""COMPUTED_VALUE"""),9)</f>
        <v>9</v>
      </c>
      <c r="I162" s="1">
        <f ca="1">IFERROR(__xludf.DUMMYFUNCTION("""COMPUTED_VALUE"""),9)</f>
        <v>9</v>
      </c>
      <c r="J162" s="1">
        <f ca="1">IFERROR(__xludf.DUMMYFUNCTION("""COMPUTED_VALUE"""),12)</f>
        <v>12</v>
      </c>
      <c r="K162" s="1">
        <f ca="1">IFERROR(__xludf.DUMMYFUNCTION("""COMPUTED_VALUE"""),2)</f>
        <v>2</v>
      </c>
      <c r="L162" s="1">
        <f ca="1">IFERROR(__xludf.DUMMYFUNCTION("""COMPUTED_VALUE"""),2)</f>
        <v>2</v>
      </c>
      <c r="M162" s="1">
        <f ca="1">IFERROR(__xludf.DUMMYFUNCTION("""COMPUTED_VALUE"""),13)</f>
        <v>13</v>
      </c>
      <c r="N162" s="1">
        <f ca="1">IFERROR(__xludf.DUMMYFUNCTION("""COMPUTED_VALUE"""),2146)</f>
        <v>2146</v>
      </c>
      <c r="O162" s="1">
        <f ca="1">IFERROR(__xludf.DUMMYFUNCTION("""COMPUTED_VALUE"""),2132)</f>
        <v>2132</v>
      </c>
      <c r="P162" s="1">
        <f ca="1">IFERROR(__xludf.DUMMYFUNCTION("""COMPUTED_VALUE"""),1205)</f>
        <v>1205</v>
      </c>
      <c r="Q162" s="1">
        <f ca="1">IFERROR(__xludf.DUMMYFUNCTION("""COMPUTED_VALUE"""),750)</f>
        <v>750</v>
      </c>
      <c r="R162" s="1">
        <f ca="1">IFERROR(__xludf.DUMMYFUNCTION("""COMPUTED_VALUE"""),1658)</f>
        <v>1658</v>
      </c>
      <c r="S162" s="1">
        <f ca="1">IFERROR(__xludf.DUMMYFUNCTION("""COMPUTED_VALUE"""),0.452)</f>
        <v>0.45200000000000001</v>
      </c>
      <c r="T162" s="1">
        <f ca="1">IFERROR(__xludf.DUMMYFUNCTION("""COMPUTED_VALUE"""),169)</f>
        <v>169</v>
      </c>
      <c r="U162" s="1">
        <f ca="1">IFERROR(__xludf.DUMMYFUNCTION("""COMPUTED_VALUE"""),532)</f>
        <v>532</v>
      </c>
      <c r="V162" s="1">
        <f ca="1">IFERROR(__xludf.DUMMYFUNCTION("""COMPUTED_VALUE"""),0.318)</f>
        <v>0.318</v>
      </c>
      <c r="W162" s="1">
        <f ca="1">IFERROR(__xludf.DUMMYFUNCTION("""COMPUTED_VALUE"""),477)</f>
        <v>477</v>
      </c>
      <c r="X162" s="1">
        <f ca="1">IFERROR(__xludf.DUMMYFUNCTION("""COMPUTED_VALUE"""),701)</f>
        <v>701</v>
      </c>
      <c r="Y162" s="1">
        <f ca="1">IFERROR(__xludf.DUMMYFUNCTION("""COMPUTED_VALUE"""),0.68)</f>
        <v>0.68</v>
      </c>
      <c r="Z162" s="1">
        <f ca="1">IFERROR(__xludf.DUMMYFUNCTION("""COMPUTED_VALUE"""),376)</f>
        <v>376</v>
      </c>
      <c r="AA162" s="1">
        <f ca="1">IFERROR(__xludf.DUMMYFUNCTION("""COMPUTED_VALUE"""),1063)</f>
        <v>1063</v>
      </c>
      <c r="AB162" s="1">
        <f ca="1">IFERROR(__xludf.DUMMYFUNCTION("""COMPUTED_VALUE"""),392)</f>
        <v>392</v>
      </c>
      <c r="AC162" s="1">
        <f ca="1">IFERROR(__xludf.DUMMYFUNCTION("""COMPUTED_VALUE"""),224)</f>
        <v>224</v>
      </c>
      <c r="AD162" s="1">
        <f ca="1">IFERROR(__xludf.DUMMYFUNCTION("""COMPUTED_VALUE"""),115)</f>
        <v>115</v>
      </c>
      <c r="AE162" s="1">
        <f ca="1">IFERROR(__xludf.DUMMYFUNCTION("""COMPUTED_VALUE"""),465)</f>
        <v>465</v>
      </c>
      <c r="AF162" s="1">
        <f ca="1">IFERROR(__xludf.DUMMYFUNCTION("""COMPUTED_VALUE"""),623)</f>
        <v>623</v>
      </c>
    </row>
    <row r="163" spans="1:32" ht="12.5" x14ac:dyDescent="0.25">
      <c r="A163" s="1" t="str">
        <f ca="1">IFERROR(__xludf.DUMMYFUNCTION("""COMPUTED_VALUE"""),"Lehigh")</f>
        <v>Lehigh</v>
      </c>
      <c r="B163" s="1">
        <f ca="1">IFERROR(__xludf.DUMMYFUNCTION("""COMPUTED_VALUE"""),30)</f>
        <v>30</v>
      </c>
      <c r="C163" s="1">
        <f ca="1">IFERROR(__xludf.DUMMYFUNCTION("""COMPUTED_VALUE"""),16)</f>
        <v>16</v>
      </c>
      <c r="D163" s="1">
        <f ca="1">IFERROR(__xludf.DUMMYFUNCTION("""COMPUTED_VALUE"""),14)</f>
        <v>14</v>
      </c>
      <c r="E163" s="1">
        <f ca="1">IFERROR(__xludf.DUMMYFUNCTION("""COMPUTED_VALUE"""),0.533)</f>
        <v>0.53300000000000003</v>
      </c>
      <c r="F163" s="1">
        <f ca="1">IFERROR(__xludf.DUMMYFUNCTION("""COMPUTED_VALUE"""),-3)</f>
        <v>-3</v>
      </c>
      <c r="G163" s="1">
        <f ca="1">IFERROR(__xludf.DUMMYFUNCTION("""COMPUTED_VALUE"""),-3.55)</f>
        <v>-3.55</v>
      </c>
      <c r="H163" s="1">
        <f ca="1">IFERROR(__xludf.DUMMYFUNCTION("""COMPUTED_VALUE"""),10)</f>
        <v>10</v>
      </c>
      <c r="I163" s="1">
        <f ca="1">IFERROR(__xludf.DUMMYFUNCTION("""COMPUTED_VALUE"""),8)</f>
        <v>8</v>
      </c>
      <c r="J163" s="1">
        <f ca="1">IFERROR(__xludf.DUMMYFUNCTION("""COMPUTED_VALUE"""),8)</f>
        <v>8</v>
      </c>
      <c r="K163" s="1">
        <f ca="1">IFERROR(__xludf.DUMMYFUNCTION("""COMPUTED_VALUE"""),6)</f>
        <v>6</v>
      </c>
      <c r="L163" s="1">
        <f ca="1">IFERROR(__xludf.DUMMYFUNCTION("""COMPUTED_VALUE"""),8)</f>
        <v>8</v>
      </c>
      <c r="M163" s="1">
        <f ca="1">IFERROR(__xludf.DUMMYFUNCTION("""COMPUTED_VALUE"""),7)</f>
        <v>7</v>
      </c>
      <c r="N163" s="1">
        <f ca="1">IFERROR(__xludf.DUMMYFUNCTION("""COMPUTED_VALUE"""),2042)</f>
        <v>2042</v>
      </c>
      <c r="O163" s="1">
        <f ca="1">IFERROR(__xludf.DUMMYFUNCTION("""COMPUTED_VALUE"""),2000)</f>
        <v>2000</v>
      </c>
      <c r="P163" s="1">
        <f ca="1">IFERROR(__xludf.DUMMYFUNCTION("""COMPUTED_VALUE"""),1215)</f>
        <v>1215</v>
      </c>
      <c r="Q163" s="1">
        <f ca="1">IFERROR(__xludf.DUMMYFUNCTION("""COMPUTED_VALUE"""),724)</f>
        <v>724</v>
      </c>
      <c r="R163" s="1">
        <f ca="1">IFERROR(__xludf.DUMMYFUNCTION("""COMPUTED_VALUE"""),1640)</f>
        <v>1640</v>
      </c>
      <c r="S163" s="1">
        <f ca="1">IFERROR(__xludf.DUMMYFUNCTION("""COMPUTED_VALUE"""),0.441)</f>
        <v>0.441</v>
      </c>
      <c r="T163" s="1">
        <f ca="1">IFERROR(__xludf.DUMMYFUNCTION("""COMPUTED_VALUE"""),164)</f>
        <v>164</v>
      </c>
      <c r="U163" s="1">
        <f ca="1">IFERROR(__xludf.DUMMYFUNCTION("""COMPUTED_VALUE"""),475)</f>
        <v>475</v>
      </c>
      <c r="V163" s="1">
        <f ca="1">IFERROR(__xludf.DUMMYFUNCTION("""COMPUTED_VALUE"""),0.345)</f>
        <v>0.34499999999999997</v>
      </c>
      <c r="W163" s="1">
        <f ca="1">IFERROR(__xludf.DUMMYFUNCTION("""COMPUTED_VALUE"""),430)</f>
        <v>430</v>
      </c>
      <c r="X163" s="1">
        <f ca="1">IFERROR(__xludf.DUMMYFUNCTION("""COMPUTED_VALUE"""),593)</f>
        <v>593</v>
      </c>
      <c r="Y163" s="1">
        <f ca="1">IFERROR(__xludf.DUMMYFUNCTION("""COMPUTED_VALUE"""),0.725)</f>
        <v>0.72499999999999998</v>
      </c>
      <c r="Z163" s="1">
        <f ca="1">IFERROR(__xludf.DUMMYFUNCTION("""COMPUTED_VALUE"""),294)</f>
        <v>294</v>
      </c>
      <c r="AA163" s="1">
        <f ca="1">IFERROR(__xludf.DUMMYFUNCTION("""COMPUTED_VALUE"""),1085)</f>
        <v>1085</v>
      </c>
      <c r="AB163" s="1">
        <f ca="1">IFERROR(__xludf.DUMMYFUNCTION("""COMPUTED_VALUE"""),429)</f>
        <v>429</v>
      </c>
      <c r="AC163" s="1">
        <f ca="1">IFERROR(__xludf.DUMMYFUNCTION("""COMPUTED_VALUE"""),168)</f>
        <v>168</v>
      </c>
      <c r="AD163" s="1">
        <f ca="1">IFERROR(__xludf.DUMMYFUNCTION("""COMPUTED_VALUE"""),97)</f>
        <v>97</v>
      </c>
      <c r="AE163" s="1">
        <f ca="1">IFERROR(__xludf.DUMMYFUNCTION("""COMPUTED_VALUE"""),393)</f>
        <v>393</v>
      </c>
      <c r="AF163" s="1">
        <f ca="1">IFERROR(__xludf.DUMMYFUNCTION("""COMPUTED_VALUE"""),531)</f>
        <v>531</v>
      </c>
    </row>
    <row r="164" spans="1:32" ht="12.5" x14ac:dyDescent="0.25">
      <c r="A164" s="1" t="str">
        <f ca="1">IFERROR(__xludf.DUMMYFUNCTION("""COMPUTED_VALUE"""),"Liberty")</f>
        <v>Liberty</v>
      </c>
      <c r="B164" s="1">
        <f ca="1">IFERROR(__xludf.DUMMYFUNCTION("""COMPUTED_VALUE"""),32)</f>
        <v>32</v>
      </c>
      <c r="C164" s="1">
        <f ca="1">IFERROR(__xludf.DUMMYFUNCTION("""COMPUTED_VALUE"""),8)</f>
        <v>8</v>
      </c>
      <c r="D164" s="1">
        <f ca="1">IFERROR(__xludf.DUMMYFUNCTION("""COMPUTED_VALUE"""),24)</f>
        <v>24</v>
      </c>
      <c r="E164" s="1">
        <f ca="1">IFERROR(__xludf.DUMMYFUNCTION("""COMPUTED_VALUE"""),0.25)</f>
        <v>0.25</v>
      </c>
      <c r="F164" s="1">
        <f ca="1">IFERROR(__xludf.DUMMYFUNCTION("""COMPUTED_VALUE"""),-16.01)</f>
        <v>-16.010000000000002</v>
      </c>
      <c r="G164" s="1">
        <f ca="1">IFERROR(__xludf.DUMMYFUNCTION("""COMPUTED_VALUE"""),-6.44)</f>
        <v>-6.44</v>
      </c>
      <c r="H164" s="1">
        <f ca="1">IFERROR(__xludf.DUMMYFUNCTION("""COMPUTED_VALUE"""),2)</f>
        <v>2</v>
      </c>
      <c r="I164" s="1">
        <f ca="1">IFERROR(__xludf.DUMMYFUNCTION("""COMPUTED_VALUE"""),16)</f>
        <v>16</v>
      </c>
      <c r="J164" s="1">
        <f ca="1">IFERROR(__xludf.DUMMYFUNCTION("""COMPUTED_VALUE"""),8)</f>
        <v>8</v>
      </c>
      <c r="K164" s="1">
        <f ca="1">IFERROR(__xludf.DUMMYFUNCTION("""COMPUTED_VALUE"""),8)</f>
        <v>8</v>
      </c>
      <c r="L164" s="1">
        <f ca="1">IFERROR(__xludf.DUMMYFUNCTION("""COMPUTED_VALUE"""),0)</f>
        <v>0</v>
      </c>
      <c r="M164" s="1">
        <f ca="1">IFERROR(__xludf.DUMMYFUNCTION("""COMPUTED_VALUE"""),13)</f>
        <v>13</v>
      </c>
      <c r="N164" s="1">
        <f ca="1">IFERROR(__xludf.DUMMYFUNCTION("""COMPUTED_VALUE"""),2045)</f>
        <v>2045</v>
      </c>
      <c r="O164" s="1">
        <f ca="1">IFERROR(__xludf.DUMMYFUNCTION("""COMPUTED_VALUE"""),2222)</f>
        <v>2222</v>
      </c>
      <c r="P164" s="1">
        <f ca="1">IFERROR(__xludf.DUMMYFUNCTION("""COMPUTED_VALUE"""),1285)</f>
        <v>1285</v>
      </c>
      <c r="Q164" s="1">
        <f ca="1">IFERROR(__xludf.DUMMYFUNCTION("""COMPUTED_VALUE"""),717)</f>
        <v>717</v>
      </c>
      <c r="R164" s="1">
        <f ca="1">IFERROR(__xludf.DUMMYFUNCTION("""COMPUTED_VALUE"""),1658)</f>
        <v>1658</v>
      </c>
      <c r="S164" s="1">
        <f ca="1">IFERROR(__xludf.DUMMYFUNCTION("""COMPUTED_VALUE"""),0.432)</f>
        <v>0.432</v>
      </c>
      <c r="T164" s="1">
        <f ca="1">IFERROR(__xludf.DUMMYFUNCTION("""COMPUTED_VALUE"""),154)</f>
        <v>154</v>
      </c>
      <c r="U164" s="1">
        <f ca="1">IFERROR(__xludf.DUMMYFUNCTION("""COMPUTED_VALUE"""),472)</f>
        <v>472</v>
      </c>
      <c r="V164" s="1">
        <f ca="1">IFERROR(__xludf.DUMMYFUNCTION("""COMPUTED_VALUE"""),0.326)</f>
        <v>0.32600000000000001</v>
      </c>
      <c r="W164" s="1">
        <f ca="1">IFERROR(__xludf.DUMMYFUNCTION("""COMPUTED_VALUE"""),457)</f>
        <v>457</v>
      </c>
      <c r="X164" s="1">
        <f ca="1">IFERROR(__xludf.DUMMYFUNCTION("""COMPUTED_VALUE"""),650)</f>
        <v>650</v>
      </c>
      <c r="Y164" s="1">
        <f ca="1">IFERROR(__xludf.DUMMYFUNCTION("""COMPUTED_VALUE"""),0.703)</f>
        <v>0.70299999999999996</v>
      </c>
      <c r="Z164" s="1">
        <f ca="1">IFERROR(__xludf.DUMMYFUNCTION("""COMPUTED_VALUE"""),341)</f>
        <v>341</v>
      </c>
      <c r="AA164" s="1">
        <f ca="1">IFERROR(__xludf.DUMMYFUNCTION("""COMPUTED_VALUE"""),1132)</f>
        <v>1132</v>
      </c>
      <c r="AB164" s="1">
        <f ca="1">IFERROR(__xludf.DUMMYFUNCTION("""COMPUTED_VALUE"""),358)</f>
        <v>358</v>
      </c>
      <c r="AC164" s="1">
        <f ca="1">IFERROR(__xludf.DUMMYFUNCTION("""COMPUTED_VALUE"""),175)</f>
        <v>175</v>
      </c>
      <c r="AD164" s="1">
        <f ca="1">IFERROR(__xludf.DUMMYFUNCTION("""COMPUTED_VALUE"""),86)</f>
        <v>86</v>
      </c>
      <c r="AE164" s="1">
        <f ca="1">IFERROR(__xludf.DUMMYFUNCTION("""COMPUTED_VALUE"""),522)</f>
        <v>522</v>
      </c>
      <c r="AF164" s="1">
        <f ca="1">IFERROR(__xludf.DUMMYFUNCTION("""COMPUTED_VALUE"""),602)</f>
        <v>602</v>
      </c>
    </row>
    <row r="165" spans="1:32" ht="12.5" x14ac:dyDescent="0.25">
      <c r="A165" s="1" t="str">
        <f ca="1">IFERROR(__xludf.DUMMYFUNCTION("""COMPUTED_VALUE"""),"Lipscomb")</f>
        <v>Lipscomb</v>
      </c>
      <c r="B165" s="1">
        <f ca="1">IFERROR(__xludf.DUMMYFUNCTION("""COMPUTED_VALUE"""),31)</f>
        <v>31</v>
      </c>
      <c r="C165" s="1">
        <f ca="1">IFERROR(__xludf.DUMMYFUNCTION("""COMPUTED_VALUE"""),14)</f>
        <v>14</v>
      </c>
      <c r="D165" s="1">
        <f ca="1">IFERROR(__xludf.DUMMYFUNCTION("""COMPUTED_VALUE"""),17)</f>
        <v>17</v>
      </c>
      <c r="E165" s="1">
        <f ca="1">IFERROR(__xludf.DUMMYFUNCTION("""COMPUTED_VALUE"""),0.452)</f>
        <v>0.45200000000000001</v>
      </c>
      <c r="F165" s="1">
        <f ca="1">IFERROR(__xludf.DUMMYFUNCTION("""COMPUTED_VALUE"""),-10.82)</f>
        <v>-10.82</v>
      </c>
      <c r="G165" s="1">
        <f ca="1">IFERROR(__xludf.DUMMYFUNCTION("""COMPUTED_VALUE"""),-5.15)</f>
        <v>-5.15</v>
      </c>
      <c r="H165" s="1">
        <f ca="1">IFERROR(__xludf.DUMMYFUNCTION("""COMPUTED_VALUE"""),7)</f>
        <v>7</v>
      </c>
      <c r="I165" s="1">
        <f ca="1">IFERROR(__xludf.DUMMYFUNCTION("""COMPUTED_VALUE"""),7)</f>
        <v>7</v>
      </c>
      <c r="J165" s="1">
        <f ca="1">IFERROR(__xludf.DUMMYFUNCTION("""COMPUTED_VALUE"""),10)</f>
        <v>10</v>
      </c>
      <c r="K165" s="1">
        <f ca="1">IFERROR(__xludf.DUMMYFUNCTION("""COMPUTED_VALUE"""),3)</f>
        <v>3</v>
      </c>
      <c r="L165" s="1">
        <f ca="1">IFERROR(__xludf.DUMMYFUNCTION("""COMPUTED_VALUE"""),4)</f>
        <v>4</v>
      </c>
      <c r="M165" s="1">
        <f ca="1">IFERROR(__xludf.DUMMYFUNCTION("""COMPUTED_VALUE"""),14)</f>
        <v>14</v>
      </c>
      <c r="N165" s="1">
        <f ca="1">IFERROR(__xludf.DUMMYFUNCTION("""COMPUTED_VALUE"""),2232)</f>
        <v>2232</v>
      </c>
      <c r="O165" s="1">
        <f ca="1">IFERROR(__xludf.DUMMYFUNCTION("""COMPUTED_VALUE"""),2322)</f>
        <v>2322</v>
      </c>
      <c r="P165" s="1">
        <f ca="1">IFERROR(__xludf.DUMMYFUNCTION("""COMPUTED_VALUE"""),1255)</f>
        <v>1255</v>
      </c>
      <c r="Q165" s="1">
        <f ca="1">IFERROR(__xludf.DUMMYFUNCTION("""COMPUTED_VALUE"""),741)</f>
        <v>741</v>
      </c>
      <c r="R165" s="1">
        <f ca="1">IFERROR(__xludf.DUMMYFUNCTION("""COMPUTED_VALUE"""),1769)</f>
        <v>1769</v>
      </c>
      <c r="S165" s="1">
        <f ca="1">IFERROR(__xludf.DUMMYFUNCTION("""COMPUTED_VALUE"""),0.419)</f>
        <v>0.41899999999999998</v>
      </c>
      <c r="T165" s="1">
        <f ca="1">IFERROR(__xludf.DUMMYFUNCTION("""COMPUTED_VALUE"""),253)</f>
        <v>253</v>
      </c>
      <c r="U165" s="1">
        <f ca="1">IFERROR(__xludf.DUMMYFUNCTION("""COMPUTED_VALUE"""),770)</f>
        <v>770</v>
      </c>
      <c r="V165" s="1">
        <f ca="1">IFERROR(__xludf.DUMMYFUNCTION("""COMPUTED_VALUE"""),0.329)</f>
        <v>0.32900000000000001</v>
      </c>
      <c r="W165" s="1">
        <f ca="1">IFERROR(__xludf.DUMMYFUNCTION("""COMPUTED_VALUE"""),497)</f>
        <v>497</v>
      </c>
      <c r="X165" s="1">
        <f ca="1">IFERROR(__xludf.DUMMYFUNCTION("""COMPUTED_VALUE"""),715)</f>
        <v>715</v>
      </c>
      <c r="Y165" s="1">
        <f ca="1">IFERROR(__xludf.DUMMYFUNCTION("""COMPUTED_VALUE"""),0.695)</f>
        <v>0.69499999999999995</v>
      </c>
      <c r="Z165" s="1">
        <f ca="1">IFERROR(__xludf.DUMMYFUNCTION("""COMPUTED_VALUE"""),345)</f>
        <v>345</v>
      </c>
      <c r="AA165" s="1">
        <f ca="1">IFERROR(__xludf.DUMMYFUNCTION("""COMPUTED_VALUE"""),1112)</f>
        <v>1112</v>
      </c>
      <c r="AB165" s="1">
        <f ca="1">IFERROR(__xludf.DUMMYFUNCTION("""COMPUTED_VALUE"""),432)</f>
        <v>432</v>
      </c>
      <c r="AC165" s="1">
        <f ca="1">IFERROR(__xludf.DUMMYFUNCTION("""COMPUTED_VALUE"""),175)</f>
        <v>175</v>
      </c>
      <c r="AD165" s="1">
        <f ca="1">IFERROR(__xludf.DUMMYFUNCTION("""COMPUTED_VALUE"""),61)</f>
        <v>61</v>
      </c>
      <c r="AE165" s="1">
        <f ca="1">IFERROR(__xludf.DUMMYFUNCTION("""COMPUTED_VALUE"""),412)</f>
        <v>412</v>
      </c>
      <c r="AF165" s="1">
        <f ca="1">IFERROR(__xludf.DUMMYFUNCTION("""COMPUTED_VALUE"""),662)</f>
        <v>662</v>
      </c>
    </row>
    <row r="166" spans="1:32" ht="12.5" x14ac:dyDescent="0.25">
      <c r="A166" s="1" t="str">
        <f ca="1">IFERROR(__xludf.DUMMYFUNCTION("""COMPUTED_VALUE"""),"Cal State Long Beach")</f>
        <v>Cal State Long Beach</v>
      </c>
      <c r="B166" s="1">
        <f ca="1">IFERROR(__xludf.DUMMYFUNCTION("""COMPUTED_VALUE"""),33)</f>
        <v>33</v>
      </c>
      <c r="C166" s="1">
        <f ca="1">IFERROR(__xludf.DUMMYFUNCTION("""COMPUTED_VALUE"""),16)</f>
        <v>16</v>
      </c>
      <c r="D166" s="1">
        <f ca="1">IFERROR(__xludf.DUMMYFUNCTION("""COMPUTED_VALUE"""),17)</f>
        <v>17</v>
      </c>
      <c r="E166" s="1">
        <f ca="1">IFERROR(__xludf.DUMMYFUNCTION("""COMPUTED_VALUE"""),0.485)</f>
        <v>0.48499999999999999</v>
      </c>
      <c r="F166" s="1">
        <f ca="1">IFERROR(__xludf.DUMMYFUNCTION("""COMPUTED_VALUE"""),1.64)</f>
        <v>1.64</v>
      </c>
      <c r="G166" s="1">
        <f ca="1">IFERROR(__xludf.DUMMYFUNCTION("""COMPUTED_VALUE"""),4.16)</f>
        <v>4.16</v>
      </c>
      <c r="H166" s="1">
        <f ca="1">IFERROR(__xludf.DUMMYFUNCTION("""COMPUTED_VALUE"""),10)</f>
        <v>10</v>
      </c>
      <c r="I166" s="1">
        <f ca="1">IFERROR(__xludf.DUMMYFUNCTION("""COMPUTED_VALUE"""),6)</f>
        <v>6</v>
      </c>
      <c r="J166" s="1">
        <f ca="1">IFERROR(__xludf.DUMMYFUNCTION("""COMPUTED_VALUE"""),10)</f>
        <v>10</v>
      </c>
      <c r="K166" s="1">
        <f ca="1">IFERROR(__xludf.DUMMYFUNCTION("""COMPUTED_VALUE"""),2)</f>
        <v>2</v>
      </c>
      <c r="L166" s="1">
        <f ca="1">IFERROR(__xludf.DUMMYFUNCTION("""COMPUTED_VALUE"""),4)</f>
        <v>4</v>
      </c>
      <c r="M166" s="1">
        <f ca="1">IFERROR(__xludf.DUMMYFUNCTION("""COMPUTED_VALUE"""),13)</f>
        <v>13</v>
      </c>
      <c r="N166" s="1">
        <f ca="1">IFERROR(__xludf.DUMMYFUNCTION("""COMPUTED_VALUE"""),2188)</f>
        <v>2188</v>
      </c>
      <c r="O166" s="1">
        <f ca="1">IFERROR(__xludf.DUMMYFUNCTION("""COMPUTED_VALUE"""),2221)</f>
        <v>2221</v>
      </c>
      <c r="P166" s="1">
        <f ca="1">IFERROR(__xludf.DUMMYFUNCTION("""COMPUTED_VALUE"""),1330)</f>
        <v>1330</v>
      </c>
      <c r="Q166" s="1">
        <f ca="1">IFERROR(__xludf.DUMMYFUNCTION("""COMPUTED_VALUE"""),761)</f>
        <v>761</v>
      </c>
      <c r="R166" s="1">
        <f ca="1">IFERROR(__xludf.DUMMYFUNCTION("""COMPUTED_VALUE"""),1809)</f>
        <v>1809</v>
      </c>
      <c r="S166" s="1">
        <f ca="1">IFERROR(__xludf.DUMMYFUNCTION("""COMPUTED_VALUE"""),0.421)</f>
        <v>0.42099999999999999</v>
      </c>
      <c r="T166" s="1">
        <f ca="1">IFERROR(__xludf.DUMMYFUNCTION("""COMPUTED_VALUE"""),230)</f>
        <v>230</v>
      </c>
      <c r="U166" s="1">
        <f ca="1">IFERROR(__xludf.DUMMYFUNCTION("""COMPUTED_VALUE"""),672)</f>
        <v>672</v>
      </c>
      <c r="V166" s="1">
        <f ca="1">IFERROR(__xludf.DUMMYFUNCTION("""COMPUTED_VALUE"""),0.342)</f>
        <v>0.34200000000000003</v>
      </c>
      <c r="W166" s="1">
        <f ca="1">IFERROR(__xludf.DUMMYFUNCTION("""COMPUTED_VALUE"""),436)</f>
        <v>436</v>
      </c>
      <c r="X166" s="1">
        <f ca="1">IFERROR(__xludf.DUMMYFUNCTION("""COMPUTED_VALUE"""),638)</f>
        <v>638</v>
      </c>
      <c r="Y166" s="1">
        <f ca="1">IFERROR(__xludf.DUMMYFUNCTION("""COMPUTED_VALUE"""),0.683)</f>
        <v>0.68300000000000005</v>
      </c>
      <c r="Z166" s="1">
        <f ca="1">IFERROR(__xludf.DUMMYFUNCTION("""COMPUTED_VALUE"""),370)</f>
        <v>370</v>
      </c>
      <c r="AA166" s="1">
        <f ca="1">IFERROR(__xludf.DUMMYFUNCTION("""COMPUTED_VALUE"""),1126)</f>
        <v>1126</v>
      </c>
      <c r="AB166" s="1">
        <f ca="1">IFERROR(__xludf.DUMMYFUNCTION("""COMPUTED_VALUE"""),369)</f>
        <v>369</v>
      </c>
      <c r="AC166" s="1">
        <f ca="1">IFERROR(__xludf.DUMMYFUNCTION("""COMPUTED_VALUE"""),216)</f>
        <v>216</v>
      </c>
      <c r="AD166" s="1">
        <f ca="1">IFERROR(__xludf.DUMMYFUNCTION("""COMPUTED_VALUE"""),78)</f>
        <v>78</v>
      </c>
      <c r="AE166" s="1">
        <f ca="1">IFERROR(__xludf.DUMMYFUNCTION("""COMPUTED_VALUE"""),445)</f>
        <v>445</v>
      </c>
      <c r="AF166" s="1">
        <f ca="1">IFERROR(__xludf.DUMMYFUNCTION("""COMPUTED_VALUE"""),636)</f>
        <v>636</v>
      </c>
    </row>
    <row r="167" spans="1:32" ht="12.5" x14ac:dyDescent="0.25">
      <c r="A167" s="1" t="str">
        <f ca="1">IFERROR(__xludf.DUMMYFUNCTION("""COMPUTED_VALUE"""),"Long Island University")</f>
        <v>Long Island University</v>
      </c>
      <c r="B167" s="1">
        <f ca="1">IFERROR(__xludf.DUMMYFUNCTION("""COMPUTED_VALUE"""),30)</f>
        <v>30</v>
      </c>
      <c r="C167" s="1">
        <f ca="1">IFERROR(__xludf.DUMMYFUNCTION("""COMPUTED_VALUE"""),12)</f>
        <v>12</v>
      </c>
      <c r="D167" s="1">
        <f ca="1">IFERROR(__xludf.DUMMYFUNCTION("""COMPUTED_VALUE"""),18)</f>
        <v>18</v>
      </c>
      <c r="E167" s="1">
        <f ca="1">IFERROR(__xludf.DUMMYFUNCTION("""COMPUTED_VALUE"""),0.4)</f>
        <v>0.4</v>
      </c>
      <c r="F167" s="1">
        <f ca="1">IFERROR(__xludf.DUMMYFUNCTION("""COMPUTED_VALUE"""),-9.09)</f>
        <v>-9.09</v>
      </c>
      <c r="G167" s="1">
        <f ca="1">IFERROR(__xludf.DUMMYFUNCTION("""COMPUTED_VALUE"""),-5.32)</f>
        <v>-5.32</v>
      </c>
      <c r="H167" s="1">
        <f ca="1">IFERROR(__xludf.DUMMYFUNCTION("""COMPUTED_VALUE"""),8)</f>
        <v>8</v>
      </c>
      <c r="I167" s="1">
        <f ca="1">IFERROR(__xludf.DUMMYFUNCTION("""COMPUTED_VALUE"""),10)</f>
        <v>10</v>
      </c>
      <c r="J167" s="1">
        <f ca="1">IFERROR(__xludf.DUMMYFUNCTION("""COMPUTED_VALUE"""),5)</f>
        <v>5</v>
      </c>
      <c r="K167" s="1">
        <f ca="1">IFERROR(__xludf.DUMMYFUNCTION("""COMPUTED_VALUE"""),6)</f>
        <v>6</v>
      </c>
      <c r="L167" s="1">
        <f ca="1">IFERROR(__xludf.DUMMYFUNCTION("""COMPUTED_VALUE"""),6)</f>
        <v>6</v>
      </c>
      <c r="M167" s="1">
        <f ca="1">IFERROR(__xludf.DUMMYFUNCTION("""COMPUTED_VALUE"""),9)</f>
        <v>9</v>
      </c>
      <c r="N167" s="1">
        <f ca="1">IFERROR(__xludf.DUMMYFUNCTION("""COMPUTED_VALUE"""),2022)</f>
        <v>2022</v>
      </c>
      <c r="O167" s="1">
        <f ca="1">IFERROR(__xludf.DUMMYFUNCTION("""COMPUTED_VALUE"""),2135)</f>
        <v>2135</v>
      </c>
      <c r="P167" s="1">
        <f ca="1">IFERROR(__xludf.DUMMYFUNCTION("""COMPUTED_VALUE"""),1230)</f>
        <v>1230</v>
      </c>
      <c r="Q167" s="1">
        <f ca="1">IFERROR(__xludf.DUMMYFUNCTION("""COMPUTED_VALUE"""),677)</f>
        <v>677</v>
      </c>
      <c r="R167" s="1">
        <f ca="1">IFERROR(__xludf.DUMMYFUNCTION("""COMPUTED_VALUE"""),1726)</f>
        <v>1726</v>
      </c>
      <c r="S167" s="1">
        <f ca="1">IFERROR(__xludf.DUMMYFUNCTION("""COMPUTED_VALUE"""),0.392)</f>
        <v>0.39200000000000002</v>
      </c>
      <c r="T167" s="1">
        <f ca="1">IFERROR(__xludf.DUMMYFUNCTION("""COMPUTED_VALUE"""),195)</f>
        <v>195</v>
      </c>
      <c r="U167" s="1">
        <f ca="1">IFERROR(__xludf.DUMMYFUNCTION("""COMPUTED_VALUE"""),601)</f>
        <v>601</v>
      </c>
      <c r="V167" s="1">
        <f ca="1">IFERROR(__xludf.DUMMYFUNCTION("""COMPUTED_VALUE"""),0.324)</f>
        <v>0.32400000000000001</v>
      </c>
      <c r="W167" s="1">
        <f ca="1">IFERROR(__xludf.DUMMYFUNCTION("""COMPUTED_VALUE"""),473)</f>
        <v>473</v>
      </c>
      <c r="X167" s="1">
        <f ca="1">IFERROR(__xludf.DUMMYFUNCTION("""COMPUTED_VALUE"""),687)</f>
        <v>687</v>
      </c>
      <c r="Y167" s="1">
        <f ca="1">IFERROR(__xludf.DUMMYFUNCTION("""COMPUTED_VALUE"""),0.689)</f>
        <v>0.68899999999999995</v>
      </c>
      <c r="Z167" s="1">
        <f ca="1">IFERROR(__xludf.DUMMYFUNCTION("""COMPUTED_VALUE"""),368)</f>
        <v>368</v>
      </c>
      <c r="AA167" s="1">
        <f ca="1">IFERROR(__xludf.DUMMYFUNCTION("""COMPUTED_VALUE"""),1121)</f>
        <v>1121</v>
      </c>
      <c r="AB167" s="1">
        <f ca="1">IFERROR(__xludf.DUMMYFUNCTION("""COMPUTED_VALUE"""),346)</f>
        <v>346</v>
      </c>
      <c r="AC167" s="1">
        <f ca="1">IFERROR(__xludf.DUMMYFUNCTION("""COMPUTED_VALUE"""),171)</f>
        <v>171</v>
      </c>
      <c r="AD167" s="1">
        <f ca="1">IFERROR(__xludf.DUMMYFUNCTION("""COMPUTED_VALUE"""),75)</f>
        <v>75</v>
      </c>
      <c r="AE167" s="1">
        <f ca="1">IFERROR(__xludf.DUMMYFUNCTION("""COMPUTED_VALUE"""),411)</f>
        <v>411</v>
      </c>
      <c r="AF167" s="1">
        <f ca="1">IFERROR(__xludf.DUMMYFUNCTION("""COMPUTED_VALUE"""),605)</f>
        <v>605</v>
      </c>
    </row>
    <row r="168" spans="1:32" ht="12.5" x14ac:dyDescent="0.25">
      <c r="A168" s="1" t="str">
        <f ca="1">IFERROR(__xludf.DUMMYFUNCTION("""COMPUTED_VALUE"""),"Longwood")</f>
        <v>Longwood</v>
      </c>
      <c r="B168" s="1">
        <f ca="1">IFERROR(__xludf.DUMMYFUNCTION("""COMPUTED_VALUE"""),34)</f>
        <v>34</v>
      </c>
      <c r="C168" s="1">
        <f ca="1">IFERROR(__xludf.DUMMYFUNCTION("""COMPUTED_VALUE"""),11)</f>
        <v>11</v>
      </c>
      <c r="D168" s="1">
        <f ca="1">IFERROR(__xludf.DUMMYFUNCTION("""COMPUTED_VALUE"""),23)</f>
        <v>23</v>
      </c>
      <c r="E168" s="1">
        <f ca="1">IFERROR(__xludf.DUMMYFUNCTION("""COMPUTED_VALUE"""),0.324)</f>
        <v>0.32400000000000001</v>
      </c>
      <c r="F168" s="1">
        <f ca="1">IFERROR(__xludf.DUMMYFUNCTION("""COMPUTED_VALUE"""),-12.96)</f>
        <v>-12.96</v>
      </c>
      <c r="G168" s="1">
        <f ca="1">IFERROR(__xludf.DUMMYFUNCTION("""COMPUTED_VALUE"""),-5.53)</f>
        <v>-5.53</v>
      </c>
      <c r="H168" s="1">
        <f ca="1">IFERROR(__xludf.DUMMYFUNCTION("""COMPUTED_VALUE"""),5)</f>
        <v>5</v>
      </c>
      <c r="I168" s="1">
        <f ca="1">IFERROR(__xludf.DUMMYFUNCTION("""COMPUTED_VALUE"""),13)</f>
        <v>13</v>
      </c>
      <c r="J168" s="1">
        <f ca="1">IFERROR(__xludf.DUMMYFUNCTION("""COMPUTED_VALUE"""),6)</f>
        <v>6</v>
      </c>
      <c r="K168" s="1">
        <f ca="1">IFERROR(__xludf.DUMMYFUNCTION("""COMPUTED_VALUE"""),7)</f>
        <v>7</v>
      </c>
      <c r="L168" s="1">
        <f ca="1">IFERROR(__xludf.DUMMYFUNCTION("""COMPUTED_VALUE"""),2)</f>
        <v>2</v>
      </c>
      <c r="M168" s="1">
        <f ca="1">IFERROR(__xludf.DUMMYFUNCTION("""COMPUTED_VALUE"""),14)</f>
        <v>14</v>
      </c>
      <c r="N168" s="1">
        <f ca="1">IFERROR(__xludf.DUMMYFUNCTION("""COMPUTED_VALUE"""),2311)</f>
        <v>2311</v>
      </c>
      <c r="O168" s="1">
        <f ca="1">IFERROR(__xludf.DUMMYFUNCTION("""COMPUTED_VALUE"""),2491)</f>
        <v>2491</v>
      </c>
      <c r="P168" s="1">
        <f ca="1">IFERROR(__xludf.DUMMYFUNCTION("""COMPUTED_VALUE"""),1380)</f>
        <v>1380</v>
      </c>
      <c r="Q168" s="1">
        <f ca="1">IFERROR(__xludf.DUMMYFUNCTION("""COMPUTED_VALUE"""),809)</f>
        <v>809</v>
      </c>
      <c r="R168" s="1">
        <f ca="1">IFERROR(__xludf.DUMMYFUNCTION("""COMPUTED_VALUE"""),1899)</f>
        <v>1899</v>
      </c>
      <c r="S168" s="1">
        <f ca="1">IFERROR(__xludf.DUMMYFUNCTION("""COMPUTED_VALUE"""),0.426)</f>
        <v>0.42599999999999999</v>
      </c>
      <c r="T168" s="1">
        <f ca="1">IFERROR(__xludf.DUMMYFUNCTION("""COMPUTED_VALUE"""),275)</f>
        <v>275</v>
      </c>
      <c r="U168" s="1">
        <f ca="1">IFERROR(__xludf.DUMMYFUNCTION("""COMPUTED_VALUE"""),746)</f>
        <v>746</v>
      </c>
      <c r="V168" s="1">
        <f ca="1">IFERROR(__xludf.DUMMYFUNCTION("""COMPUTED_VALUE"""),0.369)</f>
        <v>0.36899999999999999</v>
      </c>
      <c r="W168" s="1">
        <f ca="1">IFERROR(__xludf.DUMMYFUNCTION("""COMPUTED_VALUE"""),418)</f>
        <v>418</v>
      </c>
      <c r="X168" s="1">
        <f ca="1">IFERROR(__xludf.DUMMYFUNCTION("""COMPUTED_VALUE"""),580)</f>
        <v>580</v>
      </c>
      <c r="Y168" s="1">
        <f ca="1">IFERROR(__xludf.DUMMYFUNCTION("""COMPUTED_VALUE"""),0.721)</f>
        <v>0.72099999999999997</v>
      </c>
      <c r="Z168" s="1">
        <f ca="1">IFERROR(__xludf.DUMMYFUNCTION("""COMPUTED_VALUE"""),324)</f>
        <v>324</v>
      </c>
      <c r="AA168" s="1">
        <f ca="1">IFERROR(__xludf.DUMMYFUNCTION("""COMPUTED_VALUE"""),1071)</f>
        <v>1071</v>
      </c>
      <c r="AB168" s="1">
        <f ca="1">IFERROR(__xludf.DUMMYFUNCTION("""COMPUTED_VALUE"""),397)</f>
        <v>397</v>
      </c>
      <c r="AC168" s="1">
        <f ca="1">IFERROR(__xludf.DUMMYFUNCTION("""COMPUTED_VALUE"""),270)</f>
        <v>270</v>
      </c>
      <c r="AD168" s="1">
        <f ca="1">IFERROR(__xludf.DUMMYFUNCTION("""COMPUTED_VALUE"""),106)</f>
        <v>106</v>
      </c>
      <c r="AE168" s="1">
        <f ca="1">IFERROR(__xludf.DUMMYFUNCTION("""COMPUTED_VALUE"""),489)</f>
        <v>489</v>
      </c>
      <c r="AF168" s="1">
        <f ca="1">IFERROR(__xludf.DUMMYFUNCTION("""COMPUTED_VALUE"""),671)</f>
        <v>671</v>
      </c>
    </row>
    <row r="169" spans="1:32" ht="12.5" x14ac:dyDescent="0.25">
      <c r="A169" s="1" t="str">
        <f ca="1">IFERROR(__xludf.DUMMYFUNCTION("""COMPUTED_VALUE"""),"Louisiana")</f>
        <v>Louisiana</v>
      </c>
      <c r="B169" s="1">
        <f ca="1">IFERROR(__xludf.DUMMYFUNCTION("""COMPUTED_VALUE"""),36)</f>
        <v>36</v>
      </c>
      <c r="C169" s="1">
        <f ca="1">IFERROR(__xludf.DUMMYFUNCTION("""COMPUTED_VALUE"""),22)</f>
        <v>22</v>
      </c>
      <c r="D169" s="1">
        <f ca="1">IFERROR(__xludf.DUMMYFUNCTION("""COMPUTED_VALUE"""),14)</f>
        <v>14</v>
      </c>
      <c r="E169" s="1">
        <f ca="1">IFERROR(__xludf.DUMMYFUNCTION("""COMPUTED_VALUE"""),0.611)</f>
        <v>0.61099999999999999</v>
      </c>
      <c r="F169" s="1">
        <f ca="1">IFERROR(__xludf.DUMMYFUNCTION("""COMPUTED_VALUE"""),0.82)</f>
        <v>0.82</v>
      </c>
      <c r="G169" s="1">
        <f ca="1">IFERROR(__xludf.DUMMYFUNCTION("""COMPUTED_VALUE"""),-3.61)</f>
        <v>-3.61</v>
      </c>
      <c r="H169" s="1">
        <f ca="1">IFERROR(__xludf.DUMMYFUNCTION("""COMPUTED_VALUE"""),13)</f>
        <v>13</v>
      </c>
      <c r="I169" s="1">
        <f ca="1">IFERROR(__xludf.DUMMYFUNCTION("""COMPUTED_VALUE"""),7)</f>
        <v>7</v>
      </c>
      <c r="J169" s="1">
        <f ca="1">IFERROR(__xludf.DUMMYFUNCTION("""COMPUTED_VALUE"""),12)</f>
        <v>12</v>
      </c>
      <c r="K169" s="1">
        <f ca="1">IFERROR(__xludf.DUMMYFUNCTION("""COMPUTED_VALUE"""),4)</f>
        <v>4</v>
      </c>
      <c r="L169" s="1">
        <f ca="1">IFERROR(__xludf.DUMMYFUNCTION("""COMPUTED_VALUE"""),8)</f>
        <v>8</v>
      </c>
      <c r="M169" s="1">
        <f ca="1">IFERROR(__xludf.DUMMYFUNCTION("""COMPUTED_VALUE"""),8)</f>
        <v>8</v>
      </c>
      <c r="N169" s="1">
        <f ca="1">IFERROR(__xludf.DUMMYFUNCTION("""COMPUTED_VALUE"""),2789)</f>
        <v>2789</v>
      </c>
      <c r="O169" s="1">
        <f ca="1">IFERROR(__xludf.DUMMYFUNCTION("""COMPUTED_VALUE"""),2520)</f>
        <v>2520</v>
      </c>
      <c r="P169" s="1">
        <f ca="1">IFERROR(__xludf.DUMMYFUNCTION("""COMPUTED_VALUE"""),1450)</f>
        <v>1450</v>
      </c>
      <c r="Q169" s="1">
        <f ca="1">IFERROR(__xludf.DUMMYFUNCTION("""COMPUTED_VALUE"""),975)</f>
        <v>975</v>
      </c>
      <c r="R169" s="1">
        <f ca="1">IFERROR(__xludf.DUMMYFUNCTION("""COMPUTED_VALUE"""),2125)</f>
        <v>2125</v>
      </c>
      <c r="S169" s="1">
        <f ca="1">IFERROR(__xludf.DUMMYFUNCTION("""COMPUTED_VALUE"""),0.459)</f>
        <v>0.45900000000000002</v>
      </c>
      <c r="T169" s="1">
        <f ca="1">IFERROR(__xludf.DUMMYFUNCTION("""COMPUTED_VALUE"""),240)</f>
        <v>240</v>
      </c>
      <c r="U169" s="1">
        <f ca="1">IFERROR(__xludf.DUMMYFUNCTION("""COMPUTED_VALUE"""),670)</f>
        <v>670</v>
      </c>
      <c r="V169" s="1">
        <f ca="1">IFERROR(__xludf.DUMMYFUNCTION("""COMPUTED_VALUE"""),0.358)</f>
        <v>0.35799999999999998</v>
      </c>
      <c r="W169" s="1">
        <f ca="1">IFERROR(__xludf.DUMMYFUNCTION("""COMPUTED_VALUE"""),599)</f>
        <v>599</v>
      </c>
      <c r="X169" s="1">
        <f ca="1">IFERROR(__xludf.DUMMYFUNCTION("""COMPUTED_VALUE"""),848)</f>
        <v>848</v>
      </c>
      <c r="Y169" s="1">
        <f ca="1">IFERROR(__xludf.DUMMYFUNCTION("""COMPUTED_VALUE"""),0.706)</f>
        <v>0.70599999999999996</v>
      </c>
      <c r="Z169" s="1">
        <f ca="1">IFERROR(__xludf.DUMMYFUNCTION("""COMPUTED_VALUE"""),452)</f>
        <v>452</v>
      </c>
      <c r="AA169" s="1">
        <f ca="1">IFERROR(__xludf.DUMMYFUNCTION("""COMPUTED_VALUE"""),1421)</f>
        <v>1421</v>
      </c>
      <c r="AB169" s="1">
        <f ca="1">IFERROR(__xludf.DUMMYFUNCTION("""COMPUTED_VALUE"""),529)</f>
        <v>529</v>
      </c>
      <c r="AC169" s="1">
        <f ca="1">IFERROR(__xludf.DUMMYFUNCTION("""COMPUTED_VALUE"""),239)</f>
        <v>239</v>
      </c>
      <c r="AD169" s="1">
        <f ca="1">IFERROR(__xludf.DUMMYFUNCTION("""COMPUTED_VALUE"""),145)</f>
        <v>145</v>
      </c>
      <c r="AE169" s="1">
        <f ca="1">IFERROR(__xludf.DUMMYFUNCTION("""COMPUTED_VALUE"""),525)</f>
        <v>525</v>
      </c>
      <c r="AF169" s="1">
        <f ca="1">IFERROR(__xludf.DUMMYFUNCTION("""COMPUTED_VALUE"""),665)</f>
        <v>665</v>
      </c>
    </row>
    <row r="170" spans="1:32" ht="12.5" x14ac:dyDescent="0.25">
      <c r="A170" s="1" t="str">
        <f ca="1">IFERROR(__xludf.DUMMYFUNCTION("""COMPUTED_VALUE"""),"Louisiana-Monroe")</f>
        <v>Louisiana-Monroe</v>
      </c>
      <c r="B170" s="1">
        <f ca="1">IFERROR(__xludf.DUMMYFUNCTION("""COMPUTED_VALUE"""),38)</f>
        <v>38</v>
      </c>
      <c r="C170" s="1">
        <f ca="1">IFERROR(__xludf.DUMMYFUNCTION("""COMPUTED_VALUE"""),24)</f>
        <v>24</v>
      </c>
      <c r="D170" s="1">
        <f ca="1">IFERROR(__xludf.DUMMYFUNCTION("""COMPUTED_VALUE"""),14)</f>
        <v>14</v>
      </c>
      <c r="E170" s="1">
        <f ca="1">IFERROR(__xludf.DUMMYFUNCTION("""COMPUTED_VALUE"""),0.632)</f>
        <v>0.63200000000000001</v>
      </c>
      <c r="F170" s="1">
        <f ca="1">IFERROR(__xludf.DUMMYFUNCTION("""COMPUTED_VALUE"""),-1.99)</f>
        <v>-1.99</v>
      </c>
      <c r="G170" s="1">
        <f ca="1">IFERROR(__xludf.DUMMYFUNCTION("""COMPUTED_VALUE"""),-2.88)</f>
        <v>-2.88</v>
      </c>
      <c r="H170" s="1">
        <f ca="1">IFERROR(__xludf.DUMMYFUNCTION("""COMPUTED_VALUE"""),14)</f>
        <v>14</v>
      </c>
      <c r="I170" s="1">
        <f ca="1">IFERROR(__xludf.DUMMYFUNCTION("""COMPUTED_VALUE"""),6)</f>
        <v>6</v>
      </c>
      <c r="J170" s="1">
        <f ca="1">IFERROR(__xludf.DUMMYFUNCTION("""COMPUTED_VALUE"""),14)</f>
        <v>14</v>
      </c>
      <c r="K170" s="1">
        <f ca="1">IFERROR(__xludf.DUMMYFUNCTION("""COMPUTED_VALUE"""),4)</f>
        <v>4</v>
      </c>
      <c r="L170" s="1">
        <f ca="1">IFERROR(__xludf.DUMMYFUNCTION("""COMPUTED_VALUE"""),9)</f>
        <v>9</v>
      </c>
      <c r="M170" s="1">
        <f ca="1">IFERROR(__xludf.DUMMYFUNCTION("""COMPUTED_VALUE"""),7)</f>
        <v>7</v>
      </c>
      <c r="N170" s="1">
        <f ca="1">IFERROR(__xludf.DUMMYFUNCTION("""COMPUTED_VALUE"""),2454)</f>
        <v>2454</v>
      </c>
      <c r="O170" s="1">
        <f ca="1">IFERROR(__xludf.DUMMYFUNCTION("""COMPUTED_VALUE"""),2299)</f>
        <v>2299</v>
      </c>
      <c r="P170" s="1">
        <f ca="1">IFERROR(__xludf.DUMMYFUNCTION("""COMPUTED_VALUE"""),1540)</f>
        <v>1540</v>
      </c>
      <c r="Q170" s="1">
        <f ca="1">IFERROR(__xludf.DUMMYFUNCTION("""COMPUTED_VALUE"""),923)</f>
        <v>923</v>
      </c>
      <c r="R170" s="1">
        <f ca="1">IFERROR(__xludf.DUMMYFUNCTION("""COMPUTED_VALUE"""),2162)</f>
        <v>2162</v>
      </c>
      <c r="S170" s="1">
        <f ca="1">IFERROR(__xludf.DUMMYFUNCTION("""COMPUTED_VALUE"""),0.427)</f>
        <v>0.42699999999999999</v>
      </c>
      <c r="T170" s="1">
        <f ca="1">IFERROR(__xludf.DUMMYFUNCTION("""COMPUTED_VALUE"""),192)</f>
        <v>192</v>
      </c>
      <c r="U170" s="1">
        <f ca="1">IFERROR(__xludf.DUMMYFUNCTION("""COMPUTED_VALUE"""),634)</f>
        <v>634</v>
      </c>
      <c r="V170" s="1">
        <f ca="1">IFERROR(__xludf.DUMMYFUNCTION("""COMPUTED_VALUE"""),0.303)</f>
        <v>0.30299999999999999</v>
      </c>
      <c r="W170" s="1">
        <f ca="1">IFERROR(__xludf.DUMMYFUNCTION("""COMPUTED_VALUE"""),416)</f>
        <v>416</v>
      </c>
      <c r="X170" s="1">
        <f ca="1">IFERROR(__xludf.DUMMYFUNCTION("""COMPUTED_VALUE"""),583)</f>
        <v>583</v>
      </c>
      <c r="Y170" s="1">
        <f ca="1">IFERROR(__xludf.DUMMYFUNCTION("""COMPUTED_VALUE"""),0.714)</f>
        <v>0.71399999999999997</v>
      </c>
      <c r="Z170" s="1">
        <f ca="1">IFERROR(__xludf.DUMMYFUNCTION("""COMPUTED_VALUE"""),436)</f>
        <v>436</v>
      </c>
      <c r="AA170" s="1">
        <f ca="1">IFERROR(__xludf.DUMMYFUNCTION("""COMPUTED_VALUE"""),1400)</f>
        <v>1400</v>
      </c>
      <c r="AB170" s="1">
        <f ca="1">IFERROR(__xludf.DUMMYFUNCTION("""COMPUTED_VALUE"""),497)</f>
        <v>497</v>
      </c>
      <c r="AC170" s="1">
        <f ca="1">IFERROR(__xludf.DUMMYFUNCTION("""COMPUTED_VALUE"""),197)</f>
        <v>197</v>
      </c>
      <c r="AD170" s="1">
        <f ca="1">IFERROR(__xludf.DUMMYFUNCTION("""COMPUTED_VALUE"""),153)</f>
        <v>153</v>
      </c>
      <c r="AE170" s="1">
        <f ca="1">IFERROR(__xludf.DUMMYFUNCTION("""COMPUTED_VALUE"""),439)</f>
        <v>439</v>
      </c>
      <c r="AF170" s="1">
        <f ca="1">IFERROR(__xludf.DUMMYFUNCTION("""COMPUTED_VALUE"""),578)</f>
        <v>578</v>
      </c>
    </row>
    <row r="171" spans="1:32" ht="12.5" x14ac:dyDescent="0.25">
      <c r="A171" s="1" t="str">
        <f ca="1">IFERROR(__xludf.DUMMYFUNCTION("""COMPUTED_VALUE"""),"Louisiana StateNCAA")</f>
        <v>Louisiana StateNCAA</v>
      </c>
      <c r="B171" s="1">
        <f ca="1">IFERROR(__xludf.DUMMYFUNCTION("""COMPUTED_VALUE"""),33)</f>
        <v>33</v>
      </c>
      <c r="C171" s="1">
        <f ca="1">IFERROR(__xludf.DUMMYFUNCTION("""COMPUTED_VALUE"""),22)</f>
        <v>22</v>
      </c>
      <c r="D171" s="1">
        <f ca="1">IFERROR(__xludf.DUMMYFUNCTION("""COMPUTED_VALUE"""),11)</f>
        <v>11</v>
      </c>
      <c r="E171" s="1">
        <f ca="1">IFERROR(__xludf.DUMMYFUNCTION("""COMPUTED_VALUE"""),0.667)</f>
        <v>0.66700000000000004</v>
      </c>
      <c r="F171" s="1">
        <f ca="1">IFERROR(__xludf.DUMMYFUNCTION("""COMPUTED_VALUE"""),11.39)</f>
        <v>11.39</v>
      </c>
      <c r="G171" s="1">
        <f ca="1">IFERROR(__xludf.DUMMYFUNCTION("""COMPUTED_VALUE"""),5.63)</f>
        <v>5.63</v>
      </c>
      <c r="H171" s="1">
        <f ca="1">IFERROR(__xludf.DUMMYFUNCTION("""COMPUTED_VALUE"""),11)</f>
        <v>11</v>
      </c>
      <c r="I171" s="1">
        <f ca="1">IFERROR(__xludf.DUMMYFUNCTION("""COMPUTED_VALUE"""),7)</f>
        <v>7</v>
      </c>
      <c r="J171" s="1">
        <f ca="1">IFERROR(__xludf.DUMMYFUNCTION("""COMPUTED_VALUE"""),13)</f>
        <v>13</v>
      </c>
      <c r="K171" s="1">
        <f ca="1">IFERROR(__xludf.DUMMYFUNCTION("""COMPUTED_VALUE"""),4)</f>
        <v>4</v>
      </c>
      <c r="L171" s="1">
        <f ca="1">IFERROR(__xludf.DUMMYFUNCTION("""COMPUTED_VALUE"""),8)</f>
        <v>8</v>
      </c>
      <c r="M171" s="1">
        <f ca="1">IFERROR(__xludf.DUMMYFUNCTION("""COMPUTED_VALUE"""),3)</f>
        <v>3</v>
      </c>
      <c r="N171" s="1">
        <f ca="1">IFERROR(__xludf.DUMMYFUNCTION("""COMPUTED_VALUE"""),2423)</f>
        <v>2423</v>
      </c>
      <c r="O171" s="1">
        <f ca="1">IFERROR(__xludf.DUMMYFUNCTION("""COMPUTED_VALUE"""),2233)</f>
        <v>2233</v>
      </c>
      <c r="P171" s="1">
        <f ca="1">IFERROR(__xludf.DUMMYFUNCTION("""COMPUTED_VALUE"""),1350)</f>
        <v>1350</v>
      </c>
      <c r="Q171" s="1">
        <f ca="1">IFERROR(__xludf.DUMMYFUNCTION("""COMPUTED_VALUE"""),892)</f>
        <v>892</v>
      </c>
      <c r="R171" s="1">
        <f ca="1">IFERROR(__xludf.DUMMYFUNCTION("""COMPUTED_VALUE"""),1962)</f>
        <v>1962</v>
      </c>
      <c r="S171" s="1">
        <f ca="1">IFERROR(__xludf.DUMMYFUNCTION("""COMPUTED_VALUE"""),0.455)</f>
        <v>0.45500000000000002</v>
      </c>
      <c r="T171" s="1">
        <f ca="1">IFERROR(__xludf.DUMMYFUNCTION("""COMPUTED_VALUE"""),189)</f>
        <v>189</v>
      </c>
      <c r="U171" s="1">
        <f ca="1">IFERROR(__xludf.DUMMYFUNCTION("""COMPUTED_VALUE"""),558)</f>
        <v>558</v>
      </c>
      <c r="V171" s="1">
        <f ca="1">IFERROR(__xludf.DUMMYFUNCTION("""COMPUTED_VALUE"""),0.339)</f>
        <v>0.33900000000000002</v>
      </c>
      <c r="W171" s="1">
        <f ca="1">IFERROR(__xludf.DUMMYFUNCTION("""COMPUTED_VALUE"""),450)</f>
        <v>450</v>
      </c>
      <c r="X171" s="1">
        <f ca="1">IFERROR(__xludf.DUMMYFUNCTION("""COMPUTED_VALUE"""),658)</f>
        <v>658</v>
      </c>
      <c r="Y171" s="1">
        <f ca="1">IFERROR(__xludf.DUMMYFUNCTION("""COMPUTED_VALUE"""),0.684)</f>
        <v>0.68400000000000005</v>
      </c>
      <c r="Z171" s="1">
        <f ca="1">IFERROR(__xludf.DUMMYFUNCTION("""COMPUTED_VALUE"""),401)</f>
        <v>401</v>
      </c>
      <c r="AA171" s="1">
        <f ca="1">IFERROR(__xludf.DUMMYFUNCTION("""COMPUTED_VALUE"""),1294)</f>
        <v>1294</v>
      </c>
      <c r="AB171" s="1">
        <f ca="1">IFERROR(__xludf.DUMMYFUNCTION("""COMPUTED_VALUE"""),516)</f>
        <v>516</v>
      </c>
      <c r="AC171" s="1">
        <f ca="1">IFERROR(__xludf.DUMMYFUNCTION("""COMPUTED_VALUE"""),240)</f>
        <v>240</v>
      </c>
      <c r="AD171" s="1">
        <f ca="1">IFERROR(__xludf.DUMMYFUNCTION("""COMPUTED_VALUE"""),204)</f>
        <v>204</v>
      </c>
      <c r="AE171" s="1">
        <f ca="1">IFERROR(__xludf.DUMMYFUNCTION("""COMPUTED_VALUE"""),476)</f>
        <v>476</v>
      </c>
      <c r="AF171" s="1">
        <f ca="1">IFERROR(__xludf.DUMMYFUNCTION("""COMPUTED_VALUE"""),516)</f>
        <v>516</v>
      </c>
    </row>
    <row r="172" spans="1:32" ht="12.5" x14ac:dyDescent="0.25">
      <c r="A172" s="1" t="str">
        <f ca="1">IFERROR(__xludf.DUMMYFUNCTION("""COMPUTED_VALUE"""),"Louisiana Tech")</f>
        <v>Louisiana Tech</v>
      </c>
      <c r="B172" s="1">
        <f ca="1">IFERROR(__xludf.DUMMYFUNCTION("""COMPUTED_VALUE"""),36)</f>
        <v>36</v>
      </c>
      <c r="C172" s="1">
        <f ca="1">IFERROR(__xludf.DUMMYFUNCTION("""COMPUTED_VALUE"""),27)</f>
        <v>27</v>
      </c>
      <c r="D172" s="1">
        <f ca="1">IFERROR(__xludf.DUMMYFUNCTION("""COMPUTED_VALUE"""),9)</f>
        <v>9</v>
      </c>
      <c r="E172" s="1">
        <f ca="1">IFERROR(__xludf.DUMMYFUNCTION("""COMPUTED_VALUE"""),0.75)</f>
        <v>0.75</v>
      </c>
      <c r="F172" s="1">
        <f ca="1">IFERROR(__xludf.DUMMYFUNCTION("""COMPUTED_VALUE"""),5.75)</f>
        <v>5.75</v>
      </c>
      <c r="G172" s="1">
        <f ca="1">IFERROR(__xludf.DUMMYFUNCTION("""COMPUTED_VALUE"""),-1.34)</f>
        <v>-1.34</v>
      </c>
      <c r="H172" s="1">
        <f ca="1">IFERROR(__xludf.DUMMYFUNCTION("""COMPUTED_VALUE"""),15)</f>
        <v>15</v>
      </c>
      <c r="I172" s="1">
        <f ca="1">IFERROR(__xludf.DUMMYFUNCTION("""COMPUTED_VALUE"""),3)</f>
        <v>3</v>
      </c>
      <c r="J172" s="1">
        <f ca="1">IFERROR(__xludf.DUMMYFUNCTION("""COMPUTED_VALUE"""),17)</f>
        <v>17</v>
      </c>
      <c r="K172" s="1">
        <f ca="1">IFERROR(__xludf.DUMMYFUNCTION("""COMPUTED_VALUE"""),0)</f>
        <v>0</v>
      </c>
      <c r="L172" s="1">
        <f ca="1">IFERROR(__xludf.DUMMYFUNCTION("""COMPUTED_VALUE"""),9)</f>
        <v>9</v>
      </c>
      <c r="M172" s="1">
        <f ca="1">IFERROR(__xludf.DUMMYFUNCTION("""COMPUTED_VALUE"""),8)</f>
        <v>8</v>
      </c>
      <c r="N172" s="1">
        <f ca="1">IFERROR(__xludf.DUMMYFUNCTION("""COMPUTED_VALUE"""),2632)</f>
        <v>2632</v>
      </c>
      <c r="O172" s="1">
        <f ca="1">IFERROR(__xludf.DUMMYFUNCTION("""COMPUTED_VALUE"""),2362)</f>
        <v>2362</v>
      </c>
      <c r="P172" s="1">
        <f ca="1">IFERROR(__xludf.DUMMYFUNCTION("""COMPUTED_VALUE"""),1451)</f>
        <v>1451</v>
      </c>
      <c r="Q172" s="1">
        <f ca="1">IFERROR(__xludf.DUMMYFUNCTION("""COMPUTED_VALUE"""),945)</f>
        <v>945</v>
      </c>
      <c r="R172" s="1">
        <f ca="1">IFERROR(__xludf.DUMMYFUNCTION("""COMPUTED_VALUE"""),2112)</f>
        <v>2112</v>
      </c>
      <c r="S172" s="1">
        <f ca="1">IFERROR(__xludf.DUMMYFUNCTION("""COMPUTED_VALUE"""),0.447)</f>
        <v>0.44700000000000001</v>
      </c>
      <c r="T172" s="1">
        <f ca="1">IFERROR(__xludf.DUMMYFUNCTION("""COMPUTED_VALUE"""),248)</f>
        <v>248</v>
      </c>
      <c r="U172" s="1">
        <f ca="1">IFERROR(__xludf.DUMMYFUNCTION("""COMPUTED_VALUE"""),756)</f>
        <v>756</v>
      </c>
      <c r="V172" s="1">
        <f ca="1">IFERROR(__xludf.DUMMYFUNCTION("""COMPUTED_VALUE"""),0.328)</f>
        <v>0.32800000000000001</v>
      </c>
      <c r="W172" s="1">
        <f ca="1">IFERROR(__xludf.DUMMYFUNCTION("""COMPUTED_VALUE"""),494)</f>
        <v>494</v>
      </c>
      <c r="X172" s="1">
        <f ca="1">IFERROR(__xludf.DUMMYFUNCTION("""COMPUTED_VALUE"""),716)</f>
        <v>716</v>
      </c>
      <c r="Y172" s="1">
        <f ca="1">IFERROR(__xludf.DUMMYFUNCTION("""COMPUTED_VALUE"""),0.69)</f>
        <v>0.69</v>
      </c>
      <c r="Z172" s="1">
        <f ca="1">IFERROR(__xludf.DUMMYFUNCTION("""COMPUTED_VALUE"""),375)</f>
        <v>375</v>
      </c>
      <c r="AA172" s="1">
        <f ca="1">IFERROR(__xludf.DUMMYFUNCTION("""COMPUTED_VALUE"""),1210)</f>
        <v>1210</v>
      </c>
      <c r="AB172" s="1">
        <f ca="1">IFERROR(__xludf.DUMMYFUNCTION("""COMPUTED_VALUE"""),504)</f>
        <v>504</v>
      </c>
      <c r="AC172" s="1">
        <f ca="1">IFERROR(__xludf.DUMMYFUNCTION("""COMPUTED_VALUE"""),303)</f>
        <v>303</v>
      </c>
      <c r="AD172" s="1">
        <f ca="1">IFERROR(__xludf.DUMMYFUNCTION("""COMPUTED_VALUE"""),207)</f>
        <v>207</v>
      </c>
      <c r="AE172" s="1">
        <f ca="1">IFERROR(__xludf.DUMMYFUNCTION("""COMPUTED_VALUE"""),390)</f>
        <v>390</v>
      </c>
      <c r="AF172" s="1">
        <f ca="1">IFERROR(__xludf.DUMMYFUNCTION("""COMPUTED_VALUE"""),597)</f>
        <v>597</v>
      </c>
    </row>
    <row r="173" spans="1:32" ht="12.5" x14ac:dyDescent="0.25">
      <c r="A173" s="1" t="str">
        <f ca="1">IFERROR(__xludf.DUMMYFUNCTION("""COMPUTED_VALUE"""),"LouisvilleNCAA")</f>
        <v>LouisvilleNCAA</v>
      </c>
      <c r="B173" s="1">
        <f ca="1">IFERROR(__xludf.DUMMYFUNCTION("""COMPUTED_VALUE"""),36)</f>
        <v>36</v>
      </c>
      <c r="C173" s="1">
        <f ca="1">IFERROR(__xludf.DUMMYFUNCTION("""COMPUTED_VALUE"""),27)</f>
        <v>27</v>
      </c>
      <c r="D173" s="1">
        <f ca="1">IFERROR(__xludf.DUMMYFUNCTION("""COMPUTED_VALUE"""),9)</f>
        <v>9</v>
      </c>
      <c r="E173" s="1">
        <f ca="1">IFERROR(__xludf.DUMMYFUNCTION("""COMPUTED_VALUE"""),0.75)</f>
        <v>0.75</v>
      </c>
      <c r="F173" s="1">
        <f ca="1">IFERROR(__xludf.DUMMYFUNCTION("""COMPUTED_VALUE"""),18.12)</f>
        <v>18.12</v>
      </c>
      <c r="G173" s="1">
        <f ca="1">IFERROR(__xludf.DUMMYFUNCTION("""COMPUTED_VALUE"""),8.98)</f>
        <v>8.98</v>
      </c>
      <c r="H173" s="1">
        <f ca="1">IFERROR(__xludf.DUMMYFUNCTION("""COMPUTED_VALUE"""),12)</f>
        <v>12</v>
      </c>
      <c r="I173" s="1">
        <f ca="1">IFERROR(__xludf.DUMMYFUNCTION("""COMPUTED_VALUE"""),6)</f>
        <v>6</v>
      </c>
      <c r="J173" s="1">
        <f ca="1">IFERROR(__xludf.DUMMYFUNCTION("""COMPUTED_VALUE"""),15)</f>
        <v>15</v>
      </c>
      <c r="K173" s="1">
        <f ca="1">IFERROR(__xludf.DUMMYFUNCTION("""COMPUTED_VALUE"""),4)</f>
        <v>4</v>
      </c>
      <c r="L173" s="1">
        <f ca="1">IFERROR(__xludf.DUMMYFUNCTION("""COMPUTED_VALUE"""),7)</f>
        <v>7</v>
      </c>
      <c r="M173" s="1">
        <f ca="1">IFERROR(__xludf.DUMMYFUNCTION("""COMPUTED_VALUE"""),3)</f>
        <v>3</v>
      </c>
      <c r="N173" s="1">
        <f ca="1">IFERROR(__xludf.DUMMYFUNCTION("""COMPUTED_VALUE"""),2483)</f>
        <v>2483</v>
      </c>
      <c r="O173" s="1">
        <f ca="1">IFERROR(__xludf.DUMMYFUNCTION("""COMPUTED_VALUE"""),2154)</f>
        <v>2154</v>
      </c>
      <c r="P173" s="1">
        <f ca="1">IFERROR(__xludf.DUMMYFUNCTION("""COMPUTED_VALUE"""),1450)</f>
        <v>1450</v>
      </c>
      <c r="Q173" s="1">
        <f ca="1">IFERROR(__xludf.DUMMYFUNCTION("""COMPUTED_VALUE"""),878)</f>
        <v>878</v>
      </c>
      <c r="R173" s="1">
        <f ca="1">IFERROR(__xludf.DUMMYFUNCTION("""COMPUTED_VALUE"""),2048)</f>
        <v>2048</v>
      </c>
      <c r="S173" s="1">
        <f ca="1">IFERROR(__xludf.DUMMYFUNCTION("""COMPUTED_VALUE"""),0.429)</f>
        <v>0.42899999999999999</v>
      </c>
      <c r="T173" s="1">
        <f ca="1">IFERROR(__xludf.DUMMYFUNCTION("""COMPUTED_VALUE"""),198)</f>
        <v>198</v>
      </c>
      <c r="U173" s="1">
        <f ca="1">IFERROR(__xludf.DUMMYFUNCTION("""COMPUTED_VALUE"""),644)</f>
        <v>644</v>
      </c>
      <c r="V173" s="1">
        <f ca="1">IFERROR(__xludf.DUMMYFUNCTION("""COMPUTED_VALUE"""),0.307)</f>
        <v>0.307</v>
      </c>
      <c r="W173" s="1">
        <f ca="1">IFERROR(__xludf.DUMMYFUNCTION("""COMPUTED_VALUE"""),529)</f>
        <v>529</v>
      </c>
      <c r="X173" s="1">
        <f ca="1">IFERROR(__xludf.DUMMYFUNCTION("""COMPUTED_VALUE"""),792)</f>
        <v>792</v>
      </c>
      <c r="Y173" s="1">
        <f ca="1">IFERROR(__xludf.DUMMYFUNCTION("""COMPUTED_VALUE"""),0.668)</f>
        <v>0.66800000000000004</v>
      </c>
      <c r="Z173" s="1">
        <f ca="1">IFERROR(__xludf.DUMMYFUNCTION("""COMPUTED_VALUE"""),454)</f>
        <v>454</v>
      </c>
      <c r="AA173" s="1">
        <f ca="1">IFERROR(__xludf.DUMMYFUNCTION("""COMPUTED_VALUE"""),1351)</f>
        <v>1351</v>
      </c>
      <c r="AB173" s="1">
        <f ca="1">IFERROR(__xludf.DUMMYFUNCTION("""COMPUTED_VALUE"""),419)</f>
        <v>419</v>
      </c>
      <c r="AC173" s="1">
        <f ca="1">IFERROR(__xludf.DUMMYFUNCTION("""COMPUTED_VALUE"""),283)</f>
        <v>283</v>
      </c>
      <c r="AD173" s="1">
        <f ca="1">IFERROR(__xludf.DUMMYFUNCTION("""COMPUTED_VALUE"""),192)</f>
        <v>192</v>
      </c>
      <c r="AE173" s="1">
        <f ca="1">IFERROR(__xludf.DUMMYFUNCTION("""COMPUTED_VALUE"""),408)</f>
        <v>408</v>
      </c>
      <c r="AF173" s="1">
        <f ca="1">IFERROR(__xludf.DUMMYFUNCTION("""COMPUTED_VALUE"""),623)</f>
        <v>623</v>
      </c>
    </row>
    <row r="174" spans="1:32" ht="12.5" x14ac:dyDescent="0.25">
      <c r="A174" s="1" t="str">
        <f ca="1">IFERROR(__xludf.DUMMYFUNCTION("""COMPUTED_VALUE"""),"Loyola (IL)")</f>
        <v>Loyola (IL)</v>
      </c>
      <c r="B174" s="1">
        <f ca="1">IFERROR(__xludf.DUMMYFUNCTION("""COMPUTED_VALUE"""),37)</f>
        <v>37</v>
      </c>
      <c r="C174" s="1">
        <f ca="1">IFERROR(__xludf.DUMMYFUNCTION("""COMPUTED_VALUE"""),24)</f>
        <v>24</v>
      </c>
      <c r="D174" s="1">
        <f ca="1">IFERROR(__xludf.DUMMYFUNCTION("""COMPUTED_VALUE"""),13)</f>
        <v>13</v>
      </c>
      <c r="E174" s="1">
        <f ca="1">IFERROR(__xludf.DUMMYFUNCTION("""COMPUTED_VALUE"""),0.649)</f>
        <v>0.64900000000000002</v>
      </c>
      <c r="F174" s="1">
        <f ca="1">IFERROR(__xludf.DUMMYFUNCTION("""COMPUTED_VALUE"""),2.35)</f>
        <v>2.35</v>
      </c>
      <c r="G174" s="1">
        <f ca="1">IFERROR(__xludf.DUMMYFUNCTION("""COMPUTED_VALUE"""),0.46)</f>
        <v>0.46</v>
      </c>
      <c r="H174" s="1">
        <f ca="1">IFERROR(__xludf.DUMMYFUNCTION("""COMPUTED_VALUE"""),8)</f>
        <v>8</v>
      </c>
      <c r="I174" s="1">
        <f ca="1">IFERROR(__xludf.DUMMYFUNCTION("""COMPUTED_VALUE"""),10)</f>
        <v>10</v>
      </c>
      <c r="J174" s="1">
        <f ca="1">IFERROR(__xludf.DUMMYFUNCTION("""COMPUTED_VALUE"""),13)</f>
        <v>13</v>
      </c>
      <c r="K174" s="1">
        <f ca="1">IFERROR(__xludf.DUMMYFUNCTION("""COMPUTED_VALUE"""),6)</f>
        <v>6</v>
      </c>
      <c r="L174" s="1">
        <f ca="1">IFERROR(__xludf.DUMMYFUNCTION("""COMPUTED_VALUE"""),8)</f>
        <v>8</v>
      </c>
      <c r="M174" s="1">
        <f ca="1">IFERROR(__xludf.DUMMYFUNCTION("""COMPUTED_VALUE"""),6)</f>
        <v>6</v>
      </c>
      <c r="N174" s="1">
        <f ca="1">IFERROR(__xludf.DUMMYFUNCTION("""COMPUTED_VALUE"""),2324)</f>
        <v>2324</v>
      </c>
      <c r="O174" s="1">
        <f ca="1">IFERROR(__xludf.DUMMYFUNCTION("""COMPUTED_VALUE"""),2235)</f>
        <v>2235</v>
      </c>
      <c r="P174" s="1">
        <f ca="1">IFERROR(__xludf.DUMMYFUNCTION("""COMPUTED_VALUE"""),1485)</f>
        <v>1485</v>
      </c>
      <c r="Q174" s="1">
        <f ca="1">IFERROR(__xludf.DUMMYFUNCTION("""COMPUTED_VALUE"""),841)</f>
        <v>841</v>
      </c>
      <c r="R174" s="1">
        <f ca="1">IFERROR(__xludf.DUMMYFUNCTION("""COMPUTED_VALUE"""),1776)</f>
        <v>1776</v>
      </c>
      <c r="S174" s="1">
        <f ca="1">IFERROR(__xludf.DUMMYFUNCTION("""COMPUTED_VALUE"""),0.474)</f>
        <v>0.47399999999999998</v>
      </c>
      <c r="T174" s="1">
        <f ca="1">IFERROR(__xludf.DUMMYFUNCTION("""COMPUTED_VALUE"""),224)</f>
        <v>224</v>
      </c>
      <c r="U174" s="1">
        <f ca="1">IFERROR(__xludf.DUMMYFUNCTION("""COMPUTED_VALUE"""),571)</f>
        <v>571</v>
      </c>
      <c r="V174" s="1">
        <f ca="1">IFERROR(__xludf.DUMMYFUNCTION("""COMPUTED_VALUE"""),0.392)</f>
        <v>0.39200000000000002</v>
      </c>
      <c r="W174" s="1">
        <f ca="1">IFERROR(__xludf.DUMMYFUNCTION("""COMPUTED_VALUE"""),418)</f>
        <v>418</v>
      </c>
      <c r="X174" s="1">
        <f ca="1">IFERROR(__xludf.DUMMYFUNCTION("""COMPUTED_VALUE"""),608)</f>
        <v>608</v>
      </c>
      <c r="Y174" s="1">
        <f ca="1">IFERROR(__xludf.DUMMYFUNCTION("""COMPUTED_VALUE"""),0.688)</f>
        <v>0.68799999999999994</v>
      </c>
      <c r="Z174" s="1">
        <f ca="1">IFERROR(__xludf.DUMMYFUNCTION("""COMPUTED_VALUE"""),291)</f>
        <v>291</v>
      </c>
      <c r="AA174" s="1">
        <f ca="1">IFERROR(__xludf.DUMMYFUNCTION("""COMPUTED_VALUE"""),1078)</f>
        <v>1078</v>
      </c>
      <c r="AB174" s="1">
        <f ca="1">IFERROR(__xludf.DUMMYFUNCTION("""COMPUTED_VALUE"""),489)</f>
        <v>489</v>
      </c>
      <c r="AC174" s="1">
        <f ca="1">IFERROR(__xludf.DUMMYFUNCTION("""COMPUTED_VALUE"""),240)</f>
        <v>240</v>
      </c>
      <c r="AD174" s="1">
        <f ca="1">IFERROR(__xludf.DUMMYFUNCTION("""COMPUTED_VALUE"""),84)</f>
        <v>84</v>
      </c>
      <c r="AE174" s="1">
        <f ca="1">IFERROR(__xludf.DUMMYFUNCTION("""COMPUTED_VALUE"""),466)</f>
        <v>466</v>
      </c>
      <c r="AF174" s="1">
        <f ca="1">IFERROR(__xludf.DUMMYFUNCTION("""COMPUTED_VALUE"""),568)</f>
        <v>568</v>
      </c>
    </row>
    <row r="175" spans="1:32" ht="12.5" x14ac:dyDescent="0.25">
      <c r="A175" s="1" t="str">
        <f ca="1">IFERROR(__xludf.DUMMYFUNCTION("""COMPUTED_VALUE"""),"Loyola Marymount")</f>
        <v>Loyola Marymount</v>
      </c>
      <c r="B175" s="1">
        <f ca="1">IFERROR(__xludf.DUMMYFUNCTION("""COMPUTED_VALUE"""),31)</f>
        <v>31</v>
      </c>
      <c r="C175" s="1">
        <f ca="1">IFERROR(__xludf.DUMMYFUNCTION("""COMPUTED_VALUE"""),8)</f>
        <v>8</v>
      </c>
      <c r="D175" s="1">
        <f ca="1">IFERROR(__xludf.DUMMYFUNCTION("""COMPUTED_VALUE"""),23)</f>
        <v>23</v>
      </c>
      <c r="E175" s="1">
        <f ca="1">IFERROR(__xludf.DUMMYFUNCTION("""COMPUTED_VALUE"""),0.258)</f>
        <v>0.25800000000000001</v>
      </c>
      <c r="F175" s="1">
        <f ca="1">IFERROR(__xludf.DUMMYFUNCTION("""COMPUTED_VALUE"""),-4.13)</f>
        <v>-4.13</v>
      </c>
      <c r="G175" s="1">
        <f ca="1">IFERROR(__xludf.DUMMYFUNCTION("""COMPUTED_VALUE"""),5.28)</f>
        <v>5.28</v>
      </c>
      <c r="H175" s="1">
        <f ca="1">IFERROR(__xludf.DUMMYFUNCTION("""COMPUTED_VALUE"""),4)</f>
        <v>4</v>
      </c>
      <c r="I175" s="1">
        <f ca="1">IFERROR(__xludf.DUMMYFUNCTION("""COMPUTED_VALUE"""),14)</f>
        <v>14</v>
      </c>
      <c r="J175" s="1">
        <f ca="1">IFERROR(__xludf.DUMMYFUNCTION("""COMPUTED_VALUE"""),5)</f>
        <v>5</v>
      </c>
      <c r="K175" s="1">
        <f ca="1">IFERROR(__xludf.DUMMYFUNCTION("""COMPUTED_VALUE"""),9)</f>
        <v>9</v>
      </c>
      <c r="L175" s="1">
        <f ca="1">IFERROR(__xludf.DUMMYFUNCTION("""COMPUTED_VALUE"""),2)</f>
        <v>2</v>
      </c>
      <c r="M175" s="1">
        <f ca="1">IFERROR(__xludf.DUMMYFUNCTION("""COMPUTED_VALUE"""),11)</f>
        <v>11</v>
      </c>
      <c r="N175" s="1">
        <f ca="1">IFERROR(__xludf.DUMMYFUNCTION("""COMPUTED_VALUE"""),1928)</f>
        <v>1928</v>
      </c>
      <c r="O175" s="1">
        <f ca="1">IFERROR(__xludf.DUMMYFUNCTION("""COMPUTED_VALUE"""),2188)</f>
        <v>2188</v>
      </c>
      <c r="P175" s="1">
        <f ca="1">IFERROR(__xludf.DUMMYFUNCTION("""COMPUTED_VALUE"""),1250)</f>
        <v>1250</v>
      </c>
      <c r="Q175" s="1">
        <f ca="1">IFERROR(__xludf.DUMMYFUNCTION("""COMPUTED_VALUE"""),678)</f>
        <v>678</v>
      </c>
      <c r="R175" s="1">
        <f ca="1">IFERROR(__xludf.DUMMYFUNCTION("""COMPUTED_VALUE"""),1622)</f>
        <v>1622</v>
      </c>
      <c r="S175" s="1">
        <f ca="1">IFERROR(__xludf.DUMMYFUNCTION("""COMPUTED_VALUE"""),0.418)</f>
        <v>0.41799999999999998</v>
      </c>
      <c r="T175" s="1">
        <f ca="1">IFERROR(__xludf.DUMMYFUNCTION("""COMPUTED_VALUE"""),160)</f>
        <v>160</v>
      </c>
      <c r="U175" s="1">
        <f ca="1">IFERROR(__xludf.DUMMYFUNCTION("""COMPUTED_VALUE"""),452)</f>
        <v>452</v>
      </c>
      <c r="V175" s="1">
        <f ca="1">IFERROR(__xludf.DUMMYFUNCTION("""COMPUTED_VALUE"""),0.354)</f>
        <v>0.35399999999999998</v>
      </c>
      <c r="W175" s="1">
        <f ca="1">IFERROR(__xludf.DUMMYFUNCTION("""COMPUTED_VALUE"""),412)</f>
        <v>412</v>
      </c>
      <c r="X175" s="1">
        <f ca="1">IFERROR(__xludf.DUMMYFUNCTION("""COMPUTED_VALUE"""),580)</f>
        <v>580</v>
      </c>
      <c r="Y175" s="1">
        <f ca="1">IFERROR(__xludf.DUMMYFUNCTION("""COMPUTED_VALUE"""),0.71)</f>
        <v>0.71</v>
      </c>
      <c r="Z175" s="1">
        <f ca="1">IFERROR(__xludf.DUMMYFUNCTION("""COMPUTED_VALUE"""),351)</f>
        <v>351</v>
      </c>
      <c r="AA175" s="1">
        <f ca="1">IFERROR(__xludf.DUMMYFUNCTION("""COMPUTED_VALUE"""),1011)</f>
        <v>1011</v>
      </c>
      <c r="AB175" s="1">
        <f ca="1">IFERROR(__xludf.DUMMYFUNCTION("""COMPUTED_VALUE"""),388)</f>
        <v>388</v>
      </c>
      <c r="AC175" s="1">
        <f ca="1">IFERROR(__xludf.DUMMYFUNCTION("""COMPUTED_VALUE"""),188)</f>
        <v>188</v>
      </c>
      <c r="AD175" s="1">
        <f ca="1">IFERROR(__xludf.DUMMYFUNCTION("""COMPUTED_VALUE"""),108)</f>
        <v>108</v>
      </c>
      <c r="AE175" s="1">
        <f ca="1">IFERROR(__xludf.DUMMYFUNCTION("""COMPUTED_VALUE"""),422)</f>
        <v>422</v>
      </c>
      <c r="AF175" s="1">
        <f ca="1">IFERROR(__xludf.DUMMYFUNCTION("""COMPUTED_VALUE"""),540)</f>
        <v>540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IFERROR(__xludf.DUMMYFUNCTION("""COMPUTED_VALUE"""),"Loyola (MD)")</f>
        <v>Loyola (MD)</v>
      </c>
      <c r="B178" s="1">
        <f ca="1">IFERROR(__xludf.DUMMYFUNCTION("""COMPUTED_VALUE"""),30)</f>
        <v>30</v>
      </c>
      <c r="C178" s="1">
        <f ca="1">IFERROR(__xludf.DUMMYFUNCTION("""COMPUTED_VALUE"""),11)</f>
        <v>11</v>
      </c>
      <c r="D178" s="1">
        <f ca="1">IFERROR(__xludf.DUMMYFUNCTION("""COMPUTED_VALUE"""),19)</f>
        <v>19</v>
      </c>
      <c r="E178" s="1">
        <f ca="1">IFERROR(__xludf.DUMMYFUNCTION("""COMPUTED_VALUE"""),0.367)</f>
        <v>0.36699999999999999</v>
      </c>
      <c r="F178" s="1">
        <f ca="1">IFERROR(__xludf.DUMMYFUNCTION("""COMPUTED_VALUE"""),-10.75)</f>
        <v>-10.75</v>
      </c>
      <c r="G178" s="1">
        <f ca="1">IFERROR(__xludf.DUMMYFUNCTION("""COMPUTED_VALUE"""),-3.38)</f>
        <v>-3.38</v>
      </c>
      <c r="H178" s="1">
        <f ca="1">IFERROR(__xludf.DUMMYFUNCTION("""COMPUTED_VALUE"""),7)</f>
        <v>7</v>
      </c>
      <c r="I178" s="1">
        <f ca="1">IFERROR(__xludf.DUMMYFUNCTION("""COMPUTED_VALUE"""),11)</f>
        <v>11</v>
      </c>
      <c r="J178" s="1">
        <f ca="1">IFERROR(__xludf.DUMMYFUNCTION("""COMPUTED_VALUE"""),7)</f>
        <v>7</v>
      </c>
      <c r="K178" s="1">
        <f ca="1">IFERROR(__xludf.DUMMYFUNCTION("""COMPUTED_VALUE"""),6)</f>
        <v>6</v>
      </c>
      <c r="L178" s="1">
        <f ca="1">IFERROR(__xludf.DUMMYFUNCTION("""COMPUTED_VALUE"""),3)</f>
        <v>3</v>
      </c>
      <c r="M178" s="1">
        <f ca="1">IFERROR(__xludf.DUMMYFUNCTION("""COMPUTED_VALUE"""),13)</f>
        <v>13</v>
      </c>
      <c r="N178" s="1">
        <f ca="1">IFERROR(__xludf.DUMMYFUNCTION("""COMPUTED_VALUE"""),1764)</f>
        <v>1764</v>
      </c>
      <c r="O178" s="1">
        <f ca="1">IFERROR(__xludf.DUMMYFUNCTION("""COMPUTED_VALUE"""),1985)</f>
        <v>1985</v>
      </c>
      <c r="P178" s="1">
        <f ca="1">IFERROR(__xludf.DUMMYFUNCTION("""COMPUTED_VALUE"""),1229)</f>
        <v>1229</v>
      </c>
      <c r="Q178" s="1">
        <f ca="1">IFERROR(__xludf.DUMMYFUNCTION("""COMPUTED_VALUE"""),607)</f>
        <v>607</v>
      </c>
      <c r="R178" s="1">
        <f ca="1">IFERROR(__xludf.DUMMYFUNCTION("""COMPUTED_VALUE"""),1591)</f>
        <v>1591</v>
      </c>
      <c r="S178" s="1">
        <f ca="1">IFERROR(__xludf.DUMMYFUNCTION("""COMPUTED_VALUE"""),0.382)</f>
        <v>0.38200000000000001</v>
      </c>
      <c r="T178" s="1">
        <f ca="1">IFERROR(__xludf.DUMMYFUNCTION("""COMPUTED_VALUE"""),148)</f>
        <v>148</v>
      </c>
      <c r="U178" s="1">
        <f ca="1">IFERROR(__xludf.DUMMYFUNCTION("""COMPUTED_VALUE"""),456)</f>
        <v>456</v>
      </c>
      <c r="V178" s="1">
        <f ca="1">IFERROR(__xludf.DUMMYFUNCTION("""COMPUTED_VALUE"""),0.325)</f>
        <v>0.32500000000000001</v>
      </c>
      <c r="W178" s="1">
        <f ca="1">IFERROR(__xludf.DUMMYFUNCTION("""COMPUTED_VALUE"""),402)</f>
        <v>402</v>
      </c>
      <c r="X178" s="1">
        <f ca="1">IFERROR(__xludf.DUMMYFUNCTION("""COMPUTED_VALUE"""),599)</f>
        <v>599</v>
      </c>
      <c r="Y178" s="1">
        <f ca="1">IFERROR(__xludf.DUMMYFUNCTION("""COMPUTED_VALUE"""),0.671)</f>
        <v>0.67100000000000004</v>
      </c>
      <c r="Z178" s="1">
        <f ca="1">IFERROR(__xludf.DUMMYFUNCTION("""COMPUTED_VALUE"""),346)</f>
        <v>346</v>
      </c>
      <c r="AA178" s="1">
        <f ca="1">IFERROR(__xludf.DUMMYFUNCTION("""COMPUTED_VALUE"""),1047)</f>
        <v>1047</v>
      </c>
      <c r="AB178" s="1">
        <f ca="1">IFERROR(__xludf.DUMMYFUNCTION("""COMPUTED_VALUE"""),290)</f>
        <v>290</v>
      </c>
      <c r="AC178" s="1">
        <f ca="1">IFERROR(__xludf.DUMMYFUNCTION("""COMPUTED_VALUE"""),166)</f>
        <v>166</v>
      </c>
      <c r="AD178" s="1">
        <f ca="1">IFERROR(__xludf.DUMMYFUNCTION("""COMPUTED_VALUE"""),92)</f>
        <v>92</v>
      </c>
      <c r="AE178" s="1">
        <f ca="1">IFERROR(__xludf.DUMMYFUNCTION("""COMPUTED_VALUE"""),388)</f>
        <v>388</v>
      </c>
      <c r="AF178" s="1">
        <f ca="1">IFERROR(__xludf.DUMMYFUNCTION("""COMPUTED_VALUE"""),594)</f>
        <v>594</v>
      </c>
    </row>
    <row r="179" spans="1:32" ht="12.5" x14ac:dyDescent="0.25">
      <c r="A179" s="1" t="str">
        <f ca="1">IFERROR(__xludf.DUMMYFUNCTION("""COMPUTED_VALUE"""),"Maine")</f>
        <v>Maine</v>
      </c>
      <c r="B179" s="1">
        <f ca="1">IFERROR(__xludf.DUMMYFUNCTION("""COMPUTED_VALUE"""),30)</f>
        <v>30</v>
      </c>
      <c r="C179" s="1">
        <f ca="1">IFERROR(__xludf.DUMMYFUNCTION("""COMPUTED_VALUE"""),3)</f>
        <v>3</v>
      </c>
      <c r="D179" s="1">
        <f ca="1">IFERROR(__xludf.DUMMYFUNCTION("""COMPUTED_VALUE"""),27)</f>
        <v>27</v>
      </c>
      <c r="E179" s="1">
        <f ca="1">IFERROR(__xludf.DUMMYFUNCTION("""COMPUTED_VALUE"""),0.1)</f>
        <v>0.1</v>
      </c>
      <c r="F179" s="1">
        <f ca="1">IFERROR(__xludf.DUMMYFUNCTION("""COMPUTED_VALUE"""),-17.8)</f>
        <v>-17.8</v>
      </c>
      <c r="G179" s="1">
        <f ca="1">IFERROR(__xludf.DUMMYFUNCTION("""COMPUTED_VALUE"""),-3.4)</f>
        <v>-3.4</v>
      </c>
      <c r="H179" s="1">
        <f ca="1">IFERROR(__xludf.DUMMYFUNCTION("""COMPUTED_VALUE"""),2)</f>
        <v>2</v>
      </c>
      <c r="I179" s="1">
        <f ca="1">IFERROR(__xludf.DUMMYFUNCTION("""COMPUTED_VALUE"""),14)</f>
        <v>14</v>
      </c>
      <c r="J179" s="1">
        <f ca="1">IFERROR(__xludf.DUMMYFUNCTION("""COMPUTED_VALUE"""),2)</f>
        <v>2</v>
      </c>
      <c r="K179" s="1">
        <f ca="1">IFERROR(__xludf.DUMMYFUNCTION("""COMPUTED_VALUE"""),9)</f>
        <v>9</v>
      </c>
      <c r="L179" s="1">
        <f ca="1">IFERROR(__xludf.DUMMYFUNCTION("""COMPUTED_VALUE"""),1)</f>
        <v>1</v>
      </c>
      <c r="M179" s="1">
        <f ca="1">IFERROR(__xludf.DUMMYFUNCTION("""COMPUTED_VALUE"""),17)</f>
        <v>17</v>
      </c>
      <c r="N179" s="1">
        <f ca="1">IFERROR(__xludf.DUMMYFUNCTION("""COMPUTED_VALUE"""),1812)</f>
        <v>1812</v>
      </c>
      <c r="O179" s="1">
        <f ca="1">IFERROR(__xludf.DUMMYFUNCTION("""COMPUTED_VALUE"""),2244)</f>
        <v>2244</v>
      </c>
      <c r="P179" s="1">
        <f ca="1">IFERROR(__xludf.DUMMYFUNCTION("""COMPUTED_VALUE"""),1210)</f>
        <v>1210</v>
      </c>
      <c r="Q179" s="1">
        <f ca="1">IFERROR(__xludf.DUMMYFUNCTION("""COMPUTED_VALUE"""),647)</f>
        <v>647</v>
      </c>
      <c r="R179" s="1">
        <f ca="1">IFERROR(__xludf.DUMMYFUNCTION("""COMPUTED_VALUE"""),1599)</f>
        <v>1599</v>
      </c>
      <c r="S179" s="1">
        <f ca="1">IFERROR(__xludf.DUMMYFUNCTION("""COMPUTED_VALUE"""),0.405)</f>
        <v>0.40500000000000003</v>
      </c>
      <c r="T179" s="1">
        <f ca="1">IFERROR(__xludf.DUMMYFUNCTION("""COMPUTED_VALUE"""),197)</f>
        <v>197</v>
      </c>
      <c r="U179" s="1">
        <f ca="1">IFERROR(__xludf.DUMMYFUNCTION("""COMPUTED_VALUE"""),609)</f>
        <v>609</v>
      </c>
      <c r="V179" s="1">
        <f ca="1">IFERROR(__xludf.DUMMYFUNCTION("""COMPUTED_VALUE"""),0.323)</f>
        <v>0.32300000000000001</v>
      </c>
      <c r="W179" s="1">
        <f ca="1">IFERROR(__xludf.DUMMYFUNCTION("""COMPUTED_VALUE"""),321)</f>
        <v>321</v>
      </c>
      <c r="X179" s="1">
        <f ca="1">IFERROR(__xludf.DUMMYFUNCTION("""COMPUTED_VALUE"""),442)</f>
        <v>442</v>
      </c>
      <c r="Y179" s="1">
        <f ca="1">IFERROR(__xludf.DUMMYFUNCTION("""COMPUTED_VALUE"""),0.726)</f>
        <v>0.72599999999999998</v>
      </c>
      <c r="Z179" s="1">
        <f ca="1">IFERROR(__xludf.DUMMYFUNCTION("""COMPUTED_VALUE"""),238)</f>
        <v>238</v>
      </c>
      <c r="AA179" s="1">
        <f ca="1">IFERROR(__xludf.DUMMYFUNCTION("""COMPUTED_VALUE"""),881)</f>
        <v>881</v>
      </c>
      <c r="AB179" s="1">
        <f ca="1">IFERROR(__xludf.DUMMYFUNCTION("""COMPUTED_VALUE"""),393)</f>
        <v>393</v>
      </c>
      <c r="AC179" s="1">
        <f ca="1">IFERROR(__xludf.DUMMYFUNCTION("""COMPUTED_VALUE"""),179)</f>
        <v>179</v>
      </c>
      <c r="AD179" s="1">
        <f ca="1">IFERROR(__xludf.DUMMYFUNCTION("""COMPUTED_VALUE"""),32)</f>
        <v>32</v>
      </c>
      <c r="AE179" s="1">
        <f ca="1">IFERROR(__xludf.DUMMYFUNCTION("""COMPUTED_VALUE"""),432)</f>
        <v>432</v>
      </c>
      <c r="AF179" s="1">
        <f ca="1">IFERROR(__xludf.DUMMYFUNCTION("""COMPUTED_VALUE"""),554)</f>
        <v>554</v>
      </c>
    </row>
    <row r="180" spans="1:32" ht="12.5" x14ac:dyDescent="0.25">
      <c r="A180" s="1" t="str">
        <f ca="1">IFERROR(__xludf.DUMMYFUNCTION("""COMPUTED_VALUE"""),"ManhattanNCAA")</f>
        <v>ManhattanNCAA</v>
      </c>
      <c r="B180" s="1">
        <f ca="1">IFERROR(__xludf.DUMMYFUNCTION("""COMPUTED_VALUE"""),33)</f>
        <v>33</v>
      </c>
      <c r="C180" s="1">
        <f ca="1">IFERROR(__xludf.DUMMYFUNCTION("""COMPUTED_VALUE"""),19)</f>
        <v>19</v>
      </c>
      <c r="D180" s="1">
        <f ca="1">IFERROR(__xludf.DUMMYFUNCTION("""COMPUTED_VALUE"""),14)</f>
        <v>14</v>
      </c>
      <c r="E180" s="1">
        <f ca="1">IFERROR(__xludf.DUMMYFUNCTION("""COMPUTED_VALUE"""),0.576)</f>
        <v>0.57599999999999996</v>
      </c>
      <c r="F180" s="1">
        <f ca="1">IFERROR(__xludf.DUMMYFUNCTION("""COMPUTED_VALUE"""),-1.34)</f>
        <v>-1.34</v>
      </c>
      <c r="G180" s="1">
        <f ca="1">IFERROR(__xludf.DUMMYFUNCTION("""COMPUTED_VALUE"""),-3.34)</f>
        <v>-3.34</v>
      </c>
      <c r="H180" s="1">
        <f ca="1">IFERROR(__xludf.DUMMYFUNCTION("""COMPUTED_VALUE"""),13)</f>
        <v>13</v>
      </c>
      <c r="I180" s="1">
        <f ca="1">IFERROR(__xludf.DUMMYFUNCTION("""COMPUTED_VALUE"""),7)</f>
        <v>7</v>
      </c>
      <c r="J180" s="1">
        <f ca="1">IFERROR(__xludf.DUMMYFUNCTION("""COMPUTED_VALUE"""),9)</f>
        <v>9</v>
      </c>
      <c r="K180" s="1">
        <f ca="1">IFERROR(__xludf.DUMMYFUNCTION("""COMPUTED_VALUE"""),2)</f>
        <v>2</v>
      </c>
      <c r="L180" s="1">
        <f ca="1">IFERROR(__xludf.DUMMYFUNCTION("""COMPUTED_VALUE"""),5)</f>
        <v>5</v>
      </c>
      <c r="M180" s="1">
        <f ca="1">IFERROR(__xludf.DUMMYFUNCTION("""COMPUTED_VALUE"""),9)</f>
        <v>9</v>
      </c>
      <c r="N180" s="1">
        <f ca="1">IFERROR(__xludf.DUMMYFUNCTION("""COMPUTED_VALUE"""),2300)</f>
        <v>2300</v>
      </c>
      <c r="O180" s="1">
        <f ca="1">IFERROR(__xludf.DUMMYFUNCTION("""COMPUTED_VALUE"""),2234)</f>
        <v>2234</v>
      </c>
      <c r="P180" s="1">
        <f ca="1">IFERROR(__xludf.DUMMYFUNCTION("""COMPUTED_VALUE"""),1340)</f>
        <v>1340</v>
      </c>
      <c r="Q180" s="1">
        <f ca="1">IFERROR(__xludf.DUMMYFUNCTION("""COMPUTED_VALUE"""),756)</f>
        <v>756</v>
      </c>
      <c r="R180" s="1">
        <f ca="1">IFERROR(__xludf.DUMMYFUNCTION("""COMPUTED_VALUE"""),1748)</f>
        <v>1748</v>
      </c>
      <c r="S180" s="1">
        <f ca="1">IFERROR(__xludf.DUMMYFUNCTION("""COMPUTED_VALUE"""),0.432)</f>
        <v>0.432</v>
      </c>
      <c r="T180" s="1">
        <f ca="1">IFERROR(__xludf.DUMMYFUNCTION("""COMPUTED_VALUE"""),215)</f>
        <v>215</v>
      </c>
      <c r="U180" s="1">
        <f ca="1">IFERROR(__xludf.DUMMYFUNCTION("""COMPUTED_VALUE"""),640)</f>
        <v>640</v>
      </c>
      <c r="V180" s="1">
        <f ca="1">IFERROR(__xludf.DUMMYFUNCTION("""COMPUTED_VALUE"""),0.336)</f>
        <v>0.33600000000000002</v>
      </c>
      <c r="W180" s="1">
        <f ca="1">IFERROR(__xludf.DUMMYFUNCTION("""COMPUTED_VALUE"""),573)</f>
        <v>573</v>
      </c>
      <c r="X180" s="1">
        <f ca="1">IFERROR(__xludf.DUMMYFUNCTION("""COMPUTED_VALUE"""),829)</f>
        <v>829</v>
      </c>
      <c r="Y180" s="1">
        <f ca="1">IFERROR(__xludf.DUMMYFUNCTION("""COMPUTED_VALUE"""),0.691)</f>
        <v>0.69099999999999995</v>
      </c>
      <c r="Z180" s="1">
        <f ca="1">IFERROR(__xludf.DUMMYFUNCTION("""COMPUTED_VALUE"""),345)</f>
        <v>345</v>
      </c>
      <c r="AA180" s="1">
        <f ca="1">IFERROR(__xludf.DUMMYFUNCTION("""COMPUTED_VALUE"""),1065)</f>
        <v>1065</v>
      </c>
      <c r="AB180" s="1">
        <f ca="1">IFERROR(__xludf.DUMMYFUNCTION("""COMPUTED_VALUE"""),460)</f>
        <v>460</v>
      </c>
      <c r="AC180" s="1">
        <f ca="1">IFERROR(__xludf.DUMMYFUNCTION("""COMPUTED_VALUE"""),264)</f>
        <v>264</v>
      </c>
      <c r="AD180" s="1">
        <f ca="1">IFERROR(__xludf.DUMMYFUNCTION("""COMPUTED_VALUE"""),92)</f>
        <v>92</v>
      </c>
      <c r="AE180" s="1">
        <f ca="1">IFERROR(__xludf.DUMMYFUNCTION("""COMPUTED_VALUE"""),481)</f>
        <v>481</v>
      </c>
      <c r="AF180" s="1">
        <f ca="1">IFERROR(__xludf.DUMMYFUNCTION("""COMPUTED_VALUE"""),758)</f>
        <v>758</v>
      </c>
    </row>
    <row r="181" spans="1:32" ht="12.5" x14ac:dyDescent="0.25">
      <c r="A181" s="1" t="str">
        <f ca="1">IFERROR(__xludf.DUMMYFUNCTION("""COMPUTED_VALUE"""),"Marist")</f>
        <v>Marist</v>
      </c>
      <c r="B181" s="1">
        <f ca="1">IFERROR(__xludf.DUMMYFUNCTION("""COMPUTED_VALUE"""),32)</f>
        <v>32</v>
      </c>
      <c r="C181" s="1">
        <f ca="1">IFERROR(__xludf.DUMMYFUNCTION("""COMPUTED_VALUE"""),7)</f>
        <v>7</v>
      </c>
      <c r="D181" s="1">
        <f ca="1">IFERROR(__xludf.DUMMYFUNCTION("""COMPUTED_VALUE"""),25)</f>
        <v>25</v>
      </c>
      <c r="E181" s="1">
        <f ca="1">IFERROR(__xludf.DUMMYFUNCTION("""COMPUTED_VALUE"""),0.219)</f>
        <v>0.219</v>
      </c>
      <c r="F181" s="1">
        <f ca="1">IFERROR(__xludf.DUMMYFUNCTION("""COMPUTED_VALUE"""),-10.55)</f>
        <v>-10.55</v>
      </c>
      <c r="G181" s="1">
        <f ca="1">IFERROR(__xludf.DUMMYFUNCTION("""COMPUTED_VALUE"""),-2.93)</f>
        <v>-2.93</v>
      </c>
      <c r="H181" s="1">
        <f ca="1">IFERROR(__xludf.DUMMYFUNCTION("""COMPUTED_VALUE"""),5)</f>
        <v>5</v>
      </c>
      <c r="I181" s="1">
        <f ca="1">IFERROR(__xludf.DUMMYFUNCTION("""COMPUTED_VALUE"""),15)</f>
        <v>15</v>
      </c>
      <c r="J181" s="1">
        <f ca="1">IFERROR(__xludf.DUMMYFUNCTION("""COMPUTED_VALUE"""),3)</f>
        <v>3</v>
      </c>
      <c r="K181" s="1">
        <f ca="1">IFERROR(__xludf.DUMMYFUNCTION("""COMPUTED_VALUE"""),9)</f>
        <v>9</v>
      </c>
      <c r="L181" s="1">
        <f ca="1">IFERROR(__xludf.DUMMYFUNCTION("""COMPUTED_VALUE"""),2)</f>
        <v>2</v>
      </c>
      <c r="M181" s="1">
        <f ca="1">IFERROR(__xludf.DUMMYFUNCTION("""COMPUTED_VALUE"""),13)</f>
        <v>13</v>
      </c>
      <c r="N181" s="1">
        <f ca="1">IFERROR(__xludf.DUMMYFUNCTION("""COMPUTED_VALUE"""),1957)</f>
        <v>1957</v>
      </c>
      <c r="O181" s="1">
        <f ca="1">IFERROR(__xludf.DUMMYFUNCTION("""COMPUTED_VALUE"""),2201)</f>
        <v>2201</v>
      </c>
      <c r="P181" s="1">
        <f ca="1">IFERROR(__xludf.DUMMYFUNCTION("""COMPUTED_VALUE"""),1280)</f>
        <v>1280</v>
      </c>
      <c r="Q181" s="1">
        <f ca="1">IFERROR(__xludf.DUMMYFUNCTION("""COMPUTED_VALUE"""),649)</f>
        <v>649</v>
      </c>
      <c r="R181" s="1">
        <f ca="1">IFERROR(__xludf.DUMMYFUNCTION("""COMPUTED_VALUE"""),1629)</f>
        <v>1629</v>
      </c>
      <c r="S181" s="1">
        <f ca="1">IFERROR(__xludf.DUMMYFUNCTION("""COMPUTED_VALUE"""),0.398)</f>
        <v>0.39800000000000002</v>
      </c>
      <c r="T181" s="1">
        <f ca="1">IFERROR(__xludf.DUMMYFUNCTION("""COMPUTED_VALUE"""),226)</f>
        <v>226</v>
      </c>
      <c r="U181" s="1">
        <f ca="1">IFERROR(__xludf.DUMMYFUNCTION("""COMPUTED_VALUE"""),717)</f>
        <v>717</v>
      </c>
      <c r="V181" s="1">
        <f ca="1">IFERROR(__xludf.DUMMYFUNCTION("""COMPUTED_VALUE"""),0.315)</f>
        <v>0.315</v>
      </c>
      <c r="W181" s="1">
        <f ca="1">IFERROR(__xludf.DUMMYFUNCTION("""COMPUTED_VALUE"""),433)</f>
        <v>433</v>
      </c>
      <c r="X181" s="1">
        <f ca="1">IFERROR(__xludf.DUMMYFUNCTION("""COMPUTED_VALUE"""),619)</f>
        <v>619</v>
      </c>
      <c r="Y181" s="1">
        <f ca="1">IFERROR(__xludf.DUMMYFUNCTION("""COMPUTED_VALUE"""),0.7)</f>
        <v>0.7</v>
      </c>
      <c r="Z181" s="1">
        <f ca="1">IFERROR(__xludf.DUMMYFUNCTION("""COMPUTED_VALUE"""),230)</f>
        <v>230</v>
      </c>
      <c r="AA181" s="1">
        <f ca="1">IFERROR(__xludf.DUMMYFUNCTION("""COMPUTED_VALUE"""),936)</f>
        <v>936</v>
      </c>
      <c r="AB181" s="1">
        <f ca="1">IFERROR(__xludf.DUMMYFUNCTION("""COMPUTED_VALUE"""),336)</f>
        <v>336</v>
      </c>
      <c r="AC181" s="1">
        <f ca="1">IFERROR(__xludf.DUMMYFUNCTION("""COMPUTED_VALUE"""),223)</f>
        <v>223</v>
      </c>
      <c r="AD181" s="1">
        <f ca="1">IFERROR(__xludf.DUMMYFUNCTION("""COMPUTED_VALUE"""),90)</f>
        <v>90</v>
      </c>
      <c r="AE181" s="1">
        <f ca="1">IFERROR(__xludf.DUMMYFUNCTION("""COMPUTED_VALUE"""),436)</f>
        <v>436</v>
      </c>
      <c r="AF181" s="1">
        <f ca="1">IFERROR(__xludf.DUMMYFUNCTION("""COMPUTED_VALUE"""),571)</f>
        <v>571</v>
      </c>
    </row>
    <row r="182" spans="1:32" ht="12.5" x14ac:dyDescent="0.25">
      <c r="A182" s="1" t="str">
        <f ca="1">IFERROR(__xludf.DUMMYFUNCTION("""COMPUTED_VALUE"""),"Marquette")</f>
        <v>Marquette</v>
      </c>
      <c r="B182" s="1">
        <f ca="1">IFERROR(__xludf.DUMMYFUNCTION("""COMPUTED_VALUE"""),32)</f>
        <v>32</v>
      </c>
      <c r="C182" s="1">
        <f ca="1">IFERROR(__xludf.DUMMYFUNCTION("""COMPUTED_VALUE"""),13)</f>
        <v>13</v>
      </c>
      <c r="D182" s="1">
        <f ca="1">IFERROR(__xludf.DUMMYFUNCTION("""COMPUTED_VALUE"""),19)</f>
        <v>19</v>
      </c>
      <c r="E182" s="1">
        <f ca="1">IFERROR(__xludf.DUMMYFUNCTION("""COMPUTED_VALUE"""),0.406)</f>
        <v>0.40600000000000003</v>
      </c>
      <c r="F182" s="1">
        <f ca="1">IFERROR(__xludf.DUMMYFUNCTION("""COMPUTED_VALUE"""),7.08)</f>
        <v>7.08</v>
      </c>
      <c r="G182" s="1">
        <f ca="1">IFERROR(__xludf.DUMMYFUNCTION("""COMPUTED_VALUE"""),9.02)</f>
        <v>9.02</v>
      </c>
      <c r="H182" s="1">
        <f ca="1">IFERROR(__xludf.DUMMYFUNCTION("""COMPUTED_VALUE"""),4)</f>
        <v>4</v>
      </c>
      <c r="I182" s="1">
        <f ca="1">IFERROR(__xludf.DUMMYFUNCTION("""COMPUTED_VALUE"""),14)</f>
        <v>14</v>
      </c>
      <c r="J182" s="1">
        <f ca="1">IFERROR(__xludf.DUMMYFUNCTION("""COMPUTED_VALUE"""),9)</f>
        <v>9</v>
      </c>
      <c r="K182" s="1">
        <f ca="1">IFERROR(__xludf.DUMMYFUNCTION("""COMPUTED_VALUE"""),8)</f>
        <v>8</v>
      </c>
      <c r="L182" s="1">
        <f ca="1">IFERROR(__xludf.DUMMYFUNCTION("""COMPUTED_VALUE"""),1)</f>
        <v>1</v>
      </c>
      <c r="M182" s="1">
        <f ca="1">IFERROR(__xludf.DUMMYFUNCTION("""COMPUTED_VALUE"""),9)</f>
        <v>9</v>
      </c>
      <c r="N182" s="1">
        <f ca="1">IFERROR(__xludf.DUMMYFUNCTION("""COMPUTED_VALUE"""),2083)</f>
        <v>2083</v>
      </c>
      <c r="O182" s="1">
        <f ca="1">IFERROR(__xludf.DUMMYFUNCTION("""COMPUTED_VALUE"""),2145)</f>
        <v>2145</v>
      </c>
      <c r="P182" s="1">
        <f ca="1">IFERROR(__xludf.DUMMYFUNCTION("""COMPUTED_VALUE"""),1290)</f>
        <v>1290</v>
      </c>
      <c r="Q182" s="1">
        <f ca="1">IFERROR(__xludf.DUMMYFUNCTION("""COMPUTED_VALUE"""),742)</f>
        <v>742</v>
      </c>
      <c r="R182" s="1">
        <f ca="1">IFERROR(__xludf.DUMMYFUNCTION("""COMPUTED_VALUE"""),1699)</f>
        <v>1699</v>
      </c>
      <c r="S182" s="1">
        <f ca="1">IFERROR(__xludf.DUMMYFUNCTION("""COMPUTED_VALUE"""),0.437)</f>
        <v>0.437</v>
      </c>
      <c r="T182" s="1">
        <f ca="1">IFERROR(__xludf.DUMMYFUNCTION("""COMPUTED_VALUE"""),207)</f>
        <v>207</v>
      </c>
      <c r="U182" s="1">
        <f ca="1">IFERROR(__xludf.DUMMYFUNCTION("""COMPUTED_VALUE"""),602)</f>
        <v>602</v>
      </c>
      <c r="V182" s="1">
        <f ca="1">IFERROR(__xludf.DUMMYFUNCTION("""COMPUTED_VALUE"""),0.344)</f>
        <v>0.34399999999999997</v>
      </c>
      <c r="W182" s="1">
        <f ca="1">IFERROR(__xludf.DUMMYFUNCTION("""COMPUTED_VALUE"""),392)</f>
        <v>392</v>
      </c>
      <c r="X182" s="1">
        <f ca="1">IFERROR(__xludf.DUMMYFUNCTION("""COMPUTED_VALUE"""),608)</f>
        <v>608</v>
      </c>
      <c r="Y182" s="1">
        <f ca="1">IFERROR(__xludf.DUMMYFUNCTION("""COMPUTED_VALUE"""),0.645)</f>
        <v>0.64500000000000002</v>
      </c>
      <c r="Z182" s="1">
        <f ca="1">IFERROR(__xludf.DUMMYFUNCTION("""COMPUTED_VALUE"""),306)</f>
        <v>306</v>
      </c>
      <c r="AA182" s="1">
        <f ca="1">IFERROR(__xludf.DUMMYFUNCTION("""COMPUTED_VALUE"""),1000)</f>
        <v>1000</v>
      </c>
      <c r="AB182" s="1">
        <f ca="1">IFERROR(__xludf.DUMMYFUNCTION("""COMPUTED_VALUE"""),479)</f>
        <v>479</v>
      </c>
      <c r="AC182" s="1">
        <f ca="1">IFERROR(__xludf.DUMMYFUNCTION("""COMPUTED_VALUE"""),241)</f>
        <v>241</v>
      </c>
      <c r="AD182" s="1">
        <f ca="1">IFERROR(__xludf.DUMMYFUNCTION("""COMPUTED_VALUE"""),111)</f>
        <v>111</v>
      </c>
      <c r="AE182" s="1">
        <f ca="1">IFERROR(__xludf.DUMMYFUNCTION("""COMPUTED_VALUE"""),402)</f>
        <v>402</v>
      </c>
      <c r="AF182" s="1">
        <f ca="1">IFERROR(__xludf.DUMMYFUNCTION("""COMPUTED_VALUE"""),505)</f>
        <v>505</v>
      </c>
    </row>
    <row r="183" spans="1:32" ht="12.5" x14ac:dyDescent="0.25">
      <c r="A183" s="1" t="str">
        <f ca="1">IFERROR(__xludf.DUMMYFUNCTION("""COMPUTED_VALUE"""),"Marshall")</f>
        <v>Marshall</v>
      </c>
      <c r="B183" s="1">
        <f ca="1">IFERROR(__xludf.DUMMYFUNCTION("""COMPUTED_VALUE"""),32)</f>
        <v>32</v>
      </c>
      <c r="C183" s="1">
        <f ca="1">IFERROR(__xludf.DUMMYFUNCTION("""COMPUTED_VALUE"""),11)</f>
        <v>11</v>
      </c>
      <c r="D183" s="1">
        <f ca="1">IFERROR(__xludf.DUMMYFUNCTION("""COMPUTED_VALUE"""),21)</f>
        <v>21</v>
      </c>
      <c r="E183" s="1">
        <f ca="1">IFERROR(__xludf.DUMMYFUNCTION("""COMPUTED_VALUE"""),0.344)</f>
        <v>0.34399999999999997</v>
      </c>
      <c r="F183" s="1">
        <f ca="1">IFERROR(__xludf.DUMMYFUNCTION("""COMPUTED_VALUE"""),-6.45)</f>
        <v>-6.45</v>
      </c>
      <c r="G183" s="1">
        <f ca="1">IFERROR(__xludf.DUMMYFUNCTION("""COMPUTED_VALUE"""),-0.22)</f>
        <v>-0.22</v>
      </c>
      <c r="H183" s="1">
        <f ca="1">IFERROR(__xludf.DUMMYFUNCTION("""COMPUTED_VALUE"""),7)</f>
        <v>7</v>
      </c>
      <c r="I183" s="1">
        <f ca="1">IFERROR(__xludf.DUMMYFUNCTION("""COMPUTED_VALUE"""),11)</f>
        <v>11</v>
      </c>
      <c r="J183" s="1">
        <f ca="1">IFERROR(__xludf.DUMMYFUNCTION("""COMPUTED_VALUE"""),10)</f>
        <v>10</v>
      </c>
      <c r="K183" s="1">
        <f ca="1">IFERROR(__xludf.DUMMYFUNCTION("""COMPUTED_VALUE"""),7)</f>
        <v>7</v>
      </c>
      <c r="L183" s="1">
        <f ca="1">IFERROR(__xludf.DUMMYFUNCTION("""COMPUTED_VALUE"""),1)</f>
        <v>1</v>
      </c>
      <c r="M183" s="1">
        <f ca="1">IFERROR(__xludf.DUMMYFUNCTION("""COMPUTED_VALUE"""),12)</f>
        <v>12</v>
      </c>
      <c r="N183" s="1">
        <f ca="1">IFERROR(__xludf.DUMMYFUNCTION("""COMPUTED_VALUE"""),2137)</f>
        <v>2137</v>
      </c>
      <c r="O183" s="1">
        <f ca="1">IFERROR(__xludf.DUMMYFUNCTION("""COMPUTED_VALUE"""),2288)</f>
        <v>2288</v>
      </c>
      <c r="P183" s="1">
        <f ca="1">IFERROR(__xludf.DUMMYFUNCTION("""COMPUTED_VALUE"""),1285)</f>
        <v>1285</v>
      </c>
      <c r="Q183" s="1">
        <f ca="1">IFERROR(__xludf.DUMMYFUNCTION("""COMPUTED_VALUE"""),738)</f>
        <v>738</v>
      </c>
      <c r="R183" s="1">
        <f ca="1">IFERROR(__xludf.DUMMYFUNCTION("""COMPUTED_VALUE"""),1840)</f>
        <v>1840</v>
      </c>
      <c r="S183" s="1">
        <f ca="1">IFERROR(__xludf.DUMMYFUNCTION("""COMPUTED_VALUE"""),0.401)</f>
        <v>0.40100000000000002</v>
      </c>
      <c r="T183" s="1">
        <f ca="1">IFERROR(__xludf.DUMMYFUNCTION("""COMPUTED_VALUE"""),249)</f>
        <v>249</v>
      </c>
      <c r="U183" s="1">
        <f ca="1">IFERROR(__xludf.DUMMYFUNCTION("""COMPUTED_VALUE"""),788)</f>
        <v>788</v>
      </c>
      <c r="V183" s="1">
        <f ca="1">IFERROR(__xludf.DUMMYFUNCTION("""COMPUTED_VALUE"""),0.316)</f>
        <v>0.316</v>
      </c>
      <c r="W183" s="1">
        <f ca="1">IFERROR(__xludf.DUMMYFUNCTION("""COMPUTED_VALUE"""),412)</f>
        <v>412</v>
      </c>
      <c r="X183" s="1">
        <f ca="1">IFERROR(__xludf.DUMMYFUNCTION("""COMPUTED_VALUE"""),636)</f>
        <v>636</v>
      </c>
      <c r="Y183" s="1">
        <f ca="1">IFERROR(__xludf.DUMMYFUNCTION("""COMPUTED_VALUE"""),0.648)</f>
        <v>0.64800000000000002</v>
      </c>
      <c r="Z183" s="1">
        <f ca="1">IFERROR(__xludf.DUMMYFUNCTION("""COMPUTED_VALUE"""),357)</f>
        <v>357</v>
      </c>
      <c r="AA183" s="1">
        <f ca="1">IFERROR(__xludf.DUMMYFUNCTION("""COMPUTED_VALUE"""),1195)</f>
        <v>1195</v>
      </c>
      <c r="AB183" s="1">
        <f ca="1">IFERROR(__xludf.DUMMYFUNCTION("""COMPUTED_VALUE"""),412)</f>
        <v>412</v>
      </c>
      <c r="AC183" s="1">
        <f ca="1">IFERROR(__xludf.DUMMYFUNCTION("""COMPUTED_VALUE"""),212)</f>
        <v>212</v>
      </c>
      <c r="AD183" s="1">
        <f ca="1">IFERROR(__xludf.DUMMYFUNCTION("""COMPUTED_VALUE"""),93)</f>
        <v>93</v>
      </c>
      <c r="AE183" s="1">
        <f ca="1">IFERROR(__xludf.DUMMYFUNCTION("""COMPUTED_VALUE"""),499)</f>
        <v>499</v>
      </c>
      <c r="AF183" s="1">
        <f ca="1">IFERROR(__xludf.DUMMYFUNCTION("""COMPUTED_VALUE"""),634)</f>
        <v>634</v>
      </c>
    </row>
    <row r="184" spans="1:32" ht="12.5" x14ac:dyDescent="0.25">
      <c r="A184" s="1" t="str">
        <f ca="1">IFERROR(__xludf.DUMMYFUNCTION("""COMPUTED_VALUE"""),"Maryland-Baltimore County")</f>
        <v>Maryland-Baltimore County</v>
      </c>
      <c r="B184" s="1">
        <f ca="1">IFERROR(__xludf.DUMMYFUNCTION("""COMPUTED_VALUE"""),30)</f>
        <v>30</v>
      </c>
      <c r="C184" s="1">
        <f ca="1">IFERROR(__xludf.DUMMYFUNCTION("""COMPUTED_VALUE"""),4)</f>
        <v>4</v>
      </c>
      <c r="D184" s="1">
        <f ca="1">IFERROR(__xludf.DUMMYFUNCTION("""COMPUTED_VALUE"""),26)</f>
        <v>26</v>
      </c>
      <c r="E184" s="1">
        <f ca="1">IFERROR(__xludf.DUMMYFUNCTION("""COMPUTED_VALUE"""),0.133)</f>
        <v>0.13300000000000001</v>
      </c>
      <c r="F184" s="1">
        <f ca="1">IFERROR(__xludf.DUMMYFUNCTION("""COMPUTED_VALUE"""),-16.17)</f>
        <v>-16.170000000000002</v>
      </c>
      <c r="G184" s="1">
        <f ca="1">IFERROR(__xludf.DUMMYFUNCTION("""COMPUTED_VALUE"""),-5.14)</f>
        <v>-5.14</v>
      </c>
      <c r="H184" s="1">
        <f ca="1">IFERROR(__xludf.DUMMYFUNCTION("""COMPUTED_VALUE"""),2)</f>
        <v>2</v>
      </c>
      <c r="I184" s="1">
        <f ca="1">IFERROR(__xludf.DUMMYFUNCTION("""COMPUTED_VALUE"""),14)</f>
        <v>14</v>
      </c>
      <c r="J184" s="1">
        <f ca="1">IFERROR(__xludf.DUMMYFUNCTION("""COMPUTED_VALUE"""),2)</f>
        <v>2</v>
      </c>
      <c r="K184" s="1">
        <f ca="1">IFERROR(__xludf.DUMMYFUNCTION("""COMPUTED_VALUE"""),11)</f>
        <v>11</v>
      </c>
      <c r="L184" s="1">
        <f ca="1">IFERROR(__xludf.DUMMYFUNCTION("""COMPUTED_VALUE"""),2)</f>
        <v>2</v>
      </c>
      <c r="M184" s="1">
        <f ca="1">IFERROR(__xludf.DUMMYFUNCTION("""COMPUTED_VALUE"""),15)</f>
        <v>15</v>
      </c>
      <c r="N184" s="1">
        <f ca="1">IFERROR(__xludf.DUMMYFUNCTION("""COMPUTED_VALUE"""),1682)</f>
        <v>1682</v>
      </c>
      <c r="O184" s="1">
        <f ca="1">IFERROR(__xludf.DUMMYFUNCTION("""COMPUTED_VALUE"""),2013)</f>
        <v>2013</v>
      </c>
      <c r="P184" s="1">
        <f ca="1">IFERROR(__xludf.DUMMYFUNCTION("""COMPUTED_VALUE"""),1205)</f>
        <v>1205</v>
      </c>
      <c r="Q184" s="1">
        <f ca="1">IFERROR(__xludf.DUMMYFUNCTION("""COMPUTED_VALUE"""),591)</f>
        <v>591</v>
      </c>
      <c r="R184" s="1">
        <f ca="1">IFERROR(__xludf.DUMMYFUNCTION("""COMPUTED_VALUE"""),1441)</f>
        <v>1441</v>
      </c>
      <c r="S184" s="1">
        <f ca="1">IFERROR(__xludf.DUMMYFUNCTION("""COMPUTED_VALUE"""),0.41)</f>
        <v>0.41</v>
      </c>
      <c r="T184" s="1">
        <f ca="1">IFERROR(__xludf.DUMMYFUNCTION("""COMPUTED_VALUE"""),153)</f>
        <v>153</v>
      </c>
      <c r="U184" s="1">
        <f ca="1">IFERROR(__xludf.DUMMYFUNCTION("""COMPUTED_VALUE"""),469)</f>
        <v>469</v>
      </c>
      <c r="V184" s="1">
        <f ca="1">IFERROR(__xludf.DUMMYFUNCTION("""COMPUTED_VALUE"""),0.326)</f>
        <v>0.32600000000000001</v>
      </c>
      <c r="W184" s="1">
        <f ca="1">IFERROR(__xludf.DUMMYFUNCTION("""COMPUTED_VALUE"""),347)</f>
        <v>347</v>
      </c>
      <c r="X184" s="1">
        <f ca="1">IFERROR(__xludf.DUMMYFUNCTION("""COMPUTED_VALUE"""),539)</f>
        <v>539</v>
      </c>
      <c r="Y184" s="1">
        <f ca="1">IFERROR(__xludf.DUMMYFUNCTION("""COMPUTED_VALUE"""),0.644)</f>
        <v>0.64400000000000002</v>
      </c>
      <c r="Z184" s="1">
        <f ca="1">IFERROR(__xludf.DUMMYFUNCTION("""COMPUTED_VALUE"""),225)</f>
        <v>225</v>
      </c>
      <c r="AA184" s="1">
        <f ca="1">IFERROR(__xludf.DUMMYFUNCTION("""COMPUTED_VALUE"""),902)</f>
        <v>902</v>
      </c>
      <c r="AB184" s="1">
        <f ca="1">IFERROR(__xludf.DUMMYFUNCTION("""COMPUTED_VALUE"""),338)</f>
        <v>338</v>
      </c>
      <c r="AC184" s="1">
        <f ca="1">IFERROR(__xludf.DUMMYFUNCTION("""COMPUTED_VALUE"""),197)</f>
        <v>197</v>
      </c>
      <c r="AD184" s="1">
        <f ca="1">IFERROR(__xludf.DUMMYFUNCTION("""COMPUTED_VALUE"""),90)</f>
        <v>90</v>
      </c>
      <c r="AE184" s="1">
        <f ca="1">IFERROR(__xludf.DUMMYFUNCTION("""COMPUTED_VALUE"""),467)</f>
        <v>467</v>
      </c>
      <c r="AF184" s="1">
        <f ca="1">IFERROR(__xludf.DUMMYFUNCTION("""COMPUTED_VALUE"""),475)</f>
        <v>475</v>
      </c>
    </row>
    <row r="185" spans="1:32" ht="12.5" x14ac:dyDescent="0.25">
      <c r="A185" s="1" t="str">
        <f ca="1">IFERROR(__xludf.DUMMYFUNCTION("""COMPUTED_VALUE"""),"Maryland-Eastern Shore")</f>
        <v>Maryland-Eastern Shore</v>
      </c>
      <c r="B185" s="1">
        <f ca="1">IFERROR(__xludf.DUMMYFUNCTION("""COMPUTED_VALUE"""),33)</f>
        <v>33</v>
      </c>
      <c r="C185" s="1">
        <f ca="1">IFERROR(__xludf.DUMMYFUNCTION("""COMPUTED_VALUE"""),18)</f>
        <v>18</v>
      </c>
      <c r="D185" s="1">
        <f ca="1">IFERROR(__xludf.DUMMYFUNCTION("""COMPUTED_VALUE"""),15)</f>
        <v>15</v>
      </c>
      <c r="E185" s="1">
        <f ca="1">IFERROR(__xludf.DUMMYFUNCTION("""COMPUTED_VALUE"""),0.545)</f>
        <v>0.54500000000000004</v>
      </c>
      <c r="F185" s="1">
        <f ca="1">IFERROR(__xludf.DUMMYFUNCTION("""COMPUTED_VALUE"""),-6.55)</f>
        <v>-6.55</v>
      </c>
      <c r="G185" s="1">
        <f ca="1">IFERROR(__xludf.DUMMYFUNCTION("""COMPUTED_VALUE"""),-6.94)</f>
        <v>-6.94</v>
      </c>
      <c r="H185" s="1">
        <f ca="1">IFERROR(__xludf.DUMMYFUNCTION("""COMPUTED_VALUE"""),11)</f>
        <v>11</v>
      </c>
      <c r="I185" s="1">
        <f ca="1">IFERROR(__xludf.DUMMYFUNCTION("""COMPUTED_VALUE"""),5)</f>
        <v>5</v>
      </c>
      <c r="J185" s="1">
        <f ca="1">IFERROR(__xludf.DUMMYFUNCTION("""COMPUTED_VALUE"""),7)</f>
        <v>7</v>
      </c>
      <c r="K185" s="1">
        <f ca="1">IFERROR(__xludf.DUMMYFUNCTION("""COMPUTED_VALUE"""),3)</f>
        <v>3</v>
      </c>
      <c r="L185" s="1">
        <f ca="1">IFERROR(__xludf.DUMMYFUNCTION("""COMPUTED_VALUE"""),11)</f>
        <v>11</v>
      </c>
      <c r="M185" s="1">
        <f ca="1">IFERROR(__xludf.DUMMYFUNCTION("""COMPUTED_VALUE"""),9)</f>
        <v>9</v>
      </c>
      <c r="N185" s="1">
        <f ca="1">IFERROR(__xludf.DUMMYFUNCTION("""COMPUTED_VALUE"""),2229)</f>
        <v>2229</v>
      </c>
      <c r="O185" s="1">
        <f ca="1">IFERROR(__xludf.DUMMYFUNCTION("""COMPUTED_VALUE"""),2216)</f>
        <v>2216</v>
      </c>
      <c r="P185" s="1">
        <f ca="1">IFERROR(__xludf.DUMMYFUNCTION("""COMPUTED_VALUE"""),1325)</f>
        <v>1325</v>
      </c>
      <c r="Q185" s="1">
        <f ca="1">IFERROR(__xludf.DUMMYFUNCTION("""COMPUTED_VALUE"""),752)</f>
        <v>752</v>
      </c>
      <c r="R185" s="1">
        <f ca="1">IFERROR(__xludf.DUMMYFUNCTION("""COMPUTED_VALUE"""),1660)</f>
        <v>1660</v>
      </c>
      <c r="S185" s="1">
        <f ca="1">IFERROR(__xludf.DUMMYFUNCTION("""COMPUTED_VALUE"""),0.453)</f>
        <v>0.45300000000000001</v>
      </c>
      <c r="T185" s="1">
        <f ca="1">IFERROR(__xludf.DUMMYFUNCTION("""COMPUTED_VALUE"""),213)</f>
        <v>213</v>
      </c>
      <c r="U185" s="1">
        <f ca="1">IFERROR(__xludf.DUMMYFUNCTION("""COMPUTED_VALUE"""),557)</f>
        <v>557</v>
      </c>
      <c r="V185" s="1">
        <f ca="1">IFERROR(__xludf.DUMMYFUNCTION("""COMPUTED_VALUE"""),0.382)</f>
        <v>0.38200000000000001</v>
      </c>
      <c r="W185" s="1">
        <f ca="1">IFERROR(__xludf.DUMMYFUNCTION("""COMPUTED_VALUE"""),512)</f>
        <v>512</v>
      </c>
      <c r="X185" s="1">
        <f ca="1">IFERROR(__xludf.DUMMYFUNCTION("""COMPUTED_VALUE"""),781)</f>
        <v>781</v>
      </c>
      <c r="Y185" s="1">
        <f ca="1">IFERROR(__xludf.DUMMYFUNCTION("""COMPUTED_VALUE"""),0.656)</f>
        <v>0.65600000000000003</v>
      </c>
      <c r="Z185" s="1">
        <f ca="1">IFERROR(__xludf.DUMMYFUNCTION("""COMPUTED_VALUE"""),379)</f>
        <v>379</v>
      </c>
      <c r="AA185" s="1">
        <f ca="1">IFERROR(__xludf.DUMMYFUNCTION("""COMPUTED_VALUE"""),1100)</f>
        <v>1100</v>
      </c>
      <c r="AB185" s="1">
        <f ca="1">IFERROR(__xludf.DUMMYFUNCTION("""COMPUTED_VALUE"""),447)</f>
        <v>447</v>
      </c>
      <c r="AC185" s="1">
        <f ca="1">IFERROR(__xludf.DUMMYFUNCTION("""COMPUTED_VALUE"""),248)</f>
        <v>248</v>
      </c>
      <c r="AD185" s="1">
        <f ca="1">IFERROR(__xludf.DUMMYFUNCTION("""COMPUTED_VALUE"""),47)</f>
        <v>47</v>
      </c>
      <c r="AE185" s="1">
        <f ca="1">IFERROR(__xludf.DUMMYFUNCTION("""COMPUTED_VALUE"""),504)</f>
        <v>504</v>
      </c>
      <c r="AF185" s="1">
        <f ca="1">IFERROR(__xludf.DUMMYFUNCTION("""COMPUTED_VALUE"""),658)</f>
        <v>658</v>
      </c>
    </row>
    <row r="186" spans="1:32" ht="12.5" x14ac:dyDescent="0.25">
      <c r="A186" s="1" t="str">
        <f ca="1">IFERROR(__xludf.DUMMYFUNCTION("""COMPUTED_VALUE"""),"MarylandNCAA")</f>
        <v>MarylandNCAA</v>
      </c>
      <c r="B186" s="1">
        <f ca="1">IFERROR(__xludf.DUMMYFUNCTION("""COMPUTED_VALUE"""),35)</f>
        <v>35</v>
      </c>
      <c r="C186" s="1">
        <f ca="1">IFERROR(__xludf.DUMMYFUNCTION("""COMPUTED_VALUE"""),28)</f>
        <v>28</v>
      </c>
      <c r="D186" s="1">
        <f ca="1">IFERROR(__xludf.DUMMYFUNCTION("""COMPUTED_VALUE"""),7)</f>
        <v>7</v>
      </c>
      <c r="E186" s="1">
        <f ca="1">IFERROR(__xludf.DUMMYFUNCTION("""COMPUTED_VALUE"""),0.8)</f>
        <v>0.8</v>
      </c>
      <c r="F186" s="1">
        <f ca="1">IFERROR(__xludf.DUMMYFUNCTION("""COMPUTED_VALUE"""),13.32)</f>
        <v>13.32</v>
      </c>
      <c r="G186" s="1">
        <f ca="1">IFERROR(__xludf.DUMMYFUNCTION("""COMPUTED_VALUE"""),7.63)</f>
        <v>7.63</v>
      </c>
      <c r="H186" s="1">
        <f ca="1">IFERROR(__xludf.DUMMYFUNCTION("""COMPUTED_VALUE"""),14)</f>
        <v>14</v>
      </c>
      <c r="I186" s="1">
        <f ca="1">IFERROR(__xludf.DUMMYFUNCTION("""COMPUTED_VALUE"""),4)</f>
        <v>4</v>
      </c>
      <c r="J186" s="1">
        <f ca="1">IFERROR(__xludf.DUMMYFUNCTION("""COMPUTED_VALUE"""),18)</f>
        <v>18</v>
      </c>
      <c r="K186" s="1">
        <f ca="1">IFERROR(__xludf.DUMMYFUNCTION("""COMPUTED_VALUE"""),1)</f>
        <v>1</v>
      </c>
      <c r="L186" s="1">
        <f ca="1">IFERROR(__xludf.DUMMYFUNCTION("""COMPUTED_VALUE"""),6)</f>
        <v>6</v>
      </c>
      <c r="M186" s="1">
        <f ca="1">IFERROR(__xludf.DUMMYFUNCTION("""COMPUTED_VALUE"""),4)</f>
        <v>4</v>
      </c>
      <c r="N186" s="1">
        <f ca="1">IFERROR(__xludf.DUMMYFUNCTION("""COMPUTED_VALUE"""),2417)</f>
        <v>2417</v>
      </c>
      <c r="O186" s="1">
        <f ca="1">IFERROR(__xludf.DUMMYFUNCTION("""COMPUTED_VALUE"""),2218)</f>
        <v>2218</v>
      </c>
      <c r="P186" s="1">
        <f ca="1">IFERROR(__xludf.DUMMYFUNCTION("""COMPUTED_VALUE"""),1410)</f>
        <v>1410</v>
      </c>
      <c r="Q186" s="1">
        <f ca="1">IFERROR(__xludf.DUMMYFUNCTION("""COMPUTED_VALUE"""),781)</f>
        <v>781</v>
      </c>
      <c r="R186" s="1">
        <f ca="1">IFERROR(__xludf.DUMMYFUNCTION("""COMPUTED_VALUE"""),1777)</f>
        <v>1777</v>
      </c>
      <c r="S186" s="1">
        <f ca="1">IFERROR(__xludf.DUMMYFUNCTION("""COMPUTED_VALUE"""),0.44)</f>
        <v>0.44</v>
      </c>
      <c r="T186" s="1">
        <f ca="1">IFERROR(__xludf.DUMMYFUNCTION("""COMPUTED_VALUE"""),258)</f>
        <v>258</v>
      </c>
      <c r="U186" s="1">
        <f ca="1">IFERROR(__xludf.DUMMYFUNCTION("""COMPUTED_VALUE"""),687)</f>
        <v>687</v>
      </c>
      <c r="V186" s="1">
        <f ca="1">IFERROR(__xludf.DUMMYFUNCTION("""COMPUTED_VALUE"""),0.376)</f>
        <v>0.376</v>
      </c>
      <c r="W186" s="1">
        <f ca="1">IFERROR(__xludf.DUMMYFUNCTION("""COMPUTED_VALUE"""),597)</f>
        <v>597</v>
      </c>
      <c r="X186" s="1">
        <f ca="1">IFERROR(__xludf.DUMMYFUNCTION("""COMPUTED_VALUE"""),790)</f>
        <v>790</v>
      </c>
      <c r="Y186" s="1">
        <f ca="1">IFERROR(__xludf.DUMMYFUNCTION("""COMPUTED_VALUE"""),0.756)</f>
        <v>0.75600000000000001</v>
      </c>
      <c r="Z186" s="1">
        <f ca="1">IFERROR(__xludf.DUMMYFUNCTION("""COMPUTED_VALUE"""),314)</f>
        <v>314</v>
      </c>
      <c r="AA186" s="1">
        <f ca="1">IFERROR(__xludf.DUMMYFUNCTION("""COMPUTED_VALUE"""),1223)</f>
        <v>1223</v>
      </c>
      <c r="AB186" s="1">
        <f ca="1">IFERROR(__xludf.DUMMYFUNCTION("""COMPUTED_VALUE"""),376)</f>
        <v>376</v>
      </c>
      <c r="AC186" s="1">
        <f ca="1">IFERROR(__xludf.DUMMYFUNCTION("""COMPUTED_VALUE"""),169)</f>
        <v>169</v>
      </c>
      <c r="AD186" s="1">
        <f ca="1">IFERROR(__xludf.DUMMYFUNCTION("""COMPUTED_VALUE"""),151)</f>
        <v>151</v>
      </c>
      <c r="AE186" s="1">
        <f ca="1">IFERROR(__xludf.DUMMYFUNCTION("""COMPUTED_VALUE"""),431)</f>
        <v>431</v>
      </c>
      <c r="AF186" s="1">
        <f ca="1">IFERROR(__xludf.DUMMYFUNCTION("""COMPUTED_VALUE"""),584)</f>
        <v>584</v>
      </c>
    </row>
    <row r="187" spans="1:32" ht="12.5" x14ac:dyDescent="0.25">
      <c r="A187" s="1" t="str">
        <f ca="1">IFERROR(__xludf.DUMMYFUNCTION("""COMPUTED_VALUE"""),"Massachusetts-Lowell")</f>
        <v>Massachusetts-Lowell</v>
      </c>
      <c r="B187" s="1">
        <f ca="1">IFERROR(__xludf.DUMMYFUNCTION("""COMPUTED_VALUE"""),29)</f>
        <v>29</v>
      </c>
      <c r="C187" s="1">
        <f ca="1">IFERROR(__xludf.DUMMYFUNCTION("""COMPUTED_VALUE"""),12)</f>
        <v>12</v>
      </c>
      <c r="D187" s="1">
        <f ca="1">IFERROR(__xludf.DUMMYFUNCTION("""COMPUTED_VALUE"""),17)</f>
        <v>17</v>
      </c>
      <c r="E187" s="1">
        <f ca="1">IFERROR(__xludf.DUMMYFUNCTION("""COMPUTED_VALUE"""),0.414)</f>
        <v>0.41399999999999998</v>
      </c>
      <c r="F187" s="1">
        <f ca="1">IFERROR(__xludf.DUMMYFUNCTION("""COMPUTED_VALUE"""),-11.21)</f>
        <v>-11.21</v>
      </c>
      <c r="G187" s="1">
        <f ca="1">IFERROR(__xludf.DUMMYFUNCTION("""COMPUTED_VALUE"""),-4.32)</f>
        <v>-4.32</v>
      </c>
      <c r="H187" s="1">
        <f ca="1">IFERROR(__xludf.DUMMYFUNCTION("""COMPUTED_VALUE"""),6)</f>
        <v>6</v>
      </c>
      <c r="I187" s="1">
        <f ca="1">IFERROR(__xludf.DUMMYFUNCTION("""COMPUTED_VALUE"""),10)</f>
        <v>10</v>
      </c>
      <c r="J187" s="1">
        <f ca="1">IFERROR(__xludf.DUMMYFUNCTION("""COMPUTED_VALUE"""),6)</f>
        <v>6</v>
      </c>
      <c r="K187" s="1">
        <f ca="1">IFERROR(__xludf.DUMMYFUNCTION("""COMPUTED_VALUE"""),5)</f>
        <v>5</v>
      </c>
      <c r="L187" s="1">
        <f ca="1">IFERROR(__xludf.DUMMYFUNCTION("""COMPUTED_VALUE"""),6)</f>
        <v>6</v>
      </c>
      <c r="M187" s="1">
        <f ca="1">IFERROR(__xludf.DUMMYFUNCTION("""COMPUTED_VALUE"""),12)</f>
        <v>12</v>
      </c>
      <c r="N187" s="1">
        <f ca="1">IFERROR(__xludf.DUMMYFUNCTION("""COMPUTED_VALUE"""),1780)</f>
        <v>1780</v>
      </c>
      <c r="O187" s="1">
        <f ca="1">IFERROR(__xludf.DUMMYFUNCTION("""COMPUTED_VALUE"""),1928)</f>
        <v>1928</v>
      </c>
      <c r="P187" s="1">
        <f ca="1">IFERROR(__xludf.DUMMYFUNCTION("""COMPUTED_VALUE"""),1175)</f>
        <v>1175</v>
      </c>
      <c r="Q187" s="1">
        <f ca="1">IFERROR(__xludf.DUMMYFUNCTION("""COMPUTED_VALUE"""),610)</f>
        <v>610</v>
      </c>
      <c r="R187" s="1">
        <f ca="1">IFERROR(__xludf.DUMMYFUNCTION("""COMPUTED_VALUE"""),1481)</f>
        <v>1481</v>
      </c>
      <c r="S187" s="1">
        <f ca="1">IFERROR(__xludf.DUMMYFUNCTION("""COMPUTED_VALUE"""),0.412)</f>
        <v>0.41199999999999998</v>
      </c>
      <c r="T187" s="1">
        <f ca="1">IFERROR(__xludf.DUMMYFUNCTION("""COMPUTED_VALUE"""),223)</f>
        <v>223</v>
      </c>
      <c r="U187" s="1">
        <f ca="1">IFERROR(__xludf.DUMMYFUNCTION("""COMPUTED_VALUE"""),622)</f>
        <v>622</v>
      </c>
      <c r="V187" s="1">
        <f ca="1">IFERROR(__xludf.DUMMYFUNCTION("""COMPUTED_VALUE"""),0.359)</f>
        <v>0.35899999999999999</v>
      </c>
      <c r="W187" s="1">
        <f ca="1">IFERROR(__xludf.DUMMYFUNCTION("""COMPUTED_VALUE"""),337)</f>
        <v>337</v>
      </c>
      <c r="X187" s="1">
        <f ca="1">IFERROR(__xludf.DUMMYFUNCTION("""COMPUTED_VALUE"""),508)</f>
        <v>508</v>
      </c>
      <c r="Y187" s="1">
        <f ca="1">IFERROR(__xludf.DUMMYFUNCTION("""COMPUTED_VALUE"""),0.663)</f>
        <v>0.66300000000000003</v>
      </c>
      <c r="Z187" s="1">
        <f ca="1">IFERROR(__xludf.DUMMYFUNCTION("""COMPUTED_VALUE"""),212)</f>
        <v>212</v>
      </c>
      <c r="AA187" s="1">
        <f ca="1">IFERROR(__xludf.DUMMYFUNCTION("""COMPUTED_VALUE"""),837)</f>
        <v>837</v>
      </c>
      <c r="AB187" s="1">
        <f ca="1">IFERROR(__xludf.DUMMYFUNCTION("""COMPUTED_VALUE"""),323)</f>
        <v>323</v>
      </c>
      <c r="AC187" s="1">
        <f ca="1">IFERROR(__xludf.DUMMYFUNCTION("""COMPUTED_VALUE"""),201)</f>
        <v>201</v>
      </c>
      <c r="AD187" s="1">
        <f ca="1">IFERROR(__xludf.DUMMYFUNCTION("""COMPUTED_VALUE"""),28)</f>
        <v>28</v>
      </c>
      <c r="AE187" s="1">
        <f ca="1">IFERROR(__xludf.DUMMYFUNCTION("""COMPUTED_VALUE"""),383)</f>
        <v>383</v>
      </c>
      <c r="AF187" s="1">
        <f ca="1">IFERROR(__xludf.DUMMYFUNCTION("""COMPUTED_VALUE"""),523)</f>
        <v>523</v>
      </c>
    </row>
    <row r="188" spans="1:32" ht="12.5" x14ac:dyDescent="0.25">
      <c r="A188" s="1" t="str">
        <f ca="1">IFERROR(__xludf.DUMMYFUNCTION("""COMPUTED_VALUE"""),"Massachusetts")</f>
        <v>Massachusetts</v>
      </c>
      <c r="B188" s="1">
        <f ca="1">IFERROR(__xludf.DUMMYFUNCTION("""COMPUTED_VALUE"""),32)</f>
        <v>32</v>
      </c>
      <c r="C188" s="1">
        <f ca="1">IFERROR(__xludf.DUMMYFUNCTION("""COMPUTED_VALUE"""),17)</f>
        <v>17</v>
      </c>
      <c r="D188" s="1">
        <f ca="1">IFERROR(__xludf.DUMMYFUNCTION("""COMPUTED_VALUE"""),15)</f>
        <v>15</v>
      </c>
      <c r="E188" s="1">
        <f ca="1">IFERROR(__xludf.DUMMYFUNCTION("""COMPUTED_VALUE"""),0.531)</f>
        <v>0.53100000000000003</v>
      </c>
      <c r="F188" s="1">
        <f ca="1">IFERROR(__xludf.DUMMYFUNCTION("""COMPUTED_VALUE"""),3.59)</f>
        <v>3.59</v>
      </c>
      <c r="G188" s="1">
        <f ca="1">IFERROR(__xludf.DUMMYFUNCTION("""COMPUTED_VALUE"""),4.69)</f>
        <v>4.6900000000000004</v>
      </c>
      <c r="H188" s="1">
        <f ca="1">IFERROR(__xludf.DUMMYFUNCTION("""COMPUTED_VALUE"""),10)</f>
        <v>10</v>
      </c>
      <c r="I188" s="1">
        <f ca="1">IFERROR(__xludf.DUMMYFUNCTION("""COMPUTED_VALUE"""),8)</f>
        <v>8</v>
      </c>
      <c r="J188" s="1">
        <f ca="1">IFERROR(__xludf.DUMMYFUNCTION("""COMPUTED_VALUE"""),10)</f>
        <v>10</v>
      </c>
      <c r="K188" s="1">
        <f ca="1">IFERROR(__xludf.DUMMYFUNCTION("""COMPUTED_VALUE"""),5)</f>
        <v>5</v>
      </c>
      <c r="L188" s="1">
        <f ca="1">IFERROR(__xludf.DUMMYFUNCTION("""COMPUTED_VALUE"""),5)</f>
        <v>5</v>
      </c>
      <c r="M188" s="1">
        <f ca="1">IFERROR(__xludf.DUMMYFUNCTION("""COMPUTED_VALUE"""),8)</f>
        <v>8</v>
      </c>
      <c r="N188" s="1">
        <f ca="1">IFERROR(__xludf.DUMMYFUNCTION("""COMPUTED_VALUE"""),2220)</f>
        <v>2220</v>
      </c>
      <c r="O188" s="1">
        <f ca="1">IFERROR(__xludf.DUMMYFUNCTION("""COMPUTED_VALUE"""),2255)</f>
        <v>2255</v>
      </c>
      <c r="P188" s="1">
        <f ca="1">IFERROR(__xludf.DUMMYFUNCTION("""COMPUTED_VALUE"""),1290)</f>
        <v>1290</v>
      </c>
      <c r="Q188" s="1">
        <f ca="1">IFERROR(__xludf.DUMMYFUNCTION("""COMPUTED_VALUE"""),772)</f>
        <v>772</v>
      </c>
      <c r="R188" s="1">
        <f ca="1">IFERROR(__xludf.DUMMYFUNCTION("""COMPUTED_VALUE"""),1785)</f>
        <v>1785</v>
      </c>
      <c r="S188" s="1">
        <f ca="1">IFERROR(__xludf.DUMMYFUNCTION("""COMPUTED_VALUE"""),0.432)</f>
        <v>0.432</v>
      </c>
      <c r="T188" s="1">
        <f ca="1">IFERROR(__xludf.DUMMYFUNCTION("""COMPUTED_VALUE"""),144)</f>
        <v>144</v>
      </c>
      <c r="U188" s="1">
        <f ca="1">IFERROR(__xludf.DUMMYFUNCTION("""COMPUTED_VALUE"""),488)</f>
        <v>488</v>
      </c>
      <c r="V188" s="1">
        <f ca="1">IFERROR(__xludf.DUMMYFUNCTION("""COMPUTED_VALUE"""),0.295)</f>
        <v>0.29499999999999998</v>
      </c>
      <c r="W188" s="1">
        <f ca="1">IFERROR(__xludf.DUMMYFUNCTION("""COMPUTED_VALUE"""),532)</f>
        <v>532</v>
      </c>
      <c r="X188" s="1">
        <f ca="1">IFERROR(__xludf.DUMMYFUNCTION("""COMPUTED_VALUE"""),756)</f>
        <v>756</v>
      </c>
      <c r="Y188" s="1">
        <f ca="1">IFERROR(__xludf.DUMMYFUNCTION("""COMPUTED_VALUE"""),0.704)</f>
        <v>0.70399999999999996</v>
      </c>
      <c r="Z188" s="1">
        <f ca="1">IFERROR(__xludf.DUMMYFUNCTION("""COMPUTED_VALUE"""),384)</f>
        <v>384</v>
      </c>
      <c r="AA188" s="1">
        <f ca="1">IFERROR(__xludf.DUMMYFUNCTION("""COMPUTED_VALUE"""),1177)</f>
        <v>1177</v>
      </c>
      <c r="AB188" s="1">
        <f ca="1">IFERROR(__xludf.DUMMYFUNCTION("""COMPUTED_VALUE"""),429)</f>
        <v>429</v>
      </c>
      <c r="AC188" s="1">
        <f ca="1">IFERROR(__xludf.DUMMYFUNCTION("""COMPUTED_VALUE"""),216)</f>
        <v>216</v>
      </c>
      <c r="AD188" s="1">
        <f ca="1">IFERROR(__xludf.DUMMYFUNCTION("""COMPUTED_VALUE"""),135)</f>
        <v>135</v>
      </c>
      <c r="AE188" s="1">
        <f ca="1">IFERROR(__xludf.DUMMYFUNCTION("""COMPUTED_VALUE"""),451)</f>
        <v>451</v>
      </c>
      <c r="AF188" s="1">
        <f ca="1">IFERROR(__xludf.DUMMYFUNCTION("""COMPUTED_VALUE"""),591)</f>
        <v>591</v>
      </c>
    </row>
    <row r="189" spans="1:32" ht="12.5" x14ac:dyDescent="0.25">
      <c r="A189" s="1" t="str">
        <f ca="1">IFERROR(__xludf.DUMMYFUNCTION("""COMPUTED_VALUE"""),"McNeese State")</f>
        <v>McNeese State</v>
      </c>
      <c r="B189" s="1">
        <f ca="1">IFERROR(__xludf.DUMMYFUNCTION("""COMPUTED_VALUE"""),31)</f>
        <v>31</v>
      </c>
      <c r="C189" s="1">
        <f ca="1">IFERROR(__xludf.DUMMYFUNCTION("""COMPUTED_VALUE"""),15)</f>
        <v>15</v>
      </c>
      <c r="D189" s="1">
        <f ca="1">IFERROR(__xludf.DUMMYFUNCTION("""COMPUTED_VALUE"""),16)</f>
        <v>16</v>
      </c>
      <c r="E189" s="1">
        <f ca="1">IFERROR(__xludf.DUMMYFUNCTION("""COMPUTED_VALUE"""),0.484)</f>
        <v>0.48399999999999999</v>
      </c>
      <c r="F189" s="1">
        <f ca="1">IFERROR(__xludf.DUMMYFUNCTION("""COMPUTED_VALUE"""),-10.05)</f>
        <v>-10.050000000000001</v>
      </c>
      <c r="G189" s="1">
        <f ca="1">IFERROR(__xludf.DUMMYFUNCTION("""COMPUTED_VALUE"""),-5.42)</f>
        <v>-5.42</v>
      </c>
      <c r="H189" s="1">
        <f ca="1">IFERROR(__xludf.DUMMYFUNCTION("""COMPUTED_VALUE"""),8)</f>
        <v>8</v>
      </c>
      <c r="I189" s="1">
        <f ca="1">IFERROR(__xludf.DUMMYFUNCTION("""COMPUTED_VALUE"""),10)</f>
        <v>10</v>
      </c>
      <c r="J189" s="1">
        <f ca="1">IFERROR(__xludf.DUMMYFUNCTION("""COMPUTED_VALUE"""),11)</f>
        <v>11</v>
      </c>
      <c r="K189" s="1">
        <f ca="1">IFERROR(__xludf.DUMMYFUNCTION("""COMPUTED_VALUE"""),5)</f>
        <v>5</v>
      </c>
      <c r="L189" s="1">
        <f ca="1">IFERROR(__xludf.DUMMYFUNCTION("""COMPUTED_VALUE"""),3)</f>
        <v>3</v>
      </c>
      <c r="M189" s="1">
        <f ca="1">IFERROR(__xludf.DUMMYFUNCTION("""COMPUTED_VALUE"""),10)</f>
        <v>10</v>
      </c>
      <c r="N189" s="1">
        <f ca="1">IFERROR(__xludf.DUMMYFUNCTION("""COMPUTED_VALUE"""),2154)</f>
        <v>2154</v>
      </c>
      <c r="O189" s="1">
        <f ca="1">IFERROR(__xludf.DUMMYFUNCTION("""COMPUTED_VALUE"""),2210)</f>
        <v>2210</v>
      </c>
      <c r="P189" s="1">
        <f ca="1">IFERROR(__xludf.DUMMYFUNCTION("""COMPUTED_VALUE"""),1250)</f>
        <v>1250</v>
      </c>
      <c r="Q189" s="1">
        <f ca="1">IFERROR(__xludf.DUMMYFUNCTION("""COMPUTED_VALUE"""),792)</f>
        <v>792</v>
      </c>
      <c r="R189" s="1">
        <f ca="1">IFERROR(__xludf.DUMMYFUNCTION("""COMPUTED_VALUE"""),1873)</f>
        <v>1873</v>
      </c>
      <c r="S189" s="1">
        <f ca="1">IFERROR(__xludf.DUMMYFUNCTION("""COMPUTED_VALUE"""),0.423)</f>
        <v>0.42299999999999999</v>
      </c>
      <c r="T189" s="1">
        <f ca="1">IFERROR(__xludf.DUMMYFUNCTION("""COMPUTED_VALUE"""),193)</f>
        <v>193</v>
      </c>
      <c r="U189" s="1">
        <f ca="1">IFERROR(__xludf.DUMMYFUNCTION("""COMPUTED_VALUE"""),620)</f>
        <v>620</v>
      </c>
      <c r="V189" s="1">
        <f ca="1">IFERROR(__xludf.DUMMYFUNCTION("""COMPUTED_VALUE"""),0.311)</f>
        <v>0.311</v>
      </c>
      <c r="W189" s="1">
        <f ca="1">IFERROR(__xludf.DUMMYFUNCTION("""COMPUTED_VALUE"""),377)</f>
        <v>377</v>
      </c>
      <c r="X189" s="1">
        <f ca="1">IFERROR(__xludf.DUMMYFUNCTION("""COMPUTED_VALUE"""),579)</f>
        <v>579</v>
      </c>
      <c r="Y189" s="1">
        <f ca="1">IFERROR(__xludf.DUMMYFUNCTION("""COMPUTED_VALUE"""),0.651)</f>
        <v>0.65100000000000002</v>
      </c>
      <c r="Z189" s="1">
        <f ca="1">IFERROR(__xludf.DUMMYFUNCTION("""COMPUTED_VALUE"""),413)</f>
        <v>413</v>
      </c>
      <c r="AA189" s="1">
        <f ca="1">IFERROR(__xludf.DUMMYFUNCTION("""COMPUTED_VALUE"""),1118)</f>
        <v>1118</v>
      </c>
      <c r="AB189" s="1">
        <f ca="1">IFERROR(__xludf.DUMMYFUNCTION("""COMPUTED_VALUE"""),409)</f>
        <v>409</v>
      </c>
      <c r="AC189" s="1">
        <f ca="1">IFERROR(__xludf.DUMMYFUNCTION("""COMPUTED_VALUE"""),223)</f>
        <v>223</v>
      </c>
      <c r="AD189" s="1">
        <f ca="1">IFERROR(__xludf.DUMMYFUNCTION("""COMPUTED_VALUE"""),145)</f>
        <v>145</v>
      </c>
      <c r="AE189" s="1">
        <f ca="1">IFERROR(__xludf.DUMMYFUNCTION("""COMPUTED_VALUE"""),333)</f>
        <v>333</v>
      </c>
      <c r="AF189" s="1">
        <f ca="1">IFERROR(__xludf.DUMMYFUNCTION("""COMPUTED_VALUE"""),528)</f>
        <v>528</v>
      </c>
    </row>
    <row r="190" spans="1:32" ht="12.5" x14ac:dyDescent="0.25">
      <c r="A190" s="1" t="str">
        <f ca="1">IFERROR(__xludf.DUMMYFUNCTION("""COMPUTED_VALUE"""),"Memphis")</f>
        <v>Memphis</v>
      </c>
      <c r="B190" s="1">
        <f ca="1">IFERROR(__xludf.DUMMYFUNCTION("""COMPUTED_VALUE"""),32)</f>
        <v>32</v>
      </c>
      <c r="C190" s="1">
        <f ca="1">IFERROR(__xludf.DUMMYFUNCTION("""COMPUTED_VALUE"""),18)</f>
        <v>18</v>
      </c>
      <c r="D190" s="1">
        <f ca="1">IFERROR(__xludf.DUMMYFUNCTION("""COMPUTED_VALUE"""),14)</f>
        <v>14</v>
      </c>
      <c r="E190" s="1">
        <f ca="1">IFERROR(__xludf.DUMMYFUNCTION("""COMPUTED_VALUE"""),0.563)</f>
        <v>0.56299999999999994</v>
      </c>
      <c r="F190" s="1">
        <f ca="1">IFERROR(__xludf.DUMMYFUNCTION("""COMPUTED_VALUE"""),7.15)</f>
        <v>7.15</v>
      </c>
      <c r="G190" s="1">
        <f ca="1">IFERROR(__xludf.DUMMYFUNCTION("""COMPUTED_VALUE"""),2.9)</f>
        <v>2.9</v>
      </c>
      <c r="H190" s="1">
        <f ca="1">IFERROR(__xludf.DUMMYFUNCTION("""COMPUTED_VALUE"""),10)</f>
        <v>10</v>
      </c>
      <c r="I190" s="1">
        <f ca="1">IFERROR(__xludf.DUMMYFUNCTION("""COMPUTED_VALUE"""),8)</f>
        <v>8</v>
      </c>
      <c r="J190" s="1">
        <f ca="1">IFERROR(__xludf.DUMMYFUNCTION("""COMPUTED_VALUE"""),12)</f>
        <v>12</v>
      </c>
      <c r="K190" s="1">
        <f ca="1">IFERROR(__xludf.DUMMYFUNCTION("""COMPUTED_VALUE"""),6)</f>
        <v>6</v>
      </c>
      <c r="L190" s="1">
        <f ca="1">IFERROR(__xludf.DUMMYFUNCTION("""COMPUTED_VALUE"""),4)</f>
        <v>4</v>
      </c>
      <c r="M190" s="1">
        <f ca="1">IFERROR(__xludf.DUMMYFUNCTION("""COMPUTED_VALUE"""),5)</f>
        <v>5</v>
      </c>
      <c r="N190" s="1">
        <f ca="1">IFERROR(__xludf.DUMMYFUNCTION("""COMPUTED_VALUE"""),2155)</f>
        <v>2155</v>
      </c>
      <c r="O190" s="1">
        <f ca="1">IFERROR(__xludf.DUMMYFUNCTION("""COMPUTED_VALUE"""),2019)</f>
        <v>2019</v>
      </c>
      <c r="P190" s="1">
        <f ca="1">IFERROR(__xludf.DUMMYFUNCTION("""COMPUTED_VALUE"""),1290)</f>
        <v>1290</v>
      </c>
      <c r="Q190" s="1">
        <f ca="1">IFERROR(__xludf.DUMMYFUNCTION("""COMPUTED_VALUE"""),802)</f>
        <v>802</v>
      </c>
      <c r="R190" s="1">
        <f ca="1">IFERROR(__xludf.DUMMYFUNCTION("""COMPUTED_VALUE"""),1827)</f>
        <v>1827</v>
      </c>
      <c r="S190" s="1">
        <f ca="1">IFERROR(__xludf.DUMMYFUNCTION("""COMPUTED_VALUE"""),0.439)</f>
        <v>0.439</v>
      </c>
      <c r="T190" s="1">
        <f ca="1">IFERROR(__xludf.DUMMYFUNCTION("""COMPUTED_VALUE"""),166)</f>
        <v>166</v>
      </c>
      <c r="U190" s="1">
        <f ca="1">IFERROR(__xludf.DUMMYFUNCTION("""COMPUTED_VALUE"""),506)</f>
        <v>506</v>
      </c>
      <c r="V190" s="1">
        <f ca="1">IFERROR(__xludf.DUMMYFUNCTION("""COMPUTED_VALUE"""),0.328)</f>
        <v>0.32800000000000001</v>
      </c>
      <c r="W190" s="1">
        <f ca="1">IFERROR(__xludf.DUMMYFUNCTION("""COMPUTED_VALUE"""),385)</f>
        <v>385</v>
      </c>
      <c r="X190" s="1">
        <f ca="1">IFERROR(__xludf.DUMMYFUNCTION("""COMPUTED_VALUE"""),578)</f>
        <v>578</v>
      </c>
      <c r="Y190" s="1">
        <f ca="1">IFERROR(__xludf.DUMMYFUNCTION("""COMPUTED_VALUE"""),0.666)</f>
        <v>0.66600000000000004</v>
      </c>
      <c r="Z190" s="1">
        <f ca="1">IFERROR(__xludf.DUMMYFUNCTION("""COMPUTED_VALUE"""),409)</f>
        <v>409</v>
      </c>
      <c r="AA190" s="1">
        <f ca="1">IFERROR(__xludf.DUMMYFUNCTION("""COMPUTED_VALUE"""),1195)</f>
        <v>1195</v>
      </c>
      <c r="AB190" s="1">
        <f ca="1">IFERROR(__xludf.DUMMYFUNCTION("""COMPUTED_VALUE"""),460)</f>
        <v>460</v>
      </c>
      <c r="AC190" s="1">
        <f ca="1">IFERROR(__xludf.DUMMYFUNCTION("""COMPUTED_VALUE"""),224)</f>
        <v>224</v>
      </c>
      <c r="AD190" s="1">
        <f ca="1">IFERROR(__xludf.DUMMYFUNCTION("""COMPUTED_VALUE"""),208)</f>
        <v>208</v>
      </c>
      <c r="AE190" s="1">
        <f ca="1">IFERROR(__xludf.DUMMYFUNCTION("""COMPUTED_VALUE"""),427)</f>
        <v>427</v>
      </c>
      <c r="AF190" s="1">
        <f ca="1">IFERROR(__xludf.DUMMYFUNCTION("""COMPUTED_VALUE"""),587)</f>
        <v>587</v>
      </c>
    </row>
    <row r="191" spans="1:32" ht="12.5" x14ac:dyDescent="0.25">
      <c r="A191" s="1" t="str">
        <f ca="1">IFERROR(__xludf.DUMMYFUNCTION("""COMPUTED_VALUE"""),"Mercer")</f>
        <v>Mercer</v>
      </c>
      <c r="B191" s="1">
        <f ca="1">IFERROR(__xludf.DUMMYFUNCTION("""COMPUTED_VALUE"""),35)</f>
        <v>35</v>
      </c>
      <c r="C191" s="1">
        <f ca="1">IFERROR(__xludf.DUMMYFUNCTION("""COMPUTED_VALUE"""),19)</f>
        <v>19</v>
      </c>
      <c r="D191" s="1">
        <f ca="1">IFERROR(__xludf.DUMMYFUNCTION("""COMPUTED_VALUE"""),16)</f>
        <v>16</v>
      </c>
      <c r="E191" s="1">
        <f ca="1">IFERROR(__xludf.DUMMYFUNCTION("""COMPUTED_VALUE"""),0.543)</f>
        <v>0.54300000000000004</v>
      </c>
      <c r="F191" s="1">
        <f ca="1">IFERROR(__xludf.DUMMYFUNCTION("""COMPUTED_VALUE"""),-2.01)</f>
        <v>-2.0099999999999998</v>
      </c>
      <c r="G191" s="1">
        <f ca="1">IFERROR(__xludf.DUMMYFUNCTION("""COMPUTED_VALUE"""),-4.1)</f>
        <v>-4.0999999999999996</v>
      </c>
      <c r="H191" s="1">
        <f ca="1">IFERROR(__xludf.DUMMYFUNCTION("""COMPUTED_VALUE"""),12)</f>
        <v>12</v>
      </c>
      <c r="I191" s="1">
        <f ca="1">IFERROR(__xludf.DUMMYFUNCTION("""COMPUTED_VALUE"""),6)</f>
        <v>6</v>
      </c>
      <c r="J191" s="1">
        <f ca="1">IFERROR(__xludf.DUMMYFUNCTION("""COMPUTED_VALUE"""),12)</f>
        <v>12</v>
      </c>
      <c r="K191" s="1">
        <f ca="1">IFERROR(__xludf.DUMMYFUNCTION("""COMPUTED_VALUE"""),4)</f>
        <v>4</v>
      </c>
      <c r="L191" s="1">
        <f ca="1">IFERROR(__xludf.DUMMYFUNCTION("""COMPUTED_VALUE"""),5)</f>
        <v>5</v>
      </c>
      <c r="M191" s="1">
        <f ca="1">IFERROR(__xludf.DUMMYFUNCTION("""COMPUTED_VALUE"""),9)</f>
        <v>9</v>
      </c>
      <c r="N191" s="1">
        <f ca="1">IFERROR(__xludf.DUMMYFUNCTION("""COMPUTED_VALUE"""),2334)</f>
        <v>2334</v>
      </c>
      <c r="O191" s="1">
        <f ca="1">IFERROR(__xludf.DUMMYFUNCTION("""COMPUTED_VALUE"""),2196)</f>
        <v>2196</v>
      </c>
      <c r="P191" s="1">
        <f ca="1">IFERROR(__xludf.DUMMYFUNCTION("""COMPUTED_VALUE"""),1430)</f>
        <v>1430</v>
      </c>
      <c r="Q191" s="1">
        <f ca="1">IFERROR(__xludf.DUMMYFUNCTION("""COMPUTED_VALUE"""),808)</f>
        <v>808</v>
      </c>
      <c r="R191" s="1">
        <f ca="1">IFERROR(__xludf.DUMMYFUNCTION("""COMPUTED_VALUE"""),1840)</f>
        <v>1840</v>
      </c>
      <c r="S191" s="1">
        <f ca="1">IFERROR(__xludf.DUMMYFUNCTION("""COMPUTED_VALUE"""),0.439)</f>
        <v>0.439</v>
      </c>
      <c r="T191" s="1">
        <f ca="1">IFERROR(__xludf.DUMMYFUNCTION("""COMPUTED_VALUE"""),212)</f>
        <v>212</v>
      </c>
      <c r="U191" s="1">
        <f ca="1">IFERROR(__xludf.DUMMYFUNCTION("""COMPUTED_VALUE"""),611)</f>
        <v>611</v>
      </c>
      <c r="V191" s="1">
        <f ca="1">IFERROR(__xludf.DUMMYFUNCTION("""COMPUTED_VALUE"""),0.347)</f>
        <v>0.34699999999999998</v>
      </c>
      <c r="W191" s="1">
        <f ca="1">IFERROR(__xludf.DUMMYFUNCTION("""COMPUTED_VALUE"""),506)</f>
        <v>506</v>
      </c>
      <c r="X191" s="1">
        <f ca="1">IFERROR(__xludf.DUMMYFUNCTION("""COMPUTED_VALUE"""),736)</f>
        <v>736</v>
      </c>
      <c r="Y191" s="1">
        <f ca="1">IFERROR(__xludf.DUMMYFUNCTION("""COMPUTED_VALUE"""),0.688)</f>
        <v>0.68799999999999994</v>
      </c>
      <c r="Z191" s="1">
        <f ca="1">IFERROR(__xludf.DUMMYFUNCTION("""COMPUTED_VALUE"""),385)</f>
        <v>385</v>
      </c>
      <c r="AA191" s="1">
        <f ca="1">IFERROR(__xludf.DUMMYFUNCTION("""COMPUTED_VALUE"""),1191)</f>
        <v>1191</v>
      </c>
      <c r="AB191" s="1">
        <f ca="1">IFERROR(__xludf.DUMMYFUNCTION("""COMPUTED_VALUE"""),468)</f>
        <v>468</v>
      </c>
      <c r="AC191" s="1">
        <f ca="1">IFERROR(__xludf.DUMMYFUNCTION("""COMPUTED_VALUE"""),224)</f>
        <v>224</v>
      </c>
      <c r="AD191" s="1">
        <f ca="1">IFERROR(__xludf.DUMMYFUNCTION("""COMPUTED_VALUE"""),90)</f>
        <v>90</v>
      </c>
      <c r="AE191" s="1">
        <f ca="1">IFERROR(__xludf.DUMMYFUNCTION("""COMPUTED_VALUE"""),377)</f>
        <v>377</v>
      </c>
      <c r="AF191" s="1">
        <f ca="1">IFERROR(__xludf.DUMMYFUNCTION("""COMPUTED_VALUE"""),560)</f>
        <v>560</v>
      </c>
    </row>
    <row r="192" spans="1:32" ht="12.5" x14ac:dyDescent="0.25">
      <c r="A192" s="1" t="str">
        <f ca="1">IFERROR(__xludf.DUMMYFUNCTION("""COMPUTED_VALUE"""),"Miami (FL)")</f>
        <v>Miami (FL)</v>
      </c>
      <c r="B192" s="1">
        <f ca="1">IFERROR(__xludf.DUMMYFUNCTION("""COMPUTED_VALUE"""),38)</f>
        <v>38</v>
      </c>
      <c r="C192" s="1">
        <f ca="1">IFERROR(__xludf.DUMMYFUNCTION("""COMPUTED_VALUE"""),25)</f>
        <v>25</v>
      </c>
      <c r="D192" s="1">
        <f ca="1">IFERROR(__xludf.DUMMYFUNCTION("""COMPUTED_VALUE"""),13)</f>
        <v>13</v>
      </c>
      <c r="E192" s="1">
        <f ca="1">IFERROR(__xludf.DUMMYFUNCTION("""COMPUTED_VALUE"""),0.658)</f>
        <v>0.65800000000000003</v>
      </c>
      <c r="F192" s="1">
        <f ca="1">IFERROR(__xludf.DUMMYFUNCTION("""COMPUTED_VALUE"""),12)</f>
        <v>12</v>
      </c>
      <c r="G192" s="1">
        <f ca="1">IFERROR(__xludf.DUMMYFUNCTION("""COMPUTED_VALUE"""),7.05)</f>
        <v>7.05</v>
      </c>
      <c r="H192" s="1">
        <f ca="1">IFERROR(__xludf.DUMMYFUNCTION("""COMPUTED_VALUE"""),10)</f>
        <v>10</v>
      </c>
      <c r="I192" s="1">
        <f ca="1">IFERROR(__xludf.DUMMYFUNCTION("""COMPUTED_VALUE"""),8)</f>
        <v>8</v>
      </c>
      <c r="J192" s="1">
        <f ca="1">IFERROR(__xludf.DUMMYFUNCTION("""COMPUTED_VALUE"""),12)</f>
        <v>12</v>
      </c>
      <c r="K192" s="1">
        <f ca="1">IFERROR(__xludf.DUMMYFUNCTION("""COMPUTED_VALUE"""),6)</f>
        <v>6</v>
      </c>
      <c r="L192" s="1">
        <f ca="1">IFERROR(__xludf.DUMMYFUNCTION("""COMPUTED_VALUE"""),8)</f>
        <v>8</v>
      </c>
      <c r="M192" s="1">
        <f ca="1">IFERROR(__xludf.DUMMYFUNCTION("""COMPUTED_VALUE"""),4)</f>
        <v>4</v>
      </c>
      <c r="N192" s="1">
        <f ca="1">IFERROR(__xludf.DUMMYFUNCTION("""COMPUTED_VALUE"""),2592)</f>
        <v>2592</v>
      </c>
      <c r="O192" s="1">
        <f ca="1">IFERROR(__xludf.DUMMYFUNCTION("""COMPUTED_VALUE"""),2404)</f>
        <v>2404</v>
      </c>
      <c r="P192" s="1">
        <f ca="1">IFERROR(__xludf.DUMMYFUNCTION("""COMPUTED_VALUE"""),1545)</f>
        <v>1545</v>
      </c>
      <c r="Q192" s="1">
        <f ca="1">IFERROR(__xludf.DUMMYFUNCTION("""COMPUTED_VALUE"""),878)</f>
        <v>878</v>
      </c>
      <c r="R192" s="1">
        <f ca="1">IFERROR(__xludf.DUMMYFUNCTION("""COMPUTED_VALUE"""),2053)</f>
        <v>2053</v>
      </c>
      <c r="S192" s="1">
        <f ca="1">IFERROR(__xludf.DUMMYFUNCTION("""COMPUTED_VALUE"""),0.428)</f>
        <v>0.42799999999999999</v>
      </c>
      <c r="T192" s="1">
        <f ca="1">IFERROR(__xludf.DUMMYFUNCTION("""COMPUTED_VALUE"""),292)</f>
        <v>292</v>
      </c>
      <c r="U192" s="1">
        <f ca="1">IFERROR(__xludf.DUMMYFUNCTION("""COMPUTED_VALUE"""),816)</f>
        <v>816</v>
      </c>
      <c r="V192" s="1">
        <f ca="1">IFERROR(__xludf.DUMMYFUNCTION("""COMPUTED_VALUE"""),0.358)</f>
        <v>0.35799999999999998</v>
      </c>
      <c r="W192" s="1">
        <f ca="1">IFERROR(__xludf.DUMMYFUNCTION("""COMPUTED_VALUE"""),544)</f>
        <v>544</v>
      </c>
      <c r="X192" s="1">
        <f ca="1">IFERROR(__xludf.DUMMYFUNCTION("""COMPUTED_VALUE"""),729)</f>
        <v>729</v>
      </c>
      <c r="Y192" s="1">
        <f ca="1">IFERROR(__xludf.DUMMYFUNCTION("""COMPUTED_VALUE"""),0.746)</f>
        <v>0.746</v>
      </c>
      <c r="Z192" s="1">
        <f ca="1">IFERROR(__xludf.DUMMYFUNCTION("""COMPUTED_VALUE"""),377)</f>
        <v>377</v>
      </c>
      <c r="AA192" s="1">
        <f ca="1">IFERROR(__xludf.DUMMYFUNCTION("""COMPUTED_VALUE"""),1317)</f>
        <v>1317</v>
      </c>
      <c r="AB192" s="1">
        <f ca="1">IFERROR(__xludf.DUMMYFUNCTION("""COMPUTED_VALUE"""),488)</f>
        <v>488</v>
      </c>
      <c r="AC192" s="1">
        <f ca="1">IFERROR(__xludf.DUMMYFUNCTION("""COMPUTED_VALUE"""),209)</f>
        <v>209</v>
      </c>
      <c r="AD192" s="1">
        <f ca="1">IFERROR(__xludf.DUMMYFUNCTION("""COMPUTED_VALUE"""),126)</f>
        <v>126</v>
      </c>
      <c r="AE192" s="1">
        <f ca="1">IFERROR(__xludf.DUMMYFUNCTION("""COMPUTED_VALUE"""),385)</f>
        <v>385</v>
      </c>
      <c r="AF192" s="1">
        <f ca="1">IFERROR(__xludf.DUMMYFUNCTION("""COMPUTED_VALUE"""),593)</f>
        <v>593</v>
      </c>
    </row>
    <row r="193" spans="1:32" ht="12.5" x14ac:dyDescent="0.25">
      <c r="A193" s="1" t="str">
        <f ca="1">IFERROR(__xludf.DUMMYFUNCTION("""COMPUTED_VALUE"""),"Miami (OH)")</f>
        <v>Miami (OH)</v>
      </c>
      <c r="B193" s="1">
        <f ca="1">IFERROR(__xludf.DUMMYFUNCTION("""COMPUTED_VALUE"""),32)</f>
        <v>32</v>
      </c>
      <c r="C193" s="1">
        <f ca="1">IFERROR(__xludf.DUMMYFUNCTION("""COMPUTED_VALUE"""),13)</f>
        <v>13</v>
      </c>
      <c r="D193" s="1">
        <f ca="1">IFERROR(__xludf.DUMMYFUNCTION("""COMPUTED_VALUE"""),19)</f>
        <v>19</v>
      </c>
      <c r="E193" s="1">
        <f ca="1">IFERROR(__xludf.DUMMYFUNCTION("""COMPUTED_VALUE"""),0.406)</f>
        <v>0.40600000000000003</v>
      </c>
      <c r="F193" s="1">
        <f ca="1">IFERROR(__xludf.DUMMYFUNCTION("""COMPUTED_VALUE"""),-3.75)</f>
        <v>-3.75</v>
      </c>
      <c r="G193" s="1">
        <f ca="1">IFERROR(__xludf.DUMMYFUNCTION("""COMPUTED_VALUE"""),0.31)</f>
        <v>0.31</v>
      </c>
      <c r="H193" s="1">
        <f ca="1">IFERROR(__xludf.DUMMYFUNCTION("""COMPUTED_VALUE"""),8)</f>
        <v>8</v>
      </c>
      <c r="I193" s="1">
        <f ca="1">IFERROR(__xludf.DUMMYFUNCTION("""COMPUTED_VALUE"""),10)</f>
        <v>10</v>
      </c>
      <c r="J193" s="1">
        <f ca="1">IFERROR(__xludf.DUMMYFUNCTION("""COMPUTED_VALUE"""),10)</f>
        <v>10</v>
      </c>
      <c r="K193" s="1">
        <f ca="1">IFERROR(__xludf.DUMMYFUNCTION("""COMPUTED_VALUE"""),7)</f>
        <v>7</v>
      </c>
      <c r="L193" s="1">
        <f ca="1">IFERROR(__xludf.DUMMYFUNCTION("""COMPUTED_VALUE"""),3)</f>
        <v>3</v>
      </c>
      <c r="M193" s="1">
        <f ca="1">IFERROR(__xludf.DUMMYFUNCTION("""COMPUTED_VALUE"""),10)</f>
        <v>10</v>
      </c>
      <c r="N193" s="1">
        <f ca="1">IFERROR(__xludf.DUMMYFUNCTION("""COMPUTED_VALUE"""),2123)</f>
        <v>2123</v>
      </c>
      <c r="O193" s="1">
        <f ca="1">IFERROR(__xludf.DUMMYFUNCTION("""COMPUTED_VALUE"""),2226)</f>
        <v>2226</v>
      </c>
      <c r="P193" s="1">
        <f ca="1">IFERROR(__xludf.DUMMYFUNCTION("""COMPUTED_VALUE"""),1300)</f>
        <v>1300</v>
      </c>
      <c r="Q193" s="1">
        <f ca="1">IFERROR(__xludf.DUMMYFUNCTION("""COMPUTED_VALUE"""),739)</f>
        <v>739</v>
      </c>
      <c r="R193" s="1">
        <f ca="1">IFERROR(__xludf.DUMMYFUNCTION("""COMPUTED_VALUE"""),1679)</f>
        <v>1679</v>
      </c>
      <c r="S193" s="1">
        <f ca="1">IFERROR(__xludf.DUMMYFUNCTION("""COMPUTED_VALUE"""),0.44)</f>
        <v>0.44</v>
      </c>
      <c r="T193" s="1">
        <f ca="1">IFERROR(__xludf.DUMMYFUNCTION("""COMPUTED_VALUE"""),187)</f>
        <v>187</v>
      </c>
      <c r="U193" s="1">
        <f ca="1">IFERROR(__xludf.DUMMYFUNCTION("""COMPUTED_VALUE"""),546)</f>
        <v>546</v>
      </c>
      <c r="V193" s="1">
        <f ca="1">IFERROR(__xludf.DUMMYFUNCTION("""COMPUTED_VALUE"""),0.342)</f>
        <v>0.34200000000000003</v>
      </c>
      <c r="W193" s="1">
        <f ca="1">IFERROR(__xludf.DUMMYFUNCTION("""COMPUTED_VALUE"""),456)</f>
        <v>456</v>
      </c>
      <c r="X193" s="1">
        <f ca="1">IFERROR(__xludf.DUMMYFUNCTION("""COMPUTED_VALUE"""),643)</f>
        <v>643</v>
      </c>
      <c r="Y193" s="1">
        <f ca="1">IFERROR(__xludf.DUMMYFUNCTION("""COMPUTED_VALUE"""),0.709)</f>
        <v>0.70899999999999996</v>
      </c>
      <c r="Z193" s="1">
        <f ca="1">IFERROR(__xludf.DUMMYFUNCTION("""COMPUTED_VALUE"""),268)</f>
        <v>268</v>
      </c>
      <c r="AA193" s="1">
        <f ca="1">IFERROR(__xludf.DUMMYFUNCTION("""COMPUTED_VALUE"""),984)</f>
        <v>984</v>
      </c>
      <c r="AB193" s="1">
        <f ca="1">IFERROR(__xludf.DUMMYFUNCTION("""COMPUTED_VALUE"""),375)</f>
        <v>375</v>
      </c>
      <c r="AC193" s="1">
        <f ca="1">IFERROR(__xludf.DUMMYFUNCTION("""COMPUTED_VALUE"""),245)</f>
        <v>245</v>
      </c>
      <c r="AD193" s="1">
        <f ca="1">IFERROR(__xludf.DUMMYFUNCTION("""COMPUTED_VALUE"""),64)</f>
        <v>64</v>
      </c>
      <c r="AE193" s="1">
        <f ca="1">IFERROR(__xludf.DUMMYFUNCTION("""COMPUTED_VALUE"""),411)</f>
        <v>411</v>
      </c>
      <c r="AF193" s="1">
        <f ca="1">IFERROR(__xludf.DUMMYFUNCTION("""COMPUTED_VALUE"""),602)</f>
        <v>602</v>
      </c>
    </row>
    <row r="194" spans="1:32" ht="12.5" x14ac:dyDescent="0.25">
      <c r="A194" s="1" t="str">
        <f ca="1">IFERROR(__xludf.DUMMYFUNCTION("""COMPUTED_VALUE"""),"Michigan StateNCAA")</f>
        <v>Michigan StateNCAA</v>
      </c>
      <c r="B194" s="1">
        <f ca="1">IFERROR(__xludf.DUMMYFUNCTION("""COMPUTED_VALUE"""),39)</f>
        <v>39</v>
      </c>
      <c r="C194" s="1">
        <f ca="1">IFERROR(__xludf.DUMMYFUNCTION("""COMPUTED_VALUE"""),27)</f>
        <v>27</v>
      </c>
      <c r="D194" s="1">
        <f ca="1">IFERROR(__xludf.DUMMYFUNCTION("""COMPUTED_VALUE"""),12)</f>
        <v>12</v>
      </c>
      <c r="E194" s="1">
        <f ca="1">IFERROR(__xludf.DUMMYFUNCTION("""COMPUTED_VALUE"""),0.692)</f>
        <v>0.69199999999999995</v>
      </c>
      <c r="F194" s="1">
        <f ca="1">IFERROR(__xludf.DUMMYFUNCTION("""COMPUTED_VALUE"""),17.46)</f>
        <v>17.46</v>
      </c>
      <c r="G194" s="1">
        <f ca="1">IFERROR(__xludf.DUMMYFUNCTION("""COMPUTED_VALUE"""),10)</f>
        <v>10</v>
      </c>
      <c r="H194" s="1">
        <f ca="1">IFERROR(__xludf.DUMMYFUNCTION("""COMPUTED_VALUE"""),12)</f>
        <v>12</v>
      </c>
      <c r="I194" s="1">
        <f ca="1">IFERROR(__xludf.DUMMYFUNCTION("""COMPUTED_VALUE"""),6)</f>
        <v>6</v>
      </c>
      <c r="J194" s="1">
        <f ca="1">IFERROR(__xludf.DUMMYFUNCTION("""COMPUTED_VALUE"""),12)</f>
        <v>12</v>
      </c>
      <c r="K194" s="1">
        <f ca="1">IFERROR(__xludf.DUMMYFUNCTION("""COMPUTED_VALUE"""),4)</f>
        <v>4</v>
      </c>
      <c r="L194" s="1">
        <f ca="1">IFERROR(__xludf.DUMMYFUNCTION("""COMPUTED_VALUE"""),7)</f>
        <v>7</v>
      </c>
      <c r="M194" s="1">
        <f ca="1">IFERROR(__xludf.DUMMYFUNCTION("""COMPUTED_VALUE"""),4)</f>
        <v>4</v>
      </c>
      <c r="N194" s="1">
        <f ca="1">IFERROR(__xludf.DUMMYFUNCTION("""COMPUTED_VALUE"""),2773)</f>
        <v>2773</v>
      </c>
      <c r="O194" s="1">
        <f ca="1">IFERROR(__xludf.DUMMYFUNCTION("""COMPUTED_VALUE"""),2482)</f>
        <v>2482</v>
      </c>
      <c r="P194" s="1">
        <f ca="1">IFERROR(__xludf.DUMMYFUNCTION("""COMPUTED_VALUE"""),1605)</f>
        <v>1605</v>
      </c>
      <c r="Q194" s="1">
        <f ca="1">IFERROR(__xludf.DUMMYFUNCTION("""COMPUTED_VALUE"""),1014)</f>
        <v>1014</v>
      </c>
      <c r="R194" s="1">
        <f ca="1">IFERROR(__xludf.DUMMYFUNCTION("""COMPUTED_VALUE"""),2181)</f>
        <v>2181</v>
      </c>
      <c r="S194" s="1">
        <f ca="1">IFERROR(__xludf.DUMMYFUNCTION("""COMPUTED_VALUE"""),0.465)</f>
        <v>0.46500000000000002</v>
      </c>
      <c r="T194" s="1">
        <f ca="1">IFERROR(__xludf.DUMMYFUNCTION("""COMPUTED_VALUE"""),294)</f>
        <v>294</v>
      </c>
      <c r="U194" s="1">
        <f ca="1">IFERROR(__xludf.DUMMYFUNCTION("""COMPUTED_VALUE"""),763)</f>
        <v>763</v>
      </c>
      <c r="V194" s="1">
        <f ca="1">IFERROR(__xludf.DUMMYFUNCTION("""COMPUTED_VALUE"""),0.385)</f>
        <v>0.38500000000000001</v>
      </c>
      <c r="W194" s="1">
        <f ca="1">IFERROR(__xludf.DUMMYFUNCTION("""COMPUTED_VALUE"""),451)</f>
        <v>451</v>
      </c>
      <c r="X194" s="1">
        <f ca="1">IFERROR(__xludf.DUMMYFUNCTION("""COMPUTED_VALUE"""),714)</f>
        <v>714</v>
      </c>
      <c r="Y194" s="1">
        <f ca="1">IFERROR(__xludf.DUMMYFUNCTION("""COMPUTED_VALUE"""),0.632)</f>
        <v>0.63200000000000001</v>
      </c>
      <c r="Z194" s="1">
        <f ca="1">IFERROR(__xludf.DUMMYFUNCTION("""COMPUTED_VALUE"""),436)</f>
        <v>436</v>
      </c>
      <c r="AA194" s="1">
        <f ca="1">IFERROR(__xludf.DUMMYFUNCTION("""COMPUTED_VALUE"""),1458)</f>
        <v>1458</v>
      </c>
      <c r="AB194" s="1">
        <f ca="1">IFERROR(__xludf.DUMMYFUNCTION("""COMPUTED_VALUE"""),646)</f>
        <v>646</v>
      </c>
      <c r="AC194" s="1">
        <f ca="1">IFERROR(__xludf.DUMMYFUNCTION("""COMPUTED_VALUE"""),203)</f>
        <v>203</v>
      </c>
      <c r="AD194" s="1">
        <f ca="1">IFERROR(__xludf.DUMMYFUNCTION("""COMPUTED_VALUE"""),176)</f>
        <v>176</v>
      </c>
      <c r="AE194" s="1">
        <f ca="1">IFERROR(__xludf.DUMMYFUNCTION("""COMPUTED_VALUE"""),441)</f>
        <v>441</v>
      </c>
      <c r="AF194" s="1">
        <f ca="1">IFERROR(__xludf.DUMMYFUNCTION("""COMPUTED_VALUE"""),738)</f>
        <v>738</v>
      </c>
    </row>
    <row r="195" spans="1:32" ht="12.5" x14ac:dyDescent="0.25">
      <c r="A195" s="1" t="str">
        <f ca="1">IFERROR(__xludf.DUMMYFUNCTION("""COMPUTED_VALUE"""),"Michigan")</f>
        <v>Michigan</v>
      </c>
      <c r="B195" s="1">
        <f ca="1">IFERROR(__xludf.DUMMYFUNCTION("""COMPUTED_VALUE"""),32)</f>
        <v>32</v>
      </c>
      <c r="C195" s="1">
        <f ca="1">IFERROR(__xludf.DUMMYFUNCTION("""COMPUTED_VALUE"""),16)</f>
        <v>16</v>
      </c>
      <c r="D195" s="1">
        <f ca="1">IFERROR(__xludf.DUMMYFUNCTION("""COMPUTED_VALUE"""),16)</f>
        <v>16</v>
      </c>
      <c r="E195" s="1">
        <f ca="1">IFERROR(__xludf.DUMMYFUNCTION("""COMPUTED_VALUE"""),0.5)</f>
        <v>0.5</v>
      </c>
      <c r="F195" s="1">
        <f ca="1">IFERROR(__xludf.DUMMYFUNCTION("""COMPUTED_VALUE"""),9.56)</f>
        <v>9.56</v>
      </c>
      <c r="G195" s="1">
        <f ca="1">IFERROR(__xludf.DUMMYFUNCTION("""COMPUTED_VALUE"""),9.59)</f>
        <v>9.59</v>
      </c>
      <c r="H195" s="1">
        <f ca="1">IFERROR(__xludf.DUMMYFUNCTION("""COMPUTED_VALUE"""),8)</f>
        <v>8</v>
      </c>
      <c r="I195" s="1">
        <f ca="1">IFERROR(__xludf.DUMMYFUNCTION("""COMPUTED_VALUE"""),10)</f>
        <v>10</v>
      </c>
      <c r="J195" s="1">
        <f ca="1">IFERROR(__xludf.DUMMYFUNCTION("""COMPUTED_VALUE"""),12)</f>
        <v>12</v>
      </c>
      <c r="K195" s="1">
        <f ca="1">IFERROR(__xludf.DUMMYFUNCTION("""COMPUTED_VALUE"""),6)</f>
        <v>6</v>
      </c>
      <c r="L195" s="1">
        <f ca="1">IFERROR(__xludf.DUMMYFUNCTION("""COMPUTED_VALUE"""),2)</f>
        <v>2</v>
      </c>
      <c r="M195" s="1">
        <f ca="1">IFERROR(__xludf.DUMMYFUNCTION("""COMPUTED_VALUE"""),8)</f>
        <v>8</v>
      </c>
      <c r="N195" s="1">
        <f ca="1">IFERROR(__xludf.DUMMYFUNCTION("""COMPUTED_VALUE"""),2071)</f>
        <v>2071</v>
      </c>
      <c r="O195" s="1">
        <f ca="1">IFERROR(__xludf.DUMMYFUNCTION("""COMPUTED_VALUE"""),2048)</f>
        <v>2048</v>
      </c>
      <c r="P195" s="1">
        <f ca="1">IFERROR(__xludf.DUMMYFUNCTION("""COMPUTED_VALUE"""),1310)</f>
        <v>1310</v>
      </c>
      <c r="Q195" s="1">
        <f ca="1">IFERROR(__xludf.DUMMYFUNCTION("""COMPUTED_VALUE"""),734)</f>
        <v>734</v>
      </c>
      <c r="R195" s="1">
        <f ca="1">IFERROR(__xludf.DUMMYFUNCTION("""COMPUTED_VALUE"""),1724)</f>
        <v>1724</v>
      </c>
      <c r="S195" s="1">
        <f ca="1">IFERROR(__xludf.DUMMYFUNCTION("""COMPUTED_VALUE"""),0.426)</f>
        <v>0.42599999999999999</v>
      </c>
      <c r="T195" s="1">
        <f ca="1">IFERROR(__xludf.DUMMYFUNCTION("""COMPUTED_VALUE"""),250)</f>
        <v>250</v>
      </c>
      <c r="U195" s="1">
        <f ca="1">IFERROR(__xludf.DUMMYFUNCTION("""COMPUTED_VALUE"""),696)</f>
        <v>696</v>
      </c>
      <c r="V195" s="1">
        <f ca="1">IFERROR(__xludf.DUMMYFUNCTION("""COMPUTED_VALUE"""),0.359)</f>
        <v>0.35899999999999999</v>
      </c>
      <c r="W195" s="1">
        <f ca="1">IFERROR(__xludf.DUMMYFUNCTION("""COMPUTED_VALUE"""),353)</f>
        <v>353</v>
      </c>
      <c r="X195" s="1">
        <f ca="1">IFERROR(__xludf.DUMMYFUNCTION("""COMPUTED_VALUE"""),468)</f>
        <v>468</v>
      </c>
      <c r="Y195" s="1">
        <f ca="1">IFERROR(__xludf.DUMMYFUNCTION("""COMPUTED_VALUE"""),0.754)</f>
        <v>0.754</v>
      </c>
      <c r="Z195" s="1">
        <f ca="1">IFERROR(__xludf.DUMMYFUNCTION("""COMPUTED_VALUE"""),267)</f>
        <v>267</v>
      </c>
      <c r="AA195" s="1">
        <f ca="1">IFERROR(__xludf.DUMMYFUNCTION("""COMPUTED_VALUE"""),966)</f>
        <v>966</v>
      </c>
      <c r="AB195" s="1">
        <f ca="1">IFERROR(__xludf.DUMMYFUNCTION("""COMPUTED_VALUE"""),382)</f>
        <v>382</v>
      </c>
      <c r="AC195" s="1">
        <f ca="1">IFERROR(__xludf.DUMMYFUNCTION("""COMPUTED_VALUE"""),174)</f>
        <v>174</v>
      </c>
      <c r="AD195" s="1">
        <f ca="1">IFERROR(__xludf.DUMMYFUNCTION("""COMPUTED_VALUE"""),57)</f>
        <v>57</v>
      </c>
      <c r="AE195" s="1">
        <f ca="1">IFERROR(__xludf.DUMMYFUNCTION("""COMPUTED_VALUE"""),306)</f>
        <v>306</v>
      </c>
      <c r="AF195" s="1">
        <f ca="1">IFERROR(__xludf.DUMMYFUNCTION("""COMPUTED_VALUE"""),455)</f>
        <v>455</v>
      </c>
    </row>
    <row r="196" spans="1:32" ht="12.5" x14ac:dyDescent="0.25">
      <c r="A196" s="1" t="str">
        <f ca="1">IFERROR(__xludf.DUMMYFUNCTION("""COMPUTED_VALUE"""),"Middle Tennessee")</f>
        <v>Middle Tennessee</v>
      </c>
      <c r="B196" s="1">
        <f ca="1">IFERROR(__xludf.DUMMYFUNCTION("""COMPUTED_VALUE"""),36)</f>
        <v>36</v>
      </c>
      <c r="C196" s="1">
        <f ca="1">IFERROR(__xludf.DUMMYFUNCTION("""COMPUTED_VALUE"""),19)</f>
        <v>19</v>
      </c>
      <c r="D196" s="1">
        <f ca="1">IFERROR(__xludf.DUMMYFUNCTION("""COMPUTED_VALUE"""),17)</f>
        <v>17</v>
      </c>
      <c r="E196" s="1">
        <f ca="1">IFERROR(__xludf.DUMMYFUNCTION("""COMPUTED_VALUE"""),0.528)</f>
        <v>0.52800000000000002</v>
      </c>
      <c r="F196" s="1">
        <f ca="1">IFERROR(__xludf.DUMMYFUNCTION("""COMPUTED_VALUE"""),0.21)</f>
        <v>0.21</v>
      </c>
      <c r="G196" s="1">
        <f ca="1">IFERROR(__xludf.DUMMYFUNCTION("""COMPUTED_VALUE"""),-0.39)</f>
        <v>-0.39</v>
      </c>
      <c r="H196" s="1">
        <f ca="1">IFERROR(__xludf.DUMMYFUNCTION("""COMPUTED_VALUE"""),9)</f>
        <v>9</v>
      </c>
      <c r="I196" s="1">
        <f ca="1">IFERROR(__xludf.DUMMYFUNCTION("""COMPUTED_VALUE"""),9)</f>
        <v>9</v>
      </c>
      <c r="J196" s="1">
        <f ca="1">IFERROR(__xludf.DUMMYFUNCTION("""COMPUTED_VALUE"""),12)</f>
        <v>12</v>
      </c>
      <c r="K196" s="1">
        <f ca="1">IFERROR(__xludf.DUMMYFUNCTION("""COMPUTED_VALUE"""),4)</f>
        <v>4</v>
      </c>
      <c r="L196" s="1">
        <f ca="1">IFERROR(__xludf.DUMMYFUNCTION("""COMPUTED_VALUE"""),4)</f>
        <v>4</v>
      </c>
      <c r="M196" s="1">
        <f ca="1">IFERROR(__xludf.DUMMYFUNCTION("""COMPUTED_VALUE"""),10)</f>
        <v>10</v>
      </c>
      <c r="N196" s="1">
        <f ca="1">IFERROR(__xludf.DUMMYFUNCTION("""COMPUTED_VALUE"""),2285)</f>
        <v>2285</v>
      </c>
      <c r="O196" s="1">
        <f ca="1">IFERROR(__xludf.DUMMYFUNCTION("""COMPUTED_VALUE"""),2247)</f>
        <v>2247</v>
      </c>
      <c r="P196" s="1">
        <f ca="1">IFERROR(__xludf.DUMMYFUNCTION("""COMPUTED_VALUE"""),1475)</f>
        <v>1475</v>
      </c>
      <c r="Q196" s="1">
        <f ca="1">IFERROR(__xludf.DUMMYFUNCTION("""COMPUTED_VALUE"""),773)</f>
        <v>773</v>
      </c>
      <c r="R196" s="1">
        <f ca="1">IFERROR(__xludf.DUMMYFUNCTION("""COMPUTED_VALUE"""),1867)</f>
        <v>1867</v>
      </c>
      <c r="S196" s="1">
        <f ca="1">IFERROR(__xludf.DUMMYFUNCTION("""COMPUTED_VALUE"""),0.414)</f>
        <v>0.41399999999999998</v>
      </c>
      <c r="T196" s="1">
        <f ca="1">IFERROR(__xludf.DUMMYFUNCTION("""COMPUTED_VALUE"""),242)</f>
        <v>242</v>
      </c>
      <c r="U196" s="1">
        <f ca="1">IFERROR(__xludf.DUMMYFUNCTION("""COMPUTED_VALUE"""),675)</f>
        <v>675</v>
      </c>
      <c r="V196" s="1">
        <f ca="1">IFERROR(__xludf.DUMMYFUNCTION("""COMPUTED_VALUE"""),0.359)</f>
        <v>0.35899999999999999</v>
      </c>
      <c r="W196" s="1">
        <f ca="1">IFERROR(__xludf.DUMMYFUNCTION("""COMPUTED_VALUE"""),497)</f>
        <v>497</v>
      </c>
      <c r="X196" s="1">
        <f ca="1">IFERROR(__xludf.DUMMYFUNCTION("""COMPUTED_VALUE"""),710)</f>
        <v>710</v>
      </c>
      <c r="Y196" s="1">
        <f ca="1">IFERROR(__xludf.DUMMYFUNCTION("""COMPUTED_VALUE"""),0.7)</f>
        <v>0.7</v>
      </c>
      <c r="Z196" s="1">
        <f ca="1">IFERROR(__xludf.DUMMYFUNCTION("""COMPUTED_VALUE"""),386)</f>
        <v>386</v>
      </c>
      <c r="AA196" s="1">
        <f ca="1">IFERROR(__xludf.DUMMYFUNCTION("""COMPUTED_VALUE"""),1215)</f>
        <v>1215</v>
      </c>
      <c r="AB196" s="1">
        <f ca="1">IFERROR(__xludf.DUMMYFUNCTION("""COMPUTED_VALUE"""),396)</f>
        <v>396</v>
      </c>
      <c r="AC196" s="1">
        <f ca="1">IFERROR(__xludf.DUMMYFUNCTION("""COMPUTED_VALUE"""),214)</f>
        <v>214</v>
      </c>
      <c r="AD196" s="1">
        <f ca="1">IFERROR(__xludf.DUMMYFUNCTION("""COMPUTED_VALUE"""),112)</f>
        <v>112</v>
      </c>
      <c r="AE196" s="1">
        <f ca="1">IFERROR(__xludf.DUMMYFUNCTION("""COMPUTED_VALUE"""),469)</f>
        <v>469</v>
      </c>
      <c r="AF196" s="1">
        <f ca="1">IFERROR(__xludf.DUMMYFUNCTION("""COMPUTED_VALUE"""),660)</f>
        <v>660</v>
      </c>
    </row>
    <row r="197" spans="1:32" ht="12.5" x14ac:dyDescent="0.25">
      <c r="A197" s="1" t="str">
        <f ca="1">IFERROR(__xludf.DUMMYFUNCTION("""COMPUTED_VALUE"""),"Milwaukee")</f>
        <v>Milwaukee</v>
      </c>
      <c r="B197" s="1">
        <f ca="1">IFERROR(__xludf.DUMMYFUNCTION("""COMPUTED_VALUE"""),30)</f>
        <v>30</v>
      </c>
      <c r="C197" s="1">
        <f ca="1">IFERROR(__xludf.DUMMYFUNCTION("""COMPUTED_VALUE"""),14)</f>
        <v>14</v>
      </c>
      <c r="D197" s="1">
        <f ca="1">IFERROR(__xludf.DUMMYFUNCTION("""COMPUTED_VALUE"""),16)</f>
        <v>16</v>
      </c>
      <c r="E197" s="1">
        <f ca="1">IFERROR(__xludf.DUMMYFUNCTION("""COMPUTED_VALUE"""),0.467)</f>
        <v>0.46700000000000003</v>
      </c>
      <c r="F197" s="1">
        <f ca="1">IFERROR(__xludf.DUMMYFUNCTION("""COMPUTED_VALUE"""),-4.85)</f>
        <v>-4.8499999999999996</v>
      </c>
      <c r="G197" s="1">
        <f ca="1">IFERROR(__xludf.DUMMYFUNCTION("""COMPUTED_VALUE"""),0.15)</f>
        <v>0.15</v>
      </c>
      <c r="H197" s="1">
        <f ca="1">IFERROR(__xludf.DUMMYFUNCTION("""COMPUTED_VALUE"""),9)</f>
        <v>9</v>
      </c>
      <c r="I197" s="1">
        <f ca="1">IFERROR(__xludf.DUMMYFUNCTION("""COMPUTED_VALUE"""),7)</f>
        <v>7</v>
      </c>
      <c r="J197" s="1">
        <f ca="1">IFERROR(__xludf.DUMMYFUNCTION("""COMPUTED_VALUE"""),10)</f>
        <v>10</v>
      </c>
      <c r="K197" s="1">
        <f ca="1">IFERROR(__xludf.DUMMYFUNCTION("""COMPUTED_VALUE"""),4)</f>
        <v>4</v>
      </c>
      <c r="L197" s="1">
        <f ca="1">IFERROR(__xludf.DUMMYFUNCTION("""COMPUTED_VALUE"""),3)</f>
        <v>3</v>
      </c>
      <c r="M197" s="1">
        <f ca="1">IFERROR(__xludf.DUMMYFUNCTION("""COMPUTED_VALUE"""),11)</f>
        <v>11</v>
      </c>
      <c r="N197" s="1">
        <f ca="1">IFERROR(__xludf.DUMMYFUNCTION("""COMPUTED_VALUE"""),1963)</f>
        <v>1963</v>
      </c>
      <c r="O197" s="1">
        <f ca="1">IFERROR(__xludf.DUMMYFUNCTION("""COMPUTED_VALUE"""),2077)</f>
        <v>2077</v>
      </c>
      <c r="P197" s="1">
        <f ca="1">IFERROR(__xludf.DUMMYFUNCTION("""COMPUTED_VALUE"""),1200)</f>
        <v>1200</v>
      </c>
      <c r="Q197" s="1">
        <f ca="1">IFERROR(__xludf.DUMMYFUNCTION("""COMPUTED_VALUE"""),659)</f>
        <v>659</v>
      </c>
      <c r="R197" s="1">
        <f ca="1">IFERROR(__xludf.DUMMYFUNCTION("""COMPUTED_VALUE"""),1564)</f>
        <v>1564</v>
      </c>
      <c r="S197" s="1">
        <f ca="1">IFERROR(__xludf.DUMMYFUNCTION("""COMPUTED_VALUE"""),0.421)</f>
        <v>0.42099999999999999</v>
      </c>
      <c r="T197" s="1">
        <f ca="1">IFERROR(__xludf.DUMMYFUNCTION("""COMPUTED_VALUE"""),211)</f>
        <v>211</v>
      </c>
      <c r="U197" s="1">
        <f ca="1">IFERROR(__xludf.DUMMYFUNCTION("""COMPUTED_VALUE"""),624)</f>
        <v>624</v>
      </c>
      <c r="V197" s="1">
        <f ca="1">IFERROR(__xludf.DUMMYFUNCTION("""COMPUTED_VALUE"""),0.338)</f>
        <v>0.33800000000000002</v>
      </c>
      <c r="W197" s="1">
        <f ca="1">IFERROR(__xludf.DUMMYFUNCTION("""COMPUTED_VALUE"""),434)</f>
        <v>434</v>
      </c>
      <c r="X197" s="1">
        <f ca="1">IFERROR(__xludf.DUMMYFUNCTION("""COMPUTED_VALUE"""),589)</f>
        <v>589</v>
      </c>
      <c r="Y197" s="1">
        <f ca="1">IFERROR(__xludf.DUMMYFUNCTION("""COMPUTED_VALUE"""),0.737)</f>
        <v>0.73699999999999999</v>
      </c>
      <c r="Z197" s="1">
        <f ca="1">IFERROR(__xludf.DUMMYFUNCTION("""COMPUTED_VALUE"""),264)</f>
        <v>264</v>
      </c>
      <c r="AA197" s="1">
        <f ca="1">IFERROR(__xludf.DUMMYFUNCTION("""COMPUTED_VALUE"""),982)</f>
        <v>982</v>
      </c>
      <c r="AB197" s="1">
        <f ca="1">IFERROR(__xludf.DUMMYFUNCTION("""COMPUTED_VALUE"""),388)</f>
        <v>388</v>
      </c>
      <c r="AC197" s="1">
        <f ca="1">IFERROR(__xludf.DUMMYFUNCTION("""COMPUTED_VALUE"""),157)</f>
        <v>157</v>
      </c>
      <c r="AD197" s="1">
        <f ca="1">IFERROR(__xludf.DUMMYFUNCTION("""COMPUTED_VALUE"""),83)</f>
        <v>83</v>
      </c>
      <c r="AE197" s="1">
        <f ca="1">IFERROR(__xludf.DUMMYFUNCTION("""COMPUTED_VALUE"""),382)</f>
        <v>382</v>
      </c>
      <c r="AF197" s="1">
        <f ca="1">IFERROR(__xludf.DUMMYFUNCTION("""COMPUTED_VALUE"""),518)</f>
        <v>518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IFERROR(__xludf.DUMMYFUNCTION("""COMPUTED_VALUE"""),"Minnesota")</f>
        <v>Minnesota</v>
      </c>
      <c r="B200" s="1">
        <f ca="1">IFERROR(__xludf.DUMMYFUNCTION("""COMPUTED_VALUE"""),33)</f>
        <v>33</v>
      </c>
      <c r="C200" s="1">
        <f ca="1">IFERROR(__xludf.DUMMYFUNCTION("""COMPUTED_VALUE"""),18)</f>
        <v>18</v>
      </c>
      <c r="D200" s="1">
        <f ca="1">IFERROR(__xludf.DUMMYFUNCTION("""COMPUTED_VALUE"""),15)</f>
        <v>15</v>
      </c>
      <c r="E200" s="1">
        <f ca="1">IFERROR(__xludf.DUMMYFUNCTION("""COMPUTED_VALUE"""),0.545)</f>
        <v>0.54500000000000004</v>
      </c>
      <c r="F200" s="1">
        <f ca="1">IFERROR(__xludf.DUMMYFUNCTION("""COMPUTED_VALUE"""),12.34)</f>
        <v>12.34</v>
      </c>
      <c r="G200" s="1">
        <f ca="1">IFERROR(__xludf.DUMMYFUNCTION("""COMPUTED_VALUE"""),7.21)</f>
        <v>7.21</v>
      </c>
      <c r="H200" s="1">
        <f ca="1">IFERROR(__xludf.DUMMYFUNCTION("""COMPUTED_VALUE"""),6)</f>
        <v>6</v>
      </c>
      <c r="I200" s="1">
        <f ca="1">IFERROR(__xludf.DUMMYFUNCTION("""COMPUTED_VALUE"""),12)</f>
        <v>12</v>
      </c>
      <c r="J200" s="1">
        <f ca="1">IFERROR(__xludf.DUMMYFUNCTION("""COMPUTED_VALUE"""),13)</f>
        <v>13</v>
      </c>
      <c r="K200" s="1">
        <f ca="1">IFERROR(__xludf.DUMMYFUNCTION("""COMPUTED_VALUE"""),6)</f>
        <v>6</v>
      </c>
      <c r="L200" s="1">
        <f ca="1">IFERROR(__xludf.DUMMYFUNCTION("""COMPUTED_VALUE"""),3)</f>
        <v>3</v>
      </c>
      <c r="M200" s="1">
        <f ca="1">IFERROR(__xludf.DUMMYFUNCTION("""COMPUTED_VALUE"""),7)</f>
        <v>7</v>
      </c>
      <c r="N200" s="1">
        <f ca="1">IFERROR(__xludf.DUMMYFUNCTION("""COMPUTED_VALUE"""),2449)</f>
        <v>2449</v>
      </c>
      <c r="O200" s="1">
        <f ca="1">IFERROR(__xludf.DUMMYFUNCTION("""COMPUTED_VALUE"""),2233)</f>
        <v>2233</v>
      </c>
      <c r="P200" s="1">
        <f ca="1">IFERROR(__xludf.DUMMYFUNCTION("""COMPUTED_VALUE"""),1330)</f>
        <v>1330</v>
      </c>
      <c r="Q200" s="1">
        <f ca="1">IFERROR(__xludf.DUMMYFUNCTION("""COMPUTED_VALUE"""),890)</f>
        <v>890</v>
      </c>
      <c r="R200" s="1">
        <f ca="1">IFERROR(__xludf.DUMMYFUNCTION("""COMPUTED_VALUE"""),1924)</f>
        <v>1924</v>
      </c>
      <c r="S200" s="1">
        <f ca="1">IFERROR(__xludf.DUMMYFUNCTION("""COMPUTED_VALUE"""),0.463)</f>
        <v>0.46300000000000002</v>
      </c>
      <c r="T200" s="1">
        <f ca="1">IFERROR(__xludf.DUMMYFUNCTION("""COMPUTED_VALUE"""),243)</f>
        <v>243</v>
      </c>
      <c r="U200" s="1">
        <f ca="1">IFERROR(__xludf.DUMMYFUNCTION("""COMPUTED_VALUE"""),638)</f>
        <v>638</v>
      </c>
      <c r="V200" s="1">
        <f ca="1">IFERROR(__xludf.DUMMYFUNCTION("""COMPUTED_VALUE"""),0.381)</f>
        <v>0.38100000000000001</v>
      </c>
      <c r="W200" s="1">
        <f ca="1">IFERROR(__xludf.DUMMYFUNCTION("""COMPUTED_VALUE"""),426)</f>
        <v>426</v>
      </c>
      <c r="X200" s="1">
        <f ca="1">IFERROR(__xludf.DUMMYFUNCTION("""COMPUTED_VALUE"""),634)</f>
        <v>634</v>
      </c>
      <c r="Y200" s="1">
        <f ca="1">IFERROR(__xludf.DUMMYFUNCTION("""COMPUTED_VALUE"""),0.672)</f>
        <v>0.67200000000000004</v>
      </c>
      <c r="Z200" s="1">
        <f ca="1">IFERROR(__xludf.DUMMYFUNCTION("""COMPUTED_VALUE"""),352)</f>
        <v>352</v>
      </c>
      <c r="AA200" s="1">
        <f ca="1">IFERROR(__xludf.DUMMYFUNCTION("""COMPUTED_VALUE"""),1087)</f>
        <v>1087</v>
      </c>
      <c r="AB200" s="1">
        <f ca="1">IFERROR(__xludf.DUMMYFUNCTION("""COMPUTED_VALUE"""),519)</f>
        <v>519</v>
      </c>
      <c r="AC200" s="1">
        <f ca="1">IFERROR(__xludf.DUMMYFUNCTION("""COMPUTED_VALUE"""),313)</f>
        <v>313</v>
      </c>
      <c r="AD200" s="1">
        <f ca="1">IFERROR(__xludf.DUMMYFUNCTION("""COMPUTED_VALUE"""),110)</f>
        <v>110</v>
      </c>
      <c r="AE200" s="1">
        <f ca="1">IFERROR(__xludf.DUMMYFUNCTION("""COMPUTED_VALUE"""),400)</f>
        <v>400</v>
      </c>
      <c r="AF200" s="1">
        <f ca="1">IFERROR(__xludf.DUMMYFUNCTION("""COMPUTED_VALUE"""),596)</f>
        <v>596</v>
      </c>
    </row>
    <row r="201" spans="1:32" ht="12.5" x14ac:dyDescent="0.25">
      <c r="A201" s="1" t="str">
        <f ca="1">IFERROR(__xludf.DUMMYFUNCTION("""COMPUTED_VALUE"""),"Mississippi State")</f>
        <v>Mississippi State</v>
      </c>
      <c r="B201" s="1">
        <f ca="1">IFERROR(__xludf.DUMMYFUNCTION("""COMPUTED_VALUE"""),32)</f>
        <v>32</v>
      </c>
      <c r="C201" s="1">
        <f ca="1">IFERROR(__xludf.DUMMYFUNCTION("""COMPUTED_VALUE"""),13)</f>
        <v>13</v>
      </c>
      <c r="D201" s="1">
        <f ca="1">IFERROR(__xludf.DUMMYFUNCTION("""COMPUTED_VALUE"""),19)</f>
        <v>19</v>
      </c>
      <c r="E201" s="1">
        <f ca="1">IFERROR(__xludf.DUMMYFUNCTION("""COMPUTED_VALUE"""),0.406)</f>
        <v>0.40600000000000003</v>
      </c>
      <c r="F201" s="1">
        <f ca="1">IFERROR(__xludf.DUMMYFUNCTION("""COMPUTED_VALUE"""),2.53)</f>
        <v>2.5299999999999998</v>
      </c>
      <c r="G201" s="1">
        <f ca="1">IFERROR(__xludf.DUMMYFUNCTION("""COMPUTED_VALUE"""),4.72)</f>
        <v>4.72</v>
      </c>
      <c r="H201" s="1">
        <f ca="1">IFERROR(__xludf.DUMMYFUNCTION("""COMPUTED_VALUE"""),6)</f>
        <v>6</v>
      </c>
      <c r="I201" s="1">
        <f ca="1">IFERROR(__xludf.DUMMYFUNCTION("""COMPUTED_VALUE"""),12)</f>
        <v>12</v>
      </c>
      <c r="J201" s="1">
        <f ca="1">IFERROR(__xludf.DUMMYFUNCTION("""COMPUTED_VALUE"""),9)</f>
        <v>9</v>
      </c>
      <c r="K201" s="1">
        <f ca="1">IFERROR(__xludf.DUMMYFUNCTION("""COMPUTED_VALUE"""),8)</f>
        <v>8</v>
      </c>
      <c r="L201" s="1">
        <f ca="1">IFERROR(__xludf.DUMMYFUNCTION("""COMPUTED_VALUE"""),3)</f>
        <v>3</v>
      </c>
      <c r="M201" s="1">
        <f ca="1">IFERROR(__xludf.DUMMYFUNCTION("""COMPUTED_VALUE"""),8)</f>
        <v>8</v>
      </c>
      <c r="N201" s="1">
        <f ca="1">IFERROR(__xludf.DUMMYFUNCTION("""COMPUTED_VALUE"""),1977)</f>
        <v>1977</v>
      </c>
      <c r="O201" s="1">
        <f ca="1">IFERROR(__xludf.DUMMYFUNCTION("""COMPUTED_VALUE"""),2032)</f>
        <v>2032</v>
      </c>
      <c r="P201" s="1">
        <f ca="1">IFERROR(__xludf.DUMMYFUNCTION("""COMPUTED_VALUE"""),1280)</f>
        <v>1280</v>
      </c>
      <c r="Q201" s="1">
        <f ca="1">IFERROR(__xludf.DUMMYFUNCTION("""COMPUTED_VALUE"""),669)</f>
        <v>669</v>
      </c>
      <c r="R201" s="1">
        <f ca="1">IFERROR(__xludf.DUMMYFUNCTION("""COMPUTED_VALUE"""),1557)</f>
        <v>1557</v>
      </c>
      <c r="S201" s="1">
        <f ca="1">IFERROR(__xludf.DUMMYFUNCTION("""COMPUTED_VALUE"""),0.43)</f>
        <v>0.43</v>
      </c>
      <c r="T201" s="1">
        <f ca="1">IFERROR(__xludf.DUMMYFUNCTION("""COMPUTED_VALUE"""),133)</f>
        <v>133</v>
      </c>
      <c r="U201" s="1">
        <f ca="1">IFERROR(__xludf.DUMMYFUNCTION("""COMPUTED_VALUE"""),434)</f>
        <v>434</v>
      </c>
      <c r="V201" s="1">
        <f ca="1">IFERROR(__xludf.DUMMYFUNCTION("""COMPUTED_VALUE"""),0.306)</f>
        <v>0.30599999999999999</v>
      </c>
      <c r="W201" s="1">
        <f ca="1">IFERROR(__xludf.DUMMYFUNCTION("""COMPUTED_VALUE"""),506)</f>
        <v>506</v>
      </c>
      <c r="X201" s="1">
        <f ca="1">IFERROR(__xludf.DUMMYFUNCTION("""COMPUTED_VALUE"""),727)</f>
        <v>727</v>
      </c>
      <c r="Y201" s="1">
        <f ca="1">IFERROR(__xludf.DUMMYFUNCTION("""COMPUTED_VALUE"""),0.696)</f>
        <v>0.69599999999999995</v>
      </c>
      <c r="Z201" s="1">
        <f ca="1">IFERROR(__xludf.DUMMYFUNCTION("""COMPUTED_VALUE"""),324)</f>
        <v>324</v>
      </c>
      <c r="AA201" s="1">
        <f ca="1">IFERROR(__xludf.DUMMYFUNCTION("""COMPUTED_VALUE"""),1099)</f>
        <v>1099</v>
      </c>
      <c r="AB201" s="1">
        <f ca="1">IFERROR(__xludf.DUMMYFUNCTION("""COMPUTED_VALUE"""),278)</f>
        <v>278</v>
      </c>
      <c r="AC201" s="1">
        <f ca="1">IFERROR(__xludf.DUMMYFUNCTION("""COMPUTED_VALUE"""),205)</f>
        <v>205</v>
      </c>
      <c r="AD201" s="1">
        <f ca="1">IFERROR(__xludf.DUMMYFUNCTION("""COMPUTED_VALUE"""),90)</f>
        <v>90</v>
      </c>
      <c r="AE201" s="1">
        <f ca="1">IFERROR(__xludf.DUMMYFUNCTION("""COMPUTED_VALUE"""),474)</f>
        <v>474</v>
      </c>
      <c r="AF201" s="1">
        <f ca="1">IFERROR(__xludf.DUMMYFUNCTION("""COMPUTED_VALUE"""),606)</f>
        <v>606</v>
      </c>
    </row>
    <row r="202" spans="1:32" ht="12.5" x14ac:dyDescent="0.25">
      <c r="A202" s="1" t="str">
        <f ca="1">IFERROR(__xludf.DUMMYFUNCTION("""COMPUTED_VALUE"""),"Mississippi Valley State")</f>
        <v>Mississippi Valley State</v>
      </c>
      <c r="B202" s="1">
        <f ca="1">IFERROR(__xludf.DUMMYFUNCTION("""COMPUTED_VALUE"""),32)</f>
        <v>32</v>
      </c>
      <c r="C202" s="1">
        <f ca="1">IFERROR(__xludf.DUMMYFUNCTION("""COMPUTED_VALUE"""),6)</f>
        <v>6</v>
      </c>
      <c r="D202" s="1">
        <f ca="1">IFERROR(__xludf.DUMMYFUNCTION("""COMPUTED_VALUE"""),26)</f>
        <v>26</v>
      </c>
      <c r="E202" s="1">
        <f ca="1">IFERROR(__xludf.DUMMYFUNCTION("""COMPUTED_VALUE"""),0.188)</f>
        <v>0.188</v>
      </c>
      <c r="F202" s="1">
        <f ca="1">IFERROR(__xludf.DUMMYFUNCTION("""COMPUTED_VALUE"""),-23.94)</f>
        <v>-23.94</v>
      </c>
      <c r="G202" s="1">
        <f ca="1">IFERROR(__xludf.DUMMYFUNCTION("""COMPUTED_VALUE"""),-7.78)</f>
        <v>-7.78</v>
      </c>
      <c r="H202" s="1">
        <f ca="1">IFERROR(__xludf.DUMMYFUNCTION("""COMPUTED_VALUE"""),5)</f>
        <v>5</v>
      </c>
      <c r="I202" s="1">
        <f ca="1">IFERROR(__xludf.DUMMYFUNCTION("""COMPUTED_VALUE"""),13)</f>
        <v>13</v>
      </c>
      <c r="J202" s="1">
        <f ca="1">IFERROR(__xludf.DUMMYFUNCTION("""COMPUTED_VALUE"""),3)</f>
        <v>3</v>
      </c>
      <c r="K202" s="1">
        <f ca="1">IFERROR(__xludf.DUMMYFUNCTION("""COMPUTED_VALUE"""),6)</f>
        <v>6</v>
      </c>
      <c r="L202" s="1">
        <f ca="1">IFERROR(__xludf.DUMMYFUNCTION("""COMPUTED_VALUE"""),2)</f>
        <v>2</v>
      </c>
      <c r="M202" s="1">
        <f ca="1">IFERROR(__xludf.DUMMYFUNCTION("""COMPUTED_VALUE"""),17)</f>
        <v>17</v>
      </c>
      <c r="N202" s="1">
        <f ca="1">IFERROR(__xludf.DUMMYFUNCTION("""COMPUTED_VALUE"""),2045)</f>
        <v>2045</v>
      </c>
      <c r="O202" s="1">
        <f ca="1">IFERROR(__xludf.DUMMYFUNCTION("""COMPUTED_VALUE"""),2562)</f>
        <v>2562</v>
      </c>
      <c r="P202" s="1">
        <f ca="1">IFERROR(__xludf.DUMMYFUNCTION("""COMPUTED_VALUE"""),1296)</f>
        <v>1296</v>
      </c>
      <c r="Q202" s="1">
        <f ca="1">IFERROR(__xludf.DUMMYFUNCTION("""COMPUTED_VALUE"""),738)</f>
        <v>738</v>
      </c>
      <c r="R202" s="1">
        <f ca="1">IFERROR(__xludf.DUMMYFUNCTION("""COMPUTED_VALUE"""),1911)</f>
        <v>1911</v>
      </c>
      <c r="S202" s="1">
        <f ca="1">IFERROR(__xludf.DUMMYFUNCTION("""COMPUTED_VALUE"""),0.386)</f>
        <v>0.38600000000000001</v>
      </c>
      <c r="T202" s="1">
        <f ca="1">IFERROR(__xludf.DUMMYFUNCTION("""COMPUTED_VALUE"""),157)</f>
        <v>157</v>
      </c>
      <c r="U202" s="1">
        <f ca="1">IFERROR(__xludf.DUMMYFUNCTION("""COMPUTED_VALUE"""),519)</f>
        <v>519</v>
      </c>
      <c r="V202" s="1">
        <f ca="1">IFERROR(__xludf.DUMMYFUNCTION("""COMPUTED_VALUE"""),0.303)</f>
        <v>0.30299999999999999</v>
      </c>
      <c r="W202" s="1">
        <f ca="1">IFERROR(__xludf.DUMMYFUNCTION("""COMPUTED_VALUE"""),412)</f>
        <v>412</v>
      </c>
      <c r="X202" s="1">
        <f ca="1">IFERROR(__xludf.DUMMYFUNCTION("""COMPUTED_VALUE"""),630)</f>
        <v>630</v>
      </c>
      <c r="Y202" s="1">
        <f ca="1">IFERROR(__xludf.DUMMYFUNCTION("""COMPUTED_VALUE"""),0.654)</f>
        <v>0.65400000000000003</v>
      </c>
      <c r="Z202" s="1">
        <f ca="1">IFERROR(__xludf.DUMMYFUNCTION("""COMPUTED_VALUE"""),382)</f>
        <v>382</v>
      </c>
      <c r="AA202" s="1">
        <f ca="1">IFERROR(__xludf.DUMMYFUNCTION("""COMPUTED_VALUE"""),1052)</f>
        <v>1052</v>
      </c>
      <c r="AB202" s="1">
        <f ca="1">IFERROR(__xludf.DUMMYFUNCTION("""COMPUTED_VALUE"""),338)</f>
        <v>338</v>
      </c>
      <c r="AC202" s="1">
        <f ca="1">IFERROR(__xludf.DUMMYFUNCTION("""COMPUTED_VALUE"""),241)</f>
        <v>241</v>
      </c>
      <c r="AD202" s="1">
        <f ca="1">IFERROR(__xludf.DUMMYFUNCTION("""COMPUTED_VALUE"""),37)</f>
        <v>37</v>
      </c>
      <c r="AE202" s="1">
        <f ca="1">IFERROR(__xludf.DUMMYFUNCTION("""COMPUTED_VALUE"""),481)</f>
        <v>481</v>
      </c>
      <c r="AF202" s="1">
        <f ca="1">IFERROR(__xludf.DUMMYFUNCTION("""COMPUTED_VALUE"""),589)</f>
        <v>589</v>
      </c>
    </row>
    <row r="203" spans="1:32" ht="12.5" x14ac:dyDescent="0.25">
      <c r="A203" s="1" t="str">
        <f ca="1">IFERROR(__xludf.DUMMYFUNCTION("""COMPUTED_VALUE"""),"MississippiNCAA")</f>
        <v>MississippiNCAA</v>
      </c>
      <c r="B203" s="1">
        <f ca="1">IFERROR(__xludf.DUMMYFUNCTION("""COMPUTED_VALUE"""),34)</f>
        <v>34</v>
      </c>
      <c r="C203" s="1">
        <f ca="1">IFERROR(__xludf.DUMMYFUNCTION("""COMPUTED_VALUE"""),21)</f>
        <v>21</v>
      </c>
      <c r="D203" s="1">
        <f ca="1">IFERROR(__xludf.DUMMYFUNCTION("""COMPUTED_VALUE"""),13)</f>
        <v>13</v>
      </c>
      <c r="E203" s="1">
        <f ca="1">IFERROR(__xludf.DUMMYFUNCTION("""COMPUTED_VALUE"""),0.618)</f>
        <v>0.61799999999999999</v>
      </c>
      <c r="F203" s="1">
        <f ca="1">IFERROR(__xludf.DUMMYFUNCTION("""COMPUTED_VALUE"""),11.39)</f>
        <v>11.39</v>
      </c>
      <c r="G203" s="1">
        <f ca="1">IFERROR(__xludf.DUMMYFUNCTION("""COMPUTED_VALUE"""),7.01)</f>
        <v>7.01</v>
      </c>
      <c r="H203" s="1">
        <f ca="1">IFERROR(__xludf.DUMMYFUNCTION("""COMPUTED_VALUE"""),11)</f>
        <v>11</v>
      </c>
      <c r="I203" s="1">
        <f ca="1">IFERROR(__xludf.DUMMYFUNCTION("""COMPUTED_VALUE"""),7)</f>
        <v>7</v>
      </c>
      <c r="J203" s="1">
        <f ca="1">IFERROR(__xludf.DUMMYFUNCTION("""COMPUTED_VALUE"""),9)</f>
        <v>9</v>
      </c>
      <c r="K203" s="1">
        <f ca="1">IFERROR(__xludf.DUMMYFUNCTION("""COMPUTED_VALUE"""),7)</f>
        <v>7</v>
      </c>
      <c r="L203" s="1">
        <f ca="1">IFERROR(__xludf.DUMMYFUNCTION("""COMPUTED_VALUE"""),8)</f>
        <v>8</v>
      </c>
      <c r="M203" s="1">
        <f ca="1">IFERROR(__xludf.DUMMYFUNCTION("""COMPUTED_VALUE"""),4)</f>
        <v>4</v>
      </c>
      <c r="N203" s="1">
        <f ca="1">IFERROR(__xludf.DUMMYFUNCTION("""COMPUTED_VALUE"""),2475)</f>
        <v>2475</v>
      </c>
      <c r="O203" s="1">
        <f ca="1">IFERROR(__xludf.DUMMYFUNCTION("""COMPUTED_VALUE"""),2326)</f>
        <v>2326</v>
      </c>
      <c r="P203" s="1">
        <f ca="1">IFERROR(__xludf.DUMMYFUNCTION("""COMPUTED_VALUE"""),1369)</f>
        <v>1369</v>
      </c>
      <c r="Q203" s="1">
        <f ca="1">IFERROR(__xludf.DUMMYFUNCTION("""COMPUTED_VALUE"""),848)</f>
        <v>848</v>
      </c>
      <c r="R203" s="1">
        <f ca="1">IFERROR(__xludf.DUMMYFUNCTION("""COMPUTED_VALUE"""),2003)</f>
        <v>2003</v>
      </c>
      <c r="S203" s="1">
        <f ca="1">IFERROR(__xludf.DUMMYFUNCTION("""COMPUTED_VALUE"""),0.423)</f>
        <v>0.42299999999999999</v>
      </c>
      <c r="T203" s="1">
        <f ca="1">IFERROR(__xludf.DUMMYFUNCTION("""COMPUTED_VALUE"""),220)</f>
        <v>220</v>
      </c>
      <c r="U203" s="1">
        <f ca="1">IFERROR(__xludf.DUMMYFUNCTION("""COMPUTED_VALUE"""),662)</f>
        <v>662</v>
      </c>
      <c r="V203" s="1">
        <f ca="1">IFERROR(__xludf.DUMMYFUNCTION("""COMPUTED_VALUE"""),0.332)</f>
        <v>0.33200000000000002</v>
      </c>
      <c r="W203" s="1">
        <f ca="1">IFERROR(__xludf.DUMMYFUNCTION("""COMPUTED_VALUE"""),559)</f>
        <v>559</v>
      </c>
      <c r="X203" s="1">
        <f ca="1">IFERROR(__xludf.DUMMYFUNCTION("""COMPUTED_VALUE"""),723)</f>
        <v>723</v>
      </c>
      <c r="Y203" s="1">
        <f ca="1">IFERROR(__xludf.DUMMYFUNCTION("""COMPUTED_VALUE"""),0.773)</f>
        <v>0.77300000000000002</v>
      </c>
      <c r="Z203" s="1">
        <f ca="1">IFERROR(__xludf.DUMMYFUNCTION("""COMPUTED_VALUE"""),430)</f>
        <v>430</v>
      </c>
      <c r="AA203" s="1">
        <f ca="1">IFERROR(__xludf.DUMMYFUNCTION("""COMPUTED_VALUE"""),1284)</f>
        <v>1284</v>
      </c>
      <c r="AB203" s="1">
        <f ca="1">IFERROR(__xludf.DUMMYFUNCTION("""COMPUTED_VALUE"""),450)</f>
        <v>450</v>
      </c>
      <c r="AC203" s="1">
        <f ca="1">IFERROR(__xludf.DUMMYFUNCTION("""COMPUTED_VALUE"""),225)</f>
        <v>225</v>
      </c>
      <c r="AD203" s="1">
        <f ca="1">IFERROR(__xludf.DUMMYFUNCTION("""COMPUTED_VALUE"""),128)</f>
        <v>128</v>
      </c>
      <c r="AE203" s="1">
        <f ca="1">IFERROR(__xludf.DUMMYFUNCTION("""COMPUTED_VALUE"""),378)</f>
        <v>378</v>
      </c>
      <c r="AF203" s="1">
        <f ca="1">IFERROR(__xludf.DUMMYFUNCTION("""COMPUTED_VALUE"""),668)</f>
        <v>668</v>
      </c>
    </row>
    <row r="204" spans="1:32" ht="12.5" x14ac:dyDescent="0.25">
      <c r="A204" s="1" t="str">
        <f ca="1">IFERROR(__xludf.DUMMYFUNCTION("""COMPUTED_VALUE"""),"Missouri-Kansas City")</f>
        <v>Missouri-Kansas City</v>
      </c>
      <c r="B204" s="1">
        <f ca="1">IFERROR(__xludf.DUMMYFUNCTION("""COMPUTED_VALUE"""),33)</f>
        <v>33</v>
      </c>
      <c r="C204" s="1">
        <f ca="1">IFERROR(__xludf.DUMMYFUNCTION("""COMPUTED_VALUE"""),14)</f>
        <v>14</v>
      </c>
      <c r="D204" s="1">
        <f ca="1">IFERROR(__xludf.DUMMYFUNCTION("""COMPUTED_VALUE"""),19)</f>
        <v>19</v>
      </c>
      <c r="E204" s="1">
        <f ca="1">IFERROR(__xludf.DUMMYFUNCTION("""COMPUTED_VALUE"""),0.424)</f>
        <v>0.42399999999999999</v>
      </c>
      <c r="F204" s="1">
        <f ca="1">IFERROR(__xludf.DUMMYFUNCTION("""COMPUTED_VALUE"""),-8.01)</f>
        <v>-8.01</v>
      </c>
      <c r="G204" s="1">
        <f ca="1">IFERROR(__xludf.DUMMYFUNCTION("""COMPUTED_VALUE"""),-5.07)</f>
        <v>-5.07</v>
      </c>
      <c r="H204" s="1">
        <f ca="1">IFERROR(__xludf.DUMMYFUNCTION("""COMPUTED_VALUE"""),8)</f>
        <v>8</v>
      </c>
      <c r="I204" s="1">
        <f ca="1">IFERROR(__xludf.DUMMYFUNCTION("""COMPUTED_VALUE"""),6)</f>
        <v>6</v>
      </c>
      <c r="J204" s="1">
        <f ca="1">IFERROR(__xludf.DUMMYFUNCTION("""COMPUTED_VALUE"""),9)</f>
        <v>9</v>
      </c>
      <c r="K204" s="1">
        <f ca="1">IFERROR(__xludf.DUMMYFUNCTION("""COMPUTED_VALUE"""),4)</f>
        <v>4</v>
      </c>
      <c r="L204" s="1">
        <f ca="1">IFERROR(__xludf.DUMMYFUNCTION("""COMPUTED_VALUE"""),4)</f>
        <v>4</v>
      </c>
      <c r="M204" s="1">
        <f ca="1">IFERROR(__xludf.DUMMYFUNCTION("""COMPUTED_VALUE"""),13)</f>
        <v>13</v>
      </c>
      <c r="N204" s="1">
        <f ca="1">IFERROR(__xludf.DUMMYFUNCTION("""COMPUTED_VALUE"""),2164)</f>
        <v>2164</v>
      </c>
      <c r="O204" s="1">
        <f ca="1">IFERROR(__xludf.DUMMYFUNCTION("""COMPUTED_VALUE"""),2202)</f>
        <v>2202</v>
      </c>
      <c r="P204" s="1">
        <f ca="1">IFERROR(__xludf.DUMMYFUNCTION("""COMPUTED_VALUE"""),1345)</f>
        <v>1345</v>
      </c>
      <c r="Q204" s="1">
        <f ca="1">IFERROR(__xludf.DUMMYFUNCTION("""COMPUTED_VALUE"""),723)</f>
        <v>723</v>
      </c>
      <c r="R204" s="1">
        <f ca="1">IFERROR(__xludf.DUMMYFUNCTION("""COMPUTED_VALUE"""),1776)</f>
        <v>1776</v>
      </c>
      <c r="S204" s="1">
        <f ca="1">IFERROR(__xludf.DUMMYFUNCTION("""COMPUTED_VALUE"""),0.407)</f>
        <v>0.40699999999999997</v>
      </c>
      <c r="T204" s="1">
        <f ca="1">IFERROR(__xludf.DUMMYFUNCTION("""COMPUTED_VALUE"""),216)</f>
        <v>216</v>
      </c>
      <c r="U204" s="1">
        <f ca="1">IFERROR(__xludf.DUMMYFUNCTION("""COMPUTED_VALUE"""),649)</f>
        <v>649</v>
      </c>
      <c r="V204" s="1">
        <f ca="1">IFERROR(__xludf.DUMMYFUNCTION("""COMPUTED_VALUE"""),0.333)</f>
        <v>0.33300000000000002</v>
      </c>
      <c r="W204" s="1">
        <f ca="1">IFERROR(__xludf.DUMMYFUNCTION("""COMPUTED_VALUE"""),502)</f>
        <v>502</v>
      </c>
      <c r="X204" s="1">
        <f ca="1">IFERROR(__xludf.DUMMYFUNCTION("""COMPUTED_VALUE"""),724)</f>
        <v>724</v>
      </c>
      <c r="Y204" s="1">
        <f ca="1">IFERROR(__xludf.DUMMYFUNCTION("""COMPUTED_VALUE"""),0.693)</f>
        <v>0.69299999999999995</v>
      </c>
      <c r="Z204" s="1">
        <f ca="1">IFERROR(__xludf.DUMMYFUNCTION("""COMPUTED_VALUE"""),374)</f>
        <v>374</v>
      </c>
      <c r="AA204" s="1">
        <f ca="1">IFERROR(__xludf.DUMMYFUNCTION("""COMPUTED_VALUE"""),1037)</f>
        <v>1037</v>
      </c>
      <c r="AB204" s="1">
        <f ca="1">IFERROR(__xludf.DUMMYFUNCTION("""COMPUTED_VALUE"""),376)</f>
        <v>376</v>
      </c>
      <c r="AC204" s="1">
        <f ca="1">IFERROR(__xludf.DUMMYFUNCTION("""COMPUTED_VALUE"""),266)</f>
        <v>266</v>
      </c>
      <c r="AD204" s="1">
        <f ca="1">IFERROR(__xludf.DUMMYFUNCTION("""COMPUTED_VALUE"""),111)</f>
        <v>111</v>
      </c>
      <c r="AE204" s="1">
        <f ca="1">IFERROR(__xludf.DUMMYFUNCTION("""COMPUTED_VALUE"""),443)</f>
        <v>443</v>
      </c>
      <c r="AF204" s="1">
        <f ca="1">IFERROR(__xludf.DUMMYFUNCTION("""COMPUTED_VALUE"""),636)</f>
        <v>636</v>
      </c>
    </row>
    <row r="205" spans="1:32" ht="12.5" x14ac:dyDescent="0.25">
      <c r="A205" s="1" t="str">
        <f ca="1">IFERROR(__xludf.DUMMYFUNCTION("""COMPUTED_VALUE"""),"Missouri State")</f>
        <v>Missouri State</v>
      </c>
      <c r="B205" s="1">
        <f ca="1">IFERROR(__xludf.DUMMYFUNCTION("""COMPUTED_VALUE"""),31)</f>
        <v>31</v>
      </c>
      <c r="C205" s="1">
        <f ca="1">IFERROR(__xludf.DUMMYFUNCTION("""COMPUTED_VALUE"""),11)</f>
        <v>11</v>
      </c>
      <c r="D205" s="1">
        <f ca="1">IFERROR(__xludf.DUMMYFUNCTION("""COMPUTED_VALUE"""),20)</f>
        <v>20</v>
      </c>
      <c r="E205" s="1">
        <f ca="1">IFERROR(__xludf.DUMMYFUNCTION("""COMPUTED_VALUE"""),0.355)</f>
        <v>0.35499999999999998</v>
      </c>
      <c r="F205" s="1">
        <f ca="1">IFERROR(__xludf.DUMMYFUNCTION("""COMPUTED_VALUE"""),-4.92)</f>
        <v>-4.92</v>
      </c>
      <c r="G205" s="1">
        <f ca="1">IFERROR(__xludf.DUMMYFUNCTION("""COMPUTED_VALUE"""),1.67)</f>
        <v>1.67</v>
      </c>
      <c r="H205" s="1">
        <f ca="1">IFERROR(__xludf.DUMMYFUNCTION("""COMPUTED_VALUE"""),5)</f>
        <v>5</v>
      </c>
      <c r="I205" s="1">
        <f ca="1">IFERROR(__xludf.DUMMYFUNCTION("""COMPUTED_VALUE"""),13)</f>
        <v>13</v>
      </c>
      <c r="J205" s="1">
        <f ca="1">IFERROR(__xludf.DUMMYFUNCTION("""COMPUTED_VALUE"""),8)</f>
        <v>8</v>
      </c>
      <c r="K205" s="1">
        <f ca="1">IFERROR(__xludf.DUMMYFUNCTION("""COMPUTED_VALUE"""),6)</f>
        <v>6</v>
      </c>
      <c r="L205" s="1">
        <f ca="1">IFERROR(__xludf.DUMMYFUNCTION("""COMPUTED_VALUE"""),3)</f>
        <v>3</v>
      </c>
      <c r="M205" s="1">
        <f ca="1">IFERROR(__xludf.DUMMYFUNCTION("""COMPUTED_VALUE"""),11)</f>
        <v>11</v>
      </c>
      <c r="N205" s="1">
        <f ca="1">IFERROR(__xludf.DUMMYFUNCTION("""COMPUTED_VALUE"""),1850)</f>
        <v>1850</v>
      </c>
      <c r="O205" s="1">
        <f ca="1">IFERROR(__xludf.DUMMYFUNCTION("""COMPUTED_VALUE"""),1989)</f>
        <v>1989</v>
      </c>
      <c r="P205" s="1">
        <f ca="1">IFERROR(__xludf.DUMMYFUNCTION("""COMPUTED_VALUE"""),1260)</f>
        <v>1260</v>
      </c>
      <c r="Q205" s="1">
        <f ca="1">IFERROR(__xludf.DUMMYFUNCTION("""COMPUTED_VALUE"""),654)</f>
        <v>654</v>
      </c>
      <c r="R205" s="1">
        <f ca="1">IFERROR(__xludf.DUMMYFUNCTION("""COMPUTED_VALUE"""),1612)</f>
        <v>1612</v>
      </c>
      <c r="S205" s="1">
        <f ca="1">IFERROR(__xludf.DUMMYFUNCTION("""COMPUTED_VALUE"""),0.406)</f>
        <v>0.40600000000000003</v>
      </c>
      <c r="T205" s="1">
        <f ca="1">IFERROR(__xludf.DUMMYFUNCTION("""COMPUTED_VALUE"""),158)</f>
        <v>158</v>
      </c>
      <c r="U205" s="1">
        <f ca="1">IFERROR(__xludf.DUMMYFUNCTION("""COMPUTED_VALUE"""),512)</f>
        <v>512</v>
      </c>
      <c r="V205" s="1">
        <f ca="1">IFERROR(__xludf.DUMMYFUNCTION("""COMPUTED_VALUE"""),0.309)</f>
        <v>0.309</v>
      </c>
      <c r="W205" s="1">
        <f ca="1">IFERROR(__xludf.DUMMYFUNCTION("""COMPUTED_VALUE"""),384)</f>
        <v>384</v>
      </c>
      <c r="X205" s="1">
        <f ca="1">IFERROR(__xludf.DUMMYFUNCTION("""COMPUTED_VALUE"""),525)</f>
        <v>525</v>
      </c>
      <c r="Y205" s="1">
        <f ca="1">IFERROR(__xludf.DUMMYFUNCTION("""COMPUTED_VALUE"""),0.731)</f>
        <v>0.73099999999999998</v>
      </c>
      <c r="Z205" s="1">
        <f ca="1">IFERROR(__xludf.DUMMYFUNCTION("""COMPUTED_VALUE"""),316)</f>
        <v>316</v>
      </c>
      <c r="AA205" s="1">
        <f ca="1">IFERROR(__xludf.DUMMYFUNCTION("""COMPUTED_VALUE"""),1008)</f>
        <v>1008</v>
      </c>
      <c r="AB205" s="1">
        <f ca="1">IFERROR(__xludf.DUMMYFUNCTION("""COMPUTED_VALUE"""),347)</f>
        <v>347</v>
      </c>
      <c r="AC205" s="1">
        <f ca="1">IFERROR(__xludf.DUMMYFUNCTION("""COMPUTED_VALUE"""),160)</f>
        <v>160</v>
      </c>
      <c r="AD205" s="1">
        <f ca="1">IFERROR(__xludf.DUMMYFUNCTION("""COMPUTED_VALUE"""),100)</f>
        <v>100</v>
      </c>
      <c r="AE205" s="1">
        <f ca="1">IFERROR(__xludf.DUMMYFUNCTION("""COMPUTED_VALUE"""),377)</f>
        <v>377</v>
      </c>
      <c r="AF205" s="1">
        <f ca="1">IFERROR(__xludf.DUMMYFUNCTION("""COMPUTED_VALUE"""),550)</f>
        <v>550</v>
      </c>
    </row>
    <row r="206" spans="1:32" ht="12.5" x14ac:dyDescent="0.25">
      <c r="A206" s="1" t="str">
        <f ca="1">IFERROR(__xludf.DUMMYFUNCTION("""COMPUTED_VALUE"""),"Missouri")</f>
        <v>Missouri</v>
      </c>
      <c r="B206" s="1">
        <f ca="1">IFERROR(__xludf.DUMMYFUNCTION("""COMPUTED_VALUE"""),32)</f>
        <v>32</v>
      </c>
      <c r="C206" s="1">
        <f ca="1">IFERROR(__xludf.DUMMYFUNCTION("""COMPUTED_VALUE"""),9)</f>
        <v>9</v>
      </c>
      <c r="D206" s="1">
        <f ca="1">IFERROR(__xludf.DUMMYFUNCTION("""COMPUTED_VALUE"""),23)</f>
        <v>23</v>
      </c>
      <c r="E206" s="1">
        <f ca="1">IFERROR(__xludf.DUMMYFUNCTION("""COMPUTED_VALUE"""),0.281)</f>
        <v>0.28100000000000003</v>
      </c>
      <c r="F206" s="1">
        <f ca="1">IFERROR(__xludf.DUMMYFUNCTION("""COMPUTED_VALUE"""),1.13)</f>
        <v>1.1299999999999999</v>
      </c>
      <c r="G206" s="1">
        <f ca="1">IFERROR(__xludf.DUMMYFUNCTION("""COMPUTED_VALUE"""),9.26)</f>
        <v>9.26</v>
      </c>
      <c r="H206" s="1">
        <f ca="1">IFERROR(__xludf.DUMMYFUNCTION("""COMPUTED_VALUE"""),3)</f>
        <v>3</v>
      </c>
      <c r="I206" s="1">
        <f ca="1">IFERROR(__xludf.DUMMYFUNCTION("""COMPUTED_VALUE"""),15)</f>
        <v>15</v>
      </c>
      <c r="J206" s="1">
        <f ca="1">IFERROR(__xludf.DUMMYFUNCTION("""COMPUTED_VALUE"""),8)</f>
        <v>8</v>
      </c>
      <c r="K206" s="1">
        <f ca="1">IFERROR(__xludf.DUMMYFUNCTION("""COMPUTED_VALUE"""),8)</f>
        <v>8</v>
      </c>
      <c r="L206" s="1">
        <f ca="1">IFERROR(__xludf.DUMMYFUNCTION("""COMPUTED_VALUE"""),1)</f>
        <v>1</v>
      </c>
      <c r="M206" s="1">
        <f ca="1">IFERROR(__xludf.DUMMYFUNCTION("""COMPUTED_VALUE"""),10)</f>
        <v>10</v>
      </c>
      <c r="N206" s="1">
        <f ca="1">IFERROR(__xludf.DUMMYFUNCTION("""COMPUTED_VALUE"""),1935)</f>
        <v>1935</v>
      </c>
      <c r="O206" s="1">
        <f ca="1">IFERROR(__xludf.DUMMYFUNCTION("""COMPUTED_VALUE"""),2173)</f>
        <v>2173</v>
      </c>
      <c r="P206" s="1">
        <f ca="1">IFERROR(__xludf.DUMMYFUNCTION("""COMPUTED_VALUE"""),1290)</f>
        <v>1290</v>
      </c>
      <c r="Q206" s="1">
        <f ca="1">IFERROR(__xludf.DUMMYFUNCTION("""COMPUTED_VALUE"""),683)</f>
        <v>683</v>
      </c>
      <c r="R206" s="1">
        <f ca="1">IFERROR(__xludf.DUMMYFUNCTION("""COMPUTED_VALUE"""),1694)</f>
        <v>1694</v>
      </c>
      <c r="S206" s="1">
        <f ca="1">IFERROR(__xludf.DUMMYFUNCTION("""COMPUTED_VALUE"""),0.403)</f>
        <v>0.40300000000000002</v>
      </c>
      <c r="T206" s="1">
        <f ca="1">IFERROR(__xludf.DUMMYFUNCTION("""COMPUTED_VALUE"""),196)</f>
        <v>196</v>
      </c>
      <c r="U206" s="1">
        <f ca="1">IFERROR(__xludf.DUMMYFUNCTION("""COMPUTED_VALUE"""),596)</f>
        <v>596</v>
      </c>
      <c r="V206" s="1">
        <f ca="1">IFERROR(__xludf.DUMMYFUNCTION("""COMPUTED_VALUE"""),0.329)</f>
        <v>0.32900000000000001</v>
      </c>
      <c r="W206" s="1">
        <f ca="1">IFERROR(__xludf.DUMMYFUNCTION("""COMPUTED_VALUE"""),373)</f>
        <v>373</v>
      </c>
      <c r="X206" s="1">
        <f ca="1">IFERROR(__xludf.DUMMYFUNCTION("""COMPUTED_VALUE"""),560)</f>
        <v>560</v>
      </c>
      <c r="Y206" s="1">
        <f ca="1">IFERROR(__xludf.DUMMYFUNCTION("""COMPUTED_VALUE"""),0.666)</f>
        <v>0.66600000000000004</v>
      </c>
      <c r="Z206" s="1">
        <f ca="1">IFERROR(__xludf.DUMMYFUNCTION("""COMPUTED_VALUE"""),327)</f>
        <v>327</v>
      </c>
      <c r="AA206" s="1">
        <f ca="1">IFERROR(__xludf.DUMMYFUNCTION("""COMPUTED_VALUE"""),1050)</f>
        <v>1050</v>
      </c>
      <c r="AB206" s="1">
        <f ca="1">IFERROR(__xludf.DUMMYFUNCTION("""COMPUTED_VALUE"""),343)</f>
        <v>343</v>
      </c>
      <c r="AC206" s="1">
        <f ca="1">IFERROR(__xludf.DUMMYFUNCTION("""COMPUTED_VALUE"""),179)</f>
        <v>179</v>
      </c>
      <c r="AD206" s="1">
        <f ca="1">IFERROR(__xludf.DUMMYFUNCTION("""COMPUTED_VALUE"""),90)</f>
        <v>90</v>
      </c>
      <c r="AE206" s="1">
        <f ca="1">IFERROR(__xludf.DUMMYFUNCTION("""COMPUTED_VALUE"""),417)</f>
        <v>417</v>
      </c>
      <c r="AF206" s="1">
        <f ca="1">IFERROR(__xludf.DUMMYFUNCTION("""COMPUTED_VALUE"""),624)</f>
        <v>624</v>
      </c>
    </row>
    <row r="207" spans="1:32" ht="12.5" x14ac:dyDescent="0.25">
      <c r="A207" s="1" t="str">
        <f ca="1">IFERROR(__xludf.DUMMYFUNCTION("""COMPUTED_VALUE"""),"Monmouth")</f>
        <v>Monmouth</v>
      </c>
      <c r="B207" s="1">
        <f ca="1">IFERROR(__xludf.DUMMYFUNCTION("""COMPUTED_VALUE"""),33)</f>
        <v>33</v>
      </c>
      <c r="C207" s="1">
        <f ca="1">IFERROR(__xludf.DUMMYFUNCTION("""COMPUTED_VALUE"""),18)</f>
        <v>18</v>
      </c>
      <c r="D207" s="1">
        <f ca="1">IFERROR(__xludf.DUMMYFUNCTION("""COMPUTED_VALUE"""),15)</f>
        <v>15</v>
      </c>
      <c r="E207" s="1">
        <f ca="1">IFERROR(__xludf.DUMMYFUNCTION("""COMPUTED_VALUE"""),0.545)</f>
        <v>0.54500000000000004</v>
      </c>
      <c r="F207" s="1">
        <f ca="1">IFERROR(__xludf.DUMMYFUNCTION("""COMPUTED_VALUE"""),-2.18)</f>
        <v>-2.1800000000000002</v>
      </c>
      <c r="G207" s="1">
        <f ca="1">IFERROR(__xludf.DUMMYFUNCTION("""COMPUTED_VALUE"""),-2.91)</f>
        <v>-2.91</v>
      </c>
      <c r="H207" s="1">
        <f ca="1">IFERROR(__xludf.DUMMYFUNCTION("""COMPUTED_VALUE"""),13)</f>
        <v>13</v>
      </c>
      <c r="I207" s="1">
        <f ca="1">IFERROR(__xludf.DUMMYFUNCTION("""COMPUTED_VALUE"""),7)</f>
        <v>7</v>
      </c>
      <c r="J207" s="1">
        <f ca="1">IFERROR(__xludf.DUMMYFUNCTION("""COMPUTED_VALUE"""),8)</f>
        <v>8</v>
      </c>
      <c r="K207" s="1">
        <f ca="1">IFERROR(__xludf.DUMMYFUNCTION("""COMPUTED_VALUE"""),7)</f>
        <v>7</v>
      </c>
      <c r="L207" s="1">
        <f ca="1">IFERROR(__xludf.DUMMYFUNCTION("""COMPUTED_VALUE"""),9)</f>
        <v>9</v>
      </c>
      <c r="M207" s="1">
        <f ca="1">IFERROR(__xludf.DUMMYFUNCTION("""COMPUTED_VALUE"""),7)</f>
        <v>7</v>
      </c>
      <c r="N207" s="1">
        <f ca="1">IFERROR(__xludf.DUMMYFUNCTION("""COMPUTED_VALUE"""),2134)</f>
        <v>2134</v>
      </c>
      <c r="O207" s="1">
        <f ca="1">IFERROR(__xludf.DUMMYFUNCTION("""COMPUTED_VALUE"""),2110)</f>
        <v>2110</v>
      </c>
      <c r="P207" s="1">
        <f ca="1">IFERROR(__xludf.DUMMYFUNCTION("""COMPUTED_VALUE"""),1335)</f>
        <v>1335</v>
      </c>
      <c r="Q207" s="1">
        <f ca="1">IFERROR(__xludf.DUMMYFUNCTION("""COMPUTED_VALUE"""),730)</f>
        <v>730</v>
      </c>
      <c r="R207" s="1">
        <f ca="1">IFERROR(__xludf.DUMMYFUNCTION("""COMPUTED_VALUE"""),1702)</f>
        <v>1702</v>
      </c>
      <c r="S207" s="1">
        <f ca="1">IFERROR(__xludf.DUMMYFUNCTION("""COMPUTED_VALUE"""),0.429)</f>
        <v>0.42899999999999999</v>
      </c>
      <c r="T207" s="1">
        <f ca="1">IFERROR(__xludf.DUMMYFUNCTION("""COMPUTED_VALUE"""),171)</f>
        <v>171</v>
      </c>
      <c r="U207" s="1">
        <f ca="1">IFERROR(__xludf.DUMMYFUNCTION("""COMPUTED_VALUE"""),506)</f>
        <v>506</v>
      </c>
      <c r="V207" s="1">
        <f ca="1">IFERROR(__xludf.DUMMYFUNCTION("""COMPUTED_VALUE"""),0.338)</f>
        <v>0.33800000000000002</v>
      </c>
      <c r="W207" s="1">
        <f ca="1">IFERROR(__xludf.DUMMYFUNCTION("""COMPUTED_VALUE"""),503)</f>
        <v>503</v>
      </c>
      <c r="X207" s="1">
        <f ca="1">IFERROR(__xludf.DUMMYFUNCTION("""COMPUTED_VALUE"""),697)</f>
        <v>697</v>
      </c>
      <c r="Y207" s="1">
        <f ca="1">IFERROR(__xludf.DUMMYFUNCTION("""COMPUTED_VALUE"""),0.722)</f>
        <v>0.72199999999999998</v>
      </c>
      <c r="Z207" s="1">
        <f ca="1">IFERROR(__xludf.DUMMYFUNCTION("""COMPUTED_VALUE"""),320)</f>
        <v>320</v>
      </c>
      <c r="AA207" s="1">
        <f ca="1">IFERROR(__xludf.DUMMYFUNCTION("""COMPUTED_VALUE"""),1080)</f>
        <v>1080</v>
      </c>
      <c r="AB207" s="1">
        <f ca="1">IFERROR(__xludf.DUMMYFUNCTION("""COMPUTED_VALUE"""),372)</f>
        <v>372</v>
      </c>
      <c r="AC207" s="1">
        <f ca="1">IFERROR(__xludf.DUMMYFUNCTION("""COMPUTED_VALUE"""),231)</f>
        <v>231</v>
      </c>
      <c r="AD207" s="1">
        <f ca="1">IFERROR(__xludf.DUMMYFUNCTION("""COMPUTED_VALUE"""),127)</f>
        <v>127</v>
      </c>
      <c r="AE207" s="1">
        <f ca="1">IFERROR(__xludf.DUMMYFUNCTION("""COMPUTED_VALUE"""),426)</f>
        <v>426</v>
      </c>
      <c r="AF207" s="1">
        <f ca="1">IFERROR(__xludf.DUMMYFUNCTION("""COMPUTED_VALUE"""),622)</f>
        <v>622</v>
      </c>
    </row>
    <row r="208" spans="1:32" ht="12.5" x14ac:dyDescent="0.25">
      <c r="A208" s="1" t="str">
        <f ca="1">IFERROR(__xludf.DUMMYFUNCTION("""COMPUTED_VALUE"""),"Montana State")</f>
        <v>Montana State</v>
      </c>
      <c r="B208" s="1">
        <f ca="1">IFERROR(__xludf.DUMMYFUNCTION("""COMPUTED_VALUE"""),30)</f>
        <v>30</v>
      </c>
      <c r="C208" s="1">
        <f ca="1">IFERROR(__xludf.DUMMYFUNCTION("""COMPUTED_VALUE"""),7)</f>
        <v>7</v>
      </c>
      <c r="D208" s="1">
        <f ca="1">IFERROR(__xludf.DUMMYFUNCTION("""COMPUTED_VALUE"""),23)</f>
        <v>23</v>
      </c>
      <c r="E208" s="1">
        <f ca="1">IFERROR(__xludf.DUMMYFUNCTION("""COMPUTED_VALUE"""),0.233)</f>
        <v>0.23300000000000001</v>
      </c>
      <c r="F208" s="1">
        <f ca="1">IFERROR(__xludf.DUMMYFUNCTION("""COMPUTED_VALUE"""),-12.91)</f>
        <v>-12.91</v>
      </c>
      <c r="G208" s="1">
        <f ca="1">IFERROR(__xludf.DUMMYFUNCTION("""COMPUTED_VALUE"""),-3.5)</f>
        <v>-3.5</v>
      </c>
      <c r="H208" s="1">
        <f ca="1">IFERROR(__xludf.DUMMYFUNCTION("""COMPUTED_VALUE"""),4)</f>
        <v>4</v>
      </c>
      <c r="I208" s="1">
        <f ca="1">IFERROR(__xludf.DUMMYFUNCTION("""COMPUTED_VALUE"""),14)</f>
        <v>14</v>
      </c>
      <c r="J208" s="1">
        <f ca="1">IFERROR(__xludf.DUMMYFUNCTION("""COMPUTED_VALUE"""),5)</f>
        <v>5</v>
      </c>
      <c r="K208" s="1">
        <f ca="1">IFERROR(__xludf.DUMMYFUNCTION("""COMPUTED_VALUE"""),9)</f>
        <v>9</v>
      </c>
      <c r="L208" s="1">
        <f ca="1">IFERROR(__xludf.DUMMYFUNCTION("""COMPUTED_VALUE"""),2)</f>
        <v>2</v>
      </c>
      <c r="M208" s="1">
        <f ca="1">IFERROR(__xludf.DUMMYFUNCTION("""COMPUTED_VALUE"""),14)</f>
        <v>14</v>
      </c>
      <c r="N208" s="1">
        <f ca="1">IFERROR(__xludf.DUMMYFUNCTION("""COMPUTED_VALUE"""),1917)</f>
        <v>1917</v>
      </c>
      <c r="O208" s="1">
        <f ca="1">IFERROR(__xludf.DUMMYFUNCTION("""COMPUTED_VALUE"""),2152)</f>
        <v>2152</v>
      </c>
      <c r="P208" s="1">
        <f ca="1">IFERROR(__xludf.DUMMYFUNCTION("""COMPUTED_VALUE"""),1200)</f>
        <v>1200</v>
      </c>
      <c r="Q208" s="1">
        <f ca="1">IFERROR(__xludf.DUMMYFUNCTION("""COMPUTED_VALUE"""),662)</f>
        <v>662</v>
      </c>
      <c r="R208" s="1">
        <f ca="1">IFERROR(__xludf.DUMMYFUNCTION("""COMPUTED_VALUE"""),1665)</f>
        <v>1665</v>
      </c>
      <c r="S208" s="1">
        <f ca="1">IFERROR(__xludf.DUMMYFUNCTION("""COMPUTED_VALUE"""),0.398)</f>
        <v>0.39800000000000002</v>
      </c>
      <c r="T208" s="1">
        <f ca="1">IFERROR(__xludf.DUMMYFUNCTION("""COMPUTED_VALUE"""),246)</f>
        <v>246</v>
      </c>
      <c r="U208" s="1">
        <f ca="1">IFERROR(__xludf.DUMMYFUNCTION("""COMPUTED_VALUE"""),687)</f>
        <v>687</v>
      </c>
      <c r="V208" s="1">
        <f ca="1">IFERROR(__xludf.DUMMYFUNCTION("""COMPUTED_VALUE"""),0.358)</f>
        <v>0.35799999999999998</v>
      </c>
      <c r="W208" s="1">
        <f ca="1">IFERROR(__xludf.DUMMYFUNCTION("""COMPUTED_VALUE"""),347)</f>
        <v>347</v>
      </c>
      <c r="X208" s="1">
        <f ca="1">IFERROR(__xludf.DUMMYFUNCTION("""COMPUTED_VALUE"""),482)</f>
        <v>482</v>
      </c>
      <c r="Y208" s="1">
        <f ca="1">IFERROR(__xludf.DUMMYFUNCTION("""COMPUTED_VALUE"""),0.72)</f>
        <v>0.72</v>
      </c>
      <c r="Z208" s="1">
        <f ca="1">IFERROR(__xludf.DUMMYFUNCTION("""COMPUTED_VALUE"""),317)</f>
        <v>317</v>
      </c>
      <c r="AA208" s="1">
        <f ca="1">IFERROR(__xludf.DUMMYFUNCTION("""COMPUTED_VALUE"""),1009)</f>
        <v>1009</v>
      </c>
      <c r="AB208" s="1">
        <f ca="1">IFERROR(__xludf.DUMMYFUNCTION("""COMPUTED_VALUE"""),349)</f>
        <v>349</v>
      </c>
      <c r="AC208" s="1">
        <f ca="1">IFERROR(__xludf.DUMMYFUNCTION("""COMPUTED_VALUE"""),132)</f>
        <v>132</v>
      </c>
      <c r="AD208" s="1">
        <f ca="1">IFERROR(__xludf.DUMMYFUNCTION("""COMPUTED_VALUE"""),91)</f>
        <v>91</v>
      </c>
      <c r="AE208" s="1">
        <f ca="1">IFERROR(__xludf.DUMMYFUNCTION("""COMPUTED_VALUE"""),411)</f>
        <v>411</v>
      </c>
      <c r="AF208" s="1">
        <f ca="1">IFERROR(__xludf.DUMMYFUNCTION("""COMPUTED_VALUE"""),624)</f>
        <v>624</v>
      </c>
    </row>
    <row r="209" spans="1:32" ht="12.5" x14ac:dyDescent="0.25">
      <c r="A209" s="1" t="str">
        <f ca="1">IFERROR(__xludf.DUMMYFUNCTION("""COMPUTED_VALUE"""),"Montana")</f>
        <v>Montana</v>
      </c>
      <c r="B209" s="1">
        <f ca="1">IFERROR(__xludf.DUMMYFUNCTION("""COMPUTED_VALUE"""),33)</f>
        <v>33</v>
      </c>
      <c r="C209" s="1">
        <f ca="1">IFERROR(__xludf.DUMMYFUNCTION("""COMPUTED_VALUE"""),20)</f>
        <v>20</v>
      </c>
      <c r="D209" s="1">
        <f ca="1">IFERROR(__xludf.DUMMYFUNCTION("""COMPUTED_VALUE"""),13)</f>
        <v>13</v>
      </c>
      <c r="E209" s="1">
        <f ca="1">IFERROR(__xludf.DUMMYFUNCTION("""COMPUTED_VALUE"""),0.606)</f>
        <v>0.60599999999999998</v>
      </c>
      <c r="F209" s="1">
        <f ca="1">IFERROR(__xludf.DUMMYFUNCTION("""COMPUTED_VALUE"""),-1.75)</f>
        <v>-1.75</v>
      </c>
      <c r="G209" s="1">
        <f ca="1">IFERROR(__xludf.DUMMYFUNCTION("""COMPUTED_VALUE"""),-3.78)</f>
        <v>-3.78</v>
      </c>
      <c r="H209" s="1">
        <f ca="1">IFERROR(__xludf.DUMMYFUNCTION("""COMPUTED_VALUE"""),14)</f>
        <v>14</v>
      </c>
      <c r="I209" s="1">
        <f ca="1">IFERROR(__xludf.DUMMYFUNCTION("""COMPUTED_VALUE"""),4)</f>
        <v>4</v>
      </c>
      <c r="J209" s="1">
        <f ca="1">IFERROR(__xludf.DUMMYFUNCTION("""COMPUTED_VALUE"""),13)</f>
        <v>13</v>
      </c>
      <c r="K209" s="1">
        <f ca="1">IFERROR(__xludf.DUMMYFUNCTION("""COMPUTED_VALUE"""),4)</f>
        <v>4</v>
      </c>
      <c r="L209" s="1">
        <f ca="1">IFERROR(__xludf.DUMMYFUNCTION("""COMPUTED_VALUE"""),7)</f>
        <v>7</v>
      </c>
      <c r="M209" s="1">
        <f ca="1">IFERROR(__xludf.DUMMYFUNCTION("""COMPUTED_VALUE"""),9)</f>
        <v>9</v>
      </c>
      <c r="N209" s="1">
        <f ca="1">IFERROR(__xludf.DUMMYFUNCTION("""COMPUTED_VALUE"""),2347)</f>
        <v>2347</v>
      </c>
      <c r="O209" s="1">
        <f ca="1">IFERROR(__xludf.DUMMYFUNCTION("""COMPUTED_VALUE"""),2219)</f>
        <v>2219</v>
      </c>
      <c r="P209" s="1">
        <f ca="1">IFERROR(__xludf.DUMMYFUNCTION("""COMPUTED_VALUE"""),1370)</f>
        <v>1370</v>
      </c>
      <c r="Q209" s="1">
        <f ca="1">IFERROR(__xludf.DUMMYFUNCTION("""COMPUTED_VALUE"""),828)</f>
        <v>828</v>
      </c>
      <c r="R209" s="1">
        <f ca="1">IFERROR(__xludf.DUMMYFUNCTION("""COMPUTED_VALUE"""),1786)</f>
        <v>1786</v>
      </c>
      <c r="S209" s="1">
        <f ca="1">IFERROR(__xludf.DUMMYFUNCTION("""COMPUTED_VALUE"""),0.464)</f>
        <v>0.46400000000000002</v>
      </c>
      <c r="T209" s="1">
        <f ca="1">IFERROR(__xludf.DUMMYFUNCTION("""COMPUTED_VALUE"""),274)</f>
        <v>274</v>
      </c>
      <c r="U209" s="1">
        <f ca="1">IFERROR(__xludf.DUMMYFUNCTION("""COMPUTED_VALUE"""),737)</f>
        <v>737</v>
      </c>
      <c r="V209" s="1">
        <f ca="1">IFERROR(__xludf.DUMMYFUNCTION("""COMPUTED_VALUE"""),0.372)</f>
        <v>0.372</v>
      </c>
      <c r="W209" s="1">
        <f ca="1">IFERROR(__xludf.DUMMYFUNCTION("""COMPUTED_VALUE"""),417)</f>
        <v>417</v>
      </c>
      <c r="X209" s="1">
        <f ca="1">IFERROR(__xludf.DUMMYFUNCTION("""COMPUTED_VALUE"""),581)</f>
        <v>581</v>
      </c>
      <c r="Y209" s="1">
        <f ca="1">IFERROR(__xludf.DUMMYFUNCTION("""COMPUTED_VALUE"""),0.718)</f>
        <v>0.71799999999999997</v>
      </c>
      <c r="Z209" s="1">
        <f ca="1">IFERROR(__xludf.DUMMYFUNCTION("""COMPUTED_VALUE"""),295)</f>
        <v>295</v>
      </c>
      <c r="AA209" s="1">
        <f ca="1">IFERROR(__xludf.DUMMYFUNCTION("""COMPUTED_VALUE"""),1055)</f>
        <v>1055</v>
      </c>
      <c r="AB209" s="1">
        <f ca="1">IFERROR(__xludf.DUMMYFUNCTION("""COMPUTED_VALUE"""),466)</f>
        <v>466</v>
      </c>
      <c r="AC209" s="1">
        <f ca="1">IFERROR(__xludf.DUMMYFUNCTION("""COMPUTED_VALUE"""),218)</f>
        <v>218</v>
      </c>
      <c r="AD209" s="1">
        <f ca="1">IFERROR(__xludf.DUMMYFUNCTION("""COMPUTED_VALUE"""),84)</f>
        <v>84</v>
      </c>
      <c r="AE209" s="1">
        <f ca="1">IFERROR(__xludf.DUMMYFUNCTION("""COMPUTED_VALUE"""),391)</f>
        <v>391</v>
      </c>
      <c r="AF209" s="1">
        <f ca="1">IFERROR(__xludf.DUMMYFUNCTION("""COMPUTED_VALUE"""),634)</f>
        <v>634</v>
      </c>
    </row>
    <row r="210" spans="1:32" ht="12.5" x14ac:dyDescent="0.25">
      <c r="A210" s="1" t="str">
        <f ca="1">IFERROR(__xludf.DUMMYFUNCTION("""COMPUTED_VALUE"""),"Morehead State")</f>
        <v>Morehead State</v>
      </c>
      <c r="B210" s="1">
        <f ca="1">IFERROR(__xludf.DUMMYFUNCTION("""COMPUTED_VALUE"""),34)</f>
        <v>34</v>
      </c>
      <c r="C210" s="1">
        <f ca="1">IFERROR(__xludf.DUMMYFUNCTION("""COMPUTED_VALUE"""),17)</f>
        <v>17</v>
      </c>
      <c r="D210" s="1">
        <f ca="1">IFERROR(__xludf.DUMMYFUNCTION("""COMPUTED_VALUE"""),17)</f>
        <v>17</v>
      </c>
      <c r="E210" s="1">
        <f ca="1">IFERROR(__xludf.DUMMYFUNCTION("""COMPUTED_VALUE"""),0.5)</f>
        <v>0.5</v>
      </c>
      <c r="F210" s="1">
        <f ca="1">IFERROR(__xludf.DUMMYFUNCTION("""COMPUTED_VALUE"""),-0.66)</f>
        <v>-0.66</v>
      </c>
      <c r="G210" s="1">
        <f ca="1">IFERROR(__xludf.DUMMYFUNCTION("""COMPUTED_VALUE"""),-3.31)</f>
        <v>-3.31</v>
      </c>
      <c r="H210" s="1">
        <f ca="1">IFERROR(__xludf.DUMMYFUNCTION("""COMPUTED_VALUE"""),10)</f>
        <v>10</v>
      </c>
      <c r="I210" s="1">
        <f ca="1">IFERROR(__xludf.DUMMYFUNCTION("""COMPUTED_VALUE"""),6)</f>
        <v>6</v>
      </c>
      <c r="J210" s="1">
        <f ca="1">IFERROR(__xludf.DUMMYFUNCTION("""COMPUTED_VALUE"""),7)</f>
        <v>7</v>
      </c>
      <c r="K210" s="1">
        <f ca="1">IFERROR(__xludf.DUMMYFUNCTION("""COMPUTED_VALUE"""),6)</f>
        <v>6</v>
      </c>
      <c r="L210" s="1">
        <f ca="1">IFERROR(__xludf.DUMMYFUNCTION("""COMPUTED_VALUE"""),7)</f>
        <v>7</v>
      </c>
      <c r="M210" s="1">
        <f ca="1">IFERROR(__xludf.DUMMYFUNCTION("""COMPUTED_VALUE"""),9)</f>
        <v>9</v>
      </c>
      <c r="N210" s="1">
        <f ca="1">IFERROR(__xludf.DUMMYFUNCTION("""COMPUTED_VALUE"""),2420)</f>
        <v>2420</v>
      </c>
      <c r="O210" s="1">
        <f ca="1">IFERROR(__xludf.DUMMYFUNCTION("""COMPUTED_VALUE"""),2255)</f>
        <v>2255</v>
      </c>
      <c r="P210" s="1">
        <f ca="1">IFERROR(__xludf.DUMMYFUNCTION("""COMPUTED_VALUE"""),1370)</f>
        <v>1370</v>
      </c>
      <c r="Q210" s="1">
        <f ca="1">IFERROR(__xludf.DUMMYFUNCTION("""COMPUTED_VALUE"""),854)</f>
        <v>854</v>
      </c>
      <c r="R210" s="1">
        <f ca="1">IFERROR(__xludf.DUMMYFUNCTION("""COMPUTED_VALUE"""),1930)</f>
        <v>1930</v>
      </c>
      <c r="S210" s="1">
        <f ca="1">IFERROR(__xludf.DUMMYFUNCTION("""COMPUTED_VALUE"""),0.442)</f>
        <v>0.442</v>
      </c>
      <c r="T210" s="1">
        <f ca="1">IFERROR(__xludf.DUMMYFUNCTION("""COMPUTED_VALUE"""),220)</f>
        <v>220</v>
      </c>
      <c r="U210" s="1">
        <f ca="1">IFERROR(__xludf.DUMMYFUNCTION("""COMPUTED_VALUE"""),639)</f>
        <v>639</v>
      </c>
      <c r="V210" s="1">
        <f ca="1">IFERROR(__xludf.DUMMYFUNCTION("""COMPUTED_VALUE"""),0.344)</f>
        <v>0.34399999999999997</v>
      </c>
      <c r="W210" s="1">
        <f ca="1">IFERROR(__xludf.DUMMYFUNCTION("""COMPUTED_VALUE"""),490)</f>
        <v>490</v>
      </c>
      <c r="X210" s="1">
        <f ca="1">IFERROR(__xludf.DUMMYFUNCTION("""COMPUTED_VALUE"""),684)</f>
        <v>684</v>
      </c>
      <c r="Y210" s="1">
        <f ca="1">IFERROR(__xludf.DUMMYFUNCTION("""COMPUTED_VALUE"""),0.716)</f>
        <v>0.71599999999999997</v>
      </c>
      <c r="Z210" s="1">
        <f ca="1">IFERROR(__xludf.DUMMYFUNCTION("""COMPUTED_VALUE"""),422)</f>
        <v>422</v>
      </c>
      <c r="AA210" s="1">
        <f ca="1">IFERROR(__xludf.DUMMYFUNCTION("""COMPUTED_VALUE"""),1205)</f>
        <v>1205</v>
      </c>
      <c r="AB210" s="1">
        <f ca="1">IFERROR(__xludf.DUMMYFUNCTION("""COMPUTED_VALUE"""),495)</f>
        <v>495</v>
      </c>
      <c r="AC210" s="1">
        <f ca="1">IFERROR(__xludf.DUMMYFUNCTION("""COMPUTED_VALUE"""),278)</f>
        <v>278</v>
      </c>
      <c r="AD210" s="1">
        <f ca="1">IFERROR(__xludf.DUMMYFUNCTION("""COMPUTED_VALUE"""),110)</f>
        <v>110</v>
      </c>
      <c r="AE210" s="1">
        <f ca="1">IFERROR(__xludf.DUMMYFUNCTION("""COMPUTED_VALUE"""),462)</f>
        <v>462</v>
      </c>
      <c r="AF210" s="1">
        <f ca="1">IFERROR(__xludf.DUMMYFUNCTION("""COMPUTED_VALUE"""),782)</f>
        <v>782</v>
      </c>
    </row>
    <row r="211" spans="1:32" ht="12.5" x14ac:dyDescent="0.25">
      <c r="A211" s="1" t="str">
        <f ca="1">IFERROR(__xludf.DUMMYFUNCTION("""COMPUTED_VALUE"""),"Morgan State")</f>
        <v>Morgan State</v>
      </c>
      <c r="B211" s="1">
        <f ca="1">IFERROR(__xludf.DUMMYFUNCTION("""COMPUTED_VALUE"""),31)</f>
        <v>31</v>
      </c>
      <c r="C211" s="1">
        <f ca="1">IFERROR(__xludf.DUMMYFUNCTION("""COMPUTED_VALUE"""),7)</f>
        <v>7</v>
      </c>
      <c r="D211" s="1">
        <f ca="1">IFERROR(__xludf.DUMMYFUNCTION("""COMPUTED_VALUE"""),24)</f>
        <v>24</v>
      </c>
      <c r="E211" s="1">
        <f ca="1">IFERROR(__xludf.DUMMYFUNCTION("""COMPUTED_VALUE"""),0.226)</f>
        <v>0.22600000000000001</v>
      </c>
      <c r="F211" s="1">
        <f ca="1">IFERROR(__xludf.DUMMYFUNCTION("""COMPUTED_VALUE"""),-16.19)</f>
        <v>-16.190000000000001</v>
      </c>
      <c r="G211" s="1">
        <f ca="1">IFERROR(__xludf.DUMMYFUNCTION("""COMPUTED_VALUE"""),-6.48)</f>
        <v>-6.48</v>
      </c>
      <c r="H211" s="1">
        <f ca="1">IFERROR(__xludf.DUMMYFUNCTION("""COMPUTED_VALUE"""),5)</f>
        <v>5</v>
      </c>
      <c r="I211" s="1">
        <f ca="1">IFERROR(__xludf.DUMMYFUNCTION("""COMPUTED_VALUE"""),11)</f>
        <v>11</v>
      </c>
      <c r="J211" s="1">
        <f ca="1">IFERROR(__xludf.DUMMYFUNCTION("""COMPUTED_VALUE"""),5)</f>
        <v>5</v>
      </c>
      <c r="K211" s="1">
        <f ca="1">IFERROR(__xludf.DUMMYFUNCTION("""COMPUTED_VALUE"""),5)</f>
        <v>5</v>
      </c>
      <c r="L211" s="1">
        <f ca="1">IFERROR(__xludf.DUMMYFUNCTION("""COMPUTED_VALUE"""),1)</f>
        <v>1</v>
      </c>
      <c r="M211" s="1">
        <f ca="1">IFERROR(__xludf.DUMMYFUNCTION("""COMPUTED_VALUE"""),17)</f>
        <v>17</v>
      </c>
      <c r="N211" s="1">
        <f ca="1">IFERROR(__xludf.DUMMYFUNCTION("""COMPUTED_VALUE"""),1898)</f>
        <v>1898</v>
      </c>
      <c r="O211" s="1">
        <f ca="1">IFERROR(__xludf.DUMMYFUNCTION("""COMPUTED_VALUE"""),2199)</f>
        <v>2199</v>
      </c>
      <c r="P211" s="1">
        <f ca="1">IFERROR(__xludf.DUMMYFUNCTION("""COMPUTED_VALUE"""),1245)</f>
        <v>1245</v>
      </c>
      <c r="Q211" s="1">
        <f ca="1">IFERROR(__xludf.DUMMYFUNCTION("""COMPUTED_VALUE"""),673)</f>
        <v>673</v>
      </c>
      <c r="R211" s="1">
        <f ca="1">IFERROR(__xludf.DUMMYFUNCTION("""COMPUTED_VALUE"""),1877)</f>
        <v>1877</v>
      </c>
      <c r="S211" s="1">
        <f ca="1">IFERROR(__xludf.DUMMYFUNCTION("""COMPUTED_VALUE"""),0.359)</f>
        <v>0.35899999999999999</v>
      </c>
      <c r="T211" s="1">
        <f ca="1">IFERROR(__xludf.DUMMYFUNCTION("""COMPUTED_VALUE"""),163)</f>
        <v>163</v>
      </c>
      <c r="U211" s="1">
        <f ca="1">IFERROR(__xludf.DUMMYFUNCTION("""COMPUTED_VALUE"""),574)</f>
        <v>574</v>
      </c>
      <c r="V211" s="1">
        <f ca="1">IFERROR(__xludf.DUMMYFUNCTION("""COMPUTED_VALUE"""),0.284)</f>
        <v>0.28399999999999997</v>
      </c>
      <c r="W211" s="1">
        <f ca="1">IFERROR(__xludf.DUMMYFUNCTION("""COMPUTED_VALUE"""),389)</f>
        <v>389</v>
      </c>
      <c r="X211" s="1">
        <f ca="1">IFERROR(__xludf.DUMMYFUNCTION("""COMPUTED_VALUE"""),622)</f>
        <v>622</v>
      </c>
      <c r="Y211" s="1">
        <f ca="1">IFERROR(__xludf.DUMMYFUNCTION("""COMPUTED_VALUE"""),0.625)</f>
        <v>0.625</v>
      </c>
      <c r="Z211" s="1">
        <f ca="1">IFERROR(__xludf.DUMMYFUNCTION("""COMPUTED_VALUE"""),468)</f>
        <v>468</v>
      </c>
      <c r="AA211" s="1">
        <f ca="1">IFERROR(__xludf.DUMMYFUNCTION("""COMPUTED_VALUE"""),1098)</f>
        <v>1098</v>
      </c>
      <c r="AB211" s="1">
        <f ca="1">IFERROR(__xludf.DUMMYFUNCTION("""COMPUTED_VALUE"""),313)</f>
        <v>313</v>
      </c>
      <c r="AC211" s="1">
        <f ca="1">IFERROR(__xludf.DUMMYFUNCTION("""COMPUTED_VALUE"""),175)</f>
        <v>175</v>
      </c>
      <c r="AD211" s="1">
        <f ca="1">IFERROR(__xludf.DUMMYFUNCTION("""COMPUTED_VALUE"""),89)</f>
        <v>89</v>
      </c>
      <c r="AE211" s="1">
        <f ca="1">IFERROR(__xludf.DUMMYFUNCTION("""COMPUTED_VALUE"""),332)</f>
        <v>332</v>
      </c>
      <c r="AF211" s="1">
        <f ca="1">IFERROR(__xludf.DUMMYFUNCTION("""COMPUTED_VALUE"""),580)</f>
        <v>580</v>
      </c>
    </row>
    <row r="212" spans="1:32" ht="12.5" x14ac:dyDescent="0.25">
      <c r="A212" s="1" t="str">
        <f ca="1">IFERROR(__xludf.DUMMYFUNCTION("""COMPUTED_VALUE"""),"Mount St. Mary's")</f>
        <v>Mount St. Mary's</v>
      </c>
      <c r="B212" s="1">
        <f ca="1">IFERROR(__xludf.DUMMYFUNCTION("""COMPUTED_VALUE"""),30)</f>
        <v>30</v>
      </c>
      <c r="C212" s="1">
        <f ca="1">IFERROR(__xludf.DUMMYFUNCTION("""COMPUTED_VALUE"""),15)</f>
        <v>15</v>
      </c>
      <c r="D212" s="1">
        <f ca="1">IFERROR(__xludf.DUMMYFUNCTION("""COMPUTED_VALUE"""),15)</f>
        <v>15</v>
      </c>
      <c r="E212" s="1">
        <f ca="1">IFERROR(__xludf.DUMMYFUNCTION("""COMPUTED_VALUE"""),0.5)</f>
        <v>0.5</v>
      </c>
      <c r="F212" s="1">
        <f ca="1">IFERROR(__xludf.DUMMYFUNCTION("""COMPUTED_VALUE"""),-6.14)</f>
        <v>-6.14</v>
      </c>
      <c r="G212" s="1">
        <f ca="1">IFERROR(__xludf.DUMMYFUNCTION("""COMPUTED_VALUE"""),-4.4)</f>
        <v>-4.4000000000000004</v>
      </c>
      <c r="H212" s="1">
        <f ca="1">IFERROR(__xludf.DUMMYFUNCTION("""COMPUTED_VALUE"""),11)</f>
        <v>11</v>
      </c>
      <c r="I212" s="1">
        <f ca="1">IFERROR(__xludf.DUMMYFUNCTION("""COMPUTED_VALUE"""),7)</f>
        <v>7</v>
      </c>
      <c r="J212" s="1">
        <f ca="1">IFERROR(__xludf.DUMMYFUNCTION("""COMPUTED_VALUE"""),9)</f>
        <v>9</v>
      </c>
      <c r="K212" s="1">
        <f ca="1">IFERROR(__xludf.DUMMYFUNCTION("""COMPUTED_VALUE"""),4)</f>
        <v>4</v>
      </c>
      <c r="L212" s="1">
        <f ca="1">IFERROR(__xludf.DUMMYFUNCTION("""COMPUTED_VALUE"""),5)</f>
        <v>5</v>
      </c>
      <c r="M212" s="1">
        <f ca="1">IFERROR(__xludf.DUMMYFUNCTION("""COMPUTED_VALUE"""),11)</f>
        <v>11</v>
      </c>
      <c r="N212" s="1">
        <f ca="1">IFERROR(__xludf.DUMMYFUNCTION("""COMPUTED_VALUE"""),1893)</f>
        <v>1893</v>
      </c>
      <c r="O212" s="1">
        <f ca="1">IFERROR(__xludf.DUMMYFUNCTION("""COMPUTED_VALUE"""),1945)</f>
        <v>1945</v>
      </c>
      <c r="P212" s="1">
        <f ca="1">IFERROR(__xludf.DUMMYFUNCTION("""COMPUTED_VALUE"""),1225)</f>
        <v>1225</v>
      </c>
      <c r="Q212" s="1">
        <f ca="1">IFERROR(__xludf.DUMMYFUNCTION("""COMPUTED_VALUE"""),662)</f>
        <v>662</v>
      </c>
      <c r="R212" s="1">
        <f ca="1">IFERROR(__xludf.DUMMYFUNCTION("""COMPUTED_VALUE"""),1645)</f>
        <v>1645</v>
      </c>
      <c r="S212" s="1">
        <f ca="1">IFERROR(__xludf.DUMMYFUNCTION("""COMPUTED_VALUE"""),0.402)</f>
        <v>0.40200000000000002</v>
      </c>
      <c r="T212" s="1">
        <f ca="1">IFERROR(__xludf.DUMMYFUNCTION("""COMPUTED_VALUE"""),228)</f>
        <v>228</v>
      </c>
      <c r="U212" s="1">
        <f ca="1">IFERROR(__xludf.DUMMYFUNCTION("""COMPUTED_VALUE"""),691)</f>
        <v>691</v>
      </c>
      <c r="V212" s="1">
        <f ca="1">IFERROR(__xludf.DUMMYFUNCTION("""COMPUTED_VALUE"""),0.33)</f>
        <v>0.33</v>
      </c>
      <c r="W212" s="1">
        <f ca="1">IFERROR(__xludf.DUMMYFUNCTION("""COMPUTED_VALUE"""),341)</f>
        <v>341</v>
      </c>
      <c r="X212" s="1">
        <f ca="1">IFERROR(__xludf.DUMMYFUNCTION("""COMPUTED_VALUE"""),500)</f>
        <v>500</v>
      </c>
      <c r="Y212" s="1">
        <f ca="1">IFERROR(__xludf.DUMMYFUNCTION("""COMPUTED_VALUE"""),0.682)</f>
        <v>0.68200000000000005</v>
      </c>
      <c r="Z212" s="1">
        <f ca="1">IFERROR(__xludf.DUMMYFUNCTION("""COMPUTED_VALUE"""),325)</f>
        <v>325</v>
      </c>
      <c r="AA212" s="1">
        <f ca="1">IFERROR(__xludf.DUMMYFUNCTION("""COMPUTED_VALUE"""),979)</f>
        <v>979</v>
      </c>
      <c r="AB212" s="1">
        <f ca="1">IFERROR(__xludf.DUMMYFUNCTION("""COMPUTED_VALUE"""),342)</f>
        <v>342</v>
      </c>
      <c r="AC212" s="1">
        <f ca="1">IFERROR(__xludf.DUMMYFUNCTION("""COMPUTED_VALUE"""),202)</f>
        <v>202</v>
      </c>
      <c r="AD212" s="1">
        <f ca="1">IFERROR(__xludf.DUMMYFUNCTION("""COMPUTED_VALUE"""),112)</f>
        <v>112</v>
      </c>
      <c r="AE212" s="1">
        <f ca="1">IFERROR(__xludf.DUMMYFUNCTION("""COMPUTED_VALUE"""),367)</f>
        <v>367</v>
      </c>
      <c r="AF212" s="1">
        <f ca="1">IFERROR(__xludf.DUMMYFUNCTION("""COMPUTED_VALUE"""),549)</f>
        <v>549</v>
      </c>
    </row>
    <row r="213" spans="1:32" ht="12.5" x14ac:dyDescent="0.25">
      <c r="A213" s="1" t="str">
        <f ca="1">IFERROR(__xludf.DUMMYFUNCTION("""COMPUTED_VALUE"""),"Murray State")</f>
        <v>Murray State</v>
      </c>
      <c r="B213" s="1">
        <f ca="1">IFERROR(__xludf.DUMMYFUNCTION("""COMPUTED_VALUE"""),35)</f>
        <v>35</v>
      </c>
      <c r="C213" s="1">
        <f ca="1">IFERROR(__xludf.DUMMYFUNCTION("""COMPUTED_VALUE"""),29)</f>
        <v>29</v>
      </c>
      <c r="D213" s="1">
        <f ca="1">IFERROR(__xludf.DUMMYFUNCTION("""COMPUTED_VALUE"""),6)</f>
        <v>6</v>
      </c>
      <c r="E213" s="1">
        <f ca="1">IFERROR(__xludf.DUMMYFUNCTION("""COMPUTED_VALUE"""),0.829)</f>
        <v>0.82899999999999996</v>
      </c>
      <c r="F213" s="1">
        <f ca="1">IFERROR(__xludf.DUMMYFUNCTION("""COMPUTED_VALUE"""),7.13)</f>
        <v>7.13</v>
      </c>
      <c r="G213" s="1">
        <f ca="1">IFERROR(__xludf.DUMMYFUNCTION("""COMPUTED_VALUE"""),-2.81)</f>
        <v>-2.81</v>
      </c>
      <c r="H213" s="1">
        <f ca="1">IFERROR(__xludf.DUMMYFUNCTION("""COMPUTED_VALUE"""),16)</f>
        <v>16</v>
      </c>
      <c r="I213" s="1">
        <f ca="1">IFERROR(__xludf.DUMMYFUNCTION("""COMPUTED_VALUE"""),0)</f>
        <v>0</v>
      </c>
      <c r="J213" s="1">
        <f ca="1">IFERROR(__xludf.DUMMYFUNCTION("""COMPUTED_VALUE"""),15)</f>
        <v>15</v>
      </c>
      <c r="K213" s="1">
        <f ca="1">IFERROR(__xludf.DUMMYFUNCTION("""COMPUTED_VALUE"""),1)</f>
        <v>1</v>
      </c>
      <c r="L213" s="1">
        <f ca="1">IFERROR(__xludf.DUMMYFUNCTION("""COMPUTED_VALUE"""),12)</f>
        <v>12</v>
      </c>
      <c r="M213" s="1">
        <f ca="1">IFERROR(__xludf.DUMMYFUNCTION("""COMPUTED_VALUE"""),2)</f>
        <v>2</v>
      </c>
      <c r="N213" s="1">
        <f ca="1">IFERROR(__xludf.DUMMYFUNCTION("""COMPUTED_VALUE"""),2764)</f>
        <v>2764</v>
      </c>
      <c r="O213" s="1">
        <f ca="1">IFERROR(__xludf.DUMMYFUNCTION("""COMPUTED_VALUE"""),2367)</f>
        <v>2367</v>
      </c>
      <c r="P213" s="1">
        <f ca="1">IFERROR(__xludf.DUMMYFUNCTION("""COMPUTED_VALUE"""),1410)</f>
        <v>1410</v>
      </c>
      <c r="Q213" s="1">
        <f ca="1">IFERROR(__xludf.DUMMYFUNCTION("""COMPUTED_VALUE"""),961)</f>
        <v>961</v>
      </c>
      <c r="R213" s="1">
        <f ca="1">IFERROR(__xludf.DUMMYFUNCTION("""COMPUTED_VALUE"""),1995)</f>
        <v>1995</v>
      </c>
      <c r="S213" s="1">
        <f ca="1">IFERROR(__xludf.DUMMYFUNCTION("""COMPUTED_VALUE"""),0.482)</f>
        <v>0.48199999999999998</v>
      </c>
      <c r="T213" s="1">
        <f ca="1">IFERROR(__xludf.DUMMYFUNCTION("""COMPUTED_VALUE"""),263)</f>
        <v>263</v>
      </c>
      <c r="U213" s="1">
        <f ca="1">IFERROR(__xludf.DUMMYFUNCTION("""COMPUTED_VALUE"""),679)</f>
        <v>679</v>
      </c>
      <c r="V213" s="1">
        <f ca="1">IFERROR(__xludf.DUMMYFUNCTION("""COMPUTED_VALUE"""),0.387)</f>
        <v>0.38700000000000001</v>
      </c>
      <c r="W213" s="1">
        <f ca="1">IFERROR(__xludf.DUMMYFUNCTION("""COMPUTED_VALUE"""),579)</f>
        <v>579</v>
      </c>
      <c r="X213" s="1">
        <f ca="1">IFERROR(__xludf.DUMMYFUNCTION("""COMPUTED_VALUE"""),831)</f>
        <v>831</v>
      </c>
      <c r="Y213" s="1">
        <f ca="1">IFERROR(__xludf.DUMMYFUNCTION("""COMPUTED_VALUE"""),0.697)</f>
        <v>0.69699999999999995</v>
      </c>
      <c r="Z213" s="1">
        <f ca="1">IFERROR(__xludf.DUMMYFUNCTION("""COMPUTED_VALUE"""),422)</f>
        <v>422</v>
      </c>
      <c r="AA213" s="1">
        <f ca="1">IFERROR(__xludf.DUMMYFUNCTION("""COMPUTED_VALUE"""),1292)</f>
        <v>1292</v>
      </c>
      <c r="AB213" s="1">
        <f ca="1">IFERROR(__xludf.DUMMYFUNCTION("""COMPUTED_VALUE"""),543)</f>
        <v>543</v>
      </c>
      <c r="AC213" s="1">
        <f ca="1">IFERROR(__xludf.DUMMYFUNCTION("""COMPUTED_VALUE"""),253)</f>
        <v>253</v>
      </c>
      <c r="AD213" s="1">
        <f ca="1">IFERROR(__xludf.DUMMYFUNCTION("""COMPUTED_VALUE"""),113)</f>
        <v>113</v>
      </c>
      <c r="AE213" s="1">
        <f ca="1">IFERROR(__xludf.DUMMYFUNCTION("""COMPUTED_VALUE"""),411)</f>
        <v>411</v>
      </c>
      <c r="AF213" s="1">
        <f ca="1">IFERROR(__xludf.DUMMYFUNCTION("""COMPUTED_VALUE"""),649)</f>
        <v>649</v>
      </c>
    </row>
    <row r="214" spans="1:32" ht="12.5" x14ac:dyDescent="0.25">
      <c r="A214" s="1" t="str">
        <f ca="1">IFERROR(__xludf.DUMMYFUNCTION("""COMPUTED_VALUE"""),"Navy")</f>
        <v>Navy</v>
      </c>
      <c r="B214" s="1">
        <f ca="1">IFERROR(__xludf.DUMMYFUNCTION("""COMPUTED_VALUE"""),32)</f>
        <v>32</v>
      </c>
      <c r="C214" s="1">
        <f ca="1">IFERROR(__xludf.DUMMYFUNCTION("""COMPUTED_VALUE"""),13)</f>
        <v>13</v>
      </c>
      <c r="D214" s="1">
        <f ca="1">IFERROR(__xludf.DUMMYFUNCTION("""COMPUTED_VALUE"""),19)</f>
        <v>19</v>
      </c>
      <c r="E214" s="1">
        <f ca="1">IFERROR(__xludf.DUMMYFUNCTION("""COMPUTED_VALUE"""),0.406)</f>
        <v>0.40600000000000003</v>
      </c>
      <c r="F214" s="1">
        <f ca="1">IFERROR(__xludf.DUMMYFUNCTION("""COMPUTED_VALUE"""),-7.87)</f>
        <v>-7.87</v>
      </c>
      <c r="G214" s="1">
        <f ca="1">IFERROR(__xludf.DUMMYFUNCTION("""COMPUTED_VALUE"""),-3.61)</f>
        <v>-3.61</v>
      </c>
      <c r="H214" s="1">
        <f ca="1">IFERROR(__xludf.DUMMYFUNCTION("""COMPUTED_VALUE"""),8)</f>
        <v>8</v>
      </c>
      <c r="I214" s="1">
        <f ca="1">IFERROR(__xludf.DUMMYFUNCTION("""COMPUTED_VALUE"""),10)</f>
        <v>10</v>
      </c>
      <c r="J214" s="1">
        <f ca="1">IFERROR(__xludf.DUMMYFUNCTION("""COMPUTED_VALUE"""),8)</f>
        <v>8</v>
      </c>
      <c r="K214" s="1">
        <f ca="1">IFERROR(__xludf.DUMMYFUNCTION("""COMPUTED_VALUE"""),8)</f>
        <v>8</v>
      </c>
      <c r="L214" s="1">
        <f ca="1">IFERROR(__xludf.DUMMYFUNCTION("""COMPUTED_VALUE"""),4)</f>
        <v>4</v>
      </c>
      <c r="M214" s="1">
        <f ca="1">IFERROR(__xludf.DUMMYFUNCTION("""COMPUTED_VALUE"""),10)</f>
        <v>10</v>
      </c>
      <c r="N214" s="1">
        <f ca="1">IFERROR(__xludf.DUMMYFUNCTION("""COMPUTED_VALUE"""),1952)</f>
        <v>1952</v>
      </c>
      <c r="O214" s="1">
        <f ca="1">IFERROR(__xludf.DUMMYFUNCTION("""COMPUTED_VALUE"""),2059)</f>
        <v>2059</v>
      </c>
      <c r="P214" s="1">
        <f ca="1">IFERROR(__xludf.DUMMYFUNCTION("""COMPUTED_VALUE"""),1280)</f>
        <v>1280</v>
      </c>
      <c r="Q214" s="1">
        <f ca="1">IFERROR(__xludf.DUMMYFUNCTION("""COMPUTED_VALUE"""),719)</f>
        <v>719</v>
      </c>
      <c r="R214" s="1">
        <f ca="1">IFERROR(__xludf.DUMMYFUNCTION("""COMPUTED_VALUE"""),1637)</f>
        <v>1637</v>
      </c>
      <c r="S214" s="1">
        <f ca="1">IFERROR(__xludf.DUMMYFUNCTION("""COMPUTED_VALUE"""),0.439)</f>
        <v>0.439</v>
      </c>
      <c r="T214" s="1">
        <f ca="1">IFERROR(__xludf.DUMMYFUNCTION("""COMPUTED_VALUE"""),170)</f>
        <v>170</v>
      </c>
      <c r="U214" s="1">
        <f ca="1">IFERROR(__xludf.DUMMYFUNCTION("""COMPUTED_VALUE"""),518)</f>
        <v>518</v>
      </c>
      <c r="V214" s="1">
        <f ca="1">IFERROR(__xludf.DUMMYFUNCTION("""COMPUTED_VALUE"""),0.328)</f>
        <v>0.32800000000000001</v>
      </c>
      <c r="W214" s="1">
        <f ca="1">IFERROR(__xludf.DUMMYFUNCTION("""COMPUTED_VALUE"""),344)</f>
        <v>344</v>
      </c>
      <c r="X214" s="1">
        <f ca="1">IFERROR(__xludf.DUMMYFUNCTION("""COMPUTED_VALUE"""),513)</f>
        <v>513</v>
      </c>
      <c r="Y214" s="1">
        <f ca="1">IFERROR(__xludf.DUMMYFUNCTION("""COMPUTED_VALUE"""),0.671)</f>
        <v>0.67100000000000004</v>
      </c>
      <c r="Z214" s="1">
        <f ca="1">IFERROR(__xludf.DUMMYFUNCTION("""COMPUTED_VALUE"""),301)</f>
        <v>301</v>
      </c>
      <c r="AA214" s="1">
        <f ca="1">IFERROR(__xludf.DUMMYFUNCTION("""COMPUTED_VALUE"""),982)</f>
        <v>982</v>
      </c>
      <c r="AB214" s="1">
        <f ca="1">IFERROR(__xludf.DUMMYFUNCTION("""COMPUTED_VALUE"""),423)</f>
        <v>423</v>
      </c>
      <c r="AC214" s="1">
        <f ca="1">IFERROR(__xludf.DUMMYFUNCTION("""COMPUTED_VALUE"""),188)</f>
        <v>188</v>
      </c>
      <c r="AD214" s="1">
        <f ca="1">IFERROR(__xludf.DUMMYFUNCTION("""COMPUTED_VALUE"""),107)</f>
        <v>107</v>
      </c>
      <c r="AE214" s="1">
        <f ca="1">IFERROR(__xludf.DUMMYFUNCTION("""COMPUTED_VALUE"""),391)</f>
        <v>391</v>
      </c>
      <c r="AF214" s="1">
        <f ca="1">IFERROR(__xludf.DUMMYFUNCTION("""COMPUTED_VALUE"""),554)</f>
        <v>554</v>
      </c>
    </row>
    <row r="215" spans="1:32" ht="12.5" x14ac:dyDescent="0.25">
      <c r="A215" s="1" t="str">
        <f ca="1">IFERROR(__xludf.DUMMYFUNCTION("""COMPUTED_VALUE"""),"Omaha")</f>
        <v>Omaha</v>
      </c>
      <c r="B215" s="1">
        <f ca="1">IFERROR(__xludf.DUMMYFUNCTION("""COMPUTED_VALUE"""),29)</f>
        <v>29</v>
      </c>
      <c r="C215" s="1">
        <f ca="1">IFERROR(__xludf.DUMMYFUNCTION("""COMPUTED_VALUE"""),12)</f>
        <v>12</v>
      </c>
      <c r="D215" s="1">
        <f ca="1">IFERROR(__xludf.DUMMYFUNCTION("""COMPUTED_VALUE"""),17)</f>
        <v>17</v>
      </c>
      <c r="E215" s="1">
        <f ca="1">IFERROR(__xludf.DUMMYFUNCTION("""COMPUTED_VALUE"""),0.414)</f>
        <v>0.41399999999999998</v>
      </c>
      <c r="F215" s="1">
        <f ca="1">IFERROR(__xludf.DUMMYFUNCTION("""COMPUTED_VALUE"""),-7.18)</f>
        <v>-7.18</v>
      </c>
      <c r="G215" s="1">
        <f ca="1">IFERROR(__xludf.DUMMYFUNCTION("""COMPUTED_VALUE"""),-5.14)</f>
        <v>-5.14</v>
      </c>
      <c r="H215" s="1">
        <f ca="1">IFERROR(__xludf.DUMMYFUNCTION("""COMPUTED_VALUE"""),5)</f>
        <v>5</v>
      </c>
      <c r="I215" s="1">
        <f ca="1">IFERROR(__xludf.DUMMYFUNCTION("""COMPUTED_VALUE"""),11)</f>
        <v>11</v>
      </c>
      <c r="J215" s="1">
        <f ca="1">IFERROR(__xludf.DUMMYFUNCTION("""COMPUTED_VALUE"""),7)</f>
        <v>7</v>
      </c>
      <c r="K215" s="1">
        <f ca="1">IFERROR(__xludf.DUMMYFUNCTION("""COMPUTED_VALUE"""),6)</f>
        <v>6</v>
      </c>
      <c r="L215" s="1">
        <f ca="1">IFERROR(__xludf.DUMMYFUNCTION("""COMPUTED_VALUE"""),5)</f>
        <v>5</v>
      </c>
      <c r="M215" s="1">
        <f ca="1">IFERROR(__xludf.DUMMYFUNCTION("""COMPUTED_VALUE"""),11)</f>
        <v>11</v>
      </c>
      <c r="N215" s="1">
        <f ca="1">IFERROR(__xludf.DUMMYFUNCTION("""COMPUTED_VALUE"""),2226)</f>
        <v>2226</v>
      </c>
      <c r="O215" s="1">
        <f ca="1">IFERROR(__xludf.DUMMYFUNCTION("""COMPUTED_VALUE"""),2256)</f>
        <v>2256</v>
      </c>
      <c r="P215" s="1">
        <f ca="1">IFERROR(__xludf.DUMMYFUNCTION("""COMPUTED_VALUE"""),1170)</f>
        <v>1170</v>
      </c>
      <c r="Q215" s="1">
        <f ca="1">IFERROR(__xludf.DUMMYFUNCTION("""COMPUTED_VALUE"""),767)</f>
        <v>767</v>
      </c>
      <c r="R215" s="1">
        <f ca="1">IFERROR(__xludf.DUMMYFUNCTION("""COMPUTED_VALUE"""),1724)</f>
        <v>1724</v>
      </c>
      <c r="S215" s="1">
        <f ca="1">IFERROR(__xludf.DUMMYFUNCTION("""COMPUTED_VALUE"""),0.445)</f>
        <v>0.44500000000000001</v>
      </c>
      <c r="T215" s="1">
        <f ca="1">IFERROR(__xludf.DUMMYFUNCTION("""COMPUTED_VALUE"""),179)</f>
        <v>179</v>
      </c>
      <c r="U215" s="1">
        <f ca="1">IFERROR(__xludf.DUMMYFUNCTION("""COMPUTED_VALUE"""),539)</f>
        <v>539</v>
      </c>
      <c r="V215" s="1">
        <f ca="1">IFERROR(__xludf.DUMMYFUNCTION("""COMPUTED_VALUE"""),0.332)</f>
        <v>0.33200000000000002</v>
      </c>
      <c r="W215" s="1">
        <f ca="1">IFERROR(__xludf.DUMMYFUNCTION("""COMPUTED_VALUE"""),513)</f>
        <v>513</v>
      </c>
      <c r="X215" s="1">
        <f ca="1">IFERROR(__xludf.DUMMYFUNCTION("""COMPUTED_VALUE"""),737)</f>
        <v>737</v>
      </c>
      <c r="Y215" s="1">
        <f ca="1">IFERROR(__xludf.DUMMYFUNCTION("""COMPUTED_VALUE"""),0.696)</f>
        <v>0.69599999999999995</v>
      </c>
      <c r="Z215" s="1">
        <f ca="1">IFERROR(__xludf.DUMMYFUNCTION("""COMPUTED_VALUE"""),321)</f>
        <v>321</v>
      </c>
      <c r="AA215" s="1">
        <f ca="1">IFERROR(__xludf.DUMMYFUNCTION("""COMPUTED_VALUE"""),1009)</f>
        <v>1009</v>
      </c>
      <c r="AB215" s="1">
        <f ca="1">IFERROR(__xludf.DUMMYFUNCTION("""COMPUTED_VALUE"""),350)</f>
        <v>350</v>
      </c>
      <c r="AC215" s="1">
        <f ca="1">IFERROR(__xludf.DUMMYFUNCTION("""COMPUTED_VALUE"""),237)</f>
        <v>237</v>
      </c>
      <c r="AD215" s="1">
        <f ca="1">IFERROR(__xludf.DUMMYFUNCTION("""COMPUTED_VALUE"""),92)</f>
        <v>92</v>
      </c>
      <c r="AE215" s="1">
        <f ca="1">IFERROR(__xludf.DUMMYFUNCTION("""COMPUTED_VALUE"""),391)</f>
        <v>391</v>
      </c>
      <c r="AF215" s="1">
        <f ca="1">IFERROR(__xludf.DUMMYFUNCTION("""COMPUTED_VALUE"""),590)</f>
        <v>590</v>
      </c>
    </row>
    <row r="216" spans="1:32" ht="12.5" x14ac:dyDescent="0.25">
      <c r="A216" s="1" t="str">
        <f ca="1">IFERROR(__xludf.DUMMYFUNCTION("""COMPUTED_VALUE"""),"Nebraska")</f>
        <v>Nebraska</v>
      </c>
      <c r="B216" s="1">
        <f ca="1">IFERROR(__xludf.DUMMYFUNCTION("""COMPUTED_VALUE"""),31)</f>
        <v>31</v>
      </c>
      <c r="C216" s="1">
        <f ca="1">IFERROR(__xludf.DUMMYFUNCTION("""COMPUTED_VALUE"""),13)</f>
        <v>13</v>
      </c>
      <c r="D216" s="1">
        <f ca="1">IFERROR(__xludf.DUMMYFUNCTION("""COMPUTED_VALUE"""),18)</f>
        <v>18</v>
      </c>
      <c r="E216" s="1">
        <f ca="1">IFERROR(__xludf.DUMMYFUNCTION("""COMPUTED_VALUE"""),0.419)</f>
        <v>0.41899999999999998</v>
      </c>
      <c r="F216" s="1">
        <f ca="1">IFERROR(__xludf.DUMMYFUNCTION("""COMPUTED_VALUE"""),5.9)</f>
        <v>5.9</v>
      </c>
      <c r="G216" s="1">
        <f ca="1">IFERROR(__xludf.DUMMYFUNCTION("""COMPUTED_VALUE"""),7.58)</f>
        <v>7.58</v>
      </c>
      <c r="H216" s="1">
        <f ca="1">IFERROR(__xludf.DUMMYFUNCTION("""COMPUTED_VALUE"""),5)</f>
        <v>5</v>
      </c>
      <c r="I216" s="1">
        <f ca="1">IFERROR(__xludf.DUMMYFUNCTION("""COMPUTED_VALUE"""),13)</f>
        <v>13</v>
      </c>
      <c r="J216" s="1">
        <f ca="1">IFERROR(__xludf.DUMMYFUNCTION("""COMPUTED_VALUE"""),10)</f>
        <v>10</v>
      </c>
      <c r="K216" s="1">
        <f ca="1">IFERROR(__xludf.DUMMYFUNCTION("""COMPUTED_VALUE"""),6)</f>
        <v>6</v>
      </c>
      <c r="L216" s="1">
        <f ca="1">IFERROR(__xludf.DUMMYFUNCTION("""COMPUTED_VALUE"""),1)</f>
        <v>1</v>
      </c>
      <c r="M216" s="1">
        <f ca="1">IFERROR(__xludf.DUMMYFUNCTION("""COMPUTED_VALUE"""),11)</f>
        <v>11</v>
      </c>
      <c r="N216" s="1">
        <f ca="1">IFERROR(__xludf.DUMMYFUNCTION("""COMPUTED_VALUE"""),1905)</f>
        <v>1905</v>
      </c>
      <c r="O216" s="1">
        <f ca="1">IFERROR(__xludf.DUMMYFUNCTION("""COMPUTED_VALUE"""),1957)</f>
        <v>1957</v>
      </c>
      <c r="P216" s="1">
        <f ca="1">IFERROR(__xludf.DUMMYFUNCTION("""COMPUTED_VALUE"""),1260)</f>
        <v>1260</v>
      </c>
      <c r="Q216" s="1">
        <f ca="1">IFERROR(__xludf.DUMMYFUNCTION("""COMPUTED_VALUE"""),664)</f>
        <v>664</v>
      </c>
      <c r="R216" s="1">
        <f ca="1">IFERROR(__xludf.DUMMYFUNCTION("""COMPUTED_VALUE"""),1613)</f>
        <v>1613</v>
      </c>
      <c r="S216" s="1">
        <f ca="1">IFERROR(__xludf.DUMMYFUNCTION("""COMPUTED_VALUE"""),0.412)</f>
        <v>0.41199999999999998</v>
      </c>
      <c r="T216" s="1">
        <f ca="1">IFERROR(__xludf.DUMMYFUNCTION("""COMPUTED_VALUE"""),161)</f>
        <v>161</v>
      </c>
      <c r="U216" s="1">
        <f ca="1">IFERROR(__xludf.DUMMYFUNCTION("""COMPUTED_VALUE"""),566)</f>
        <v>566</v>
      </c>
      <c r="V216" s="1">
        <f ca="1">IFERROR(__xludf.DUMMYFUNCTION("""COMPUTED_VALUE"""),0.284)</f>
        <v>0.28399999999999997</v>
      </c>
      <c r="W216" s="1">
        <f ca="1">IFERROR(__xludf.DUMMYFUNCTION("""COMPUTED_VALUE"""),416)</f>
        <v>416</v>
      </c>
      <c r="X216" s="1">
        <f ca="1">IFERROR(__xludf.DUMMYFUNCTION("""COMPUTED_VALUE"""),588)</f>
        <v>588</v>
      </c>
      <c r="Y216" s="1">
        <f ca="1">IFERROR(__xludf.DUMMYFUNCTION("""COMPUTED_VALUE"""),0.707)</f>
        <v>0.70699999999999996</v>
      </c>
      <c r="Z216" s="1">
        <f ca="1">IFERROR(__xludf.DUMMYFUNCTION("""COMPUTED_VALUE"""),277)</f>
        <v>277</v>
      </c>
      <c r="AA216" s="1">
        <f ca="1">IFERROR(__xludf.DUMMYFUNCTION("""COMPUTED_VALUE"""),1022)</f>
        <v>1022</v>
      </c>
      <c r="AB216" s="1">
        <f ca="1">IFERROR(__xludf.DUMMYFUNCTION("""COMPUTED_VALUE"""),315)</f>
        <v>315</v>
      </c>
      <c r="AC216" s="1">
        <f ca="1">IFERROR(__xludf.DUMMYFUNCTION("""COMPUTED_VALUE"""),192)</f>
        <v>192</v>
      </c>
      <c r="AD216" s="1">
        <f ca="1">IFERROR(__xludf.DUMMYFUNCTION("""COMPUTED_VALUE"""),90)</f>
        <v>90</v>
      </c>
      <c r="AE216" s="1">
        <f ca="1">IFERROR(__xludf.DUMMYFUNCTION("""COMPUTED_VALUE"""),389)</f>
        <v>389</v>
      </c>
      <c r="AF216" s="1">
        <f ca="1">IFERROR(__xludf.DUMMYFUNCTION("""COMPUTED_VALUE"""),581)</f>
        <v>581</v>
      </c>
    </row>
    <row r="217" spans="1:32" ht="12.5" x14ac:dyDescent="0.25">
      <c r="A217" s="1" t="str">
        <f ca="1">IFERROR(__xludf.DUMMYFUNCTION("""COMPUTED_VALUE"""),"Nevada-Las Vegas")</f>
        <v>Nevada-Las Vegas</v>
      </c>
      <c r="B217" s="1">
        <f ca="1">IFERROR(__xludf.DUMMYFUNCTION("""COMPUTED_VALUE"""),33)</f>
        <v>33</v>
      </c>
      <c r="C217" s="1">
        <f ca="1">IFERROR(__xludf.DUMMYFUNCTION("""COMPUTED_VALUE"""),18)</f>
        <v>18</v>
      </c>
      <c r="D217" s="1">
        <f ca="1">IFERROR(__xludf.DUMMYFUNCTION("""COMPUTED_VALUE"""),15)</f>
        <v>15</v>
      </c>
      <c r="E217" s="1">
        <f ca="1">IFERROR(__xludf.DUMMYFUNCTION("""COMPUTED_VALUE"""),0.545)</f>
        <v>0.54500000000000004</v>
      </c>
      <c r="F217" s="1">
        <f ca="1">IFERROR(__xludf.DUMMYFUNCTION("""COMPUTED_VALUE"""),5.41)</f>
        <v>5.41</v>
      </c>
      <c r="G217" s="1">
        <f ca="1">IFERROR(__xludf.DUMMYFUNCTION("""COMPUTED_VALUE"""),3.38)</f>
        <v>3.38</v>
      </c>
      <c r="H217" s="1">
        <f ca="1">IFERROR(__xludf.DUMMYFUNCTION("""COMPUTED_VALUE"""),8)</f>
        <v>8</v>
      </c>
      <c r="I217" s="1">
        <f ca="1">IFERROR(__xludf.DUMMYFUNCTION("""COMPUTED_VALUE"""),10)</f>
        <v>10</v>
      </c>
      <c r="J217" s="1">
        <f ca="1">IFERROR(__xludf.DUMMYFUNCTION("""COMPUTED_VALUE"""),13)</f>
        <v>13</v>
      </c>
      <c r="K217" s="1">
        <f ca="1">IFERROR(__xludf.DUMMYFUNCTION("""COMPUTED_VALUE"""),4)</f>
        <v>4</v>
      </c>
      <c r="L217" s="1">
        <f ca="1">IFERROR(__xludf.DUMMYFUNCTION("""COMPUTED_VALUE"""),4)</f>
        <v>4</v>
      </c>
      <c r="M217" s="1">
        <f ca="1">IFERROR(__xludf.DUMMYFUNCTION("""COMPUTED_VALUE"""),8)</f>
        <v>8</v>
      </c>
      <c r="N217" s="1">
        <f ca="1">IFERROR(__xludf.DUMMYFUNCTION("""COMPUTED_VALUE"""),2250)</f>
        <v>2250</v>
      </c>
      <c r="O217" s="1">
        <f ca="1">IFERROR(__xludf.DUMMYFUNCTION("""COMPUTED_VALUE"""),2125)</f>
        <v>2125</v>
      </c>
      <c r="P217" s="1">
        <f ca="1">IFERROR(__xludf.DUMMYFUNCTION("""COMPUTED_VALUE"""),1334)</f>
        <v>1334</v>
      </c>
      <c r="Q217" s="1">
        <f ca="1">IFERROR(__xludf.DUMMYFUNCTION("""COMPUTED_VALUE"""),808)</f>
        <v>808</v>
      </c>
      <c r="R217" s="1">
        <f ca="1">IFERROR(__xludf.DUMMYFUNCTION("""COMPUTED_VALUE"""),1816)</f>
        <v>1816</v>
      </c>
      <c r="S217" s="1">
        <f ca="1">IFERROR(__xludf.DUMMYFUNCTION("""COMPUTED_VALUE"""),0.445)</f>
        <v>0.44500000000000001</v>
      </c>
      <c r="T217" s="1">
        <f ca="1">IFERROR(__xludf.DUMMYFUNCTION("""COMPUTED_VALUE"""),236)</f>
        <v>236</v>
      </c>
      <c r="U217" s="1">
        <f ca="1">IFERROR(__xludf.DUMMYFUNCTION("""COMPUTED_VALUE"""),639)</f>
        <v>639</v>
      </c>
      <c r="V217" s="1">
        <f ca="1">IFERROR(__xludf.DUMMYFUNCTION("""COMPUTED_VALUE"""),0.369)</f>
        <v>0.36899999999999999</v>
      </c>
      <c r="W217" s="1">
        <f ca="1">IFERROR(__xludf.DUMMYFUNCTION("""COMPUTED_VALUE"""),398)</f>
        <v>398</v>
      </c>
      <c r="X217" s="1">
        <f ca="1">IFERROR(__xludf.DUMMYFUNCTION("""COMPUTED_VALUE"""),600)</f>
        <v>600</v>
      </c>
      <c r="Y217" s="1">
        <f ca="1">IFERROR(__xludf.DUMMYFUNCTION("""COMPUTED_VALUE"""),0.663)</f>
        <v>0.66300000000000003</v>
      </c>
      <c r="Z217" s="1">
        <f ca="1">IFERROR(__xludf.DUMMYFUNCTION("""COMPUTED_VALUE"""),301)</f>
        <v>301</v>
      </c>
      <c r="AA217" s="1">
        <f ca="1">IFERROR(__xludf.DUMMYFUNCTION("""COMPUTED_VALUE"""),1170)</f>
        <v>1170</v>
      </c>
      <c r="AB217" s="1">
        <f ca="1">IFERROR(__xludf.DUMMYFUNCTION("""COMPUTED_VALUE"""),453)</f>
        <v>453</v>
      </c>
      <c r="AC217" s="1">
        <f ca="1">IFERROR(__xludf.DUMMYFUNCTION("""COMPUTED_VALUE"""),183)</f>
        <v>183</v>
      </c>
      <c r="AD217" s="1">
        <f ca="1">IFERROR(__xludf.DUMMYFUNCTION("""COMPUTED_VALUE"""),223)</f>
        <v>223</v>
      </c>
      <c r="AE217" s="1">
        <f ca="1">IFERROR(__xludf.DUMMYFUNCTION("""COMPUTED_VALUE"""),376)</f>
        <v>376</v>
      </c>
      <c r="AF217" s="1">
        <f ca="1">IFERROR(__xludf.DUMMYFUNCTION("""COMPUTED_VALUE"""),545)</f>
        <v>545</v>
      </c>
    </row>
    <row r="218" spans="1:32" ht="12.5" x14ac:dyDescent="0.25">
      <c r="A218" s="1" t="str">
        <f ca="1">IFERROR(__xludf.DUMMYFUNCTION("""COMPUTED_VALUE"""),"Nevada")</f>
        <v>Nevada</v>
      </c>
      <c r="B218" s="1">
        <f ca="1">IFERROR(__xludf.DUMMYFUNCTION("""COMPUTED_VALUE"""),31)</f>
        <v>31</v>
      </c>
      <c r="C218" s="1">
        <f ca="1">IFERROR(__xludf.DUMMYFUNCTION("""COMPUTED_VALUE"""),9)</f>
        <v>9</v>
      </c>
      <c r="D218" s="1">
        <f ca="1">IFERROR(__xludf.DUMMYFUNCTION("""COMPUTED_VALUE"""),22)</f>
        <v>22</v>
      </c>
      <c r="E218" s="1">
        <f ca="1">IFERROR(__xludf.DUMMYFUNCTION("""COMPUTED_VALUE"""),0.29)</f>
        <v>0.28999999999999998</v>
      </c>
      <c r="F218" s="1">
        <f ca="1">IFERROR(__xludf.DUMMYFUNCTION("""COMPUTED_VALUE"""),-6.03)</f>
        <v>-6.03</v>
      </c>
      <c r="G218" s="1">
        <f ca="1">IFERROR(__xludf.DUMMYFUNCTION("""COMPUTED_VALUE"""),1.08)</f>
        <v>1.08</v>
      </c>
      <c r="H218" s="1">
        <f ca="1">IFERROR(__xludf.DUMMYFUNCTION("""COMPUTED_VALUE"""),5)</f>
        <v>5</v>
      </c>
      <c r="I218" s="1">
        <f ca="1">IFERROR(__xludf.DUMMYFUNCTION("""COMPUTED_VALUE"""),13)</f>
        <v>13</v>
      </c>
      <c r="J218" s="1">
        <f ca="1">IFERROR(__xludf.DUMMYFUNCTION("""COMPUTED_VALUE"""),7)</f>
        <v>7</v>
      </c>
      <c r="K218" s="1">
        <f ca="1">IFERROR(__xludf.DUMMYFUNCTION("""COMPUTED_VALUE"""),8)</f>
        <v>8</v>
      </c>
      <c r="L218" s="1">
        <f ca="1">IFERROR(__xludf.DUMMYFUNCTION("""COMPUTED_VALUE"""),2)</f>
        <v>2</v>
      </c>
      <c r="M218" s="1">
        <f ca="1">IFERROR(__xludf.DUMMYFUNCTION("""COMPUTED_VALUE"""),11)</f>
        <v>11</v>
      </c>
      <c r="N218" s="1">
        <f ca="1">IFERROR(__xludf.DUMMYFUNCTION("""COMPUTED_VALUE"""),1874)</f>
        <v>1874</v>
      </c>
      <c r="O218" s="1">
        <f ca="1">IFERROR(__xludf.DUMMYFUNCTION("""COMPUTED_VALUE"""),2061)</f>
        <v>2061</v>
      </c>
      <c r="P218" s="1">
        <f ca="1">IFERROR(__xludf.DUMMYFUNCTION("""COMPUTED_VALUE"""),1245)</f>
        <v>1245</v>
      </c>
      <c r="Q218" s="1">
        <f ca="1">IFERROR(__xludf.DUMMYFUNCTION("""COMPUTED_VALUE"""),637)</f>
        <v>637</v>
      </c>
      <c r="R218" s="1">
        <f ca="1">IFERROR(__xludf.DUMMYFUNCTION("""COMPUTED_VALUE"""),1673)</f>
        <v>1673</v>
      </c>
      <c r="S218" s="1">
        <f ca="1">IFERROR(__xludf.DUMMYFUNCTION("""COMPUTED_VALUE"""),0.381)</f>
        <v>0.38100000000000001</v>
      </c>
      <c r="T218" s="1">
        <f ca="1">IFERROR(__xludf.DUMMYFUNCTION("""COMPUTED_VALUE"""),111)</f>
        <v>111</v>
      </c>
      <c r="U218" s="1">
        <f ca="1">IFERROR(__xludf.DUMMYFUNCTION("""COMPUTED_VALUE"""),417)</f>
        <v>417</v>
      </c>
      <c r="V218" s="1">
        <f ca="1">IFERROR(__xludf.DUMMYFUNCTION("""COMPUTED_VALUE"""),0.266)</f>
        <v>0.26600000000000001</v>
      </c>
      <c r="W218" s="1">
        <f ca="1">IFERROR(__xludf.DUMMYFUNCTION("""COMPUTED_VALUE"""),489)</f>
        <v>489</v>
      </c>
      <c r="X218" s="1">
        <f ca="1">IFERROR(__xludf.DUMMYFUNCTION("""COMPUTED_VALUE"""),703)</f>
        <v>703</v>
      </c>
      <c r="Y218" s="1">
        <f ca="1">IFERROR(__xludf.DUMMYFUNCTION("""COMPUTED_VALUE"""),0.696)</f>
        <v>0.69599999999999995</v>
      </c>
      <c r="Z218" s="1">
        <f ca="1">IFERROR(__xludf.DUMMYFUNCTION("""COMPUTED_VALUE"""),457)</f>
        <v>457</v>
      </c>
      <c r="AA218" s="1">
        <f ca="1">IFERROR(__xludf.DUMMYFUNCTION("""COMPUTED_VALUE"""),1221)</f>
        <v>1221</v>
      </c>
      <c r="AB218" s="1">
        <f ca="1">IFERROR(__xludf.DUMMYFUNCTION("""COMPUTED_VALUE"""),298)</f>
        <v>298</v>
      </c>
      <c r="AC218" s="1">
        <f ca="1">IFERROR(__xludf.DUMMYFUNCTION("""COMPUTED_VALUE"""),169)</f>
        <v>169</v>
      </c>
      <c r="AD218" s="1">
        <f ca="1">IFERROR(__xludf.DUMMYFUNCTION("""COMPUTED_VALUE"""),129)</f>
        <v>129</v>
      </c>
      <c r="AE218" s="1">
        <f ca="1">IFERROR(__xludf.DUMMYFUNCTION("""COMPUTED_VALUE"""),436)</f>
        <v>436</v>
      </c>
      <c r="AF218" s="1">
        <f ca="1">IFERROR(__xludf.DUMMYFUNCTION("""COMPUTED_VALUE"""),603)</f>
        <v>603</v>
      </c>
    </row>
    <row r="219" spans="1:32" ht="12.5" x14ac:dyDescent="0.25">
      <c r="A219" s="1" t="str">
        <f ca="1">IFERROR(__xludf.DUMMYFUNCTION("""COMPUTED_VALUE"""),"New Hampshire")</f>
        <v>New Hampshire</v>
      </c>
      <c r="B219" s="1">
        <f ca="1">IFERROR(__xludf.DUMMYFUNCTION("""COMPUTED_VALUE"""),32)</f>
        <v>32</v>
      </c>
      <c r="C219" s="1">
        <f ca="1">IFERROR(__xludf.DUMMYFUNCTION("""COMPUTED_VALUE"""),19)</f>
        <v>19</v>
      </c>
      <c r="D219" s="1">
        <f ca="1">IFERROR(__xludf.DUMMYFUNCTION("""COMPUTED_VALUE"""),13)</f>
        <v>13</v>
      </c>
      <c r="E219" s="1">
        <f ca="1">IFERROR(__xludf.DUMMYFUNCTION("""COMPUTED_VALUE"""),0.594)</f>
        <v>0.59399999999999997</v>
      </c>
      <c r="F219" s="1">
        <f ca="1">IFERROR(__xludf.DUMMYFUNCTION("""COMPUTED_VALUE"""),-3.76)</f>
        <v>-3.76</v>
      </c>
      <c r="G219" s="1">
        <f ca="1">IFERROR(__xludf.DUMMYFUNCTION("""COMPUTED_VALUE"""),-6.29)</f>
        <v>-6.29</v>
      </c>
      <c r="H219" s="1">
        <f ca="1">IFERROR(__xludf.DUMMYFUNCTION("""COMPUTED_VALUE"""),11)</f>
        <v>11</v>
      </c>
      <c r="I219" s="1">
        <f ca="1">IFERROR(__xludf.DUMMYFUNCTION("""COMPUTED_VALUE"""),5)</f>
        <v>5</v>
      </c>
      <c r="J219" s="1">
        <f ca="1">IFERROR(__xludf.DUMMYFUNCTION("""COMPUTED_VALUE"""),12)</f>
        <v>12</v>
      </c>
      <c r="K219" s="1">
        <f ca="1">IFERROR(__xludf.DUMMYFUNCTION("""COMPUTED_VALUE"""),3)</f>
        <v>3</v>
      </c>
      <c r="L219" s="1">
        <f ca="1">IFERROR(__xludf.DUMMYFUNCTION("""COMPUTED_VALUE"""),7)</f>
        <v>7</v>
      </c>
      <c r="M219" s="1">
        <f ca="1">IFERROR(__xludf.DUMMYFUNCTION("""COMPUTED_VALUE"""),10)</f>
        <v>10</v>
      </c>
      <c r="N219" s="1">
        <f ca="1">IFERROR(__xludf.DUMMYFUNCTION("""COMPUTED_VALUE"""),2148)</f>
        <v>2148</v>
      </c>
      <c r="O219" s="1">
        <f ca="1">IFERROR(__xludf.DUMMYFUNCTION("""COMPUTED_VALUE"""),1973)</f>
        <v>1973</v>
      </c>
      <c r="P219" s="1">
        <f ca="1">IFERROR(__xludf.DUMMYFUNCTION("""COMPUTED_VALUE"""),1305)</f>
        <v>1305</v>
      </c>
      <c r="Q219" s="1">
        <f ca="1">IFERROR(__xludf.DUMMYFUNCTION("""COMPUTED_VALUE"""),747)</f>
        <v>747</v>
      </c>
      <c r="R219" s="1">
        <f ca="1">IFERROR(__xludf.DUMMYFUNCTION("""COMPUTED_VALUE"""),1712)</f>
        <v>1712</v>
      </c>
      <c r="S219" s="1">
        <f ca="1">IFERROR(__xludf.DUMMYFUNCTION("""COMPUTED_VALUE"""),0.436)</f>
        <v>0.436</v>
      </c>
      <c r="T219" s="1">
        <f ca="1">IFERROR(__xludf.DUMMYFUNCTION("""COMPUTED_VALUE"""),231)</f>
        <v>231</v>
      </c>
      <c r="U219" s="1">
        <f ca="1">IFERROR(__xludf.DUMMYFUNCTION("""COMPUTED_VALUE"""),617)</f>
        <v>617</v>
      </c>
      <c r="V219" s="1">
        <f ca="1">IFERROR(__xludf.DUMMYFUNCTION("""COMPUTED_VALUE"""),0.374)</f>
        <v>0.374</v>
      </c>
      <c r="W219" s="1">
        <f ca="1">IFERROR(__xludf.DUMMYFUNCTION("""COMPUTED_VALUE"""),423)</f>
        <v>423</v>
      </c>
      <c r="X219" s="1">
        <f ca="1">IFERROR(__xludf.DUMMYFUNCTION("""COMPUTED_VALUE"""),627)</f>
        <v>627</v>
      </c>
      <c r="Y219" s="1">
        <f ca="1">IFERROR(__xludf.DUMMYFUNCTION("""COMPUTED_VALUE"""),0.675)</f>
        <v>0.67500000000000004</v>
      </c>
      <c r="Z219" s="1">
        <f ca="1">IFERROR(__xludf.DUMMYFUNCTION("""COMPUTED_VALUE"""),302)</f>
        <v>302</v>
      </c>
      <c r="AA219" s="1">
        <f ca="1">IFERROR(__xludf.DUMMYFUNCTION("""COMPUTED_VALUE"""),1174)</f>
        <v>1174</v>
      </c>
      <c r="AB219" s="1">
        <f ca="1">IFERROR(__xludf.DUMMYFUNCTION("""COMPUTED_VALUE"""),366)</f>
        <v>366</v>
      </c>
      <c r="AC219" s="1">
        <f ca="1">IFERROR(__xludf.DUMMYFUNCTION("""COMPUTED_VALUE"""),167)</f>
        <v>167</v>
      </c>
      <c r="AD219" s="1">
        <f ca="1">IFERROR(__xludf.DUMMYFUNCTION("""COMPUTED_VALUE"""),69)</f>
        <v>69</v>
      </c>
      <c r="AE219" s="1">
        <f ca="1">IFERROR(__xludf.DUMMYFUNCTION("""COMPUTED_VALUE"""),394)</f>
        <v>394</v>
      </c>
      <c r="AF219" s="1">
        <f ca="1">IFERROR(__xludf.DUMMYFUNCTION("""COMPUTED_VALUE"""),607)</f>
        <v>607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IFERROR(__xludf.DUMMYFUNCTION("""COMPUTED_VALUE"""),"New Mexico StateNCAA")</f>
        <v>New Mexico StateNCAA</v>
      </c>
      <c r="B222" s="1">
        <f ca="1">IFERROR(__xludf.DUMMYFUNCTION("""COMPUTED_VALUE"""),34)</f>
        <v>34</v>
      </c>
      <c r="C222" s="1">
        <f ca="1">IFERROR(__xludf.DUMMYFUNCTION("""COMPUTED_VALUE"""),23)</f>
        <v>23</v>
      </c>
      <c r="D222" s="1">
        <f ca="1">IFERROR(__xludf.DUMMYFUNCTION("""COMPUTED_VALUE"""),11)</f>
        <v>11</v>
      </c>
      <c r="E222" s="1">
        <f ca="1">IFERROR(__xludf.DUMMYFUNCTION("""COMPUTED_VALUE"""),0.676)</f>
        <v>0.67600000000000005</v>
      </c>
      <c r="F222" s="1">
        <f ca="1">IFERROR(__xludf.DUMMYFUNCTION("""COMPUTED_VALUE"""),3.71)</f>
        <v>3.71</v>
      </c>
      <c r="G222" s="1">
        <f ca="1">IFERROR(__xludf.DUMMYFUNCTION("""COMPUTED_VALUE"""),-3.67)</f>
        <v>-3.67</v>
      </c>
      <c r="H222" s="1">
        <f ca="1">IFERROR(__xludf.DUMMYFUNCTION("""COMPUTED_VALUE"""),13)</f>
        <v>13</v>
      </c>
      <c r="I222" s="1">
        <f ca="1">IFERROR(__xludf.DUMMYFUNCTION("""COMPUTED_VALUE"""),1)</f>
        <v>1</v>
      </c>
      <c r="J222" s="1">
        <f ca="1">IFERROR(__xludf.DUMMYFUNCTION("""COMPUTED_VALUE"""),15)</f>
        <v>15</v>
      </c>
      <c r="K222" s="1">
        <f ca="1">IFERROR(__xludf.DUMMYFUNCTION("""COMPUTED_VALUE"""),2)</f>
        <v>2</v>
      </c>
      <c r="L222" s="1">
        <f ca="1">IFERROR(__xludf.DUMMYFUNCTION("""COMPUTED_VALUE"""),6)</f>
        <v>6</v>
      </c>
      <c r="M222" s="1">
        <f ca="1">IFERROR(__xludf.DUMMYFUNCTION("""COMPUTED_VALUE"""),8)</f>
        <v>8</v>
      </c>
      <c r="N222" s="1">
        <f ca="1">IFERROR(__xludf.DUMMYFUNCTION("""COMPUTED_VALUE"""),2316)</f>
        <v>2316</v>
      </c>
      <c r="O222" s="1">
        <f ca="1">IFERROR(__xludf.DUMMYFUNCTION("""COMPUTED_VALUE"""),2033)</f>
        <v>2033</v>
      </c>
      <c r="P222" s="1">
        <f ca="1">IFERROR(__xludf.DUMMYFUNCTION("""COMPUTED_VALUE"""),1370)</f>
        <v>1370</v>
      </c>
      <c r="Q222" s="1">
        <f ca="1">IFERROR(__xludf.DUMMYFUNCTION("""COMPUTED_VALUE"""),808)</f>
        <v>808</v>
      </c>
      <c r="R222" s="1">
        <f ca="1">IFERROR(__xludf.DUMMYFUNCTION("""COMPUTED_VALUE"""),1748)</f>
        <v>1748</v>
      </c>
      <c r="S222" s="1">
        <f ca="1">IFERROR(__xludf.DUMMYFUNCTION("""COMPUTED_VALUE"""),0.462)</f>
        <v>0.46200000000000002</v>
      </c>
      <c r="T222" s="1">
        <f ca="1">IFERROR(__xludf.DUMMYFUNCTION("""COMPUTED_VALUE"""),165)</f>
        <v>165</v>
      </c>
      <c r="U222" s="1">
        <f ca="1">IFERROR(__xludf.DUMMYFUNCTION("""COMPUTED_VALUE"""),450)</f>
        <v>450</v>
      </c>
      <c r="V222" s="1">
        <f ca="1">IFERROR(__xludf.DUMMYFUNCTION("""COMPUTED_VALUE"""),0.367)</f>
        <v>0.36699999999999999</v>
      </c>
      <c r="W222" s="1">
        <f ca="1">IFERROR(__xludf.DUMMYFUNCTION("""COMPUTED_VALUE"""),535)</f>
        <v>535</v>
      </c>
      <c r="X222" s="1">
        <f ca="1">IFERROR(__xludf.DUMMYFUNCTION("""COMPUTED_VALUE"""),771)</f>
        <v>771</v>
      </c>
      <c r="Y222" s="1">
        <f ca="1">IFERROR(__xludf.DUMMYFUNCTION("""COMPUTED_VALUE"""),0.694)</f>
        <v>0.69399999999999995</v>
      </c>
      <c r="Z222" s="1">
        <f ca="1">IFERROR(__xludf.DUMMYFUNCTION("""COMPUTED_VALUE"""),428)</f>
        <v>428</v>
      </c>
      <c r="AA222" s="1">
        <f ca="1">IFERROR(__xludf.DUMMYFUNCTION("""COMPUTED_VALUE"""),1199)</f>
        <v>1199</v>
      </c>
      <c r="AB222" s="1">
        <f ca="1">IFERROR(__xludf.DUMMYFUNCTION("""COMPUTED_VALUE"""),406)</f>
        <v>406</v>
      </c>
      <c r="AC222" s="1">
        <f ca="1">IFERROR(__xludf.DUMMYFUNCTION("""COMPUTED_VALUE"""),219)</f>
        <v>219</v>
      </c>
      <c r="AD222" s="1">
        <f ca="1">IFERROR(__xludf.DUMMYFUNCTION("""COMPUTED_VALUE"""),124)</f>
        <v>124</v>
      </c>
      <c r="AE222" s="1">
        <f ca="1">IFERROR(__xludf.DUMMYFUNCTION("""COMPUTED_VALUE"""),470)</f>
        <v>470</v>
      </c>
      <c r="AF222" s="1">
        <f ca="1">IFERROR(__xludf.DUMMYFUNCTION("""COMPUTED_VALUE"""),541)</f>
        <v>541</v>
      </c>
    </row>
    <row r="223" spans="1:32" ht="12.5" x14ac:dyDescent="0.25">
      <c r="A223" s="1" t="str">
        <f ca="1">IFERROR(__xludf.DUMMYFUNCTION("""COMPUTED_VALUE"""),"New Mexico")</f>
        <v>New Mexico</v>
      </c>
      <c r="B223" s="1">
        <f ca="1">IFERROR(__xludf.DUMMYFUNCTION("""COMPUTED_VALUE"""),31)</f>
        <v>31</v>
      </c>
      <c r="C223" s="1">
        <f ca="1">IFERROR(__xludf.DUMMYFUNCTION("""COMPUTED_VALUE"""),15)</f>
        <v>15</v>
      </c>
      <c r="D223" s="1">
        <f ca="1">IFERROR(__xludf.DUMMYFUNCTION("""COMPUTED_VALUE"""),16)</f>
        <v>16</v>
      </c>
      <c r="E223" s="1">
        <f ca="1">IFERROR(__xludf.DUMMYFUNCTION("""COMPUTED_VALUE"""),0.484)</f>
        <v>0.48399999999999999</v>
      </c>
      <c r="F223" s="1">
        <f ca="1">IFERROR(__xludf.DUMMYFUNCTION("""COMPUTED_VALUE"""),2.8)</f>
        <v>2.8</v>
      </c>
      <c r="G223" s="1">
        <f ca="1">IFERROR(__xludf.DUMMYFUNCTION("""COMPUTED_VALUE"""),1.03)</f>
        <v>1.03</v>
      </c>
      <c r="H223" s="1">
        <f ca="1">IFERROR(__xludf.DUMMYFUNCTION("""COMPUTED_VALUE"""),7)</f>
        <v>7</v>
      </c>
      <c r="I223" s="1">
        <f ca="1">IFERROR(__xludf.DUMMYFUNCTION("""COMPUTED_VALUE"""),11)</f>
        <v>11</v>
      </c>
      <c r="J223" s="1">
        <f ca="1">IFERROR(__xludf.DUMMYFUNCTION("""COMPUTED_VALUE"""),10)</f>
        <v>10</v>
      </c>
      <c r="K223" s="1">
        <f ca="1">IFERROR(__xludf.DUMMYFUNCTION("""COMPUTED_VALUE"""),5)</f>
        <v>5</v>
      </c>
      <c r="L223" s="1">
        <f ca="1">IFERROR(__xludf.DUMMYFUNCTION("""COMPUTED_VALUE"""),4)</f>
        <v>4</v>
      </c>
      <c r="M223" s="1">
        <f ca="1">IFERROR(__xludf.DUMMYFUNCTION("""COMPUTED_VALUE"""),8)</f>
        <v>8</v>
      </c>
      <c r="N223" s="1">
        <f ca="1">IFERROR(__xludf.DUMMYFUNCTION("""COMPUTED_VALUE"""),1921)</f>
        <v>1921</v>
      </c>
      <c r="O223" s="1">
        <f ca="1">IFERROR(__xludf.DUMMYFUNCTION("""COMPUTED_VALUE"""),1866)</f>
        <v>1866</v>
      </c>
      <c r="P223" s="1">
        <f ca="1">IFERROR(__xludf.DUMMYFUNCTION("""COMPUTED_VALUE"""),1255)</f>
        <v>1255</v>
      </c>
      <c r="Q223" s="1">
        <f ca="1">IFERROR(__xludf.DUMMYFUNCTION("""COMPUTED_VALUE"""),686)</f>
        <v>686</v>
      </c>
      <c r="R223" s="1">
        <f ca="1">IFERROR(__xludf.DUMMYFUNCTION("""COMPUTED_VALUE"""),1588)</f>
        <v>1588</v>
      </c>
      <c r="S223" s="1">
        <f ca="1">IFERROR(__xludf.DUMMYFUNCTION("""COMPUTED_VALUE"""),0.432)</f>
        <v>0.432</v>
      </c>
      <c r="T223" s="1">
        <f ca="1">IFERROR(__xludf.DUMMYFUNCTION("""COMPUTED_VALUE"""),148)</f>
        <v>148</v>
      </c>
      <c r="U223" s="1">
        <f ca="1">IFERROR(__xludf.DUMMYFUNCTION("""COMPUTED_VALUE"""),480)</f>
        <v>480</v>
      </c>
      <c r="V223" s="1">
        <f ca="1">IFERROR(__xludf.DUMMYFUNCTION("""COMPUTED_VALUE"""),0.308)</f>
        <v>0.308</v>
      </c>
      <c r="W223" s="1">
        <f ca="1">IFERROR(__xludf.DUMMYFUNCTION("""COMPUTED_VALUE"""),401)</f>
        <v>401</v>
      </c>
      <c r="X223" s="1">
        <f ca="1">IFERROR(__xludf.DUMMYFUNCTION("""COMPUTED_VALUE"""),609)</f>
        <v>609</v>
      </c>
      <c r="Y223" s="1">
        <f ca="1">IFERROR(__xludf.DUMMYFUNCTION("""COMPUTED_VALUE"""),0.658)</f>
        <v>0.65800000000000003</v>
      </c>
      <c r="Z223" s="1">
        <f ca="1">IFERROR(__xludf.DUMMYFUNCTION("""COMPUTED_VALUE"""),331)</f>
        <v>331</v>
      </c>
      <c r="AA223" s="1">
        <f ca="1">IFERROR(__xludf.DUMMYFUNCTION("""COMPUTED_VALUE"""),1081)</f>
        <v>1081</v>
      </c>
      <c r="AB223" s="1">
        <f ca="1">IFERROR(__xludf.DUMMYFUNCTION("""COMPUTED_VALUE"""),398)</f>
        <v>398</v>
      </c>
      <c r="AC223" s="1">
        <f ca="1">IFERROR(__xludf.DUMMYFUNCTION("""COMPUTED_VALUE"""),178)</f>
        <v>178</v>
      </c>
      <c r="AD223" s="1">
        <f ca="1">IFERROR(__xludf.DUMMYFUNCTION("""COMPUTED_VALUE"""),139)</f>
        <v>139</v>
      </c>
      <c r="AE223" s="1">
        <f ca="1">IFERROR(__xludf.DUMMYFUNCTION("""COMPUTED_VALUE"""),392)</f>
        <v>392</v>
      </c>
      <c r="AF223" s="1">
        <f ca="1">IFERROR(__xludf.DUMMYFUNCTION("""COMPUTED_VALUE"""),538)</f>
        <v>538</v>
      </c>
    </row>
    <row r="224" spans="1:32" ht="12.5" x14ac:dyDescent="0.25">
      <c r="A224" s="1" t="str">
        <f ca="1">IFERROR(__xludf.DUMMYFUNCTION("""COMPUTED_VALUE"""),"New Orleans")</f>
        <v>New Orleans</v>
      </c>
      <c r="B224" s="1">
        <f ca="1">IFERROR(__xludf.DUMMYFUNCTION("""COMPUTED_VALUE"""),29)</f>
        <v>29</v>
      </c>
      <c r="C224" s="1">
        <f ca="1">IFERROR(__xludf.DUMMYFUNCTION("""COMPUTED_VALUE"""),11)</f>
        <v>11</v>
      </c>
      <c r="D224" s="1">
        <f ca="1">IFERROR(__xludf.DUMMYFUNCTION("""COMPUTED_VALUE"""),18)</f>
        <v>18</v>
      </c>
      <c r="E224" s="1">
        <f ca="1">IFERROR(__xludf.DUMMYFUNCTION("""COMPUTED_VALUE"""),0.379)</f>
        <v>0.379</v>
      </c>
      <c r="F224" s="1">
        <f ca="1">IFERROR(__xludf.DUMMYFUNCTION("""COMPUTED_VALUE"""),-11.86)</f>
        <v>-11.86</v>
      </c>
      <c r="G224" s="1">
        <f ca="1">IFERROR(__xludf.DUMMYFUNCTION("""COMPUTED_VALUE"""),-6.36)</f>
        <v>-6.36</v>
      </c>
      <c r="H224" s="1">
        <f ca="1">IFERROR(__xludf.DUMMYFUNCTION("""COMPUTED_VALUE"""),6)</f>
        <v>6</v>
      </c>
      <c r="I224" s="1">
        <f ca="1">IFERROR(__xludf.DUMMYFUNCTION("""COMPUTED_VALUE"""),12)</f>
        <v>12</v>
      </c>
      <c r="J224" s="1">
        <f ca="1">IFERROR(__xludf.DUMMYFUNCTION("""COMPUTED_VALUE"""),8)</f>
        <v>8</v>
      </c>
      <c r="K224" s="1">
        <f ca="1">IFERROR(__xludf.DUMMYFUNCTION("""COMPUTED_VALUE"""),4)</f>
        <v>4</v>
      </c>
      <c r="L224" s="1">
        <f ca="1">IFERROR(__xludf.DUMMYFUNCTION("""COMPUTED_VALUE"""),2)</f>
        <v>2</v>
      </c>
      <c r="M224" s="1">
        <f ca="1">IFERROR(__xludf.DUMMYFUNCTION("""COMPUTED_VALUE"""),13)</f>
        <v>13</v>
      </c>
      <c r="N224" s="1">
        <f ca="1">IFERROR(__xludf.DUMMYFUNCTION("""COMPUTED_VALUE"""),2062)</f>
        <v>2062</v>
      </c>
      <c r="O224" s="1">
        <f ca="1">IFERROR(__xludf.DUMMYFUNCTION("""COMPUTED_VALUE"""),2133)</f>
        <v>2133</v>
      </c>
      <c r="P224" s="1">
        <f ca="1">IFERROR(__xludf.DUMMYFUNCTION("""COMPUTED_VALUE"""),1170)</f>
        <v>1170</v>
      </c>
      <c r="Q224" s="1">
        <f ca="1">IFERROR(__xludf.DUMMYFUNCTION("""COMPUTED_VALUE"""),704)</f>
        <v>704</v>
      </c>
      <c r="R224" s="1">
        <f ca="1">IFERROR(__xludf.DUMMYFUNCTION("""COMPUTED_VALUE"""),1604)</f>
        <v>1604</v>
      </c>
      <c r="S224" s="1">
        <f ca="1">IFERROR(__xludf.DUMMYFUNCTION("""COMPUTED_VALUE"""),0.439)</f>
        <v>0.439</v>
      </c>
      <c r="T224" s="1">
        <f ca="1">IFERROR(__xludf.DUMMYFUNCTION("""COMPUTED_VALUE"""),123)</f>
        <v>123</v>
      </c>
      <c r="U224" s="1">
        <f ca="1">IFERROR(__xludf.DUMMYFUNCTION("""COMPUTED_VALUE"""),366)</f>
        <v>366</v>
      </c>
      <c r="V224" s="1">
        <f ca="1">IFERROR(__xludf.DUMMYFUNCTION("""COMPUTED_VALUE"""),0.336)</f>
        <v>0.33600000000000002</v>
      </c>
      <c r="W224" s="1">
        <f ca="1">IFERROR(__xludf.DUMMYFUNCTION("""COMPUTED_VALUE"""),531)</f>
        <v>531</v>
      </c>
      <c r="X224" s="1">
        <f ca="1">IFERROR(__xludf.DUMMYFUNCTION("""COMPUTED_VALUE"""),770)</f>
        <v>770</v>
      </c>
      <c r="Y224" s="1">
        <f ca="1">IFERROR(__xludf.DUMMYFUNCTION("""COMPUTED_VALUE"""),0.69)</f>
        <v>0.69</v>
      </c>
      <c r="Z224" s="1">
        <f ca="1">IFERROR(__xludf.DUMMYFUNCTION("""COMPUTED_VALUE"""),365)</f>
        <v>365</v>
      </c>
      <c r="AA224" s="1">
        <f ca="1">IFERROR(__xludf.DUMMYFUNCTION("""COMPUTED_VALUE"""),1014)</f>
        <v>1014</v>
      </c>
      <c r="AB224" s="1">
        <f ca="1">IFERROR(__xludf.DUMMYFUNCTION("""COMPUTED_VALUE"""),279)</f>
        <v>279</v>
      </c>
      <c r="AC224" s="1">
        <f ca="1">IFERROR(__xludf.DUMMYFUNCTION("""COMPUTED_VALUE"""),216)</f>
        <v>216</v>
      </c>
      <c r="AD224" s="1">
        <f ca="1">IFERROR(__xludf.DUMMYFUNCTION("""COMPUTED_VALUE"""),101)</f>
        <v>101</v>
      </c>
      <c r="AE224" s="1">
        <f ca="1">IFERROR(__xludf.DUMMYFUNCTION("""COMPUTED_VALUE"""),452)</f>
        <v>452</v>
      </c>
      <c r="AF224" s="1">
        <f ca="1">IFERROR(__xludf.DUMMYFUNCTION("""COMPUTED_VALUE"""),608)</f>
        <v>608</v>
      </c>
    </row>
    <row r="225" spans="1:32" ht="12.5" x14ac:dyDescent="0.25">
      <c r="A225" s="1" t="str">
        <f ca="1">IFERROR(__xludf.DUMMYFUNCTION("""COMPUTED_VALUE"""),"Niagara")</f>
        <v>Niagara</v>
      </c>
      <c r="B225" s="1">
        <f ca="1">IFERROR(__xludf.DUMMYFUNCTION("""COMPUTED_VALUE"""),30)</f>
        <v>30</v>
      </c>
      <c r="C225" s="1">
        <f ca="1">IFERROR(__xludf.DUMMYFUNCTION("""COMPUTED_VALUE"""),8)</f>
        <v>8</v>
      </c>
      <c r="D225" s="1">
        <f ca="1">IFERROR(__xludf.DUMMYFUNCTION("""COMPUTED_VALUE"""),22)</f>
        <v>22</v>
      </c>
      <c r="E225" s="1">
        <f ca="1">IFERROR(__xludf.DUMMYFUNCTION("""COMPUTED_VALUE"""),0.267)</f>
        <v>0.26700000000000002</v>
      </c>
      <c r="F225" s="1">
        <f ca="1">IFERROR(__xludf.DUMMYFUNCTION("""COMPUTED_VALUE"""),-9.27)</f>
        <v>-9.27</v>
      </c>
      <c r="G225" s="1">
        <f ca="1">IFERROR(__xludf.DUMMYFUNCTION("""COMPUTED_VALUE"""),-1.8)</f>
        <v>-1.8</v>
      </c>
      <c r="H225" s="1">
        <f ca="1">IFERROR(__xludf.DUMMYFUNCTION("""COMPUTED_VALUE"""),7)</f>
        <v>7</v>
      </c>
      <c r="I225" s="1">
        <f ca="1">IFERROR(__xludf.DUMMYFUNCTION("""COMPUTED_VALUE"""),13)</f>
        <v>13</v>
      </c>
      <c r="J225" s="1">
        <f ca="1">IFERROR(__xludf.DUMMYFUNCTION("""COMPUTED_VALUE"""),4)</f>
        <v>4</v>
      </c>
      <c r="K225" s="1">
        <f ca="1">IFERROR(__xludf.DUMMYFUNCTION("""COMPUTED_VALUE"""),10)</f>
        <v>10</v>
      </c>
      <c r="L225" s="1">
        <f ca="1">IFERROR(__xludf.DUMMYFUNCTION("""COMPUTED_VALUE"""),4)</f>
        <v>4</v>
      </c>
      <c r="M225" s="1">
        <f ca="1">IFERROR(__xludf.DUMMYFUNCTION("""COMPUTED_VALUE"""),10)</f>
        <v>10</v>
      </c>
      <c r="N225" s="1">
        <f ca="1">IFERROR(__xludf.DUMMYFUNCTION("""COMPUTED_VALUE"""),1930)</f>
        <v>1930</v>
      </c>
      <c r="O225" s="1">
        <f ca="1">IFERROR(__xludf.DUMMYFUNCTION("""COMPUTED_VALUE"""),2154)</f>
        <v>2154</v>
      </c>
      <c r="P225" s="1">
        <f ca="1">IFERROR(__xludf.DUMMYFUNCTION("""COMPUTED_VALUE"""),1210)</f>
        <v>1210</v>
      </c>
      <c r="Q225" s="1">
        <f ca="1">IFERROR(__xludf.DUMMYFUNCTION("""COMPUTED_VALUE"""),642)</f>
        <v>642</v>
      </c>
      <c r="R225" s="1">
        <f ca="1">IFERROR(__xludf.DUMMYFUNCTION("""COMPUTED_VALUE"""),1608)</f>
        <v>1608</v>
      </c>
      <c r="S225" s="1">
        <f ca="1">IFERROR(__xludf.DUMMYFUNCTION("""COMPUTED_VALUE"""),0.399)</f>
        <v>0.39900000000000002</v>
      </c>
      <c r="T225" s="1">
        <f ca="1">IFERROR(__xludf.DUMMYFUNCTION("""COMPUTED_VALUE"""),184)</f>
        <v>184</v>
      </c>
      <c r="U225" s="1">
        <f ca="1">IFERROR(__xludf.DUMMYFUNCTION("""COMPUTED_VALUE"""),524)</f>
        <v>524</v>
      </c>
      <c r="V225" s="1">
        <f ca="1">IFERROR(__xludf.DUMMYFUNCTION("""COMPUTED_VALUE"""),0.351)</f>
        <v>0.35099999999999998</v>
      </c>
      <c r="W225" s="1">
        <f ca="1">IFERROR(__xludf.DUMMYFUNCTION("""COMPUTED_VALUE"""),460)</f>
        <v>460</v>
      </c>
      <c r="X225" s="1">
        <f ca="1">IFERROR(__xludf.DUMMYFUNCTION("""COMPUTED_VALUE"""),662)</f>
        <v>662</v>
      </c>
      <c r="Y225" s="1">
        <f ca="1">IFERROR(__xludf.DUMMYFUNCTION("""COMPUTED_VALUE"""),0.695)</f>
        <v>0.69499999999999995</v>
      </c>
      <c r="Z225" s="1">
        <f ca="1">IFERROR(__xludf.DUMMYFUNCTION("""COMPUTED_VALUE"""),343)</f>
        <v>343</v>
      </c>
      <c r="AA225" s="1">
        <f ca="1">IFERROR(__xludf.DUMMYFUNCTION("""COMPUTED_VALUE"""),1016)</f>
        <v>1016</v>
      </c>
      <c r="AB225" s="1">
        <f ca="1">IFERROR(__xludf.DUMMYFUNCTION("""COMPUTED_VALUE"""),338)</f>
        <v>338</v>
      </c>
      <c r="AC225" s="1">
        <f ca="1">IFERROR(__xludf.DUMMYFUNCTION("""COMPUTED_VALUE"""),172)</f>
        <v>172</v>
      </c>
      <c r="AD225" s="1">
        <f ca="1">IFERROR(__xludf.DUMMYFUNCTION("""COMPUTED_VALUE"""),69)</f>
        <v>69</v>
      </c>
      <c r="AE225" s="1">
        <f ca="1">IFERROR(__xludf.DUMMYFUNCTION("""COMPUTED_VALUE"""),408)</f>
        <v>408</v>
      </c>
      <c r="AF225" s="1">
        <f ca="1">IFERROR(__xludf.DUMMYFUNCTION("""COMPUTED_VALUE"""),559)</f>
        <v>559</v>
      </c>
    </row>
    <row r="226" spans="1:32" ht="12.5" x14ac:dyDescent="0.25">
      <c r="A226" s="1" t="str">
        <f ca="1">IFERROR(__xludf.DUMMYFUNCTION("""COMPUTED_VALUE"""),"Nicholls State")</f>
        <v>Nicholls State</v>
      </c>
      <c r="B226" s="1">
        <f ca="1">IFERROR(__xludf.DUMMYFUNCTION("""COMPUTED_VALUE"""),29)</f>
        <v>29</v>
      </c>
      <c r="C226" s="1">
        <f ca="1">IFERROR(__xludf.DUMMYFUNCTION("""COMPUTED_VALUE"""),10)</f>
        <v>10</v>
      </c>
      <c r="D226" s="1">
        <f ca="1">IFERROR(__xludf.DUMMYFUNCTION("""COMPUTED_VALUE"""),19)</f>
        <v>19</v>
      </c>
      <c r="E226" s="1">
        <f ca="1">IFERROR(__xludf.DUMMYFUNCTION("""COMPUTED_VALUE"""),0.345)</f>
        <v>0.34499999999999997</v>
      </c>
      <c r="F226" s="1">
        <f ca="1">IFERROR(__xludf.DUMMYFUNCTION("""COMPUTED_VALUE"""),-15.84)</f>
        <v>-15.84</v>
      </c>
      <c r="G226" s="1">
        <f ca="1">IFERROR(__xludf.DUMMYFUNCTION("""COMPUTED_VALUE"""),-5.3)</f>
        <v>-5.3</v>
      </c>
      <c r="H226" s="1">
        <f ca="1">IFERROR(__xludf.DUMMYFUNCTION("""COMPUTED_VALUE"""),7)</f>
        <v>7</v>
      </c>
      <c r="I226" s="1">
        <f ca="1">IFERROR(__xludf.DUMMYFUNCTION("""COMPUTED_VALUE"""),11)</f>
        <v>11</v>
      </c>
      <c r="J226" s="1">
        <f ca="1">IFERROR(__xludf.DUMMYFUNCTION("""COMPUTED_VALUE"""),7)</f>
        <v>7</v>
      </c>
      <c r="K226" s="1">
        <f ca="1">IFERROR(__xludf.DUMMYFUNCTION("""COMPUTED_VALUE"""),6)</f>
        <v>6</v>
      </c>
      <c r="L226" s="1">
        <f ca="1">IFERROR(__xludf.DUMMYFUNCTION("""COMPUTED_VALUE"""),3)</f>
        <v>3</v>
      </c>
      <c r="M226" s="1">
        <f ca="1">IFERROR(__xludf.DUMMYFUNCTION("""COMPUTED_VALUE"""),12)</f>
        <v>12</v>
      </c>
      <c r="N226" s="1">
        <f ca="1">IFERROR(__xludf.DUMMYFUNCTION("""COMPUTED_VALUE"""),1885)</f>
        <v>1885</v>
      </c>
      <c r="O226" s="1">
        <f ca="1">IFERROR(__xludf.DUMMYFUNCTION("""COMPUTED_VALUE"""),2117)</f>
        <v>2117</v>
      </c>
      <c r="P226" s="1">
        <f ca="1">IFERROR(__xludf.DUMMYFUNCTION("""COMPUTED_VALUE"""),1170)</f>
        <v>1170</v>
      </c>
      <c r="Q226" s="1">
        <f ca="1">IFERROR(__xludf.DUMMYFUNCTION("""COMPUTED_VALUE"""),662)</f>
        <v>662</v>
      </c>
      <c r="R226" s="1">
        <f ca="1">IFERROR(__xludf.DUMMYFUNCTION("""COMPUTED_VALUE"""),1511)</f>
        <v>1511</v>
      </c>
      <c r="S226" s="1">
        <f ca="1">IFERROR(__xludf.DUMMYFUNCTION("""COMPUTED_VALUE"""),0.438)</f>
        <v>0.438</v>
      </c>
      <c r="T226" s="1">
        <f ca="1">IFERROR(__xludf.DUMMYFUNCTION("""COMPUTED_VALUE"""),155)</f>
        <v>155</v>
      </c>
      <c r="U226" s="1">
        <f ca="1">IFERROR(__xludf.DUMMYFUNCTION("""COMPUTED_VALUE"""),496)</f>
        <v>496</v>
      </c>
      <c r="V226" s="1">
        <f ca="1">IFERROR(__xludf.DUMMYFUNCTION("""COMPUTED_VALUE"""),0.313)</f>
        <v>0.313</v>
      </c>
      <c r="W226" s="1">
        <f ca="1">IFERROR(__xludf.DUMMYFUNCTION("""COMPUTED_VALUE"""),404)</f>
        <v>404</v>
      </c>
      <c r="X226" s="1">
        <f ca="1">IFERROR(__xludf.DUMMYFUNCTION("""COMPUTED_VALUE"""),645)</f>
        <v>645</v>
      </c>
      <c r="Y226" s="1">
        <f ca="1">IFERROR(__xludf.DUMMYFUNCTION("""COMPUTED_VALUE"""),0.626)</f>
        <v>0.626</v>
      </c>
      <c r="Z226" s="1">
        <f ca="1">IFERROR(__xludf.DUMMYFUNCTION("""COMPUTED_VALUE"""),314)</f>
        <v>314</v>
      </c>
      <c r="AA226" s="1">
        <f ca="1">IFERROR(__xludf.DUMMYFUNCTION("""COMPUTED_VALUE"""),981)</f>
        <v>981</v>
      </c>
      <c r="AB226" s="1">
        <f ca="1">IFERROR(__xludf.DUMMYFUNCTION("""COMPUTED_VALUE"""),367)</f>
        <v>367</v>
      </c>
      <c r="AC226" s="1">
        <f ca="1">IFERROR(__xludf.DUMMYFUNCTION("""COMPUTED_VALUE"""),201)</f>
        <v>201</v>
      </c>
      <c r="AD226" s="1">
        <f ca="1">IFERROR(__xludf.DUMMYFUNCTION("""COMPUTED_VALUE"""),120)</f>
        <v>120</v>
      </c>
      <c r="AE226" s="1">
        <f ca="1">IFERROR(__xludf.DUMMYFUNCTION("""COMPUTED_VALUE"""),492)</f>
        <v>492</v>
      </c>
      <c r="AF226" s="1">
        <f ca="1">IFERROR(__xludf.DUMMYFUNCTION("""COMPUTED_VALUE"""),635)</f>
        <v>635</v>
      </c>
    </row>
    <row r="227" spans="1:32" ht="12.5" x14ac:dyDescent="0.25">
      <c r="A227" s="1" t="str">
        <f ca="1">IFERROR(__xludf.DUMMYFUNCTION("""COMPUTED_VALUE"""),"NJIT")</f>
        <v>NJIT</v>
      </c>
      <c r="B227" s="1">
        <f ca="1">IFERROR(__xludf.DUMMYFUNCTION("""COMPUTED_VALUE"""),33)</f>
        <v>33</v>
      </c>
      <c r="C227" s="1">
        <f ca="1">IFERROR(__xludf.DUMMYFUNCTION("""COMPUTED_VALUE"""),21)</f>
        <v>21</v>
      </c>
      <c r="D227" s="1">
        <f ca="1">IFERROR(__xludf.DUMMYFUNCTION("""COMPUTED_VALUE"""),12)</f>
        <v>12</v>
      </c>
      <c r="E227" s="1">
        <f ca="1">IFERROR(__xludf.DUMMYFUNCTION("""COMPUTED_VALUE"""),0.636)</f>
        <v>0.63600000000000001</v>
      </c>
      <c r="F227" s="1">
        <f ca="1">IFERROR(__xludf.DUMMYFUNCTION("""COMPUTED_VALUE"""),-3.21)</f>
        <v>-3.21</v>
      </c>
      <c r="G227" s="1">
        <f ca="1">IFERROR(__xludf.DUMMYFUNCTION("""COMPUTED_VALUE"""),-4.07)</f>
        <v>-4.07</v>
      </c>
      <c r="H227" s="1">
        <f ca="1">IFERROR(__xludf.DUMMYFUNCTION("""COMPUTED_VALUE"""),0)</f>
        <v>0</v>
      </c>
      <c r="I227" s="1">
        <f ca="1">IFERROR(__xludf.DUMMYFUNCTION("""COMPUTED_VALUE"""),0)</f>
        <v>0</v>
      </c>
      <c r="J227" s="1">
        <f ca="1">IFERROR(__xludf.DUMMYFUNCTION("""COMPUTED_VALUE"""),15)</f>
        <v>15</v>
      </c>
      <c r="K227" s="1">
        <f ca="1">IFERROR(__xludf.DUMMYFUNCTION("""COMPUTED_VALUE"""),2)</f>
        <v>2</v>
      </c>
      <c r="L227" s="1">
        <f ca="1">IFERROR(__xludf.DUMMYFUNCTION("""COMPUTED_VALUE"""),6)</f>
        <v>6</v>
      </c>
      <c r="M227" s="1">
        <f ca="1">IFERROR(__xludf.DUMMYFUNCTION("""COMPUTED_VALUE"""),10)</f>
        <v>10</v>
      </c>
      <c r="N227" s="1">
        <f ca="1">IFERROR(__xludf.DUMMYFUNCTION("""COMPUTED_VALUE"""),2368)</f>
        <v>2368</v>
      </c>
      <c r="O227" s="1">
        <f ca="1">IFERROR(__xludf.DUMMYFUNCTION("""COMPUTED_VALUE"""),2229)</f>
        <v>2229</v>
      </c>
      <c r="P227" s="1">
        <f ca="1">IFERROR(__xludf.DUMMYFUNCTION("""COMPUTED_VALUE"""),1320)</f>
        <v>1320</v>
      </c>
      <c r="Q227" s="1">
        <f ca="1">IFERROR(__xludf.DUMMYFUNCTION("""COMPUTED_VALUE"""),808)</f>
        <v>808</v>
      </c>
      <c r="R227" s="1">
        <f ca="1">IFERROR(__xludf.DUMMYFUNCTION("""COMPUTED_VALUE"""),1768)</f>
        <v>1768</v>
      </c>
      <c r="S227" s="1">
        <f ca="1">IFERROR(__xludf.DUMMYFUNCTION("""COMPUTED_VALUE"""),0.457)</f>
        <v>0.45700000000000002</v>
      </c>
      <c r="T227" s="1">
        <f ca="1">IFERROR(__xludf.DUMMYFUNCTION("""COMPUTED_VALUE"""),279)</f>
        <v>279</v>
      </c>
      <c r="U227" s="1">
        <f ca="1">IFERROR(__xludf.DUMMYFUNCTION("""COMPUTED_VALUE"""),742)</f>
        <v>742</v>
      </c>
      <c r="V227" s="1">
        <f ca="1">IFERROR(__xludf.DUMMYFUNCTION("""COMPUTED_VALUE"""),0.376)</f>
        <v>0.376</v>
      </c>
      <c r="W227" s="1">
        <f ca="1">IFERROR(__xludf.DUMMYFUNCTION("""COMPUTED_VALUE"""),473)</f>
        <v>473</v>
      </c>
      <c r="X227" s="1">
        <f ca="1">IFERROR(__xludf.DUMMYFUNCTION("""COMPUTED_VALUE"""),680)</f>
        <v>680</v>
      </c>
      <c r="Y227" s="1">
        <f ca="1">IFERROR(__xludf.DUMMYFUNCTION("""COMPUTED_VALUE"""),0.696)</f>
        <v>0.69599999999999995</v>
      </c>
      <c r="Z227" s="1">
        <f ca="1">IFERROR(__xludf.DUMMYFUNCTION("""COMPUTED_VALUE"""),319)</f>
        <v>319</v>
      </c>
      <c r="AA227" s="1">
        <f ca="1">IFERROR(__xludf.DUMMYFUNCTION("""COMPUTED_VALUE"""),1110)</f>
        <v>1110</v>
      </c>
      <c r="AB227" s="1">
        <f ca="1">IFERROR(__xludf.DUMMYFUNCTION("""COMPUTED_VALUE"""),492)</f>
        <v>492</v>
      </c>
      <c r="AC227" s="1">
        <f ca="1">IFERROR(__xludf.DUMMYFUNCTION("""COMPUTED_VALUE"""),232)</f>
        <v>232</v>
      </c>
      <c r="AD227" s="1">
        <f ca="1">IFERROR(__xludf.DUMMYFUNCTION("""COMPUTED_VALUE"""),149)</f>
        <v>149</v>
      </c>
      <c r="AE227" s="1">
        <f ca="1">IFERROR(__xludf.DUMMYFUNCTION("""COMPUTED_VALUE"""),450)</f>
        <v>450</v>
      </c>
      <c r="AF227" s="1">
        <f ca="1">IFERROR(__xludf.DUMMYFUNCTION("""COMPUTED_VALUE"""),646)</f>
        <v>646</v>
      </c>
    </row>
    <row r="228" spans="1:32" ht="12.5" x14ac:dyDescent="0.25">
      <c r="A228" s="1" t="str">
        <f ca="1">IFERROR(__xludf.DUMMYFUNCTION("""COMPUTED_VALUE"""),"Norfolk State")</f>
        <v>Norfolk State</v>
      </c>
      <c r="B228" s="1">
        <f ca="1">IFERROR(__xludf.DUMMYFUNCTION("""COMPUTED_VALUE"""),34)</f>
        <v>34</v>
      </c>
      <c r="C228" s="1">
        <f ca="1">IFERROR(__xludf.DUMMYFUNCTION("""COMPUTED_VALUE"""),20)</f>
        <v>20</v>
      </c>
      <c r="D228" s="1">
        <f ca="1">IFERROR(__xludf.DUMMYFUNCTION("""COMPUTED_VALUE"""),14)</f>
        <v>14</v>
      </c>
      <c r="E228" s="1">
        <f ca="1">IFERROR(__xludf.DUMMYFUNCTION("""COMPUTED_VALUE"""),0.588)</f>
        <v>0.58799999999999997</v>
      </c>
      <c r="F228" s="1">
        <f ca="1">IFERROR(__xludf.DUMMYFUNCTION("""COMPUTED_VALUE"""),-4.66)</f>
        <v>-4.66</v>
      </c>
      <c r="G228" s="1">
        <f ca="1">IFERROR(__xludf.DUMMYFUNCTION("""COMPUTED_VALUE"""),-6.35)</f>
        <v>-6.35</v>
      </c>
      <c r="H228" s="1">
        <f ca="1">IFERROR(__xludf.DUMMYFUNCTION("""COMPUTED_VALUE"""),12)</f>
        <v>12</v>
      </c>
      <c r="I228" s="1">
        <f ca="1">IFERROR(__xludf.DUMMYFUNCTION("""COMPUTED_VALUE"""),4)</f>
        <v>4</v>
      </c>
      <c r="J228" s="1">
        <f ca="1">IFERROR(__xludf.DUMMYFUNCTION("""COMPUTED_VALUE"""),10)</f>
        <v>10</v>
      </c>
      <c r="K228" s="1">
        <f ca="1">IFERROR(__xludf.DUMMYFUNCTION("""COMPUTED_VALUE"""),3)</f>
        <v>3</v>
      </c>
      <c r="L228" s="1">
        <f ca="1">IFERROR(__xludf.DUMMYFUNCTION("""COMPUTED_VALUE"""),7)</f>
        <v>7</v>
      </c>
      <c r="M228" s="1">
        <f ca="1">IFERROR(__xludf.DUMMYFUNCTION("""COMPUTED_VALUE"""),10)</f>
        <v>10</v>
      </c>
      <c r="N228" s="1">
        <f ca="1">IFERROR(__xludf.DUMMYFUNCTION("""COMPUTED_VALUE"""),2385)</f>
        <v>2385</v>
      </c>
      <c r="O228" s="1">
        <f ca="1">IFERROR(__xludf.DUMMYFUNCTION("""COMPUTED_VALUE"""),2254)</f>
        <v>2254</v>
      </c>
      <c r="P228" s="1">
        <f ca="1">IFERROR(__xludf.DUMMYFUNCTION("""COMPUTED_VALUE"""),1380)</f>
        <v>1380</v>
      </c>
      <c r="Q228" s="1">
        <f ca="1">IFERROR(__xludf.DUMMYFUNCTION("""COMPUTED_VALUE"""),850)</f>
        <v>850</v>
      </c>
      <c r="R228" s="1">
        <f ca="1">IFERROR(__xludf.DUMMYFUNCTION("""COMPUTED_VALUE"""),1801)</f>
        <v>1801</v>
      </c>
      <c r="S228" s="1">
        <f ca="1">IFERROR(__xludf.DUMMYFUNCTION("""COMPUTED_VALUE"""),0.472)</f>
        <v>0.47199999999999998</v>
      </c>
      <c r="T228" s="1">
        <f ca="1">IFERROR(__xludf.DUMMYFUNCTION("""COMPUTED_VALUE"""),190)</f>
        <v>190</v>
      </c>
      <c r="U228" s="1">
        <f ca="1">IFERROR(__xludf.DUMMYFUNCTION("""COMPUTED_VALUE"""),549)</f>
        <v>549</v>
      </c>
      <c r="V228" s="1">
        <f ca="1">IFERROR(__xludf.DUMMYFUNCTION("""COMPUTED_VALUE"""),0.346)</f>
        <v>0.34599999999999997</v>
      </c>
      <c r="W228" s="1">
        <f ca="1">IFERROR(__xludf.DUMMYFUNCTION("""COMPUTED_VALUE"""),495)</f>
        <v>495</v>
      </c>
      <c r="X228" s="1">
        <f ca="1">IFERROR(__xludf.DUMMYFUNCTION("""COMPUTED_VALUE"""),751)</f>
        <v>751</v>
      </c>
      <c r="Y228" s="1">
        <f ca="1">IFERROR(__xludf.DUMMYFUNCTION("""COMPUTED_VALUE"""),0.659)</f>
        <v>0.65900000000000003</v>
      </c>
      <c r="Z228" s="1">
        <f ca="1">IFERROR(__xludf.DUMMYFUNCTION("""COMPUTED_VALUE"""),370)</f>
        <v>370</v>
      </c>
      <c r="AA228" s="1">
        <f ca="1">IFERROR(__xludf.DUMMYFUNCTION("""COMPUTED_VALUE"""),1224)</f>
        <v>1224</v>
      </c>
      <c r="AB228" s="1">
        <f ca="1">IFERROR(__xludf.DUMMYFUNCTION("""COMPUTED_VALUE"""),459)</f>
        <v>459</v>
      </c>
      <c r="AC228" s="1">
        <f ca="1">IFERROR(__xludf.DUMMYFUNCTION("""COMPUTED_VALUE"""),173)</f>
        <v>173</v>
      </c>
      <c r="AD228" s="1">
        <f ca="1">IFERROR(__xludf.DUMMYFUNCTION("""COMPUTED_VALUE"""),167)</f>
        <v>167</v>
      </c>
      <c r="AE228" s="1">
        <f ca="1">IFERROR(__xludf.DUMMYFUNCTION("""COMPUTED_VALUE"""),460)</f>
        <v>460</v>
      </c>
      <c r="AF228" s="1">
        <f ca="1">IFERROR(__xludf.DUMMYFUNCTION("""COMPUTED_VALUE"""),668)</f>
        <v>668</v>
      </c>
    </row>
    <row r="229" spans="1:32" ht="12.5" x14ac:dyDescent="0.25">
      <c r="A229" s="1" t="str">
        <f ca="1">IFERROR(__xludf.DUMMYFUNCTION("""COMPUTED_VALUE"""),"North Carolina-Asheville")</f>
        <v>North Carolina-Asheville</v>
      </c>
      <c r="B229" s="1">
        <f ca="1">IFERROR(__xludf.DUMMYFUNCTION("""COMPUTED_VALUE"""),31)</f>
        <v>31</v>
      </c>
      <c r="C229" s="1">
        <f ca="1">IFERROR(__xludf.DUMMYFUNCTION("""COMPUTED_VALUE"""),15)</f>
        <v>15</v>
      </c>
      <c r="D229" s="1">
        <f ca="1">IFERROR(__xludf.DUMMYFUNCTION("""COMPUTED_VALUE"""),16)</f>
        <v>16</v>
      </c>
      <c r="E229" s="1">
        <f ca="1">IFERROR(__xludf.DUMMYFUNCTION("""COMPUTED_VALUE"""),0.484)</f>
        <v>0.48399999999999999</v>
      </c>
      <c r="F229" s="1">
        <f ca="1">IFERROR(__xludf.DUMMYFUNCTION("""COMPUTED_VALUE"""),-7.19)</f>
        <v>-7.19</v>
      </c>
      <c r="G229" s="1">
        <f ca="1">IFERROR(__xludf.DUMMYFUNCTION("""COMPUTED_VALUE"""),-5.65)</f>
        <v>-5.65</v>
      </c>
      <c r="H229" s="1">
        <f ca="1">IFERROR(__xludf.DUMMYFUNCTION("""COMPUTED_VALUE"""),10)</f>
        <v>10</v>
      </c>
      <c r="I229" s="1">
        <f ca="1">IFERROR(__xludf.DUMMYFUNCTION("""COMPUTED_VALUE"""),8)</f>
        <v>8</v>
      </c>
      <c r="J229" s="1">
        <f ca="1">IFERROR(__xludf.DUMMYFUNCTION("""COMPUTED_VALUE"""),8)</f>
        <v>8</v>
      </c>
      <c r="K229" s="1">
        <f ca="1">IFERROR(__xludf.DUMMYFUNCTION("""COMPUTED_VALUE"""),6)</f>
        <v>6</v>
      </c>
      <c r="L229" s="1">
        <f ca="1">IFERROR(__xludf.DUMMYFUNCTION("""COMPUTED_VALUE"""),6)</f>
        <v>6</v>
      </c>
      <c r="M229" s="1">
        <f ca="1">IFERROR(__xludf.DUMMYFUNCTION("""COMPUTED_VALUE"""),10)</f>
        <v>10</v>
      </c>
      <c r="N229" s="1">
        <f ca="1">IFERROR(__xludf.DUMMYFUNCTION("""COMPUTED_VALUE"""),2242)</f>
        <v>2242</v>
      </c>
      <c r="O229" s="1">
        <f ca="1">IFERROR(__xludf.DUMMYFUNCTION("""COMPUTED_VALUE"""),2183)</f>
        <v>2183</v>
      </c>
      <c r="P229" s="1">
        <f ca="1">IFERROR(__xludf.DUMMYFUNCTION("""COMPUTED_VALUE"""),1245)</f>
        <v>1245</v>
      </c>
      <c r="Q229" s="1">
        <f ca="1">IFERROR(__xludf.DUMMYFUNCTION("""COMPUTED_VALUE"""),780)</f>
        <v>780</v>
      </c>
      <c r="R229" s="1">
        <f ca="1">IFERROR(__xludf.DUMMYFUNCTION("""COMPUTED_VALUE"""),1774)</f>
        <v>1774</v>
      </c>
      <c r="S229" s="1">
        <f ca="1">IFERROR(__xludf.DUMMYFUNCTION("""COMPUTED_VALUE"""),0.44)</f>
        <v>0.44</v>
      </c>
      <c r="T229" s="1">
        <f ca="1">IFERROR(__xludf.DUMMYFUNCTION("""COMPUTED_VALUE"""),233)</f>
        <v>233</v>
      </c>
      <c r="U229" s="1">
        <f ca="1">IFERROR(__xludf.DUMMYFUNCTION("""COMPUTED_VALUE"""),652)</f>
        <v>652</v>
      </c>
      <c r="V229" s="1">
        <f ca="1">IFERROR(__xludf.DUMMYFUNCTION("""COMPUTED_VALUE"""),0.357)</f>
        <v>0.35699999999999998</v>
      </c>
      <c r="W229" s="1">
        <f ca="1">IFERROR(__xludf.DUMMYFUNCTION("""COMPUTED_VALUE"""),449)</f>
        <v>449</v>
      </c>
      <c r="X229" s="1">
        <f ca="1">IFERROR(__xludf.DUMMYFUNCTION("""COMPUTED_VALUE"""),619)</f>
        <v>619</v>
      </c>
      <c r="Y229" s="1">
        <f ca="1">IFERROR(__xludf.DUMMYFUNCTION("""COMPUTED_VALUE"""),0.725)</f>
        <v>0.72499999999999998</v>
      </c>
      <c r="Z229" s="1">
        <f ca="1">IFERROR(__xludf.DUMMYFUNCTION("""COMPUTED_VALUE"""),352)</f>
        <v>352</v>
      </c>
      <c r="AA229" s="1">
        <f ca="1">IFERROR(__xludf.DUMMYFUNCTION("""COMPUTED_VALUE"""),1120)</f>
        <v>1120</v>
      </c>
      <c r="AB229" s="1">
        <f ca="1">IFERROR(__xludf.DUMMYFUNCTION("""COMPUTED_VALUE"""),423)</f>
        <v>423</v>
      </c>
      <c r="AC229" s="1">
        <f ca="1">IFERROR(__xludf.DUMMYFUNCTION("""COMPUTED_VALUE"""),228)</f>
        <v>228</v>
      </c>
      <c r="AD229" s="1">
        <f ca="1">IFERROR(__xludf.DUMMYFUNCTION("""COMPUTED_VALUE"""),144)</f>
        <v>144</v>
      </c>
      <c r="AE229" s="1">
        <f ca="1">IFERROR(__xludf.DUMMYFUNCTION("""COMPUTED_VALUE"""),437)</f>
        <v>437</v>
      </c>
      <c r="AF229" s="1">
        <f ca="1">IFERROR(__xludf.DUMMYFUNCTION("""COMPUTED_VALUE"""),594)</f>
        <v>594</v>
      </c>
    </row>
    <row r="230" spans="1:32" ht="12.5" x14ac:dyDescent="0.25">
      <c r="A230" s="1" t="str">
        <f ca="1">IFERROR(__xludf.DUMMYFUNCTION("""COMPUTED_VALUE"""),"North Carolina A&amp;T")</f>
        <v>North Carolina A&amp;T</v>
      </c>
      <c r="B230" s="1">
        <f ca="1">IFERROR(__xludf.DUMMYFUNCTION("""COMPUTED_VALUE"""),32)</f>
        <v>32</v>
      </c>
      <c r="C230" s="1">
        <f ca="1">IFERROR(__xludf.DUMMYFUNCTION("""COMPUTED_VALUE"""),9)</f>
        <v>9</v>
      </c>
      <c r="D230" s="1">
        <f ca="1">IFERROR(__xludf.DUMMYFUNCTION("""COMPUTED_VALUE"""),23)</f>
        <v>23</v>
      </c>
      <c r="E230" s="1">
        <f ca="1">IFERROR(__xludf.DUMMYFUNCTION("""COMPUTED_VALUE"""),0.281)</f>
        <v>0.28100000000000003</v>
      </c>
      <c r="F230" s="1">
        <f ca="1">IFERROR(__xludf.DUMMYFUNCTION("""COMPUTED_VALUE"""),-16.76)</f>
        <v>-16.760000000000002</v>
      </c>
      <c r="G230" s="1">
        <f ca="1">IFERROR(__xludf.DUMMYFUNCTION("""COMPUTED_VALUE"""),-8.02)</f>
        <v>-8.02</v>
      </c>
      <c r="H230" s="1">
        <f ca="1">IFERROR(__xludf.DUMMYFUNCTION("""COMPUTED_VALUE"""),6)</f>
        <v>6</v>
      </c>
      <c r="I230" s="1">
        <f ca="1">IFERROR(__xludf.DUMMYFUNCTION("""COMPUTED_VALUE"""),10)</f>
        <v>10</v>
      </c>
      <c r="J230" s="1">
        <f ca="1">IFERROR(__xludf.DUMMYFUNCTION("""COMPUTED_VALUE"""),7)</f>
        <v>7</v>
      </c>
      <c r="K230" s="1">
        <f ca="1">IFERROR(__xludf.DUMMYFUNCTION("""COMPUTED_VALUE"""),5)</f>
        <v>5</v>
      </c>
      <c r="L230" s="1">
        <f ca="1">IFERROR(__xludf.DUMMYFUNCTION("""COMPUTED_VALUE"""),2)</f>
        <v>2</v>
      </c>
      <c r="M230" s="1">
        <f ca="1">IFERROR(__xludf.DUMMYFUNCTION("""COMPUTED_VALUE"""),15)</f>
        <v>15</v>
      </c>
      <c r="N230" s="1">
        <f ca="1">IFERROR(__xludf.DUMMYFUNCTION("""COMPUTED_VALUE"""),1884)</f>
        <v>1884</v>
      </c>
      <c r="O230" s="1">
        <f ca="1">IFERROR(__xludf.DUMMYFUNCTION("""COMPUTED_VALUE"""),2112)</f>
        <v>2112</v>
      </c>
      <c r="P230" s="1">
        <f ca="1">IFERROR(__xludf.DUMMYFUNCTION("""COMPUTED_VALUE"""),1285)</f>
        <v>1285</v>
      </c>
      <c r="Q230" s="1">
        <f ca="1">IFERROR(__xludf.DUMMYFUNCTION("""COMPUTED_VALUE"""),648)</f>
        <v>648</v>
      </c>
      <c r="R230" s="1">
        <f ca="1">IFERROR(__xludf.DUMMYFUNCTION("""COMPUTED_VALUE"""),1622)</f>
        <v>1622</v>
      </c>
      <c r="S230" s="1">
        <f ca="1">IFERROR(__xludf.DUMMYFUNCTION("""COMPUTED_VALUE"""),0.4)</f>
        <v>0.4</v>
      </c>
      <c r="T230" s="1">
        <f ca="1">IFERROR(__xludf.DUMMYFUNCTION("""COMPUTED_VALUE"""),157)</f>
        <v>157</v>
      </c>
      <c r="U230" s="1">
        <f ca="1">IFERROR(__xludf.DUMMYFUNCTION("""COMPUTED_VALUE"""),555)</f>
        <v>555</v>
      </c>
      <c r="V230" s="1">
        <f ca="1">IFERROR(__xludf.DUMMYFUNCTION("""COMPUTED_VALUE"""),0.283)</f>
        <v>0.28299999999999997</v>
      </c>
      <c r="W230" s="1">
        <f ca="1">IFERROR(__xludf.DUMMYFUNCTION("""COMPUTED_VALUE"""),431)</f>
        <v>431</v>
      </c>
      <c r="X230" s="1">
        <f ca="1">IFERROR(__xludf.DUMMYFUNCTION("""COMPUTED_VALUE"""),633)</f>
        <v>633</v>
      </c>
      <c r="Y230" s="1">
        <f ca="1">IFERROR(__xludf.DUMMYFUNCTION("""COMPUTED_VALUE"""),0.681)</f>
        <v>0.68100000000000005</v>
      </c>
      <c r="Z230" s="1">
        <f ca="1">IFERROR(__xludf.DUMMYFUNCTION("""COMPUTED_VALUE"""),366)</f>
        <v>366</v>
      </c>
      <c r="AA230" s="1">
        <f ca="1">IFERROR(__xludf.DUMMYFUNCTION("""COMPUTED_VALUE"""),1066)</f>
        <v>1066</v>
      </c>
      <c r="AB230" s="1">
        <f ca="1">IFERROR(__xludf.DUMMYFUNCTION("""COMPUTED_VALUE"""),297)</f>
        <v>297</v>
      </c>
      <c r="AC230" s="1">
        <f ca="1">IFERROR(__xludf.DUMMYFUNCTION("""COMPUTED_VALUE"""),170)</f>
        <v>170</v>
      </c>
      <c r="AD230" s="1">
        <f ca="1">IFERROR(__xludf.DUMMYFUNCTION("""COMPUTED_VALUE"""),127)</f>
        <v>127</v>
      </c>
      <c r="AE230" s="1">
        <f ca="1">IFERROR(__xludf.DUMMYFUNCTION("""COMPUTED_VALUE"""),483)</f>
        <v>483</v>
      </c>
      <c r="AF230" s="1">
        <f ca="1">IFERROR(__xludf.DUMMYFUNCTION("""COMPUTED_VALUE"""),594)</f>
        <v>594</v>
      </c>
    </row>
    <row r="231" spans="1:32" ht="12.5" x14ac:dyDescent="0.25">
      <c r="A231" s="1" t="str">
        <f ca="1">IFERROR(__xludf.DUMMYFUNCTION("""COMPUTED_VALUE"""),"North Carolina Central")</f>
        <v>North Carolina Central</v>
      </c>
      <c r="B231" s="1">
        <f ca="1">IFERROR(__xludf.DUMMYFUNCTION("""COMPUTED_VALUE"""),33)</f>
        <v>33</v>
      </c>
      <c r="C231" s="1">
        <f ca="1">IFERROR(__xludf.DUMMYFUNCTION("""COMPUTED_VALUE"""),25)</f>
        <v>25</v>
      </c>
      <c r="D231" s="1">
        <f ca="1">IFERROR(__xludf.DUMMYFUNCTION("""COMPUTED_VALUE"""),8)</f>
        <v>8</v>
      </c>
      <c r="E231" s="1">
        <f ca="1">IFERROR(__xludf.DUMMYFUNCTION("""COMPUTED_VALUE"""),0.758)</f>
        <v>0.75800000000000001</v>
      </c>
      <c r="F231" s="1">
        <f ca="1">IFERROR(__xludf.DUMMYFUNCTION("""COMPUTED_VALUE"""),0.66)</f>
        <v>0.66</v>
      </c>
      <c r="G231" s="1">
        <f ca="1">IFERROR(__xludf.DUMMYFUNCTION("""COMPUTED_VALUE"""),-8.67)</f>
        <v>-8.67</v>
      </c>
      <c r="H231" s="1">
        <f ca="1">IFERROR(__xludf.DUMMYFUNCTION("""COMPUTED_VALUE"""),16)</f>
        <v>16</v>
      </c>
      <c r="I231" s="1">
        <f ca="1">IFERROR(__xludf.DUMMYFUNCTION("""COMPUTED_VALUE"""),0)</f>
        <v>0</v>
      </c>
      <c r="J231" s="1">
        <f ca="1">IFERROR(__xludf.DUMMYFUNCTION("""COMPUTED_VALUE"""),12)</f>
        <v>12</v>
      </c>
      <c r="K231" s="1">
        <f ca="1">IFERROR(__xludf.DUMMYFUNCTION("""COMPUTED_VALUE"""),0)</f>
        <v>0</v>
      </c>
      <c r="L231" s="1">
        <f ca="1">IFERROR(__xludf.DUMMYFUNCTION("""COMPUTED_VALUE"""),9)</f>
        <v>9</v>
      </c>
      <c r="M231" s="1">
        <f ca="1">IFERROR(__xludf.DUMMYFUNCTION("""COMPUTED_VALUE"""),7)</f>
        <v>7</v>
      </c>
      <c r="N231" s="1">
        <f ca="1">IFERROR(__xludf.DUMMYFUNCTION("""COMPUTED_VALUE"""),2278)</f>
        <v>2278</v>
      </c>
      <c r="O231" s="1">
        <f ca="1">IFERROR(__xludf.DUMMYFUNCTION("""COMPUTED_VALUE"""),1821)</f>
        <v>1821</v>
      </c>
      <c r="P231" s="1">
        <f ca="1">IFERROR(__xludf.DUMMYFUNCTION("""COMPUTED_VALUE"""),1325)</f>
        <v>1325</v>
      </c>
      <c r="Q231" s="1">
        <f ca="1">IFERROR(__xludf.DUMMYFUNCTION("""COMPUTED_VALUE"""),813)</f>
        <v>813</v>
      </c>
      <c r="R231" s="1">
        <f ca="1">IFERROR(__xludf.DUMMYFUNCTION("""COMPUTED_VALUE"""),1668)</f>
        <v>1668</v>
      </c>
      <c r="S231" s="1">
        <f ca="1">IFERROR(__xludf.DUMMYFUNCTION("""COMPUTED_VALUE"""),0.487)</f>
        <v>0.48699999999999999</v>
      </c>
      <c r="T231" s="1">
        <f ca="1">IFERROR(__xludf.DUMMYFUNCTION("""COMPUTED_VALUE"""),219)</f>
        <v>219</v>
      </c>
      <c r="U231" s="1">
        <f ca="1">IFERROR(__xludf.DUMMYFUNCTION("""COMPUTED_VALUE"""),593)</f>
        <v>593</v>
      </c>
      <c r="V231" s="1">
        <f ca="1">IFERROR(__xludf.DUMMYFUNCTION("""COMPUTED_VALUE"""),0.369)</f>
        <v>0.36899999999999999</v>
      </c>
      <c r="W231" s="1">
        <f ca="1">IFERROR(__xludf.DUMMYFUNCTION("""COMPUTED_VALUE"""),433)</f>
        <v>433</v>
      </c>
      <c r="X231" s="1">
        <f ca="1">IFERROR(__xludf.DUMMYFUNCTION("""COMPUTED_VALUE"""),632)</f>
        <v>632</v>
      </c>
      <c r="Y231" s="1">
        <f ca="1">IFERROR(__xludf.DUMMYFUNCTION("""COMPUTED_VALUE"""),0.685)</f>
        <v>0.68500000000000005</v>
      </c>
      <c r="Z231" s="1">
        <f ca="1">IFERROR(__xludf.DUMMYFUNCTION("""COMPUTED_VALUE"""),312)</f>
        <v>312</v>
      </c>
      <c r="AA231" s="1">
        <f ca="1">IFERROR(__xludf.DUMMYFUNCTION("""COMPUTED_VALUE"""),1121)</f>
        <v>1121</v>
      </c>
      <c r="AB231" s="1">
        <f ca="1">IFERROR(__xludf.DUMMYFUNCTION("""COMPUTED_VALUE"""),461)</f>
        <v>461</v>
      </c>
      <c r="AC231" s="1">
        <f ca="1">IFERROR(__xludf.DUMMYFUNCTION("""COMPUTED_VALUE"""),219)</f>
        <v>219</v>
      </c>
      <c r="AD231" s="1">
        <f ca="1">IFERROR(__xludf.DUMMYFUNCTION("""COMPUTED_VALUE"""),134)</f>
        <v>134</v>
      </c>
      <c r="AE231" s="1">
        <f ca="1">IFERROR(__xludf.DUMMYFUNCTION("""COMPUTED_VALUE"""),414)</f>
        <v>414</v>
      </c>
      <c r="AF231" s="1">
        <f ca="1">IFERROR(__xludf.DUMMYFUNCTION("""COMPUTED_VALUE"""),636)</f>
        <v>636</v>
      </c>
    </row>
    <row r="232" spans="1:32" ht="12.5" x14ac:dyDescent="0.25">
      <c r="A232" s="1" t="str">
        <f ca="1">IFERROR(__xludf.DUMMYFUNCTION("""COMPUTED_VALUE"""),"North Carolina-Greensboro")</f>
        <v>North Carolina-Greensboro</v>
      </c>
      <c r="B232" s="1">
        <f ca="1">IFERROR(__xludf.DUMMYFUNCTION("""COMPUTED_VALUE"""),33)</f>
        <v>33</v>
      </c>
      <c r="C232" s="1">
        <f ca="1">IFERROR(__xludf.DUMMYFUNCTION("""COMPUTED_VALUE"""),11)</f>
        <v>11</v>
      </c>
      <c r="D232" s="1">
        <f ca="1">IFERROR(__xludf.DUMMYFUNCTION("""COMPUTED_VALUE"""),22)</f>
        <v>22</v>
      </c>
      <c r="E232" s="1">
        <f ca="1">IFERROR(__xludf.DUMMYFUNCTION("""COMPUTED_VALUE"""),0.333)</f>
        <v>0.33300000000000002</v>
      </c>
      <c r="F232" s="1">
        <f ca="1">IFERROR(__xludf.DUMMYFUNCTION("""COMPUTED_VALUE"""),-7.99)</f>
        <v>-7.99</v>
      </c>
      <c r="G232" s="1">
        <f ca="1">IFERROR(__xludf.DUMMYFUNCTION("""COMPUTED_VALUE"""),-4.36)</f>
        <v>-4.3600000000000003</v>
      </c>
      <c r="H232" s="1">
        <f ca="1">IFERROR(__xludf.DUMMYFUNCTION("""COMPUTED_VALUE"""),6)</f>
        <v>6</v>
      </c>
      <c r="I232" s="1">
        <f ca="1">IFERROR(__xludf.DUMMYFUNCTION("""COMPUTED_VALUE"""),12)</f>
        <v>12</v>
      </c>
      <c r="J232" s="1">
        <f ca="1">IFERROR(__xludf.DUMMYFUNCTION("""COMPUTED_VALUE"""),6)</f>
        <v>6</v>
      </c>
      <c r="K232" s="1">
        <f ca="1">IFERROR(__xludf.DUMMYFUNCTION("""COMPUTED_VALUE"""),10)</f>
        <v>10</v>
      </c>
      <c r="L232" s="1">
        <f ca="1">IFERROR(__xludf.DUMMYFUNCTION("""COMPUTED_VALUE"""),4)</f>
        <v>4</v>
      </c>
      <c r="M232" s="1">
        <f ca="1">IFERROR(__xludf.DUMMYFUNCTION("""COMPUTED_VALUE"""),9)</f>
        <v>9</v>
      </c>
      <c r="N232" s="1">
        <f ca="1">IFERROR(__xludf.DUMMYFUNCTION("""COMPUTED_VALUE"""),2290)</f>
        <v>2290</v>
      </c>
      <c r="O232" s="1">
        <f ca="1">IFERROR(__xludf.DUMMYFUNCTION("""COMPUTED_VALUE"""),2337)</f>
        <v>2337</v>
      </c>
      <c r="P232" s="1">
        <f ca="1">IFERROR(__xludf.DUMMYFUNCTION("""COMPUTED_VALUE"""),1330)</f>
        <v>1330</v>
      </c>
      <c r="Q232" s="1">
        <f ca="1">IFERROR(__xludf.DUMMYFUNCTION("""COMPUTED_VALUE"""),838)</f>
        <v>838</v>
      </c>
      <c r="R232" s="1">
        <f ca="1">IFERROR(__xludf.DUMMYFUNCTION("""COMPUTED_VALUE"""),1895)</f>
        <v>1895</v>
      </c>
      <c r="S232" s="1">
        <f ca="1">IFERROR(__xludf.DUMMYFUNCTION("""COMPUTED_VALUE"""),0.442)</f>
        <v>0.442</v>
      </c>
      <c r="T232" s="1">
        <f ca="1">IFERROR(__xludf.DUMMYFUNCTION("""COMPUTED_VALUE"""),216)</f>
        <v>216</v>
      </c>
      <c r="U232" s="1">
        <f ca="1">IFERROR(__xludf.DUMMYFUNCTION("""COMPUTED_VALUE"""),598)</f>
        <v>598</v>
      </c>
      <c r="V232" s="1">
        <f ca="1">IFERROR(__xludf.DUMMYFUNCTION("""COMPUTED_VALUE"""),0.361)</f>
        <v>0.36099999999999999</v>
      </c>
      <c r="W232" s="1">
        <f ca="1">IFERROR(__xludf.DUMMYFUNCTION("""COMPUTED_VALUE"""),398)</f>
        <v>398</v>
      </c>
      <c r="X232" s="1">
        <f ca="1">IFERROR(__xludf.DUMMYFUNCTION("""COMPUTED_VALUE"""),613)</f>
        <v>613</v>
      </c>
      <c r="Y232" s="1">
        <f ca="1">IFERROR(__xludf.DUMMYFUNCTION("""COMPUTED_VALUE"""),0.649)</f>
        <v>0.64900000000000002</v>
      </c>
      <c r="Z232" s="1">
        <f ca="1">IFERROR(__xludf.DUMMYFUNCTION("""COMPUTED_VALUE"""),364)</f>
        <v>364</v>
      </c>
      <c r="AA232" s="1">
        <f ca="1">IFERROR(__xludf.DUMMYFUNCTION("""COMPUTED_VALUE"""),1138)</f>
        <v>1138</v>
      </c>
      <c r="AB232" s="1">
        <f ca="1">IFERROR(__xludf.DUMMYFUNCTION("""COMPUTED_VALUE"""),400)</f>
        <v>400</v>
      </c>
      <c r="AC232" s="1">
        <f ca="1">IFERROR(__xludf.DUMMYFUNCTION("""COMPUTED_VALUE"""),206)</f>
        <v>206</v>
      </c>
      <c r="AD232" s="1">
        <f ca="1">IFERROR(__xludf.DUMMYFUNCTION("""COMPUTED_VALUE"""),109)</f>
        <v>109</v>
      </c>
      <c r="AE232" s="1">
        <f ca="1">IFERROR(__xludf.DUMMYFUNCTION("""COMPUTED_VALUE"""),414)</f>
        <v>414</v>
      </c>
      <c r="AF232" s="1">
        <f ca="1">IFERROR(__xludf.DUMMYFUNCTION("""COMPUTED_VALUE"""),711)</f>
        <v>711</v>
      </c>
    </row>
    <row r="233" spans="1:32" ht="12.5" x14ac:dyDescent="0.25">
      <c r="A233" s="1" t="str">
        <f ca="1">IFERROR(__xludf.DUMMYFUNCTION("""COMPUTED_VALUE"""),"North Carolina StateNCAA")</f>
        <v>North Carolina StateNCAA</v>
      </c>
      <c r="B233" s="1">
        <f ca="1">IFERROR(__xludf.DUMMYFUNCTION("""COMPUTED_VALUE"""),36)</f>
        <v>36</v>
      </c>
      <c r="C233" s="1">
        <f ca="1">IFERROR(__xludf.DUMMYFUNCTION("""COMPUTED_VALUE"""),22)</f>
        <v>22</v>
      </c>
      <c r="D233" s="1">
        <f ca="1">IFERROR(__xludf.DUMMYFUNCTION("""COMPUTED_VALUE"""),14)</f>
        <v>14</v>
      </c>
      <c r="E233" s="1">
        <f ca="1">IFERROR(__xludf.DUMMYFUNCTION("""COMPUTED_VALUE"""),0.611)</f>
        <v>0.61099999999999999</v>
      </c>
      <c r="F233" s="1">
        <f ca="1">IFERROR(__xludf.DUMMYFUNCTION("""COMPUTED_VALUE"""),14.11)</f>
        <v>14.11</v>
      </c>
      <c r="G233" s="1">
        <f ca="1">IFERROR(__xludf.DUMMYFUNCTION("""COMPUTED_VALUE"""),9.72)</f>
        <v>9.7200000000000006</v>
      </c>
      <c r="H233" s="1">
        <f ca="1">IFERROR(__xludf.DUMMYFUNCTION("""COMPUTED_VALUE"""),10)</f>
        <v>10</v>
      </c>
      <c r="I233" s="1">
        <f ca="1">IFERROR(__xludf.DUMMYFUNCTION("""COMPUTED_VALUE"""),8)</f>
        <v>8</v>
      </c>
      <c r="J233" s="1">
        <f ca="1">IFERROR(__xludf.DUMMYFUNCTION("""COMPUTED_VALUE"""),14)</f>
        <v>14</v>
      </c>
      <c r="K233" s="1">
        <f ca="1">IFERROR(__xludf.DUMMYFUNCTION("""COMPUTED_VALUE"""),6)</f>
        <v>6</v>
      </c>
      <c r="L233" s="1">
        <f ca="1">IFERROR(__xludf.DUMMYFUNCTION("""COMPUTED_VALUE"""),5)</f>
        <v>5</v>
      </c>
      <c r="M233" s="1">
        <f ca="1">IFERROR(__xludf.DUMMYFUNCTION("""COMPUTED_VALUE"""),5)</f>
        <v>5</v>
      </c>
      <c r="N233" s="1">
        <f ca="1">IFERROR(__xludf.DUMMYFUNCTION("""COMPUTED_VALUE"""),2525)</f>
        <v>2525</v>
      </c>
      <c r="O233" s="1">
        <f ca="1">IFERROR(__xludf.DUMMYFUNCTION("""COMPUTED_VALUE"""),2367)</f>
        <v>2367</v>
      </c>
      <c r="P233" s="1">
        <f ca="1">IFERROR(__xludf.DUMMYFUNCTION("""COMPUTED_VALUE"""),1450)</f>
        <v>1450</v>
      </c>
      <c r="Q233" s="1">
        <f ca="1">IFERROR(__xludf.DUMMYFUNCTION("""COMPUTED_VALUE"""),895)</f>
        <v>895</v>
      </c>
      <c r="R233" s="1">
        <f ca="1">IFERROR(__xludf.DUMMYFUNCTION("""COMPUTED_VALUE"""),2054)</f>
        <v>2054</v>
      </c>
      <c r="S233" s="1">
        <f ca="1">IFERROR(__xludf.DUMMYFUNCTION("""COMPUTED_VALUE"""),0.436)</f>
        <v>0.436</v>
      </c>
      <c r="T233" s="1">
        <f ca="1">IFERROR(__xludf.DUMMYFUNCTION("""COMPUTED_VALUE"""),236)</f>
        <v>236</v>
      </c>
      <c r="U233" s="1">
        <f ca="1">IFERROR(__xludf.DUMMYFUNCTION("""COMPUTED_VALUE"""),661)</f>
        <v>661</v>
      </c>
      <c r="V233" s="1">
        <f ca="1">IFERROR(__xludf.DUMMYFUNCTION("""COMPUTED_VALUE"""),0.357)</f>
        <v>0.35699999999999998</v>
      </c>
      <c r="W233" s="1">
        <f ca="1">IFERROR(__xludf.DUMMYFUNCTION("""COMPUTED_VALUE"""),499)</f>
        <v>499</v>
      </c>
      <c r="X233" s="1">
        <f ca="1">IFERROR(__xludf.DUMMYFUNCTION("""COMPUTED_VALUE"""),727)</f>
        <v>727</v>
      </c>
      <c r="Y233" s="1">
        <f ca="1">IFERROR(__xludf.DUMMYFUNCTION("""COMPUTED_VALUE"""),0.686)</f>
        <v>0.68600000000000005</v>
      </c>
      <c r="Z233" s="1">
        <f ca="1">IFERROR(__xludf.DUMMYFUNCTION("""COMPUTED_VALUE"""),435)</f>
        <v>435</v>
      </c>
      <c r="AA233" s="1">
        <f ca="1">IFERROR(__xludf.DUMMYFUNCTION("""COMPUTED_VALUE"""),1369)</f>
        <v>1369</v>
      </c>
      <c r="AB233" s="1">
        <f ca="1">IFERROR(__xludf.DUMMYFUNCTION("""COMPUTED_VALUE"""),415)</f>
        <v>415</v>
      </c>
      <c r="AC233" s="1">
        <f ca="1">IFERROR(__xludf.DUMMYFUNCTION("""COMPUTED_VALUE"""),138)</f>
        <v>138</v>
      </c>
      <c r="AD233" s="1">
        <f ca="1">IFERROR(__xludf.DUMMYFUNCTION("""COMPUTED_VALUE"""),184)</f>
        <v>184</v>
      </c>
      <c r="AE233" s="1">
        <f ca="1">IFERROR(__xludf.DUMMYFUNCTION("""COMPUTED_VALUE"""),375)</f>
        <v>375</v>
      </c>
      <c r="AF233" s="1">
        <f ca="1">IFERROR(__xludf.DUMMYFUNCTION("""COMPUTED_VALUE"""),637)</f>
        <v>637</v>
      </c>
    </row>
    <row r="234" spans="1:32" ht="12.5" x14ac:dyDescent="0.25">
      <c r="A234" s="1" t="str">
        <f ca="1">IFERROR(__xludf.DUMMYFUNCTION("""COMPUTED_VALUE"""),"North Carolina-Wilmington")</f>
        <v>North Carolina-Wilmington</v>
      </c>
      <c r="B234" s="1">
        <f ca="1">IFERROR(__xludf.DUMMYFUNCTION("""COMPUTED_VALUE"""),32)</f>
        <v>32</v>
      </c>
      <c r="C234" s="1">
        <f ca="1">IFERROR(__xludf.DUMMYFUNCTION("""COMPUTED_VALUE"""),18)</f>
        <v>18</v>
      </c>
      <c r="D234" s="1">
        <f ca="1">IFERROR(__xludf.DUMMYFUNCTION("""COMPUTED_VALUE"""),14)</f>
        <v>14</v>
      </c>
      <c r="E234" s="1">
        <f ca="1">IFERROR(__xludf.DUMMYFUNCTION("""COMPUTED_VALUE"""),0.563)</f>
        <v>0.56299999999999994</v>
      </c>
      <c r="F234" s="1">
        <f ca="1">IFERROR(__xludf.DUMMYFUNCTION("""COMPUTED_VALUE"""),-2.53)</f>
        <v>-2.5299999999999998</v>
      </c>
      <c r="G234" s="1">
        <f ca="1">IFERROR(__xludf.DUMMYFUNCTION("""COMPUTED_VALUE"""),-1.92)</f>
        <v>-1.92</v>
      </c>
      <c r="H234" s="1">
        <f ca="1">IFERROR(__xludf.DUMMYFUNCTION("""COMPUTED_VALUE"""),12)</f>
        <v>12</v>
      </c>
      <c r="I234" s="1">
        <f ca="1">IFERROR(__xludf.DUMMYFUNCTION("""COMPUTED_VALUE"""),6)</f>
        <v>6</v>
      </c>
      <c r="J234" s="1">
        <f ca="1">IFERROR(__xludf.DUMMYFUNCTION("""COMPUTED_VALUE"""),10)</f>
        <v>10</v>
      </c>
      <c r="K234" s="1">
        <f ca="1">IFERROR(__xludf.DUMMYFUNCTION("""COMPUTED_VALUE"""),2)</f>
        <v>2</v>
      </c>
      <c r="L234" s="1">
        <f ca="1">IFERROR(__xludf.DUMMYFUNCTION("""COMPUTED_VALUE"""),7)</f>
        <v>7</v>
      </c>
      <c r="M234" s="1">
        <f ca="1">IFERROR(__xludf.DUMMYFUNCTION("""COMPUTED_VALUE"""),11)</f>
        <v>11</v>
      </c>
      <c r="N234" s="1">
        <f ca="1">IFERROR(__xludf.DUMMYFUNCTION("""COMPUTED_VALUE"""),2239)</f>
        <v>2239</v>
      </c>
      <c r="O234" s="1">
        <f ca="1">IFERROR(__xludf.DUMMYFUNCTION("""COMPUTED_VALUE"""),2200)</f>
        <v>2200</v>
      </c>
      <c r="P234" s="1">
        <f ca="1">IFERROR(__xludf.DUMMYFUNCTION("""COMPUTED_VALUE"""),1295)</f>
        <v>1295</v>
      </c>
      <c r="Q234" s="1">
        <f ca="1">IFERROR(__xludf.DUMMYFUNCTION("""COMPUTED_VALUE"""),810)</f>
        <v>810</v>
      </c>
      <c r="R234" s="1">
        <f ca="1">IFERROR(__xludf.DUMMYFUNCTION("""COMPUTED_VALUE"""),1834)</f>
        <v>1834</v>
      </c>
      <c r="S234" s="1">
        <f ca="1">IFERROR(__xludf.DUMMYFUNCTION("""COMPUTED_VALUE"""),0.442)</f>
        <v>0.442</v>
      </c>
      <c r="T234" s="1">
        <f ca="1">IFERROR(__xludf.DUMMYFUNCTION("""COMPUTED_VALUE"""),162)</f>
        <v>162</v>
      </c>
      <c r="U234" s="1">
        <f ca="1">IFERROR(__xludf.DUMMYFUNCTION("""COMPUTED_VALUE"""),465)</f>
        <v>465</v>
      </c>
      <c r="V234" s="1">
        <f ca="1">IFERROR(__xludf.DUMMYFUNCTION("""COMPUTED_VALUE"""),0.348)</f>
        <v>0.34799999999999998</v>
      </c>
      <c r="W234" s="1">
        <f ca="1">IFERROR(__xludf.DUMMYFUNCTION("""COMPUTED_VALUE"""),457)</f>
        <v>457</v>
      </c>
      <c r="X234" s="1">
        <f ca="1">IFERROR(__xludf.DUMMYFUNCTION("""COMPUTED_VALUE"""),677)</f>
        <v>677</v>
      </c>
      <c r="Y234" s="1">
        <f ca="1">IFERROR(__xludf.DUMMYFUNCTION("""COMPUTED_VALUE"""),0.675)</f>
        <v>0.67500000000000004</v>
      </c>
      <c r="Z234" s="1">
        <f ca="1">IFERROR(__xludf.DUMMYFUNCTION("""COMPUTED_VALUE"""),359)</f>
        <v>359</v>
      </c>
      <c r="AA234" s="1">
        <f ca="1">IFERROR(__xludf.DUMMYFUNCTION("""COMPUTED_VALUE"""),1131)</f>
        <v>1131</v>
      </c>
      <c r="AB234" s="1">
        <f ca="1">IFERROR(__xludf.DUMMYFUNCTION("""COMPUTED_VALUE"""),368)</f>
        <v>368</v>
      </c>
      <c r="AC234" s="1">
        <f ca="1">IFERROR(__xludf.DUMMYFUNCTION("""COMPUTED_VALUE"""),244)</f>
        <v>244</v>
      </c>
      <c r="AD234" s="1">
        <f ca="1">IFERROR(__xludf.DUMMYFUNCTION("""COMPUTED_VALUE"""),140)</f>
        <v>140</v>
      </c>
      <c r="AE234" s="1">
        <f ca="1">IFERROR(__xludf.DUMMYFUNCTION("""COMPUTED_VALUE"""),395)</f>
        <v>395</v>
      </c>
      <c r="AF234" s="1">
        <f ca="1">IFERROR(__xludf.DUMMYFUNCTION("""COMPUTED_VALUE"""),661)</f>
        <v>661</v>
      </c>
    </row>
    <row r="235" spans="1:32" ht="12.5" x14ac:dyDescent="0.25">
      <c r="A235" s="1" t="str">
        <f ca="1">IFERROR(__xludf.DUMMYFUNCTION("""COMPUTED_VALUE"""),"North CarolinaNCAA")</f>
        <v>North CarolinaNCAA</v>
      </c>
      <c r="B235" s="1">
        <f ca="1">IFERROR(__xludf.DUMMYFUNCTION("""COMPUTED_VALUE"""),38)</f>
        <v>38</v>
      </c>
      <c r="C235" s="1">
        <f ca="1">IFERROR(__xludf.DUMMYFUNCTION("""COMPUTED_VALUE"""),26)</f>
        <v>26</v>
      </c>
      <c r="D235" s="1">
        <f ca="1">IFERROR(__xludf.DUMMYFUNCTION("""COMPUTED_VALUE"""),12)</f>
        <v>12</v>
      </c>
      <c r="E235" s="1">
        <f ca="1">IFERROR(__xludf.DUMMYFUNCTION("""COMPUTED_VALUE"""),0.684)</f>
        <v>0.68400000000000005</v>
      </c>
      <c r="F235" s="1">
        <f ca="1">IFERROR(__xludf.DUMMYFUNCTION("""COMPUTED_VALUE"""),20.63)</f>
        <v>20.63</v>
      </c>
      <c r="G235" s="1">
        <f ca="1">IFERROR(__xludf.DUMMYFUNCTION("""COMPUTED_VALUE"""),11.76)</f>
        <v>11.76</v>
      </c>
      <c r="H235" s="1">
        <f ca="1">IFERROR(__xludf.DUMMYFUNCTION("""COMPUTED_VALUE"""),11)</f>
        <v>11</v>
      </c>
      <c r="I235" s="1">
        <f ca="1">IFERROR(__xludf.DUMMYFUNCTION("""COMPUTED_VALUE"""),7)</f>
        <v>7</v>
      </c>
      <c r="J235" s="1">
        <f ca="1">IFERROR(__xludf.DUMMYFUNCTION("""COMPUTED_VALUE"""),10)</f>
        <v>10</v>
      </c>
      <c r="K235" s="1">
        <f ca="1">IFERROR(__xludf.DUMMYFUNCTION("""COMPUTED_VALUE"""),5)</f>
        <v>5</v>
      </c>
      <c r="L235" s="1">
        <f ca="1">IFERROR(__xludf.DUMMYFUNCTION("""COMPUTED_VALUE"""),7)</f>
        <v>7</v>
      </c>
      <c r="M235" s="1">
        <f ca="1">IFERROR(__xludf.DUMMYFUNCTION("""COMPUTED_VALUE"""),4)</f>
        <v>4</v>
      </c>
      <c r="N235" s="1">
        <f ca="1">IFERROR(__xludf.DUMMYFUNCTION("""COMPUTED_VALUE"""),2953)</f>
        <v>2953</v>
      </c>
      <c r="O235" s="1">
        <f ca="1">IFERROR(__xludf.DUMMYFUNCTION("""COMPUTED_VALUE"""),2616)</f>
        <v>2616</v>
      </c>
      <c r="P235" s="1">
        <f ca="1">IFERROR(__xludf.DUMMYFUNCTION("""COMPUTED_VALUE"""),1530)</f>
        <v>1530</v>
      </c>
      <c r="Q235" s="1">
        <f ca="1">IFERROR(__xludf.DUMMYFUNCTION("""COMPUTED_VALUE"""),1099)</f>
        <v>1099</v>
      </c>
      <c r="R235" s="1">
        <f ca="1">IFERROR(__xludf.DUMMYFUNCTION("""COMPUTED_VALUE"""),2309)</f>
        <v>2309</v>
      </c>
      <c r="S235" s="1">
        <f ca="1">IFERROR(__xludf.DUMMYFUNCTION("""COMPUTED_VALUE"""),0.476)</f>
        <v>0.47599999999999998</v>
      </c>
      <c r="T235" s="1">
        <f ca="1">IFERROR(__xludf.DUMMYFUNCTION("""COMPUTED_VALUE"""),184)</f>
        <v>184</v>
      </c>
      <c r="U235" s="1">
        <f ca="1">IFERROR(__xludf.DUMMYFUNCTION("""COMPUTED_VALUE"""),514)</f>
        <v>514</v>
      </c>
      <c r="V235" s="1">
        <f ca="1">IFERROR(__xludf.DUMMYFUNCTION("""COMPUTED_VALUE"""),0.358)</f>
        <v>0.35799999999999998</v>
      </c>
      <c r="W235" s="1">
        <f ca="1">IFERROR(__xludf.DUMMYFUNCTION("""COMPUTED_VALUE"""),571)</f>
        <v>571</v>
      </c>
      <c r="X235" s="1">
        <f ca="1">IFERROR(__xludf.DUMMYFUNCTION("""COMPUTED_VALUE"""),814)</f>
        <v>814</v>
      </c>
      <c r="Y235" s="1">
        <f ca="1">IFERROR(__xludf.DUMMYFUNCTION("""COMPUTED_VALUE"""),0.701)</f>
        <v>0.70099999999999996</v>
      </c>
      <c r="Z235" s="1">
        <f ca="1">IFERROR(__xludf.DUMMYFUNCTION("""COMPUTED_VALUE"""),526)</f>
        <v>526</v>
      </c>
      <c r="AA235" s="1">
        <f ca="1">IFERROR(__xludf.DUMMYFUNCTION("""COMPUTED_VALUE"""),1541)</f>
        <v>1541</v>
      </c>
      <c r="AB235" s="1">
        <f ca="1">IFERROR(__xludf.DUMMYFUNCTION("""COMPUTED_VALUE"""),661)</f>
        <v>661</v>
      </c>
      <c r="AC235" s="1">
        <f ca="1">IFERROR(__xludf.DUMMYFUNCTION("""COMPUTED_VALUE"""),251)</f>
        <v>251</v>
      </c>
      <c r="AD235" s="1">
        <f ca="1">IFERROR(__xludf.DUMMYFUNCTION("""COMPUTED_VALUE"""),160)</f>
        <v>160</v>
      </c>
      <c r="AE235" s="1">
        <f ca="1">IFERROR(__xludf.DUMMYFUNCTION("""COMPUTED_VALUE"""),481)</f>
        <v>481</v>
      </c>
      <c r="AF235" s="1">
        <f ca="1">IFERROR(__xludf.DUMMYFUNCTION("""COMPUTED_VALUE"""),738)</f>
        <v>738</v>
      </c>
    </row>
    <row r="236" spans="1:32" ht="12.5" x14ac:dyDescent="0.25">
      <c r="A236" s="1" t="str">
        <f ca="1">IFERROR(__xludf.DUMMYFUNCTION("""COMPUTED_VALUE"""),"North Dakota StateNCAA")</f>
        <v>North Dakota StateNCAA</v>
      </c>
      <c r="B236" s="1">
        <f ca="1">IFERROR(__xludf.DUMMYFUNCTION("""COMPUTED_VALUE"""),33)</f>
        <v>33</v>
      </c>
      <c r="C236" s="1">
        <f ca="1">IFERROR(__xludf.DUMMYFUNCTION("""COMPUTED_VALUE"""),23)</f>
        <v>23</v>
      </c>
      <c r="D236" s="1">
        <f ca="1">IFERROR(__xludf.DUMMYFUNCTION("""COMPUTED_VALUE"""),10)</f>
        <v>10</v>
      </c>
      <c r="E236" s="1">
        <f ca="1">IFERROR(__xludf.DUMMYFUNCTION("""COMPUTED_VALUE"""),0.697)</f>
        <v>0.69699999999999995</v>
      </c>
      <c r="F236" s="1">
        <f ca="1">IFERROR(__xludf.DUMMYFUNCTION("""COMPUTED_VALUE"""),-1.72)</f>
        <v>-1.72</v>
      </c>
      <c r="G236" s="1">
        <f ca="1">IFERROR(__xludf.DUMMYFUNCTION("""COMPUTED_VALUE"""),-3.63)</f>
        <v>-3.63</v>
      </c>
      <c r="H236" s="1">
        <f ca="1">IFERROR(__xludf.DUMMYFUNCTION("""COMPUTED_VALUE"""),12)</f>
        <v>12</v>
      </c>
      <c r="I236" s="1">
        <f ca="1">IFERROR(__xludf.DUMMYFUNCTION("""COMPUTED_VALUE"""),4)</f>
        <v>4</v>
      </c>
      <c r="J236" s="1">
        <f ca="1">IFERROR(__xludf.DUMMYFUNCTION("""COMPUTED_VALUE"""),14)</f>
        <v>14</v>
      </c>
      <c r="K236" s="1">
        <f ca="1">IFERROR(__xludf.DUMMYFUNCTION("""COMPUTED_VALUE"""),0)</f>
        <v>0</v>
      </c>
      <c r="L236" s="1">
        <f ca="1">IFERROR(__xludf.DUMMYFUNCTION("""COMPUTED_VALUE"""),5)</f>
        <v>5</v>
      </c>
      <c r="M236" s="1">
        <f ca="1">IFERROR(__xludf.DUMMYFUNCTION("""COMPUTED_VALUE"""),8)</f>
        <v>8</v>
      </c>
      <c r="N236" s="1">
        <f ca="1">IFERROR(__xludf.DUMMYFUNCTION("""COMPUTED_VALUE"""),2141)</f>
        <v>2141</v>
      </c>
      <c r="O236" s="1">
        <f ca="1">IFERROR(__xludf.DUMMYFUNCTION("""COMPUTED_VALUE"""),2057)</f>
        <v>2057</v>
      </c>
      <c r="P236" s="1">
        <f ca="1">IFERROR(__xludf.DUMMYFUNCTION("""COMPUTED_VALUE"""),1335)</f>
        <v>1335</v>
      </c>
      <c r="Q236" s="1">
        <f ca="1">IFERROR(__xludf.DUMMYFUNCTION("""COMPUTED_VALUE"""),743)</f>
        <v>743</v>
      </c>
      <c r="R236" s="1">
        <f ca="1">IFERROR(__xludf.DUMMYFUNCTION("""COMPUTED_VALUE"""),1713)</f>
        <v>1713</v>
      </c>
      <c r="S236" s="1">
        <f ca="1">IFERROR(__xludf.DUMMYFUNCTION("""COMPUTED_VALUE"""),0.434)</f>
        <v>0.434</v>
      </c>
      <c r="T236" s="1">
        <f ca="1">IFERROR(__xludf.DUMMYFUNCTION("""COMPUTED_VALUE"""),230)</f>
        <v>230</v>
      </c>
      <c r="U236" s="1">
        <f ca="1">IFERROR(__xludf.DUMMYFUNCTION("""COMPUTED_VALUE"""),600)</f>
        <v>600</v>
      </c>
      <c r="V236" s="1">
        <f ca="1">IFERROR(__xludf.DUMMYFUNCTION("""COMPUTED_VALUE"""),0.383)</f>
        <v>0.38300000000000001</v>
      </c>
      <c r="W236" s="1">
        <f ca="1">IFERROR(__xludf.DUMMYFUNCTION("""COMPUTED_VALUE"""),425)</f>
        <v>425</v>
      </c>
      <c r="X236" s="1">
        <f ca="1">IFERROR(__xludf.DUMMYFUNCTION("""COMPUTED_VALUE"""),614)</f>
        <v>614</v>
      </c>
      <c r="Y236" s="1">
        <f ca="1">IFERROR(__xludf.DUMMYFUNCTION("""COMPUTED_VALUE"""),0.692)</f>
        <v>0.69199999999999995</v>
      </c>
      <c r="Z236" s="1">
        <f ca="1">IFERROR(__xludf.DUMMYFUNCTION("""COMPUTED_VALUE"""),274)</f>
        <v>274</v>
      </c>
      <c r="AA236" s="1">
        <f ca="1">IFERROR(__xludf.DUMMYFUNCTION("""COMPUTED_VALUE"""),1098)</f>
        <v>1098</v>
      </c>
      <c r="AB236" s="1">
        <f ca="1">IFERROR(__xludf.DUMMYFUNCTION("""COMPUTED_VALUE"""),315)</f>
        <v>315</v>
      </c>
      <c r="AC236" s="1">
        <f ca="1">IFERROR(__xludf.DUMMYFUNCTION("""COMPUTED_VALUE"""),156)</f>
        <v>156</v>
      </c>
      <c r="AD236" s="1">
        <f ca="1">IFERROR(__xludf.DUMMYFUNCTION("""COMPUTED_VALUE"""),123)</f>
        <v>123</v>
      </c>
      <c r="AE236" s="1">
        <f ca="1">IFERROR(__xludf.DUMMYFUNCTION("""COMPUTED_VALUE"""),325)</f>
        <v>325</v>
      </c>
      <c r="AF236" s="1">
        <f ca="1">IFERROR(__xludf.DUMMYFUNCTION("""COMPUTED_VALUE"""),504)</f>
        <v>504</v>
      </c>
    </row>
    <row r="237" spans="1:32" ht="12.5" x14ac:dyDescent="0.25">
      <c r="A237" s="1" t="str">
        <f ca="1">IFERROR(__xludf.DUMMYFUNCTION("""COMPUTED_VALUE"""),"North Dakota")</f>
        <v>North Dakota</v>
      </c>
      <c r="B237" s="1">
        <f ca="1">IFERROR(__xludf.DUMMYFUNCTION("""COMPUTED_VALUE"""),30)</f>
        <v>30</v>
      </c>
      <c r="C237" s="1">
        <f ca="1">IFERROR(__xludf.DUMMYFUNCTION("""COMPUTED_VALUE"""),8)</f>
        <v>8</v>
      </c>
      <c r="D237" s="1">
        <f ca="1">IFERROR(__xludf.DUMMYFUNCTION("""COMPUTED_VALUE"""),22)</f>
        <v>22</v>
      </c>
      <c r="E237" s="1">
        <f ca="1">IFERROR(__xludf.DUMMYFUNCTION("""COMPUTED_VALUE"""),0.267)</f>
        <v>0.26700000000000002</v>
      </c>
      <c r="F237" s="1">
        <f ca="1">IFERROR(__xludf.DUMMYFUNCTION("""COMPUTED_VALUE"""),-12.16)</f>
        <v>-12.16</v>
      </c>
      <c r="G237" s="1">
        <f ca="1">IFERROR(__xludf.DUMMYFUNCTION("""COMPUTED_VALUE"""),-3.73)</f>
        <v>-3.73</v>
      </c>
      <c r="H237" s="1">
        <f ca="1">IFERROR(__xludf.DUMMYFUNCTION("""COMPUTED_VALUE"""),4)</f>
        <v>4</v>
      </c>
      <c r="I237" s="1">
        <f ca="1">IFERROR(__xludf.DUMMYFUNCTION("""COMPUTED_VALUE"""),14)</f>
        <v>14</v>
      </c>
      <c r="J237" s="1">
        <f ca="1">IFERROR(__xludf.DUMMYFUNCTION("""COMPUTED_VALUE"""),3)</f>
        <v>3</v>
      </c>
      <c r="K237" s="1">
        <f ca="1">IFERROR(__xludf.DUMMYFUNCTION("""COMPUTED_VALUE"""),9)</f>
        <v>9</v>
      </c>
      <c r="L237" s="1">
        <f ca="1">IFERROR(__xludf.DUMMYFUNCTION("""COMPUTED_VALUE"""),4)</f>
        <v>4</v>
      </c>
      <c r="M237" s="1">
        <f ca="1">IFERROR(__xludf.DUMMYFUNCTION("""COMPUTED_VALUE"""),12)</f>
        <v>12</v>
      </c>
      <c r="N237" s="1">
        <f ca="1">IFERROR(__xludf.DUMMYFUNCTION("""COMPUTED_VALUE"""),2032)</f>
        <v>2032</v>
      </c>
      <c r="O237" s="1">
        <f ca="1">IFERROR(__xludf.DUMMYFUNCTION("""COMPUTED_VALUE"""),2201)</f>
        <v>2201</v>
      </c>
      <c r="P237" s="1">
        <f ca="1">IFERROR(__xludf.DUMMYFUNCTION("""COMPUTED_VALUE"""),1211)</f>
        <v>1211</v>
      </c>
      <c r="Q237" s="1">
        <f ca="1">IFERROR(__xludf.DUMMYFUNCTION("""COMPUTED_VALUE"""),713)</f>
        <v>713</v>
      </c>
      <c r="R237" s="1">
        <f ca="1">IFERROR(__xludf.DUMMYFUNCTION("""COMPUTED_VALUE"""),1637)</f>
        <v>1637</v>
      </c>
      <c r="S237" s="1">
        <f ca="1">IFERROR(__xludf.DUMMYFUNCTION("""COMPUTED_VALUE"""),0.436)</f>
        <v>0.436</v>
      </c>
      <c r="T237" s="1">
        <f ca="1">IFERROR(__xludf.DUMMYFUNCTION("""COMPUTED_VALUE"""),180)</f>
        <v>180</v>
      </c>
      <c r="U237" s="1">
        <f ca="1">IFERROR(__xludf.DUMMYFUNCTION("""COMPUTED_VALUE"""),543)</f>
        <v>543</v>
      </c>
      <c r="V237" s="1">
        <f ca="1">IFERROR(__xludf.DUMMYFUNCTION("""COMPUTED_VALUE"""),0.331)</f>
        <v>0.33100000000000002</v>
      </c>
      <c r="W237" s="1">
        <f ca="1">IFERROR(__xludf.DUMMYFUNCTION("""COMPUTED_VALUE"""),426)</f>
        <v>426</v>
      </c>
      <c r="X237" s="1">
        <f ca="1">IFERROR(__xludf.DUMMYFUNCTION("""COMPUTED_VALUE"""),628)</f>
        <v>628</v>
      </c>
      <c r="Y237" s="1">
        <f ca="1">IFERROR(__xludf.DUMMYFUNCTION("""COMPUTED_VALUE"""),0.678)</f>
        <v>0.67800000000000005</v>
      </c>
      <c r="Z237" s="1">
        <f ca="1">IFERROR(__xludf.DUMMYFUNCTION("""COMPUTED_VALUE"""),260)</f>
        <v>260</v>
      </c>
      <c r="AA237" s="1">
        <f ca="1">IFERROR(__xludf.DUMMYFUNCTION("""COMPUTED_VALUE"""),961)</f>
        <v>961</v>
      </c>
      <c r="AB237" s="1">
        <f ca="1">IFERROR(__xludf.DUMMYFUNCTION("""COMPUTED_VALUE"""),353)</f>
        <v>353</v>
      </c>
      <c r="AC237" s="1">
        <f ca="1">IFERROR(__xludf.DUMMYFUNCTION("""COMPUTED_VALUE"""),189)</f>
        <v>189</v>
      </c>
      <c r="AD237" s="1">
        <f ca="1">IFERROR(__xludf.DUMMYFUNCTION("""COMPUTED_VALUE"""),94)</f>
        <v>94</v>
      </c>
      <c r="AE237" s="1">
        <f ca="1">IFERROR(__xludf.DUMMYFUNCTION("""COMPUTED_VALUE"""),373)</f>
        <v>373</v>
      </c>
      <c r="AF237" s="1">
        <f ca="1">IFERROR(__xludf.DUMMYFUNCTION("""COMPUTED_VALUE"""),640)</f>
        <v>640</v>
      </c>
    </row>
    <row r="238" spans="1:32" ht="12.5" x14ac:dyDescent="0.25">
      <c r="A238" s="1" t="str">
        <f ca="1">IFERROR(__xludf.DUMMYFUNCTION("""COMPUTED_VALUE"""),"North FloridaNCAA")</f>
        <v>North FloridaNCAA</v>
      </c>
      <c r="B238" s="1">
        <f ca="1">IFERROR(__xludf.DUMMYFUNCTION("""COMPUTED_VALUE"""),35)</f>
        <v>35</v>
      </c>
      <c r="C238" s="1">
        <f ca="1">IFERROR(__xludf.DUMMYFUNCTION("""COMPUTED_VALUE"""),23)</f>
        <v>23</v>
      </c>
      <c r="D238" s="1">
        <f ca="1">IFERROR(__xludf.DUMMYFUNCTION("""COMPUTED_VALUE"""),12)</f>
        <v>12</v>
      </c>
      <c r="E238" s="1">
        <f ca="1">IFERROR(__xludf.DUMMYFUNCTION("""COMPUTED_VALUE"""),0.657)</f>
        <v>0.65700000000000003</v>
      </c>
      <c r="F238" s="1">
        <f ca="1">IFERROR(__xludf.DUMMYFUNCTION("""COMPUTED_VALUE"""),-0.82)</f>
        <v>-0.82</v>
      </c>
      <c r="G238" s="1">
        <f ca="1">IFERROR(__xludf.DUMMYFUNCTION("""COMPUTED_VALUE"""),-5.94)</f>
        <v>-5.94</v>
      </c>
      <c r="H238" s="1">
        <f ca="1">IFERROR(__xludf.DUMMYFUNCTION("""COMPUTED_VALUE"""),12)</f>
        <v>12</v>
      </c>
      <c r="I238" s="1">
        <f ca="1">IFERROR(__xludf.DUMMYFUNCTION("""COMPUTED_VALUE"""),2)</f>
        <v>2</v>
      </c>
      <c r="J238" s="1">
        <f ca="1">IFERROR(__xludf.DUMMYFUNCTION("""COMPUTED_VALUE"""),12)</f>
        <v>12</v>
      </c>
      <c r="K238" s="1">
        <f ca="1">IFERROR(__xludf.DUMMYFUNCTION("""COMPUTED_VALUE"""),2)</f>
        <v>2</v>
      </c>
      <c r="L238" s="1">
        <f ca="1">IFERROR(__xludf.DUMMYFUNCTION("""COMPUTED_VALUE"""),9)</f>
        <v>9</v>
      </c>
      <c r="M238" s="1">
        <f ca="1">IFERROR(__xludf.DUMMYFUNCTION("""COMPUTED_VALUE"""),9)</f>
        <v>9</v>
      </c>
      <c r="N238" s="1">
        <f ca="1">IFERROR(__xludf.DUMMYFUNCTION("""COMPUTED_VALUE"""),2651)</f>
        <v>2651</v>
      </c>
      <c r="O238" s="1">
        <f ca="1">IFERROR(__xludf.DUMMYFUNCTION("""COMPUTED_VALUE"""),2385)</f>
        <v>2385</v>
      </c>
      <c r="P238" s="1">
        <f ca="1">IFERROR(__xludf.DUMMYFUNCTION("""COMPUTED_VALUE"""),1400)</f>
        <v>1400</v>
      </c>
      <c r="Q238" s="1">
        <f ca="1">IFERROR(__xludf.DUMMYFUNCTION("""COMPUTED_VALUE"""),897)</f>
        <v>897</v>
      </c>
      <c r="R238" s="1">
        <f ca="1">IFERROR(__xludf.DUMMYFUNCTION("""COMPUTED_VALUE"""),1910)</f>
        <v>1910</v>
      </c>
      <c r="S238" s="1">
        <f ca="1">IFERROR(__xludf.DUMMYFUNCTION("""COMPUTED_VALUE"""),0.47)</f>
        <v>0.47</v>
      </c>
      <c r="T238" s="1">
        <f ca="1">IFERROR(__xludf.DUMMYFUNCTION("""COMPUTED_VALUE"""),317)</f>
        <v>317</v>
      </c>
      <c r="U238" s="1">
        <f ca="1">IFERROR(__xludf.DUMMYFUNCTION("""COMPUTED_VALUE"""),810)</f>
        <v>810</v>
      </c>
      <c r="V238" s="1">
        <f ca="1">IFERROR(__xludf.DUMMYFUNCTION("""COMPUTED_VALUE"""),0.391)</f>
        <v>0.39100000000000001</v>
      </c>
      <c r="W238" s="1">
        <f ca="1">IFERROR(__xludf.DUMMYFUNCTION("""COMPUTED_VALUE"""),540)</f>
        <v>540</v>
      </c>
      <c r="X238" s="1">
        <f ca="1">IFERROR(__xludf.DUMMYFUNCTION("""COMPUTED_VALUE"""),747)</f>
        <v>747</v>
      </c>
      <c r="Y238" s="1">
        <f ca="1">IFERROR(__xludf.DUMMYFUNCTION("""COMPUTED_VALUE"""),0.723)</f>
        <v>0.72299999999999998</v>
      </c>
      <c r="Z238" s="1">
        <f ca="1">IFERROR(__xludf.DUMMYFUNCTION("""COMPUTED_VALUE"""),339)</f>
        <v>339</v>
      </c>
      <c r="AA238" s="1">
        <f ca="1">IFERROR(__xludf.DUMMYFUNCTION("""COMPUTED_VALUE"""),1219)</f>
        <v>1219</v>
      </c>
      <c r="AB238" s="1">
        <f ca="1">IFERROR(__xludf.DUMMYFUNCTION("""COMPUTED_VALUE"""),506)</f>
        <v>506</v>
      </c>
      <c r="AC238" s="1">
        <f ca="1">IFERROR(__xludf.DUMMYFUNCTION("""COMPUTED_VALUE"""),214)</f>
        <v>214</v>
      </c>
      <c r="AD238" s="1">
        <f ca="1">IFERROR(__xludf.DUMMYFUNCTION("""COMPUTED_VALUE"""),146)</f>
        <v>146</v>
      </c>
      <c r="AE238" s="1">
        <f ca="1">IFERROR(__xludf.DUMMYFUNCTION("""COMPUTED_VALUE"""),436)</f>
        <v>436</v>
      </c>
      <c r="AF238" s="1">
        <f ca="1">IFERROR(__xludf.DUMMYFUNCTION("""COMPUTED_VALUE"""),568)</f>
        <v>568</v>
      </c>
    </row>
    <row r="239" spans="1:32" ht="12.5" x14ac:dyDescent="0.25">
      <c r="A239" s="1" t="str">
        <f ca="1">IFERROR(__xludf.DUMMYFUNCTION("""COMPUTED_VALUE"""),"North Texas")</f>
        <v>North Texas</v>
      </c>
      <c r="B239" s="1">
        <f ca="1">IFERROR(__xludf.DUMMYFUNCTION("""COMPUTED_VALUE"""),31)</f>
        <v>31</v>
      </c>
      <c r="C239" s="1">
        <f ca="1">IFERROR(__xludf.DUMMYFUNCTION("""COMPUTED_VALUE"""),14)</f>
        <v>14</v>
      </c>
      <c r="D239" s="1">
        <f ca="1">IFERROR(__xludf.DUMMYFUNCTION("""COMPUTED_VALUE"""),17)</f>
        <v>17</v>
      </c>
      <c r="E239" s="1">
        <f ca="1">IFERROR(__xludf.DUMMYFUNCTION("""COMPUTED_VALUE"""),0.452)</f>
        <v>0.45200000000000001</v>
      </c>
      <c r="F239" s="1">
        <f ca="1">IFERROR(__xludf.DUMMYFUNCTION("""COMPUTED_VALUE"""),-4.95)</f>
        <v>-4.95</v>
      </c>
      <c r="G239" s="1">
        <f ca="1">IFERROR(__xludf.DUMMYFUNCTION("""COMPUTED_VALUE"""),-0.71)</f>
        <v>-0.71</v>
      </c>
      <c r="H239" s="1">
        <f ca="1">IFERROR(__xludf.DUMMYFUNCTION("""COMPUTED_VALUE"""),8)</f>
        <v>8</v>
      </c>
      <c r="I239" s="1">
        <f ca="1">IFERROR(__xludf.DUMMYFUNCTION("""COMPUTED_VALUE"""),10)</f>
        <v>10</v>
      </c>
      <c r="J239" s="1">
        <f ca="1">IFERROR(__xludf.DUMMYFUNCTION("""COMPUTED_VALUE"""),11)</f>
        <v>11</v>
      </c>
      <c r="K239" s="1">
        <f ca="1">IFERROR(__xludf.DUMMYFUNCTION("""COMPUTED_VALUE"""),6)</f>
        <v>6</v>
      </c>
      <c r="L239" s="1">
        <f ca="1">IFERROR(__xludf.DUMMYFUNCTION("""COMPUTED_VALUE"""),3)</f>
        <v>3</v>
      </c>
      <c r="M239" s="1">
        <f ca="1">IFERROR(__xludf.DUMMYFUNCTION("""COMPUTED_VALUE"""),10)</f>
        <v>10</v>
      </c>
      <c r="N239" s="1">
        <f ca="1">IFERROR(__xludf.DUMMYFUNCTION("""COMPUTED_VALUE"""),2025)</f>
        <v>2025</v>
      </c>
      <c r="O239" s="1">
        <f ca="1">IFERROR(__xludf.DUMMYFUNCTION("""COMPUTED_VALUE"""),2113)</f>
        <v>2113</v>
      </c>
      <c r="P239" s="1">
        <f ca="1">IFERROR(__xludf.DUMMYFUNCTION("""COMPUTED_VALUE"""),1245)</f>
        <v>1245</v>
      </c>
      <c r="Q239" s="1">
        <f ca="1">IFERROR(__xludf.DUMMYFUNCTION("""COMPUTED_VALUE"""),726)</f>
        <v>726</v>
      </c>
      <c r="R239" s="1">
        <f ca="1">IFERROR(__xludf.DUMMYFUNCTION("""COMPUTED_VALUE"""),1678)</f>
        <v>1678</v>
      </c>
      <c r="S239" s="1">
        <f ca="1">IFERROR(__xludf.DUMMYFUNCTION("""COMPUTED_VALUE"""),0.433)</f>
        <v>0.433</v>
      </c>
      <c r="T239" s="1">
        <f ca="1">IFERROR(__xludf.DUMMYFUNCTION("""COMPUTED_VALUE"""),147)</f>
        <v>147</v>
      </c>
      <c r="U239" s="1">
        <f ca="1">IFERROR(__xludf.DUMMYFUNCTION("""COMPUTED_VALUE"""),489)</f>
        <v>489</v>
      </c>
      <c r="V239" s="1">
        <f ca="1">IFERROR(__xludf.DUMMYFUNCTION("""COMPUTED_VALUE"""),0.301)</f>
        <v>0.30099999999999999</v>
      </c>
      <c r="W239" s="1">
        <f ca="1">IFERROR(__xludf.DUMMYFUNCTION("""COMPUTED_VALUE"""),426)</f>
        <v>426</v>
      </c>
      <c r="X239" s="1">
        <f ca="1">IFERROR(__xludf.DUMMYFUNCTION("""COMPUTED_VALUE"""),677)</f>
        <v>677</v>
      </c>
      <c r="Y239" s="1">
        <f ca="1">IFERROR(__xludf.DUMMYFUNCTION("""COMPUTED_VALUE"""),0.629)</f>
        <v>0.629</v>
      </c>
      <c r="Z239" s="1">
        <f ca="1">IFERROR(__xludf.DUMMYFUNCTION("""COMPUTED_VALUE"""),338)</f>
        <v>338</v>
      </c>
      <c r="AA239" s="1">
        <f ca="1">IFERROR(__xludf.DUMMYFUNCTION("""COMPUTED_VALUE"""),1094)</f>
        <v>1094</v>
      </c>
      <c r="AB239" s="1">
        <f ca="1">IFERROR(__xludf.DUMMYFUNCTION("""COMPUTED_VALUE"""),310)</f>
        <v>310</v>
      </c>
      <c r="AC239" s="1">
        <f ca="1">IFERROR(__xludf.DUMMYFUNCTION("""COMPUTED_VALUE"""),209)</f>
        <v>209</v>
      </c>
      <c r="AD239" s="1">
        <f ca="1">IFERROR(__xludf.DUMMYFUNCTION("""COMPUTED_VALUE"""),103)</f>
        <v>103</v>
      </c>
      <c r="AE239" s="1">
        <f ca="1">IFERROR(__xludf.DUMMYFUNCTION("""COMPUTED_VALUE"""),420)</f>
        <v>420</v>
      </c>
      <c r="AF239" s="1">
        <f ca="1">IFERROR(__xludf.DUMMYFUNCTION("""COMPUTED_VALUE"""),548)</f>
        <v>548</v>
      </c>
    </row>
    <row r="240" spans="1:32" ht="12.5" x14ac:dyDescent="0.25">
      <c r="A240" s="1" t="str">
        <f ca="1">IFERROR(__xludf.DUMMYFUNCTION("""COMPUTED_VALUE"""),"NortheasternNCAA")</f>
        <v>NortheasternNCAA</v>
      </c>
      <c r="B240" s="1">
        <f ca="1">IFERROR(__xludf.DUMMYFUNCTION("""COMPUTED_VALUE"""),35)</f>
        <v>35</v>
      </c>
      <c r="C240" s="1">
        <f ca="1">IFERROR(__xludf.DUMMYFUNCTION("""COMPUTED_VALUE"""),23)</f>
        <v>23</v>
      </c>
      <c r="D240" s="1">
        <f ca="1">IFERROR(__xludf.DUMMYFUNCTION("""COMPUTED_VALUE"""),12)</f>
        <v>12</v>
      </c>
      <c r="E240" s="1">
        <f ca="1">IFERROR(__xludf.DUMMYFUNCTION("""COMPUTED_VALUE"""),0.657)</f>
        <v>0.65700000000000003</v>
      </c>
      <c r="F240" s="1">
        <f ca="1">IFERROR(__xludf.DUMMYFUNCTION("""COMPUTED_VALUE"""),2.03)</f>
        <v>2.0299999999999998</v>
      </c>
      <c r="G240" s="1">
        <f ca="1">IFERROR(__xludf.DUMMYFUNCTION("""COMPUTED_VALUE"""),-1.34)</f>
        <v>-1.34</v>
      </c>
      <c r="H240" s="1">
        <f ca="1">IFERROR(__xludf.DUMMYFUNCTION("""COMPUTED_VALUE"""),12)</f>
        <v>12</v>
      </c>
      <c r="I240" s="1">
        <f ca="1">IFERROR(__xludf.DUMMYFUNCTION("""COMPUTED_VALUE"""),6)</f>
        <v>6</v>
      </c>
      <c r="J240" s="1">
        <f ca="1">IFERROR(__xludf.DUMMYFUNCTION("""COMPUTED_VALUE"""),9)</f>
        <v>9</v>
      </c>
      <c r="K240" s="1">
        <f ca="1">IFERROR(__xludf.DUMMYFUNCTION("""COMPUTED_VALUE"""),3)</f>
        <v>3</v>
      </c>
      <c r="L240" s="1">
        <f ca="1">IFERROR(__xludf.DUMMYFUNCTION("""COMPUTED_VALUE"""),8)</f>
        <v>8</v>
      </c>
      <c r="M240" s="1">
        <f ca="1">IFERROR(__xludf.DUMMYFUNCTION("""COMPUTED_VALUE"""),7)</f>
        <v>7</v>
      </c>
      <c r="N240" s="1">
        <f ca="1">IFERROR(__xludf.DUMMYFUNCTION("""COMPUTED_VALUE"""),2397)</f>
        <v>2397</v>
      </c>
      <c r="O240" s="1">
        <f ca="1">IFERROR(__xludf.DUMMYFUNCTION("""COMPUTED_VALUE"""),2279)</f>
        <v>2279</v>
      </c>
      <c r="P240" s="1">
        <f ca="1">IFERROR(__xludf.DUMMYFUNCTION("""COMPUTED_VALUE"""),1415)</f>
        <v>1415</v>
      </c>
      <c r="Q240" s="1">
        <f ca="1">IFERROR(__xludf.DUMMYFUNCTION("""COMPUTED_VALUE"""),838)</f>
        <v>838</v>
      </c>
      <c r="R240" s="1">
        <f ca="1">IFERROR(__xludf.DUMMYFUNCTION("""COMPUTED_VALUE"""),1725)</f>
        <v>1725</v>
      </c>
      <c r="S240" s="1">
        <f ca="1">IFERROR(__xludf.DUMMYFUNCTION("""COMPUTED_VALUE"""),0.486)</f>
        <v>0.48599999999999999</v>
      </c>
      <c r="T240" s="1">
        <f ca="1">IFERROR(__xludf.DUMMYFUNCTION("""COMPUTED_VALUE"""),203)</f>
        <v>203</v>
      </c>
      <c r="U240" s="1">
        <f ca="1">IFERROR(__xludf.DUMMYFUNCTION("""COMPUTED_VALUE"""),526)</f>
        <v>526</v>
      </c>
      <c r="V240" s="1">
        <f ca="1">IFERROR(__xludf.DUMMYFUNCTION("""COMPUTED_VALUE"""),0.386)</f>
        <v>0.38600000000000001</v>
      </c>
      <c r="W240" s="1">
        <f ca="1">IFERROR(__xludf.DUMMYFUNCTION("""COMPUTED_VALUE"""),518)</f>
        <v>518</v>
      </c>
      <c r="X240" s="1">
        <f ca="1">IFERROR(__xludf.DUMMYFUNCTION("""COMPUTED_VALUE"""),713)</f>
        <v>713</v>
      </c>
      <c r="Y240" s="1">
        <f ca="1">IFERROR(__xludf.DUMMYFUNCTION("""COMPUTED_VALUE"""),0.727)</f>
        <v>0.72699999999999998</v>
      </c>
      <c r="Z240" s="1">
        <f ca="1">IFERROR(__xludf.DUMMYFUNCTION("""COMPUTED_VALUE"""),297)</f>
        <v>297</v>
      </c>
      <c r="AA240" s="1">
        <f ca="1">IFERROR(__xludf.DUMMYFUNCTION("""COMPUTED_VALUE"""),1160)</f>
        <v>1160</v>
      </c>
      <c r="AB240" s="1">
        <f ca="1">IFERROR(__xludf.DUMMYFUNCTION("""COMPUTED_VALUE"""),500)</f>
        <v>500</v>
      </c>
      <c r="AC240" s="1">
        <f ca="1">IFERROR(__xludf.DUMMYFUNCTION("""COMPUTED_VALUE"""),183)</f>
        <v>183</v>
      </c>
      <c r="AD240" s="1">
        <f ca="1">IFERROR(__xludf.DUMMYFUNCTION("""COMPUTED_VALUE"""),129)</f>
        <v>129</v>
      </c>
      <c r="AE240" s="1">
        <f ca="1">IFERROR(__xludf.DUMMYFUNCTION("""COMPUTED_VALUE"""),483)</f>
        <v>483</v>
      </c>
      <c r="AF240" s="1">
        <f ca="1">IFERROR(__xludf.DUMMYFUNCTION("""COMPUTED_VALUE"""),496)</f>
        <v>496</v>
      </c>
    </row>
    <row r="241" spans="1:32" ht="12.5" x14ac:dyDescent="0.25">
      <c r="A241" s="1" t="str">
        <f ca="1">IFERROR(__xludf.DUMMYFUNCTION("""COMPUTED_VALUE"""),"Northern Arizona")</f>
        <v>Northern Arizona</v>
      </c>
      <c r="B241" s="1">
        <f ca="1">IFERROR(__xludf.DUMMYFUNCTION("""COMPUTED_VALUE"""),38)</f>
        <v>38</v>
      </c>
      <c r="C241" s="1">
        <f ca="1">IFERROR(__xludf.DUMMYFUNCTION("""COMPUTED_VALUE"""),23)</f>
        <v>23</v>
      </c>
      <c r="D241" s="1">
        <f ca="1">IFERROR(__xludf.DUMMYFUNCTION("""COMPUTED_VALUE"""),15)</f>
        <v>15</v>
      </c>
      <c r="E241" s="1">
        <f ca="1">IFERROR(__xludf.DUMMYFUNCTION("""COMPUTED_VALUE"""),0.605)</f>
        <v>0.60499999999999998</v>
      </c>
      <c r="F241" s="1">
        <f ca="1">IFERROR(__xludf.DUMMYFUNCTION("""COMPUTED_VALUE"""),-3.48)</f>
        <v>-3.48</v>
      </c>
      <c r="G241" s="1">
        <f ca="1">IFERROR(__xludf.DUMMYFUNCTION("""COMPUTED_VALUE"""),-4.13)</f>
        <v>-4.13</v>
      </c>
      <c r="H241" s="1">
        <f ca="1">IFERROR(__xludf.DUMMYFUNCTION("""COMPUTED_VALUE"""),13)</f>
        <v>13</v>
      </c>
      <c r="I241" s="1">
        <f ca="1">IFERROR(__xludf.DUMMYFUNCTION("""COMPUTED_VALUE"""),5)</f>
        <v>5</v>
      </c>
      <c r="J241" s="1">
        <f ca="1">IFERROR(__xludf.DUMMYFUNCTION("""COMPUTED_VALUE"""),13)</f>
        <v>13</v>
      </c>
      <c r="K241" s="1">
        <f ca="1">IFERROR(__xludf.DUMMYFUNCTION("""COMPUTED_VALUE"""),2)</f>
        <v>2</v>
      </c>
      <c r="L241" s="1">
        <f ca="1">IFERROR(__xludf.DUMMYFUNCTION("""COMPUTED_VALUE"""),8)</f>
        <v>8</v>
      </c>
      <c r="M241" s="1">
        <f ca="1">IFERROR(__xludf.DUMMYFUNCTION("""COMPUTED_VALUE"""),12)</f>
        <v>12</v>
      </c>
      <c r="N241" s="1">
        <f ca="1">IFERROR(__xludf.DUMMYFUNCTION("""COMPUTED_VALUE"""),2606)</f>
        <v>2606</v>
      </c>
      <c r="O241" s="1">
        <f ca="1">IFERROR(__xludf.DUMMYFUNCTION("""COMPUTED_VALUE"""),2556)</f>
        <v>2556</v>
      </c>
      <c r="P241" s="1">
        <f ca="1">IFERROR(__xludf.DUMMYFUNCTION("""COMPUTED_VALUE"""),1535)</f>
        <v>1535</v>
      </c>
      <c r="Q241" s="1">
        <f ca="1">IFERROR(__xludf.DUMMYFUNCTION("""COMPUTED_VALUE"""),878)</f>
        <v>878</v>
      </c>
      <c r="R241" s="1">
        <f ca="1">IFERROR(__xludf.DUMMYFUNCTION("""COMPUTED_VALUE"""),2175)</f>
        <v>2175</v>
      </c>
      <c r="S241" s="1">
        <f ca="1">IFERROR(__xludf.DUMMYFUNCTION("""COMPUTED_VALUE"""),0.404)</f>
        <v>0.40400000000000003</v>
      </c>
      <c r="T241" s="1">
        <f ca="1">IFERROR(__xludf.DUMMYFUNCTION("""COMPUTED_VALUE"""),255)</f>
        <v>255</v>
      </c>
      <c r="U241" s="1">
        <f ca="1">IFERROR(__xludf.DUMMYFUNCTION("""COMPUTED_VALUE"""),734)</f>
        <v>734</v>
      </c>
      <c r="V241" s="1">
        <f ca="1">IFERROR(__xludf.DUMMYFUNCTION("""COMPUTED_VALUE"""),0.347)</f>
        <v>0.34699999999999998</v>
      </c>
      <c r="W241" s="1">
        <f ca="1">IFERROR(__xludf.DUMMYFUNCTION("""COMPUTED_VALUE"""),595)</f>
        <v>595</v>
      </c>
      <c r="X241" s="1">
        <f ca="1">IFERROR(__xludf.DUMMYFUNCTION("""COMPUTED_VALUE"""),793)</f>
        <v>793</v>
      </c>
      <c r="Y241" s="1">
        <f ca="1">IFERROR(__xludf.DUMMYFUNCTION("""COMPUTED_VALUE"""),0.75)</f>
        <v>0.75</v>
      </c>
      <c r="Z241" s="1">
        <f ca="1">IFERROR(__xludf.DUMMYFUNCTION("""COMPUTED_VALUE"""),501)</f>
        <v>501</v>
      </c>
      <c r="AA241" s="1">
        <f ca="1">IFERROR(__xludf.DUMMYFUNCTION("""COMPUTED_VALUE"""),1463)</f>
        <v>1463</v>
      </c>
      <c r="AB241" s="1">
        <f ca="1">IFERROR(__xludf.DUMMYFUNCTION("""COMPUTED_VALUE"""),463)</f>
        <v>463</v>
      </c>
      <c r="AC241" s="1">
        <f ca="1">IFERROR(__xludf.DUMMYFUNCTION("""COMPUTED_VALUE"""),182)</f>
        <v>182</v>
      </c>
      <c r="AD241" s="1">
        <f ca="1">IFERROR(__xludf.DUMMYFUNCTION("""COMPUTED_VALUE"""),153)</f>
        <v>153</v>
      </c>
      <c r="AE241" s="1">
        <f ca="1">IFERROR(__xludf.DUMMYFUNCTION("""COMPUTED_VALUE"""),447)</f>
        <v>447</v>
      </c>
      <c r="AF241" s="1">
        <f ca="1">IFERROR(__xludf.DUMMYFUNCTION("""COMPUTED_VALUE"""),709)</f>
        <v>709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IFERROR(__xludf.DUMMYFUNCTION("""COMPUTED_VALUE"""),"Northern Colorado")</f>
        <v>Northern Colorado</v>
      </c>
      <c r="B244" s="1">
        <f ca="1">IFERROR(__xludf.DUMMYFUNCTION("""COMPUTED_VALUE"""),30)</f>
        <v>30</v>
      </c>
      <c r="C244" s="1">
        <f ca="1">IFERROR(__xludf.DUMMYFUNCTION("""COMPUTED_VALUE"""),15)</f>
        <v>15</v>
      </c>
      <c r="D244" s="1">
        <f ca="1">IFERROR(__xludf.DUMMYFUNCTION("""COMPUTED_VALUE"""),15)</f>
        <v>15</v>
      </c>
      <c r="E244" s="1">
        <f ca="1">IFERROR(__xludf.DUMMYFUNCTION("""COMPUTED_VALUE"""),0.5)</f>
        <v>0.5</v>
      </c>
      <c r="F244" s="1">
        <f ca="1">IFERROR(__xludf.DUMMYFUNCTION("""COMPUTED_VALUE"""),-6.82)</f>
        <v>-6.82</v>
      </c>
      <c r="G244" s="1">
        <f ca="1">IFERROR(__xludf.DUMMYFUNCTION("""COMPUTED_VALUE"""),-6.21)</f>
        <v>-6.21</v>
      </c>
      <c r="H244" s="1">
        <f ca="1">IFERROR(__xludf.DUMMYFUNCTION("""COMPUTED_VALUE"""),10)</f>
        <v>10</v>
      </c>
      <c r="I244" s="1">
        <f ca="1">IFERROR(__xludf.DUMMYFUNCTION("""COMPUTED_VALUE"""),8)</f>
        <v>8</v>
      </c>
      <c r="J244" s="1">
        <f ca="1">IFERROR(__xludf.DUMMYFUNCTION("""COMPUTED_VALUE"""),12)</f>
        <v>12</v>
      </c>
      <c r="K244" s="1">
        <f ca="1">IFERROR(__xludf.DUMMYFUNCTION("""COMPUTED_VALUE"""),3)</f>
        <v>3</v>
      </c>
      <c r="L244" s="1">
        <f ca="1">IFERROR(__xludf.DUMMYFUNCTION("""COMPUTED_VALUE"""),3)</f>
        <v>3</v>
      </c>
      <c r="M244" s="1">
        <f ca="1">IFERROR(__xludf.DUMMYFUNCTION("""COMPUTED_VALUE"""),11)</f>
        <v>11</v>
      </c>
      <c r="N244" s="1">
        <f ca="1">IFERROR(__xludf.DUMMYFUNCTION("""COMPUTED_VALUE"""),2242)</f>
        <v>2242</v>
      </c>
      <c r="O244" s="1">
        <f ca="1">IFERROR(__xludf.DUMMYFUNCTION("""COMPUTED_VALUE"""),2203)</f>
        <v>2203</v>
      </c>
      <c r="P244" s="1">
        <f ca="1">IFERROR(__xludf.DUMMYFUNCTION("""COMPUTED_VALUE"""),1220)</f>
        <v>1220</v>
      </c>
      <c r="Q244" s="1">
        <f ca="1">IFERROR(__xludf.DUMMYFUNCTION("""COMPUTED_VALUE"""),804)</f>
        <v>804</v>
      </c>
      <c r="R244" s="1">
        <f ca="1">IFERROR(__xludf.DUMMYFUNCTION("""COMPUTED_VALUE"""),1691)</f>
        <v>1691</v>
      </c>
      <c r="S244" s="1">
        <f ca="1">IFERROR(__xludf.DUMMYFUNCTION("""COMPUTED_VALUE"""),0.475)</f>
        <v>0.47499999999999998</v>
      </c>
      <c r="T244" s="1">
        <f ca="1">IFERROR(__xludf.DUMMYFUNCTION("""COMPUTED_VALUE"""),204)</f>
        <v>204</v>
      </c>
      <c r="U244" s="1">
        <f ca="1">IFERROR(__xludf.DUMMYFUNCTION("""COMPUTED_VALUE"""),535)</f>
        <v>535</v>
      </c>
      <c r="V244" s="1">
        <f ca="1">IFERROR(__xludf.DUMMYFUNCTION("""COMPUTED_VALUE"""),0.381)</f>
        <v>0.38100000000000001</v>
      </c>
      <c r="W244" s="1">
        <f ca="1">IFERROR(__xludf.DUMMYFUNCTION("""COMPUTED_VALUE"""),430)</f>
        <v>430</v>
      </c>
      <c r="X244" s="1">
        <f ca="1">IFERROR(__xludf.DUMMYFUNCTION("""COMPUTED_VALUE"""),602)</f>
        <v>602</v>
      </c>
      <c r="Y244" s="1">
        <f ca="1">IFERROR(__xludf.DUMMYFUNCTION("""COMPUTED_VALUE"""),0.714)</f>
        <v>0.71399999999999997</v>
      </c>
      <c r="Z244" s="1">
        <f ca="1">IFERROR(__xludf.DUMMYFUNCTION("""COMPUTED_VALUE"""),339)</f>
        <v>339</v>
      </c>
      <c r="AA244" s="1">
        <f ca="1">IFERROR(__xludf.DUMMYFUNCTION("""COMPUTED_VALUE"""),978)</f>
        <v>978</v>
      </c>
      <c r="AB244" s="1">
        <f ca="1">IFERROR(__xludf.DUMMYFUNCTION("""COMPUTED_VALUE"""),370)</f>
        <v>370</v>
      </c>
      <c r="AC244" s="1">
        <f ca="1">IFERROR(__xludf.DUMMYFUNCTION("""COMPUTED_VALUE"""),196)</f>
        <v>196</v>
      </c>
      <c r="AD244" s="1">
        <f ca="1">IFERROR(__xludf.DUMMYFUNCTION("""COMPUTED_VALUE"""),59)</f>
        <v>59</v>
      </c>
      <c r="AE244" s="1">
        <f ca="1">IFERROR(__xludf.DUMMYFUNCTION("""COMPUTED_VALUE"""),313)</f>
        <v>313</v>
      </c>
      <c r="AF244" s="1">
        <f ca="1">IFERROR(__xludf.DUMMYFUNCTION("""COMPUTED_VALUE"""),594)</f>
        <v>594</v>
      </c>
    </row>
    <row r="245" spans="1:32" ht="12.5" x14ac:dyDescent="0.25">
      <c r="A245" s="1" t="str">
        <f ca="1">IFERROR(__xludf.DUMMYFUNCTION("""COMPUTED_VALUE"""),"Northern Illinois")</f>
        <v>Northern Illinois</v>
      </c>
      <c r="B245" s="1">
        <f ca="1">IFERROR(__xludf.DUMMYFUNCTION("""COMPUTED_VALUE"""),30)</f>
        <v>30</v>
      </c>
      <c r="C245" s="1">
        <f ca="1">IFERROR(__xludf.DUMMYFUNCTION("""COMPUTED_VALUE"""),14)</f>
        <v>14</v>
      </c>
      <c r="D245" s="1">
        <f ca="1">IFERROR(__xludf.DUMMYFUNCTION("""COMPUTED_VALUE"""),16)</f>
        <v>16</v>
      </c>
      <c r="E245" s="1">
        <f ca="1">IFERROR(__xludf.DUMMYFUNCTION("""COMPUTED_VALUE"""),0.467)</f>
        <v>0.46700000000000003</v>
      </c>
      <c r="F245" s="1">
        <f ca="1">IFERROR(__xludf.DUMMYFUNCTION("""COMPUTED_VALUE"""),-1.79)</f>
        <v>-1.79</v>
      </c>
      <c r="G245" s="1">
        <f ca="1">IFERROR(__xludf.DUMMYFUNCTION("""COMPUTED_VALUE"""),-0.14)</f>
        <v>-0.14000000000000001</v>
      </c>
      <c r="H245" s="1">
        <f ca="1">IFERROR(__xludf.DUMMYFUNCTION("""COMPUTED_VALUE"""),8)</f>
        <v>8</v>
      </c>
      <c r="I245" s="1">
        <f ca="1">IFERROR(__xludf.DUMMYFUNCTION("""COMPUTED_VALUE"""),10)</f>
        <v>10</v>
      </c>
      <c r="J245" s="1">
        <f ca="1">IFERROR(__xludf.DUMMYFUNCTION("""COMPUTED_VALUE"""),10)</f>
        <v>10</v>
      </c>
      <c r="K245" s="1">
        <f ca="1">IFERROR(__xludf.DUMMYFUNCTION("""COMPUTED_VALUE"""),5)</f>
        <v>5</v>
      </c>
      <c r="L245" s="1">
        <f ca="1">IFERROR(__xludf.DUMMYFUNCTION("""COMPUTED_VALUE"""),4)</f>
        <v>4</v>
      </c>
      <c r="M245" s="1">
        <f ca="1">IFERROR(__xludf.DUMMYFUNCTION("""COMPUTED_VALUE"""),11)</f>
        <v>11</v>
      </c>
      <c r="N245" s="1">
        <f ca="1">IFERROR(__xludf.DUMMYFUNCTION("""COMPUTED_VALUE"""),1971)</f>
        <v>1971</v>
      </c>
      <c r="O245" s="1">
        <f ca="1">IFERROR(__xludf.DUMMYFUNCTION("""COMPUTED_VALUE"""),1989)</f>
        <v>1989</v>
      </c>
      <c r="P245" s="1">
        <f ca="1">IFERROR(__xludf.DUMMYFUNCTION("""COMPUTED_VALUE"""),1215)</f>
        <v>1215</v>
      </c>
      <c r="Q245" s="1">
        <f ca="1">IFERROR(__xludf.DUMMYFUNCTION("""COMPUTED_VALUE"""),661)</f>
        <v>661</v>
      </c>
      <c r="R245" s="1">
        <f ca="1">IFERROR(__xludf.DUMMYFUNCTION("""COMPUTED_VALUE"""),1543)</f>
        <v>1543</v>
      </c>
      <c r="S245" s="1">
        <f ca="1">IFERROR(__xludf.DUMMYFUNCTION("""COMPUTED_VALUE"""),0.428)</f>
        <v>0.42799999999999999</v>
      </c>
      <c r="T245" s="1">
        <f ca="1">IFERROR(__xludf.DUMMYFUNCTION("""COMPUTED_VALUE"""),149)</f>
        <v>149</v>
      </c>
      <c r="U245" s="1">
        <f ca="1">IFERROR(__xludf.DUMMYFUNCTION("""COMPUTED_VALUE"""),470)</f>
        <v>470</v>
      </c>
      <c r="V245" s="1">
        <f ca="1">IFERROR(__xludf.DUMMYFUNCTION("""COMPUTED_VALUE"""),0.317)</f>
        <v>0.317</v>
      </c>
      <c r="W245" s="1">
        <f ca="1">IFERROR(__xludf.DUMMYFUNCTION("""COMPUTED_VALUE"""),500)</f>
        <v>500</v>
      </c>
      <c r="X245" s="1">
        <f ca="1">IFERROR(__xludf.DUMMYFUNCTION("""COMPUTED_VALUE"""),735)</f>
        <v>735</v>
      </c>
      <c r="Y245" s="1">
        <f ca="1">IFERROR(__xludf.DUMMYFUNCTION("""COMPUTED_VALUE"""),0.68)</f>
        <v>0.68</v>
      </c>
      <c r="Z245" s="1">
        <f ca="1">IFERROR(__xludf.DUMMYFUNCTION("""COMPUTED_VALUE"""),373)</f>
        <v>373</v>
      </c>
      <c r="AA245" s="1">
        <f ca="1">IFERROR(__xludf.DUMMYFUNCTION("""COMPUTED_VALUE"""),1039)</f>
        <v>1039</v>
      </c>
      <c r="AB245" s="1">
        <f ca="1">IFERROR(__xludf.DUMMYFUNCTION("""COMPUTED_VALUE"""),294)</f>
        <v>294</v>
      </c>
      <c r="AC245" s="1">
        <f ca="1">IFERROR(__xludf.DUMMYFUNCTION("""COMPUTED_VALUE"""),226)</f>
        <v>226</v>
      </c>
      <c r="AD245" s="1">
        <f ca="1">IFERROR(__xludf.DUMMYFUNCTION("""COMPUTED_VALUE"""),73)</f>
        <v>73</v>
      </c>
      <c r="AE245" s="1">
        <f ca="1">IFERROR(__xludf.DUMMYFUNCTION("""COMPUTED_VALUE"""),426)</f>
        <v>426</v>
      </c>
      <c r="AF245" s="1">
        <f ca="1">IFERROR(__xludf.DUMMYFUNCTION("""COMPUTED_VALUE"""),573)</f>
        <v>573</v>
      </c>
    </row>
    <row r="246" spans="1:32" ht="12.5" x14ac:dyDescent="0.25">
      <c r="A246" s="1" t="str">
        <f ca="1">IFERROR(__xludf.DUMMYFUNCTION("""COMPUTED_VALUE"""),"Northern IowaNCAA")</f>
        <v>Northern IowaNCAA</v>
      </c>
      <c r="B246" s="1">
        <f ca="1">IFERROR(__xludf.DUMMYFUNCTION("""COMPUTED_VALUE"""),35)</f>
        <v>35</v>
      </c>
      <c r="C246" s="1">
        <f ca="1">IFERROR(__xludf.DUMMYFUNCTION("""COMPUTED_VALUE"""),31)</f>
        <v>31</v>
      </c>
      <c r="D246" s="1">
        <f ca="1">IFERROR(__xludf.DUMMYFUNCTION("""COMPUTED_VALUE"""),4)</f>
        <v>4</v>
      </c>
      <c r="E246" s="1">
        <f ca="1">IFERROR(__xludf.DUMMYFUNCTION("""COMPUTED_VALUE"""),0.886)</f>
        <v>0.88600000000000001</v>
      </c>
      <c r="F246" s="1">
        <f ca="1">IFERROR(__xludf.DUMMYFUNCTION("""COMPUTED_VALUE"""),12.54)</f>
        <v>12.54</v>
      </c>
      <c r="G246" s="1">
        <f ca="1">IFERROR(__xludf.DUMMYFUNCTION("""COMPUTED_VALUE"""),2)</f>
        <v>2</v>
      </c>
      <c r="H246" s="1">
        <f ca="1">IFERROR(__xludf.DUMMYFUNCTION("""COMPUTED_VALUE"""),16)</f>
        <v>16</v>
      </c>
      <c r="I246" s="1">
        <f ca="1">IFERROR(__xludf.DUMMYFUNCTION("""COMPUTED_VALUE"""),2)</f>
        <v>2</v>
      </c>
      <c r="J246" s="1">
        <f ca="1">IFERROR(__xludf.DUMMYFUNCTION("""COMPUTED_VALUE"""),16)</f>
        <v>16</v>
      </c>
      <c r="K246" s="1">
        <f ca="1">IFERROR(__xludf.DUMMYFUNCTION("""COMPUTED_VALUE"""),0)</f>
        <v>0</v>
      </c>
      <c r="L246" s="1">
        <f ca="1">IFERROR(__xludf.DUMMYFUNCTION("""COMPUTED_VALUE"""),9)</f>
        <v>9</v>
      </c>
      <c r="M246" s="1">
        <f ca="1">IFERROR(__xludf.DUMMYFUNCTION("""COMPUTED_VALUE"""),3)</f>
        <v>3</v>
      </c>
      <c r="N246" s="1">
        <f ca="1">IFERROR(__xludf.DUMMYFUNCTION("""COMPUTED_VALUE"""),2281)</f>
        <v>2281</v>
      </c>
      <c r="O246" s="1">
        <f ca="1">IFERROR(__xludf.DUMMYFUNCTION("""COMPUTED_VALUE"""),1912)</f>
        <v>1912</v>
      </c>
      <c r="P246" s="1">
        <f ca="1">IFERROR(__xludf.DUMMYFUNCTION("""COMPUTED_VALUE"""),1420)</f>
        <v>1420</v>
      </c>
      <c r="Q246" s="1">
        <f ca="1">IFERROR(__xludf.DUMMYFUNCTION("""COMPUTED_VALUE"""),776)</f>
        <v>776</v>
      </c>
      <c r="R246" s="1">
        <f ca="1">IFERROR(__xludf.DUMMYFUNCTION("""COMPUTED_VALUE"""),1618)</f>
        <v>1618</v>
      </c>
      <c r="S246" s="1">
        <f ca="1">IFERROR(__xludf.DUMMYFUNCTION("""COMPUTED_VALUE"""),0.48)</f>
        <v>0.48</v>
      </c>
      <c r="T246" s="1">
        <f ca="1">IFERROR(__xludf.DUMMYFUNCTION("""COMPUTED_VALUE"""),257)</f>
        <v>257</v>
      </c>
      <c r="U246" s="1">
        <f ca="1">IFERROR(__xludf.DUMMYFUNCTION("""COMPUTED_VALUE"""),645)</f>
        <v>645</v>
      </c>
      <c r="V246" s="1">
        <f ca="1">IFERROR(__xludf.DUMMYFUNCTION("""COMPUTED_VALUE"""),0.398)</f>
        <v>0.39800000000000002</v>
      </c>
      <c r="W246" s="1">
        <f ca="1">IFERROR(__xludf.DUMMYFUNCTION("""COMPUTED_VALUE"""),472)</f>
        <v>472</v>
      </c>
      <c r="X246" s="1">
        <f ca="1">IFERROR(__xludf.DUMMYFUNCTION("""COMPUTED_VALUE"""),644)</f>
        <v>644</v>
      </c>
      <c r="Y246" s="1">
        <f ca="1">IFERROR(__xludf.DUMMYFUNCTION("""COMPUTED_VALUE"""),0.733)</f>
        <v>0.73299999999999998</v>
      </c>
      <c r="Z246" s="1">
        <f ca="1">IFERROR(__xludf.DUMMYFUNCTION("""COMPUTED_VALUE"""),255)</f>
        <v>255</v>
      </c>
      <c r="AA246" s="1">
        <f ca="1">IFERROR(__xludf.DUMMYFUNCTION("""COMPUTED_VALUE"""),1071)</f>
        <v>1071</v>
      </c>
      <c r="AB246" s="1">
        <f ca="1">IFERROR(__xludf.DUMMYFUNCTION("""COMPUTED_VALUE"""),413)</f>
        <v>413</v>
      </c>
      <c r="AC246" s="1">
        <f ca="1">IFERROR(__xludf.DUMMYFUNCTION("""COMPUTED_VALUE"""),207)</f>
        <v>207</v>
      </c>
      <c r="AD246" s="1">
        <f ca="1">IFERROR(__xludf.DUMMYFUNCTION("""COMPUTED_VALUE"""),84)</f>
        <v>84</v>
      </c>
      <c r="AE246" s="1">
        <f ca="1">IFERROR(__xludf.DUMMYFUNCTION("""COMPUTED_VALUE"""),363)</f>
        <v>363</v>
      </c>
      <c r="AF246" s="1">
        <f ca="1">IFERROR(__xludf.DUMMYFUNCTION("""COMPUTED_VALUE"""),508)</f>
        <v>508</v>
      </c>
    </row>
    <row r="247" spans="1:32" ht="12.5" x14ac:dyDescent="0.25">
      <c r="A247" s="1" t="str">
        <f ca="1">IFERROR(__xludf.DUMMYFUNCTION("""COMPUTED_VALUE"""),"Northern Kentucky")</f>
        <v>Northern Kentucky</v>
      </c>
      <c r="B247" s="1">
        <f ca="1">IFERROR(__xludf.DUMMYFUNCTION("""COMPUTED_VALUE"""),30)</f>
        <v>30</v>
      </c>
      <c r="C247" s="1">
        <f ca="1">IFERROR(__xludf.DUMMYFUNCTION("""COMPUTED_VALUE"""),13)</f>
        <v>13</v>
      </c>
      <c r="D247" s="1">
        <f ca="1">IFERROR(__xludf.DUMMYFUNCTION("""COMPUTED_VALUE"""),17)</f>
        <v>17</v>
      </c>
      <c r="E247" s="1">
        <f ca="1">IFERROR(__xludf.DUMMYFUNCTION("""COMPUTED_VALUE"""),0.433)</f>
        <v>0.433</v>
      </c>
      <c r="F247" s="1">
        <f ca="1">IFERROR(__xludf.DUMMYFUNCTION("""COMPUTED_VALUE"""),-6.85)</f>
        <v>-6.85</v>
      </c>
      <c r="G247" s="1">
        <f ca="1">IFERROR(__xludf.DUMMYFUNCTION("""COMPUTED_VALUE"""),-4.49)</f>
        <v>-4.49</v>
      </c>
      <c r="H247" s="1">
        <f ca="1">IFERROR(__xludf.DUMMYFUNCTION("""COMPUTED_VALUE"""),7)</f>
        <v>7</v>
      </c>
      <c r="I247" s="1">
        <f ca="1">IFERROR(__xludf.DUMMYFUNCTION("""COMPUTED_VALUE"""),7)</f>
        <v>7</v>
      </c>
      <c r="J247" s="1">
        <f ca="1">IFERROR(__xludf.DUMMYFUNCTION("""COMPUTED_VALUE"""),9)</f>
        <v>9</v>
      </c>
      <c r="K247" s="1">
        <f ca="1">IFERROR(__xludf.DUMMYFUNCTION("""COMPUTED_VALUE"""),6)</f>
        <v>6</v>
      </c>
      <c r="L247" s="1">
        <f ca="1">IFERROR(__xludf.DUMMYFUNCTION("""COMPUTED_VALUE"""),4)</f>
        <v>4</v>
      </c>
      <c r="M247" s="1">
        <f ca="1">IFERROR(__xludf.DUMMYFUNCTION("""COMPUTED_VALUE"""),11)</f>
        <v>11</v>
      </c>
      <c r="N247" s="1">
        <f ca="1">IFERROR(__xludf.DUMMYFUNCTION("""COMPUTED_VALUE"""),2117)</f>
        <v>2117</v>
      </c>
      <c r="O247" s="1">
        <f ca="1">IFERROR(__xludf.DUMMYFUNCTION("""COMPUTED_VALUE"""),2079)</f>
        <v>2079</v>
      </c>
      <c r="P247" s="1">
        <f ca="1">IFERROR(__xludf.DUMMYFUNCTION("""COMPUTED_VALUE"""),1210)</f>
        <v>1210</v>
      </c>
      <c r="Q247" s="1">
        <f ca="1">IFERROR(__xludf.DUMMYFUNCTION("""COMPUTED_VALUE"""),779)</f>
        <v>779</v>
      </c>
      <c r="R247" s="1">
        <f ca="1">IFERROR(__xludf.DUMMYFUNCTION("""COMPUTED_VALUE"""),1693)</f>
        <v>1693</v>
      </c>
      <c r="S247" s="1">
        <f ca="1">IFERROR(__xludf.DUMMYFUNCTION("""COMPUTED_VALUE"""),0.46)</f>
        <v>0.46</v>
      </c>
      <c r="T247" s="1">
        <f ca="1">IFERROR(__xludf.DUMMYFUNCTION("""COMPUTED_VALUE"""),226)</f>
        <v>226</v>
      </c>
      <c r="U247" s="1">
        <f ca="1">IFERROR(__xludf.DUMMYFUNCTION("""COMPUTED_VALUE"""),648)</f>
        <v>648</v>
      </c>
      <c r="V247" s="1">
        <f ca="1">IFERROR(__xludf.DUMMYFUNCTION("""COMPUTED_VALUE"""),0.349)</f>
        <v>0.34899999999999998</v>
      </c>
      <c r="W247" s="1">
        <f ca="1">IFERROR(__xludf.DUMMYFUNCTION("""COMPUTED_VALUE"""),333)</f>
        <v>333</v>
      </c>
      <c r="X247" s="1">
        <f ca="1">IFERROR(__xludf.DUMMYFUNCTION("""COMPUTED_VALUE"""),507)</f>
        <v>507</v>
      </c>
      <c r="Y247" s="1">
        <f ca="1">IFERROR(__xludf.DUMMYFUNCTION("""COMPUTED_VALUE"""),0.657)</f>
        <v>0.65700000000000003</v>
      </c>
      <c r="Z247" s="1">
        <f ca="1">IFERROR(__xludf.DUMMYFUNCTION("""COMPUTED_VALUE"""),299)</f>
        <v>299</v>
      </c>
      <c r="AA247" s="1">
        <f ca="1">IFERROR(__xludf.DUMMYFUNCTION("""COMPUTED_VALUE"""),1014)</f>
        <v>1014</v>
      </c>
      <c r="AB247" s="1">
        <f ca="1">IFERROR(__xludf.DUMMYFUNCTION("""COMPUTED_VALUE"""),379)</f>
        <v>379</v>
      </c>
      <c r="AC247" s="1">
        <f ca="1">IFERROR(__xludf.DUMMYFUNCTION("""COMPUTED_VALUE"""),173)</f>
        <v>173</v>
      </c>
      <c r="AD247" s="1">
        <f ca="1">IFERROR(__xludf.DUMMYFUNCTION("""COMPUTED_VALUE"""),85)</f>
        <v>85</v>
      </c>
      <c r="AE247" s="1">
        <f ca="1">IFERROR(__xludf.DUMMYFUNCTION("""COMPUTED_VALUE"""),348)</f>
        <v>348</v>
      </c>
      <c r="AF247" s="1">
        <f ca="1">IFERROR(__xludf.DUMMYFUNCTION("""COMPUTED_VALUE"""),612)</f>
        <v>612</v>
      </c>
    </row>
    <row r="248" spans="1:32" ht="12.5" x14ac:dyDescent="0.25">
      <c r="A248" s="1" t="str">
        <f ca="1">IFERROR(__xludf.DUMMYFUNCTION("""COMPUTED_VALUE"""),"Northwestern State")</f>
        <v>Northwestern State</v>
      </c>
      <c r="B248" s="1">
        <f ca="1">IFERROR(__xludf.DUMMYFUNCTION("""COMPUTED_VALUE"""),32)</f>
        <v>32</v>
      </c>
      <c r="C248" s="1">
        <f ca="1">IFERROR(__xludf.DUMMYFUNCTION("""COMPUTED_VALUE"""),19)</f>
        <v>19</v>
      </c>
      <c r="D248" s="1">
        <f ca="1">IFERROR(__xludf.DUMMYFUNCTION("""COMPUTED_VALUE"""),13)</f>
        <v>13</v>
      </c>
      <c r="E248" s="1">
        <f ca="1">IFERROR(__xludf.DUMMYFUNCTION("""COMPUTED_VALUE"""),0.594)</f>
        <v>0.59399999999999997</v>
      </c>
      <c r="F248" s="1">
        <f ca="1">IFERROR(__xludf.DUMMYFUNCTION("""COMPUTED_VALUE"""),-5.48)</f>
        <v>-5.48</v>
      </c>
      <c r="G248" s="1">
        <f ca="1">IFERROR(__xludf.DUMMYFUNCTION("""COMPUTED_VALUE"""),-4.52)</f>
        <v>-4.5199999999999996</v>
      </c>
      <c r="H248" s="1">
        <f ca="1">IFERROR(__xludf.DUMMYFUNCTION("""COMPUTED_VALUE"""),13)</f>
        <v>13</v>
      </c>
      <c r="I248" s="1">
        <f ca="1">IFERROR(__xludf.DUMMYFUNCTION("""COMPUTED_VALUE"""),5)</f>
        <v>5</v>
      </c>
      <c r="J248" s="1">
        <f ca="1">IFERROR(__xludf.DUMMYFUNCTION("""COMPUTED_VALUE"""),11)</f>
        <v>11</v>
      </c>
      <c r="K248" s="1">
        <f ca="1">IFERROR(__xludf.DUMMYFUNCTION("""COMPUTED_VALUE"""),4)</f>
        <v>4</v>
      </c>
      <c r="L248" s="1">
        <f ca="1">IFERROR(__xludf.DUMMYFUNCTION("""COMPUTED_VALUE"""),7)</f>
        <v>7</v>
      </c>
      <c r="M248" s="1">
        <f ca="1">IFERROR(__xludf.DUMMYFUNCTION("""COMPUTED_VALUE"""),8)</f>
        <v>8</v>
      </c>
      <c r="N248" s="1">
        <f ca="1">IFERROR(__xludf.DUMMYFUNCTION("""COMPUTED_VALUE"""),2687)</f>
        <v>2687</v>
      </c>
      <c r="O248" s="1">
        <f ca="1">IFERROR(__xludf.DUMMYFUNCTION("""COMPUTED_VALUE"""),2656)</f>
        <v>2656</v>
      </c>
      <c r="P248" s="1">
        <f ca="1">IFERROR(__xludf.DUMMYFUNCTION("""COMPUTED_VALUE"""),1280)</f>
        <v>1280</v>
      </c>
      <c r="Q248" s="1">
        <f ca="1">IFERROR(__xludf.DUMMYFUNCTION("""COMPUTED_VALUE"""),946)</f>
        <v>946</v>
      </c>
      <c r="R248" s="1">
        <f ca="1">IFERROR(__xludf.DUMMYFUNCTION("""COMPUTED_VALUE"""),2052)</f>
        <v>2052</v>
      </c>
      <c r="S248" s="1">
        <f ca="1">IFERROR(__xludf.DUMMYFUNCTION("""COMPUTED_VALUE"""),0.461)</f>
        <v>0.46100000000000002</v>
      </c>
      <c r="T248" s="1">
        <f ca="1">IFERROR(__xludf.DUMMYFUNCTION("""COMPUTED_VALUE"""),264)</f>
        <v>264</v>
      </c>
      <c r="U248" s="1">
        <f ca="1">IFERROR(__xludf.DUMMYFUNCTION("""COMPUTED_VALUE"""),740)</f>
        <v>740</v>
      </c>
      <c r="V248" s="1">
        <f ca="1">IFERROR(__xludf.DUMMYFUNCTION("""COMPUTED_VALUE"""),0.357)</f>
        <v>0.35699999999999998</v>
      </c>
      <c r="W248" s="1">
        <f ca="1">IFERROR(__xludf.DUMMYFUNCTION("""COMPUTED_VALUE"""),531)</f>
        <v>531</v>
      </c>
      <c r="X248" s="1">
        <f ca="1">IFERROR(__xludf.DUMMYFUNCTION("""COMPUTED_VALUE"""),709)</f>
        <v>709</v>
      </c>
      <c r="Y248" s="1">
        <f ca="1">IFERROR(__xludf.DUMMYFUNCTION("""COMPUTED_VALUE"""),0.749)</f>
        <v>0.749</v>
      </c>
      <c r="Z248" s="1">
        <f ca="1">IFERROR(__xludf.DUMMYFUNCTION("""COMPUTED_VALUE"""),372)</f>
        <v>372</v>
      </c>
      <c r="AA248" s="1">
        <f ca="1">IFERROR(__xludf.DUMMYFUNCTION("""COMPUTED_VALUE"""),1106)</f>
        <v>1106</v>
      </c>
      <c r="AB248" s="1">
        <f ca="1">IFERROR(__xludf.DUMMYFUNCTION("""COMPUTED_VALUE"""),509)</f>
        <v>509</v>
      </c>
      <c r="AC248" s="1">
        <f ca="1">IFERROR(__xludf.DUMMYFUNCTION("""COMPUTED_VALUE"""),242)</f>
        <v>242</v>
      </c>
      <c r="AD248" s="1">
        <f ca="1">IFERROR(__xludf.DUMMYFUNCTION("""COMPUTED_VALUE"""),144)</f>
        <v>144</v>
      </c>
      <c r="AE248" s="1">
        <f ca="1">IFERROR(__xludf.DUMMYFUNCTION("""COMPUTED_VALUE"""),392)</f>
        <v>392</v>
      </c>
      <c r="AF248" s="1">
        <f ca="1">IFERROR(__xludf.DUMMYFUNCTION("""COMPUTED_VALUE"""),596)</f>
        <v>596</v>
      </c>
    </row>
    <row r="249" spans="1:32" ht="12.5" x14ac:dyDescent="0.25">
      <c r="A249" s="1" t="str">
        <f ca="1">IFERROR(__xludf.DUMMYFUNCTION("""COMPUTED_VALUE"""),"Northwestern")</f>
        <v>Northwestern</v>
      </c>
      <c r="B249" s="1">
        <f ca="1">IFERROR(__xludf.DUMMYFUNCTION("""COMPUTED_VALUE"""),32)</f>
        <v>32</v>
      </c>
      <c r="C249" s="1">
        <f ca="1">IFERROR(__xludf.DUMMYFUNCTION("""COMPUTED_VALUE"""),15)</f>
        <v>15</v>
      </c>
      <c r="D249" s="1">
        <f ca="1">IFERROR(__xludf.DUMMYFUNCTION("""COMPUTED_VALUE"""),17)</f>
        <v>17</v>
      </c>
      <c r="E249" s="1">
        <f ca="1">IFERROR(__xludf.DUMMYFUNCTION("""COMPUTED_VALUE"""),0.469)</f>
        <v>0.46899999999999997</v>
      </c>
      <c r="F249" s="1">
        <f ca="1">IFERROR(__xludf.DUMMYFUNCTION("""COMPUTED_VALUE"""),6.11)</f>
        <v>6.11</v>
      </c>
      <c r="G249" s="1">
        <f ca="1">IFERROR(__xludf.DUMMYFUNCTION("""COMPUTED_VALUE"""),7.2)</f>
        <v>7.2</v>
      </c>
      <c r="H249" s="1">
        <f ca="1">IFERROR(__xludf.DUMMYFUNCTION("""COMPUTED_VALUE"""),6)</f>
        <v>6</v>
      </c>
      <c r="I249" s="1">
        <f ca="1">IFERROR(__xludf.DUMMYFUNCTION("""COMPUTED_VALUE"""),12)</f>
        <v>12</v>
      </c>
      <c r="J249" s="1">
        <f ca="1">IFERROR(__xludf.DUMMYFUNCTION("""COMPUTED_VALUE"""),11)</f>
        <v>11</v>
      </c>
      <c r="K249" s="1">
        <f ca="1">IFERROR(__xludf.DUMMYFUNCTION("""COMPUTED_VALUE"""),7)</f>
        <v>7</v>
      </c>
      <c r="L249" s="1">
        <f ca="1">IFERROR(__xludf.DUMMYFUNCTION("""COMPUTED_VALUE"""),3)</f>
        <v>3</v>
      </c>
      <c r="M249" s="1">
        <f ca="1">IFERROR(__xludf.DUMMYFUNCTION("""COMPUTED_VALUE"""),8)</f>
        <v>8</v>
      </c>
      <c r="N249" s="1">
        <f ca="1">IFERROR(__xludf.DUMMYFUNCTION("""COMPUTED_VALUE"""),2031)</f>
        <v>2031</v>
      </c>
      <c r="O249" s="1">
        <f ca="1">IFERROR(__xludf.DUMMYFUNCTION("""COMPUTED_VALUE"""),2066)</f>
        <v>2066</v>
      </c>
      <c r="P249" s="1">
        <f ca="1">IFERROR(__xludf.DUMMYFUNCTION("""COMPUTED_VALUE"""),1305)</f>
        <v>1305</v>
      </c>
      <c r="Q249" s="1">
        <f ca="1">IFERROR(__xludf.DUMMYFUNCTION("""COMPUTED_VALUE"""),727)</f>
        <v>727</v>
      </c>
      <c r="R249" s="1">
        <f ca="1">IFERROR(__xludf.DUMMYFUNCTION("""COMPUTED_VALUE"""),1669)</f>
        <v>1669</v>
      </c>
      <c r="S249" s="1">
        <f ca="1">IFERROR(__xludf.DUMMYFUNCTION("""COMPUTED_VALUE"""),0.436)</f>
        <v>0.436</v>
      </c>
      <c r="T249" s="1">
        <f ca="1">IFERROR(__xludf.DUMMYFUNCTION("""COMPUTED_VALUE"""),228)</f>
        <v>228</v>
      </c>
      <c r="U249" s="1">
        <f ca="1">IFERROR(__xludf.DUMMYFUNCTION("""COMPUTED_VALUE"""),635)</f>
        <v>635</v>
      </c>
      <c r="V249" s="1">
        <f ca="1">IFERROR(__xludf.DUMMYFUNCTION("""COMPUTED_VALUE"""),0.359)</f>
        <v>0.35899999999999999</v>
      </c>
      <c r="W249" s="1">
        <f ca="1">IFERROR(__xludf.DUMMYFUNCTION("""COMPUTED_VALUE"""),349)</f>
        <v>349</v>
      </c>
      <c r="X249" s="1">
        <f ca="1">IFERROR(__xludf.DUMMYFUNCTION("""COMPUTED_VALUE"""),477)</f>
        <v>477</v>
      </c>
      <c r="Y249" s="1">
        <f ca="1">IFERROR(__xludf.DUMMYFUNCTION("""COMPUTED_VALUE"""),0.732)</f>
        <v>0.73199999999999998</v>
      </c>
      <c r="Z249" s="1">
        <f ca="1">IFERROR(__xludf.DUMMYFUNCTION("""COMPUTED_VALUE"""),277)</f>
        <v>277</v>
      </c>
      <c r="AA249" s="1">
        <f ca="1">IFERROR(__xludf.DUMMYFUNCTION("""COMPUTED_VALUE"""),1052)</f>
        <v>1052</v>
      </c>
      <c r="AB249" s="1">
        <f ca="1">IFERROR(__xludf.DUMMYFUNCTION("""COMPUTED_VALUE"""),460)</f>
        <v>460</v>
      </c>
      <c r="AC249" s="1">
        <f ca="1">IFERROR(__xludf.DUMMYFUNCTION("""COMPUTED_VALUE"""),118)</f>
        <v>118</v>
      </c>
      <c r="AD249" s="1">
        <f ca="1">IFERROR(__xludf.DUMMYFUNCTION("""COMPUTED_VALUE"""),126)</f>
        <v>126</v>
      </c>
      <c r="AE249" s="1">
        <f ca="1">IFERROR(__xludf.DUMMYFUNCTION("""COMPUTED_VALUE"""),357)</f>
        <v>357</v>
      </c>
      <c r="AF249" s="1">
        <f ca="1">IFERROR(__xludf.DUMMYFUNCTION("""COMPUTED_VALUE"""),573)</f>
        <v>573</v>
      </c>
    </row>
    <row r="250" spans="1:32" ht="12.5" x14ac:dyDescent="0.25">
      <c r="A250" s="1" t="str">
        <f ca="1">IFERROR(__xludf.DUMMYFUNCTION("""COMPUTED_VALUE"""),"Notre DameNCAA")</f>
        <v>Notre DameNCAA</v>
      </c>
      <c r="B250" s="1">
        <f ca="1">IFERROR(__xludf.DUMMYFUNCTION("""COMPUTED_VALUE"""),38)</f>
        <v>38</v>
      </c>
      <c r="C250" s="1">
        <f ca="1">IFERROR(__xludf.DUMMYFUNCTION("""COMPUTED_VALUE"""),32)</f>
        <v>32</v>
      </c>
      <c r="D250" s="1">
        <f ca="1">IFERROR(__xludf.DUMMYFUNCTION("""COMPUTED_VALUE"""),6)</f>
        <v>6</v>
      </c>
      <c r="E250" s="1">
        <f ca="1">IFERROR(__xludf.DUMMYFUNCTION("""COMPUTED_VALUE"""),0.842)</f>
        <v>0.84199999999999997</v>
      </c>
      <c r="F250" s="1">
        <f ca="1">IFERROR(__xludf.DUMMYFUNCTION("""COMPUTED_VALUE"""),19.23)</f>
        <v>19.23</v>
      </c>
      <c r="G250" s="1">
        <f ca="1">IFERROR(__xludf.DUMMYFUNCTION("""COMPUTED_VALUE"""),7.02)</f>
        <v>7.02</v>
      </c>
      <c r="H250" s="1">
        <f ca="1">IFERROR(__xludf.DUMMYFUNCTION("""COMPUTED_VALUE"""),14)</f>
        <v>14</v>
      </c>
      <c r="I250" s="1">
        <f ca="1">IFERROR(__xludf.DUMMYFUNCTION("""COMPUTED_VALUE"""),4)</f>
        <v>4</v>
      </c>
      <c r="J250" s="1">
        <f ca="1">IFERROR(__xludf.DUMMYFUNCTION("""COMPUTED_VALUE"""),17)</f>
        <v>17</v>
      </c>
      <c r="K250" s="1">
        <f ca="1">IFERROR(__xludf.DUMMYFUNCTION("""COMPUTED_VALUE"""),2)</f>
        <v>2</v>
      </c>
      <c r="L250" s="1">
        <f ca="1">IFERROR(__xludf.DUMMYFUNCTION("""COMPUTED_VALUE"""),7)</f>
        <v>7</v>
      </c>
      <c r="M250" s="1">
        <f ca="1">IFERROR(__xludf.DUMMYFUNCTION("""COMPUTED_VALUE"""),2)</f>
        <v>2</v>
      </c>
      <c r="N250" s="1">
        <f ca="1">IFERROR(__xludf.DUMMYFUNCTION("""COMPUTED_VALUE"""),2963)</f>
        <v>2963</v>
      </c>
      <c r="O250" s="1">
        <f ca="1">IFERROR(__xludf.DUMMYFUNCTION("""COMPUTED_VALUE"""),2499)</f>
        <v>2499</v>
      </c>
      <c r="P250" s="1">
        <f ca="1">IFERROR(__xludf.DUMMYFUNCTION("""COMPUTED_VALUE"""),1545)</f>
        <v>1545</v>
      </c>
      <c r="Q250" s="1">
        <f ca="1">IFERROR(__xludf.DUMMYFUNCTION("""COMPUTED_VALUE"""),1050)</f>
        <v>1050</v>
      </c>
      <c r="R250" s="1">
        <f ca="1">IFERROR(__xludf.DUMMYFUNCTION("""COMPUTED_VALUE"""),2061)</f>
        <v>2061</v>
      </c>
      <c r="S250" s="1">
        <f ca="1">IFERROR(__xludf.DUMMYFUNCTION("""COMPUTED_VALUE"""),0.509)</f>
        <v>0.50900000000000001</v>
      </c>
      <c r="T250" s="1">
        <f ca="1">IFERROR(__xludf.DUMMYFUNCTION("""COMPUTED_VALUE"""),302)</f>
        <v>302</v>
      </c>
      <c r="U250" s="1">
        <f ca="1">IFERROR(__xludf.DUMMYFUNCTION("""COMPUTED_VALUE"""),775)</f>
        <v>775</v>
      </c>
      <c r="V250" s="1">
        <f ca="1">IFERROR(__xludf.DUMMYFUNCTION("""COMPUTED_VALUE"""),0.39)</f>
        <v>0.39</v>
      </c>
      <c r="W250" s="1">
        <f ca="1">IFERROR(__xludf.DUMMYFUNCTION("""COMPUTED_VALUE"""),561)</f>
        <v>561</v>
      </c>
      <c r="X250" s="1">
        <f ca="1">IFERROR(__xludf.DUMMYFUNCTION("""COMPUTED_VALUE"""),756)</f>
        <v>756</v>
      </c>
      <c r="Y250" s="1">
        <f ca="1">IFERROR(__xludf.DUMMYFUNCTION("""COMPUTED_VALUE"""),0.742)</f>
        <v>0.74199999999999999</v>
      </c>
      <c r="Z250" s="1">
        <f ca="1">IFERROR(__xludf.DUMMYFUNCTION("""COMPUTED_VALUE"""),313)</f>
        <v>313</v>
      </c>
      <c r="AA250" s="1">
        <f ca="1">IFERROR(__xludf.DUMMYFUNCTION("""COMPUTED_VALUE"""),1231)</f>
        <v>1231</v>
      </c>
      <c r="AB250" s="1">
        <f ca="1">IFERROR(__xludf.DUMMYFUNCTION("""COMPUTED_VALUE"""),576)</f>
        <v>576</v>
      </c>
      <c r="AC250" s="1">
        <f ca="1">IFERROR(__xludf.DUMMYFUNCTION("""COMPUTED_VALUE"""),256)</f>
        <v>256</v>
      </c>
      <c r="AD250" s="1">
        <f ca="1">IFERROR(__xludf.DUMMYFUNCTION("""COMPUTED_VALUE"""),138)</f>
        <v>138</v>
      </c>
      <c r="AE250" s="1">
        <f ca="1">IFERROR(__xludf.DUMMYFUNCTION("""COMPUTED_VALUE"""),357)</f>
        <v>357</v>
      </c>
      <c r="AF250" s="1">
        <f ca="1">IFERROR(__xludf.DUMMYFUNCTION("""COMPUTED_VALUE"""),540)</f>
        <v>540</v>
      </c>
    </row>
    <row r="251" spans="1:32" ht="12.5" x14ac:dyDescent="0.25">
      <c r="A251" s="1" t="str">
        <f ca="1">IFERROR(__xludf.DUMMYFUNCTION("""COMPUTED_VALUE"""),"Oakland")</f>
        <v>Oakland</v>
      </c>
      <c r="B251" s="1">
        <f ca="1">IFERROR(__xludf.DUMMYFUNCTION("""COMPUTED_VALUE"""),33)</f>
        <v>33</v>
      </c>
      <c r="C251" s="1">
        <f ca="1">IFERROR(__xludf.DUMMYFUNCTION("""COMPUTED_VALUE"""),16)</f>
        <v>16</v>
      </c>
      <c r="D251" s="1">
        <f ca="1">IFERROR(__xludf.DUMMYFUNCTION("""COMPUTED_VALUE"""),17)</f>
        <v>17</v>
      </c>
      <c r="E251" s="1">
        <f ca="1">IFERROR(__xludf.DUMMYFUNCTION("""COMPUTED_VALUE"""),0.485)</f>
        <v>0.48499999999999999</v>
      </c>
      <c r="F251" s="1">
        <f ca="1">IFERROR(__xludf.DUMMYFUNCTION("""COMPUTED_VALUE"""),-1.28)</f>
        <v>-1.28</v>
      </c>
      <c r="G251" s="1">
        <f ca="1">IFERROR(__xludf.DUMMYFUNCTION("""COMPUTED_VALUE"""),1.27)</f>
        <v>1.27</v>
      </c>
      <c r="H251" s="1">
        <f ca="1">IFERROR(__xludf.DUMMYFUNCTION("""COMPUTED_VALUE"""),11)</f>
        <v>11</v>
      </c>
      <c r="I251" s="1">
        <f ca="1">IFERROR(__xludf.DUMMYFUNCTION("""COMPUTED_VALUE"""),5)</f>
        <v>5</v>
      </c>
      <c r="J251" s="1">
        <f ca="1">IFERROR(__xludf.DUMMYFUNCTION("""COMPUTED_VALUE"""),12)</f>
        <v>12</v>
      </c>
      <c r="K251" s="1">
        <f ca="1">IFERROR(__xludf.DUMMYFUNCTION("""COMPUTED_VALUE"""),4)</f>
        <v>4</v>
      </c>
      <c r="L251" s="1">
        <f ca="1">IFERROR(__xludf.DUMMYFUNCTION("""COMPUTED_VALUE"""),4)</f>
        <v>4</v>
      </c>
      <c r="M251" s="1">
        <f ca="1">IFERROR(__xludf.DUMMYFUNCTION("""COMPUTED_VALUE"""),12)</f>
        <v>12</v>
      </c>
      <c r="N251" s="1">
        <f ca="1">IFERROR(__xludf.DUMMYFUNCTION("""COMPUTED_VALUE"""),2450)</f>
        <v>2450</v>
      </c>
      <c r="O251" s="1">
        <f ca="1">IFERROR(__xludf.DUMMYFUNCTION("""COMPUTED_VALUE"""),2482)</f>
        <v>2482</v>
      </c>
      <c r="P251" s="1">
        <f ca="1">IFERROR(__xludf.DUMMYFUNCTION("""COMPUTED_VALUE"""),1350)</f>
        <v>1350</v>
      </c>
      <c r="Q251" s="1">
        <f ca="1">IFERROR(__xludf.DUMMYFUNCTION("""COMPUTED_VALUE"""),857)</f>
        <v>857</v>
      </c>
      <c r="R251" s="1">
        <f ca="1">IFERROR(__xludf.DUMMYFUNCTION("""COMPUTED_VALUE"""),1854)</f>
        <v>1854</v>
      </c>
      <c r="S251" s="1">
        <f ca="1">IFERROR(__xludf.DUMMYFUNCTION("""COMPUTED_VALUE"""),0.462)</f>
        <v>0.46200000000000002</v>
      </c>
      <c r="T251" s="1">
        <f ca="1">IFERROR(__xludf.DUMMYFUNCTION("""COMPUTED_VALUE"""),259)</f>
        <v>259</v>
      </c>
      <c r="U251" s="1">
        <f ca="1">IFERROR(__xludf.DUMMYFUNCTION("""COMPUTED_VALUE"""),716)</f>
        <v>716</v>
      </c>
      <c r="V251" s="1">
        <f ca="1">IFERROR(__xludf.DUMMYFUNCTION("""COMPUTED_VALUE"""),0.362)</f>
        <v>0.36199999999999999</v>
      </c>
      <c r="W251" s="1">
        <f ca="1">IFERROR(__xludf.DUMMYFUNCTION("""COMPUTED_VALUE"""),477)</f>
        <v>477</v>
      </c>
      <c r="X251" s="1">
        <f ca="1">IFERROR(__xludf.DUMMYFUNCTION("""COMPUTED_VALUE"""),695)</f>
        <v>695</v>
      </c>
      <c r="Y251" s="1">
        <f ca="1">IFERROR(__xludf.DUMMYFUNCTION("""COMPUTED_VALUE"""),0.686)</f>
        <v>0.68600000000000005</v>
      </c>
      <c r="Z251" s="1">
        <f ca="1">IFERROR(__xludf.DUMMYFUNCTION("""COMPUTED_VALUE"""),340)</f>
        <v>340</v>
      </c>
      <c r="AA251" s="1">
        <f ca="1">IFERROR(__xludf.DUMMYFUNCTION("""COMPUTED_VALUE"""),1109)</f>
        <v>1109</v>
      </c>
      <c r="AB251" s="1">
        <f ca="1">IFERROR(__xludf.DUMMYFUNCTION("""COMPUTED_VALUE"""),517)</f>
        <v>517</v>
      </c>
      <c r="AC251" s="1">
        <f ca="1">IFERROR(__xludf.DUMMYFUNCTION("""COMPUTED_VALUE"""),196)</f>
        <v>196</v>
      </c>
      <c r="AD251" s="1">
        <f ca="1">IFERROR(__xludf.DUMMYFUNCTION("""COMPUTED_VALUE"""),55)</f>
        <v>55</v>
      </c>
      <c r="AE251" s="1">
        <f ca="1">IFERROR(__xludf.DUMMYFUNCTION("""COMPUTED_VALUE"""),416)</f>
        <v>416</v>
      </c>
      <c r="AF251" s="1">
        <f ca="1">IFERROR(__xludf.DUMMYFUNCTION("""COMPUTED_VALUE"""),572)</f>
        <v>572</v>
      </c>
    </row>
    <row r="252" spans="1:32" ht="12.5" x14ac:dyDescent="0.25">
      <c r="A252" s="1" t="str">
        <f ca="1">IFERROR(__xludf.DUMMYFUNCTION("""COMPUTED_VALUE"""),"Ohio StateNCAA")</f>
        <v>Ohio StateNCAA</v>
      </c>
      <c r="B252" s="1">
        <f ca="1">IFERROR(__xludf.DUMMYFUNCTION("""COMPUTED_VALUE"""),35)</f>
        <v>35</v>
      </c>
      <c r="C252" s="1">
        <f ca="1">IFERROR(__xludf.DUMMYFUNCTION("""COMPUTED_VALUE"""),24)</f>
        <v>24</v>
      </c>
      <c r="D252" s="1">
        <f ca="1">IFERROR(__xludf.DUMMYFUNCTION("""COMPUTED_VALUE"""),11)</f>
        <v>11</v>
      </c>
      <c r="E252" s="1">
        <f ca="1">IFERROR(__xludf.DUMMYFUNCTION("""COMPUTED_VALUE"""),0.686)</f>
        <v>0.68600000000000005</v>
      </c>
      <c r="F252" s="1">
        <f ca="1">IFERROR(__xludf.DUMMYFUNCTION("""COMPUTED_VALUE"""),19.68)</f>
        <v>19.68</v>
      </c>
      <c r="G252" s="1">
        <f ca="1">IFERROR(__xludf.DUMMYFUNCTION("""COMPUTED_VALUE"""),7.37)</f>
        <v>7.37</v>
      </c>
      <c r="H252" s="1">
        <f ca="1">IFERROR(__xludf.DUMMYFUNCTION("""COMPUTED_VALUE"""),11)</f>
        <v>11</v>
      </c>
      <c r="I252" s="1">
        <f ca="1">IFERROR(__xludf.DUMMYFUNCTION("""COMPUTED_VALUE"""),7)</f>
        <v>7</v>
      </c>
      <c r="J252" s="1">
        <f ca="1">IFERROR(__xludf.DUMMYFUNCTION("""COMPUTED_VALUE"""),18)</f>
        <v>18</v>
      </c>
      <c r="K252" s="1">
        <f ca="1">IFERROR(__xludf.DUMMYFUNCTION("""COMPUTED_VALUE"""),2)</f>
        <v>2</v>
      </c>
      <c r="L252" s="1">
        <f ca="1">IFERROR(__xludf.DUMMYFUNCTION("""COMPUTED_VALUE"""),4)</f>
        <v>4</v>
      </c>
      <c r="M252" s="1">
        <f ca="1">IFERROR(__xludf.DUMMYFUNCTION("""COMPUTED_VALUE"""),6)</f>
        <v>6</v>
      </c>
      <c r="N252" s="1">
        <f ca="1">IFERROR(__xludf.DUMMYFUNCTION("""COMPUTED_VALUE"""),2635)</f>
        <v>2635</v>
      </c>
      <c r="O252" s="1">
        <f ca="1">IFERROR(__xludf.DUMMYFUNCTION("""COMPUTED_VALUE"""),2204)</f>
        <v>2204</v>
      </c>
      <c r="P252" s="1">
        <f ca="1">IFERROR(__xludf.DUMMYFUNCTION("""COMPUTED_VALUE"""),1410)</f>
        <v>1410</v>
      </c>
      <c r="Q252" s="1">
        <f ca="1">IFERROR(__xludf.DUMMYFUNCTION("""COMPUTED_VALUE"""),964)</f>
        <v>964</v>
      </c>
      <c r="R252" s="1">
        <f ca="1">IFERROR(__xludf.DUMMYFUNCTION("""COMPUTED_VALUE"""),1995)</f>
        <v>1995</v>
      </c>
      <c r="S252" s="1">
        <f ca="1">IFERROR(__xludf.DUMMYFUNCTION("""COMPUTED_VALUE"""),0.483)</f>
        <v>0.48299999999999998</v>
      </c>
      <c r="T252" s="1">
        <f ca="1">IFERROR(__xludf.DUMMYFUNCTION("""COMPUTED_VALUE"""),236)</f>
        <v>236</v>
      </c>
      <c r="U252" s="1">
        <f ca="1">IFERROR(__xludf.DUMMYFUNCTION("""COMPUTED_VALUE"""),637)</f>
        <v>637</v>
      </c>
      <c r="V252" s="1">
        <f ca="1">IFERROR(__xludf.DUMMYFUNCTION("""COMPUTED_VALUE"""),0.37)</f>
        <v>0.37</v>
      </c>
      <c r="W252" s="1">
        <f ca="1">IFERROR(__xludf.DUMMYFUNCTION("""COMPUTED_VALUE"""),471)</f>
        <v>471</v>
      </c>
      <c r="X252" s="1">
        <f ca="1">IFERROR(__xludf.DUMMYFUNCTION("""COMPUTED_VALUE"""),693)</f>
        <v>693</v>
      </c>
      <c r="Y252" s="1">
        <f ca="1">IFERROR(__xludf.DUMMYFUNCTION("""COMPUTED_VALUE"""),0.68)</f>
        <v>0.68</v>
      </c>
      <c r="Z252" s="1">
        <f ca="1">IFERROR(__xludf.DUMMYFUNCTION("""COMPUTED_VALUE"""),387)</f>
        <v>387</v>
      </c>
      <c r="AA252" s="1">
        <f ca="1">IFERROR(__xludf.DUMMYFUNCTION("""COMPUTED_VALUE"""),1241)</f>
        <v>1241</v>
      </c>
      <c r="AB252" s="1">
        <f ca="1">IFERROR(__xludf.DUMMYFUNCTION("""COMPUTED_VALUE"""),534)</f>
        <v>534</v>
      </c>
      <c r="AC252" s="1">
        <f ca="1">IFERROR(__xludf.DUMMYFUNCTION("""COMPUTED_VALUE"""),266)</f>
        <v>266</v>
      </c>
      <c r="AD252" s="1">
        <f ca="1">IFERROR(__xludf.DUMMYFUNCTION("""COMPUTED_VALUE"""),178)</f>
        <v>178</v>
      </c>
      <c r="AE252" s="1">
        <f ca="1">IFERROR(__xludf.DUMMYFUNCTION("""COMPUTED_VALUE"""),396)</f>
        <v>396</v>
      </c>
      <c r="AF252" s="1">
        <f ca="1">IFERROR(__xludf.DUMMYFUNCTION("""COMPUTED_VALUE"""),563)</f>
        <v>563</v>
      </c>
    </row>
    <row r="253" spans="1:32" ht="12.5" x14ac:dyDescent="0.25">
      <c r="A253" s="1" t="str">
        <f ca="1">IFERROR(__xludf.DUMMYFUNCTION("""COMPUTED_VALUE"""),"Ohio")</f>
        <v>Ohio</v>
      </c>
      <c r="B253" s="1">
        <f ca="1">IFERROR(__xludf.DUMMYFUNCTION("""COMPUTED_VALUE"""),30)</f>
        <v>30</v>
      </c>
      <c r="C253" s="1">
        <f ca="1">IFERROR(__xludf.DUMMYFUNCTION("""COMPUTED_VALUE"""),10)</f>
        <v>10</v>
      </c>
      <c r="D253" s="1">
        <f ca="1">IFERROR(__xludf.DUMMYFUNCTION("""COMPUTED_VALUE"""),20)</f>
        <v>20</v>
      </c>
      <c r="E253" s="1">
        <f ca="1">IFERROR(__xludf.DUMMYFUNCTION("""COMPUTED_VALUE"""),0.333)</f>
        <v>0.33300000000000002</v>
      </c>
      <c r="F253" s="1">
        <f ca="1">IFERROR(__xludf.DUMMYFUNCTION("""COMPUTED_VALUE"""),-4.15)</f>
        <v>-4.1500000000000004</v>
      </c>
      <c r="G253" s="1">
        <f ca="1">IFERROR(__xludf.DUMMYFUNCTION("""COMPUTED_VALUE"""),0.45)</f>
        <v>0.45</v>
      </c>
      <c r="H253" s="1">
        <f ca="1">IFERROR(__xludf.DUMMYFUNCTION("""COMPUTED_VALUE"""),5)</f>
        <v>5</v>
      </c>
      <c r="I253" s="1">
        <f ca="1">IFERROR(__xludf.DUMMYFUNCTION("""COMPUTED_VALUE"""),13)</f>
        <v>13</v>
      </c>
      <c r="J253" s="1">
        <f ca="1">IFERROR(__xludf.DUMMYFUNCTION("""COMPUTED_VALUE"""),8)</f>
        <v>8</v>
      </c>
      <c r="K253" s="1">
        <f ca="1">IFERROR(__xludf.DUMMYFUNCTION("""COMPUTED_VALUE"""),7)</f>
        <v>7</v>
      </c>
      <c r="L253" s="1">
        <f ca="1">IFERROR(__xludf.DUMMYFUNCTION("""COMPUTED_VALUE"""),1)</f>
        <v>1</v>
      </c>
      <c r="M253" s="1">
        <f ca="1">IFERROR(__xludf.DUMMYFUNCTION("""COMPUTED_VALUE"""),11)</f>
        <v>11</v>
      </c>
      <c r="N253" s="1">
        <f ca="1">IFERROR(__xludf.DUMMYFUNCTION("""COMPUTED_VALUE"""),2028)</f>
        <v>2028</v>
      </c>
      <c r="O253" s="1">
        <f ca="1">IFERROR(__xludf.DUMMYFUNCTION("""COMPUTED_VALUE"""),2166)</f>
        <v>2166</v>
      </c>
      <c r="P253" s="1">
        <f ca="1">IFERROR(__xludf.DUMMYFUNCTION("""COMPUTED_VALUE"""),1205)</f>
        <v>1205</v>
      </c>
      <c r="Q253" s="1">
        <f ca="1">IFERROR(__xludf.DUMMYFUNCTION("""COMPUTED_VALUE"""),727)</f>
        <v>727</v>
      </c>
      <c r="R253" s="1">
        <f ca="1">IFERROR(__xludf.DUMMYFUNCTION("""COMPUTED_VALUE"""),1678)</f>
        <v>1678</v>
      </c>
      <c r="S253" s="1">
        <f ca="1">IFERROR(__xludf.DUMMYFUNCTION("""COMPUTED_VALUE"""),0.433)</f>
        <v>0.433</v>
      </c>
      <c r="T253" s="1">
        <f ca="1">IFERROR(__xludf.DUMMYFUNCTION("""COMPUTED_VALUE"""),217)</f>
        <v>217</v>
      </c>
      <c r="U253" s="1">
        <f ca="1">IFERROR(__xludf.DUMMYFUNCTION("""COMPUTED_VALUE"""),637)</f>
        <v>637</v>
      </c>
      <c r="V253" s="1">
        <f ca="1">IFERROR(__xludf.DUMMYFUNCTION("""COMPUTED_VALUE"""),0.341)</f>
        <v>0.34100000000000003</v>
      </c>
      <c r="W253" s="1">
        <f ca="1">IFERROR(__xludf.DUMMYFUNCTION("""COMPUTED_VALUE"""),357)</f>
        <v>357</v>
      </c>
      <c r="X253" s="1">
        <f ca="1">IFERROR(__xludf.DUMMYFUNCTION("""COMPUTED_VALUE"""),486)</f>
        <v>486</v>
      </c>
      <c r="Y253" s="1">
        <f ca="1">IFERROR(__xludf.DUMMYFUNCTION("""COMPUTED_VALUE"""),0.735)</f>
        <v>0.73499999999999999</v>
      </c>
      <c r="Z253" s="1">
        <f ca="1">IFERROR(__xludf.DUMMYFUNCTION("""COMPUTED_VALUE"""),268)</f>
        <v>268</v>
      </c>
      <c r="AA253" s="1">
        <f ca="1">IFERROR(__xludf.DUMMYFUNCTION("""COMPUTED_VALUE"""),1023)</f>
        <v>1023</v>
      </c>
      <c r="AB253" s="1">
        <f ca="1">IFERROR(__xludf.DUMMYFUNCTION("""COMPUTED_VALUE"""),341)</f>
        <v>341</v>
      </c>
      <c r="AC253" s="1">
        <f ca="1">IFERROR(__xludf.DUMMYFUNCTION("""COMPUTED_VALUE"""),154)</f>
        <v>154</v>
      </c>
      <c r="AD253" s="1">
        <f ca="1">IFERROR(__xludf.DUMMYFUNCTION("""COMPUTED_VALUE"""),128)</f>
        <v>128</v>
      </c>
      <c r="AE253" s="1">
        <f ca="1">IFERROR(__xludf.DUMMYFUNCTION("""COMPUTED_VALUE"""),382)</f>
        <v>382</v>
      </c>
      <c r="AF253" s="1">
        <f ca="1">IFERROR(__xludf.DUMMYFUNCTION("""COMPUTED_VALUE"""),512)</f>
        <v>512</v>
      </c>
    </row>
    <row r="254" spans="1:32" ht="12.5" x14ac:dyDescent="0.25">
      <c r="A254" s="1" t="str">
        <f ca="1">IFERROR(__xludf.DUMMYFUNCTION("""COMPUTED_VALUE"""),"Oklahoma StateNCAA")</f>
        <v>Oklahoma StateNCAA</v>
      </c>
      <c r="B254" s="1">
        <f ca="1">IFERROR(__xludf.DUMMYFUNCTION("""COMPUTED_VALUE"""),32)</f>
        <v>32</v>
      </c>
      <c r="C254" s="1">
        <f ca="1">IFERROR(__xludf.DUMMYFUNCTION("""COMPUTED_VALUE"""),18)</f>
        <v>18</v>
      </c>
      <c r="D254" s="1">
        <f ca="1">IFERROR(__xludf.DUMMYFUNCTION("""COMPUTED_VALUE"""),14)</f>
        <v>14</v>
      </c>
      <c r="E254" s="1">
        <f ca="1">IFERROR(__xludf.DUMMYFUNCTION("""COMPUTED_VALUE"""),0.563)</f>
        <v>0.56299999999999994</v>
      </c>
      <c r="F254" s="1">
        <f ca="1">IFERROR(__xludf.DUMMYFUNCTION("""COMPUTED_VALUE"""),12.95)</f>
        <v>12.95</v>
      </c>
      <c r="G254" s="1">
        <f ca="1">IFERROR(__xludf.DUMMYFUNCTION("""COMPUTED_VALUE"""),9.63)</f>
        <v>9.6300000000000008</v>
      </c>
      <c r="H254" s="1">
        <f ca="1">IFERROR(__xludf.DUMMYFUNCTION("""COMPUTED_VALUE"""),8)</f>
        <v>8</v>
      </c>
      <c r="I254" s="1">
        <f ca="1">IFERROR(__xludf.DUMMYFUNCTION("""COMPUTED_VALUE"""),10)</f>
        <v>10</v>
      </c>
      <c r="J254" s="1">
        <f ca="1">IFERROR(__xludf.DUMMYFUNCTION("""COMPUTED_VALUE"""),12)</f>
        <v>12</v>
      </c>
      <c r="K254" s="1">
        <f ca="1">IFERROR(__xludf.DUMMYFUNCTION("""COMPUTED_VALUE"""),4)</f>
        <v>4</v>
      </c>
      <c r="L254" s="1">
        <f ca="1">IFERROR(__xludf.DUMMYFUNCTION("""COMPUTED_VALUE"""),3)</f>
        <v>3</v>
      </c>
      <c r="M254" s="1">
        <f ca="1">IFERROR(__xludf.DUMMYFUNCTION("""COMPUTED_VALUE"""),8)</f>
        <v>8</v>
      </c>
      <c r="N254" s="1">
        <f ca="1">IFERROR(__xludf.DUMMYFUNCTION("""COMPUTED_VALUE"""),2160)</f>
        <v>2160</v>
      </c>
      <c r="O254" s="1">
        <f ca="1">IFERROR(__xludf.DUMMYFUNCTION("""COMPUTED_VALUE"""),2011)</f>
        <v>2011</v>
      </c>
      <c r="P254" s="1">
        <f ca="1">IFERROR(__xludf.DUMMYFUNCTION("""COMPUTED_VALUE"""),1290)</f>
        <v>1290</v>
      </c>
      <c r="Q254" s="1">
        <f ca="1">IFERROR(__xludf.DUMMYFUNCTION("""COMPUTED_VALUE"""),733)</f>
        <v>733</v>
      </c>
      <c r="R254" s="1">
        <f ca="1">IFERROR(__xludf.DUMMYFUNCTION("""COMPUTED_VALUE"""),1667)</f>
        <v>1667</v>
      </c>
      <c r="S254" s="1">
        <f ca="1">IFERROR(__xludf.DUMMYFUNCTION("""COMPUTED_VALUE"""),0.44)</f>
        <v>0.44</v>
      </c>
      <c r="T254" s="1">
        <f ca="1">IFERROR(__xludf.DUMMYFUNCTION("""COMPUTED_VALUE"""),226)</f>
        <v>226</v>
      </c>
      <c r="U254" s="1">
        <f ca="1">IFERROR(__xludf.DUMMYFUNCTION("""COMPUTED_VALUE"""),647)</f>
        <v>647</v>
      </c>
      <c r="V254" s="1">
        <f ca="1">IFERROR(__xludf.DUMMYFUNCTION("""COMPUTED_VALUE"""),0.349)</f>
        <v>0.34899999999999998</v>
      </c>
      <c r="W254" s="1">
        <f ca="1">IFERROR(__xludf.DUMMYFUNCTION("""COMPUTED_VALUE"""),468)</f>
        <v>468</v>
      </c>
      <c r="X254" s="1">
        <f ca="1">IFERROR(__xludf.DUMMYFUNCTION("""COMPUTED_VALUE"""),645)</f>
        <v>645</v>
      </c>
      <c r="Y254" s="1">
        <f ca="1">IFERROR(__xludf.DUMMYFUNCTION("""COMPUTED_VALUE"""),0.726)</f>
        <v>0.72599999999999998</v>
      </c>
      <c r="Z254" s="1">
        <f ca="1">IFERROR(__xludf.DUMMYFUNCTION("""COMPUTED_VALUE"""),287)</f>
        <v>287</v>
      </c>
      <c r="AA254" s="1">
        <f ca="1">IFERROR(__xludf.DUMMYFUNCTION("""COMPUTED_VALUE"""),1039)</f>
        <v>1039</v>
      </c>
      <c r="AB254" s="1">
        <f ca="1">IFERROR(__xludf.DUMMYFUNCTION("""COMPUTED_VALUE"""),366)</f>
        <v>366</v>
      </c>
      <c r="AC254" s="1">
        <f ca="1">IFERROR(__xludf.DUMMYFUNCTION("""COMPUTED_VALUE"""),253)</f>
        <v>253</v>
      </c>
      <c r="AD254" s="1">
        <f ca="1">IFERROR(__xludf.DUMMYFUNCTION("""COMPUTED_VALUE"""),156)</f>
        <v>156</v>
      </c>
      <c r="AE254" s="1">
        <f ca="1">IFERROR(__xludf.DUMMYFUNCTION("""COMPUTED_VALUE"""),392)</f>
        <v>392</v>
      </c>
      <c r="AF254" s="1">
        <f ca="1">IFERROR(__xludf.DUMMYFUNCTION("""COMPUTED_VALUE"""),614)</f>
        <v>614</v>
      </c>
    </row>
    <row r="255" spans="1:32" ht="12.5" x14ac:dyDescent="0.25">
      <c r="A255" s="1" t="str">
        <f ca="1">IFERROR(__xludf.DUMMYFUNCTION("""COMPUTED_VALUE"""),"OklahomaNCAA")</f>
        <v>OklahomaNCAA</v>
      </c>
      <c r="B255" s="1">
        <f ca="1">IFERROR(__xludf.DUMMYFUNCTION("""COMPUTED_VALUE"""),35)</f>
        <v>35</v>
      </c>
      <c r="C255" s="1">
        <f ca="1">IFERROR(__xludf.DUMMYFUNCTION("""COMPUTED_VALUE"""),24)</f>
        <v>24</v>
      </c>
      <c r="D255" s="1">
        <f ca="1">IFERROR(__xludf.DUMMYFUNCTION("""COMPUTED_VALUE"""),11)</f>
        <v>11</v>
      </c>
      <c r="E255" s="1">
        <f ca="1">IFERROR(__xludf.DUMMYFUNCTION("""COMPUTED_VALUE"""),0.686)</f>
        <v>0.68600000000000005</v>
      </c>
      <c r="F255" s="1">
        <f ca="1">IFERROR(__xludf.DUMMYFUNCTION("""COMPUTED_VALUE"""),18.65)</f>
        <v>18.649999999999999</v>
      </c>
      <c r="G255" s="1">
        <f ca="1">IFERROR(__xludf.DUMMYFUNCTION("""COMPUTED_VALUE"""),9.94)</f>
        <v>9.94</v>
      </c>
      <c r="H255" s="1">
        <f ca="1">IFERROR(__xludf.DUMMYFUNCTION("""COMPUTED_VALUE"""),12)</f>
        <v>12</v>
      </c>
      <c r="I255" s="1">
        <f ca="1">IFERROR(__xludf.DUMMYFUNCTION("""COMPUTED_VALUE"""),6)</f>
        <v>6</v>
      </c>
      <c r="J255" s="1">
        <f ca="1">IFERROR(__xludf.DUMMYFUNCTION("""COMPUTED_VALUE"""),14)</f>
        <v>14</v>
      </c>
      <c r="K255" s="1">
        <f ca="1">IFERROR(__xludf.DUMMYFUNCTION("""COMPUTED_VALUE"""),1)</f>
        <v>1</v>
      </c>
      <c r="L255" s="1">
        <f ca="1">IFERROR(__xludf.DUMMYFUNCTION("""COMPUTED_VALUE"""),5)</f>
        <v>5</v>
      </c>
      <c r="M255" s="1">
        <f ca="1">IFERROR(__xludf.DUMMYFUNCTION("""COMPUTED_VALUE"""),6)</f>
        <v>6</v>
      </c>
      <c r="N255" s="1">
        <f ca="1">IFERROR(__xludf.DUMMYFUNCTION("""COMPUTED_VALUE"""),2501)</f>
        <v>2501</v>
      </c>
      <c r="O255" s="1">
        <f ca="1">IFERROR(__xludf.DUMMYFUNCTION("""COMPUTED_VALUE"""),2196)</f>
        <v>2196</v>
      </c>
      <c r="P255" s="1">
        <f ca="1">IFERROR(__xludf.DUMMYFUNCTION("""COMPUTED_VALUE"""),1410)</f>
        <v>1410</v>
      </c>
      <c r="Q255" s="1">
        <f ca="1">IFERROR(__xludf.DUMMYFUNCTION("""COMPUTED_VALUE"""),885)</f>
        <v>885</v>
      </c>
      <c r="R255" s="1">
        <f ca="1">IFERROR(__xludf.DUMMYFUNCTION("""COMPUTED_VALUE"""),2035)</f>
        <v>2035</v>
      </c>
      <c r="S255" s="1">
        <f ca="1">IFERROR(__xludf.DUMMYFUNCTION("""COMPUTED_VALUE"""),0.435)</f>
        <v>0.435</v>
      </c>
      <c r="T255" s="1">
        <f ca="1">IFERROR(__xludf.DUMMYFUNCTION("""COMPUTED_VALUE"""),236)</f>
        <v>236</v>
      </c>
      <c r="U255" s="1">
        <f ca="1">IFERROR(__xludf.DUMMYFUNCTION("""COMPUTED_VALUE"""),688)</f>
        <v>688</v>
      </c>
      <c r="V255" s="1">
        <f ca="1">IFERROR(__xludf.DUMMYFUNCTION("""COMPUTED_VALUE"""),0.343)</f>
        <v>0.34300000000000003</v>
      </c>
      <c r="W255" s="1">
        <f ca="1">IFERROR(__xludf.DUMMYFUNCTION("""COMPUTED_VALUE"""),495)</f>
        <v>495</v>
      </c>
      <c r="X255" s="1">
        <f ca="1">IFERROR(__xludf.DUMMYFUNCTION("""COMPUTED_VALUE"""),668)</f>
        <v>668</v>
      </c>
      <c r="Y255" s="1">
        <f ca="1">IFERROR(__xludf.DUMMYFUNCTION("""COMPUTED_VALUE"""),0.741)</f>
        <v>0.74099999999999999</v>
      </c>
      <c r="Z255" s="1">
        <f ca="1">IFERROR(__xludf.DUMMYFUNCTION("""COMPUTED_VALUE"""),389)</f>
        <v>389</v>
      </c>
      <c r="AA255" s="1">
        <f ca="1">IFERROR(__xludf.DUMMYFUNCTION("""COMPUTED_VALUE"""),1332)</f>
        <v>1332</v>
      </c>
      <c r="AB255" s="1">
        <f ca="1">IFERROR(__xludf.DUMMYFUNCTION("""COMPUTED_VALUE"""),430)</f>
        <v>430</v>
      </c>
      <c r="AC255" s="1">
        <f ca="1">IFERROR(__xludf.DUMMYFUNCTION("""COMPUTED_VALUE"""),237)</f>
        <v>237</v>
      </c>
      <c r="AD255" s="1">
        <f ca="1">IFERROR(__xludf.DUMMYFUNCTION("""COMPUTED_VALUE"""),174)</f>
        <v>174</v>
      </c>
      <c r="AE255" s="1">
        <f ca="1">IFERROR(__xludf.DUMMYFUNCTION("""COMPUTED_VALUE"""),419)</f>
        <v>419</v>
      </c>
      <c r="AF255" s="1">
        <f ca="1">IFERROR(__xludf.DUMMYFUNCTION("""COMPUTED_VALUE"""),570)</f>
        <v>570</v>
      </c>
    </row>
    <row r="256" spans="1:32" ht="12.5" x14ac:dyDescent="0.25">
      <c r="A256" s="1" t="str">
        <f ca="1">IFERROR(__xludf.DUMMYFUNCTION("""COMPUTED_VALUE"""),"Old Dominion")</f>
        <v>Old Dominion</v>
      </c>
      <c r="B256" s="1">
        <f ca="1">IFERROR(__xludf.DUMMYFUNCTION("""COMPUTED_VALUE"""),35)</f>
        <v>35</v>
      </c>
      <c r="C256" s="1">
        <f ca="1">IFERROR(__xludf.DUMMYFUNCTION("""COMPUTED_VALUE"""),27)</f>
        <v>27</v>
      </c>
      <c r="D256" s="1">
        <f ca="1">IFERROR(__xludf.DUMMYFUNCTION("""COMPUTED_VALUE"""),8)</f>
        <v>8</v>
      </c>
      <c r="E256" s="1">
        <f ca="1">IFERROR(__xludf.DUMMYFUNCTION("""COMPUTED_VALUE"""),0.771)</f>
        <v>0.77100000000000002</v>
      </c>
      <c r="F256" s="1">
        <f ca="1">IFERROR(__xludf.DUMMYFUNCTION("""COMPUTED_VALUE"""),7.68)</f>
        <v>7.68</v>
      </c>
      <c r="G256" s="1">
        <f ca="1">IFERROR(__xludf.DUMMYFUNCTION("""COMPUTED_VALUE"""),-0.15)</f>
        <v>-0.15</v>
      </c>
      <c r="H256" s="1">
        <f ca="1">IFERROR(__xludf.DUMMYFUNCTION("""COMPUTED_VALUE"""),13)</f>
        <v>13</v>
      </c>
      <c r="I256" s="1">
        <f ca="1">IFERROR(__xludf.DUMMYFUNCTION("""COMPUTED_VALUE"""),5)</f>
        <v>5</v>
      </c>
      <c r="J256" s="1">
        <f ca="1">IFERROR(__xludf.DUMMYFUNCTION("""COMPUTED_VALUE"""),20)</f>
        <v>20</v>
      </c>
      <c r="K256" s="1">
        <f ca="1">IFERROR(__xludf.DUMMYFUNCTION("""COMPUTED_VALUE"""),0)</f>
        <v>0</v>
      </c>
      <c r="L256" s="1">
        <f ca="1">IFERROR(__xludf.DUMMYFUNCTION("""COMPUTED_VALUE"""),5)</f>
        <v>5</v>
      </c>
      <c r="M256" s="1">
        <f ca="1">IFERROR(__xludf.DUMMYFUNCTION("""COMPUTED_VALUE"""),5)</f>
        <v>5</v>
      </c>
      <c r="N256" s="1">
        <f ca="1">IFERROR(__xludf.DUMMYFUNCTION("""COMPUTED_VALUE"""),2273)</f>
        <v>2273</v>
      </c>
      <c r="O256" s="1">
        <f ca="1">IFERROR(__xludf.DUMMYFUNCTION("""COMPUTED_VALUE"""),1999)</f>
        <v>1999</v>
      </c>
      <c r="P256" s="1">
        <f ca="1">IFERROR(__xludf.DUMMYFUNCTION("""COMPUTED_VALUE"""),1410)</f>
        <v>1410</v>
      </c>
      <c r="Q256" s="1">
        <f ca="1">IFERROR(__xludf.DUMMYFUNCTION("""COMPUTED_VALUE"""),836)</f>
        <v>836</v>
      </c>
      <c r="R256" s="1">
        <f ca="1">IFERROR(__xludf.DUMMYFUNCTION("""COMPUTED_VALUE"""),1935)</f>
        <v>1935</v>
      </c>
      <c r="S256" s="1">
        <f ca="1">IFERROR(__xludf.DUMMYFUNCTION("""COMPUTED_VALUE"""),0.432)</f>
        <v>0.432</v>
      </c>
      <c r="T256" s="1">
        <f ca="1">IFERROR(__xludf.DUMMYFUNCTION("""COMPUTED_VALUE"""),207)</f>
        <v>207</v>
      </c>
      <c r="U256" s="1">
        <f ca="1">IFERROR(__xludf.DUMMYFUNCTION("""COMPUTED_VALUE"""),636)</f>
        <v>636</v>
      </c>
      <c r="V256" s="1">
        <f ca="1">IFERROR(__xludf.DUMMYFUNCTION("""COMPUTED_VALUE"""),0.325)</f>
        <v>0.32500000000000001</v>
      </c>
      <c r="W256" s="1">
        <f ca="1">IFERROR(__xludf.DUMMYFUNCTION("""COMPUTED_VALUE"""),394)</f>
        <v>394</v>
      </c>
      <c r="X256" s="1">
        <f ca="1">IFERROR(__xludf.DUMMYFUNCTION("""COMPUTED_VALUE"""),592)</f>
        <v>592</v>
      </c>
      <c r="Y256" s="1">
        <f ca="1">IFERROR(__xludf.DUMMYFUNCTION("""COMPUTED_VALUE"""),0.666)</f>
        <v>0.66600000000000004</v>
      </c>
      <c r="Z256" s="1">
        <f ca="1">IFERROR(__xludf.DUMMYFUNCTION("""COMPUTED_VALUE"""),438)</f>
        <v>438</v>
      </c>
      <c r="AA256" s="1">
        <f ca="1">IFERROR(__xludf.DUMMYFUNCTION("""COMPUTED_VALUE"""),1267)</f>
        <v>1267</v>
      </c>
      <c r="AB256" s="1">
        <f ca="1">IFERROR(__xludf.DUMMYFUNCTION("""COMPUTED_VALUE"""),472)</f>
        <v>472</v>
      </c>
      <c r="AC256" s="1">
        <f ca="1">IFERROR(__xludf.DUMMYFUNCTION("""COMPUTED_VALUE"""),221)</f>
        <v>221</v>
      </c>
      <c r="AD256" s="1">
        <f ca="1">IFERROR(__xludf.DUMMYFUNCTION("""COMPUTED_VALUE"""),115)</f>
        <v>115</v>
      </c>
      <c r="AE256" s="1">
        <f ca="1">IFERROR(__xludf.DUMMYFUNCTION("""COMPUTED_VALUE"""),377)</f>
        <v>377</v>
      </c>
      <c r="AF256" s="1">
        <f ca="1">IFERROR(__xludf.DUMMYFUNCTION("""COMPUTED_VALUE"""),618)</f>
        <v>618</v>
      </c>
    </row>
    <row r="257" spans="1:32" ht="12.5" x14ac:dyDescent="0.25">
      <c r="A257" s="1" t="str">
        <f ca="1">IFERROR(__xludf.DUMMYFUNCTION("""COMPUTED_VALUE"""),"Oral Roberts")</f>
        <v>Oral Roberts</v>
      </c>
      <c r="B257" s="1">
        <f ca="1">IFERROR(__xludf.DUMMYFUNCTION("""COMPUTED_VALUE"""),34)</f>
        <v>34</v>
      </c>
      <c r="C257" s="1">
        <f ca="1">IFERROR(__xludf.DUMMYFUNCTION("""COMPUTED_VALUE"""),19)</f>
        <v>19</v>
      </c>
      <c r="D257" s="1">
        <f ca="1">IFERROR(__xludf.DUMMYFUNCTION("""COMPUTED_VALUE"""),15)</f>
        <v>15</v>
      </c>
      <c r="E257" s="1">
        <f ca="1">IFERROR(__xludf.DUMMYFUNCTION("""COMPUTED_VALUE"""),0.559)</f>
        <v>0.55900000000000005</v>
      </c>
      <c r="F257" s="1">
        <f ca="1">IFERROR(__xludf.DUMMYFUNCTION("""COMPUTED_VALUE"""),-3.83)</f>
        <v>-3.83</v>
      </c>
      <c r="G257" s="1">
        <f ca="1">IFERROR(__xludf.DUMMYFUNCTION("""COMPUTED_VALUE"""),-1.99)</f>
        <v>-1.99</v>
      </c>
      <c r="H257" s="1">
        <f ca="1">IFERROR(__xludf.DUMMYFUNCTION("""COMPUTED_VALUE"""),10)</f>
        <v>10</v>
      </c>
      <c r="I257" s="1">
        <f ca="1">IFERROR(__xludf.DUMMYFUNCTION("""COMPUTED_VALUE"""),6)</f>
        <v>6</v>
      </c>
      <c r="J257" s="1">
        <f ca="1">IFERROR(__xludf.DUMMYFUNCTION("""COMPUTED_VALUE"""),12)</f>
        <v>12</v>
      </c>
      <c r="K257" s="1">
        <f ca="1">IFERROR(__xludf.DUMMYFUNCTION("""COMPUTED_VALUE"""),2)</f>
        <v>2</v>
      </c>
      <c r="L257" s="1">
        <f ca="1">IFERROR(__xludf.DUMMYFUNCTION("""COMPUTED_VALUE"""),5)</f>
        <v>5</v>
      </c>
      <c r="M257" s="1">
        <f ca="1">IFERROR(__xludf.DUMMYFUNCTION("""COMPUTED_VALUE"""),11)</f>
        <v>11</v>
      </c>
      <c r="N257" s="1">
        <f ca="1">IFERROR(__xludf.DUMMYFUNCTION("""COMPUTED_VALUE"""),2377)</f>
        <v>2377</v>
      </c>
      <c r="O257" s="1">
        <f ca="1">IFERROR(__xludf.DUMMYFUNCTION("""COMPUTED_VALUE"""),2343)</f>
        <v>2343</v>
      </c>
      <c r="P257" s="1">
        <f ca="1">IFERROR(__xludf.DUMMYFUNCTION("""COMPUTED_VALUE"""),1370)</f>
        <v>1370</v>
      </c>
      <c r="Q257" s="1">
        <f ca="1">IFERROR(__xludf.DUMMYFUNCTION("""COMPUTED_VALUE"""),798)</f>
        <v>798</v>
      </c>
      <c r="R257" s="1">
        <f ca="1">IFERROR(__xludf.DUMMYFUNCTION("""COMPUTED_VALUE"""),1859)</f>
        <v>1859</v>
      </c>
      <c r="S257" s="1">
        <f ca="1">IFERROR(__xludf.DUMMYFUNCTION("""COMPUTED_VALUE"""),0.429)</f>
        <v>0.42899999999999999</v>
      </c>
      <c r="T257" s="1">
        <f ca="1">IFERROR(__xludf.DUMMYFUNCTION("""COMPUTED_VALUE"""),205)</f>
        <v>205</v>
      </c>
      <c r="U257" s="1">
        <f ca="1">IFERROR(__xludf.DUMMYFUNCTION("""COMPUTED_VALUE"""),575)</f>
        <v>575</v>
      </c>
      <c r="V257" s="1">
        <f ca="1">IFERROR(__xludf.DUMMYFUNCTION("""COMPUTED_VALUE"""),0.357)</f>
        <v>0.35699999999999998</v>
      </c>
      <c r="W257" s="1">
        <f ca="1">IFERROR(__xludf.DUMMYFUNCTION("""COMPUTED_VALUE"""),576)</f>
        <v>576</v>
      </c>
      <c r="X257" s="1">
        <f ca="1">IFERROR(__xludf.DUMMYFUNCTION("""COMPUTED_VALUE"""),801)</f>
        <v>801</v>
      </c>
      <c r="Y257" s="1">
        <f ca="1">IFERROR(__xludf.DUMMYFUNCTION("""COMPUTED_VALUE"""),0.719)</f>
        <v>0.71899999999999997</v>
      </c>
      <c r="Z257" s="1">
        <f ca="1">IFERROR(__xludf.DUMMYFUNCTION("""COMPUTED_VALUE"""),363)</f>
        <v>363</v>
      </c>
      <c r="AA257" s="1">
        <f ca="1">IFERROR(__xludf.DUMMYFUNCTION("""COMPUTED_VALUE"""),1157)</f>
        <v>1157</v>
      </c>
      <c r="AB257" s="1">
        <f ca="1">IFERROR(__xludf.DUMMYFUNCTION("""COMPUTED_VALUE"""),376)</f>
        <v>376</v>
      </c>
      <c r="AC257" s="1">
        <f ca="1">IFERROR(__xludf.DUMMYFUNCTION("""COMPUTED_VALUE"""),197)</f>
        <v>197</v>
      </c>
      <c r="AD257" s="1">
        <f ca="1">IFERROR(__xludf.DUMMYFUNCTION("""COMPUTED_VALUE"""),131)</f>
        <v>131</v>
      </c>
      <c r="AE257" s="1">
        <f ca="1">IFERROR(__xludf.DUMMYFUNCTION("""COMPUTED_VALUE"""),396)</f>
        <v>396</v>
      </c>
      <c r="AF257" s="1">
        <f ca="1">IFERROR(__xludf.DUMMYFUNCTION("""COMPUTED_VALUE"""),632)</f>
        <v>632</v>
      </c>
    </row>
    <row r="258" spans="1:32" ht="12.5" x14ac:dyDescent="0.25">
      <c r="A258" s="1" t="str">
        <f ca="1">IFERROR(__xludf.DUMMYFUNCTION("""COMPUTED_VALUE"""),"Oregon State")</f>
        <v>Oregon State</v>
      </c>
      <c r="B258" s="1">
        <f ca="1">IFERROR(__xludf.DUMMYFUNCTION("""COMPUTED_VALUE"""),31)</f>
        <v>31</v>
      </c>
      <c r="C258" s="1">
        <f ca="1">IFERROR(__xludf.DUMMYFUNCTION("""COMPUTED_VALUE"""),17)</f>
        <v>17</v>
      </c>
      <c r="D258" s="1">
        <f ca="1">IFERROR(__xludf.DUMMYFUNCTION("""COMPUTED_VALUE"""),14)</f>
        <v>14</v>
      </c>
      <c r="E258" s="1">
        <f ca="1">IFERROR(__xludf.DUMMYFUNCTION("""COMPUTED_VALUE"""),0.548)</f>
        <v>0.54800000000000004</v>
      </c>
      <c r="F258" s="1">
        <f ca="1">IFERROR(__xludf.DUMMYFUNCTION("""COMPUTED_VALUE"""),5.93)</f>
        <v>5.93</v>
      </c>
      <c r="G258" s="1">
        <f ca="1">IFERROR(__xludf.DUMMYFUNCTION("""COMPUTED_VALUE"""),4.97)</f>
        <v>4.97</v>
      </c>
      <c r="H258" s="1">
        <f ca="1">IFERROR(__xludf.DUMMYFUNCTION("""COMPUTED_VALUE"""),8)</f>
        <v>8</v>
      </c>
      <c r="I258" s="1">
        <f ca="1">IFERROR(__xludf.DUMMYFUNCTION("""COMPUTED_VALUE"""),10)</f>
        <v>10</v>
      </c>
      <c r="J258" s="1">
        <f ca="1">IFERROR(__xludf.DUMMYFUNCTION("""COMPUTED_VALUE"""),15)</f>
        <v>15</v>
      </c>
      <c r="K258" s="1">
        <f ca="1">IFERROR(__xludf.DUMMYFUNCTION("""COMPUTED_VALUE"""),2)</f>
        <v>2</v>
      </c>
      <c r="L258" s="1">
        <f ca="1">IFERROR(__xludf.DUMMYFUNCTION("""COMPUTED_VALUE"""),2)</f>
        <v>2</v>
      </c>
      <c r="M258" s="1">
        <f ca="1">IFERROR(__xludf.DUMMYFUNCTION("""COMPUTED_VALUE"""),9)</f>
        <v>9</v>
      </c>
      <c r="N258" s="1">
        <f ca="1">IFERROR(__xludf.DUMMYFUNCTION("""COMPUTED_VALUE"""),1887)</f>
        <v>1887</v>
      </c>
      <c r="O258" s="1">
        <f ca="1">IFERROR(__xludf.DUMMYFUNCTION("""COMPUTED_VALUE"""),1834)</f>
        <v>1834</v>
      </c>
      <c r="P258" s="1">
        <f ca="1">IFERROR(__xludf.DUMMYFUNCTION("""COMPUTED_VALUE"""),1245)</f>
        <v>1245</v>
      </c>
      <c r="Q258" s="1">
        <f ca="1">IFERROR(__xludf.DUMMYFUNCTION("""COMPUTED_VALUE"""),665)</f>
        <v>665</v>
      </c>
      <c r="R258" s="1">
        <f ca="1">IFERROR(__xludf.DUMMYFUNCTION("""COMPUTED_VALUE"""),1577)</f>
        <v>1577</v>
      </c>
      <c r="S258" s="1">
        <f ca="1">IFERROR(__xludf.DUMMYFUNCTION("""COMPUTED_VALUE"""),0.422)</f>
        <v>0.42199999999999999</v>
      </c>
      <c r="T258" s="1">
        <f ca="1">IFERROR(__xludf.DUMMYFUNCTION("""COMPUTED_VALUE"""),160)</f>
        <v>160</v>
      </c>
      <c r="U258" s="1">
        <f ca="1">IFERROR(__xludf.DUMMYFUNCTION("""COMPUTED_VALUE"""),495)</f>
        <v>495</v>
      </c>
      <c r="V258" s="1">
        <f ca="1">IFERROR(__xludf.DUMMYFUNCTION("""COMPUTED_VALUE"""),0.323)</f>
        <v>0.32300000000000001</v>
      </c>
      <c r="W258" s="1">
        <f ca="1">IFERROR(__xludf.DUMMYFUNCTION("""COMPUTED_VALUE"""),397)</f>
        <v>397</v>
      </c>
      <c r="X258" s="1">
        <f ca="1">IFERROR(__xludf.DUMMYFUNCTION("""COMPUTED_VALUE"""),573)</f>
        <v>573</v>
      </c>
      <c r="Y258" s="1">
        <f ca="1">IFERROR(__xludf.DUMMYFUNCTION("""COMPUTED_VALUE"""),0.693)</f>
        <v>0.69299999999999995</v>
      </c>
      <c r="Z258" s="1">
        <f ca="1">IFERROR(__xludf.DUMMYFUNCTION("""COMPUTED_VALUE"""),293)</f>
        <v>293</v>
      </c>
      <c r="AA258" s="1">
        <f ca="1">IFERROR(__xludf.DUMMYFUNCTION("""COMPUTED_VALUE"""),973)</f>
        <v>973</v>
      </c>
      <c r="AB258" s="1">
        <f ca="1">IFERROR(__xludf.DUMMYFUNCTION("""COMPUTED_VALUE"""),373)</f>
        <v>373</v>
      </c>
      <c r="AC258" s="1">
        <f ca="1">IFERROR(__xludf.DUMMYFUNCTION("""COMPUTED_VALUE"""),241)</f>
        <v>241</v>
      </c>
      <c r="AD258" s="1">
        <f ca="1">IFERROR(__xludf.DUMMYFUNCTION("""COMPUTED_VALUE"""),123)</f>
        <v>123</v>
      </c>
      <c r="AE258" s="1">
        <f ca="1">IFERROR(__xludf.DUMMYFUNCTION("""COMPUTED_VALUE"""),365)</f>
        <v>365</v>
      </c>
      <c r="AF258" s="1">
        <f ca="1">IFERROR(__xludf.DUMMYFUNCTION("""COMPUTED_VALUE"""),590)</f>
        <v>590</v>
      </c>
    </row>
    <row r="259" spans="1:32" ht="12.5" x14ac:dyDescent="0.25">
      <c r="A259" s="1" t="str">
        <f ca="1">IFERROR(__xludf.DUMMYFUNCTION("""COMPUTED_VALUE"""),"OregonNCAA")</f>
        <v>OregonNCAA</v>
      </c>
      <c r="B259" s="1">
        <f ca="1">IFERROR(__xludf.DUMMYFUNCTION("""COMPUTED_VALUE"""),36)</f>
        <v>36</v>
      </c>
      <c r="C259" s="1">
        <f ca="1">IFERROR(__xludf.DUMMYFUNCTION("""COMPUTED_VALUE"""),26)</f>
        <v>26</v>
      </c>
      <c r="D259" s="1">
        <f ca="1">IFERROR(__xludf.DUMMYFUNCTION("""COMPUTED_VALUE"""),10)</f>
        <v>10</v>
      </c>
      <c r="E259" s="1">
        <f ca="1">IFERROR(__xludf.DUMMYFUNCTION("""COMPUTED_VALUE"""),0.722)</f>
        <v>0.72199999999999998</v>
      </c>
      <c r="F259" s="1">
        <f ca="1">IFERROR(__xludf.DUMMYFUNCTION("""COMPUTED_VALUE"""),11.43)</f>
        <v>11.43</v>
      </c>
      <c r="G259" s="1">
        <f ca="1">IFERROR(__xludf.DUMMYFUNCTION("""COMPUTED_VALUE"""),7.65)</f>
        <v>7.65</v>
      </c>
      <c r="H259" s="1">
        <f ca="1">IFERROR(__xludf.DUMMYFUNCTION("""COMPUTED_VALUE"""),13)</f>
        <v>13</v>
      </c>
      <c r="I259" s="1">
        <f ca="1">IFERROR(__xludf.DUMMYFUNCTION("""COMPUTED_VALUE"""),5)</f>
        <v>5</v>
      </c>
      <c r="J259" s="1">
        <f ca="1">IFERROR(__xludf.DUMMYFUNCTION("""COMPUTED_VALUE"""),17)</f>
        <v>17</v>
      </c>
      <c r="K259" s="1">
        <f ca="1">IFERROR(__xludf.DUMMYFUNCTION("""COMPUTED_VALUE"""),2)</f>
        <v>2</v>
      </c>
      <c r="L259" s="1">
        <f ca="1">IFERROR(__xludf.DUMMYFUNCTION("""COMPUTED_VALUE"""),6)</f>
        <v>6</v>
      </c>
      <c r="M259" s="1">
        <f ca="1">IFERROR(__xludf.DUMMYFUNCTION("""COMPUTED_VALUE"""),4)</f>
        <v>4</v>
      </c>
      <c r="N259" s="1">
        <f ca="1">IFERROR(__xludf.DUMMYFUNCTION("""COMPUTED_VALUE"""),2713)</f>
        <v>2713</v>
      </c>
      <c r="O259" s="1">
        <f ca="1">IFERROR(__xludf.DUMMYFUNCTION("""COMPUTED_VALUE"""),2550)</f>
        <v>2550</v>
      </c>
      <c r="P259" s="1">
        <f ca="1">IFERROR(__xludf.DUMMYFUNCTION("""COMPUTED_VALUE"""),1460)</f>
        <v>1460</v>
      </c>
      <c r="Q259" s="1">
        <f ca="1">IFERROR(__xludf.DUMMYFUNCTION("""COMPUTED_VALUE"""),992)</f>
        <v>992</v>
      </c>
      <c r="R259" s="1">
        <f ca="1">IFERROR(__xludf.DUMMYFUNCTION("""COMPUTED_VALUE"""),2143)</f>
        <v>2143</v>
      </c>
      <c r="S259" s="1">
        <f ca="1">IFERROR(__xludf.DUMMYFUNCTION("""COMPUTED_VALUE"""),0.463)</f>
        <v>0.46300000000000002</v>
      </c>
      <c r="T259" s="1">
        <f ca="1">IFERROR(__xludf.DUMMYFUNCTION("""COMPUTED_VALUE"""),263)</f>
        <v>263</v>
      </c>
      <c r="U259" s="1">
        <f ca="1">IFERROR(__xludf.DUMMYFUNCTION("""COMPUTED_VALUE"""),726)</f>
        <v>726</v>
      </c>
      <c r="V259" s="1">
        <f ca="1">IFERROR(__xludf.DUMMYFUNCTION("""COMPUTED_VALUE"""),0.362)</f>
        <v>0.36199999999999999</v>
      </c>
      <c r="W259" s="1">
        <f ca="1">IFERROR(__xludf.DUMMYFUNCTION("""COMPUTED_VALUE"""),466)</f>
        <v>466</v>
      </c>
      <c r="X259" s="1">
        <f ca="1">IFERROR(__xludf.DUMMYFUNCTION("""COMPUTED_VALUE"""),613)</f>
        <v>613</v>
      </c>
      <c r="Y259" s="1">
        <f ca="1">IFERROR(__xludf.DUMMYFUNCTION("""COMPUTED_VALUE"""),0.76)</f>
        <v>0.76</v>
      </c>
      <c r="Z259" s="1">
        <f ca="1">IFERROR(__xludf.DUMMYFUNCTION("""COMPUTED_VALUE"""),372)</f>
        <v>372</v>
      </c>
      <c r="AA259" s="1">
        <f ca="1">IFERROR(__xludf.DUMMYFUNCTION("""COMPUTED_VALUE"""),1298)</f>
        <v>1298</v>
      </c>
      <c r="AB259" s="1">
        <f ca="1">IFERROR(__xludf.DUMMYFUNCTION("""COMPUTED_VALUE"""),508)</f>
        <v>508</v>
      </c>
      <c r="AC259" s="1">
        <f ca="1">IFERROR(__xludf.DUMMYFUNCTION("""COMPUTED_VALUE"""),207)</f>
        <v>207</v>
      </c>
      <c r="AD259" s="1">
        <f ca="1">IFERROR(__xludf.DUMMYFUNCTION("""COMPUTED_VALUE"""),157)</f>
        <v>157</v>
      </c>
      <c r="AE259" s="1">
        <f ca="1">IFERROR(__xludf.DUMMYFUNCTION("""COMPUTED_VALUE"""),421)</f>
        <v>421</v>
      </c>
      <c r="AF259" s="1">
        <f ca="1">IFERROR(__xludf.DUMMYFUNCTION("""COMPUTED_VALUE"""),655)</f>
        <v>655</v>
      </c>
    </row>
    <row r="260" spans="1:32" ht="12.5" x14ac:dyDescent="0.25">
      <c r="A260" s="1" t="str">
        <f ca="1">IFERROR(__xludf.DUMMYFUNCTION("""COMPUTED_VALUE"""),"Pacific")</f>
        <v>Pacific</v>
      </c>
      <c r="B260" s="1">
        <f ca="1">IFERROR(__xludf.DUMMYFUNCTION("""COMPUTED_VALUE"""),31)</f>
        <v>31</v>
      </c>
      <c r="C260" s="1">
        <f ca="1">IFERROR(__xludf.DUMMYFUNCTION("""COMPUTED_VALUE"""),12)</f>
        <v>12</v>
      </c>
      <c r="D260" s="1">
        <f ca="1">IFERROR(__xludf.DUMMYFUNCTION("""COMPUTED_VALUE"""),19)</f>
        <v>19</v>
      </c>
      <c r="E260" s="1">
        <f ca="1">IFERROR(__xludf.DUMMYFUNCTION("""COMPUTED_VALUE"""),0.387)</f>
        <v>0.38700000000000001</v>
      </c>
      <c r="F260" s="1">
        <f ca="1">IFERROR(__xludf.DUMMYFUNCTION("""COMPUTED_VALUE"""),-3.19)</f>
        <v>-3.19</v>
      </c>
      <c r="G260" s="1">
        <f ca="1">IFERROR(__xludf.DUMMYFUNCTION("""COMPUTED_VALUE"""),3.31)</f>
        <v>3.31</v>
      </c>
      <c r="H260" s="1">
        <f ca="1">IFERROR(__xludf.DUMMYFUNCTION("""COMPUTED_VALUE"""),4)</f>
        <v>4</v>
      </c>
      <c r="I260" s="1">
        <f ca="1">IFERROR(__xludf.DUMMYFUNCTION("""COMPUTED_VALUE"""),14)</f>
        <v>14</v>
      </c>
      <c r="J260" s="1">
        <f ca="1">IFERROR(__xludf.DUMMYFUNCTION("""COMPUTED_VALUE"""),6)</f>
        <v>6</v>
      </c>
      <c r="K260" s="1">
        <f ca="1">IFERROR(__xludf.DUMMYFUNCTION("""COMPUTED_VALUE"""),8)</f>
        <v>8</v>
      </c>
      <c r="L260" s="1">
        <f ca="1">IFERROR(__xludf.DUMMYFUNCTION("""COMPUTED_VALUE"""),5)</f>
        <v>5</v>
      </c>
      <c r="M260" s="1">
        <f ca="1">IFERROR(__xludf.DUMMYFUNCTION("""COMPUTED_VALUE"""),8)</f>
        <v>8</v>
      </c>
      <c r="N260" s="1">
        <f ca="1">IFERROR(__xludf.DUMMYFUNCTION("""COMPUTED_VALUE"""),1996)</f>
        <v>1996</v>
      </c>
      <c r="O260" s="1">
        <f ca="1">IFERROR(__xludf.DUMMYFUNCTION("""COMPUTED_VALUE"""),2115)</f>
        <v>2115</v>
      </c>
      <c r="P260" s="1">
        <f ca="1">IFERROR(__xludf.DUMMYFUNCTION("""COMPUTED_VALUE"""),1255)</f>
        <v>1255</v>
      </c>
      <c r="Q260" s="1">
        <f ca="1">IFERROR(__xludf.DUMMYFUNCTION("""COMPUTED_VALUE"""),681)</f>
        <v>681</v>
      </c>
      <c r="R260" s="1">
        <f ca="1">IFERROR(__xludf.DUMMYFUNCTION("""COMPUTED_VALUE"""),1633)</f>
        <v>1633</v>
      </c>
      <c r="S260" s="1">
        <f ca="1">IFERROR(__xludf.DUMMYFUNCTION("""COMPUTED_VALUE"""),0.417)</f>
        <v>0.41699999999999998</v>
      </c>
      <c r="T260" s="1">
        <f ca="1">IFERROR(__xludf.DUMMYFUNCTION("""COMPUTED_VALUE"""),202)</f>
        <v>202</v>
      </c>
      <c r="U260" s="1">
        <f ca="1">IFERROR(__xludf.DUMMYFUNCTION("""COMPUTED_VALUE"""),584)</f>
        <v>584</v>
      </c>
      <c r="V260" s="1">
        <f ca="1">IFERROR(__xludf.DUMMYFUNCTION("""COMPUTED_VALUE"""),0.346)</f>
        <v>0.34599999999999997</v>
      </c>
      <c r="W260" s="1">
        <f ca="1">IFERROR(__xludf.DUMMYFUNCTION("""COMPUTED_VALUE"""),432)</f>
        <v>432</v>
      </c>
      <c r="X260" s="1">
        <f ca="1">IFERROR(__xludf.DUMMYFUNCTION("""COMPUTED_VALUE"""),667)</f>
        <v>667</v>
      </c>
      <c r="Y260" s="1">
        <f ca="1">IFERROR(__xludf.DUMMYFUNCTION("""COMPUTED_VALUE"""),0.648)</f>
        <v>0.64800000000000002</v>
      </c>
      <c r="Z260" s="1">
        <f ca="1">IFERROR(__xludf.DUMMYFUNCTION("""COMPUTED_VALUE"""),385)</f>
        <v>385</v>
      </c>
      <c r="AA260" s="1">
        <f ca="1">IFERROR(__xludf.DUMMYFUNCTION("""COMPUTED_VALUE"""),1076)</f>
        <v>1076</v>
      </c>
      <c r="AB260" s="1">
        <f ca="1">IFERROR(__xludf.DUMMYFUNCTION("""COMPUTED_VALUE"""),363)</f>
        <v>363</v>
      </c>
      <c r="AC260" s="1">
        <f ca="1">IFERROR(__xludf.DUMMYFUNCTION("""COMPUTED_VALUE"""),125)</f>
        <v>125</v>
      </c>
      <c r="AD260" s="1">
        <f ca="1">IFERROR(__xludf.DUMMYFUNCTION("""COMPUTED_VALUE"""),74)</f>
        <v>74</v>
      </c>
      <c r="AE260" s="1">
        <f ca="1">IFERROR(__xludf.DUMMYFUNCTION("""COMPUTED_VALUE"""),391)</f>
        <v>391</v>
      </c>
      <c r="AF260" s="1">
        <f ca="1">IFERROR(__xludf.DUMMYFUNCTION("""COMPUTED_VALUE"""),667)</f>
        <v>667</v>
      </c>
    </row>
    <row r="261" spans="1:32" ht="12.5" x14ac:dyDescent="0.25">
      <c r="A261" s="1" t="str">
        <f ca="1">IFERROR(__xludf.DUMMYFUNCTION("""COMPUTED_VALUE"""),"Penn State")</f>
        <v>Penn State</v>
      </c>
      <c r="B261" s="1">
        <f ca="1">IFERROR(__xludf.DUMMYFUNCTION("""COMPUTED_VALUE"""),34)</f>
        <v>34</v>
      </c>
      <c r="C261" s="1">
        <f ca="1">IFERROR(__xludf.DUMMYFUNCTION("""COMPUTED_VALUE"""),18)</f>
        <v>18</v>
      </c>
      <c r="D261" s="1">
        <f ca="1">IFERROR(__xludf.DUMMYFUNCTION("""COMPUTED_VALUE"""),16)</f>
        <v>16</v>
      </c>
      <c r="E261" s="1">
        <f ca="1">IFERROR(__xludf.DUMMYFUNCTION("""COMPUTED_VALUE"""),0.529)</f>
        <v>0.52900000000000003</v>
      </c>
      <c r="F261" s="1">
        <f ca="1">IFERROR(__xludf.DUMMYFUNCTION("""COMPUTED_VALUE"""),7.77)</f>
        <v>7.77</v>
      </c>
      <c r="G261" s="1">
        <f ca="1">IFERROR(__xludf.DUMMYFUNCTION("""COMPUTED_VALUE"""),7.1)</f>
        <v>7.1</v>
      </c>
      <c r="H261" s="1">
        <f ca="1">IFERROR(__xludf.DUMMYFUNCTION("""COMPUTED_VALUE"""),4)</f>
        <v>4</v>
      </c>
      <c r="I261" s="1">
        <f ca="1">IFERROR(__xludf.DUMMYFUNCTION("""COMPUTED_VALUE"""),14)</f>
        <v>14</v>
      </c>
      <c r="J261" s="1">
        <f ca="1">IFERROR(__xludf.DUMMYFUNCTION("""COMPUTED_VALUE"""),10)</f>
        <v>10</v>
      </c>
      <c r="K261" s="1">
        <f ca="1">IFERROR(__xludf.DUMMYFUNCTION("""COMPUTED_VALUE"""),6)</f>
        <v>6</v>
      </c>
      <c r="L261" s="1">
        <f ca="1">IFERROR(__xludf.DUMMYFUNCTION("""COMPUTED_VALUE"""),3)</f>
        <v>3</v>
      </c>
      <c r="M261" s="1">
        <f ca="1">IFERROR(__xludf.DUMMYFUNCTION("""COMPUTED_VALUE"""),8)</f>
        <v>8</v>
      </c>
      <c r="N261" s="1">
        <f ca="1">IFERROR(__xludf.DUMMYFUNCTION("""COMPUTED_VALUE"""),2273)</f>
        <v>2273</v>
      </c>
      <c r="O261" s="1">
        <f ca="1">IFERROR(__xludf.DUMMYFUNCTION("""COMPUTED_VALUE"""),2250)</f>
        <v>2250</v>
      </c>
      <c r="P261" s="1">
        <f ca="1">IFERROR(__xludf.DUMMYFUNCTION("""COMPUTED_VALUE"""),1380)</f>
        <v>1380</v>
      </c>
      <c r="Q261" s="1">
        <f ca="1">IFERROR(__xludf.DUMMYFUNCTION("""COMPUTED_VALUE"""),795)</f>
        <v>795</v>
      </c>
      <c r="R261" s="1">
        <f ca="1">IFERROR(__xludf.DUMMYFUNCTION("""COMPUTED_VALUE"""),1893)</f>
        <v>1893</v>
      </c>
      <c r="S261" s="1">
        <f ca="1">IFERROR(__xludf.DUMMYFUNCTION("""COMPUTED_VALUE"""),0.42)</f>
        <v>0.42</v>
      </c>
      <c r="T261" s="1">
        <f ca="1">IFERROR(__xludf.DUMMYFUNCTION("""COMPUTED_VALUE"""),227)</f>
        <v>227</v>
      </c>
      <c r="U261" s="1">
        <f ca="1">IFERROR(__xludf.DUMMYFUNCTION("""COMPUTED_VALUE"""),679)</f>
        <v>679</v>
      </c>
      <c r="V261" s="1">
        <f ca="1">IFERROR(__xludf.DUMMYFUNCTION("""COMPUTED_VALUE"""),0.334)</f>
        <v>0.33400000000000002</v>
      </c>
      <c r="W261" s="1">
        <f ca="1">IFERROR(__xludf.DUMMYFUNCTION("""COMPUTED_VALUE"""),456)</f>
        <v>456</v>
      </c>
      <c r="X261" s="1">
        <f ca="1">IFERROR(__xludf.DUMMYFUNCTION("""COMPUTED_VALUE"""),656)</f>
        <v>656</v>
      </c>
      <c r="Y261" s="1">
        <f ca="1">IFERROR(__xludf.DUMMYFUNCTION("""COMPUTED_VALUE"""),0.695)</f>
        <v>0.69499999999999995</v>
      </c>
      <c r="Z261" s="1">
        <f ca="1">IFERROR(__xludf.DUMMYFUNCTION("""COMPUTED_VALUE"""),354)</f>
        <v>354</v>
      </c>
      <c r="AA261" s="1">
        <f ca="1">IFERROR(__xludf.DUMMYFUNCTION("""COMPUTED_VALUE"""),1201)</f>
        <v>1201</v>
      </c>
      <c r="AB261" s="1">
        <f ca="1">IFERROR(__xludf.DUMMYFUNCTION("""COMPUTED_VALUE"""),336)</f>
        <v>336</v>
      </c>
      <c r="AC261" s="1">
        <f ca="1">IFERROR(__xludf.DUMMYFUNCTION("""COMPUTED_VALUE"""),206)</f>
        <v>206</v>
      </c>
      <c r="AD261" s="1">
        <f ca="1">IFERROR(__xludf.DUMMYFUNCTION("""COMPUTED_VALUE"""),138)</f>
        <v>138</v>
      </c>
      <c r="AE261" s="1">
        <f ca="1">IFERROR(__xludf.DUMMYFUNCTION("""COMPUTED_VALUE"""),414)</f>
        <v>414</v>
      </c>
      <c r="AF261" s="1">
        <f ca="1">IFERROR(__xludf.DUMMYFUNCTION("""COMPUTED_VALUE"""),692)</f>
        <v>692</v>
      </c>
    </row>
    <row r="262" spans="1:32" ht="12.5" x14ac:dyDescent="0.25">
      <c r="A262" s="1" t="str">
        <f ca="1">IFERROR(__xludf.DUMMYFUNCTION("""COMPUTED_VALUE"""),"Pennsylvania")</f>
        <v>Pennsylvania</v>
      </c>
      <c r="B262" s="1">
        <f ca="1">IFERROR(__xludf.DUMMYFUNCTION("""COMPUTED_VALUE"""),28)</f>
        <v>28</v>
      </c>
      <c r="C262" s="1">
        <f ca="1">IFERROR(__xludf.DUMMYFUNCTION("""COMPUTED_VALUE"""),9)</f>
        <v>9</v>
      </c>
      <c r="D262" s="1">
        <f ca="1">IFERROR(__xludf.DUMMYFUNCTION("""COMPUTED_VALUE"""),19)</f>
        <v>19</v>
      </c>
      <c r="E262" s="1">
        <f ca="1">IFERROR(__xludf.DUMMYFUNCTION("""COMPUTED_VALUE"""),0.321)</f>
        <v>0.32100000000000001</v>
      </c>
      <c r="F262" s="1">
        <f ca="1">IFERROR(__xludf.DUMMYFUNCTION("""COMPUTED_VALUE"""),-8.32)</f>
        <v>-8.32</v>
      </c>
      <c r="G262" s="1">
        <f ca="1">IFERROR(__xludf.DUMMYFUNCTION("""COMPUTED_VALUE"""),-1.36)</f>
        <v>-1.36</v>
      </c>
      <c r="H262" s="1">
        <f ca="1">IFERROR(__xludf.DUMMYFUNCTION("""COMPUTED_VALUE"""),4)</f>
        <v>4</v>
      </c>
      <c r="I262" s="1">
        <f ca="1">IFERROR(__xludf.DUMMYFUNCTION("""COMPUTED_VALUE"""),10)</f>
        <v>10</v>
      </c>
      <c r="J262" s="1">
        <f ca="1">IFERROR(__xludf.DUMMYFUNCTION("""COMPUTED_VALUE"""),4)</f>
        <v>4</v>
      </c>
      <c r="K262" s="1">
        <f ca="1">IFERROR(__xludf.DUMMYFUNCTION("""COMPUTED_VALUE"""),9)</f>
        <v>9</v>
      </c>
      <c r="L262" s="1">
        <f ca="1">IFERROR(__xludf.DUMMYFUNCTION("""COMPUTED_VALUE"""),5)</f>
        <v>5</v>
      </c>
      <c r="M262" s="1">
        <f ca="1">IFERROR(__xludf.DUMMYFUNCTION("""COMPUTED_VALUE"""),10)</f>
        <v>10</v>
      </c>
      <c r="N262" s="1">
        <f ca="1">IFERROR(__xludf.DUMMYFUNCTION("""COMPUTED_VALUE"""),1687)</f>
        <v>1687</v>
      </c>
      <c r="O262" s="1">
        <f ca="1">IFERROR(__xludf.DUMMYFUNCTION("""COMPUTED_VALUE"""),1882)</f>
        <v>1882</v>
      </c>
      <c r="P262" s="1">
        <f ca="1">IFERROR(__xludf.DUMMYFUNCTION("""COMPUTED_VALUE"""),1125)</f>
        <v>1125</v>
      </c>
      <c r="Q262" s="1">
        <f ca="1">IFERROR(__xludf.DUMMYFUNCTION("""COMPUTED_VALUE"""),599)</f>
        <v>599</v>
      </c>
      <c r="R262" s="1">
        <f ca="1">IFERROR(__xludf.DUMMYFUNCTION("""COMPUTED_VALUE"""),1379)</f>
        <v>1379</v>
      </c>
      <c r="S262" s="1">
        <f ca="1">IFERROR(__xludf.DUMMYFUNCTION("""COMPUTED_VALUE"""),0.434)</f>
        <v>0.434</v>
      </c>
      <c r="T262" s="1">
        <f ca="1">IFERROR(__xludf.DUMMYFUNCTION("""COMPUTED_VALUE"""),155)</f>
        <v>155</v>
      </c>
      <c r="U262" s="1">
        <f ca="1">IFERROR(__xludf.DUMMYFUNCTION("""COMPUTED_VALUE"""),448)</f>
        <v>448</v>
      </c>
      <c r="V262" s="1">
        <f ca="1">IFERROR(__xludf.DUMMYFUNCTION("""COMPUTED_VALUE"""),0.346)</f>
        <v>0.34599999999999997</v>
      </c>
      <c r="W262" s="1">
        <f ca="1">IFERROR(__xludf.DUMMYFUNCTION("""COMPUTED_VALUE"""),334)</f>
        <v>334</v>
      </c>
      <c r="X262" s="1">
        <f ca="1">IFERROR(__xludf.DUMMYFUNCTION("""COMPUTED_VALUE"""),495)</f>
        <v>495</v>
      </c>
      <c r="Y262" s="1">
        <f ca="1">IFERROR(__xludf.DUMMYFUNCTION("""COMPUTED_VALUE"""),0.675)</f>
        <v>0.67500000000000004</v>
      </c>
      <c r="Z262" s="1">
        <f ca="1">IFERROR(__xludf.DUMMYFUNCTION("""COMPUTED_VALUE"""),258)</f>
        <v>258</v>
      </c>
      <c r="AA262" s="1">
        <f ca="1">IFERROR(__xludf.DUMMYFUNCTION("""COMPUTED_VALUE"""),886)</f>
        <v>886</v>
      </c>
      <c r="AB262" s="1">
        <f ca="1">IFERROR(__xludf.DUMMYFUNCTION("""COMPUTED_VALUE"""),329)</f>
        <v>329</v>
      </c>
      <c r="AC262" s="1">
        <f ca="1">IFERROR(__xludf.DUMMYFUNCTION("""COMPUTED_VALUE"""),153)</f>
        <v>153</v>
      </c>
      <c r="AD262" s="1">
        <f ca="1">IFERROR(__xludf.DUMMYFUNCTION("""COMPUTED_VALUE"""),67)</f>
        <v>67</v>
      </c>
      <c r="AE262" s="1">
        <f ca="1">IFERROR(__xludf.DUMMYFUNCTION("""COMPUTED_VALUE"""),419)</f>
        <v>419</v>
      </c>
      <c r="AF262" s="1">
        <f ca="1">IFERROR(__xludf.DUMMYFUNCTION("""COMPUTED_VALUE"""),557)</f>
        <v>557</v>
      </c>
    </row>
    <row r="263" spans="1:32" ht="12.5" x14ac:dyDescent="0.25">
      <c r="A263" s="1" t="str">
        <f ca="1">IFERROR(__xludf.DUMMYFUNCTION("""COMPUTED_VALUE"""),"Pepperdine")</f>
        <v>Pepperdine</v>
      </c>
      <c r="B263" s="1">
        <f ca="1">IFERROR(__xludf.DUMMYFUNCTION("""COMPUTED_VALUE"""),32)</f>
        <v>32</v>
      </c>
      <c r="C263" s="1">
        <f ca="1">IFERROR(__xludf.DUMMYFUNCTION("""COMPUTED_VALUE"""),18)</f>
        <v>18</v>
      </c>
      <c r="D263" s="1">
        <f ca="1">IFERROR(__xludf.DUMMYFUNCTION("""COMPUTED_VALUE"""),14)</f>
        <v>14</v>
      </c>
      <c r="E263" s="1">
        <f ca="1">IFERROR(__xludf.DUMMYFUNCTION("""COMPUTED_VALUE"""),0.563)</f>
        <v>0.56299999999999994</v>
      </c>
      <c r="F263" s="1">
        <f ca="1">IFERROR(__xludf.DUMMYFUNCTION("""COMPUTED_VALUE"""),3.86)</f>
        <v>3.86</v>
      </c>
      <c r="G263" s="1">
        <f ca="1">IFERROR(__xludf.DUMMYFUNCTION("""COMPUTED_VALUE"""),2.8)</f>
        <v>2.8</v>
      </c>
      <c r="H263" s="1">
        <f ca="1">IFERROR(__xludf.DUMMYFUNCTION("""COMPUTED_VALUE"""),10)</f>
        <v>10</v>
      </c>
      <c r="I263" s="1">
        <f ca="1">IFERROR(__xludf.DUMMYFUNCTION("""COMPUTED_VALUE"""),8)</f>
        <v>8</v>
      </c>
      <c r="J263" s="1">
        <f ca="1">IFERROR(__xludf.DUMMYFUNCTION("""COMPUTED_VALUE"""),10)</f>
        <v>10</v>
      </c>
      <c r="K263" s="1">
        <f ca="1">IFERROR(__xludf.DUMMYFUNCTION("""COMPUTED_VALUE"""),5)</f>
        <v>5</v>
      </c>
      <c r="L263" s="1">
        <f ca="1">IFERROR(__xludf.DUMMYFUNCTION("""COMPUTED_VALUE"""),7)</f>
        <v>7</v>
      </c>
      <c r="M263" s="1">
        <f ca="1">IFERROR(__xludf.DUMMYFUNCTION("""COMPUTED_VALUE"""),7)</f>
        <v>7</v>
      </c>
      <c r="N263" s="1">
        <f ca="1">IFERROR(__xludf.DUMMYFUNCTION("""COMPUTED_VALUE"""),2020)</f>
        <v>2020</v>
      </c>
      <c r="O263" s="1">
        <f ca="1">IFERROR(__xludf.DUMMYFUNCTION("""COMPUTED_VALUE"""),1972)</f>
        <v>1972</v>
      </c>
      <c r="P263" s="1">
        <f ca="1">IFERROR(__xludf.DUMMYFUNCTION("""COMPUTED_VALUE"""),1280)</f>
        <v>1280</v>
      </c>
      <c r="Q263" s="1">
        <f ca="1">IFERROR(__xludf.DUMMYFUNCTION("""COMPUTED_VALUE"""),704)</f>
        <v>704</v>
      </c>
      <c r="R263" s="1">
        <f ca="1">IFERROR(__xludf.DUMMYFUNCTION("""COMPUTED_VALUE"""),1666)</f>
        <v>1666</v>
      </c>
      <c r="S263" s="1">
        <f ca="1">IFERROR(__xludf.DUMMYFUNCTION("""COMPUTED_VALUE"""),0.423)</f>
        <v>0.42299999999999999</v>
      </c>
      <c r="T263" s="1">
        <f ca="1">IFERROR(__xludf.DUMMYFUNCTION("""COMPUTED_VALUE"""),145)</f>
        <v>145</v>
      </c>
      <c r="U263" s="1">
        <f ca="1">IFERROR(__xludf.DUMMYFUNCTION("""COMPUTED_VALUE"""),463)</f>
        <v>463</v>
      </c>
      <c r="V263" s="1">
        <f ca="1">IFERROR(__xludf.DUMMYFUNCTION("""COMPUTED_VALUE"""),0.313)</f>
        <v>0.313</v>
      </c>
      <c r="W263" s="1">
        <f ca="1">IFERROR(__xludf.DUMMYFUNCTION("""COMPUTED_VALUE"""),467)</f>
        <v>467</v>
      </c>
      <c r="X263" s="1">
        <f ca="1">IFERROR(__xludf.DUMMYFUNCTION("""COMPUTED_VALUE"""),630)</f>
        <v>630</v>
      </c>
      <c r="Y263" s="1">
        <f ca="1">IFERROR(__xludf.DUMMYFUNCTION("""COMPUTED_VALUE"""),0.741)</f>
        <v>0.74099999999999999</v>
      </c>
      <c r="Z263" s="1">
        <f ca="1">IFERROR(__xludf.DUMMYFUNCTION("""COMPUTED_VALUE"""),300)</f>
        <v>300</v>
      </c>
      <c r="AA263" s="1">
        <f ca="1">IFERROR(__xludf.DUMMYFUNCTION("""COMPUTED_VALUE"""),1062)</f>
        <v>1062</v>
      </c>
      <c r="AB263" s="1">
        <f ca="1">IFERROR(__xludf.DUMMYFUNCTION("""COMPUTED_VALUE"""),425)</f>
        <v>425</v>
      </c>
      <c r="AC263" s="1">
        <f ca="1">IFERROR(__xludf.DUMMYFUNCTION("""COMPUTED_VALUE"""),200)</f>
        <v>200</v>
      </c>
      <c r="AD263" s="1">
        <f ca="1">IFERROR(__xludf.DUMMYFUNCTION("""COMPUTED_VALUE"""),108)</f>
        <v>108</v>
      </c>
      <c r="AE263" s="1">
        <f ca="1">IFERROR(__xludf.DUMMYFUNCTION("""COMPUTED_VALUE"""),395)</f>
        <v>395</v>
      </c>
      <c r="AF263" s="1">
        <f ca="1">IFERROR(__xludf.DUMMYFUNCTION("""COMPUTED_VALUE"""),562)</f>
        <v>562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IFERROR(__xludf.DUMMYFUNCTION("""COMPUTED_VALUE"""),"Pittsburgh")</f>
        <v>Pittsburgh</v>
      </c>
      <c r="B266" s="1">
        <f ca="1">IFERROR(__xludf.DUMMYFUNCTION("""COMPUTED_VALUE"""),34)</f>
        <v>34</v>
      </c>
      <c r="C266" s="1">
        <f ca="1">IFERROR(__xludf.DUMMYFUNCTION("""COMPUTED_VALUE"""),19)</f>
        <v>19</v>
      </c>
      <c r="D266" s="1">
        <f ca="1">IFERROR(__xludf.DUMMYFUNCTION("""COMPUTED_VALUE"""),15)</f>
        <v>15</v>
      </c>
      <c r="E266" s="1">
        <f ca="1">IFERROR(__xludf.DUMMYFUNCTION("""COMPUTED_VALUE"""),0.559)</f>
        <v>0.55900000000000005</v>
      </c>
      <c r="F266" s="1">
        <f ca="1">IFERROR(__xludf.DUMMYFUNCTION("""COMPUTED_VALUE"""),8.45)</f>
        <v>8.4499999999999993</v>
      </c>
      <c r="G266" s="1">
        <f ca="1">IFERROR(__xludf.DUMMYFUNCTION("""COMPUTED_VALUE"""),7.36)</f>
        <v>7.36</v>
      </c>
      <c r="H266" s="1">
        <f ca="1">IFERROR(__xludf.DUMMYFUNCTION("""COMPUTED_VALUE"""),8)</f>
        <v>8</v>
      </c>
      <c r="I266" s="1">
        <f ca="1">IFERROR(__xludf.DUMMYFUNCTION("""COMPUTED_VALUE"""),10)</f>
        <v>10</v>
      </c>
      <c r="J266" s="1">
        <f ca="1">IFERROR(__xludf.DUMMYFUNCTION("""COMPUTED_VALUE"""),14)</f>
        <v>14</v>
      </c>
      <c r="K266" s="1">
        <f ca="1">IFERROR(__xludf.DUMMYFUNCTION("""COMPUTED_VALUE"""),4)</f>
        <v>4</v>
      </c>
      <c r="L266" s="1">
        <f ca="1">IFERROR(__xludf.DUMMYFUNCTION("""COMPUTED_VALUE"""),2)</f>
        <v>2</v>
      </c>
      <c r="M266" s="1">
        <f ca="1">IFERROR(__xludf.DUMMYFUNCTION("""COMPUTED_VALUE"""),8)</f>
        <v>8</v>
      </c>
      <c r="N266" s="1">
        <f ca="1">IFERROR(__xludf.DUMMYFUNCTION("""COMPUTED_VALUE"""),2279)</f>
        <v>2279</v>
      </c>
      <c r="O266" s="1">
        <f ca="1">IFERROR(__xludf.DUMMYFUNCTION("""COMPUTED_VALUE"""),2230)</f>
        <v>2230</v>
      </c>
      <c r="P266" s="1">
        <f ca="1">IFERROR(__xludf.DUMMYFUNCTION("""COMPUTED_VALUE"""),1375)</f>
        <v>1375</v>
      </c>
      <c r="Q266" s="1">
        <f ca="1">IFERROR(__xludf.DUMMYFUNCTION("""COMPUTED_VALUE"""),835)</f>
        <v>835</v>
      </c>
      <c r="R266" s="1">
        <f ca="1">IFERROR(__xludf.DUMMYFUNCTION("""COMPUTED_VALUE"""),1866)</f>
        <v>1866</v>
      </c>
      <c r="S266" s="1">
        <f ca="1">IFERROR(__xludf.DUMMYFUNCTION("""COMPUTED_VALUE"""),0.447)</f>
        <v>0.44700000000000001</v>
      </c>
      <c r="T266" s="1">
        <f ca="1">IFERROR(__xludf.DUMMYFUNCTION("""COMPUTED_VALUE"""),164)</f>
        <v>164</v>
      </c>
      <c r="U266" s="1">
        <f ca="1">IFERROR(__xludf.DUMMYFUNCTION("""COMPUTED_VALUE"""),484)</f>
        <v>484</v>
      </c>
      <c r="V266" s="1">
        <f ca="1">IFERROR(__xludf.DUMMYFUNCTION("""COMPUTED_VALUE"""),0.339)</f>
        <v>0.33900000000000002</v>
      </c>
      <c r="W266" s="1">
        <f ca="1">IFERROR(__xludf.DUMMYFUNCTION("""COMPUTED_VALUE"""),445)</f>
        <v>445</v>
      </c>
      <c r="X266" s="1">
        <f ca="1">IFERROR(__xludf.DUMMYFUNCTION("""COMPUTED_VALUE"""),650)</f>
        <v>650</v>
      </c>
      <c r="Y266" s="1">
        <f ca="1">IFERROR(__xludf.DUMMYFUNCTION("""COMPUTED_VALUE"""),0.685)</f>
        <v>0.68500000000000005</v>
      </c>
      <c r="Z266" s="1">
        <f ca="1">IFERROR(__xludf.DUMMYFUNCTION("""COMPUTED_VALUE"""),407)</f>
        <v>407</v>
      </c>
      <c r="AA266" s="1">
        <f ca="1">IFERROR(__xludf.DUMMYFUNCTION("""COMPUTED_VALUE"""),1136)</f>
        <v>1136</v>
      </c>
      <c r="AB266" s="1">
        <f ca="1">IFERROR(__xludf.DUMMYFUNCTION("""COMPUTED_VALUE"""),561)</f>
        <v>561</v>
      </c>
      <c r="AC266" s="1">
        <f ca="1">IFERROR(__xludf.DUMMYFUNCTION("""COMPUTED_VALUE"""),168)</f>
        <v>168</v>
      </c>
      <c r="AD266" s="1">
        <f ca="1">IFERROR(__xludf.DUMMYFUNCTION("""COMPUTED_VALUE"""),95)</f>
        <v>95</v>
      </c>
      <c r="AE266" s="1">
        <f ca="1">IFERROR(__xludf.DUMMYFUNCTION("""COMPUTED_VALUE"""),336)</f>
        <v>336</v>
      </c>
      <c r="AF266" s="1">
        <f ca="1">IFERROR(__xludf.DUMMYFUNCTION("""COMPUTED_VALUE"""),606)</f>
        <v>606</v>
      </c>
    </row>
    <row r="267" spans="1:32" ht="12.5" x14ac:dyDescent="0.25">
      <c r="A267" s="1" t="str">
        <f ca="1">IFERROR(__xludf.DUMMYFUNCTION("""COMPUTED_VALUE"""),"Portland State")</f>
        <v>Portland State</v>
      </c>
      <c r="B267" s="1">
        <f ca="1">IFERROR(__xludf.DUMMYFUNCTION("""COMPUTED_VALUE"""),29)</f>
        <v>29</v>
      </c>
      <c r="C267" s="1">
        <f ca="1">IFERROR(__xludf.DUMMYFUNCTION("""COMPUTED_VALUE"""),15)</f>
        <v>15</v>
      </c>
      <c r="D267" s="1">
        <f ca="1">IFERROR(__xludf.DUMMYFUNCTION("""COMPUTED_VALUE"""),14)</f>
        <v>14</v>
      </c>
      <c r="E267" s="1">
        <f ca="1">IFERROR(__xludf.DUMMYFUNCTION("""COMPUTED_VALUE"""),0.517)</f>
        <v>0.51700000000000002</v>
      </c>
      <c r="F267" s="1">
        <f ca="1">IFERROR(__xludf.DUMMYFUNCTION("""COMPUTED_VALUE"""),-7.75)</f>
        <v>-7.75</v>
      </c>
      <c r="G267" s="1">
        <f ca="1">IFERROR(__xludf.DUMMYFUNCTION("""COMPUTED_VALUE"""),-4.86)</f>
        <v>-4.8600000000000003</v>
      </c>
      <c r="H267" s="1">
        <f ca="1">IFERROR(__xludf.DUMMYFUNCTION("""COMPUTED_VALUE"""),9)</f>
        <v>9</v>
      </c>
      <c r="I267" s="1">
        <f ca="1">IFERROR(__xludf.DUMMYFUNCTION("""COMPUTED_VALUE"""),9)</f>
        <v>9</v>
      </c>
      <c r="J267" s="1">
        <f ca="1">IFERROR(__xludf.DUMMYFUNCTION("""COMPUTED_VALUE"""),9)</f>
        <v>9</v>
      </c>
      <c r="K267" s="1">
        <f ca="1">IFERROR(__xludf.DUMMYFUNCTION("""COMPUTED_VALUE"""),4)</f>
        <v>4</v>
      </c>
      <c r="L267" s="1">
        <f ca="1">IFERROR(__xludf.DUMMYFUNCTION("""COMPUTED_VALUE"""),6)</f>
        <v>6</v>
      </c>
      <c r="M267" s="1">
        <f ca="1">IFERROR(__xludf.DUMMYFUNCTION("""COMPUTED_VALUE"""),9)</f>
        <v>9</v>
      </c>
      <c r="N267" s="1">
        <f ca="1">IFERROR(__xludf.DUMMYFUNCTION("""COMPUTED_VALUE"""),2083)</f>
        <v>2083</v>
      </c>
      <c r="O267" s="1">
        <f ca="1">IFERROR(__xludf.DUMMYFUNCTION("""COMPUTED_VALUE"""),2098)</f>
        <v>2098</v>
      </c>
      <c r="P267" s="1">
        <f ca="1">IFERROR(__xludf.DUMMYFUNCTION("""COMPUTED_VALUE"""),1165)</f>
        <v>1165</v>
      </c>
      <c r="Q267" s="1">
        <f ca="1">IFERROR(__xludf.DUMMYFUNCTION("""COMPUTED_VALUE"""),723)</f>
        <v>723</v>
      </c>
      <c r="R267" s="1">
        <f ca="1">IFERROR(__xludf.DUMMYFUNCTION("""COMPUTED_VALUE"""),1645)</f>
        <v>1645</v>
      </c>
      <c r="S267" s="1">
        <f ca="1">IFERROR(__xludf.DUMMYFUNCTION("""COMPUTED_VALUE"""),0.44)</f>
        <v>0.44</v>
      </c>
      <c r="T267" s="1">
        <f ca="1">IFERROR(__xludf.DUMMYFUNCTION("""COMPUTED_VALUE"""),193)</f>
        <v>193</v>
      </c>
      <c r="U267" s="1">
        <f ca="1">IFERROR(__xludf.DUMMYFUNCTION("""COMPUTED_VALUE"""),507)</f>
        <v>507</v>
      </c>
      <c r="V267" s="1">
        <f ca="1">IFERROR(__xludf.DUMMYFUNCTION("""COMPUTED_VALUE"""),0.381)</f>
        <v>0.38100000000000001</v>
      </c>
      <c r="W267" s="1">
        <f ca="1">IFERROR(__xludf.DUMMYFUNCTION("""COMPUTED_VALUE"""),444)</f>
        <v>444</v>
      </c>
      <c r="X267" s="1">
        <f ca="1">IFERROR(__xludf.DUMMYFUNCTION("""COMPUTED_VALUE"""),598)</f>
        <v>598</v>
      </c>
      <c r="Y267" s="1">
        <f ca="1">IFERROR(__xludf.DUMMYFUNCTION("""COMPUTED_VALUE"""),0.742)</f>
        <v>0.74199999999999999</v>
      </c>
      <c r="Z267" s="1">
        <f ca="1">IFERROR(__xludf.DUMMYFUNCTION("""COMPUTED_VALUE"""),283)</f>
        <v>283</v>
      </c>
      <c r="AA267" s="1">
        <f ca="1">IFERROR(__xludf.DUMMYFUNCTION("""COMPUTED_VALUE"""),942)</f>
        <v>942</v>
      </c>
      <c r="AB267" s="1">
        <f ca="1">IFERROR(__xludf.DUMMYFUNCTION("""COMPUTED_VALUE"""),381)</f>
        <v>381</v>
      </c>
      <c r="AC267" s="1">
        <f ca="1">IFERROR(__xludf.DUMMYFUNCTION("""COMPUTED_VALUE"""),183)</f>
        <v>183</v>
      </c>
      <c r="AD267" s="1">
        <f ca="1">IFERROR(__xludf.DUMMYFUNCTION("""COMPUTED_VALUE"""),117)</f>
        <v>117</v>
      </c>
      <c r="AE267" s="1">
        <f ca="1">IFERROR(__xludf.DUMMYFUNCTION("""COMPUTED_VALUE"""),324)</f>
        <v>324</v>
      </c>
      <c r="AF267" s="1">
        <f ca="1">IFERROR(__xludf.DUMMYFUNCTION("""COMPUTED_VALUE"""),511)</f>
        <v>511</v>
      </c>
    </row>
    <row r="268" spans="1:32" ht="12.5" x14ac:dyDescent="0.25">
      <c r="A268" s="1" t="str">
        <f ca="1">IFERROR(__xludf.DUMMYFUNCTION("""COMPUTED_VALUE"""),"Portland")</f>
        <v>Portland</v>
      </c>
      <c r="B268" s="1">
        <f ca="1">IFERROR(__xludf.DUMMYFUNCTION("""COMPUTED_VALUE"""),33)</f>
        <v>33</v>
      </c>
      <c r="C268" s="1">
        <f ca="1">IFERROR(__xludf.DUMMYFUNCTION("""COMPUTED_VALUE"""),17)</f>
        <v>17</v>
      </c>
      <c r="D268" s="1">
        <f ca="1">IFERROR(__xludf.DUMMYFUNCTION("""COMPUTED_VALUE"""),16)</f>
        <v>16</v>
      </c>
      <c r="E268" s="1">
        <f ca="1">IFERROR(__xludf.DUMMYFUNCTION("""COMPUTED_VALUE"""),0.515)</f>
        <v>0.51500000000000001</v>
      </c>
      <c r="F268" s="1">
        <f ca="1">IFERROR(__xludf.DUMMYFUNCTION("""COMPUTED_VALUE"""),3.06)</f>
        <v>3.06</v>
      </c>
      <c r="G268" s="1">
        <f ca="1">IFERROR(__xludf.DUMMYFUNCTION("""COMPUTED_VALUE"""),2.67)</f>
        <v>2.67</v>
      </c>
      <c r="H268" s="1">
        <f ca="1">IFERROR(__xludf.DUMMYFUNCTION("""COMPUTED_VALUE"""),7)</f>
        <v>7</v>
      </c>
      <c r="I268" s="1">
        <f ca="1">IFERROR(__xludf.DUMMYFUNCTION("""COMPUTED_VALUE"""),11)</f>
        <v>11</v>
      </c>
      <c r="J268" s="1">
        <f ca="1">IFERROR(__xludf.DUMMYFUNCTION("""COMPUTED_VALUE"""),9)</f>
        <v>9</v>
      </c>
      <c r="K268" s="1">
        <f ca="1">IFERROR(__xludf.DUMMYFUNCTION("""COMPUTED_VALUE"""),7)</f>
        <v>7</v>
      </c>
      <c r="L268" s="1">
        <f ca="1">IFERROR(__xludf.DUMMYFUNCTION("""COMPUTED_VALUE"""),5)</f>
        <v>5</v>
      </c>
      <c r="M268" s="1">
        <f ca="1">IFERROR(__xludf.DUMMYFUNCTION("""COMPUTED_VALUE"""),7)</f>
        <v>7</v>
      </c>
      <c r="N268" s="1">
        <f ca="1">IFERROR(__xludf.DUMMYFUNCTION("""COMPUTED_VALUE"""),2315)</f>
        <v>2315</v>
      </c>
      <c r="O268" s="1">
        <f ca="1">IFERROR(__xludf.DUMMYFUNCTION("""COMPUTED_VALUE"""),2253)</f>
        <v>2253</v>
      </c>
      <c r="P268" s="1">
        <f ca="1">IFERROR(__xludf.DUMMYFUNCTION("""COMPUTED_VALUE"""),1340)</f>
        <v>1340</v>
      </c>
      <c r="Q268" s="1">
        <f ca="1">IFERROR(__xludf.DUMMYFUNCTION("""COMPUTED_VALUE"""),810)</f>
        <v>810</v>
      </c>
      <c r="R268" s="1">
        <f ca="1">IFERROR(__xludf.DUMMYFUNCTION("""COMPUTED_VALUE"""),1825)</f>
        <v>1825</v>
      </c>
      <c r="S268" s="1">
        <f ca="1">IFERROR(__xludf.DUMMYFUNCTION("""COMPUTED_VALUE"""),0.444)</f>
        <v>0.44400000000000001</v>
      </c>
      <c r="T268" s="1">
        <f ca="1">IFERROR(__xludf.DUMMYFUNCTION("""COMPUTED_VALUE"""),216)</f>
        <v>216</v>
      </c>
      <c r="U268" s="1">
        <f ca="1">IFERROR(__xludf.DUMMYFUNCTION("""COMPUTED_VALUE"""),574)</f>
        <v>574</v>
      </c>
      <c r="V268" s="1">
        <f ca="1">IFERROR(__xludf.DUMMYFUNCTION("""COMPUTED_VALUE"""),0.376)</f>
        <v>0.376</v>
      </c>
      <c r="W268" s="1">
        <f ca="1">IFERROR(__xludf.DUMMYFUNCTION("""COMPUTED_VALUE"""),479)</f>
        <v>479</v>
      </c>
      <c r="X268" s="1">
        <f ca="1">IFERROR(__xludf.DUMMYFUNCTION("""COMPUTED_VALUE"""),668)</f>
        <v>668</v>
      </c>
      <c r="Y268" s="1">
        <f ca="1">IFERROR(__xludf.DUMMYFUNCTION("""COMPUTED_VALUE"""),0.717)</f>
        <v>0.71699999999999997</v>
      </c>
      <c r="Z268" s="1">
        <f ca="1">IFERROR(__xludf.DUMMYFUNCTION("""COMPUTED_VALUE"""),389)</f>
        <v>389</v>
      </c>
      <c r="AA268" s="1">
        <f ca="1">IFERROR(__xludf.DUMMYFUNCTION("""COMPUTED_VALUE"""),1173)</f>
        <v>1173</v>
      </c>
      <c r="AB268" s="1">
        <f ca="1">IFERROR(__xludf.DUMMYFUNCTION("""COMPUTED_VALUE"""),486)</f>
        <v>486</v>
      </c>
      <c r="AC268" s="1">
        <f ca="1">IFERROR(__xludf.DUMMYFUNCTION("""COMPUTED_VALUE"""),192)</f>
        <v>192</v>
      </c>
      <c r="AD268" s="1">
        <f ca="1">IFERROR(__xludf.DUMMYFUNCTION("""COMPUTED_VALUE"""),148)</f>
        <v>148</v>
      </c>
      <c r="AE268" s="1">
        <f ca="1">IFERROR(__xludf.DUMMYFUNCTION("""COMPUTED_VALUE"""),402)</f>
        <v>402</v>
      </c>
      <c r="AF268" s="1">
        <f ca="1">IFERROR(__xludf.DUMMYFUNCTION("""COMPUTED_VALUE"""),610)</f>
        <v>610</v>
      </c>
    </row>
    <row r="269" spans="1:32" ht="12.5" x14ac:dyDescent="0.25">
      <c r="A269" s="1" t="str">
        <f ca="1">IFERROR(__xludf.DUMMYFUNCTION("""COMPUTED_VALUE"""),"Prairie View")</f>
        <v>Prairie View</v>
      </c>
      <c r="B269" s="1">
        <f ca="1">IFERROR(__xludf.DUMMYFUNCTION("""COMPUTED_VALUE"""),33)</f>
        <v>33</v>
      </c>
      <c r="C269" s="1">
        <f ca="1">IFERROR(__xludf.DUMMYFUNCTION("""COMPUTED_VALUE"""),15)</f>
        <v>15</v>
      </c>
      <c r="D269" s="1">
        <f ca="1">IFERROR(__xludf.DUMMYFUNCTION("""COMPUTED_VALUE"""),18)</f>
        <v>18</v>
      </c>
      <c r="E269" s="1">
        <f ca="1">IFERROR(__xludf.DUMMYFUNCTION("""COMPUTED_VALUE"""),0.455)</f>
        <v>0.45500000000000002</v>
      </c>
      <c r="F269" s="1">
        <f ca="1">IFERROR(__xludf.DUMMYFUNCTION("""COMPUTED_VALUE"""),-10.86)</f>
        <v>-10.86</v>
      </c>
      <c r="G269" s="1">
        <f ca="1">IFERROR(__xludf.DUMMYFUNCTION("""COMPUTED_VALUE"""),-8.2)</f>
        <v>-8.1999999999999993</v>
      </c>
      <c r="H269" s="1">
        <f ca="1">IFERROR(__xludf.DUMMYFUNCTION("""COMPUTED_VALUE"""),12)</f>
        <v>12</v>
      </c>
      <c r="I269" s="1">
        <f ca="1">IFERROR(__xludf.DUMMYFUNCTION("""COMPUTED_VALUE"""),6)</f>
        <v>6</v>
      </c>
      <c r="J269" s="1">
        <f ca="1">IFERROR(__xludf.DUMMYFUNCTION("""COMPUTED_VALUE"""),7)</f>
        <v>7</v>
      </c>
      <c r="K269" s="1">
        <f ca="1">IFERROR(__xludf.DUMMYFUNCTION("""COMPUTED_VALUE"""),3)</f>
        <v>3</v>
      </c>
      <c r="L269" s="1">
        <f ca="1">IFERROR(__xludf.DUMMYFUNCTION("""COMPUTED_VALUE"""),7)</f>
        <v>7</v>
      </c>
      <c r="M269" s="1">
        <f ca="1">IFERROR(__xludf.DUMMYFUNCTION("""COMPUTED_VALUE"""),12)</f>
        <v>12</v>
      </c>
      <c r="N269" s="1">
        <f ca="1">IFERROR(__xludf.DUMMYFUNCTION("""COMPUTED_VALUE"""),2211)</f>
        <v>2211</v>
      </c>
      <c r="O269" s="1">
        <f ca="1">IFERROR(__xludf.DUMMYFUNCTION("""COMPUTED_VALUE"""),2280)</f>
        <v>2280</v>
      </c>
      <c r="P269" s="1">
        <f ca="1">IFERROR(__xludf.DUMMYFUNCTION("""COMPUTED_VALUE"""),1320)</f>
        <v>1320</v>
      </c>
      <c r="Q269" s="1">
        <f ca="1">IFERROR(__xludf.DUMMYFUNCTION("""COMPUTED_VALUE"""),822)</f>
        <v>822</v>
      </c>
      <c r="R269" s="1">
        <f ca="1">IFERROR(__xludf.DUMMYFUNCTION("""COMPUTED_VALUE"""),1923)</f>
        <v>1923</v>
      </c>
      <c r="S269" s="1">
        <f ca="1">IFERROR(__xludf.DUMMYFUNCTION("""COMPUTED_VALUE"""),0.427)</f>
        <v>0.42699999999999999</v>
      </c>
      <c r="T269" s="1">
        <f ca="1">IFERROR(__xludf.DUMMYFUNCTION("""COMPUTED_VALUE"""),177)</f>
        <v>177</v>
      </c>
      <c r="U269" s="1">
        <f ca="1">IFERROR(__xludf.DUMMYFUNCTION("""COMPUTED_VALUE"""),532)</f>
        <v>532</v>
      </c>
      <c r="V269" s="1">
        <f ca="1">IFERROR(__xludf.DUMMYFUNCTION("""COMPUTED_VALUE"""),0.333)</f>
        <v>0.33300000000000002</v>
      </c>
      <c r="W269" s="1">
        <f ca="1">IFERROR(__xludf.DUMMYFUNCTION("""COMPUTED_VALUE"""),390)</f>
        <v>390</v>
      </c>
      <c r="X269" s="1">
        <f ca="1">IFERROR(__xludf.DUMMYFUNCTION("""COMPUTED_VALUE"""),604)</f>
        <v>604</v>
      </c>
      <c r="Y269" s="1">
        <f ca="1">IFERROR(__xludf.DUMMYFUNCTION("""COMPUTED_VALUE"""),0.646)</f>
        <v>0.64600000000000002</v>
      </c>
      <c r="Z269" s="1">
        <f ca="1">IFERROR(__xludf.DUMMYFUNCTION("""COMPUTED_VALUE"""),388)</f>
        <v>388</v>
      </c>
      <c r="AA269" s="1">
        <f ca="1">IFERROR(__xludf.DUMMYFUNCTION("""COMPUTED_VALUE"""),1072)</f>
        <v>1072</v>
      </c>
      <c r="AB269" s="1">
        <f ca="1">IFERROR(__xludf.DUMMYFUNCTION("""COMPUTED_VALUE"""),354)</f>
        <v>354</v>
      </c>
      <c r="AC269" s="1">
        <f ca="1">IFERROR(__xludf.DUMMYFUNCTION("""COMPUTED_VALUE"""),287)</f>
        <v>287</v>
      </c>
      <c r="AD269" s="1">
        <f ca="1">IFERROR(__xludf.DUMMYFUNCTION("""COMPUTED_VALUE"""),105)</f>
        <v>105</v>
      </c>
      <c r="AE269" s="1">
        <f ca="1">IFERROR(__xludf.DUMMYFUNCTION("""COMPUTED_VALUE"""),471)</f>
        <v>471</v>
      </c>
      <c r="AF269" s="1">
        <f ca="1">IFERROR(__xludf.DUMMYFUNCTION("""COMPUTED_VALUE"""),716)</f>
        <v>716</v>
      </c>
    </row>
    <row r="270" spans="1:32" ht="12.5" x14ac:dyDescent="0.25">
      <c r="A270" s="1" t="str">
        <f ca="1">IFERROR(__xludf.DUMMYFUNCTION("""COMPUTED_VALUE"""),"Presbyterian")</f>
        <v>Presbyterian</v>
      </c>
      <c r="B270" s="1">
        <f ca="1">IFERROR(__xludf.DUMMYFUNCTION("""COMPUTED_VALUE"""),32)</f>
        <v>32</v>
      </c>
      <c r="C270" s="1">
        <f ca="1">IFERROR(__xludf.DUMMYFUNCTION("""COMPUTED_VALUE"""),10)</f>
        <v>10</v>
      </c>
      <c r="D270" s="1">
        <f ca="1">IFERROR(__xludf.DUMMYFUNCTION("""COMPUTED_VALUE"""),22)</f>
        <v>22</v>
      </c>
      <c r="E270" s="1">
        <f ca="1">IFERROR(__xludf.DUMMYFUNCTION("""COMPUTED_VALUE"""),0.313)</f>
        <v>0.313</v>
      </c>
      <c r="F270" s="1">
        <f ca="1">IFERROR(__xludf.DUMMYFUNCTION("""COMPUTED_VALUE"""),-16.26)</f>
        <v>-16.260000000000002</v>
      </c>
      <c r="G270" s="1">
        <f ca="1">IFERROR(__xludf.DUMMYFUNCTION("""COMPUTED_VALUE"""),-4.51)</f>
        <v>-4.51</v>
      </c>
      <c r="H270" s="1">
        <f ca="1">IFERROR(__xludf.DUMMYFUNCTION("""COMPUTED_VALUE"""),6)</f>
        <v>6</v>
      </c>
      <c r="I270" s="1">
        <f ca="1">IFERROR(__xludf.DUMMYFUNCTION("""COMPUTED_VALUE"""),12)</f>
        <v>12</v>
      </c>
      <c r="J270" s="1">
        <f ca="1">IFERROR(__xludf.DUMMYFUNCTION("""COMPUTED_VALUE"""),7)</f>
        <v>7</v>
      </c>
      <c r="K270" s="1">
        <f ca="1">IFERROR(__xludf.DUMMYFUNCTION("""COMPUTED_VALUE"""),8)</f>
        <v>8</v>
      </c>
      <c r="L270" s="1">
        <f ca="1">IFERROR(__xludf.DUMMYFUNCTION("""COMPUTED_VALUE"""),3)</f>
        <v>3</v>
      </c>
      <c r="M270" s="1">
        <f ca="1">IFERROR(__xludf.DUMMYFUNCTION("""COMPUTED_VALUE"""),11)</f>
        <v>11</v>
      </c>
      <c r="N270" s="1">
        <f ca="1">IFERROR(__xludf.DUMMYFUNCTION("""COMPUTED_VALUE"""),1978)</f>
        <v>1978</v>
      </c>
      <c r="O270" s="1">
        <f ca="1">IFERROR(__xludf.DUMMYFUNCTION("""COMPUTED_VALUE"""),2214)</f>
        <v>2214</v>
      </c>
      <c r="P270" s="1">
        <f ca="1">IFERROR(__xludf.DUMMYFUNCTION("""COMPUTED_VALUE"""),1280)</f>
        <v>1280</v>
      </c>
      <c r="Q270" s="1">
        <f ca="1">IFERROR(__xludf.DUMMYFUNCTION("""COMPUTED_VALUE"""),741)</f>
        <v>741</v>
      </c>
      <c r="R270" s="1">
        <f ca="1">IFERROR(__xludf.DUMMYFUNCTION("""COMPUTED_VALUE"""),1656)</f>
        <v>1656</v>
      </c>
      <c r="S270" s="1">
        <f ca="1">IFERROR(__xludf.DUMMYFUNCTION("""COMPUTED_VALUE"""),0.447)</f>
        <v>0.44700000000000001</v>
      </c>
      <c r="T270" s="1">
        <f ca="1">IFERROR(__xludf.DUMMYFUNCTION("""COMPUTED_VALUE"""),136)</f>
        <v>136</v>
      </c>
      <c r="U270" s="1">
        <f ca="1">IFERROR(__xludf.DUMMYFUNCTION("""COMPUTED_VALUE"""),425)</f>
        <v>425</v>
      </c>
      <c r="V270" s="1">
        <f ca="1">IFERROR(__xludf.DUMMYFUNCTION("""COMPUTED_VALUE"""),0.32)</f>
        <v>0.32</v>
      </c>
      <c r="W270" s="1">
        <f ca="1">IFERROR(__xludf.DUMMYFUNCTION("""COMPUTED_VALUE"""),360)</f>
        <v>360</v>
      </c>
      <c r="X270" s="1">
        <f ca="1">IFERROR(__xludf.DUMMYFUNCTION("""COMPUTED_VALUE"""),546)</f>
        <v>546</v>
      </c>
      <c r="Y270" s="1">
        <f ca="1">IFERROR(__xludf.DUMMYFUNCTION("""COMPUTED_VALUE"""),0.659)</f>
        <v>0.65900000000000003</v>
      </c>
      <c r="Z270" s="1">
        <f ca="1">IFERROR(__xludf.DUMMYFUNCTION("""COMPUTED_VALUE"""),296)</f>
        <v>296</v>
      </c>
      <c r="AA270" s="1">
        <f ca="1">IFERROR(__xludf.DUMMYFUNCTION("""COMPUTED_VALUE"""),1029)</f>
        <v>1029</v>
      </c>
      <c r="AB270" s="1">
        <f ca="1">IFERROR(__xludf.DUMMYFUNCTION("""COMPUTED_VALUE"""),341)</f>
        <v>341</v>
      </c>
      <c r="AC270" s="1">
        <f ca="1">IFERROR(__xludf.DUMMYFUNCTION("""COMPUTED_VALUE"""),166)</f>
        <v>166</v>
      </c>
      <c r="AD270" s="1">
        <f ca="1">IFERROR(__xludf.DUMMYFUNCTION("""COMPUTED_VALUE"""),90)</f>
        <v>90</v>
      </c>
      <c r="AE270" s="1">
        <f ca="1">IFERROR(__xludf.DUMMYFUNCTION("""COMPUTED_VALUE"""),415)</f>
        <v>415</v>
      </c>
      <c r="AF270" s="1">
        <f ca="1">IFERROR(__xludf.DUMMYFUNCTION("""COMPUTED_VALUE"""),507)</f>
        <v>507</v>
      </c>
    </row>
    <row r="271" spans="1:32" ht="12.5" x14ac:dyDescent="0.25">
      <c r="A271" s="1" t="str">
        <f ca="1">IFERROR(__xludf.DUMMYFUNCTION("""COMPUTED_VALUE"""),"Princeton")</f>
        <v>Princeton</v>
      </c>
      <c r="B271" s="1">
        <f ca="1">IFERROR(__xludf.DUMMYFUNCTION("""COMPUTED_VALUE"""),31)</f>
        <v>31</v>
      </c>
      <c r="C271" s="1">
        <f ca="1">IFERROR(__xludf.DUMMYFUNCTION("""COMPUTED_VALUE"""),16)</f>
        <v>16</v>
      </c>
      <c r="D271" s="1">
        <f ca="1">IFERROR(__xludf.DUMMYFUNCTION("""COMPUTED_VALUE"""),14)</f>
        <v>14</v>
      </c>
      <c r="E271" s="1">
        <f ca="1">IFERROR(__xludf.DUMMYFUNCTION("""COMPUTED_VALUE"""),0.533)</f>
        <v>0.53300000000000003</v>
      </c>
      <c r="F271" s="1">
        <f ca="1">IFERROR(__xludf.DUMMYFUNCTION("""COMPUTED_VALUE"""),-1.34)</f>
        <v>-1.34</v>
      </c>
      <c r="G271" s="1">
        <f ca="1">IFERROR(__xludf.DUMMYFUNCTION("""COMPUTED_VALUE"""),-2.92)</f>
        <v>-2.92</v>
      </c>
      <c r="H271" s="1">
        <f ca="1">IFERROR(__xludf.DUMMYFUNCTION("""COMPUTED_VALUE"""),9)</f>
        <v>9</v>
      </c>
      <c r="I271" s="1">
        <f ca="1">IFERROR(__xludf.DUMMYFUNCTION("""COMPUTED_VALUE"""),5)</f>
        <v>5</v>
      </c>
      <c r="J271" s="1">
        <f ca="1">IFERROR(__xludf.DUMMYFUNCTION("""COMPUTED_VALUE"""),11)</f>
        <v>11</v>
      </c>
      <c r="K271" s="1">
        <f ca="1">IFERROR(__xludf.DUMMYFUNCTION("""COMPUTED_VALUE"""),3)</f>
        <v>3</v>
      </c>
      <c r="L271" s="1">
        <f ca="1">IFERROR(__xludf.DUMMYFUNCTION("""COMPUTED_VALUE"""),4)</f>
        <v>4</v>
      </c>
      <c r="M271" s="1">
        <f ca="1">IFERROR(__xludf.DUMMYFUNCTION("""COMPUTED_VALUE"""),9)</f>
        <v>9</v>
      </c>
      <c r="N271" s="1">
        <f ca="1">IFERROR(__xludf.DUMMYFUNCTION("""COMPUTED_VALUE"""),2066)</f>
        <v>2066</v>
      </c>
      <c r="O271" s="1">
        <f ca="1">IFERROR(__xludf.DUMMYFUNCTION("""COMPUTED_VALUE"""),1972)</f>
        <v>1972</v>
      </c>
      <c r="P271" s="1">
        <f ca="1">IFERROR(__xludf.DUMMYFUNCTION("""COMPUTED_VALUE"""),1200)</f>
        <v>1200</v>
      </c>
      <c r="Q271" s="1">
        <f ca="1">IFERROR(__xludf.DUMMYFUNCTION("""COMPUTED_VALUE"""),673)</f>
        <v>673</v>
      </c>
      <c r="R271" s="1">
        <f ca="1">IFERROR(__xludf.DUMMYFUNCTION("""COMPUTED_VALUE"""),1455)</f>
        <v>1455</v>
      </c>
      <c r="S271" s="1">
        <f ca="1">IFERROR(__xludf.DUMMYFUNCTION("""COMPUTED_VALUE"""),0.463)</f>
        <v>0.46300000000000002</v>
      </c>
      <c r="T271" s="1">
        <f ca="1">IFERROR(__xludf.DUMMYFUNCTION("""COMPUTED_VALUE"""),252)</f>
        <v>252</v>
      </c>
      <c r="U271" s="1">
        <f ca="1">IFERROR(__xludf.DUMMYFUNCTION("""COMPUTED_VALUE"""),668)</f>
        <v>668</v>
      </c>
      <c r="V271" s="1">
        <f ca="1">IFERROR(__xludf.DUMMYFUNCTION("""COMPUTED_VALUE"""),0.377)</f>
        <v>0.377</v>
      </c>
      <c r="W271" s="1">
        <f ca="1">IFERROR(__xludf.DUMMYFUNCTION("""COMPUTED_VALUE"""),468)</f>
        <v>468</v>
      </c>
      <c r="X271" s="1">
        <f ca="1">IFERROR(__xludf.DUMMYFUNCTION("""COMPUTED_VALUE"""),658)</f>
        <v>658</v>
      </c>
      <c r="Y271" s="1">
        <f ca="1">IFERROR(__xludf.DUMMYFUNCTION("""COMPUTED_VALUE"""),0.711)</f>
        <v>0.71099999999999997</v>
      </c>
      <c r="Z271" s="1">
        <f ca="1">IFERROR(__xludf.DUMMYFUNCTION("""COMPUTED_VALUE"""),189)</f>
        <v>189</v>
      </c>
      <c r="AA271" s="1">
        <f ca="1">IFERROR(__xludf.DUMMYFUNCTION("""COMPUTED_VALUE"""),913)</f>
        <v>913</v>
      </c>
      <c r="AB271" s="1">
        <f ca="1">IFERROR(__xludf.DUMMYFUNCTION("""COMPUTED_VALUE"""),391)</f>
        <v>391</v>
      </c>
      <c r="AC271" s="1">
        <f ca="1">IFERROR(__xludf.DUMMYFUNCTION("""COMPUTED_VALUE"""),165)</f>
        <v>165</v>
      </c>
      <c r="AD271" s="1">
        <f ca="1">IFERROR(__xludf.DUMMYFUNCTION("""COMPUTED_VALUE"""),90)</f>
        <v>90</v>
      </c>
      <c r="AE271" s="1">
        <f ca="1">IFERROR(__xludf.DUMMYFUNCTION("""COMPUTED_VALUE"""),366)</f>
        <v>366</v>
      </c>
      <c r="AF271" s="1">
        <f ca="1">IFERROR(__xludf.DUMMYFUNCTION("""COMPUTED_VALUE"""),562)</f>
        <v>562</v>
      </c>
    </row>
    <row r="272" spans="1:32" ht="12.5" x14ac:dyDescent="0.25">
      <c r="A272" s="1" t="str">
        <f ca="1">IFERROR(__xludf.DUMMYFUNCTION("""COMPUTED_VALUE"""),"ProvidenceNCAA")</f>
        <v>ProvidenceNCAA</v>
      </c>
      <c r="B272" s="1">
        <f ca="1">IFERROR(__xludf.DUMMYFUNCTION("""COMPUTED_VALUE"""),34)</f>
        <v>34</v>
      </c>
      <c r="C272" s="1">
        <f ca="1">IFERROR(__xludf.DUMMYFUNCTION("""COMPUTED_VALUE"""),22)</f>
        <v>22</v>
      </c>
      <c r="D272" s="1">
        <f ca="1">IFERROR(__xludf.DUMMYFUNCTION("""COMPUTED_VALUE"""),12)</f>
        <v>12</v>
      </c>
      <c r="E272" s="1">
        <f ca="1">IFERROR(__xludf.DUMMYFUNCTION("""COMPUTED_VALUE"""),0.647)</f>
        <v>0.64700000000000002</v>
      </c>
      <c r="F272" s="1">
        <f ca="1">IFERROR(__xludf.DUMMYFUNCTION("""COMPUTED_VALUE"""),13.71)</f>
        <v>13.71</v>
      </c>
      <c r="G272" s="1">
        <f ca="1">IFERROR(__xludf.DUMMYFUNCTION("""COMPUTED_VALUE"""),9.5)</f>
        <v>9.5</v>
      </c>
      <c r="H272" s="1">
        <f ca="1">IFERROR(__xludf.DUMMYFUNCTION("""COMPUTED_VALUE"""),11)</f>
        <v>11</v>
      </c>
      <c r="I272" s="1">
        <f ca="1">IFERROR(__xludf.DUMMYFUNCTION("""COMPUTED_VALUE"""),7)</f>
        <v>7</v>
      </c>
      <c r="J272" s="1">
        <f ca="1">IFERROR(__xludf.DUMMYFUNCTION("""COMPUTED_VALUE"""),13)</f>
        <v>13</v>
      </c>
      <c r="K272" s="1">
        <f ca="1">IFERROR(__xludf.DUMMYFUNCTION("""COMPUTED_VALUE"""),4)</f>
        <v>4</v>
      </c>
      <c r="L272" s="1">
        <f ca="1">IFERROR(__xludf.DUMMYFUNCTION("""COMPUTED_VALUE"""),5)</f>
        <v>5</v>
      </c>
      <c r="M272" s="1">
        <f ca="1">IFERROR(__xludf.DUMMYFUNCTION("""COMPUTED_VALUE"""),6)</f>
        <v>6</v>
      </c>
      <c r="N272" s="1">
        <f ca="1">IFERROR(__xludf.DUMMYFUNCTION("""COMPUTED_VALUE"""),2370)</f>
        <v>2370</v>
      </c>
      <c r="O272" s="1">
        <f ca="1">IFERROR(__xludf.DUMMYFUNCTION("""COMPUTED_VALUE"""),2227)</f>
        <v>2227</v>
      </c>
      <c r="P272" s="1">
        <f ca="1">IFERROR(__xludf.DUMMYFUNCTION("""COMPUTED_VALUE"""),1370)</f>
        <v>1370</v>
      </c>
      <c r="Q272" s="1">
        <f ca="1">IFERROR(__xludf.DUMMYFUNCTION("""COMPUTED_VALUE"""),828)</f>
        <v>828</v>
      </c>
      <c r="R272" s="1">
        <f ca="1">IFERROR(__xludf.DUMMYFUNCTION("""COMPUTED_VALUE"""),1889)</f>
        <v>1889</v>
      </c>
      <c r="S272" s="1">
        <f ca="1">IFERROR(__xludf.DUMMYFUNCTION("""COMPUTED_VALUE"""),0.438)</f>
        <v>0.438</v>
      </c>
      <c r="T272" s="1">
        <f ca="1">IFERROR(__xludf.DUMMYFUNCTION("""COMPUTED_VALUE"""),171)</f>
        <v>171</v>
      </c>
      <c r="U272" s="1">
        <f ca="1">IFERROR(__xludf.DUMMYFUNCTION("""COMPUTED_VALUE"""),546)</f>
        <v>546</v>
      </c>
      <c r="V272" s="1">
        <f ca="1">IFERROR(__xludf.DUMMYFUNCTION("""COMPUTED_VALUE"""),0.313)</f>
        <v>0.313</v>
      </c>
      <c r="W272" s="1">
        <f ca="1">IFERROR(__xludf.DUMMYFUNCTION("""COMPUTED_VALUE"""),543)</f>
        <v>543</v>
      </c>
      <c r="X272" s="1">
        <f ca="1">IFERROR(__xludf.DUMMYFUNCTION("""COMPUTED_VALUE"""),768)</f>
        <v>768</v>
      </c>
      <c r="Y272" s="1">
        <f ca="1">IFERROR(__xludf.DUMMYFUNCTION("""COMPUTED_VALUE"""),0.707)</f>
        <v>0.70699999999999996</v>
      </c>
      <c r="Z272" s="1">
        <f ca="1">IFERROR(__xludf.DUMMYFUNCTION("""COMPUTED_VALUE"""),411)</f>
        <v>411</v>
      </c>
      <c r="AA272" s="1">
        <f ca="1">IFERROR(__xludf.DUMMYFUNCTION("""COMPUTED_VALUE"""),1228)</f>
        <v>1228</v>
      </c>
      <c r="AB272" s="1">
        <f ca="1">IFERROR(__xludf.DUMMYFUNCTION("""COMPUTED_VALUE"""),474)</f>
        <v>474</v>
      </c>
      <c r="AC272" s="1">
        <f ca="1">IFERROR(__xludf.DUMMYFUNCTION("""COMPUTED_VALUE"""),242)</f>
        <v>242</v>
      </c>
      <c r="AD272" s="1">
        <f ca="1">IFERROR(__xludf.DUMMYFUNCTION("""COMPUTED_VALUE"""),155)</f>
        <v>155</v>
      </c>
      <c r="AE272" s="1">
        <f ca="1">IFERROR(__xludf.DUMMYFUNCTION("""COMPUTED_VALUE"""),407)</f>
        <v>407</v>
      </c>
      <c r="AF272" s="1">
        <f ca="1">IFERROR(__xludf.DUMMYFUNCTION("""COMPUTED_VALUE"""),628)</f>
        <v>628</v>
      </c>
    </row>
    <row r="273" spans="1:32" ht="12.5" x14ac:dyDescent="0.25">
      <c r="A273" s="1" t="str">
        <f ca="1">IFERROR(__xludf.DUMMYFUNCTION("""COMPUTED_VALUE"""),"PurdueNCAA")</f>
        <v>PurdueNCAA</v>
      </c>
      <c r="B273" s="1">
        <f ca="1">IFERROR(__xludf.DUMMYFUNCTION("""COMPUTED_VALUE"""),34)</f>
        <v>34</v>
      </c>
      <c r="C273" s="1">
        <f ca="1">IFERROR(__xludf.DUMMYFUNCTION("""COMPUTED_VALUE"""),21)</f>
        <v>21</v>
      </c>
      <c r="D273" s="1">
        <f ca="1">IFERROR(__xludf.DUMMYFUNCTION("""COMPUTED_VALUE"""),13)</f>
        <v>13</v>
      </c>
      <c r="E273" s="1">
        <f ca="1">IFERROR(__xludf.DUMMYFUNCTION("""COMPUTED_VALUE"""),0.618)</f>
        <v>0.61799999999999999</v>
      </c>
      <c r="F273" s="1">
        <f ca="1">IFERROR(__xludf.DUMMYFUNCTION("""COMPUTED_VALUE"""),12.93)</f>
        <v>12.93</v>
      </c>
      <c r="G273" s="1">
        <f ca="1">IFERROR(__xludf.DUMMYFUNCTION("""COMPUTED_VALUE"""),7.64)</f>
        <v>7.64</v>
      </c>
      <c r="H273" s="1">
        <f ca="1">IFERROR(__xludf.DUMMYFUNCTION("""COMPUTED_VALUE"""),12)</f>
        <v>12</v>
      </c>
      <c r="I273" s="1">
        <f ca="1">IFERROR(__xludf.DUMMYFUNCTION("""COMPUTED_VALUE"""),6)</f>
        <v>6</v>
      </c>
      <c r="J273" s="1">
        <f ca="1">IFERROR(__xludf.DUMMYFUNCTION("""COMPUTED_VALUE"""),14)</f>
        <v>14</v>
      </c>
      <c r="K273" s="1">
        <f ca="1">IFERROR(__xludf.DUMMYFUNCTION("""COMPUTED_VALUE"""),3)</f>
        <v>3</v>
      </c>
      <c r="L273" s="1">
        <f ca="1">IFERROR(__xludf.DUMMYFUNCTION("""COMPUTED_VALUE"""),4)</f>
        <v>4</v>
      </c>
      <c r="M273" s="1">
        <f ca="1">IFERROR(__xludf.DUMMYFUNCTION("""COMPUTED_VALUE"""),6)</f>
        <v>6</v>
      </c>
      <c r="N273" s="1">
        <f ca="1">IFERROR(__xludf.DUMMYFUNCTION("""COMPUTED_VALUE"""),2375)</f>
        <v>2375</v>
      </c>
      <c r="O273" s="1">
        <f ca="1">IFERROR(__xludf.DUMMYFUNCTION("""COMPUTED_VALUE"""),2195)</f>
        <v>2195</v>
      </c>
      <c r="P273" s="1">
        <f ca="1">IFERROR(__xludf.DUMMYFUNCTION("""COMPUTED_VALUE"""),1375)</f>
        <v>1375</v>
      </c>
      <c r="Q273" s="1">
        <f ca="1">IFERROR(__xludf.DUMMYFUNCTION("""COMPUTED_VALUE"""),827)</f>
        <v>827</v>
      </c>
      <c r="R273" s="1">
        <f ca="1">IFERROR(__xludf.DUMMYFUNCTION("""COMPUTED_VALUE"""),1840)</f>
        <v>1840</v>
      </c>
      <c r="S273" s="1">
        <f ca="1">IFERROR(__xludf.DUMMYFUNCTION("""COMPUTED_VALUE"""),0.449)</f>
        <v>0.44900000000000001</v>
      </c>
      <c r="T273" s="1">
        <f ca="1">IFERROR(__xludf.DUMMYFUNCTION("""COMPUTED_VALUE"""),195)</f>
        <v>195</v>
      </c>
      <c r="U273" s="1">
        <f ca="1">IFERROR(__xludf.DUMMYFUNCTION("""COMPUTED_VALUE"""),597)</f>
        <v>597</v>
      </c>
      <c r="V273" s="1">
        <f ca="1">IFERROR(__xludf.DUMMYFUNCTION("""COMPUTED_VALUE"""),0.327)</f>
        <v>0.32700000000000001</v>
      </c>
      <c r="W273" s="1">
        <f ca="1">IFERROR(__xludf.DUMMYFUNCTION("""COMPUTED_VALUE"""),524)</f>
        <v>524</v>
      </c>
      <c r="X273" s="1">
        <f ca="1">IFERROR(__xludf.DUMMYFUNCTION("""COMPUTED_VALUE"""),767)</f>
        <v>767</v>
      </c>
      <c r="Y273" s="1">
        <f ca="1">IFERROR(__xludf.DUMMYFUNCTION("""COMPUTED_VALUE"""),0.683)</f>
        <v>0.68300000000000005</v>
      </c>
      <c r="Z273" s="1">
        <f ca="1">IFERROR(__xludf.DUMMYFUNCTION("""COMPUTED_VALUE"""),409)</f>
        <v>409</v>
      </c>
      <c r="AA273" s="1">
        <f ca="1">IFERROR(__xludf.DUMMYFUNCTION("""COMPUTED_VALUE"""),1249)</f>
        <v>1249</v>
      </c>
      <c r="AB273" s="1">
        <f ca="1">IFERROR(__xludf.DUMMYFUNCTION("""COMPUTED_VALUE"""),505)</f>
        <v>505</v>
      </c>
      <c r="AC273" s="1">
        <f ca="1">IFERROR(__xludf.DUMMYFUNCTION("""COMPUTED_VALUE"""),185)</f>
        <v>185</v>
      </c>
      <c r="AD273" s="1">
        <f ca="1">IFERROR(__xludf.DUMMYFUNCTION("""COMPUTED_VALUE"""),177)</f>
        <v>177</v>
      </c>
      <c r="AE273" s="1">
        <f ca="1">IFERROR(__xludf.DUMMYFUNCTION("""COMPUTED_VALUE"""),444)</f>
        <v>444</v>
      </c>
      <c r="AF273" s="1">
        <f ca="1">IFERROR(__xludf.DUMMYFUNCTION("""COMPUTED_VALUE"""),642)</f>
        <v>642</v>
      </c>
    </row>
    <row r="274" spans="1:32" ht="12.5" x14ac:dyDescent="0.25">
      <c r="A274" s="1" t="str">
        <f ca="1">IFERROR(__xludf.DUMMYFUNCTION("""COMPUTED_VALUE"""),"Quinnipiac")</f>
        <v>Quinnipiac</v>
      </c>
      <c r="B274" s="1">
        <f ca="1">IFERROR(__xludf.DUMMYFUNCTION("""COMPUTED_VALUE"""),30)</f>
        <v>30</v>
      </c>
      <c r="C274" s="1">
        <f ca="1">IFERROR(__xludf.DUMMYFUNCTION("""COMPUTED_VALUE"""),15)</f>
        <v>15</v>
      </c>
      <c r="D274" s="1">
        <f ca="1">IFERROR(__xludf.DUMMYFUNCTION("""COMPUTED_VALUE"""),15)</f>
        <v>15</v>
      </c>
      <c r="E274" s="1">
        <f ca="1">IFERROR(__xludf.DUMMYFUNCTION("""COMPUTED_VALUE"""),0.5)</f>
        <v>0.5</v>
      </c>
      <c r="F274" s="1">
        <f ca="1">IFERROR(__xludf.DUMMYFUNCTION("""COMPUTED_VALUE"""),-1.46)</f>
        <v>-1.46</v>
      </c>
      <c r="G274" s="1">
        <f ca="1">IFERROR(__xludf.DUMMYFUNCTION("""COMPUTED_VALUE"""),-3.66)</f>
        <v>-3.66</v>
      </c>
      <c r="H274" s="1">
        <f ca="1">IFERROR(__xludf.DUMMYFUNCTION("""COMPUTED_VALUE"""),9)</f>
        <v>9</v>
      </c>
      <c r="I274" s="1">
        <f ca="1">IFERROR(__xludf.DUMMYFUNCTION("""COMPUTED_VALUE"""),11)</f>
        <v>11</v>
      </c>
      <c r="J274" s="1">
        <f ca="1">IFERROR(__xludf.DUMMYFUNCTION("""COMPUTED_VALUE"""),10)</f>
        <v>10</v>
      </c>
      <c r="K274" s="1">
        <f ca="1">IFERROR(__xludf.DUMMYFUNCTION("""COMPUTED_VALUE"""),7)</f>
        <v>7</v>
      </c>
      <c r="L274" s="1">
        <f ca="1">IFERROR(__xludf.DUMMYFUNCTION("""COMPUTED_VALUE"""),5)</f>
        <v>5</v>
      </c>
      <c r="M274" s="1">
        <f ca="1">IFERROR(__xludf.DUMMYFUNCTION("""COMPUTED_VALUE"""),7)</f>
        <v>7</v>
      </c>
      <c r="N274" s="1">
        <f ca="1">IFERROR(__xludf.DUMMYFUNCTION("""COMPUTED_VALUE"""),2092)</f>
        <v>2092</v>
      </c>
      <c r="O274" s="1">
        <f ca="1">IFERROR(__xludf.DUMMYFUNCTION("""COMPUTED_VALUE"""),2026)</f>
        <v>2026</v>
      </c>
      <c r="P274" s="1">
        <f ca="1">IFERROR(__xludf.DUMMYFUNCTION("""COMPUTED_VALUE"""),1230)</f>
        <v>1230</v>
      </c>
      <c r="Q274" s="1">
        <f ca="1">IFERROR(__xludf.DUMMYFUNCTION("""COMPUTED_VALUE"""),715)</f>
        <v>715</v>
      </c>
      <c r="R274" s="1">
        <f ca="1">IFERROR(__xludf.DUMMYFUNCTION("""COMPUTED_VALUE"""),1813)</f>
        <v>1813</v>
      </c>
      <c r="S274" s="1">
        <f ca="1">IFERROR(__xludf.DUMMYFUNCTION("""COMPUTED_VALUE"""),0.394)</f>
        <v>0.39400000000000002</v>
      </c>
      <c r="T274" s="1">
        <f ca="1">IFERROR(__xludf.DUMMYFUNCTION("""COMPUTED_VALUE"""),165)</f>
        <v>165</v>
      </c>
      <c r="U274" s="1">
        <f ca="1">IFERROR(__xludf.DUMMYFUNCTION("""COMPUTED_VALUE"""),537)</f>
        <v>537</v>
      </c>
      <c r="V274" s="1">
        <f ca="1">IFERROR(__xludf.DUMMYFUNCTION("""COMPUTED_VALUE"""),0.307)</f>
        <v>0.307</v>
      </c>
      <c r="W274" s="1">
        <f ca="1">IFERROR(__xludf.DUMMYFUNCTION("""COMPUTED_VALUE"""),497)</f>
        <v>497</v>
      </c>
      <c r="X274" s="1">
        <f ca="1">IFERROR(__xludf.DUMMYFUNCTION("""COMPUTED_VALUE"""),643)</f>
        <v>643</v>
      </c>
      <c r="Y274" s="1">
        <f ca="1">IFERROR(__xludf.DUMMYFUNCTION("""COMPUTED_VALUE"""),0.773)</f>
        <v>0.77300000000000002</v>
      </c>
      <c r="Z274" s="1">
        <f ca="1">IFERROR(__xludf.DUMMYFUNCTION("""COMPUTED_VALUE"""),491)</f>
        <v>491</v>
      </c>
      <c r="AA274" s="1">
        <f ca="1">IFERROR(__xludf.DUMMYFUNCTION("""COMPUTED_VALUE"""),1361)</f>
        <v>1361</v>
      </c>
      <c r="AB274" s="1">
        <f ca="1">IFERROR(__xludf.DUMMYFUNCTION("""COMPUTED_VALUE"""),416)</f>
        <v>416</v>
      </c>
      <c r="AC274" s="1">
        <f ca="1">IFERROR(__xludf.DUMMYFUNCTION("""COMPUTED_VALUE"""),107)</f>
        <v>107</v>
      </c>
      <c r="AD274" s="1">
        <f ca="1">IFERROR(__xludf.DUMMYFUNCTION("""COMPUTED_VALUE"""),173)</f>
        <v>173</v>
      </c>
      <c r="AE274" s="1">
        <f ca="1">IFERROR(__xludf.DUMMYFUNCTION("""COMPUTED_VALUE"""),416)</f>
        <v>416</v>
      </c>
      <c r="AF274" s="1">
        <f ca="1">IFERROR(__xludf.DUMMYFUNCTION("""COMPUTED_VALUE"""),570)</f>
        <v>570</v>
      </c>
    </row>
    <row r="275" spans="1:32" ht="12.5" x14ac:dyDescent="0.25">
      <c r="A275" s="1" t="str">
        <f ca="1">IFERROR(__xludf.DUMMYFUNCTION("""COMPUTED_VALUE"""),"Radford")</f>
        <v>Radford</v>
      </c>
      <c r="B275" s="1">
        <f ca="1">IFERROR(__xludf.DUMMYFUNCTION("""COMPUTED_VALUE"""),34)</f>
        <v>34</v>
      </c>
      <c r="C275" s="1">
        <f ca="1">IFERROR(__xludf.DUMMYFUNCTION("""COMPUTED_VALUE"""),22)</f>
        <v>22</v>
      </c>
      <c r="D275" s="1">
        <f ca="1">IFERROR(__xludf.DUMMYFUNCTION("""COMPUTED_VALUE"""),12)</f>
        <v>12</v>
      </c>
      <c r="E275" s="1">
        <f ca="1">IFERROR(__xludf.DUMMYFUNCTION("""COMPUTED_VALUE"""),0.647)</f>
        <v>0.64700000000000002</v>
      </c>
      <c r="F275" s="1">
        <f ca="1">IFERROR(__xludf.DUMMYFUNCTION("""COMPUTED_VALUE"""),-3.89)</f>
        <v>-3.89</v>
      </c>
      <c r="G275" s="1">
        <f ca="1">IFERROR(__xludf.DUMMYFUNCTION("""COMPUTED_VALUE"""),-5.53)</f>
        <v>-5.53</v>
      </c>
      <c r="H275" s="1">
        <f ca="1">IFERROR(__xludf.DUMMYFUNCTION("""COMPUTED_VALUE"""),12)</f>
        <v>12</v>
      </c>
      <c r="I275" s="1">
        <f ca="1">IFERROR(__xludf.DUMMYFUNCTION("""COMPUTED_VALUE"""),6)</f>
        <v>6</v>
      </c>
      <c r="J275" s="1">
        <f ca="1">IFERROR(__xludf.DUMMYFUNCTION("""COMPUTED_VALUE"""),12)</f>
        <v>12</v>
      </c>
      <c r="K275" s="1">
        <f ca="1">IFERROR(__xludf.DUMMYFUNCTION("""COMPUTED_VALUE"""),3)</f>
        <v>3</v>
      </c>
      <c r="L275" s="1">
        <f ca="1">IFERROR(__xludf.DUMMYFUNCTION("""COMPUTED_VALUE"""),8)</f>
        <v>8</v>
      </c>
      <c r="M275" s="1">
        <f ca="1">IFERROR(__xludf.DUMMYFUNCTION("""COMPUTED_VALUE"""),8)</f>
        <v>8</v>
      </c>
      <c r="N275" s="1">
        <f ca="1">IFERROR(__xludf.DUMMYFUNCTION("""COMPUTED_VALUE"""),2476)</f>
        <v>2476</v>
      </c>
      <c r="O275" s="1">
        <f ca="1">IFERROR(__xludf.DUMMYFUNCTION("""COMPUTED_VALUE"""),2301)</f>
        <v>2301</v>
      </c>
      <c r="P275" s="1">
        <f ca="1">IFERROR(__xludf.DUMMYFUNCTION("""COMPUTED_VALUE"""),1380)</f>
        <v>1380</v>
      </c>
      <c r="Q275" s="1">
        <f ca="1">IFERROR(__xludf.DUMMYFUNCTION("""COMPUTED_VALUE"""),892)</f>
        <v>892</v>
      </c>
      <c r="R275" s="1">
        <f ca="1">IFERROR(__xludf.DUMMYFUNCTION("""COMPUTED_VALUE"""),1946)</f>
        <v>1946</v>
      </c>
      <c r="S275" s="1">
        <f ca="1">IFERROR(__xludf.DUMMYFUNCTION("""COMPUTED_VALUE"""),0.458)</f>
        <v>0.45800000000000002</v>
      </c>
      <c r="T275" s="1">
        <f ca="1">IFERROR(__xludf.DUMMYFUNCTION("""COMPUTED_VALUE"""),212)</f>
        <v>212</v>
      </c>
      <c r="U275" s="1">
        <f ca="1">IFERROR(__xludf.DUMMYFUNCTION("""COMPUTED_VALUE"""),634)</f>
        <v>634</v>
      </c>
      <c r="V275" s="1">
        <f ca="1">IFERROR(__xludf.DUMMYFUNCTION("""COMPUTED_VALUE"""),0.334)</f>
        <v>0.33400000000000002</v>
      </c>
      <c r="W275" s="1">
        <f ca="1">IFERROR(__xludf.DUMMYFUNCTION("""COMPUTED_VALUE"""),480)</f>
        <v>480</v>
      </c>
      <c r="X275" s="1">
        <f ca="1">IFERROR(__xludf.DUMMYFUNCTION("""COMPUTED_VALUE"""),695)</f>
        <v>695</v>
      </c>
      <c r="Y275" s="1">
        <f ca="1">IFERROR(__xludf.DUMMYFUNCTION("""COMPUTED_VALUE"""),0.691)</f>
        <v>0.69099999999999995</v>
      </c>
      <c r="Z275" s="1">
        <f ca="1">IFERROR(__xludf.DUMMYFUNCTION("""COMPUTED_VALUE"""),411)</f>
        <v>411</v>
      </c>
      <c r="AA275" s="1">
        <f ca="1">IFERROR(__xludf.DUMMYFUNCTION("""COMPUTED_VALUE"""),1240)</f>
        <v>1240</v>
      </c>
      <c r="AB275" s="1">
        <f ca="1">IFERROR(__xludf.DUMMYFUNCTION("""COMPUTED_VALUE"""),450)</f>
        <v>450</v>
      </c>
      <c r="AC275" s="1">
        <f ca="1">IFERROR(__xludf.DUMMYFUNCTION("""COMPUTED_VALUE"""),242)</f>
        <v>242</v>
      </c>
      <c r="AD275" s="1">
        <f ca="1">IFERROR(__xludf.DUMMYFUNCTION("""COMPUTED_VALUE"""),150)</f>
        <v>150</v>
      </c>
      <c r="AE275" s="1">
        <f ca="1">IFERROR(__xludf.DUMMYFUNCTION("""COMPUTED_VALUE"""),408)</f>
        <v>408</v>
      </c>
      <c r="AF275" s="1">
        <f ca="1">IFERROR(__xludf.DUMMYFUNCTION("""COMPUTED_VALUE"""),611)</f>
        <v>611</v>
      </c>
    </row>
    <row r="276" spans="1:32" ht="12.5" x14ac:dyDescent="0.25">
      <c r="A276" s="1" t="str">
        <f ca="1">IFERROR(__xludf.DUMMYFUNCTION("""COMPUTED_VALUE"""),"Rhode Island")</f>
        <v>Rhode Island</v>
      </c>
      <c r="B276" s="1">
        <f ca="1">IFERROR(__xludf.DUMMYFUNCTION("""COMPUTED_VALUE"""),33)</f>
        <v>33</v>
      </c>
      <c r="C276" s="1">
        <f ca="1">IFERROR(__xludf.DUMMYFUNCTION("""COMPUTED_VALUE"""),23)</f>
        <v>23</v>
      </c>
      <c r="D276" s="1">
        <f ca="1">IFERROR(__xludf.DUMMYFUNCTION("""COMPUTED_VALUE"""),10)</f>
        <v>10</v>
      </c>
      <c r="E276" s="1">
        <f ca="1">IFERROR(__xludf.DUMMYFUNCTION("""COMPUTED_VALUE"""),0.697)</f>
        <v>0.69699999999999995</v>
      </c>
      <c r="F276" s="1">
        <f ca="1">IFERROR(__xludf.DUMMYFUNCTION("""COMPUTED_VALUE"""),9.31)</f>
        <v>9.31</v>
      </c>
      <c r="G276" s="1">
        <f ca="1">IFERROR(__xludf.DUMMYFUNCTION("""COMPUTED_VALUE"""),2.87)</f>
        <v>2.87</v>
      </c>
      <c r="H276" s="1">
        <f ca="1">IFERROR(__xludf.DUMMYFUNCTION("""COMPUTED_VALUE"""),13)</f>
        <v>13</v>
      </c>
      <c r="I276" s="1">
        <f ca="1">IFERROR(__xludf.DUMMYFUNCTION("""COMPUTED_VALUE"""),5)</f>
        <v>5</v>
      </c>
      <c r="J276" s="1">
        <f ca="1">IFERROR(__xludf.DUMMYFUNCTION("""COMPUTED_VALUE"""),14)</f>
        <v>14</v>
      </c>
      <c r="K276" s="1">
        <f ca="1">IFERROR(__xludf.DUMMYFUNCTION("""COMPUTED_VALUE"""),2)</f>
        <v>2</v>
      </c>
      <c r="L276" s="1">
        <f ca="1">IFERROR(__xludf.DUMMYFUNCTION("""COMPUTED_VALUE"""),7)</f>
        <v>7</v>
      </c>
      <c r="M276" s="1">
        <f ca="1">IFERROR(__xludf.DUMMYFUNCTION("""COMPUTED_VALUE"""),5)</f>
        <v>5</v>
      </c>
      <c r="N276" s="1">
        <f ca="1">IFERROR(__xludf.DUMMYFUNCTION("""COMPUTED_VALUE"""),2232)</f>
        <v>2232</v>
      </c>
      <c r="O276" s="1">
        <f ca="1">IFERROR(__xludf.DUMMYFUNCTION("""COMPUTED_VALUE"""),1986)</f>
        <v>1986</v>
      </c>
      <c r="P276" s="1">
        <f ca="1">IFERROR(__xludf.DUMMYFUNCTION("""COMPUTED_VALUE"""),1325)</f>
        <v>1325</v>
      </c>
      <c r="Q276" s="1">
        <f ca="1">IFERROR(__xludf.DUMMYFUNCTION("""COMPUTED_VALUE"""),777)</f>
        <v>777</v>
      </c>
      <c r="R276" s="1">
        <f ca="1">IFERROR(__xludf.DUMMYFUNCTION("""COMPUTED_VALUE"""),1732)</f>
        <v>1732</v>
      </c>
      <c r="S276" s="1">
        <f ca="1">IFERROR(__xludf.DUMMYFUNCTION("""COMPUTED_VALUE"""),0.449)</f>
        <v>0.44900000000000001</v>
      </c>
      <c r="T276" s="1">
        <f ca="1">IFERROR(__xludf.DUMMYFUNCTION("""COMPUTED_VALUE"""),146)</f>
        <v>146</v>
      </c>
      <c r="U276" s="1">
        <f ca="1">IFERROR(__xludf.DUMMYFUNCTION("""COMPUTED_VALUE"""),482)</f>
        <v>482</v>
      </c>
      <c r="V276" s="1">
        <f ca="1">IFERROR(__xludf.DUMMYFUNCTION("""COMPUTED_VALUE"""),0.303)</f>
        <v>0.30299999999999999</v>
      </c>
      <c r="W276" s="1">
        <f ca="1">IFERROR(__xludf.DUMMYFUNCTION("""COMPUTED_VALUE"""),532)</f>
        <v>532</v>
      </c>
      <c r="X276" s="1">
        <f ca="1">IFERROR(__xludf.DUMMYFUNCTION("""COMPUTED_VALUE"""),812)</f>
        <v>812</v>
      </c>
      <c r="Y276" s="1">
        <f ca="1">IFERROR(__xludf.DUMMYFUNCTION("""COMPUTED_VALUE"""),0.655)</f>
        <v>0.65500000000000003</v>
      </c>
      <c r="Z276" s="1">
        <f ca="1">IFERROR(__xludf.DUMMYFUNCTION("""COMPUTED_VALUE"""),362)</f>
        <v>362</v>
      </c>
      <c r="AA276" s="1">
        <f ca="1">IFERROR(__xludf.DUMMYFUNCTION("""COMPUTED_VALUE"""),1183)</f>
        <v>1183</v>
      </c>
      <c r="AB276" s="1">
        <f ca="1">IFERROR(__xludf.DUMMYFUNCTION("""COMPUTED_VALUE"""),430)</f>
        <v>430</v>
      </c>
      <c r="AC276" s="1">
        <f ca="1">IFERROR(__xludf.DUMMYFUNCTION("""COMPUTED_VALUE"""),215)</f>
        <v>215</v>
      </c>
      <c r="AD276" s="1">
        <f ca="1">IFERROR(__xludf.DUMMYFUNCTION("""COMPUTED_VALUE"""),184)</f>
        <v>184</v>
      </c>
      <c r="AE276" s="1">
        <f ca="1">IFERROR(__xludf.DUMMYFUNCTION("""COMPUTED_VALUE"""),453)</f>
        <v>453</v>
      </c>
      <c r="AF276" s="1">
        <f ca="1">IFERROR(__xludf.DUMMYFUNCTION("""COMPUTED_VALUE"""),694)</f>
        <v>694</v>
      </c>
    </row>
    <row r="277" spans="1:32" ht="12.5" x14ac:dyDescent="0.25">
      <c r="A277" s="1" t="str">
        <f ca="1">IFERROR(__xludf.DUMMYFUNCTION("""COMPUTED_VALUE"""),"Rice")</f>
        <v>Rice</v>
      </c>
      <c r="B277" s="1">
        <f ca="1">IFERROR(__xludf.DUMMYFUNCTION("""COMPUTED_VALUE"""),32)</f>
        <v>32</v>
      </c>
      <c r="C277" s="1">
        <f ca="1">IFERROR(__xludf.DUMMYFUNCTION("""COMPUTED_VALUE"""),12)</f>
        <v>12</v>
      </c>
      <c r="D277" s="1">
        <f ca="1">IFERROR(__xludf.DUMMYFUNCTION("""COMPUTED_VALUE"""),20)</f>
        <v>20</v>
      </c>
      <c r="E277" s="1">
        <f ca="1">IFERROR(__xludf.DUMMYFUNCTION("""COMPUTED_VALUE"""),0.375)</f>
        <v>0.375</v>
      </c>
      <c r="F277" s="1">
        <f ca="1">IFERROR(__xludf.DUMMYFUNCTION("""COMPUTED_VALUE"""),-2.86)</f>
        <v>-2.86</v>
      </c>
      <c r="G277" s="1">
        <f ca="1">IFERROR(__xludf.DUMMYFUNCTION("""COMPUTED_VALUE"""),-0.79)</f>
        <v>-0.79</v>
      </c>
      <c r="H277" s="1">
        <f ca="1">IFERROR(__xludf.DUMMYFUNCTION("""COMPUTED_VALUE"""),8)</f>
        <v>8</v>
      </c>
      <c r="I277" s="1">
        <f ca="1">IFERROR(__xludf.DUMMYFUNCTION("""COMPUTED_VALUE"""),10)</f>
        <v>10</v>
      </c>
      <c r="J277" s="1">
        <f ca="1">IFERROR(__xludf.DUMMYFUNCTION("""COMPUTED_VALUE"""),7)</f>
        <v>7</v>
      </c>
      <c r="K277" s="1">
        <f ca="1">IFERROR(__xludf.DUMMYFUNCTION("""COMPUTED_VALUE"""),7)</f>
        <v>7</v>
      </c>
      <c r="L277" s="1">
        <f ca="1">IFERROR(__xludf.DUMMYFUNCTION("""COMPUTED_VALUE"""),4)</f>
        <v>4</v>
      </c>
      <c r="M277" s="1">
        <f ca="1">IFERROR(__xludf.DUMMYFUNCTION("""COMPUTED_VALUE"""),10)</f>
        <v>10</v>
      </c>
      <c r="N277" s="1">
        <f ca="1">IFERROR(__xludf.DUMMYFUNCTION("""COMPUTED_VALUE"""),2052)</f>
        <v>2052</v>
      </c>
      <c r="O277" s="1">
        <f ca="1">IFERROR(__xludf.DUMMYFUNCTION("""COMPUTED_VALUE"""),2107)</f>
        <v>2107</v>
      </c>
      <c r="P277" s="1">
        <f ca="1">IFERROR(__xludf.DUMMYFUNCTION("""COMPUTED_VALUE"""),1315)</f>
        <v>1315</v>
      </c>
      <c r="Q277" s="1">
        <f ca="1">IFERROR(__xludf.DUMMYFUNCTION("""COMPUTED_VALUE"""),679)</f>
        <v>679</v>
      </c>
      <c r="R277" s="1">
        <f ca="1">IFERROR(__xludf.DUMMYFUNCTION("""COMPUTED_VALUE"""),1615)</f>
        <v>1615</v>
      </c>
      <c r="S277" s="1">
        <f ca="1">IFERROR(__xludf.DUMMYFUNCTION("""COMPUTED_VALUE"""),0.42)</f>
        <v>0.42</v>
      </c>
      <c r="T277" s="1">
        <f ca="1">IFERROR(__xludf.DUMMYFUNCTION("""COMPUTED_VALUE"""),289)</f>
        <v>289</v>
      </c>
      <c r="U277" s="1">
        <f ca="1">IFERROR(__xludf.DUMMYFUNCTION("""COMPUTED_VALUE"""),797)</f>
        <v>797</v>
      </c>
      <c r="V277" s="1">
        <f ca="1">IFERROR(__xludf.DUMMYFUNCTION("""COMPUTED_VALUE"""),0.363)</f>
        <v>0.36299999999999999</v>
      </c>
      <c r="W277" s="1">
        <f ca="1">IFERROR(__xludf.DUMMYFUNCTION("""COMPUTED_VALUE"""),405)</f>
        <v>405</v>
      </c>
      <c r="X277" s="1">
        <f ca="1">IFERROR(__xludf.DUMMYFUNCTION("""COMPUTED_VALUE"""),548)</f>
        <v>548</v>
      </c>
      <c r="Y277" s="1">
        <f ca="1">IFERROR(__xludf.DUMMYFUNCTION("""COMPUTED_VALUE"""),0.739)</f>
        <v>0.73899999999999999</v>
      </c>
      <c r="Z277" s="1">
        <f ca="1">IFERROR(__xludf.DUMMYFUNCTION("""COMPUTED_VALUE"""),276)</f>
        <v>276</v>
      </c>
      <c r="AA277" s="1">
        <f ca="1">IFERROR(__xludf.DUMMYFUNCTION("""COMPUTED_VALUE"""),1019)</f>
        <v>1019</v>
      </c>
      <c r="AB277" s="1">
        <f ca="1">IFERROR(__xludf.DUMMYFUNCTION("""COMPUTED_VALUE"""),405)</f>
        <v>405</v>
      </c>
      <c r="AC277" s="1">
        <f ca="1">IFERROR(__xludf.DUMMYFUNCTION("""COMPUTED_VALUE"""),190)</f>
        <v>190</v>
      </c>
      <c r="AD277" s="1">
        <f ca="1">IFERROR(__xludf.DUMMYFUNCTION("""COMPUTED_VALUE"""),70)</f>
        <v>70</v>
      </c>
      <c r="AE277" s="1">
        <f ca="1">IFERROR(__xludf.DUMMYFUNCTION("""COMPUTED_VALUE"""),459)</f>
        <v>459</v>
      </c>
      <c r="AF277" s="1">
        <f ca="1">IFERROR(__xludf.DUMMYFUNCTION("""COMPUTED_VALUE"""),606)</f>
        <v>606</v>
      </c>
    </row>
    <row r="278" spans="1:32" ht="12.5" x14ac:dyDescent="0.25">
      <c r="A278" s="1" t="str">
        <f ca="1">IFERROR(__xludf.DUMMYFUNCTION("""COMPUTED_VALUE"""),"Richmond")</f>
        <v>Richmond</v>
      </c>
      <c r="B278" s="1">
        <f ca="1">IFERROR(__xludf.DUMMYFUNCTION("""COMPUTED_VALUE"""),35)</f>
        <v>35</v>
      </c>
      <c r="C278" s="1">
        <f ca="1">IFERROR(__xludf.DUMMYFUNCTION("""COMPUTED_VALUE"""),21)</f>
        <v>21</v>
      </c>
      <c r="D278" s="1">
        <f ca="1">IFERROR(__xludf.DUMMYFUNCTION("""COMPUTED_VALUE"""),14)</f>
        <v>14</v>
      </c>
      <c r="E278" s="1">
        <f ca="1">IFERROR(__xludf.DUMMYFUNCTION("""COMPUTED_VALUE"""),0.6)</f>
        <v>0.6</v>
      </c>
      <c r="F278" s="1">
        <f ca="1">IFERROR(__xludf.DUMMYFUNCTION("""COMPUTED_VALUE"""),8.65)</f>
        <v>8.65</v>
      </c>
      <c r="G278" s="1">
        <f ca="1">IFERROR(__xludf.DUMMYFUNCTION("""COMPUTED_VALUE"""),3.77)</f>
        <v>3.77</v>
      </c>
      <c r="H278" s="1">
        <f ca="1">IFERROR(__xludf.DUMMYFUNCTION("""COMPUTED_VALUE"""),12)</f>
        <v>12</v>
      </c>
      <c r="I278" s="1">
        <f ca="1">IFERROR(__xludf.DUMMYFUNCTION("""COMPUTED_VALUE"""),6)</f>
        <v>6</v>
      </c>
      <c r="J278" s="1">
        <f ca="1">IFERROR(__xludf.DUMMYFUNCTION("""COMPUTED_VALUE"""),16)</f>
        <v>16</v>
      </c>
      <c r="K278" s="1">
        <f ca="1">IFERROR(__xludf.DUMMYFUNCTION("""COMPUTED_VALUE"""),4)</f>
        <v>4</v>
      </c>
      <c r="L278" s="1">
        <f ca="1">IFERROR(__xludf.DUMMYFUNCTION("""COMPUTED_VALUE"""),4)</f>
        <v>4</v>
      </c>
      <c r="M278" s="1">
        <f ca="1">IFERROR(__xludf.DUMMYFUNCTION("""COMPUTED_VALUE"""),9)</f>
        <v>9</v>
      </c>
      <c r="N278" s="1">
        <f ca="1">IFERROR(__xludf.DUMMYFUNCTION("""COMPUTED_VALUE"""),2313)</f>
        <v>2313</v>
      </c>
      <c r="O278" s="1">
        <f ca="1">IFERROR(__xludf.DUMMYFUNCTION("""COMPUTED_VALUE"""),2142)</f>
        <v>2142</v>
      </c>
      <c r="P278" s="1">
        <f ca="1">IFERROR(__xludf.DUMMYFUNCTION("""COMPUTED_VALUE"""),1430)</f>
        <v>1430</v>
      </c>
      <c r="Q278" s="1">
        <f ca="1">IFERROR(__xludf.DUMMYFUNCTION("""COMPUTED_VALUE"""),834)</f>
        <v>834</v>
      </c>
      <c r="R278" s="1">
        <f ca="1">IFERROR(__xludf.DUMMYFUNCTION("""COMPUTED_VALUE"""),1821)</f>
        <v>1821</v>
      </c>
      <c r="S278" s="1">
        <f ca="1">IFERROR(__xludf.DUMMYFUNCTION("""COMPUTED_VALUE"""),0.458)</f>
        <v>0.45800000000000002</v>
      </c>
      <c r="T278" s="1">
        <f ca="1">IFERROR(__xludf.DUMMYFUNCTION("""COMPUTED_VALUE"""),231)</f>
        <v>231</v>
      </c>
      <c r="U278" s="1">
        <f ca="1">IFERROR(__xludf.DUMMYFUNCTION("""COMPUTED_VALUE"""),680)</f>
        <v>680</v>
      </c>
      <c r="V278" s="1">
        <f ca="1">IFERROR(__xludf.DUMMYFUNCTION("""COMPUTED_VALUE"""),0.34)</f>
        <v>0.34</v>
      </c>
      <c r="W278" s="1">
        <f ca="1">IFERROR(__xludf.DUMMYFUNCTION("""COMPUTED_VALUE"""),414)</f>
        <v>414</v>
      </c>
      <c r="X278" s="1">
        <f ca="1">IFERROR(__xludf.DUMMYFUNCTION("""COMPUTED_VALUE"""),600)</f>
        <v>600</v>
      </c>
      <c r="Y278" s="1">
        <f ca="1">IFERROR(__xludf.DUMMYFUNCTION("""COMPUTED_VALUE"""),0.69)</f>
        <v>0.69</v>
      </c>
      <c r="Z278" s="1">
        <f ca="1">IFERROR(__xludf.DUMMYFUNCTION("""COMPUTED_VALUE"""),240)</f>
        <v>240</v>
      </c>
      <c r="AA278" s="1">
        <f ca="1">IFERROR(__xludf.DUMMYFUNCTION("""COMPUTED_VALUE"""),1025)</f>
        <v>1025</v>
      </c>
      <c r="AB278" s="1">
        <f ca="1">IFERROR(__xludf.DUMMYFUNCTION("""COMPUTED_VALUE"""),469)</f>
        <v>469</v>
      </c>
      <c r="AC278" s="1">
        <f ca="1">IFERROR(__xludf.DUMMYFUNCTION("""COMPUTED_VALUE"""),242)</f>
        <v>242</v>
      </c>
      <c r="AD278" s="1">
        <f ca="1">IFERROR(__xludf.DUMMYFUNCTION("""COMPUTED_VALUE"""),116)</f>
        <v>116</v>
      </c>
      <c r="AE278" s="1">
        <f ca="1">IFERROR(__xludf.DUMMYFUNCTION("""COMPUTED_VALUE"""),346)</f>
        <v>346</v>
      </c>
      <c r="AF278" s="1">
        <f ca="1">IFERROR(__xludf.DUMMYFUNCTION("""COMPUTED_VALUE"""),595)</f>
        <v>595</v>
      </c>
    </row>
    <row r="279" spans="1:32" ht="12.5" x14ac:dyDescent="0.25">
      <c r="A279" s="1" t="str">
        <f ca="1">IFERROR(__xludf.DUMMYFUNCTION("""COMPUTED_VALUE"""),"Rider")</f>
        <v>Rider</v>
      </c>
      <c r="B279" s="1">
        <f ca="1">IFERROR(__xludf.DUMMYFUNCTION("""COMPUTED_VALUE"""),33)</f>
        <v>33</v>
      </c>
      <c r="C279" s="1">
        <f ca="1">IFERROR(__xludf.DUMMYFUNCTION("""COMPUTED_VALUE"""),21)</f>
        <v>21</v>
      </c>
      <c r="D279" s="1">
        <f ca="1">IFERROR(__xludf.DUMMYFUNCTION("""COMPUTED_VALUE"""),12)</f>
        <v>12</v>
      </c>
      <c r="E279" s="1">
        <f ca="1">IFERROR(__xludf.DUMMYFUNCTION("""COMPUTED_VALUE"""),0.636)</f>
        <v>0.63600000000000001</v>
      </c>
      <c r="F279" s="1">
        <f ca="1">IFERROR(__xludf.DUMMYFUNCTION("""COMPUTED_VALUE"""),-1.6)</f>
        <v>-1.6</v>
      </c>
      <c r="G279" s="1">
        <f ca="1">IFERROR(__xludf.DUMMYFUNCTION("""COMPUTED_VALUE"""),-3.11)</f>
        <v>-3.11</v>
      </c>
      <c r="H279" s="1">
        <f ca="1">IFERROR(__xludf.DUMMYFUNCTION("""COMPUTED_VALUE"""),15)</f>
        <v>15</v>
      </c>
      <c r="I279" s="1">
        <f ca="1">IFERROR(__xludf.DUMMYFUNCTION("""COMPUTED_VALUE"""),5)</f>
        <v>5</v>
      </c>
      <c r="J279" s="1">
        <f ca="1">IFERROR(__xludf.DUMMYFUNCTION("""COMPUTED_VALUE"""),10)</f>
        <v>10</v>
      </c>
      <c r="K279" s="1">
        <f ca="1">IFERROR(__xludf.DUMMYFUNCTION("""COMPUTED_VALUE"""),3)</f>
        <v>3</v>
      </c>
      <c r="L279" s="1">
        <f ca="1">IFERROR(__xludf.DUMMYFUNCTION("""COMPUTED_VALUE"""),11)</f>
        <v>11</v>
      </c>
      <c r="M279" s="1">
        <f ca="1">IFERROR(__xludf.DUMMYFUNCTION("""COMPUTED_VALUE"""),5)</f>
        <v>5</v>
      </c>
      <c r="N279" s="1">
        <f ca="1">IFERROR(__xludf.DUMMYFUNCTION("""COMPUTED_VALUE"""),2153)</f>
        <v>2153</v>
      </c>
      <c r="O279" s="1">
        <f ca="1">IFERROR(__xludf.DUMMYFUNCTION("""COMPUTED_VALUE"""),2103)</f>
        <v>2103</v>
      </c>
      <c r="P279" s="1">
        <f ca="1">IFERROR(__xludf.DUMMYFUNCTION("""COMPUTED_VALUE"""),1335)</f>
        <v>1335</v>
      </c>
      <c r="Q279" s="1">
        <f ca="1">IFERROR(__xludf.DUMMYFUNCTION("""COMPUTED_VALUE"""),784)</f>
        <v>784</v>
      </c>
      <c r="R279" s="1">
        <f ca="1">IFERROR(__xludf.DUMMYFUNCTION("""COMPUTED_VALUE"""),1790)</f>
        <v>1790</v>
      </c>
      <c r="S279" s="1">
        <f ca="1">IFERROR(__xludf.DUMMYFUNCTION("""COMPUTED_VALUE"""),0.438)</f>
        <v>0.438</v>
      </c>
      <c r="T279" s="1">
        <f ca="1">IFERROR(__xludf.DUMMYFUNCTION("""COMPUTED_VALUE"""),200)</f>
        <v>200</v>
      </c>
      <c r="U279" s="1">
        <f ca="1">IFERROR(__xludf.DUMMYFUNCTION("""COMPUTED_VALUE"""),599)</f>
        <v>599</v>
      </c>
      <c r="V279" s="1">
        <f ca="1">IFERROR(__xludf.DUMMYFUNCTION("""COMPUTED_VALUE"""),0.334)</f>
        <v>0.33400000000000002</v>
      </c>
      <c r="W279" s="1">
        <f ca="1">IFERROR(__xludf.DUMMYFUNCTION("""COMPUTED_VALUE"""),385)</f>
        <v>385</v>
      </c>
      <c r="X279" s="1">
        <f ca="1">IFERROR(__xludf.DUMMYFUNCTION("""COMPUTED_VALUE"""),638)</f>
        <v>638</v>
      </c>
      <c r="Y279" s="1">
        <f ca="1">IFERROR(__xludf.DUMMYFUNCTION("""COMPUTED_VALUE"""),0.603)</f>
        <v>0.60299999999999998</v>
      </c>
      <c r="Z279" s="1">
        <f ca="1">IFERROR(__xludf.DUMMYFUNCTION("""COMPUTED_VALUE"""),357)</f>
        <v>357</v>
      </c>
      <c r="AA279" s="1">
        <f ca="1">IFERROR(__xludf.DUMMYFUNCTION("""COMPUTED_VALUE"""),1131)</f>
        <v>1131</v>
      </c>
      <c r="AB279" s="1">
        <f ca="1">IFERROR(__xludf.DUMMYFUNCTION("""COMPUTED_VALUE"""),400)</f>
        <v>400</v>
      </c>
      <c r="AC279" s="1">
        <f ca="1">IFERROR(__xludf.DUMMYFUNCTION("""COMPUTED_VALUE"""),234)</f>
        <v>234</v>
      </c>
      <c r="AD279" s="1">
        <f ca="1">IFERROR(__xludf.DUMMYFUNCTION("""COMPUTED_VALUE"""),87)</f>
        <v>87</v>
      </c>
      <c r="AE279" s="1">
        <f ca="1">IFERROR(__xludf.DUMMYFUNCTION("""COMPUTED_VALUE"""),413)</f>
        <v>413</v>
      </c>
      <c r="AF279" s="1">
        <f ca="1">IFERROR(__xludf.DUMMYFUNCTION("""COMPUTED_VALUE"""),591)</f>
        <v>591</v>
      </c>
    </row>
    <row r="280" spans="1:32" ht="12.5" x14ac:dyDescent="0.25">
      <c r="A280" s="1" t="str">
        <f ca="1">IFERROR(__xludf.DUMMYFUNCTION("""COMPUTED_VALUE"""),"Robert MorrisNCAA")</f>
        <v>Robert MorrisNCAA</v>
      </c>
      <c r="B280" s="1">
        <f ca="1">IFERROR(__xludf.DUMMYFUNCTION("""COMPUTED_VALUE"""),35)</f>
        <v>35</v>
      </c>
      <c r="C280" s="1">
        <f ca="1">IFERROR(__xludf.DUMMYFUNCTION("""COMPUTED_VALUE"""),20)</f>
        <v>20</v>
      </c>
      <c r="D280" s="1">
        <f ca="1">IFERROR(__xludf.DUMMYFUNCTION("""COMPUTED_VALUE"""),15)</f>
        <v>15</v>
      </c>
      <c r="E280" s="1">
        <f ca="1">IFERROR(__xludf.DUMMYFUNCTION("""COMPUTED_VALUE"""),0.571)</f>
        <v>0.57099999999999995</v>
      </c>
      <c r="F280" s="1">
        <f ca="1">IFERROR(__xludf.DUMMYFUNCTION("""COMPUTED_VALUE"""),-3.02)</f>
        <v>-3.02</v>
      </c>
      <c r="G280" s="1">
        <f ca="1">IFERROR(__xludf.DUMMYFUNCTION("""COMPUTED_VALUE"""),-3.5)</f>
        <v>-3.5</v>
      </c>
      <c r="H280" s="1">
        <f ca="1">IFERROR(__xludf.DUMMYFUNCTION("""COMPUTED_VALUE"""),12)</f>
        <v>12</v>
      </c>
      <c r="I280" s="1">
        <f ca="1">IFERROR(__xludf.DUMMYFUNCTION("""COMPUTED_VALUE"""),6)</f>
        <v>6</v>
      </c>
      <c r="J280" s="1">
        <f ca="1">IFERROR(__xludf.DUMMYFUNCTION("""COMPUTED_VALUE"""),10)</f>
        <v>10</v>
      </c>
      <c r="K280" s="1">
        <f ca="1">IFERROR(__xludf.DUMMYFUNCTION("""COMPUTED_VALUE"""),6)</f>
        <v>6</v>
      </c>
      <c r="L280" s="1">
        <f ca="1">IFERROR(__xludf.DUMMYFUNCTION("""COMPUTED_VALUE"""),8)</f>
        <v>8</v>
      </c>
      <c r="M280" s="1">
        <f ca="1">IFERROR(__xludf.DUMMYFUNCTION("""COMPUTED_VALUE"""),8)</f>
        <v>8</v>
      </c>
      <c r="N280" s="1">
        <f ca="1">IFERROR(__xludf.DUMMYFUNCTION("""COMPUTED_VALUE"""),2414)</f>
        <v>2414</v>
      </c>
      <c r="O280" s="1">
        <f ca="1">IFERROR(__xludf.DUMMYFUNCTION("""COMPUTED_VALUE"""),2397)</f>
        <v>2397</v>
      </c>
      <c r="P280" s="1">
        <f ca="1">IFERROR(__xludf.DUMMYFUNCTION("""COMPUTED_VALUE"""),1410)</f>
        <v>1410</v>
      </c>
      <c r="Q280" s="1">
        <f ca="1">IFERROR(__xludf.DUMMYFUNCTION("""COMPUTED_VALUE"""),854)</f>
        <v>854</v>
      </c>
      <c r="R280" s="1">
        <f ca="1">IFERROR(__xludf.DUMMYFUNCTION("""COMPUTED_VALUE"""),1926)</f>
        <v>1926</v>
      </c>
      <c r="S280" s="1">
        <f ca="1">IFERROR(__xludf.DUMMYFUNCTION("""COMPUTED_VALUE"""),0.443)</f>
        <v>0.443</v>
      </c>
      <c r="T280" s="1">
        <f ca="1">IFERROR(__xludf.DUMMYFUNCTION("""COMPUTED_VALUE"""),221)</f>
        <v>221</v>
      </c>
      <c r="U280" s="1">
        <f ca="1">IFERROR(__xludf.DUMMYFUNCTION("""COMPUTED_VALUE"""),590)</f>
        <v>590</v>
      </c>
      <c r="V280" s="1">
        <f ca="1">IFERROR(__xludf.DUMMYFUNCTION("""COMPUTED_VALUE"""),0.375)</f>
        <v>0.375</v>
      </c>
      <c r="W280" s="1">
        <f ca="1">IFERROR(__xludf.DUMMYFUNCTION("""COMPUTED_VALUE"""),485)</f>
        <v>485</v>
      </c>
      <c r="X280" s="1">
        <f ca="1">IFERROR(__xludf.DUMMYFUNCTION("""COMPUTED_VALUE"""),684)</f>
        <v>684</v>
      </c>
      <c r="Y280" s="1">
        <f ca="1">IFERROR(__xludf.DUMMYFUNCTION("""COMPUTED_VALUE"""),0.709)</f>
        <v>0.70899999999999996</v>
      </c>
      <c r="Z280" s="1">
        <f ca="1">IFERROR(__xludf.DUMMYFUNCTION("""COMPUTED_VALUE"""),367)</f>
        <v>367</v>
      </c>
      <c r="AA280" s="1">
        <f ca="1">IFERROR(__xludf.DUMMYFUNCTION("""COMPUTED_VALUE"""),1162)</f>
        <v>1162</v>
      </c>
      <c r="AB280" s="1">
        <f ca="1">IFERROR(__xludf.DUMMYFUNCTION("""COMPUTED_VALUE"""),428)</f>
        <v>428</v>
      </c>
      <c r="AC280" s="1">
        <f ca="1">IFERROR(__xludf.DUMMYFUNCTION("""COMPUTED_VALUE"""),300)</f>
        <v>300</v>
      </c>
      <c r="AD280" s="1">
        <f ca="1">IFERROR(__xludf.DUMMYFUNCTION("""COMPUTED_VALUE"""),100)</f>
        <v>100</v>
      </c>
      <c r="AE280" s="1">
        <f ca="1">IFERROR(__xludf.DUMMYFUNCTION("""COMPUTED_VALUE"""),467)</f>
        <v>467</v>
      </c>
      <c r="AF280" s="1">
        <f ca="1">IFERROR(__xludf.DUMMYFUNCTION("""COMPUTED_VALUE"""),650)</f>
        <v>650</v>
      </c>
    </row>
    <row r="281" spans="1:32" ht="12.5" x14ac:dyDescent="0.25">
      <c r="A281" s="1" t="str">
        <f ca="1">IFERROR(__xludf.DUMMYFUNCTION("""COMPUTED_VALUE"""),"Rutgers")</f>
        <v>Rutgers</v>
      </c>
      <c r="B281" s="1">
        <f ca="1">IFERROR(__xludf.DUMMYFUNCTION("""COMPUTED_VALUE"""),32)</f>
        <v>32</v>
      </c>
      <c r="C281" s="1">
        <f ca="1">IFERROR(__xludf.DUMMYFUNCTION("""COMPUTED_VALUE"""),10)</f>
        <v>10</v>
      </c>
      <c r="D281" s="1">
        <f ca="1">IFERROR(__xludf.DUMMYFUNCTION("""COMPUTED_VALUE"""),22)</f>
        <v>22</v>
      </c>
      <c r="E281" s="1">
        <f ca="1">IFERROR(__xludf.DUMMYFUNCTION("""COMPUTED_VALUE"""),0.313)</f>
        <v>0.313</v>
      </c>
      <c r="F281" s="1">
        <f ca="1">IFERROR(__xludf.DUMMYFUNCTION("""COMPUTED_VALUE"""),0.23)</f>
        <v>0.23</v>
      </c>
      <c r="G281" s="1">
        <f ca="1">IFERROR(__xludf.DUMMYFUNCTION("""COMPUTED_VALUE"""),8.11)</f>
        <v>8.11</v>
      </c>
      <c r="H281" s="1">
        <f ca="1">IFERROR(__xludf.DUMMYFUNCTION("""COMPUTED_VALUE"""),2)</f>
        <v>2</v>
      </c>
      <c r="I281" s="1">
        <f ca="1">IFERROR(__xludf.DUMMYFUNCTION("""COMPUTED_VALUE"""),16)</f>
        <v>16</v>
      </c>
      <c r="J281" s="1">
        <f ca="1">IFERROR(__xludf.DUMMYFUNCTION("""COMPUTED_VALUE"""),6)</f>
        <v>6</v>
      </c>
      <c r="K281" s="1">
        <f ca="1">IFERROR(__xludf.DUMMYFUNCTION("""COMPUTED_VALUE"""),10)</f>
        <v>10</v>
      </c>
      <c r="L281" s="1">
        <f ca="1">IFERROR(__xludf.DUMMYFUNCTION("""COMPUTED_VALUE"""),2)</f>
        <v>2</v>
      </c>
      <c r="M281" s="1">
        <f ca="1">IFERROR(__xludf.DUMMYFUNCTION("""COMPUTED_VALUE"""),10)</f>
        <v>10</v>
      </c>
      <c r="N281" s="1">
        <f ca="1">IFERROR(__xludf.DUMMYFUNCTION("""COMPUTED_VALUE"""),1898)</f>
        <v>1898</v>
      </c>
      <c r="O281" s="1">
        <f ca="1">IFERROR(__xludf.DUMMYFUNCTION("""COMPUTED_VALUE"""),2150)</f>
        <v>2150</v>
      </c>
      <c r="P281" s="1">
        <f ca="1">IFERROR(__xludf.DUMMYFUNCTION("""COMPUTED_VALUE"""),1280)</f>
        <v>1280</v>
      </c>
      <c r="Q281" s="1">
        <f ca="1">IFERROR(__xludf.DUMMYFUNCTION("""COMPUTED_VALUE"""),687)</f>
        <v>687</v>
      </c>
      <c r="R281" s="1">
        <f ca="1">IFERROR(__xludf.DUMMYFUNCTION("""COMPUTED_VALUE"""),1751)</f>
        <v>1751</v>
      </c>
      <c r="S281" s="1">
        <f ca="1">IFERROR(__xludf.DUMMYFUNCTION("""COMPUTED_VALUE"""),0.392)</f>
        <v>0.39200000000000002</v>
      </c>
      <c r="T281" s="1">
        <f ca="1">IFERROR(__xludf.DUMMYFUNCTION("""COMPUTED_VALUE"""),152)</f>
        <v>152</v>
      </c>
      <c r="U281" s="1">
        <f ca="1">IFERROR(__xludf.DUMMYFUNCTION("""COMPUTED_VALUE"""),515)</f>
        <v>515</v>
      </c>
      <c r="V281" s="1">
        <f ca="1">IFERROR(__xludf.DUMMYFUNCTION("""COMPUTED_VALUE"""),0.295)</f>
        <v>0.29499999999999998</v>
      </c>
      <c r="W281" s="1">
        <f ca="1">IFERROR(__xludf.DUMMYFUNCTION("""COMPUTED_VALUE"""),372)</f>
        <v>372</v>
      </c>
      <c r="X281" s="1">
        <f ca="1">IFERROR(__xludf.DUMMYFUNCTION("""COMPUTED_VALUE"""),570)</f>
        <v>570</v>
      </c>
      <c r="Y281" s="1">
        <f ca="1">IFERROR(__xludf.DUMMYFUNCTION("""COMPUTED_VALUE"""),0.653)</f>
        <v>0.65300000000000002</v>
      </c>
      <c r="Z281" s="1">
        <f ca="1">IFERROR(__xludf.DUMMYFUNCTION("""COMPUTED_VALUE"""),359)</f>
        <v>359</v>
      </c>
      <c r="AA281" s="1">
        <f ca="1">IFERROR(__xludf.DUMMYFUNCTION("""COMPUTED_VALUE"""),1118)</f>
        <v>1118</v>
      </c>
      <c r="AB281" s="1">
        <f ca="1">IFERROR(__xludf.DUMMYFUNCTION("""COMPUTED_VALUE"""),343)</f>
        <v>343</v>
      </c>
      <c r="AC281" s="1">
        <f ca="1">IFERROR(__xludf.DUMMYFUNCTION("""COMPUTED_VALUE"""),178)</f>
        <v>178</v>
      </c>
      <c r="AD281" s="1">
        <f ca="1">IFERROR(__xludf.DUMMYFUNCTION("""COMPUTED_VALUE"""),118)</f>
        <v>118</v>
      </c>
      <c r="AE281" s="1">
        <f ca="1">IFERROR(__xludf.DUMMYFUNCTION("""COMPUTED_VALUE"""),417)</f>
        <v>417</v>
      </c>
      <c r="AF281" s="1">
        <f ca="1">IFERROR(__xludf.DUMMYFUNCTION("""COMPUTED_VALUE"""),530)</f>
        <v>530</v>
      </c>
    </row>
    <row r="282" spans="1:32" ht="12.5" x14ac:dyDescent="0.25">
      <c r="A282" s="1" t="str">
        <f ca="1">IFERROR(__xludf.DUMMYFUNCTION("""COMPUTED_VALUE"""),"Sacramento State")</f>
        <v>Sacramento State</v>
      </c>
      <c r="B282" s="1">
        <f ca="1">IFERROR(__xludf.DUMMYFUNCTION("""COMPUTED_VALUE"""),33)</f>
        <v>33</v>
      </c>
      <c r="C282" s="1">
        <f ca="1">IFERROR(__xludf.DUMMYFUNCTION("""COMPUTED_VALUE"""),21)</f>
        <v>21</v>
      </c>
      <c r="D282" s="1">
        <f ca="1">IFERROR(__xludf.DUMMYFUNCTION("""COMPUTED_VALUE"""),12)</f>
        <v>12</v>
      </c>
      <c r="E282" s="1">
        <f ca="1">IFERROR(__xludf.DUMMYFUNCTION("""COMPUTED_VALUE"""),0.636)</f>
        <v>0.63600000000000001</v>
      </c>
      <c r="F282" s="1">
        <f ca="1">IFERROR(__xludf.DUMMYFUNCTION("""COMPUTED_VALUE"""),-4.62)</f>
        <v>-4.62</v>
      </c>
      <c r="G282" s="1">
        <f ca="1">IFERROR(__xludf.DUMMYFUNCTION("""COMPUTED_VALUE"""),-5.45)</f>
        <v>-5.45</v>
      </c>
      <c r="H282" s="1">
        <f ca="1">IFERROR(__xludf.DUMMYFUNCTION("""COMPUTED_VALUE"""),13)</f>
        <v>13</v>
      </c>
      <c r="I282" s="1">
        <f ca="1">IFERROR(__xludf.DUMMYFUNCTION("""COMPUTED_VALUE"""),5)</f>
        <v>5</v>
      </c>
      <c r="J282" s="1">
        <f ca="1">IFERROR(__xludf.DUMMYFUNCTION("""COMPUTED_VALUE"""),13)</f>
        <v>13</v>
      </c>
      <c r="K282" s="1">
        <f ca="1">IFERROR(__xludf.DUMMYFUNCTION("""COMPUTED_VALUE"""),2)</f>
        <v>2</v>
      </c>
      <c r="L282" s="1">
        <f ca="1">IFERROR(__xludf.DUMMYFUNCTION("""COMPUTED_VALUE"""),7)</f>
        <v>7</v>
      </c>
      <c r="M282" s="1">
        <f ca="1">IFERROR(__xludf.DUMMYFUNCTION("""COMPUTED_VALUE"""),9)</f>
        <v>9</v>
      </c>
      <c r="N282" s="1">
        <f ca="1">IFERROR(__xludf.DUMMYFUNCTION("""COMPUTED_VALUE"""),2342)</f>
        <v>2342</v>
      </c>
      <c r="O282" s="1">
        <f ca="1">IFERROR(__xludf.DUMMYFUNCTION("""COMPUTED_VALUE"""),2250)</f>
        <v>2250</v>
      </c>
      <c r="P282" s="1">
        <f ca="1">IFERROR(__xludf.DUMMYFUNCTION("""COMPUTED_VALUE"""),1320)</f>
        <v>1320</v>
      </c>
      <c r="Q282" s="1">
        <f ca="1">IFERROR(__xludf.DUMMYFUNCTION("""COMPUTED_VALUE"""),841)</f>
        <v>841</v>
      </c>
      <c r="R282" s="1">
        <f ca="1">IFERROR(__xludf.DUMMYFUNCTION("""COMPUTED_VALUE"""),1729)</f>
        <v>1729</v>
      </c>
      <c r="S282" s="1">
        <f ca="1">IFERROR(__xludf.DUMMYFUNCTION("""COMPUTED_VALUE"""),0.486)</f>
        <v>0.48599999999999999</v>
      </c>
      <c r="T282" s="1">
        <f ca="1">IFERROR(__xludf.DUMMYFUNCTION("""COMPUTED_VALUE"""),208)</f>
        <v>208</v>
      </c>
      <c r="U282" s="1">
        <f ca="1">IFERROR(__xludf.DUMMYFUNCTION("""COMPUTED_VALUE"""),510)</f>
        <v>510</v>
      </c>
      <c r="V282" s="1">
        <f ca="1">IFERROR(__xludf.DUMMYFUNCTION("""COMPUTED_VALUE"""),0.408)</f>
        <v>0.40799999999999997</v>
      </c>
      <c r="W282" s="1">
        <f ca="1">IFERROR(__xludf.DUMMYFUNCTION("""COMPUTED_VALUE"""),452)</f>
        <v>452</v>
      </c>
      <c r="X282" s="1">
        <f ca="1">IFERROR(__xludf.DUMMYFUNCTION("""COMPUTED_VALUE"""),614)</f>
        <v>614</v>
      </c>
      <c r="Y282" s="1">
        <f ca="1">IFERROR(__xludf.DUMMYFUNCTION("""COMPUTED_VALUE"""),0.736)</f>
        <v>0.73599999999999999</v>
      </c>
      <c r="Z282" s="1">
        <f ca="1">IFERROR(__xludf.DUMMYFUNCTION("""COMPUTED_VALUE"""),276)</f>
        <v>276</v>
      </c>
      <c r="AA282" s="1">
        <f ca="1">IFERROR(__xludf.DUMMYFUNCTION("""COMPUTED_VALUE"""),974)</f>
        <v>974</v>
      </c>
      <c r="AB282" s="1">
        <f ca="1">IFERROR(__xludf.DUMMYFUNCTION("""COMPUTED_VALUE"""),466)</f>
        <v>466</v>
      </c>
      <c r="AC282" s="1">
        <f ca="1">IFERROR(__xludf.DUMMYFUNCTION("""COMPUTED_VALUE"""),231)</f>
        <v>231</v>
      </c>
      <c r="AD282" s="1">
        <f ca="1">IFERROR(__xludf.DUMMYFUNCTION("""COMPUTED_VALUE"""),78)</f>
        <v>78</v>
      </c>
      <c r="AE282" s="1">
        <f ca="1">IFERROR(__xludf.DUMMYFUNCTION("""COMPUTED_VALUE"""),355)</f>
        <v>355</v>
      </c>
      <c r="AF282" s="1">
        <f ca="1">IFERROR(__xludf.DUMMYFUNCTION("""COMPUTED_VALUE"""),563)</f>
        <v>563</v>
      </c>
    </row>
    <row r="283" spans="1:32" ht="12.5" x14ac:dyDescent="0.25">
      <c r="A283" s="1" t="str">
        <f ca="1">IFERROR(__xludf.DUMMYFUNCTION("""COMPUTED_VALUE"""),"Sacred Heart")</f>
        <v>Sacred Heart</v>
      </c>
      <c r="B283" s="1">
        <f ca="1">IFERROR(__xludf.DUMMYFUNCTION("""COMPUTED_VALUE"""),32)</f>
        <v>32</v>
      </c>
      <c r="C283" s="1">
        <f ca="1">IFERROR(__xludf.DUMMYFUNCTION("""COMPUTED_VALUE"""),15)</f>
        <v>15</v>
      </c>
      <c r="D283" s="1">
        <f ca="1">IFERROR(__xludf.DUMMYFUNCTION("""COMPUTED_VALUE"""),17)</f>
        <v>17</v>
      </c>
      <c r="E283" s="1">
        <f ca="1">IFERROR(__xludf.DUMMYFUNCTION("""COMPUTED_VALUE"""),0.469)</f>
        <v>0.46899999999999997</v>
      </c>
      <c r="F283" s="1">
        <f ca="1">IFERROR(__xludf.DUMMYFUNCTION("""COMPUTED_VALUE"""),-7.36)</f>
        <v>-7.36</v>
      </c>
      <c r="G283" s="1">
        <f ca="1">IFERROR(__xludf.DUMMYFUNCTION("""COMPUTED_VALUE"""),-5.97)</f>
        <v>-5.97</v>
      </c>
      <c r="H283" s="1">
        <f ca="1">IFERROR(__xludf.DUMMYFUNCTION("""COMPUTED_VALUE"""),9)</f>
        <v>9</v>
      </c>
      <c r="I283" s="1">
        <f ca="1">IFERROR(__xludf.DUMMYFUNCTION("""COMPUTED_VALUE"""),9)</f>
        <v>9</v>
      </c>
      <c r="J283" s="1">
        <f ca="1">IFERROR(__xludf.DUMMYFUNCTION("""COMPUTED_VALUE"""),10)</f>
        <v>10</v>
      </c>
      <c r="K283" s="1">
        <f ca="1">IFERROR(__xludf.DUMMYFUNCTION("""COMPUTED_VALUE"""),5)</f>
        <v>5</v>
      </c>
      <c r="L283" s="1">
        <f ca="1">IFERROR(__xludf.DUMMYFUNCTION("""COMPUTED_VALUE"""),4)</f>
        <v>4</v>
      </c>
      <c r="M283" s="1">
        <f ca="1">IFERROR(__xludf.DUMMYFUNCTION("""COMPUTED_VALUE"""),12)</f>
        <v>12</v>
      </c>
      <c r="N283" s="1">
        <f ca="1">IFERROR(__xludf.DUMMYFUNCTION("""COMPUTED_VALUE"""),2360)</f>
        <v>2360</v>
      </c>
      <c r="O283" s="1">
        <f ca="1">IFERROR(__xludf.DUMMYFUNCTION("""COMPUTED_VALUE"""),2367)</f>
        <v>2367</v>
      </c>
      <c r="P283" s="1">
        <f ca="1">IFERROR(__xludf.DUMMYFUNCTION("""COMPUTED_VALUE"""),1315)</f>
        <v>1315</v>
      </c>
      <c r="Q283" s="1">
        <f ca="1">IFERROR(__xludf.DUMMYFUNCTION("""COMPUTED_VALUE"""),874)</f>
        <v>874</v>
      </c>
      <c r="R283" s="1">
        <f ca="1">IFERROR(__xludf.DUMMYFUNCTION("""COMPUTED_VALUE"""),1911)</f>
        <v>1911</v>
      </c>
      <c r="S283" s="1">
        <f ca="1">IFERROR(__xludf.DUMMYFUNCTION("""COMPUTED_VALUE"""),0.457)</f>
        <v>0.45700000000000002</v>
      </c>
      <c r="T283" s="1">
        <f ca="1">IFERROR(__xludf.DUMMYFUNCTION("""COMPUTED_VALUE"""),169)</f>
        <v>169</v>
      </c>
      <c r="U283" s="1">
        <f ca="1">IFERROR(__xludf.DUMMYFUNCTION("""COMPUTED_VALUE"""),529)</f>
        <v>529</v>
      </c>
      <c r="V283" s="1">
        <f ca="1">IFERROR(__xludf.DUMMYFUNCTION("""COMPUTED_VALUE"""),0.319)</f>
        <v>0.31900000000000001</v>
      </c>
      <c r="W283" s="1">
        <f ca="1">IFERROR(__xludf.DUMMYFUNCTION("""COMPUTED_VALUE"""),443)</f>
        <v>443</v>
      </c>
      <c r="X283" s="1">
        <f ca="1">IFERROR(__xludf.DUMMYFUNCTION("""COMPUTED_VALUE"""),685)</f>
        <v>685</v>
      </c>
      <c r="Y283" s="1">
        <f ca="1">IFERROR(__xludf.DUMMYFUNCTION("""COMPUTED_VALUE"""),0.647)</f>
        <v>0.64700000000000002</v>
      </c>
      <c r="Z283" s="1">
        <f ca="1">IFERROR(__xludf.DUMMYFUNCTION("""COMPUTED_VALUE"""),401)</f>
        <v>401</v>
      </c>
      <c r="AA283" s="1">
        <f ca="1">IFERROR(__xludf.DUMMYFUNCTION("""COMPUTED_VALUE"""),1225)</f>
        <v>1225</v>
      </c>
      <c r="AB283" s="1">
        <f ca="1">IFERROR(__xludf.DUMMYFUNCTION("""COMPUTED_VALUE"""),469)</f>
        <v>469</v>
      </c>
      <c r="AC283" s="1">
        <f ca="1">IFERROR(__xludf.DUMMYFUNCTION("""COMPUTED_VALUE"""),210)</f>
        <v>210</v>
      </c>
      <c r="AD283" s="1">
        <f ca="1">IFERROR(__xludf.DUMMYFUNCTION("""COMPUTED_VALUE"""),110)</f>
        <v>110</v>
      </c>
      <c r="AE283" s="1">
        <f ca="1">IFERROR(__xludf.DUMMYFUNCTION("""COMPUTED_VALUE"""),439)</f>
        <v>439</v>
      </c>
      <c r="AF283" s="1">
        <f ca="1">IFERROR(__xludf.DUMMYFUNCTION("""COMPUTED_VALUE"""),588)</f>
        <v>588</v>
      </c>
    </row>
    <row r="284" spans="1:32" ht="12.5" x14ac:dyDescent="0.25">
      <c r="A284" s="1" t="str">
        <f ca="1">IFERROR(__xludf.DUMMYFUNCTION("""COMPUTED_VALUE"""),"Saint Francis (PA)")</f>
        <v>Saint Francis (PA)</v>
      </c>
      <c r="B284" s="1">
        <f ca="1">IFERROR(__xludf.DUMMYFUNCTION("""COMPUTED_VALUE"""),32)</f>
        <v>32</v>
      </c>
      <c r="C284" s="1">
        <f ca="1">IFERROR(__xludf.DUMMYFUNCTION("""COMPUTED_VALUE"""),16)</f>
        <v>16</v>
      </c>
      <c r="D284" s="1">
        <f ca="1">IFERROR(__xludf.DUMMYFUNCTION("""COMPUTED_VALUE"""),16)</f>
        <v>16</v>
      </c>
      <c r="E284" s="1">
        <f ca="1">IFERROR(__xludf.DUMMYFUNCTION("""COMPUTED_VALUE"""),0.5)</f>
        <v>0.5</v>
      </c>
      <c r="F284" s="1">
        <f ca="1">IFERROR(__xludf.DUMMYFUNCTION("""COMPUTED_VALUE"""),-5.68)</f>
        <v>-5.68</v>
      </c>
      <c r="G284" s="1">
        <f ca="1">IFERROR(__xludf.DUMMYFUNCTION("""COMPUTED_VALUE"""),-4.97)</f>
        <v>-4.97</v>
      </c>
      <c r="H284" s="1">
        <f ca="1">IFERROR(__xludf.DUMMYFUNCTION("""COMPUTED_VALUE"""),9)</f>
        <v>9</v>
      </c>
      <c r="I284" s="1">
        <f ca="1">IFERROR(__xludf.DUMMYFUNCTION("""COMPUTED_VALUE"""),9)</f>
        <v>9</v>
      </c>
      <c r="J284" s="1">
        <f ca="1">IFERROR(__xludf.DUMMYFUNCTION("""COMPUTED_VALUE"""),10)</f>
        <v>10</v>
      </c>
      <c r="K284" s="1">
        <f ca="1">IFERROR(__xludf.DUMMYFUNCTION("""COMPUTED_VALUE"""),3)</f>
        <v>3</v>
      </c>
      <c r="L284" s="1">
        <f ca="1">IFERROR(__xludf.DUMMYFUNCTION("""COMPUTED_VALUE"""),6)</f>
        <v>6</v>
      </c>
      <c r="M284" s="1">
        <f ca="1">IFERROR(__xludf.DUMMYFUNCTION("""COMPUTED_VALUE"""),13)</f>
        <v>13</v>
      </c>
      <c r="N284" s="1">
        <f ca="1">IFERROR(__xludf.DUMMYFUNCTION("""COMPUTED_VALUE"""),2061)</f>
        <v>2061</v>
      </c>
      <c r="O284" s="1">
        <f ca="1">IFERROR(__xludf.DUMMYFUNCTION("""COMPUTED_VALUE"""),2050)</f>
        <v>2050</v>
      </c>
      <c r="P284" s="1">
        <f ca="1">IFERROR(__xludf.DUMMYFUNCTION("""COMPUTED_VALUE"""),1290)</f>
        <v>1290</v>
      </c>
      <c r="Q284" s="1">
        <f ca="1">IFERROR(__xludf.DUMMYFUNCTION("""COMPUTED_VALUE"""),724)</f>
        <v>724</v>
      </c>
      <c r="R284" s="1">
        <f ca="1">IFERROR(__xludf.DUMMYFUNCTION("""COMPUTED_VALUE"""),1653)</f>
        <v>1653</v>
      </c>
      <c r="S284" s="1">
        <f ca="1">IFERROR(__xludf.DUMMYFUNCTION("""COMPUTED_VALUE"""),0.438)</f>
        <v>0.438</v>
      </c>
      <c r="T284" s="1">
        <f ca="1">IFERROR(__xludf.DUMMYFUNCTION("""COMPUTED_VALUE"""),226)</f>
        <v>226</v>
      </c>
      <c r="U284" s="1">
        <f ca="1">IFERROR(__xludf.DUMMYFUNCTION("""COMPUTED_VALUE"""),677)</f>
        <v>677</v>
      </c>
      <c r="V284" s="1">
        <f ca="1">IFERROR(__xludf.DUMMYFUNCTION("""COMPUTED_VALUE"""),0.334)</f>
        <v>0.33400000000000002</v>
      </c>
      <c r="W284" s="1">
        <f ca="1">IFERROR(__xludf.DUMMYFUNCTION("""COMPUTED_VALUE"""),387)</f>
        <v>387</v>
      </c>
      <c r="X284" s="1">
        <f ca="1">IFERROR(__xludf.DUMMYFUNCTION("""COMPUTED_VALUE"""),576)</f>
        <v>576</v>
      </c>
      <c r="Y284" s="1">
        <f ca="1">IFERROR(__xludf.DUMMYFUNCTION("""COMPUTED_VALUE"""),0.672)</f>
        <v>0.67200000000000004</v>
      </c>
      <c r="Z284" s="1">
        <f ca="1">IFERROR(__xludf.DUMMYFUNCTION("""COMPUTED_VALUE"""),267)</f>
        <v>267</v>
      </c>
      <c r="AA284" s="1">
        <f ca="1">IFERROR(__xludf.DUMMYFUNCTION("""COMPUTED_VALUE"""),998)</f>
        <v>998</v>
      </c>
      <c r="AB284" s="1">
        <f ca="1">IFERROR(__xludf.DUMMYFUNCTION("""COMPUTED_VALUE"""),376)</f>
        <v>376</v>
      </c>
      <c r="AC284" s="1">
        <f ca="1">IFERROR(__xludf.DUMMYFUNCTION("""COMPUTED_VALUE"""),209)</f>
        <v>209</v>
      </c>
      <c r="AD284" s="1">
        <f ca="1">IFERROR(__xludf.DUMMYFUNCTION("""COMPUTED_VALUE"""),83)</f>
        <v>83</v>
      </c>
      <c r="AE284" s="1">
        <f ca="1">IFERROR(__xludf.DUMMYFUNCTION("""COMPUTED_VALUE"""),398)</f>
        <v>398</v>
      </c>
      <c r="AF284" s="1">
        <f ca="1">IFERROR(__xludf.DUMMYFUNCTION("""COMPUTED_VALUE"""),507)</f>
        <v>507</v>
      </c>
    </row>
    <row r="285" spans="1:32" ht="12.5" x14ac:dyDescent="0.25">
      <c r="A285" s="1" t="str">
        <f ca="1">IFERROR(__xludf.DUMMYFUNCTION("""COMPUTED_VALUE"""),"Saint Joseph's")</f>
        <v>Saint Joseph's</v>
      </c>
      <c r="B285" s="1">
        <f ca="1">IFERROR(__xludf.DUMMYFUNCTION("""COMPUTED_VALUE"""),31)</f>
        <v>31</v>
      </c>
      <c r="C285" s="1">
        <f ca="1">IFERROR(__xludf.DUMMYFUNCTION("""COMPUTED_VALUE"""),13)</f>
        <v>13</v>
      </c>
      <c r="D285" s="1">
        <f ca="1">IFERROR(__xludf.DUMMYFUNCTION("""COMPUTED_VALUE"""),18)</f>
        <v>18</v>
      </c>
      <c r="E285" s="1">
        <f ca="1">IFERROR(__xludf.DUMMYFUNCTION("""COMPUTED_VALUE"""),0.419)</f>
        <v>0.41899999999999998</v>
      </c>
      <c r="F285" s="1">
        <f ca="1">IFERROR(__xludf.DUMMYFUNCTION("""COMPUTED_VALUE"""),-0.23)</f>
        <v>-0.23</v>
      </c>
      <c r="G285" s="1">
        <f ca="1">IFERROR(__xludf.DUMMYFUNCTION("""COMPUTED_VALUE"""),2.58)</f>
        <v>2.58</v>
      </c>
      <c r="H285" s="1">
        <f ca="1">IFERROR(__xludf.DUMMYFUNCTION("""COMPUTED_VALUE"""),7)</f>
        <v>7</v>
      </c>
      <c r="I285" s="1">
        <f ca="1">IFERROR(__xludf.DUMMYFUNCTION("""COMPUTED_VALUE"""),11)</f>
        <v>11</v>
      </c>
      <c r="J285" s="1">
        <f ca="1">IFERROR(__xludf.DUMMYFUNCTION("""COMPUTED_VALUE"""),10)</f>
        <v>10</v>
      </c>
      <c r="K285" s="1">
        <f ca="1">IFERROR(__xludf.DUMMYFUNCTION("""COMPUTED_VALUE"""),5)</f>
        <v>5</v>
      </c>
      <c r="L285" s="1">
        <f ca="1">IFERROR(__xludf.DUMMYFUNCTION("""COMPUTED_VALUE"""),3)</f>
        <v>3</v>
      </c>
      <c r="M285" s="1">
        <f ca="1">IFERROR(__xludf.DUMMYFUNCTION("""COMPUTED_VALUE"""),11)</f>
        <v>11</v>
      </c>
      <c r="N285" s="1">
        <f ca="1">IFERROR(__xludf.DUMMYFUNCTION("""COMPUTED_VALUE"""),1912)</f>
        <v>1912</v>
      </c>
      <c r="O285" s="1">
        <f ca="1">IFERROR(__xludf.DUMMYFUNCTION("""COMPUTED_VALUE"""),1999)</f>
        <v>1999</v>
      </c>
      <c r="P285" s="1">
        <f ca="1">IFERROR(__xludf.DUMMYFUNCTION("""COMPUTED_VALUE"""),1260)</f>
        <v>1260</v>
      </c>
      <c r="Q285" s="1">
        <f ca="1">IFERROR(__xludf.DUMMYFUNCTION("""COMPUTED_VALUE"""),688)</f>
        <v>688</v>
      </c>
      <c r="R285" s="1">
        <f ca="1">IFERROR(__xludf.DUMMYFUNCTION("""COMPUTED_VALUE"""),1704)</f>
        <v>1704</v>
      </c>
      <c r="S285" s="1">
        <f ca="1">IFERROR(__xludf.DUMMYFUNCTION("""COMPUTED_VALUE"""),0.404)</f>
        <v>0.40400000000000003</v>
      </c>
      <c r="T285" s="1">
        <f ca="1">IFERROR(__xludf.DUMMYFUNCTION("""COMPUTED_VALUE"""),167)</f>
        <v>167</v>
      </c>
      <c r="U285" s="1">
        <f ca="1">IFERROR(__xludf.DUMMYFUNCTION("""COMPUTED_VALUE"""),559)</f>
        <v>559</v>
      </c>
      <c r="V285" s="1">
        <f ca="1">IFERROR(__xludf.DUMMYFUNCTION("""COMPUTED_VALUE"""),0.299)</f>
        <v>0.29899999999999999</v>
      </c>
      <c r="W285" s="1">
        <f ca="1">IFERROR(__xludf.DUMMYFUNCTION("""COMPUTED_VALUE"""),369)</f>
        <v>369</v>
      </c>
      <c r="X285" s="1">
        <f ca="1">IFERROR(__xludf.DUMMYFUNCTION("""COMPUTED_VALUE"""),600)</f>
        <v>600</v>
      </c>
      <c r="Y285" s="1">
        <f ca="1">IFERROR(__xludf.DUMMYFUNCTION("""COMPUTED_VALUE"""),0.615)</f>
        <v>0.61499999999999999</v>
      </c>
      <c r="Z285" s="1">
        <f ca="1">IFERROR(__xludf.DUMMYFUNCTION("""COMPUTED_VALUE"""),352)</f>
        <v>352</v>
      </c>
      <c r="AA285" s="1">
        <f ca="1">IFERROR(__xludf.DUMMYFUNCTION("""COMPUTED_VALUE"""),1099)</f>
        <v>1099</v>
      </c>
      <c r="AB285" s="1">
        <f ca="1">IFERROR(__xludf.DUMMYFUNCTION("""COMPUTED_VALUE"""),394)</f>
        <v>394</v>
      </c>
      <c r="AC285" s="1">
        <f ca="1">IFERROR(__xludf.DUMMYFUNCTION("""COMPUTED_VALUE"""),205)</f>
        <v>205</v>
      </c>
      <c r="AD285" s="1">
        <f ca="1">IFERROR(__xludf.DUMMYFUNCTION("""COMPUTED_VALUE"""),135)</f>
        <v>135</v>
      </c>
      <c r="AE285" s="1">
        <f ca="1">IFERROR(__xludf.DUMMYFUNCTION("""COMPUTED_VALUE"""),387)</f>
        <v>387</v>
      </c>
      <c r="AF285" s="1">
        <f ca="1">IFERROR(__xludf.DUMMYFUNCTION("""COMPUTED_VALUE"""),523)</f>
        <v>523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IFERROR(__xludf.DUMMYFUNCTION("""COMPUTED_VALUE"""),"Saint Louis")</f>
        <v>Saint Louis</v>
      </c>
      <c r="B288" s="1">
        <f ca="1">IFERROR(__xludf.DUMMYFUNCTION("""COMPUTED_VALUE"""),32)</f>
        <v>32</v>
      </c>
      <c r="C288" s="1">
        <f ca="1">IFERROR(__xludf.DUMMYFUNCTION("""COMPUTED_VALUE"""),11)</f>
        <v>11</v>
      </c>
      <c r="D288" s="1">
        <f ca="1">IFERROR(__xludf.DUMMYFUNCTION("""COMPUTED_VALUE"""),21)</f>
        <v>21</v>
      </c>
      <c r="E288" s="1">
        <f ca="1">IFERROR(__xludf.DUMMYFUNCTION("""COMPUTED_VALUE"""),0.344)</f>
        <v>0.34399999999999997</v>
      </c>
      <c r="F288" s="1">
        <f ca="1">IFERROR(__xludf.DUMMYFUNCTION("""COMPUTED_VALUE"""),-5.38)</f>
        <v>-5.38</v>
      </c>
      <c r="G288" s="1">
        <f ca="1">IFERROR(__xludf.DUMMYFUNCTION("""COMPUTED_VALUE"""),2.43)</f>
        <v>2.4300000000000002</v>
      </c>
      <c r="H288" s="1">
        <f ca="1">IFERROR(__xludf.DUMMYFUNCTION("""COMPUTED_VALUE"""),3)</f>
        <v>3</v>
      </c>
      <c r="I288" s="1">
        <f ca="1">IFERROR(__xludf.DUMMYFUNCTION("""COMPUTED_VALUE"""),15)</f>
        <v>15</v>
      </c>
      <c r="J288" s="1">
        <f ca="1">IFERROR(__xludf.DUMMYFUNCTION("""COMPUTED_VALUE"""),9)</f>
        <v>9</v>
      </c>
      <c r="K288" s="1">
        <f ca="1">IFERROR(__xludf.DUMMYFUNCTION("""COMPUTED_VALUE"""),9)</f>
        <v>9</v>
      </c>
      <c r="L288" s="1">
        <f ca="1">IFERROR(__xludf.DUMMYFUNCTION("""COMPUTED_VALUE"""),1)</f>
        <v>1</v>
      </c>
      <c r="M288" s="1">
        <f ca="1">IFERROR(__xludf.DUMMYFUNCTION("""COMPUTED_VALUE"""),10)</f>
        <v>10</v>
      </c>
      <c r="N288" s="1">
        <f ca="1">IFERROR(__xludf.DUMMYFUNCTION("""COMPUTED_VALUE"""),1912)</f>
        <v>1912</v>
      </c>
      <c r="O288" s="1">
        <f ca="1">IFERROR(__xludf.DUMMYFUNCTION("""COMPUTED_VALUE"""),2122)</f>
        <v>2122</v>
      </c>
      <c r="P288" s="1">
        <f ca="1">IFERROR(__xludf.DUMMYFUNCTION("""COMPUTED_VALUE"""),1290)</f>
        <v>1290</v>
      </c>
      <c r="Q288" s="1">
        <f ca="1">IFERROR(__xludf.DUMMYFUNCTION("""COMPUTED_VALUE"""),652)</f>
        <v>652</v>
      </c>
      <c r="R288" s="1">
        <f ca="1">IFERROR(__xludf.DUMMYFUNCTION("""COMPUTED_VALUE"""),1587)</f>
        <v>1587</v>
      </c>
      <c r="S288" s="1">
        <f ca="1">IFERROR(__xludf.DUMMYFUNCTION("""COMPUTED_VALUE"""),0.411)</f>
        <v>0.41099999999999998</v>
      </c>
      <c r="T288" s="1">
        <f ca="1">IFERROR(__xludf.DUMMYFUNCTION("""COMPUTED_VALUE"""),172)</f>
        <v>172</v>
      </c>
      <c r="U288" s="1">
        <f ca="1">IFERROR(__xludf.DUMMYFUNCTION("""COMPUTED_VALUE"""),528)</f>
        <v>528</v>
      </c>
      <c r="V288" s="1">
        <f ca="1">IFERROR(__xludf.DUMMYFUNCTION("""COMPUTED_VALUE"""),0.326)</f>
        <v>0.32600000000000001</v>
      </c>
      <c r="W288" s="1">
        <f ca="1">IFERROR(__xludf.DUMMYFUNCTION("""COMPUTED_VALUE"""),436)</f>
        <v>436</v>
      </c>
      <c r="X288" s="1">
        <f ca="1">IFERROR(__xludf.DUMMYFUNCTION("""COMPUTED_VALUE"""),666)</f>
        <v>666</v>
      </c>
      <c r="Y288" s="1">
        <f ca="1">IFERROR(__xludf.DUMMYFUNCTION("""COMPUTED_VALUE"""),0.655)</f>
        <v>0.65500000000000003</v>
      </c>
      <c r="Z288" s="1">
        <f ca="1">IFERROR(__xludf.DUMMYFUNCTION("""COMPUTED_VALUE"""),290)</f>
        <v>290</v>
      </c>
      <c r="AA288" s="1">
        <f ca="1">IFERROR(__xludf.DUMMYFUNCTION("""COMPUTED_VALUE"""),979)</f>
        <v>979</v>
      </c>
      <c r="AB288" s="1">
        <f ca="1">IFERROR(__xludf.DUMMYFUNCTION("""COMPUTED_VALUE"""),391)</f>
        <v>391</v>
      </c>
      <c r="AC288" s="1">
        <f ca="1">IFERROR(__xludf.DUMMYFUNCTION("""COMPUTED_VALUE"""),170)</f>
        <v>170</v>
      </c>
      <c r="AD288" s="1">
        <f ca="1">IFERROR(__xludf.DUMMYFUNCTION("""COMPUTED_VALUE"""),72)</f>
        <v>72</v>
      </c>
      <c r="AE288" s="1">
        <f ca="1">IFERROR(__xludf.DUMMYFUNCTION("""COMPUTED_VALUE"""),443)</f>
        <v>443</v>
      </c>
      <c r="AF288" s="1">
        <f ca="1">IFERROR(__xludf.DUMMYFUNCTION("""COMPUTED_VALUE"""),630)</f>
        <v>630</v>
      </c>
    </row>
    <row r="289" spans="1:32" ht="12.5" x14ac:dyDescent="0.25">
      <c r="A289" s="1" t="str">
        <f ca="1">IFERROR(__xludf.DUMMYFUNCTION("""COMPUTED_VALUE"""),"Saint Mary's (CA)")</f>
        <v>Saint Mary's (CA)</v>
      </c>
      <c r="B289" s="1">
        <f ca="1">IFERROR(__xludf.DUMMYFUNCTION("""COMPUTED_VALUE"""),31)</f>
        <v>31</v>
      </c>
      <c r="C289" s="1">
        <f ca="1">IFERROR(__xludf.DUMMYFUNCTION("""COMPUTED_VALUE"""),21)</f>
        <v>21</v>
      </c>
      <c r="D289" s="1">
        <f ca="1">IFERROR(__xludf.DUMMYFUNCTION("""COMPUTED_VALUE"""),10)</f>
        <v>10</v>
      </c>
      <c r="E289" s="1">
        <f ca="1">IFERROR(__xludf.DUMMYFUNCTION("""COMPUTED_VALUE"""),0.677)</f>
        <v>0.67700000000000005</v>
      </c>
      <c r="F289" s="1">
        <f ca="1">IFERROR(__xludf.DUMMYFUNCTION("""COMPUTED_VALUE"""),8.68)</f>
        <v>8.68</v>
      </c>
      <c r="G289" s="1">
        <f ca="1">IFERROR(__xludf.DUMMYFUNCTION("""COMPUTED_VALUE"""),3.78)</f>
        <v>3.78</v>
      </c>
      <c r="H289" s="1">
        <f ca="1">IFERROR(__xludf.DUMMYFUNCTION("""COMPUTED_VALUE"""),13)</f>
        <v>13</v>
      </c>
      <c r="I289" s="1">
        <f ca="1">IFERROR(__xludf.DUMMYFUNCTION("""COMPUTED_VALUE"""),5)</f>
        <v>5</v>
      </c>
      <c r="J289" s="1">
        <f ca="1">IFERROR(__xludf.DUMMYFUNCTION("""COMPUTED_VALUE"""),14)</f>
        <v>14</v>
      </c>
      <c r="K289" s="1">
        <f ca="1">IFERROR(__xludf.DUMMYFUNCTION("""COMPUTED_VALUE"""),5)</f>
        <v>5</v>
      </c>
      <c r="L289" s="1">
        <f ca="1">IFERROR(__xludf.DUMMYFUNCTION("""COMPUTED_VALUE"""),7)</f>
        <v>7</v>
      </c>
      <c r="M289" s="1">
        <f ca="1">IFERROR(__xludf.DUMMYFUNCTION("""COMPUTED_VALUE"""),4)</f>
        <v>4</v>
      </c>
      <c r="N289" s="1">
        <f ca="1">IFERROR(__xludf.DUMMYFUNCTION("""COMPUTED_VALUE"""),2141)</f>
        <v>2141</v>
      </c>
      <c r="O289" s="1">
        <f ca="1">IFERROR(__xludf.DUMMYFUNCTION("""COMPUTED_VALUE"""),1984)</f>
        <v>1984</v>
      </c>
      <c r="P289" s="1">
        <f ca="1">IFERROR(__xludf.DUMMYFUNCTION("""COMPUTED_VALUE"""),1260)</f>
        <v>1260</v>
      </c>
      <c r="Q289" s="1">
        <f ca="1">IFERROR(__xludf.DUMMYFUNCTION("""COMPUTED_VALUE"""),752)</f>
        <v>752</v>
      </c>
      <c r="R289" s="1">
        <f ca="1">IFERROR(__xludf.DUMMYFUNCTION("""COMPUTED_VALUE"""),1645)</f>
        <v>1645</v>
      </c>
      <c r="S289" s="1">
        <f ca="1">IFERROR(__xludf.DUMMYFUNCTION("""COMPUTED_VALUE"""),0.457)</f>
        <v>0.45700000000000002</v>
      </c>
      <c r="T289" s="1">
        <f ca="1">IFERROR(__xludf.DUMMYFUNCTION("""COMPUTED_VALUE"""),225)</f>
        <v>225</v>
      </c>
      <c r="U289" s="1">
        <f ca="1">IFERROR(__xludf.DUMMYFUNCTION("""COMPUTED_VALUE"""),603)</f>
        <v>603</v>
      </c>
      <c r="V289" s="1">
        <f ca="1">IFERROR(__xludf.DUMMYFUNCTION("""COMPUTED_VALUE"""),0.373)</f>
        <v>0.373</v>
      </c>
      <c r="W289" s="1">
        <f ca="1">IFERROR(__xludf.DUMMYFUNCTION("""COMPUTED_VALUE"""),412)</f>
        <v>412</v>
      </c>
      <c r="X289" s="1">
        <f ca="1">IFERROR(__xludf.DUMMYFUNCTION("""COMPUTED_VALUE"""),576)</f>
        <v>576</v>
      </c>
      <c r="Y289" s="1">
        <f ca="1">IFERROR(__xludf.DUMMYFUNCTION("""COMPUTED_VALUE"""),0.715)</f>
        <v>0.71499999999999997</v>
      </c>
      <c r="Z289" s="1">
        <f ca="1">IFERROR(__xludf.DUMMYFUNCTION("""COMPUTED_VALUE"""),328)</f>
        <v>328</v>
      </c>
      <c r="AA289" s="1">
        <f ca="1">IFERROR(__xludf.DUMMYFUNCTION("""COMPUTED_VALUE"""),1115)</f>
        <v>1115</v>
      </c>
      <c r="AB289" s="1">
        <f ca="1">IFERROR(__xludf.DUMMYFUNCTION("""COMPUTED_VALUE"""),466)</f>
        <v>466</v>
      </c>
      <c r="AC289" s="1">
        <f ca="1">IFERROR(__xludf.DUMMYFUNCTION("""COMPUTED_VALUE"""),157)</f>
        <v>157</v>
      </c>
      <c r="AD289" s="1">
        <f ca="1">IFERROR(__xludf.DUMMYFUNCTION("""COMPUTED_VALUE"""),70)</f>
        <v>70</v>
      </c>
      <c r="AE289" s="1">
        <f ca="1">IFERROR(__xludf.DUMMYFUNCTION("""COMPUTED_VALUE"""),375)</f>
        <v>375</v>
      </c>
      <c r="AF289" s="1">
        <f ca="1">IFERROR(__xludf.DUMMYFUNCTION("""COMPUTED_VALUE"""),541)</f>
        <v>541</v>
      </c>
    </row>
    <row r="290" spans="1:32" ht="12.5" x14ac:dyDescent="0.25">
      <c r="A290" s="1" t="str">
        <f ca="1">IFERROR(__xludf.DUMMYFUNCTION("""COMPUTED_VALUE"""),"Saint Peter's")</f>
        <v>Saint Peter's</v>
      </c>
      <c r="B290" s="1">
        <f ca="1">IFERROR(__xludf.DUMMYFUNCTION("""COMPUTED_VALUE"""),34)</f>
        <v>34</v>
      </c>
      <c r="C290" s="1">
        <f ca="1">IFERROR(__xludf.DUMMYFUNCTION("""COMPUTED_VALUE"""),16)</f>
        <v>16</v>
      </c>
      <c r="D290" s="1">
        <f ca="1">IFERROR(__xludf.DUMMYFUNCTION("""COMPUTED_VALUE"""),18)</f>
        <v>18</v>
      </c>
      <c r="E290" s="1">
        <f ca="1">IFERROR(__xludf.DUMMYFUNCTION("""COMPUTED_VALUE"""),0.471)</f>
        <v>0.47099999999999997</v>
      </c>
      <c r="F290" s="1">
        <f ca="1">IFERROR(__xludf.DUMMYFUNCTION("""COMPUTED_VALUE"""),-2.95)</f>
        <v>-2.95</v>
      </c>
      <c r="G290" s="1">
        <f ca="1">IFERROR(__xludf.DUMMYFUNCTION("""COMPUTED_VALUE"""),-3.92)</f>
        <v>-3.92</v>
      </c>
      <c r="H290" s="1">
        <f ca="1">IFERROR(__xludf.DUMMYFUNCTION("""COMPUTED_VALUE"""),8)</f>
        <v>8</v>
      </c>
      <c r="I290" s="1">
        <f ca="1">IFERROR(__xludf.DUMMYFUNCTION("""COMPUTED_VALUE"""),12)</f>
        <v>12</v>
      </c>
      <c r="J290" s="1">
        <f ca="1">IFERROR(__xludf.DUMMYFUNCTION("""COMPUTED_VALUE"""),7)</f>
        <v>7</v>
      </c>
      <c r="K290" s="1">
        <f ca="1">IFERROR(__xludf.DUMMYFUNCTION("""COMPUTED_VALUE"""),6)</f>
        <v>6</v>
      </c>
      <c r="L290" s="1">
        <f ca="1">IFERROR(__xludf.DUMMYFUNCTION("""COMPUTED_VALUE"""),7)</f>
        <v>7</v>
      </c>
      <c r="M290" s="1">
        <f ca="1">IFERROR(__xludf.DUMMYFUNCTION("""COMPUTED_VALUE"""),10)</f>
        <v>10</v>
      </c>
      <c r="N290" s="1">
        <f ca="1">IFERROR(__xludf.DUMMYFUNCTION("""COMPUTED_VALUE"""),2081)</f>
        <v>2081</v>
      </c>
      <c r="O290" s="1">
        <f ca="1">IFERROR(__xludf.DUMMYFUNCTION("""COMPUTED_VALUE"""),2048)</f>
        <v>2048</v>
      </c>
      <c r="P290" s="1">
        <f ca="1">IFERROR(__xludf.DUMMYFUNCTION("""COMPUTED_VALUE"""),1380)</f>
        <v>1380</v>
      </c>
      <c r="Q290" s="1">
        <f ca="1">IFERROR(__xludf.DUMMYFUNCTION("""COMPUTED_VALUE"""),698)</f>
        <v>698</v>
      </c>
      <c r="R290" s="1">
        <f ca="1">IFERROR(__xludf.DUMMYFUNCTION("""COMPUTED_VALUE"""),1695)</f>
        <v>1695</v>
      </c>
      <c r="S290" s="1">
        <f ca="1">IFERROR(__xludf.DUMMYFUNCTION("""COMPUTED_VALUE"""),0.412)</f>
        <v>0.41199999999999998</v>
      </c>
      <c r="T290" s="1">
        <f ca="1">IFERROR(__xludf.DUMMYFUNCTION("""COMPUTED_VALUE"""),193)</f>
        <v>193</v>
      </c>
      <c r="U290" s="1">
        <f ca="1">IFERROR(__xludf.DUMMYFUNCTION("""COMPUTED_VALUE"""),563)</f>
        <v>563</v>
      </c>
      <c r="V290" s="1">
        <f ca="1">IFERROR(__xludf.DUMMYFUNCTION("""COMPUTED_VALUE"""),0.343)</f>
        <v>0.34300000000000003</v>
      </c>
      <c r="W290" s="1">
        <f ca="1">IFERROR(__xludf.DUMMYFUNCTION("""COMPUTED_VALUE"""),492)</f>
        <v>492</v>
      </c>
      <c r="X290" s="1">
        <f ca="1">IFERROR(__xludf.DUMMYFUNCTION("""COMPUTED_VALUE"""),745)</f>
        <v>745</v>
      </c>
      <c r="Y290" s="1">
        <f ca="1">IFERROR(__xludf.DUMMYFUNCTION("""COMPUTED_VALUE"""),0.66)</f>
        <v>0.66</v>
      </c>
      <c r="Z290" s="1">
        <f ca="1">IFERROR(__xludf.DUMMYFUNCTION("""COMPUTED_VALUE"""),353)</f>
        <v>353</v>
      </c>
      <c r="AA290" s="1">
        <f ca="1">IFERROR(__xludf.DUMMYFUNCTION("""COMPUTED_VALUE"""),1109)</f>
        <v>1109</v>
      </c>
      <c r="AB290" s="1">
        <f ca="1">IFERROR(__xludf.DUMMYFUNCTION("""COMPUTED_VALUE"""),344)</f>
        <v>344</v>
      </c>
      <c r="AC290" s="1">
        <f ca="1">IFERROR(__xludf.DUMMYFUNCTION("""COMPUTED_VALUE"""),213)</f>
        <v>213</v>
      </c>
      <c r="AD290" s="1">
        <f ca="1">IFERROR(__xludf.DUMMYFUNCTION("""COMPUTED_VALUE"""),101)</f>
        <v>101</v>
      </c>
      <c r="AE290" s="1">
        <f ca="1">IFERROR(__xludf.DUMMYFUNCTION("""COMPUTED_VALUE"""),413)</f>
        <v>413</v>
      </c>
      <c r="AF290" s="1">
        <f ca="1">IFERROR(__xludf.DUMMYFUNCTION("""COMPUTED_VALUE"""),654)</f>
        <v>654</v>
      </c>
    </row>
    <row r="291" spans="1:32" ht="12.5" x14ac:dyDescent="0.25">
      <c r="A291" s="1" t="str">
        <f ca="1">IFERROR(__xludf.DUMMYFUNCTION("""COMPUTED_VALUE"""),"Sam Houston State")</f>
        <v>Sam Houston State</v>
      </c>
      <c r="B291" s="1">
        <f ca="1">IFERROR(__xludf.DUMMYFUNCTION("""COMPUTED_VALUE"""),35)</f>
        <v>35</v>
      </c>
      <c r="C291" s="1">
        <f ca="1">IFERROR(__xludf.DUMMYFUNCTION("""COMPUTED_VALUE"""),26)</f>
        <v>26</v>
      </c>
      <c r="D291" s="1">
        <f ca="1">IFERROR(__xludf.DUMMYFUNCTION("""COMPUTED_VALUE"""),9)</f>
        <v>9</v>
      </c>
      <c r="E291" s="1">
        <f ca="1">IFERROR(__xludf.DUMMYFUNCTION("""COMPUTED_VALUE"""),0.743)</f>
        <v>0.74299999999999999</v>
      </c>
      <c r="F291" s="1">
        <f ca="1">IFERROR(__xludf.DUMMYFUNCTION("""COMPUTED_VALUE"""),2.97)</f>
        <v>2.97</v>
      </c>
      <c r="G291" s="1">
        <f ca="1">IFERROR(__xludf.DUMMYFUNCTION("""COMPUTED_VALUE"""),-6.03)</f>
        <v>-6.03</v>
      </c>
      <c r="H291" s="1">
        <f ca="1">IFERROR(__xludf.DUMMYFUNCTION("""COMPUTED_VALUE"""),15)</f>
        <v>15</v>
      </c>
      <c r="I291" s="1">
        <f ca="1">IFERROR(__xludf.DUMMYFUNCTION("""COMPUTED_VALUE"""),3)</f>
        <v>3</v>
      </c>
      <c r="J291" s="1">
        <f ca="1">IFERROR(__xludf.DUMMYFUNCTION("""COMPUTED_VALUE"""),16)</f>
        <v>16</v>
      </c>
      <c r="K291" s="1">
        <f ca="1">IFERROR(__xludf.DUMMYFUNCTION("""COMPUTED_VALUE"""),2)</f>
        <v>2</v>
      </c>
      <c r="L291" s="1">
        <f ca="1">IFERROR(__xludf.DUMMYFUNCTION("""COMPUTED_VALUE"""),8)</f>
        <v>8</v>
      </c>
      <c r="M291" s="1">
        <f ca="1">IFERROR(__xludf.DUMMYFUNCTION("""COMPUTED_VALUE"""),5)</f>
        <v>5</v>
      </c>
      <c r="N291" s="1">
        <f ca="1">IFERROR(__xludf.DUMMYFUNCTION("""COMPUTED_VALUE"""),2592)</f>
        <v>2592</v>
      </c>
      <c r="O291" s="1">
        <f ca="1">IFERROR(__xludf.DUMMYFUNCTION("""COMPUTED_VALUE"""),2101)</f>
        <v>2101</v>
      </c>
      <c r="P291" s="1">
        <f ca="1">IFERROR(__xludf.DUMMYFUNCTION("""COMPUTED_VALUE"""),1415)</f>
        <v>1415</v>
      </c>
      <c r="Q291" s="1">
        <f ca="1">IFERROR(__xludf.DUMMYFUNCTION("""COMPUTED_VALUE"""),846)</f>
        <v>846</v>
      </c>
      <c r="R291" s="1">
        <f ca="1">IFERROR(__xludf.DUMMYFUNCTION("""COMPUTED_VALUE"""),1973)</f>
        <v>1973</v>
      </c>
      <c r="S291" s="1">
        <f ca="1">IFERROR(__xludf.DUMMYFUNCTION("""COMPUTED_VALUE"""),0.429)</f>
        <v>0.42899999999999999</v>
      </c>
      <c r="T291" s="1">
        <f ca="1">IFERROR(__xludf.DUMMYFUNCTION("""COMPUTED_VALUE"""),266)</f>
        <v>266</v>
      </c>
      <c r="U291" s="1">
        <f ca="1">IFERROR(__xludf.DUMMYFUNCTION("""COMPUTED_VALUE"""),808)</f>
        <v>808</v>
      </c>
      <c r="V291" s="1">
        <f ca="1">IFERROR(__xludf.DUMMYFUNCTION("""COMPUTED_VALUE"""),0.329)</f>
        <v>0.32900000000000001</v>
      </c>
      <c r="W291" s="1">
        <f ca="1">IFERROR(__xludf.DUMMYFUNCTION("""COMPUTED_VALUE"""),634)</f>
        <v>634</v>
      </c>
      <c r="X291" s="1">
        <f ca="1">IFERROR(__xludf.DUMMYFUNCTION("""COMPUTED_VALUE"""),898)</f>
        <v>898</v>
      </c>
      <c r="Y291" s="1">
        <f ca="1">IFERROR(__xludf.DUMMYFUNCTION("""COMPUTED_VALUE"""),0.706)</f>
        <v>0.70599999999999996</v>
      </c>
      <c r="Z291" s="1">
        <f ca="1">IFERROR(__xludf.DUMMYFUNCTION("""COMPUTED_VALUE"""),463)</f>
        <v>463</v>
      </c>
      <c r="AA291" s="1">
        <f ca="1">IFERROR(__xludf.DUMMYFUNCTION("""COMPUTED_VALUE"""),1409)</f>
        <v>1409</v>
      </c>
      <c r="AB291" s="1">
        <f ca="1">IFERROR(__xludf.DUMMYFUNCTION("""COMPUTED_VALUE"""),516)</f>
        <v>516</v>
      </c>
      <c r="AC291" s="1">
        <f ca="1">IFERROR(__xludf.DUMMYFUNCTION("""COMPUTED_VALUE"""),229)</f>
        <v>229</v>
      </c>
      <c r="AD291" s="1">
        <f ca="1">IFERROR(__xludf.DUMMYFUNCTION("""COMPUTED_VALUE"""),154)</f>
        <v>154</v>
      </c>
      <c r="AE291" s="1">
        <f ca="1">IFERROR(__xludf.DUMMYFUNCTION("""COMPUTED_VALUE"""),455)</f>
        <v>455</v>
      </c>
      <c r="AF291" s="1">
        <f ca="1">IFERROR(__xludf.DUMMYFUNCTION("""COMPUTED_VALUE"""),712)</f>
        <v>712</v>
      </c>
    </row>
    <row r="292" spans="1:32" ht="12.5" x14ac:dyDescent="0.25">
      <c r="A292" s="1" t="str">
        <f ca="1">IFERROR(__xludf.DUMMYFUNCTION("""COMPUTED_VALUE"""),"Samford")</f>
        <v>Samford</v>
      </c>
      <c r="B292" s="1">
        <f ca="1">IFERROR(__xludf.DUMMYFUNCTION("""COMPUTED_VALUE"""),32)</f>
        <v>32</v>
      </c>
      <c r="C292" s="1">
        <f ca="1">IFERROR(__xludf.DUMMYFUNCTION("""COMPUTED_VALUE"""),13)</f>
        <v>13</v>
      </c>
      <c r="D292" s="1">
        <f ca="1">IFERROR(__xludf.DUMMYFUNCTION("""COMPUTED_VALUE"""),19)</f>
        <v>19</v>
      </c>
      <c r="E292" s="1">
        <f ca="1">IFERROR(__xludf.DUMMYFUNCTION("""COMPUTED_VALUE"""),0.406)</f>
        <v>0.40600000000000003</v>
      </c>
      <c r="F292" s="1">
        <f ca="1">IFERROR(__xludf.DUMMYFUNCTION("""COMPUTED_VALUE"""),-9.41)</f>
        <v>-9.41</v>
      </c>
      <c r="G292" s="1">
        <f ca="1">IFERROR(__xludf.DUMMYFUNCTION("""COMPUTED_VALUE"""),-5.57)</f>
        <v>-5.57</v>
      </c>
      <c r="H292" s="1">
        <f ca="1">IFERROR(__xludf.DUMMYFUNCTION("""COMPUTED_VALUE"""),6)</f>
        <v>6</v>
      </c>
      <c r="I292" s="1">
        <f ca="1">IFERROR(__xludf.DUMMYFUNCTION("""COMPUTED_VALUE"""),12)</f>
        <v>12</v>
      </c>
      <c r="J292" s="1">
        <f ca="1">IFERROR(__xludf.DUMMYFUNCTION("""COMPUTED_VALUE"""),8)</f>
        <v>8</v>
      </c>
      <c r="K292" s="1">
        <f ca="1">IFERROR(__xludf.DUMMYFUNCTION("""COMPUTED_VALUE"""),6)</f>
        <v>6</v>
      </c>
      <c r="L292" s="1">
        <f ca="1">IFERROR(__xludf.DUMMYFUNCTION("""COMPUTED_VALUE"""),4)</f>
        <v>4</v>
      </c>
      <c r="M292" s="1">
        <f ca="1">IFERROR(__xludf.DUMMYFUNCTION("""COMPUTED_VALUE"""),11)</f>
        <v>11</v>
      </c>
      <c r="N292" s="1">
        <f ca="1">IFERROR(__xludf.DUMMYFUNCTION("""COMPUTED_VALUE"""),2216)</f>
        <v>2216</v>
      </c>
      <c r="O292" s="1">
        <f ca="1">IFERROR(__xludf.DUMMYFUNCTION("""COMPUTED_VALUE"""),2301)</f>
        <v>2301</v>
      </c>
      <c r="P292" s="1">
        <f ca="1">IFERROR(__xludf.DUMMYFUNCTION("""COMPUTED_VALUE"""),1285)</f>
        <v>1285</v>
      </c>
      <c r="Q292" s="1">
        <f ca="1">IFERROR(__xludf.DUMMYFUNCTION("""COMPUTED_VALUE"""),780)</f>
        <v>780</v>
      </c>
      <c r="R292" s="1">
        <f ca="1">IFERROR(__xludf.DUMMYFUNCTION("""COMPUTED_VALUE"""),1756)</f>
        <v>1756</v>
      </c>
      <c r="S292" s="1">
        <f ca="1">IFERROR(__xludf.DUMMYFUNCTION("""COMPUTED_VALUE"""),0.444)</f>
        <v>0.44400000000000001</v>
      </c>
      <c r="T292" s="1">
        <f ca="1">IFERROR(__xludf.DUMMYFUNCTION("""COMPUTED_VALUE"""),204)</f>
        <v>204</v>
      </c>
      <c r="U292" s="1">
        <f ca="1">IFERROR(__xludf.DUMMYFUNCTION("""COMPUTED_VALUE"""),588)</f>
        <v>588</v>
      </c>
      <c r="V292" s="1">
        <f ca="1">IFERROR(__xludf.DUMMYFUNCTION("""COMPUTED_VALUE"""),0.347)</f>
        <v>0.34699999999999998</v>
      </c>
      <c r="W292" s="1">
        <f ca="1">IFERROR(__xludf.DUMMYFUNCTION("""COMPUTED_VALUE"""),452)</f>
        <v>452</v>
      </c>
      <c r="X292" s="1">
        <f ca="1">IFERROR(__xludf.DUMMYFUNCTION("""COMPUTED_VALUE"""),661)</f>
        <v>661</v>
      </c>
      <c r="Y292" s="1">
        <f ca="1">IFERROR(__xludf.DUMMYFUNCTION("""COMPUTED_VALUE"""),0.684)</f>
        <v>0.68400000000000005</v>
      </c>
      <c r="Z292" s="1">
        <f ca="1">IFERROR(__xludf.DUMMYFUNCTION("""COMPUTED_VALUE"""),326)</f>
        <v>326</v>
      </c>
      <c r="AA292" s="1">
        <f ca="1">IFERROR(__xludf.DUMMYFUNCTION("""COMPUTED_VALUE"""),1015)</f>
        <v>1015</v>
      </c>
      <c r="AB292" s="1">
        <f ca="1">IFERROR(__xludf.DUMMYFUNCTION("""COMPUTED_VALUE"""),423)</f>
        <v>423</v>
      </c>
      <c r="AC292" s="1">
        <f ca="1">IFERROR(__xludf.DUMMYFUNCTION("""COMPUTED_VALUE"""),235)</f>
        <v>235</v>
      </c>
      <c r="AD292" s="1">
        <f ca="1">IFERROR(__xludf.DUMMYFUNCTION("""COMPUTED_VALUE"""),96)</f>
        <v>96</v>
      </c>
      <c r="AE292" s="1">
        <f ca="1">IFERROR(__xludf.DUMMYFUNCTION("""COMPUTED_VALUE"""),414)</f>
        <v>414</v>
      </c>
      <c r="AF292" s="1">
        <f ca="1">IFERROR(__xludf.DUMMYFUNCTION("""COMPUTED_VALUE"""),657)</f>
        <v>657</v>
      </c>
    </row>
    <row r="293" spans="1:32" ht="12.5" x14ac:dyDescent="0.25">
      <c r="A293" s="1" t="str">
        <f ca="1">IFERROR(__xludf.DUMMYFUNCTION("""COMPUTED_VALUE"""),"San Diego StateNCAA")</f>
        <v>San Diego StateNCAA</v>
      </c>
      <c r="B293" s="1">
        <f ca="1">IFERROR(__xludf.DUMMYFUNCTION("""COMPUTED_VALUE"""),36)</f>
        <v>36</v>
      </c>
      <c r="C293" s="1">
        <f ca="1">IFERROR(__xludf.DUMMYFUNCTION("""COMPUTED_VALUE"""),27)</f>
        <v>27</v>
      </c>
      <c r="D293" s="1">
        <f ca="1">IFERROR(__xludf.DUMMYFUNCTION("""COMPUTED_VALUE"""),9)</f>
        <v>9</v>
      </c>
      <c r="E293" s="1">
        <f ca="1">IFERROR(__xludf.DUMMYFUNCTION("""COMPUTED_VALUE"""),0.75)</f>
        <v>0.75</v>
      </c>
      <c r="F293" s="1">
        <f ca="1">IFERROR(__xludf.DUMMYFUNCTION("""COMPUTED_VALUE"""),11.81)</f>
        <v>11.81</v>
      </c>
      <c r="G293" s="1">
        <f ca="1">IFERROR(__xludf.DUMMYFUNCTION("""COMPUTED_VALUE"""),4.24)</f>
        <v>4.24</v>
      </c>
      <c r="H293" s="1">
        <f ca="1">IFERROR(__xludf.DUMMYFUNCTION("""COMPUTED_VALUE"""),14)</f>
        <v>14</v>
      </c>
      <c r="I293" s="1">
        <f ca="1">IFERROR(__xludf.DUMMYFUNCTION("""COMPUTED_VALUE"""),4)</f>
        <v>4</v>
      </c>
      <c r="J293" s="1">
        <f ca="1">IFERROR(__xludf.DUMMYFUNCTION("""COMPUTED_VALUE"""),16)</f>
        <v>16</v>
      </c>
      <c r="K293" s="1">
        <f ca="1">IFERROR(__xludf.DUMMYFUNCTION("""COMPUTED_VALUE"""),1)</f>
        <v>1</v>
      </c>
      <c r="L293" s="1">
        <f ca="1">IFERROR(__xludf.DUMMYFUNCTION("""COMPUTED_VALUE"""),6)</f>
        <v>6</v>
      </c>
      <c r="M293" s="1">
        <f ca="1">IFERROR(__xludf.DUMMYFUNCTION("""COMPUTED_VALUE"""),5)</f>
        <v>5</v>
      </c>
      <c r="N293" s="1">
        <f ca="1">IFERROR(__xludf.DUMMYFUNCTION("""COMPUTED_VALUE"""),2226)</f>
        <v>2226</v>
      </c>
      <c r="O293" s="1">
        <f ca="1">IFERROR(__xludf.DUMMYFUNCTION("""COMPUTED_VALUE"""),1939)</f>
        <v>1939</v>
      </c>
      <c r="P293" s="1">
        <f ca="1">IFERROR(__xludf.DUMMYFUNCTION("""COMPUTED_VALUE"""),1455)</f>
        <v>1455</v>
      </c>
      <c r="Q293" s="1">
        <f ca="1">IFERROR(__xludf.DUMMYFUNCTION("""COMPUTED_VALUE"""),800)</f>
        <v>800</v>
      </c>
      <c r="R293" s="1">
        <f ca="1">IFERROR(__xludf.DUMMYFUNCTION("""COMPUTED_VALUE"""),1916)</f>
        <v>1916</v>
      </c>
      <c r="S293" s="1">
        <f ca="1">IFERROR(__xludf.DUMMYFUNCTION("""COMPUTED_VALUE"""),0.418)</f>
        <v>0.41799999999999998</v>
      </c>
      <c r="T293" s="1">
        <f ca="1">IFERROR(__xludf.DUMMYFUNCTION("""COMPUTED_VALUE"""),189)</f>
        <v>189</v>
      </c>
      <c r="U293" s="1">
        <f ca="1">IFERROR(__xludf.DUMMYFUNCTION("""COMPUTED_VALUE"""),591)</f>
        <v>591</v>
      </c>
      <c r="V293" s="1">
        <f ca="1">IFERROR(__xludf.DUMMYFUNCTION("""COMPUTED_VALUE"""),0.32)</f>
        <v>0.32</v>
      </c>
      <c r="W293" s="1">
        <f ca="1">IFERROR(__xludf.DUMMYFUNCTION("""COMPUTED_VALUE"""),437)</f>
        <v>437</v>
      </c>
      <c r="X293" s="1">
        <f ca="1">IFERROR(__xludf.DUMMYFUNCTION("""COMPUTED_VALUE"""),694)</f>
        <v>694</v>
      </c>
      <c r="Y293" s="1">
        <f ca="1">IFERROR(__xludf.DUMMYFUNCTION("""COMPUTED_VALUE"""),0.63)</f>
        <v>0.63</v>
      </c>
      <c r="Z293" s="1">
        <f ca="1">IFERROR(__xludf.DUMMYFUNCTION("""COMPUTED_VALUE"""),439)</f>
        <v>439</v>
      </c>
      <c r="AA293" s="1">
        <f ca="1">IFERROR(__xludf.DUMMYFUNCTION("""COMPUTED_VALUE"""),1270)</f>
        <v>1270</v>
      </c>
      <c r="AB293" s="1">
        <f ca="1">IFERROR(__xludf.DUMMYFUNCTION("""COMPUTED_VALUE"""),377)</f>
        <v>377</v>
      </c>
      <c r="AC293" s="1">
        <f ca="1">IFERROR(__xludf.DUMMYFUNCTION("""COMPUTED_VALUE"""),247)</f>
        <v>247</v>
      </c>
      <c r="AD293" s="1">
        <f ca="1">IFERROR(__xludf.DUMMYFUNCTION("""COMPUTED_VALUE"""),179)</f>
        <v>179</v>
      </c>
      <c r="AE293" s="1">
        <f ca="1">IFERROR(__xludf.DUMMYFUNCTION("""COMPUTED_VALUE"""),410)</f>
        <v>410</v>
      </c>
      <c r="AF293" s="1">
        <f ca="1">IFERROR(__xludf.DUMMYFUNCTION("""COMPUTED_VALUE"""),506)</f>
        <v>506</v>
      </c>
    </row>
    <row r="294" spans="1:32" ht="12.5" x14ac:dyDescent="0.25">
      <c r="A294" s="1" t="str">
        <f ca="1">IFERROR(__xludf.DUMMYFUNCTION("""COMPUTED_VALUE"""),"San Diego")</f>
        <v>San Diego</v>
      </c>
      <c r="B294" s="1">
        <f ca="1">IFERROR(__xludf.DUMMYFUNCTION("""COMPUTED_VALUE"""),31)</f>
        <v>31</v>
      </c>
      <c r="C294" s="1">
        <f ca="1">IFERROR(__xludf.DUMMYFUNCTION("""COMPUTED_VALUE"""),15)</f>
        <v>15</v>
      </c>
      <c r="D294" s="1">
        <f ca="1">IFERROR(__xludf.DUMMYFUNCTION("""COMPUTED_VALUE"""),16)</f>
        <v>16</v>
      </c>
      <c r="E294" s="1">
        <f ca="1">IFERROR(__xludf.DUMMYFUNCTION("""COMPUTED_VALUE"""),0.484)</f>
        <v>0.48399999999999999</v>
      </c>
      <c r="F294" s="1">
        <f ca="1">IFERROR(__xludf.DUMMYFUNCTION("""COMPUTED_VALUE"""),5.03)</f>
        <v>5.03</v>
      </c>
      <c r="G294" s="1">
        <f ca="1">IFERROR(__xludf.DUMMYFUNCTION("""COMPUTED_VALUE"""),3.47)</f>
        <v>3.47</v>
      </c>
      <c r="H294" s="1">
        <f ca="1">IFERROR(__xludf.DUMMYFUNCTION("""COMPUTED_VALUE"""),8)</f>
        <v>8</v>
      </c>
      <c r="I294" s="1">
        <f ca="1">IFERROR(__xludf.DUMMYFUNCTION("""COMPUTED_VALUE"""),10)</f>
        <v>10</v>
      </c>
      <c r="J294" s="1">
        <f ca="1">IFERROR(__xludf.DUMMYFUNCTION("""COMPUTED_VALUE"""),9)</f>
        <v>9</v>
      </c>
      <c r="K294" s="1">
        <f ca="1">IFERROR(__xludf.DUMMYFUNCTION("""COMPUTED_VALUE"""),4)</f>
        <v>4</v>
      </c>
      <c r="L294" s="1">
        <f ca="1">IFERROR(__xludf.DUMMYFUNCTION("""COMPUTED_VALUE"""),4)</f>
        <v>4</v>
      </c>
      <c r="M294" s="1">
        <f ca="1">IFERROR(__xludf.DUMMYFUNCTION("""COMPUTED_VALUE"""),8)</f>
        <v>8</v>
      </c>
      <c r="N294" s="1">
        <f ca="1">IFERROR(__xludf.DUMMYFUNCTION("""COMPUTED_VALUE"""),2006)</f>
        <v>2006</v>
      </c>
      <c r="O294" s="1">
        <f ca="1">IFERROR(__xludf.DUMMYFUNCTION("""COMPUTED_VALUE"""),1949)</f>
        <v>1949</v>
      </c>
      <c r="P294" s="1">
        <f ca="1">IFERROR(__xludf.DUMMYFUNCTION("""COMPUTED_VALUE"""),1250)</f>
        <v>1250</v>
      </c>
      <c r="Q294" s="1">
        <f ca="1">IFERROR(__xludf.DUMMYFUNCTION("""COMPUTED_VALUE"""),690)</f>
        <v>690</v>
      </c>
      <c r="R294" s="1">
        <f ca="1">IFERROR(__xludf.DUMMYFUNCTION("""COMPUTED_VALUE"""),1636)</f>
        <v>1636</v>
      </c>
      <c r="S294" s="1">
        <f ca="1">IFERROR(__xludf.DUMMYFUNCTION("""COMPUTED_VALUE"""),0.422)</f>
        <v>0.42199999999999999</v>
      </c>
      <c r="T294" s="1">
        <f ca="1">IFERROR(__xludf.DUMMYFUNCTION("""COMPUTED_VALUE"""),192)</f>
        <v>192</v>
      </c>
      <c r="U294" s="1">
        <f ca="1">IFERROR(__xludf.DUMMYFUNCTION("""COMPUTED_VALUE"""),562)</f>
        <v>562</v>
      </c>
      <c r="V294" s="1">
        <f ca="1">IFERROR(__xludf.DUMMYFUNCTION("""COMPUTED_VALUE"""),0.342)</f>
        <v>0.34200000000000003</v>
      </c>
      <c r="W294" s="1">
        <f ca="1">IFERROR(__xludf.DUMMYFUNCTION("""COMPUTED_VALUE"""),434)</f>
        <v>434</v>
      </c>
      <c r="X294" s="1">
        <f ca="1">IFERROR(__xludf.DUMMYFUNCTION("""COMPUTED_VALUE"""),632)</f>
        <v>632</v>
      </c>
      <c r="Y294" s="1">
        <f ca="1">IFERROR(__xludf.DUMMYFUNCTION("""COMPUTED_VALUE"""),0.687)</f>
        <v>0.68700000000000006</v>
      </c>
      <c r="Z294" s="1">
        <f ca="1">IFERROR(__xludf.DUMMYFUNCTION("""COMPUTED_VALUE"""),321)</f>
        <v>321</v>
      </c>
      <c r="AA294" s="1">
        <f ca="1">IFERROR(__xludf.DUMMYFUNCTION("""COMPUTED_VALUE"""),1016)</f>
        <v>1016</v>
      </c>
      <c r="AB294" s="1">
        <f ca="1">IFERROR(__xludf.DUMMYFUNCTION("""COMPUTED_VALUE"""),388)</f>
        <v>388</v>
      </c>
      <c r="AC294" s="1">
        <f ca="1">IFERROR(__xludf.DUMMYFUNCTION("""COMPUTED_VALUE"""),199)</f>
        <v>199</v>
      </c>
      <c r="AD294" s="1">
        <f ca="1">IFERROR(__xludf.DUMMYFUNCTION("""COMPUTED_VALUE"""),119)</f>
        <v>119</v>
      </c>
      <c r="AE294" s="1">
        <f ca="1">IFERROR(__xludf.DUMMYFUNCTION("""COMPUTED_VALUE"""),365)</f>
        <v>365</v>
      </c>
      <c r="AF294" s="1">
        <f ca="1">IFERROR(__xludf.DUMMYFUNCTION("""COMPUTED_VALUE"""),618)</f>
        <v>618</v>
      </c>
    </row>
    <row r="295" spans="1:32" ht="12.5" x14ac:dyDescent="0.25">
      <c r="A295" s="1" t="str">
        <f ca="1">IFERROR(__xludf.DUMMYFUNCTION("""COMPUTED_VALUE"""),"San Francisco")</f>
        <v>San Francisco</v>
      </c>
      <c r="B295" s="1">
        <f ca="1">IFERROR(__xludf.DUMMYFUNCTION("""COMPUTED_VALUE"""),32)</f>
        <v>32</v>
      </c>
      <c r="C295" s="1">
        <f ca="1">IFERROR(__xludf.DUMMYFUNCTION("""COMPUTED_VALUE"""),14)</f>
        <v>14</v>
      </c>
      <c r="D295" s="1">
        <f ca="1">IFERROR(__xludf.DUMMYFUNCTION("""COMPUTED_VALUE"""),18)</f>
        <v>18</v>
      </c>
      <c r="E295" s="1">
        <f ca="1">IFERROR(__xludf.DUMMYFUNCTION("""COMPUTED_VALUE"""),0.438)</f>
        <v>0.438</v>
      </c>
      <c r="F295" s="1">
        <f ca="1">IFERROR(__xludf.DUMMYFUNCTION("""COMPUTED_VALUE"""),3.08)</f>
        <v>3.08</v>
      </c>
      <c r="G295" s="1">
        <f ca="1">IFERROR(__xludf.DUMMYFUNCTION("""COMPUTED_VALUE"""),2.83)</f>
        <v>2.83</v>
      </c>
      <c r="H295" s="1">
        <f ca="1">IFERROR(__xludf.DUMMYFUNCTION("""COMPUTED_VALUE"""),7)</f>
        <v>7</v>
      </c>
      <c r="I295" s="1">
        <f ca="1">IFERROR(__xludf.DUMMYFUNCTION("""COMPUTED_VALUE"""),11)</f>
        <v>11</v>
      </c>
      <c r="J295" s="1">
        <f ca="1">IFERROR(__xludf.DUMMYFUNCTION("""COMPUTED_VALUE"""),8)</f>
        <v>8</v>
      </c>
      <c r="K295" s="1">
        <f ca="1">IFERROR(__xludf.DUMMYFUNCTION("""COMPUTED_VALUE"""),8)</f>
        <v>8</v>
      </c>
      <c r="L295" s="1">
        <f ca="1">IFERROR(__xludf.DUMMYFUNCTION("""COMPUTED_VALUE"""),4)</f>
        <v>4</v>
      </c>
      <c r="M295" s="1">
        <f ca="1">IFERROR(__xludf.DUMMYFUNCTION("""COMPUTED_VALUE"""),8)</f>
        <v>8</v>
      </c>
      <c r="N295" s="1">
        <f ca="1">IFERROR(__xludf.DUMMYFUNCTION("""COMPUTED_VALUE"""),2215)</f>
        <v>2215</v>
      </c>
      <c r="O295" s="1">
        <f ca="1">IFERROR(__xludf.DUMMYFUNCTION("""COMPUTED_VALUE"""),2167)</f>
        <v>2167</v>
      </c>
      <c r="P295" s="1">
        <f ca="1">IFERROR(__xludf.DUMMYFUNCTION("""COMPUTED_VALUE"""),1290)</f>
        <v>1290</v>
      </c>
      <c r="Q295" s="1">
        <f ca="1">IFERROR(__xludf.DUMMYFUNCTION("""COMPUTED_VALUE"""),783)</f>
        <v>783</v>
      </c>
      <c r="R295" s="1">
        <f ca="1">IFERROR(__xludf.DUMMYFUNCTION("""COMPUTED_VALUE"""),1735)</f>
        <v>1735</v>
      </c>
      <c r="S295" s="1">
        <f ca="1">IFERROR(__xludf.DUMMYFUNCTION("""COMPUTED_VALUE"""),0.451)</f>
        <v>0.45100000000000001</v>
      </c>
      <c r="T295" s="1">
        <f ca="1">IFERROR(__xludf.DUMMYFUNCTION("""COMPUTED_VALUE"""),203)</f>
        <v>203</v>
      </c>
      <c r="U295" s="1">
        <f ca="1">IFERROR(__xludf.DUMMYFUNCTION("""COMPUTED_VALUE"""),596)</f>
        <v>596</v>
      </c>
      <c r="V295" s="1">
        <f ca="1">IFERROR(__xludf.DUMMYFUNCTION("""COMPUTED_VALUE"""),0.341)</f>
        <v>0.34100000000000003</v>
      </c>
      <c r="W295" s="1">
        <f ca="1">IFERROR(__xludf.DUMMYFUNCTION("""COMPUTED_VALUE"""),446)</f>
        <v>446</v>
      </c>
      <c r="X295" s="1">
        <f ca="1">IFERROR(__xludf.DUMMYFUNCTION("""COMPUTED_VALUE"""),709)</f>
        <v>709</v>
      </c>
      <c r="Y295" s="1">
        <f ca="1">IFERROR(__xludf.DUMMYFUNCTION("""COMPUTED_VALUE"""),0.629)</f>
        <v>0.629</v>
      </c>
      <c r="Z295" s="1">
        <f ca="1">IFERROR(__xludf.DUMMYFUNCTION("""COMPUTED_VALUE"""),340)</f>
        <v>340</v>
      </c>
      <c r="AA295" s="1">
        <f ca="1">IFERROR(__xludf.DUMMYFUNCTION("""COMPUTED_VALUE"""),1113)</f>
        <v>1113</v>
      </c>
      <c r="AB295" s="1">
        <f ca="1">IFERROR(__xludf.DUMMYFUNCTION("""COMPUTED_VALUE"""),443)</f>
        <v>443</v>
      </c>
      <c r="AC295" s="1">
        <f ca="1">IFERROR(__xludf.DUMMYFUNCTION("""COMPUTED_VALUE"""),186)</f>
        <v>186</v>
      </c>
      <c r="AD295" s="1">
        <f ca="1">IFERROR(__xludf.DUMMYFUNCTION("""COMPUTED_VALUE"""),79)</f>
        <v>79</v>
      </c>
      <c r="AE295" s="1">
        <f ca="1">IFERROR(__xludf.DUMMYFUNCTION("""COMPUTED_VALUE"""),376)</f>
        <v>376</v>
      </c>
      <c r="AF295" s="1">
        <f ca="1">IFERROR(__xludf.DUMMYFUNCTION("""COMPUTED_VALUE"""),647)</f>
        <v>647</v>
      </c>
    </row>
    <row r="296" spans="1:32" ht="12.5" x14ac:dyDescent="0.25">
      <c r="A296" s="1" t="str">
        <f ca="1">IFERROR(__xludf.DUMMYFUNCTION("""COMPUTED_VALUE"""),"San Jose State")</f>
        <v>San Jose State</v>
      </c>
      <c r="B296" s="1">
        <f ca="1">IFERROR(__xludf.DUMMYFUNCTION("""COMPUTED_VALUE"""),30)</f>
        <v>30</v>
      </c>
      <c r="C296" s="1">
        <f ca="1">IFERROR(__xludf.DUMMYFUNCTION("""COMPUTED_VALUE"""),2)</f>
        <v>2</v>
      </c>
      <c r="D296" s="1">
        <f ca="1">IFERROR(__xludf.DUMMYFUNCTION("""COMPUTED_VALUE"""),28)</f>
        <v>28</v>
      </c>
      <c r="E296" s="1">
        <f ca="1">IFERROR(__xludf.DUMMYFUNCTION("""COMPUTED_VALUE"""),0.067)</f>
        <v>6.7000000000000004E-2</v>
      </c>
      <c r="F296" s="1">
        <f ca="1">IFERROR(__xludf.DUMMYFUNCTION("""COMPUTED_VALUE"""),-16.22)</f>
        <v>-16.22</v>
      </c>
      <c r="G296" s="1">
        <f ca="1">IFERROR(__xludf.DUMMYFUNCTION("""COMPUTED_VALUE"""),1.92)</f>
        <v>1.92</v>
      </c>
      <c r="H296" s="1">
        <f ca="1">IFERROR(__xludf.DUMMYFUNCTION("""COMPUTED_VALUE"""),0)</f>
        <v>0</v>
      </c>
      <c r="I296" s="1">
        <f ca="1">IFERROR(__xludf.DUMMYFUNCTION("""COMPUTED_VALUE"""),18)</f>
        <v>18</v>
      </c>
      <c r="J296" s="1">
        <f ca="1">IFERROR(__xludf.DUMMYFUNCTION("""COMPUTED_VALUE"""),2)</f>
        <v>2</v>
      </c>
      <c r="K296" s="1">
        <f ca="1">IFERROR(__xludf.DUMMYFUNCTION("""COMPUTED_VALUE"""),13)</f>
        <v>13</v>
      </c>
      <c r="L296" s="1">
        <f ca="1">IFERROR(__xludf.DUMMYFUNCTION("""COMPUTED_VALUE"""),0)</f>
        <v>0</v>
      </c>
      <c r="M296" s="1">
        <f ca="1">IFERROR(__xludf.DUMMYFUNCTION("""COMPUTED_VALUE"""),12)</f>
        <v>12</v>
      </c>
      <c r="N296" s="1">
        <f ca="1">IFERROR(__xludf.DUMMYFUNCTION("""COMPUTED_VALUE"""),1612)</f>
        <v>1612</v>
      </c>
      <c r="O296" s="1">
        <f ca="1">IFERROR(__xludf.DUMMYFUNCTION("""COMPUTED_VALUE"""),2086)</f>
        <v>2086</v>
      </c>
      <c r="P296" s="1">
        <f ca="1">IFERROR(__xludf.DUMMYFUNCTION("""COMPUTED_VALUE"""),1205)</f>
        <v>1205</v>
      </c>
      <c r="Q296" s="1">
        <f ca="1">IFERROR(__xludf.DUMMYFUNCTION("""COMPUTED_VALUE"""),553)</f>
        <v>553</v>
      </c>
      <c r="R296" s="1">
        <f ca="1">IFERROR(__xludf.DUMMYFUNCTION("""COMPUTED_VALUE"""),1559)</f>
        <v>1559</v>
      </c>
      <c r="S296" s="1">
        <f ca="1">IFERROR(__xludf.DUMMYFUNCTION("""COMPUTED_VALUE"""),0.355)</f>
        <v>0.35499999999999998</v>
      </c>
      <c r="T296" s="1">
        <f ca="1">IFERROR(__xludf.DUMMYFUNCTION("""COMPUTED_VALUE"""),196)</f>
        <v>196</v>
      </c>
      <c r="U296" s="1">
        <f ca="1">IFERROR(__xludf.DUMMYFUNCTION("""COMPUTED_VALUE"""),668)</f>
        <v>668</v>
      </c>
      <c r="V296" s="1">
        <f ca="1">IFERROR(__xludf.DUMMYFUNCTION("""COMPUTED_VALUE"""),0.293)</f>
        <v>0.29299999999999998</v>
      </c>
      <c r="W296" s="1">
        <f ca="1">IFERROR(__xludf.DUMMYFUNCTION("""COMPUTED_VALUE"""),310)</f>
        <v>310</v>
      </c>
      <c r="X296" s="1">
        <f ca="1">IFERROR(__xludf.DUMMYFUNCTION("""COMPUTED_VALUE"""),475)</f>
        <v>475</v>
      </c>
      <c r="Y296" s="1">
        <f ca="1">IFERROR(__xludf.DUMMYFUNCTION("""COMPUTED_VALUE"""),0.653)</f>
        <v>0.65300000000000002</v>
      </c>
      <c r="Z296" s="1">
        <f ca="1">IFERROR(__xludf.DUMMYFUNCTION("""COMPUTED_VALUE"""),272)</f>
        <v>272</v>
      </c>
      <c r="AA296" s="1">
        <f ca="1">IFERROR(__xludf.DUMMYFUNCTION("""COMPUTED_VALUE"""),939)</f>
        <v>939</v>
      </c>
      <c r="AB296" s="1">
        <f ca="1">IFERROR(__xludf.DUMMYFUNCTION("""COMPUTED_VALUE"""),294)</f>
        <v>294</v>
      </c>
      <c r="AC296" s="1">
        <f ca="1">IFERROR(__xludf.DUMMYFUNCTION("""COMPUTED_VALUE"""),145)</f>
        <v>145</v>
      </c>
      <c r="AD296" s="1">
        <f ca="1">IFERROR(__xludf.DUMMYFUNCTION("""COMPUTED_VALUE"""),78)</f>
        <v>78</v>
      </c>
      <c r="AE296" s="1">
        <f ca="1">IFERROR(__xludf.DUMMYFUNCTION("""COMPUTED_VALUE"""),426)</f>
        <v>426</v>
      </c>
      <c r="AF296" s="1">
        <f ca="1">IFERROR(__xludf.DUMMYFUNCTION("""COMPUTED_VALUE"""),548)</f>
        <v>548</v>
      </c>
    </row>
    <row r="297" spans="1:32" ht="12.5" x14ac:dyDescent="0.25">
      <c r="A297" s="1" t="str">
        <f ca="1">IFERROR(__xludf.DUMMYFUNCTION("""COMPUTED_VALUE"""),"Santa Clara")</f>
        <v>Santa Clara</v>
      </c>
      <c r="B297" s="1">
        <f ca="1">IFERROR(__xludf.DUMMYFUNCTION("""COMPUTED_VALUE"""),32)</f>
        <v>32</v>
      </c>
      <c r="C297" s="1">
        <f ca="1">IFERROR(__xludf.DUMMYFUNCTION("""COMPUTED_VALUE"""),14)</f>
        <v>14</v>
      </c>
      <c r="D297" s="1">
        <f ca="1">IFERROR(__xludf.DUMMYFUNCTION("""COMPUTED_VALUE"""),18)</f>
        <v>18</v>
      </c>
      <c r="E297" s="1">
        <f ca="1">IFERROR(__xludf.DUMMYFUNCTION("""COMPUTED_VALUE"""),0.438)</f>
        <v>0.438</v>
      </c>
      <c r="F297" s="1">
        <f ca="1">IFERROR(__xludf.DUMMYFUNCTION("""COMPUTED_VALUE"""),-0.38)</f>
        <v>-0.38</v>
      </c>
      <c r="G297" s="1">
        <f ca="1">IFERROR(__xludf.DUMMYFUNCTION("""COMPUTED_VALUE"""),4.12)</f>
        <v>4.12</v>
      </c>
      <c r="H297" s="1">
        <f ca="1">IFERROR(__xludf.DUMMYFUNCTION("""COMPUTED_VALUE"""),7)</f>
        <v>7</v>
      </c>
      <c r="I297" s="1">
        <f ca="1">IFERROR(__xludf.DUMMYFUNCTION("""COMPUTED_VALUE"""),11)</f>
        <v>11</v>
      </c>
      <c r="J297" s="1">
        <f ca="1">IFERROR(__xludf.DUMMYFUNCTION("""COMPUTED_VALUE"""),9)</f>
        <v>9</v>
      </c>
      <c r="K297" s="1">
        <f ca="1">IFERROR(__xludf.DUMMYFUNCTION("""COMPUTED_VALUE"""),6)</f>
        <v>6</v>
      </c>
      <c r="L297" s="1">
        <f ca="1">IFERROR(__xludf.DUMMYFUNCTION("""COMPUTED_VALUE"""),3)</f>
        <v>3</v>
      </c>
      <c r="M297" s="1">
        <f ca="1">IFERROR(__xludf.DUMMYFUNCTION("""COMPUTED_VALUE"""),9)</f>
        <v>9</v>
      </c>
      <c r="N297" s="1">
        <f ca="1">IFERROR(__xludf.DUMMYFUNCTION("""COMPUTED_VALUE"""),2027)</f>
        <v>2027</v>
      </c>
      <c r="O297" s="1">
        <f ca="1">IFERROR(__xludf.DUMMYFUNCTION("""COMPUTED_VALUE"""),2136)</f>
        <v>2136</v>
      </c>
      <c r="P297" s="1">
        <f ca="1">IFERROR(__xludf.DUMMYFUNCTION("""COMPUTED_VALUE"""),1285)</f>
        <v>1285</v>
      </c>
      <c r="Q297" s="1">
        <f ca="1">IFERROR(__xludf.DUMMYFUNCTION("""COMPUTED_VALUE"""),711)</f>
        <v>711</v>
      </c>
      <c r="R297" s="1">
        <f ca="1">IFERROR(__xludf.DUMMYFUNCTION("""COMPUTED_VALUE"""),1675)</f>
        <v>1675</v>
      </c>
      <c r="S297" s="1">
        <f ca="1">IFERROR(__xludf.DUMMYFUNCTION("""COMPUTED_VALUE"""),0.424)</f>
        <v>0.42399999999999999</v>
      </c>
      <c r="T297" s="1">
        <f ca="1">IFERROR(__xludf.DUMMYFUNCTION("""COMPUTED_VALUE"""),222)</f>
        <v>222</v>
      </c>
      <c r="U297" s="1">
        <f ca="1">IFERROR(__xludf.DUMMYFUNCTION("""COMPUTED_VALUE"""),636)</f>
        <v>636</v>
      </c>
      <c r="V297" s="1">
        <f ca="1">IFERROR(__xludf.DUMMYFUNCTION("""COMPUTED_VALUE"""),0.349)</f>
        <v>0.34899999999999998</v>
      </c>
      <c r="W297" s="1">
        <f ca="1">IFERROR(__xludf.DUMMYFUNCTION("""COMPUTED_VALUE"""),383)</f>
        <v>383</v>
      </c>
      <c r="X297" s="1">
        <f ca="1">IFERROR(__xludf.DUMMYFUNCTION("""COMPUTED_VALUE"""),520)</f>
        <v>520</v>
      </c>
      <c r="Y297" s="1">
        <f ca="1">IFERROR(__xludf.DUMMYFUNCTION("""COMPUTED_VALUE"""),0.737)</f>
        <v>0.73699999999999999</v>
      </c>
      <c r="Z297" s="1">
        <f ca="1">IFERROR(__xludf.DUMMYFUNCTION("""COMPUTED_VALUE"""),296)</f>
        <v>296</v>
      </c>
      <c r="AA297" s="1">
        <f ca="1">IFERROR(__xludf.DUMMYFUNCTION("""COMPUTED_VALUE"""),956)</f>
        <v>956</v>
      </c>
      <c r="AB297" s="1">
        <f ca="1">IFERROR(__xludf.DUMMYFUNCTION("""COMPUTED_VALUE"""),379)</f>
        <v>379</v>
      </c>
      <c r="AC297" s="1">
        <f ca="1">IFERROR(__xludf.DUMMYFUNCTION("""COMPUTED_VALUE"""),180)</f>
        <v>180</v>
      </c>
      <c r="AD297" s="1">
        <f ca="1">IFERROR(__xludf.DUMMYFUNCTION("""COMPUTED_VALUE"""),59)</f>
        <v>59</v>
      </c>
      <c r="AE297" s="1">
        <f ca="1">IFERROR(__xludf.DUMMYFUNCTION("""COMPUTED_VALUE"""),339)</f>
        <v>339</v>
      </c>
      <c r="AF297" s="1">
        <f ca="1">IFERROR(__xludf.DUMMYFUNCTION("""COMPUTED_VALUE"""),599)</f>
        <v>599</v>
      </c>
    </row>
    <row r="298" spans="1:32" ht="12.5" x14ac:dyDescent="0.25">
      <c r="A298" s="1" t="str">
        <f ca="1">IFERROR(__xludf.DUMMYFUNCTION("""COMPUTED_VALUE"""),"Savannah State")</f>
        <v>Savannah State</v>
      </c>
      <c r="B298" s="1">
        <f ca="1">IFERROR(__xludf.DUMMYFUNCTION("""COMPUTED_VALUE"""),31)</f>
        <v>31</v>
      </c>
      <c r="C298" s="1">
        <f ca="1">IFERROR(__xludf.DUMMYFUNCTION("""COMPUTED_VALUE"""),9)</f>
        <v>9</v>
      </c>
      <c r="D298" s="1">
        <f ca="1">IFERROR(__xludf.DUMMYFUNCTION("""COMPUTED_VALUE"""),22)</f>
        <v>22</v>
      </c>
      <c r="E298" s="1">
        <f ca="1">IFERROR(__xludf.DUMMYFUNCTION("""COMPUTED_VALUE"""),0.29)</f>
        <v>0.28999999999999998</v>
      </c>
      <c r="F298" s="1">
        <f ca="1">IFERROR(__xludf.DUMMYFUNCTION("""COMPUTED_VALUE"""),-18.17)</f>
        <v>-18.170000000000002</v>
      </c>
      <c r="G298" s="1">
        <f ca="1">IFERROR(__xludf.DUMMYFUNCTION("""COMPUTED_VALUE"""),-6.27)</f>
        <v>-6.27</v>
      </c>
      <c r="H298" s="1">
        <f ca="1">IFERROR(__xludf.DUMMYFUNCTION("""COMPUTED_VALUE"""),5)</f>
        <v>5</v>
      </c>
      <c r="I298" s="1">
        <f ca="1">IFERROR(__xludf.DUMMYFUNCTION("""COMPUTED_VALUE"""),11)</f>
        <v>11</v>
      </c>
      <c r="J298" s="1">
        <f ca="1">IFERROR(__xludf.DUMMYFUNCTION("""COMPUTED_VALUE"""),7)</f>
        <v>7</v>
      </c>
      <c r="K298" s="1">
        <f ca="1">IFERROR(__xludf.DUMMYFUNCTION("""COMPUTED_VALUE"""),5)</f>
        <v>5</v>
      </c>
      <c r="L298" s="1">
        <f ca="1">IFERROR(__xludf.DUMMYFUNCTION("""COMPUTED_VALUE"""),2)</f>
        <v>2</v>
      </c>
      <c r="M298" s="1">
        <f ca="1">IFERROR(__xludf.DUMMYFUNCTION("""COMPUTED_VALUE"""),16)</f>
        <v>16</v>
      </c>
      <c r="N298" s="1">
        <f ca="1">IFERROR(__xludf.DUMMYFUNCTION("""COMPUTED_VALUE"""),1758)</f>
        <v>1758</v>
      </c>
      <c r="O298" s="1">
        <f ca="1">IFERROR(__xludf.DUMMYFUNCTION("""COMPUTED_VALUE"""),2072)</f>
        <v>2072</v>
      </c>
      <c r="P298" s="1">
        <f ca="1">IFERROR(__xludf.DUMMYFUNCTION("""COMPUTED_VALUE"""),1205)</f>
        <v>1205</v>
      </c>
      <c r="Q298" s="1">
        <f ca="1">IFERROR(__xludf.DUMMYFUNCTION("""COMPUTED_VALUE"""),633)</f>
        <v>633</v>
      </c>
      <c r="R298" s="1">
        <f ca="1">IFERROR(__xludf.DUMMYFUNCTION("""COMPUTED_VALUE"""),1549)</f>
        <v>1549</v>
      </c>
      <c r="S298" s="1">
        <f ca="1">IFERROR(__xludf.DUMMYFUNCTION("""COMPUTED_VALUE"""),0.409)</f>
        <v>0.40899999999999997</v>
      </c>
      <c r="T298" s="1">
        <f ca="1">IFERROR(__xludf.DUMMYFUNCTION("""COMPUTED_VALUE"""),102)</f>
        <v>102</v>
      </c>
      <c r="U298" s="1">
        <f ca="1">IFERROR(__xludf.DUMMYFUNCTION("""COMPUTED_VALUE"""),400)</f>
        <v>400</v>
      </c>
      <c r="V298" s="1">
        <f ca="1">IFERROR(__xludf.DUMMYFUNCTION("""COMPUTED_VALUE"""),0.255)</f>
        <v>0.255</v>
      </c>
      <c r="W298" s="1">
        <f ca="1">IFERROR(__xludf.DUMMYFUNCTION("""COMPUTED_VALUE"""),315)</f>
        <v>315</v>
      </c>
      <c r="X298" s="1">
        <f ca="1">IFERROR(__xludf.DUMMYFUNCTION("""COMPUTED_VALUE"""),548)</f>
        <v>548</v>
      </c>
      <c r="Y298" s="1">
        <f ca="1">IFERROR(__xludf.DUMMYFUNCTION("""COMPUTED_VALUE"""),0.575)</f>
        <v>0.57499999999999996</v>
      </c>
      <c r="Z298" s="1">
        <f ca="1">IFERROR(__xludf.DUMMYFUNCTION("""COMPUTED_VALUE"""),328)</f>
        <v>328</v>
      </c>
      <c r="AA298" s="1">
        <f ca="1">IFERROR(__xludf.DUMMYFUNCTION("""COMPUTED_VALUE"""),907)</f>
        <v>907</v>
      </c>
      <c r="AB298" s="1">
        <f ca="1">IFERROR(__xludf.DUMMYFUNCTION("""COMPUTED_VALUE"""),277)</f>
        <v>277</v>
      </c>
      <c r="AC298" s="1">
        <f ca="1">IFERROR(__xludf.DUMMYFUNCTION("""COMPUTED_VALUE"""),263)</f>
        <v>263</v>
      </c>
      <c r="AD298" s="1">
        <f ca="1">IFERROR(__xludf.DUMMYFUNCTION("""COMPUTED_VALUE"""),71)</f>
        <v>71</v>
      </c>
      <c r="AE298" s="1">
        <f ca="1">IFERROR(__xludf.DUMMYFUNCTION("""COMPUTED_VALUE"""),513)</f>
        <v>513</v>
      </c>
      <c r="AF298" s="1">
        <f ca="1">IFERROR(__xludf.DUMMYFUNCTION("""COMPUTED_VALUE"""),588)</f>
        <v>588</v>
      </c>
    </row>
    <row r="299" spans="1:32" ht="12.5" x14ac:dyDescent="0.25">
      <c r="A299" s="1" t="str">
        <f ca="1">IFERROR(__xludf.DUMMYFUNCTION("""COMPUTED_VALUE"""),"Seattle")</f>
        <v>Seattle</v>
      </c>
      <c r="B299" s="1">
        <f ca="1">IFERROR(__xludf.DUMMYFUNCTION("""COMPUTED_VALUE"""),34)</f>
        <v>34</v>
      </c>
      <c r="C299" s="1">
        <f ca="1">IFERROR(__xludf.DUMMYFUNCTION("""COMPUTED_VALUE"""),18)</f>
        <v>18</v>
      </c>
      <c r="D299" s="1">
        <f ca="1">IFERROR(__xludf.DUMMYFUNCTION("""COMPUTED_VALUE"""),16)</f>
        <v>16</v>
      </c>
      <c r="E299" s="1">
        <f ca="1">IFERROR(__xludf.DUMMYFUNCTION("""COMPUTED_VALUE"""),0.529)</f>
        <v>0.52900000000000003</v>
      </c>
      <c r="F299" s="1">
        <f ca="1">IFERROR(__xludf.DUMMYFUNCTION("""COMPUTED_VALUE"""),-5.85)</f>
        <v>-5.85</v>
      </c>
      <c r="G299" s="1">
        <f ca="1">IFERROR(__xludf.DUMMYFUNCTION("""COMPUTED_VALUE"""),-4.69)</f>
        <v>-4.6900000000000004</v>
      </c>
      <c r="H299" s="1">
        <f ca="1">IFERROR(__xludf.DUMMYFUNCTION("""COMPUTED_VALUE"""),7)</f>
        <v>7</v>
      </c>
      <c r="I299" s="1">
        <f ca="1">IFERROR(__xludf.DUMMYFUNCTION("""COMPUTED_VALUE"""),7)</f>
        <v>7</v>
      </c>
      <c r="J299" s="1">
        <f ca="1">IFERROR(__xludf.DUMMYFUNCTION("""COMPUTED_VALUE"""),13)</f>
        <v>13</v>
      </c>
      <c r="K299" s="1">
        <f ca="1">IFERROR(__xludf.DUMMYFUNCTION("""COMPUTED_VALUE"""),5)</f>
        <v>5</v>
      </c>
      <c r="L299" s="1">
        <f ca="1">IFERROR(__xludf.DUMMYFUNCTION("""COMPUTED_VALUE"""),2)</f>
        <v>2</v>
      </c>
      <c r="M299" s="1">
        <f ca="1">IFERROR(__xludf.DUMMYFUNCTION("""COMPUTED_VALUE"""),10)</f>
        <v>10</v>
      </c>
      <c r="N299" s="1">
        <f ca="1">IFERROR(__xludf.DUMMYFUNCTION("""COMPUTED_VALUE"""),2123)</f>
        <v>2123</v>
      </c>
      <c r="O299" s="1">
        <f ca="1">IFERROR(__xludf.DUMMYFUNCTION("""COMPUTED_VALUE"""),2095)</f>
        <v>2095</v>
      </c>
      <c r="P299" s="1">
        <f ca="1">IFERROR(__xludf.DUMMYFUNCTION("""COMPUTED_VALUE"""),1365)</f>
        <v>1365</v>
      </c>
      <c r="Q299" s="1">
        <f ca="1">IFERROR(__xludf.DUMMYFUNCTION("""COMPUTED_VALUE"""),740)</f>
        <v>740</v>
      </c>
      <c r="R299" s="1">
        <f ca="1">IFERROR(__xludf.DUMMYFUNCTION("""COMPUTED_VALUE"""),1674)</f>
        <v>1674</v>
      </c>
      <c r="S299" s="1">
        <f ca="1">IFERROR(__xludf.DUMMYFUNCTION("""COMPUTED_VALUE"""),0.442)</f>
        <v>0.442</v>
      </c>
      <c r="T299" s="1">
        <f ca="1">IFERROR(__xludf.DUMMYFUNCTION("""COMPUTED_VALUE"""),236)</f>
        <v>236</v>
      </c>
      <c r="U299" s="1">
        <f ca="1">IFERROR(__xludf.DUMMYFUNCTION("""COMPUTED_VALUE"""),609)</f>
        <v>609</v>
      </c>
      <c r="V299" s="1">
        <f ca="1">IFERROR(__xludf.DUMMYFUNCTION("""COMPUTED_VALUE"""),0.388)</f>
        <v>0.38800000000000001</v>
      </c>
      <c r="W299" s="1">
        <f ca="1">IFERROR(__xludf.DUMMYFUNCTION("""COMPUTED_VALUE"""),407)</f>
        <v>407</v>
      </c>
      <c r="X299" s="1">
        <f ca="1">IFERROR(__xludf.DUMMYFUNCTION("""COMPUTED_VALUE"""),612)</f>
        <v>612</v>
      </c>
      <c r="Y299" s="1">
        <f ca="1">IFERROR(__xludf.DUMMYFUNCTION("""COMPUTED_VALUE"""),0.665)</f>
        <v>0.66500000000000004</v>
      </c>
      <c r="Z299" s="1">
        <f ca="1">IFERROR(__xludf.DUMMYFUNCTION("""COMPUTED_VALUE"""),324)</f>
        <v>324</v>
      </c>
      <c r="AA299" s="1">
        <f ca="1">IFERROR(__xludf.DUMMYFUNCTION("""COMPUTED_VALUE"""),1149)</f>
        <v>1149</v>
      </c>
      <c r="AB299" s="1">
        <f ca="1">IFERROR(__xludf.DUMMYFUNCTION("""COMPUTED_VALUE"""),471)</f>
        <v>471</v>
      </c>
      <c r="AC299" s="1">
        <f ca="1">IFERROR(__xludf.DUMMYFUNCTION("""COMPUTED_VALUE"""),185)</f>
        <v>185</v>
      </c>
      <c r="AD299" s="1">
        <f ca="1">IFERROR(__xludf.DUMMYFUNCTION("""COMPUTED_VALUE"""),50)</f>
        <v>50</v>
      </c>
      <c r="AE299" s="1">
        <f ca="1">IFERROR(__xludf.DUMMYFUNCTION("""COMPUTED_VALUE"""),466)</f>
        <v>466</v>
      </c>
      <c r="AF299" s="1">
        <f ca="1">IFERROR(__xludf.DUMMYFUNCTION("""COMPUTED_VALUE"""),572)</f>
        <v>572</v>
      </c>
    </row>
    <row r="300" spans="1:32" ht="12.5" x14ac:dyDescent="0.25">
      <c r="A300" s="1" t="str">
        <f ca="1">IFERROR(__xludf.DUMMYFUNCTION("""COMPUTED_VALUE"""),"Seton Hall")</f>
        <v>Seton Hall</v>
      </c>
      <c r="B300" s="1">
        <f ca="1">IFERROR(__xludf.DUMMYFUNCTION("""COMPUTED_VALUE"""),31)</f>
        <v>31</v>
      </c>
      <c r="C300" s="1">
        <f ca="1">IFERROR(__xludf.DUMMYFUNCTION("""COMPUTED_VALUE"""),16)</f>
        <v>16</v>
      </c>
      <c r="D300" s="1">
        <f ca="1">IFERROR(__xludf.DUMMYFUNCTION("""COMPUTED_VALUE"""),15)</f>
        <v>15</v>
      </c>
      <c r="E300" s="1">
        <f ca="1">IFERROR(__xludf.DUMMYFUNCTION("""COMPUTED_VALUE"""),0.516)</f>
        <v>0.51600000000000001</v>
      </c>
      <c r="F300" s="1">
        <f ca="1">IFERROR(__xludf.DUMMYFUNCTION("""COMPUTED_VALUE"""),7.95)</f>
        <v>7.95</v>
      </c>
      <c r="G300" s="1">
        <f ca="1">IFERROR(__xludf.DUMMYFUNCTION("""COMPUTED_VALUE"""),7.56)</f>
        <v>7.56</v>
      </c>
      <c r="H300" s="1">
        <f ca="1">IFERROR(__xludf.DUMMYFUNCTION("""COMPUTED_VALUE"""),6)</f>
        <v>6</v>
      </c>
      <c r="I300" s="1">
        <f ca="1">IFERROR(__xludf.DUMMYFUNCTION("""COMPUTED_VALUE"""),12)</f>
        <v>12</v>
      </c>
      <c r="J300" s="1">
        <f ca="1">IFERROR(__xludf.DUMMYFUNCTION("""COMPUTED_VALUE"""),10)</f>
        <v>10</v>
      </c>
      <c r="K300" s="1">
        <f ca="1">IFERROR(__xludf.DUMMYFUNCTION("""COMPUTED_VALUE"""),5)</f>
        <v>5</v>
      </c>
      <c r="L300" s="1">
        <f ca="1">IFERROR(__xludf.DUMMYFUNCTION("""COMPUTED_VALUE"""),3)</f>
        <v>3</v>
      </c>
      <c r="M300" s="1">
        <f ca="1">IFERROR(__xludf.DUMMYFUNCTION("""COMPUTED_VALUE"""),9)</f>
        <v>9</v>
      </c>
      <c r="N300" s="1">
        <f ca="1">IFERROR(__xludf.DUMMYFUNCTION("""COMPUTED_VALUE"""),2119)</f>
        <v>2119</v>
      </c>
      <c r="O300" s="1">
        <f ca="1">IFERROR(__xludf.DUMMYFUNCTION("""COMPUTED_VALUE"""),2107)</f>
        <v>2107</v>
      </c>
      <c r="P300" s="1">
        <f ca="1">IFERROR(__xludf.DUMMYFUNCTION("""COMPUTED_VALUE"""),1250)</f>
        <v>1250</v>
      </c>
      <c r="Q300" s="1">
        <f ca="1">IFERROR(__xludf.DUMMYFUNCTION("""COMPUTED_VALUE"""),735)</f>
        <v>735</v>
      </c>
      <c r="R300" s="1">
        <f ca="1">IFERROR(__xludf.DUMMYFUNCTION("""COMPUTED_VALUE"""),1745)</f>
        <v>1745</v>
      </c>
      <c r="S300" s="1">
        <f ca="1">IFERROR(__xludf.DUMMYFUNCTION("""COMPUTED_VALUE"""),0.421)</f>
        <v>0.42099999999999999</v>
      </c>
      <c r="T300" s="1">
        <f ca="1">IFERROR(__xludf.DUMMYFUNCTION("""COMPUTED_VALUE"""),213)</f>
        <v>213</v>
      </c>
      <c r="U300" s="1">
        <f ca="1">IFERROR(__xludf.DUMMYFUNCTION("""COMPUTED_VALUE"""),609)</f>
        <v>609</v>
      </c>
      <c r="V300" s="1">
        <f ca="1">IFERROR(__xludf.DUMMYFUNCTION("""COMPUTED_VALUE"""),0.35)</f>
        <v>0.35</v>
      </c>
      <c r="W300" s="1">
        <f ca="1">IFERROR(__xludf.DUMMYFUNCTION("""COMPUTED_VALUE"""),436)</f>
        <v>436</v>
      </c>
      <c r="X300" s="1">
        <f ca="1">IFERROR(__xludf.DUMMYFUNCTION("""COMPUTED_VALUE"""),664)</f>
        <v>664</v>
      </c>
      <c r="Y300" s="1">
        <f ca="1">IFERROR(__xludf.DUMMYFUNCTION("""COMPUTED_VALUE"""),0.657)</f>
        <v>0.65700000000000003</v>
      </c>
      <c r="Z300" s="1">
        <f ca="1">IFERROR(__xludf.DUMMYFUNCTION("""COMPUTED_VALUE"""),391)</f>
        <v>391</v>
      </c>
      <c r="AA300" s="1">
        <f ca="1">IFERROR(__xludf.DUMMYFUNCTION("""COMPUTED_VALUE"""),1123)</f>
        <v>1123</v>
      </c>
      <c r="AB300" s="1">
        <f ca="1">IFERROR(__xludf.DUMMYFUNCTION("""COMPUTED_VALUE"""),384)</f>
        <v>384</v>
      </c>
      <c r="AC300" s="1">
        <f ca="1">IFERROR(__xludf.DUMMYFUNCTION("""COMPUTED_VALUE"""),185)</f>
        <v>185</v>
      </c>
      <c r="AD300" s="1">
        <f ca="1">IFERROR(__xludf.DUMMYFUNCTION("""COMPUTED_VALUE"""),127)</f>
        <v>127</v>
      </c>
      <c r="AE300" s="1">
        <f ca="1">IFERROR(__xludf.DUMMYFUNCTION("""COMPUTED_VALUE"""),385)</f>
        <v>385</v>
      </c>
      <c r="AF300" s="1">
        <f ca="1">IFERROR(__xludf.DUMMYFUNCTION("""COMPUTED_VALUE"""),595)</f>
        <v>595</v>
      </c>
    </row>
    <row r="301" spans="1:32" ht="12.5" x14ac:dyDescent="0.25">
      <c r="A301" s="1" t="str">
        <f ca="1">IFERROR(__xludf.DUMMYFUNCTION("""COMPUTED_VALUE"""),"Siena")</f>
        <v>Siena</v>
      </c>
      <c r="B301" s="1">
        <f ca="1">IFERROR(__xludf.DUMMYFUNCTION("""COMPUTED_VALUE"""),31)</f>
        <v>31</v>
      </c>
      <c r="C301" s="1">
        <f ca="1">IFERROR(__xludf.DUMMYFUNCTION("""COMPUTED_VALUE"""),11)</f>
        <v>11</v>
      </c>
      <c r="D301" s="1">
        <f ca="1">IFERROR(__xludf.DUMMYFUNCTION("""COMPUTED_VALUE"""),20)</f>
        <v>20</v>
      </c>
      <c r="E301" s="1">
        <f ca="1">IFERROR(__xludf.DUMMYFUNCTION("""COMPUTED_VALUE"""),0.355)</f>
        <v>0.35499999999999998</v>
      </c>
      <c r="F301" s="1">
        <f ca="1">IFERROR(__xludf.DUMMYFUNCTION("""COMPUTED_VALUE"""),-6.93)</f>
        <v>-6.93</v>
      </c>
      <c r="G301" s="1">
        <f ca="1">IFERROR(__xludf.DUMMYFUNCTION("""COMPUTED_VALUE"""),-2.9)</f>
        <v>-2.9</v>
      </c>
      <c r="H301" s="1">
        <f ca="1">IFERROR(__xludf.DUMMYFUNCTION("""COMPUTED_VALUE"""),7)</f>
        <v>7</v>
      </c>
      <c r="I301" s="1">
        <f ca="1">IFERROR(__xludf.DUMMYFUNCTION("""COMPUTED_VALUE"""),13)</f>
        <v>13</v>
      </c>
      <c r="J301" s="1">
        <f ca="1">IFERROR(__xludf.DUMMYFUNCTION("""COMPUTED_VALUE"""),6)</f>
        <v>6</v>
      </c>
      <c r="K301" s="1">
        <f ca="1">IFERROR(__xludf.DUMMYFUNCTION("""COMPUTED_VALUE"""),9)</f>
        <v>9</v>
      </c>
      <c r="L301" s="1">
        <f ca="1">IFERROR(__xludf.DUMMYFUNCTION("""COMPUTED_VALUE"""),5)</f>
        <v>5</v>
      </c>
      <c r="M301" s="1">
        <f ca="1">IFERROR(__xludf.DUMMYFUNCTION("""COMPUTED_VALUE"""),10)</f>
        <v>10</v>
      </c>
      <c r="N301" s="1">
        <f ca="1">IFERROR(__xludf.DUMMYFUNCTION("""COMPUTED_VALUE"""),2164)</f>
        <v>2164</v>
      </c>
      <c r="O301" s="1">
        <f ca="1">IFERROR(__xludf.DUMMYFUNCTION("""COMPUTED_VALUE"""),2289)</f>
        <v>2289</v>
      </c>
      <c r="P301" s="1">
        <f ca="1">IFERROR(__xludf.DUMMYFUNCTION("""COMPUTED_VALUE"""),1245)</f>
        <v>1245</v>
      </c>
      <c r="Q301" s="1">
        <f ca="1">IFERROR(__xludf.DUMMYFUNCTION("""COMPUTED_VALUE"""),748)</f>
        <v>748</v>
      </c>
      <c r="R301" s="1">
        <f ca="1">IFERROR(__xludf.DUMMYFUNCTION("""COMPUTED_VALUE"""),1736)</f>
        <v>1736</v>
      </c>
      <c r="S301" s="1">
        <f ca="1">IFERROR(__xludf.DUMMYFUNCTION("""COMPUTED_VALUE"""),0.431)</f>
        <v>0.43099999999999999</v>
      </c>
      <c r="T301" s="1">
        <f ca="1">IFERROR(__xludf.DUMMYFUNCTION("""COMPUTED_VALUE"""),152)</f>
        <v>152</v>
      </c>
      <c r="U301" s="1">
        <f ca="1">IFERROR(__xludf.DUMMYFUNCTION("""COMPUTED_VALUE"""),458)</f>
        <v>458</v>
      </c>
      <c r="V301" s="1">
        <f ca="1">IFERROR(__xludf.DUMMYFUNCTION("""COMPUTED_VALUE"""),0.332)</f>
        <v>0.33200000000000002</v>
      </c>
      <c r="W301" s="1">
        <f ca="1">IFERROR(__xludf.DUMMYFUNCTION("""COMPUTED_VALUE"""),516)</f>
        <v>516</v>
      </c>
      <c r="X301" s="1">
        <f ca="1">IFERROR(__xludf.DUMMYFUNCTION("""COMPUTED_VALUE"""),727)</f>
        <v>727</v>
      </c>
      <c r="Y301" s="1">
        <f ca="1">IFERROR(__xludf.DUMMYFUNCTION("""COMPUTED_VALUE"""),0.71)</f>
        <v>0.71</v>
      </c>
      <c r="Z301" s="1">
        <f ca="1">IFERROR(__xludf.DUMMYFUNCTION("""COMPUTED_VALUE"""),395)</f>
        <v>395</v>
      </c>
      <c r="AA301" s="1">
        <f ca="1">IFERROR(__xludf.DUMMYFUNCTION("""COMPUTED_VALUE"""),1023)</f>
        <v>1023</v>
      </c>
      <c r="AB301" s="1">
        <f ca="1">IFERROR(__xludf.DUMMYFUNCTION("""COMPUTED_VALUE"""),411)</f>
        <v>411</v>
      </c>
      <c r="AC301" s="1">
        <f ca="1">IFERROR(__xludf.DUMMYFUNCTION("""COMPUTED_VALUE"""),233)</f>
        <v>233</v>
      </c>
      <c r="AD301" s="1">
        <f ca="1">IFERROR(__xludf.DUMMYFUNCTION("""COMPUTED_VALUE"""),111)</f>
        <v>111</v>
      </c>
      <c r="AE301" s="1">
        <f ca="1">IFERROR(__xludf.DUMMYFUNCTION("""COMPUTED_VALUE"""),389)</f>
        <v>389</v>
      </c>
      <c r="AF301" s="1">
        <f ca="1">IFERROR(__xludf.DUMMYFUNCTION("""COMPUTED_VALUE"""),649)</f>
        <v>649</v>
      </c>
    </row>
    <row r="302" spans="1:32" ht="12.5" x14ac:dyDescent="0.25">
      <c r="A302" s="1" t="str">
        <f ca="1">IFERROR(__xludf.DUMMYFUNCTION("""COMPUTED_VALUE"""),"South Alabama")</f>
        <v>South Alabama</v>
      </c>
      <c r="B302" s="1">
        <f ca="1">IFERROR(__xludf.DUMMYFUNCTION("""COMPUTED_VALUE"""),33)</f>
        <v>33</v>
      </c>
      <c r="C302" s="1">
        <f ca="1">IFERROR(__xludf.DUMMYFUNCTION("""COMPUTED_VALUE"""),12)</f>
        <v>12</v>
      </c>
      <c r="D302" s="1">
        <f ca="1">IFERROR(__xludf.DUMMYFUNCTION("""COMPUTED_VALUE"""),21)</f>
        <v>21</v>
      </c>
      <c r="E302" s="1">
        <f ca="1">IFERROR(__xludf.DUMMYFUNCTION("""COMPUTED_VALUE"""),0.364)</f>
        <v>0.36399999999999999</v>
      </c>
      <c r="F302" s="1">
        <f ca="1">IFERROR(__xludf.DUMMYFUNCTION("""COMPUTED_VALUE"""),-9.46)</f>
        <v>-9.4600000000000009</v>
      </c>
      <c r="G302" s="1">
        <f ca="1">IFERROR(__xludf.DUMMYFUNCTION("""COMPUTED_VALUE"""),-3.04)</f>
        <v>-3.04</v>
      </c>
      <c r="H302" s="1">
        <f ca="1">IFERROR(__xludf.DUMMYFUNCTION("""COMPUTED_VALUE"""),9)</f>
        <v>9</v>
      </c>
      <c r="I302" s="1">
        <f ca="1">IFERROR(__xludf.DUMMYFUNCTION("""COMPUTED_VALUE"""),11)</f>
        <v>11</v>
      </c>
      <c r="J302" s="1">
        <f ca="1">IFERROR(__xludf.DUMMYFUNCTION("""COMPUTED_VALUE"""),7)</f>
        <v>7</v>
      </c>
      <c r="K302" s="1">
        <f ca="1">IFERROR(__xludf.DUMMYFUNCTION("""COMPUTED_VALUE"""),8)</f>
        <v>8</v>
      </c>
      <c r="L302" s="1">
        <f ca="1">IFERROR(__xludf.DUMMYFUNCTION("""COMPUTED_VALUE"""),4)</f>
        <v>4</v>
      </c>
      <c r="M302" s="1">
        <f ca="1">IFERROR(__xludf.DUMMYFUNCTION("""COMPUTED_VALUE"""),12)</f>
        <v>12</v>
      </c>
      <c r="N302" s="1">
        <f ca="1">IFERROR(__xludf.DUMMYFUNCTION("""COMPUTED_VALUE"""),2275)</f>
        <v>2275</v>
      </c>
      <c r="O302" s="1">
        <f ca="1">IFERROR(__xludf.DUMMYFUNCTION("""COMPUTED_VALUE"""),2438)</f>
        <v>2438</v>
      </c>
      <c r="P302" s="1">
        <f ca="1">IFERROR(__xludf.DUMMYFUNCTION("""COMPUTED_VALUE"""),1335)</f>
        <v>1335</v>
      </c>
      <c r="Q302" s="1">
        <f ca="1">IFERROR(__xludf.DUMMYFUNCTION("""COMPUTED_VALUE"""),762)</f>
        <v>762</v>
      </c>
      <c r="R302" s="1">
        <f ca="1">IFERROR(__xludf.DUMMYFUNCTION("""COMPUTED_VALUE"""),1813)</f>
        <v>1813</v>
      </c>
      <c r="S302" s="1">
        <f ca="1">IFERROR(__xludf.DUMMYFUNCTION("""COMPUTED_VALUE"""),0.42)</f>
        <v>0.42</v>
      </c>
      <c r="T302" s="1">
        <f ca="1">IFERROR(__xludf.DUMMYFUNCTION("""COMPUTED_VALUE"""),214)</f>
        <v>214</v>
      </c>
      <c r="U302" s="1">
        <f ca="1">IFERROR(__xludf.DUMMYFUNCTION("""COMPUTED_VALUE"""),640)</f>
        <v>640</v>
      </c>
      <c r="V302" s="1">
        <f ca="1">IFERROR(__xludf.DUMMYFUNCTION("""COMPUTED_VALUE"""),0.334)</f>
        <v>0.33400000000000002</v>
      </c>
      <c r="W302" s="1">
        <f ca="1">IFERROR(__xludf.DUMMYFUNCTION("""COMPUTED_VALUE"""),537)</f>
        <v>537</v>
      </c>
      <c r="X302" s="1">
        <f ca="1">IFERROR(__xludf.DUMMYFUNCTION("""COMPUTED_VALUE"""),764)</f>
        <v>764</v>
      </c>
      <c r="Y302" s="1">
        <f ca="1">IFERROR(__xludf.DUMMYFUNCTION("""COMPUTED_VALUE"""),0.703)</f>
        <v>0.70299999999999996</v>
      </c>
      <c r="Z302" s="1">
        <f ca="1">IFERROR(__xludf.DUMMYFUNCTION("""COMPUTED_VALUE"""),360)</f>
        <v>360</v>
      </c>
      <c r="AA302" s="1">
        <f ca="1">IFERROR(__xludf.DUMMYFUNCTION("""COMPUTED_VALUE"""),1175)</f>
        <v>1175</v>
      </c>
      <c r="AB302" s="1">
        <f ca="1">IFERROR(__xludf.DUMMYFUNCTION("""COMPUTED_VALUE"""),353)</f>
        <v>353</v>
      </c>
      <c r="AC302" s="1">
        <f ca="1">IFERROR(__xludf.DUMMYFUNCTION("""COMPUTED_VALUE"""),157)</f>
        <v>157</v>
      </c>
      <c r="AD302" s="1">
        <f ca="1">IFERROR(__xludf.DUMMYFUNCTION("""COMPUTED_VALUE"""),121)</f>
        <v>121</v>
      </c>
      <c r="AE302" s="1">
        <f ca="1">IFERROR(__xludf.DUMMYFUNCTION("""COMPUTED_VALUE"""),474)</f>
        <v>474</v>
      </c>
      <c r="AF302" s="1">
        <f ca="1">IFERROR(__xludf.DUMMYFUNCTION("""COMPUTED_VALUE"""),586)</f>
        <v>586</v>
      </c>
    </row>
    <row r="303" spans="1:32" ht="12.5" x14ac:dyDescent="0.25">
      <c r="A303" s="1" t="str">
        <f ca="1">IFERROR(__xludf.DUMMYFUNCTION("""COMPUTED_VALUE"""),"South Carolina State")</f>
        <v>South Carolina State</v>
      </c>
      <c r="B303" s="1">
        <f ca="1">IFERROR(__xludf.DUMMYFUNCTION("""COMPUTED_VALUE"""),33)</f>
        <v>33</v>
      </c>
      <c r="C303" s="1">
        <f ca="1">IFERROR(__xludf.DUMMYFUNCTION("""COMPUTED_VALUE"""),11)</f>
        <v>11</v>
      </c>
      <c r="D303" s="1">
        <f ca="1">IFERROR(__xludf.DUMMYFUNCTION("""COMPUTED_VALUE"""),22)</f>
        <v>22</v>
      </c>
      <c r="E303" s="1">
        <f ca="1">IFERROR(__xludf.DUMMYFUNCTION("""COMPUTED_VALUE"""),0.333)</f>
        <v>0.33300000000000002</v>
      </c>
      <c r="F303" s="1">
        <f ca="1">IFERROR(__xludf.DUMMYFUNCTION("""COMPUTED_VALUE"""),-17.37)</f>
        <v>-17.37</v>
      </c>
      <c r="G303" s="1">
        <f ca="1">IFERROR(__xludf.DUMMYFUNCTION("""COMPUTED_VALUE"""),-7.46)</f>
        <v>-7.46</v>
      </c>
      <c r="H303" s="1">
        <f ca="1">IFERROR(__xludf.DUMMYFUNCTION("""COMPUTED_VALUE"""),7)</f>
        <v>7</v>
      </c>
      <c r="I303" s="1">
        <f ca="1">IFERROR(__xludf.DUMMYFUNCTION("""COMPUTED_VALUE"""),9)</f>
        <v>9</v>
      </c>
      <c r="J303" s="1">
        <f ca="1">IFERROR(__xludf.DUMMYFUNCTION("""COMPUTED_VALUE"""),6)</f>
        <v>6</v>
      </c>
      <c r="K303" s="1">
        <f ca="1">IFERROR(__xludf.DUMMYFUNCTION("""COMPUTED_VALUE"""),5)</f>
        <v>5</v>
      </c>
      <c r="L303" s="1">
        <f ca="1">IFERROR(__xludf.DUMMYFUNCTION("""COMPUTED_VALUE"""),4)</f>
        <v>4</v>
      </c>
      <c r="M303" s="1">
        <f ca="1">IFERROR(__xludf.DUMMYFUNCTION("""COMPUTED_VALUE"""),14)</f>
        <v>14</v>
      </c>
      <c r="N303" s="1">
        <f ca="1">IFERROR(__xludf.DUMMYFUNCTION("""COMPUTED_VALUE"""),1965)</f>
        <v>1965</v>
      </c>
      <c r="O303" s="1">
        <f ca="1">IFERROR(__xludf.DUMMYFUNCTION("""COMPUTED_VALUE"""),2203)</f>
        <v>2203</v>
      </c>
      <c r="P303" s="1">
        <f ca="1">IFERROR(__xludf.DUMMYFUNCTION("""COMPUTED_VALUE"""),1325)</f>
        <v>1325</v>
      </c>
      <c r="Q303" s="1">
        <f ca="1">IFERROR(__xludf.DUMMYFUNCTION("""COMPUTED_VALUE"""),706)</f>
        <v>706</v>
      </c>
      <c r="R303" s="1">
        <f ca="1">IFERROR(__xludf.DUMMYFUNCTION("""COMPUTED_VALUE"""),1846)</f>
        <v>1846</v>
      </c>
      <c r="S303" s="1">
        <f ca="1">IFERROR(__xludf.DUMMYFUNCTION("""COMPUTED_VALUE"""),0.382)</f>
        <v>0.38200000000000001</v>
      </c>
      <c r="T303" s="1">
        <f ca="1">IFERROR(__xludf.DUMMYFUNCTION("""COMPUTED_VALUE"""),184)</f>
        <v>184</v>
      </c>
      <c r="U303" s="1">
        <f ca="1">IFERROR(__xludf.DUMMYFUNCTION("""COMPUTED_VALUE"""),608)</f>
        <v>608</v>
      </c>
      <c r="V303" s="1">
        <f ca="1">IFERROR(__xludf.DUMMYFUNCTION("""COMPUTED_VALUE"""),0.303)</f>
        <v>0.30299999999999999</v>
      </c>
      <c r="W303" s="1">
        <f ca="1">IFERROR(__xludf.DUMMYFUNCTION("""COMPUTED_VALUE"""),369)</f>
        <v>369</v>
      </c>
      <c r="X303" s="1">
        <f ca="1">IFERROR(__xludf.DUMMYFUNCTION("""COMPUTED_VALUE"""),612)</f>
        <v>612</v>
      </c>
      <c r="Y303" s="1">
        <f ca="1">IFERROR(__xludf.DUMMYFUNCTION("""COMPUTED_VALUE"""),0.603)</f>
        <v>0.60299999999999998</v>
      </c>
      <c r="Z303" s="1">
        <f ca="1">IFERROR(__xludf.DUMMYFUNCTION("""COMPUTED_VALUE"""),394)</f>
        <v>394</v>
      </c>
      <c r="AA303" s="1">
        <f ca="1">IFERROR(__xludf.DUMMYFUNCTION("""COMPUTED_VALUE"""),1142)</f>
        <v>1142</v>
      </c>
      <c r="AB303" s="1">
        <f ca="1">IFERROR(__xludf.DUMMYFUNCTION("""COMPUTED_VALUE"""),360)</f>
        <v>360</v>
      </c>
      <c r="AC303" s="1">
        <f ca="1">IFERROR(__xludf.DUMMYFUNCTION("""COMPUTED_VALUE"""),200)</f>
        <v>200</v>
      </c>
      <c r="AD303" s="1">
        <f ca="1">IFERROR(__xludf.DUMMYFUNCTION("""COMPUTED_VALUE"""),101)</f>
        <v>101</v>
      </c>
      <c r="AE303" s="1">
        <f ca="1">IFERROR(__xludf.DUMMYFUNCTION("""COMPUTED_VALUE"""),412)</f>
        <v>412</v>
      </c>
      <c r="AF303" s="1">
        <f ca="1">IFERROR(__xludf.DUMMYFUNCTION("""COMPUTED_VALUE"""),579)</f>
        <v>579</v>
      </c>
    </row>
    <row r="304" spans="1:32" ht="12.5" x14ac:dyDescent="0.25">
      <c r="A304" s="1" t="str">
        <f ca="1">IFERROR(__xludf.DUMMYFUNCTION("""COMPUTED_VALUE"""),"South Carolina Upstate")</f>
        <v>South Carolina Upstate</v>
      </c>
      <c r="B304" s="1">
        <f ca="1">IFERROR(__xludf.DUMMYFUNCTION("""COMPUTED_VALUE"""),36)</f>
        <v>36</v>
      </c>
      <c r="C304" s="1">
        <f ca="1">IFERROR(__xludf.DUMMYFUNCTION("""COMPUTED_VALUE"""),24)</f>
        <v>24</v>
      </c>
      <c r="D304" s="1">
        <f ca="1">IFERROR(__xludf.DUMMYFUNCTION("""COMPUTED_VALUE"""),12)</f>
        <v>12</v>
      </c>
      <c r="E304" s="1">
        <f ca="1">IFERROR(__xludf.DUMMYFUNCTION("""COMPUTED_VALUE"""),0.667)</f>
        <v>0.66700000000000004</v>
      </c>
      <c r="F304" s="1">
        <f ca="1">IFERROR(__xludf.DUMMYFUNCTION("""COMPUTED_VALUE"""),-2.28)</f>
        <v>-2.2799999999999998</v>
      </c>
      <c r="G304" s="1">
        <f ca="1">IFERROR(__xludf.DUMMYFUNCTION("""COMPUTED_VALUE"""),-7.5)</f>
        <v>-7.5</v>
      </c>
      <c r="H304" s="1">
        <f ca="1">IFERROR(__xludf.DUMMYFUNCTION("""COMPUTED_VALUE"""),8)</f>
        <v>8</v>
      </c>
      <c r="I304" s="1">
        <f ca="1">IFERROR(__xludf.DUMMYFUNCTION("""COMPUTED_VALUE"""),6)</f>
        <v>6</v>
      </c>
      <c r="J304" s="1">
        <f ca="1">IFERROR(__xludf.DUMMYFUNCTION("""COMPUTED_VALUE"""),14)</f>
        <v>14</v>
      </c>
      <c r="K304" s="1">
        <f ca="1">IFERROR(__xludf.DUMMYFUNCTION("""COMPUTED_VALUE"""),5)</f>
        <v>5</v>
      </c>
      <c r="L304" s="1">
        <f ca="1">IFERROR(__xludf.DUMMYFUNCTION("""COMPUTED_VALUE"""),9)</f>
        <v>9</v>
      </c>
      <c r="M304" s="1">
        <f ca="1">IFERROR(__xludf.DUMMYFUNCTION("""COMPUTED_VALUE"""),7)</f>
        <v>7</v>
      </c>
      <c r="N304" s="1">
        <f ca="1">IFERROR(__xludf.DUMMYFUNCTION("""COMPUTED_VALUE"""),2579)</f>
        <v>2579</v>
      </c>
      <c r="O304" s="1">
        <f ca="1">IFERROR(__xludf.DUMMYFUNCTION("""COMPUTED_VALUE"""),2198)</f>
        <v>2198</v>
      </c>
      <c r="P304" s="1">
        <f ca="1">IFERROR(__xludf.DUMMYFUNCTION("""COMPUTED_VALUE"""),1440)</f>
        <v>1440</v>
      </c>
      <c r="Q304" s="1">
        <f ca="1">IFERROR(__xludf.DUMMYFUNCTION("""COMPUTED_VALUE"""),938)</f>
        <v>938</v>
      </c>
      <c r="R304" s="1">
        <f ca="1">IFERROR(__xludf.DUMMYFUNCTION("""COMPUTED_VALUE"""),2124)</f>
        <v>2124</v>
      </c>
      <c r="S304" s="1">
        <f ca="1">IFERROR(__xludf.DUMMYFUNCTION("""COMPUTED_VALUE"""),0.442)</f>
        <v>0.442</v>
      </c>
      <c r="T304" s="1">
        <f ca="1">IFERROR(__xludf.DUMMYFUNCTION("""COMPUTED_VALUE"""),290)</f>
        <v>290</v>
      </c>
      <c r="U304" s="1">
        <f ca="1">IFERROR(__xludf.DUMMYFUNCTION("""COMPUTED_VALUE"""),863)</f>
        <v>863</v>
      </c>
      <c r="V304" s="1">
        <f ca="1">IFERROR(__xludf.DUMMYFUNCTION("""COMPUTED_VALUE"""),0.336)</f>
        <v>0.33600000000000002</v>
      </c>
      <c r="W304" s="1">
        <f ca="1">IFERROR(__xludf.DUMMYFUNCTION("""COMPUTED_VALUE"""),413)</f>
        <v>413</v>
      </c>
      <c r="X304" s="1">
        <f ca="1">IFERROR(__xludf.DUMMYFUNCTION("""COMPUTED_VALUE"""),631)</f>
        <v>631</v>
      </c>
      <c r="Y304" s="1">
        <f ca="1">IFERROR(__xludf.DUMMYFUNCTION("""COMPUTED_VALUE"""),0.655)</f>
        <v>0.65500000000000003</v>
      </c>
      <c r="Z304" s="1">
        <f ca="1">IFERROR(__xludf.DUMMYFUNCTION("""COMPUTED_VALUE"""),482)</f>
        <v>482</v>
      </c>
      <c r="AA304" s="1">
        <f ca="1">IFERROR(__xludf.DUMMYFUNCTION("""COMPUTED_VALUE"""),1372)</f>
        <v>1372</v>
      </c>
      <c r="AB304" s="1">
        <f ca="1">IFERROR(__xludf.DUMMYFUNCTION("""COMPUTED_VALUE"""),534)</f>
        <v>534</v>
      </c>
      <c r="AC304" s="1">
        <f ca="1">IFERROR(__xludf.DUMMYFUNCTION("""COMPUTED_VALUE"""),283)</f>
        <v>283</v>
      </c>
      <c r="AD304" s="1">
        <f ca="1">IFERROR(__xludf.DUMMYFUNCTION("""COMPUTED_VALUE"""),114)</f>
        <v>114</v>
      </c>
      <c r="AE304" s="1">
        <f ca="1">IFERROR(__xludf.DUMMYFUNCTION("""COMPUTED_VALUE"""),390)</f>
        <v>390</v>
      </c>
      <c r="AF304" s="1">
        <f ca="1">IFERROR(__xludf.DUMMYFUNCTION("""COMPUTED_VALUE"""),588)</f>
        <v>588</v>
      </c>
    </row>
    <row r="305" spans="1:32" ht="12.5" x14ac:dyDescent="0.25">
      <c r="A305" s="1" t="str">
        <f ca="1">IFERROR(__xludf.DUMMYFUNCTION("""COMPUTED_VALUE"""),"South Carolina")</f>
        <v>South Carolina</v>
      </c>
      <c r="B305" s="1">
        <f ca="1">IFERROR(__xludf.DUMMYFUNCTION("""COMPUTED_VALUE"""),33)</f>
        <v>33</v>
      </c>
      <c r="C305" s="1">
        <f ca="1">IFERROR(__xludf.DUMMYFUNCTION("""COMPUTED_VALUE"""),17)</f>
        <v>17</v>
      </c>
      <c r="D305" s="1">
        <f ca="1">IFERROR(__xludf.DUMMYFUNCTION("""COMPUTED_VALUE"""),16)</f>
        <v>16</v>
      </c>
      <c r="E305" s="1">
        <f ca="1">IFERROR(__xludf.DUMMYFUNCTION("""COMPUTED_VALUE"""),0.515)</f>
        <v>0.51500000000000001</v>
      </c>
      <c r="F305" s="1">
        <f ca="1">IFERROR(__xludf.DUMMYFUNCTION("""COMPUTED_VALUE"""),10.55)</f>
        <v>10.55</v>
      </c>
      <c r="G305" s="1">
        <f ca="1">IFERROR(__xludf.DUMMYFUNCTION("""COMPUTED_VALUE"""),8.24)</f>
        <v>8.24</v>
      </c>
      <c r="H305" s="1">
        <f ca="1">IFERROR(__xludf.DUMMYFUNCTION("""COMPUTED_VALUE"""),6)</f>
        <v>6</v>
      </c>
      <c r="I305" s="1">
        <f ca="1">IFERROR(__xludf.DUMMYFUNCTION("""COMPUTED_VALUE"""),12)</f>
        <v>12</v>
      </c>
      <c r="J305" s="1">
        <f ca="1">IFERROR(__xludf.DUMMYFUNCTION("""COMPUTED_VALUE"""),10)</f>
        <v>10</v>
      </c>
      <c r="K305" s="1">
        <f ca="1">IFERROR(__xludf.DUMMYFUNCTION("""COMPUTED_VALUE"""),6)</f>
        <v>6</v>
      </c>
      <c r="L305" s="1">
        <f ca="1">IFERROR(__xludf.DUMMYFUNCTION("""COMPUTED_VALUE"""),3)</f>
        <v>3</v>
      </c>
      <c r="M305" s="1">
        <f ca="1">IFERROR(__xludf.DUMMYFUNCTION("""COMPUTED_VALUE"""),7)</f>
        <v>7</v>
      </c>
      <c r="N305" s="1">
        <f ca="1">IFERROR(__xludf.DUMMYFUNCTION("""COMPUTED_VALUE"""),2146)</f>
        <v>2146</v>
      </c>
      <c r="O305" s="1">
        <f ca="1">IFERROR(__xludf.DUMMYFUNCTION("""COMPUTED_VALUE"""),2046)</f>
        <v>2046</v>
      </c>
      <c r="P305" s="1">
        <f ca="1">IFERROR(__xludf.DUMMYFUNCTION("""COMPUTED_VALUE"""),1320)</f>
        <v>1320</v>
      </c>
      <c r="Q305" s="1">
        <f ca="1">IFERROR(__xludf.DUMMYFUNCTION("""COMPUTED_VALUE"""),735)</f>
        <v>735</v>
      </c>
      <c r="R305" s="1">
        <f ca="1">IFERROR(__xludf.DUMMYFUNCTION("""COMPUTED_VALUE"""),1819)</f>
        <v>1819</v>
      </c>
      <c r="S305" s="1">
        <f ca="1">IFERROR(__xludf.DUMMYFUNCTION("""COMPUTED_VALUE"""),0.404)</f>
        <v>0.40400000000000003</v>
      </c>
      <c r="T305" s="1">
        <f ca="1">IFERROR(__xludf.DUMMYFUNCTION("""COMPUTED_VALUE"""),180)</f>
        <v>180</v>
      </c>
      <c r="U305" s="1">
        <f ca="1">IFERROR(__xludf.DUMMYFUNCTION("""COMPUTED_VALUE"""),599)</f>
        <v>599</v>
      </c>
      <c r="V305" s="1">
        <f ca="1">IFERROR(__xludf.DUMMYFUNCTION("""COMPUTED_VALUE"""),0.301)</f>
        <v>0.30099999999999999</v>
      </c>
      <c r="W305" s="1">
        <f ca="1">IFERROR(__xludf.DUMMYFUNCTION("""COMPUTED_VALUE"""),496)</f>
        <v>496</v>
      </c>
      <c r="X305" s="1">
        <f ca="1">IFERROR(__xludf.DUMMYFUNCTION("""COMPUTED_VALUE"""),673)</f>
        <v>673</v>
      </c>
      <c r="Y305" s="1">
        <f ca="1">IFERROR(__xludf.DUMMYFUNCTION("""COMPUTED_VALUE"""),0.737)</f>
        <v>0.73699999999999999</v>
      </c>
      <c r="Z305" s="1">
        <f ca="1">IFERROR(__xludf.DUMMYFUNCTION("""COMPUTED_VALUE"""),406)</f>
        <v>406</v>
      </c>
      <c r="AA305" s="1">
        <f ca="1">IFERROR(__xludf.DUMMYFUNCTION("""COMPUTED_VALUE"""),1178)</f>
        <v>1178</v>
      </c>
      <c r="AB305" s="1">
        <f ca="1">IFERROR(__xludf.DUMMYFUNCTION("""COMPUTED_VALUE"""),437)</f>
        <v>437</v>
      </c>
      <c r="AC305" s="1">
        <f ca="1">IFERROR(__xludf.DUMMYFUNCTION("""COMPUTED_VALUE"""),208)</f>
        <v>208</v>
      </c>
      <c r="AD305" s="1">
        <f ca="1">IFERROR(__xludf.DUMMYFUNCTION("""COMPUTED_VALUE"""),133)</f>
        <v>133</v>
      </c>
      <c r="AE305" s="1">
        <f ca="1">IFERROR(__xludf.DUMMYFUNCTION("""COMPUTED_VALUE"""),424)</f>
        <v>424</v>
      </c>
      <c r="AF305" s="1">
        <f ca="1">IFERROR(__xludf.DUMMYFUNCTION("""COMPUTED_VALUE"""),634)</f>
        <v>634</v>
      </c>
    </row>
    <row r="306" spans="1:32" ht="12.5" x14ac:dyDescent="0.25">
      <c r="A306" s="1" t="str">
        <f ca="1">IFERROR(__xludf.DUMMYFUNCTION("""COMPUTED_VALUE"""),"South Dakota State")</f>
        <v>South Dakota State</v>
      </c>
      <c r="B306" s="1">
        <f ca="1">IFERROR(__xludf.DUMMYFUNCTION("""COMPUTED_VALUE"""),35)</f>
        <v>35</v>
      </c>
      <c r="C306" s="1">
        <f ca="1">IFERROR(__xludf.DUMMYFUNCTION("""COMPUTED_VALUE"""),24)</f>
        <v>24</v>
      </c>
      <c r="D306" s="1">
        <f ca="1">IFERROR(__xludf.DUMMYFUNCTION("""COMPUTED_VALUE"""),11)</f>
        <v>11</v>
      </c>
      <c r="E306" s="1">
        <f ca="1">IFERROR(__xludf.DUMMYFUNCTION("""COMPUTED_VALUE"""),0.686)</f>
        <v>0.68600000000000005</v>
      </c>
      <c r="F306" s="1">
        <f ca="1">IFERROR(__xludf.DUMMYFUNCTION("""COMPUTED_VALUE"""),3.32)</f>
        <v>3.32</v>
      </c>
      <c r="G306" s="1">
        <f ca="1">IFERROR(__xludf.DUMMYFUNCTION("""COMPUTED_VALUE"""),-3.23)</f>
        <v>-3.23</v>
      </c>
      <c r="H306" s="1">
        <f ca="1">IFERROR(__xludf.DUMMYFUNCTION("""COMPUTED_VALUE"""),12)</f>
        <v>12</v>
      </c>
      <c r="I306" s="1">
        <f ca="1">IFERROR(__xludf.DUMMYFUNCTION("""COMPUTED_VALUE"""),4)</f>
        <v>4</v>
      </c>
      <c r="J306" s="1">
        <f ca="1">IFERROR(__xludf.DUMMYFUNCTION("""COMPUTED_VALUE"""),13)</f>
        <v>13</v>
      </c>
      <c r="K306" s="1">
        <f ca="1">IFERROR(__xludf.DUMMYFUNCTION("""COMPUTED_VALUE"""),0)</f>
        <v>0</v>
      </c>
      <c r="L306" s="1">
        <f ca="1">IFERROR(__xludf.DUMMYFUNCTION("""COMPUTED_VALUE"""),7)</f>
        <v>7</v>
      </c>
      <c r="M306" s="1">
        <f ca="1">IFERROR(__xludf.DUMMYFUNCTION("""COMPUTED_VALUE"""),9)</f>
        <v>9</v>
      </c>
      <c r="N306" s="1">
        <f ca="1">IFERROR(__xludf.DUMMYFUNCTION("""COMPUTED_VALUE"""),2572)</f>
        <v>2572</v>
      </c>
      <c r="O306" s="1">
        <f ca="1">IFERROR(__xludf.DUMMYFUNCTION("""COMPUTED_VALUE"""),2277)</f>
        <v>2277</v>
      </c>
      <c r="P306" s="1">
        <f ca="1">IFERROR(__xludf.DUMMYFUNCTION("""COMPUTED_VALUE"""),1411)</f>
        <v>1411</v>
      </c>
      <c r="Q306" s="1">
        <f ca="1">IFERROR(__xludf.DUMMYFUNCTION("""COMPUTED_VALUE"""),867)</f>
        <v>867</v>
      </c>
      <c r="R306" s="1">
        <f ca="1">IFERROR(__xludf.DUMMYFUNCTION("""COMPUTED_VALUE"""),1918)</f>
        <v>1918</v>
      </c>
      <c r="S306" s="1">
        <f ca="1">IFERROR(__xludf.DUMMYFUNCTION("""COMPUTED_VALUE"""),0.452)</f>
        <v>0.45200000000000001</v>
      </c>
      <c r="T306" s="1">
        <f ca="1">IFERROR(__xludf.DUMMYFUNCTION("""COMPUTED_VALUE"""),280)</f>
        <v>280</v>
      </c>
      <c r="U306" s="1">
        <f ca="1">IFERROR(__xludf.DUMMYFUNCTION("""COMPUTED_VALUE"""),732)</f>
        <v>732</v>
      </c>
      <c r="V306" s="1">
        <f ca="1">IFERROR(__xludf.DUMMYFUNCTION("""COMPUTED_VALUE"""),0.383)</f>
        <v>0.38300000000000001</v>
      </c>
      <c r="W306" s="1">
        <f ca="1">IFERROR(__xludf.DUMMYFUNCTION("""COMPUTED_VALUE"""),556)</f>
        <v>556</v>
      </c>
      <c r="X306" s="1">
        <f ca="1">IFERROR(__xludf.DUMMYFUNCTION("""COMPUTED_VALUE"""),780)</f>
        <v>780</v>
      </c>
      <c r="Y306" s="1">
        <f ca="1">IFERROR(__xludf.DUMMYFUNCTION("""COMPUTED_VALUE"""),0.713)</f>
        <v>0.71299999999999997</v>
      </c>
      <c r="Z306" s="1">
        <f ca="1">IFERROR(__xludf.DUMMYFUNCTION("""COMPUTED_VALUE"""),337)</f>
        <v>337</v>
      </c>
      <c r="AA306" s="1">
        <f ca="1">IFERROR(__xludf.DUMMYFUNCTION("""COMPUTED_VALUE"""),1254)</f>
        <v>1254</v>
      </c>
      <c r="AB306" s="1">
        <f ca="1">IFERROR(__xludf.DUMMYFUNCTION("""COMPUTED_VALUE"""),428)</f>
        <v>428</v>
      </c>
      <c r="AC306" s="1">
        <f ca="1">IFERROR(__xludf.DUMMYFUNCTION("""COMPUTED_VALUE"""),191)</f>
        <v>191</v>
      </c>
      <c r="AD306" s="1">
        <f ca="1">IFERROR(__xludf.DUMMYFUNCTION("""COMPUTED_VALUE"""),129)</f>
        <v>129</v>
      </c>
      <c r="AE306" s="1">
        <f ca="1">IFERROR(__xludf.DUMMYFUNCTION("""COMPUTED_VALUE"""),399)</f>
        <v>399</v>
      </c>
      <c r="AF306" s="1">
        <f ca="1">IFERROR(__xludf.DUMMYFUNCTION("""COMPUTED_VALUE"""),691)</f>
        <v>691</v>
      </c>
    </row>
    <row r="307" spans="1:32" ht="12.5" x14ac:dyDescent="0.25">
      <c r="A307" s="1" t="str">
        <f ca="1">IFERROR(__xludf.DUMMYFUNCTION("""COMPUTED_VALUE"""),"South Dakota")</f>
        <v>South Dakota</v>
      </c>
      <c r="B307" s="1">
        <f ca="1">IFERROR(__xludf.DUMMYFUNCTION("""COMPUTED_VALUE"""),33)</f>
        <v>33</v>
      </c>
      <c r="C307" s="1">
        <f ca="1">IFERROR(__xludf.DUMMYFUNCTION("""COMPUTED_VALUE"""),17)</f>
        <v>17</v>
      </c>
      <c r="D307" s="1">
        <f ca="1">IFERROR(__xludf.DUMMYFUNCTION("""COMPUTED_VALUE"""),16)</f>
        <v>16</v>
      </c>
      <c r="E307" s="1">
        <f ca="1">IFERROR(__xludf.DUMMYFUNCTION("""COMPUTED_VALUE"""),0.515)</f>
        <v>0.51500000000000001</v>
      </c>
      <c r="F307" s="1">
        <f ca="1">IFERROR(__xludf.DUMMYFUNCTION("""COMPUTED_VALUE"""),-4.9)</f>
        <v>-4.9000000000000004</v>
      </c>
      <c r="G307" s="1">
        <f ca="1">IFERROR(__xludf.DUMMYFUNCTION("""COMPUTED_VALUE"""),-3.48)</f>
        <v>-3.48</v>
      </c>
      <c r="H307" s="1">
        <f ca="1">IFERROR(__xludf.DUMMYFUNCTION("""COMPUTED_VALUE"""),9)</f>
        <v>9</v>
      </c>
      <c r="I307" s="1">
        <f ca="1">IFERROR(__xludf.DUMMYFUNCTION("""COMPUTED_VALUE"""),7)</f>
        <v>7</v>
      </c>
      <c r="J307" s="1">
        <f ca="1">IFERROR(__xludf.DUMMYFUNCTION("""COMPUTED_VALUE"""),8)</f>
        <v>8</v>
      </c>
      <c r="K307" s="1">
        <f ca="1">IFERROR(__xludf.DUMMYFUNCTION("""COMPUTED_VALUE"""),6)</f>
        <v>6</v>
      </c>
      <c r="L307" s="1">
        <f ca="1">IFERROR(__xludf.DUMMYFUNCTION("""COMPUTED_VALUE"""),8)</f>
        <v>8</v>
      </c>
      <c r="M307" s="1">
        <f ca="1">IFERROR(__xludf.DUMMYFUNCTION("""COMPUTED_VALUE"""),7)</f>
        <v>7</v>
      </c>
      <c r="N307" s="1">
        <f ca="1">IFERROR(__xludf.DUMMYFUNCTION("""COMPUTED_VALUE"""),2309)</f>
        <v>2309</v>
      </c>
      <c r="O307" s="1">
        <f ca="1">IFERROR(__xludf.DUMMYFUNCTION("""COMPUTED_VALUE"""),2312)</f>
        <v>2312</v>
      </c>
      <c r="P307" s="1">
        <f ca="1">IFERROR(__xludf.DUMMYFUNCTION("""COMPUTED_VALUE"""),1350)</f>
        <v>1350</v>
      </c>
      <c r="Q307" s="1">
        <f ca="1">IFERROR(__xludf.DUMMYFUNCTION("""COMPUTED_VALUE"""),811)</f>
        <v>811</v>
      </c>
      <c r="R307" s="1">
        <f ca="1">IFERROR(__xludf.DUMMYFUNCTION("""COMPUTED_VALUE"""),1924)</f>
        <v>1924</v>
      </c>
      <c r="S307" s="1">
        <f ca="1">IFERROR(__xludf.DUMMYFUNCTION("""COMPUTED_VALUE"""),0.422)</f>
        <v>0.42199999999999999</v>
      </c>
      <c r="T307" s="1">
        <f ca="1">IFERROR(__xludf.DUMMYFUNCTION("""COMPUTED_VALUE"""),212)</f>
        <v>212</v>
      </c>
      <c r="U307" s="1">
        <f ca="1">IFERROR(__xludf.DUMMYFUNCTION("""COMPUTED_VALUE"""),589)</f>
        <v>589</v>
      </c>
      <c r="V307" s="1">
        <f ca="1">IFERROR(__xludf.DUMMYFUNCTION("""COMPUTED_VALUE"""),0.36)</f>
        <v>0.36</v>
      </c>
      <c r="W307" s="1">
        <f ca="1">IFERROR(__xludf.DUMMYFUNCTION("""COMPUTED_VALUE"""),475)</f>
        <v>475</v>
      </c>
      <c r="X307" s="1">
        <f ca="1">IFERROR(__xludf.DUMMYFUNCTION("""COMPUTED_VALUE"""),650)</f>
        <v>650</v>
      </c>
      <c r="Y307" s="1">
        <f ca="1">IFERROR(__xludf.DUMMYFUNCTION("""COMPUTED_VALUE"""),0.731)</f>
        <v>0.73099999999999998</v>
      </c>
      <c r="Z307" s="1">
        <f ca="1">IFERROR(__xludf.DUMMYFUNCTION("""COMPUTED_VALUE"""),384)</f>
        <v>384</v>
      </c>
      <c r="AA307" s="1">
        <f ca="1">IFERROR(__xludf.DUMMYFUNCTION("""COMPUTED_VALUE"""),1169)</f>
        <v>1169</v>
      </c>
      <c r="AB307" s="1">
        <f ca="1">IFERROR(__xludf.DUMMYFUNCTION("""COMPUTED_VALUE"""),388)</f>
        <v>388</v>
      </c>
      <c r="AC307" s="1">
        <f ca="1">IFERROR(__xludf.DUMMYFUNCTION("""COMPUTED_VALUE"""),184)</f>
        <v>184</v>
      </c>
      <c r="AD307" s="1">
        <f ca="1">IFERROR(__xludf.DUMMYFUNCTION("""COMPUTED_VALUE"""),80)</f>
        <v>80</v>
      </c>
      <c r="AE307" s="1">
        <f ca="1">IFERROR(__xludf.DUMMYFUNCTION("""COMPUTED_VALUE"""),372)</f>
        <v>372</v>
      </c>
      <c r="AF307" s="1">
        <f ca="1">IFERROR(__xludf.DUMMYFUNCTION("""COMPUTED_VALUE"""),603)</f>
        <v>603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 Florida")</f>
        <v>South Florida</v>
      </c>
      <c r="B310" s="1">
        <f ca="1">IFERROR(__xludf.DUMMYFUNCTION("""COMPUTED_VALUE"""),32)</f>
        <v>32</v>
      </c>
      <c r="C310" s="1">
        <f ca="1">IFERROR(__xludf.DUMMYFUNCTION("""COMPUTED_VALUE"""),9)</f>
        <v>9</v>
      </c>
      <c r="D310" s="1">
        <f ca="1">IFERROR(__xludf.DUMMYFUNCTION("""COMPUTED_VALUE"""),23)</f>
        <v>23</v>
      </c>
      <c r="E310" s="1">
        <f ca="1">IFERROR(__xludf.DUMMYFUNCTION("""COMPUTED_VALUE"""),0.281)</f>
        <v>0.28100000000000003</v>
      </c>
      <c r="F310" s="1">
        <f ca="1">IFERROR(__xludf.DUMMYFUNCTION("""COMPUTED_VALUE"""),-4.96)</f>
        <v>-4.96</v>
      </c>
      <c r="G310" s="1">
        <f ca="1">IFERROR(__xludf.DUMMYFUNCTION("""COMPUTED_VALUE"""),2.56)</f>
        <v>2.56</v>
      </c>
      <c r="H310" s="1">
        <f ca="1">IFERROR(__xludf.DUMMYFUNCTION("""COMPUTED_VALUE"""),3)</f>
        <v>3</v>
      </c>
      <c r="I310" s="1">
        <f ca="1">IFERROR(__xludf.DUMMYFUNCTION("""COMPUTED_VALUE"""),15)</f>
        <v>15</v>
      </c>
      <c r="J310" s="1">
        <f ca="1">IFERROR(__xludf.DUMMYFUNCTION("""COMPUTED_VALUE"""),8)</f>
        <v>8</v>
      </c>
      <c r="K310" s="1">
        <f ca="1">IFERROR(__xludf.DUMMYFUNCTION("""COMPUTED_VALUE"""),9)</f>
        <v>9</v>
      </c>
      <c r="L310" s="1">
        <f ca="1">IFERROR(__xludf.DUMMYFUNCTION("""COMPUTED_VALUE"""),1)</f>
        <v>1</v>
      </c>
      <c r="M310" s="1">
        <f ca="1">IFERROR(__xludf.DUMMYFUNCTION("""COMPUTED_VALUE"""),13)</f>
        <v>13</v>
      </c>
      <c r="N310" s="1">
        <f ca="1">IFERROR(__xludf.DUMMYFUNCTION("""COMPUTED_VALUE"""),1970)</f>
        <v>1970</v>
      </c>
      <c r="O310" s="1">
        <f ca="1">IFERROR(__xludf.DUMMYFUNCTION("""COMPUTED_VALUE"""),2189)</f>
        <v>2189</v>
      </c>
      <c r="P310" s="1">
        <f ca="1">IFERROR(__xludf.DUMMYFUNCTION("""COMPUTED_VALUE"""),1295)</f>
        <v>1295</v>
      </c>
      <c r="Q310" s="1">
        <f ca="1">IFERROR(__xludf.DUMMYFUNCTION("""COMPUTED_VALUE"""),745)</f>
        <v>745</v>
      </c>
      <c r="R310" s="1">
        <f ca="1">IFERROR(__xludf.DUMMYFUNCTION("""COMPUTED_VALUE"""),1720)</f>
        <v>1720</v>
      </c>
      <c r="S310" s="1">
        <f ca="1">IFERROR(__xludf.DUMMYFUNCTION("""COMPUTED_VALUE"""),0.433)</f>
        <v>0.433</v>
      </c>
      <c r="T310" s="1">
        <f ca="1">IFERROR(__xludf.DUMMYFUNCTION("""COMPUTED_VALUE"""),136)</f>
        <v>136</v>
      </c>
      <c r="U310" s="1">
        <f ca="1">IFERROR(__xludf.DUMMYFUNCTION("""COMPUTED_VALUE"""),448)</f>
        <v>448</v>
      </c>
      <c r="V310" s="1">
        <f ca="1">IFERROR(__xludf.DUMMYFUNCTION("""COMPUTED_VALUE"""),0.304)</f>
        <v>0.30399999999999999</v>
      </c>
      <c r="W310" s="1">
        <f ca="1">IFERROR(__xludf.DUMMYFUNCTION("""COMPUTED_VALUE"""),344)</f>
        <v>344</v>
      </c>
      <c r="X310" s="1">
        <f ca="1">IFERROR(__xludf.DUMMYFUNCTION("""COMPUTED_VALUE"""),556)</f>
        <v>556</v>
      </c>
      <c r="Y310" s="1">
        <f ca="1">IFERROR(__xludf.DUMMYFUNCTION("""COMPUTED_VALUE"""),0.619)</f>
        <v>0.61899999999999999</v>
      </c>
      <c r="Z310" s="1">
        <f ca="1">IFERROR(__xludf.DUMMYFUNCTION("""COMPUTED_VALUE"""),343)</f>
        <v>343</v>
      </c>
      <c r="AA310" s="1">
        <f ca="1">IFERROR(__xludf.DUMMYFUNCTION("""COMPUTED_VALUE"""),1084)</f>
        <v>1084</v>
      </c>
      <c r="AB310" s="1">
        <f ca="1">IFERROR(__xludf.DUMMYFUNCTION("""COMPUTED_VALUE"""),362)</f>
        <v>362</v>
      </c>
      <c r="AC310" s="1">
        <f ca="1">IFERROR(__xludf.DUMMYFUNCTION("""COMPUTED_VALUE"""),184)</f>
        <v>184</v>
      </c>
      <c r="AD310" s="1">
        <f ca="1">IFERROR(__xludf.DUMMYFUNCTION("""COMPUTED_VALUE"""),156)</f>
        <v>156</v>
      </c>
      <c r="AE310" s="1">
        <f ca="1">IFERROR(__xludf.DUMMYFUNCTION("""COMPUTED_VALUE"""),436)</f>
        <v>436</v>
      </c>
      <c r="AF310" s="1">
        <f ca="1">IFERROR(__xludf.DUMMYFUNCTION("""COMPUTED_VALUE"""),609)</f>
        <v>609</v>
      </c>
    </row>
    <row r="311" spans="1:32" ht="12.5" x14ac:dyDescent="0.25">
      <c r="A311" s="1" t="str">
        <f ca="1">IFERROR(__xludf.DUMMYFUNCTION("""COMPUTED_VALUE"""),"Southeast Missouri State")</f>
        <v>Southeast Missouri State</v>
      </c>
      <c r="B311" s="1">
        <f ca="1">IFERROR(__xludf.DUMMYFUNCTION("""COMPUTED_VALUE"""),30)</f>
        <v>30</v>
      </c>
      <c r="C311" s="1">
        <f ca="1">IFERROR(__xludf.DUMMYFUNCTION("""COMPUTED_VALUE"""),13)</f>
        <v>13</v>
      </c>
      <c r="D311" s="1">
        <f ca="1">IFERROR(__xludf.DUMMYFUNCTION("""COMPUTED_VALUE"""),17)</f>
        <v>17</v>
      </c>
      <c r="E311" s="1">
        <f ca="1">IFERROR(__xludf.DUMMYFUNCTION("""COMPUTED_VALUE"""),0.433)</f>
        <v>0.433</v>
      </c>
      <c r="F311" s="1">
        <f ca="1">IFERROR(__xludf.DUMMYFUNCTION("""COMPUTED_VALUE"""),-5.23)</f>
        <v>-5.23</v>
      </c>
      <c r="G311" s="1">
        <f ca="1">IFERROR(__xludf.DUMMYFUNCTION("""COMPUTED_VALUE"""),-3.73)</f>
        <v>-3.73</v>
      </c>
      <c r="H311" s="1">
        <f ca="1">IFERROR(__xludf.DUMMYFUNCTION("""COMPUTED_VALUE"""),7)</f>
        <v>7</v>
      </c>
      <c r="I311" s="1">
        <f ca="1">IFERROR(__xludf.DUMMYFUNCTION("""COMPUTED_VALUE"""),9)</f>
        <v>9</v>
      </c>
      <c r="J311" s="1">
        <f ca="1">IFERROR(__xludf.DUMMYFUNCTION("""COMPUTED_VALUE"""),9)</f>
        <v>9</v>
      </c>
      <c r="K311" s="1">
        <f ca="1">IFERROR(__xludf.DUMMYFUNCTION("""COMPUTED_VALUE"""),5)</f>
        <v>5</v>
      </c>
      <c r="L311" s="1">
        <f ca="1">IFERROR(__xludf.DUMMYFUNCTION("""COMPUTED_VALUE"""),4)</f>
        <v>4</v>
      </c>
      <c r="M311" s="1">
        <f ca="1">IFERROR(__xludf.DUMMYFUNCTION("""COMPUTED_VALUE"""),9)</f>
        <v>9</v>
      </c>
      <c r="N311" s="1">
        <f ca="1">IFERROR(__xludf.DUMMYFUNCTION("""COMPUTED_VALUE"""),2087)</f>
        <v>2087</v>
      </c>
      <c r="O311" s="1">
        <f ca="1">IFERROR(__xludf.DUMMYFUNCTION("""COMPUTED_VALUE"""),2064)</f>
        <v>2064</v>
      </c>
      <c r="P311" s="1">
        <f ca="1">IFERROR(__xludf.DUMMYFUNCTION("""COMPUTED_VALUE"""),1205)</f>
        <v>1205</v>
      </c>
      <c r="Q311" s="1">
        <f ca="1">IFERROR(__xludf.DUMMYFUNCTION("""COMPUTED_VALUE"""),742)</f>
        <v>742</v>
      </c>
      <c r="R311" s="1">
        <f ca="1">IFERROR(__xludf.DUMMYFUNCTION("""COMPUTED_VALUE"""),1686)</f>
        <v>1686</v>
      </c>
      <c r="S311" s="1">
        <f ca="1">IFERROR(__xludf.DUMMYFUNCTION("""COMPUTED_VALUE"""),0.44)</f>
        <v>0.44</v>
      </c>
      <c r="T311" s="1">
        <f ca="1">IFERROR(__xludf.DUMMYFUNCTION("""COMPUTED_VALUE"""),189)</f>
        <v>189</v>
      </c>
      <c r="U311" s="1">
        <f ca="1">IFERROR(__xludf.DUMMYFUNCTION("""COMPUTED_VALUE"""),553)</f>
        <v>553</v>
      </c>
      <c r="V311" s="1">
        <f ca="1">IFERROR(__xludf.DUMMYFUNCTION("""COMPUTED_VALUE"""),0.342)</f>
        <v>0.34200000000000003</v>
      </c>
      <c r="W311" s="1">
        <f ca="1">IFERROR(__xludf.DUMMYFUNCTION("""COMPUTED_VALUE"""),414)</f>
        <v>414</v>
      </c>
      <c r="X311" s="1">
        <f ca="1">IFERROR(__xludf.DUMMYFUNCTION("""COMPUTED_VALUE"""),621)</f>
        <v>621</v>
      </c>
      <c r="Y311" s="1">
        <f ca="1">IFERROR(__xludf.DUMMYFUNCTION("""COMPUTED_VALUE"""),0.667)</f>
        <v>0.66700000000000004</v>
      </c>
      <c r="Z311" s="1">
        <f ca="1">IFERROR(__xludf.DUMMYFUNCTION("""COMPUTED_VALUE"""),346)</f>
        <v>346</v>
      </c>
      <c r="AA311" s="1">
        <f ca="1">IFERROR(__xludf.DUMMYFUNCTION("""COMPUTED_VALUE"""),1050)</f>
        <v>1050</v>
      </c>
      <c r="AB311" s="1">
        <f ca="1">IFERROR(__xludf.DUMMYFUNCTION("""COMPUTED_VALUE"""),378)</f>
        <v>378</v>
      </c>
      <c r="AC311" s="1">
        <f ca="1">IFERROR(__xludf.DUMMYFUNCTION("""COMPUTED_VALUE"""),218)</f>
        <v>218</v>
      </c>
      <c r="AD311" s="1">
        <f ca="1">IFERROR(__xludf.DUMMYFUNCTION("""COMPUTED_VALUE"""),132)</f>
        <v>132</v>
      </c>
      <c r="AE311" s="1">
        <f ca="1">IFERROR(__xludf.DUMMYFUNCTION("""COMPUTED_VALUE"""),394)</f>
        <v>394</v>
      </c>
      <c r="AF311" s="1">
        <f ca="1">IFERROR(__xludf.DUMMYFUNCTION("""COMPUTED_VALUE"""),598)</f>
        <v>598</v>
      </c>
    </row>
    <row r="312" spans="1:32" ht="12.5" x14ac:dyDescent="0.25">
      <c r="A312" s="1" t="str">
        <f ca="1">IFERROR(__xludf.DUMMYFUNCTION("""COMPUTED_VALUE"""),"Southeastern Louisiana")</f>
        <v>Southeastern Louisiana</v>
      </c>
      <c r="B312" s="1">
        <f ca="1">IFERROR(__xludf.DUMMYFUNCTION("""COMPUTED_VALUE"""),32)</f>
        <v>32</v>
      </c>
      <c r="C312" s="1">
        <f ca="1">IFERROR(__xludf.DUMMYFUNCTION("""COMPUTED_VALUE"""),9)</f>
        <v>9</v>
      </c>
      <c r="D312" s="1">
        <f ca="1">IFERROR(__xludf.DUMMYFUNCTION("""COMPUTED_VALUE"""),23)</f>
        <v>23</v>
      </c>
      <c r="E312" s="1">
        <f ca="1">IFERROR(__xludf.DUMMYFUNCTION("""COMPUTED_VALUE"""),0.281)</f>
        <v>0.28100000000000003</v>
      </c>
      <c r="F312" s="1">
        <f ca="1">IFERROR(__xludf.DUMMYFUNCTION("""COMPUTED_VALUE"""),-10.97)</f>
        <v>-10.97</v>
      </c>
      <c r="G312" s="1">
        <f ca="1">IFERROR(__xludf.DUMMYFUNCTION("""COMPUTED_VALUE"""),-6.14)</f>
        <v>-6.14</v>
      </c>
      <c r="H312" s="1">
        <f ca="1">IFERROR(__xludf.DUMMYFUNCTION("""COMPUTED_VALUE"""),6)</f>
        <v>6</v>
      </c>
      <c r="I312" s="1">
        <f ca="1">IFERROR(__xludf.DUMMYFUNCTION("""COMPUTED_VALUE"""),12)</f>
        <v>12</v>
      </c>
      <c r="J312" s="1">
        <f ca="1">IFERROR(__xludf.DUMMYFUNCTION("""COMPUTED_VALUE"""),6)</f>
        <v>6</v>
      </c>
      <c r="K312" s="1">
        <f ca="1">IFERROR(__xludf.DUMMYFUNCTION("""COMPUTED_VALUE"""),6)</f>
        <v>6</v>
      </c>
      <c r="L312" s="1">
        <f ca="1">IFERROR(__xludf.DUMMYFUNCTION("""COMPUTED_VALUE"""),3)</f>
        <v>3</v>
      </c>
      <c r="M312" s="1">
        <f ca="1">IFERROR(__xludf.DUMMYFUNCTION("""COMPUTED_VALUE"""),16)</f>
        <v>16</v>
      </c>
      <c r="N312" s="1">
        <f ca="1">IFERROR(__xludf.DUMMYFUNCTION("""COMPUTED_VALUE"""),2186)</f>
        <v>2186</v>
      </c>
      <c r="O312" s="1">
        <f ca="1">IFERROR(__xludf.DUMMYFUNCTION("""COMPUTED_VALUE"""),2324)</f>
        <v>2324</v>
      </c>
      <c r="P312" s="1">
        <f ca="1">IFERROR(__xludf.DUMMYFUNCTION("""COMPUTED_VALUE"""),1295)</f>
        <v>1295</v>
      </c>
      <c r="Q312" s="1">
        <f ca="1">IFERROR(__xludf.DUMMYFUNCTION("""COMPUTED_VALUE"""),807)</f>
        <v>807</v>
      </c>
      <c r="R312" s="1">
        <f ca="1">IFERROR(__xludf.DUMMYFUNCTION("""COMPUTED_VALUE"""),1760)</f>
        <v>1760</v>
      </c>
      <c r="S312" s="1">
        <f ca="1">IFERROR(__xludf.DUMMYFUNCTION("""COMPUTED_VALUE"""),0.459)</f>
        <v>0.45900000000000002</v>
      </c>
      <c r="T312" s="1">
        <f ca="1">IFERROR(__xludf.DUMMYFUNCTION("""COMPUTED_VALUE"""),185)</f>
        <v>185</v>
      </c>
      <c r="U312" s="1">
        <f ca="1">IFERROR(__xludf.DUMMYFUNCTION("""COMPUTED_VALUE"""),591)</f>
        <v>591</v>
      </c>
      <c r="V312" s="1">
        <f ca="1">IFERROR(__xludf.DUMMYFUNCTION("""COMPUTED_VALUE"""),0.313)</f>
        <v>0.313</v>
      </c>
      <c r="W312" s="1">
        <f ca="1">IFERROR(__xludf.DUMMYFUNCTION("""COMPUTED_VALUE"""),387)</f>
        <v>387</v>
      </c>
      <c r="X312" s="1">
        <f ca="1">IFERROR(__xludf.DUMMYFUNCTION("""COMPUTED_VALUE"""),582)</f>
        <v>582</v>
      </c>
      <c r="Y312" s="1">
        <f ca="1">IFERROR(__xludf.DUMMYFUNCTION("""COMPUTED_VALUE"""),0.665)</f>
        <v>0.66500000000000004</v>
      </c>
      <c r="Z312" s="1">
        <f ca="1">IFERROR(__xludf.DUMMYFUNCTION("""COMPUTED_VALUE"""),311)</f>
        <v>311</v>
      </c>
      <c r="AA312" s="1">
        <f ca="1">IFERROR(__xludf.DUMMYFUNCTION("""COMPUTED_VALUE"""),1068)</f>
        <v>1068</v>
      </c>
      <c r="AB312" s="1">
        <f ca="1">IFERROR(__xludf.DUMMYFUNCTION("""COMPUTED_VALUE"""),389)</f>
        <v>389</v>
      </c>
      <c r="AC312" s="1">
        <f ca="1">IFERROR(__xludf.DUMMYFUNCTION("""COMPUTED_VALUE"""),194)</f>
        <v>194</v>
      </c>
      <c r="AD312" s="1">
        <f ca="1">IFERROR(__xludf.DUMMYFUNCTION("""COMPUTED_VALUE"""),112)</f>
        <v>112</v>
      </c>
      <c r="AE312" s="1">
        <f ca="1">IFERROR(__xludf.DUMMYFUNCTION("""COMPUTED_VALUE"""),492)</f>
        <v>492</v>
      </c>
      <c r="AF312" s="1">
        <f ca="1">IFERROR(__xludf.DUMMYFUNCTION("""COMPUTED_VALUE"""),590)</f>
        <v>590</v>
      </c>
    </row>
    <row r="313" spans="1:32" ht="12.5" x14ac:dyDescent="0.25">
      <c r="A313" s="1" t="str">
        <f ca="1">IFERROR(__xludf.DUMMYFUNCTION("""COMPUTED_VALUE"""),"Southern California")</f>
        <v>Southern California</v>
      </c>
      <c r="B313" s="1">
        <f ca="1">IFERROR(__xludf.DUMMYFUNCTION("""COMPUTED_VALUE"""),32)</f>
        <v>32</v>
      </c>
      <c r="C313" s="1">
        <f ca="1">IFERROR(__xludf.DUMMYFUNCTION("""COMPUTED_VALUE"""),12)</f>
        <v>12</v>
      </c>
      <c r="D313" s="1">
        <f ca="1">IFERROR(__xludf.DUMMYFUNCTION("""COMPUTED_VALUE"""),20)</f>
        <v>20</v>
      </c>
      <c r="E313" s="1">
        <f ca="1">IFERROR(__xludf.DUMMYFUNCTION("""COMPUTED_VALUE"""),0.375)</f>
        <v>0.375</v>
      </c>
      <c r="F313" s="1">
        <f ca="1">IFERROR(__xludf.DUMMYFUNCTION("""COMPUTED_VALUE"""),2.15)</f>
        <v>2.15</v>
      </c>
      <c r="G313" s="1">
        <f ca="1">IFERROR(__xludf.DUMMYFUNCTION("""COMPUTED_VALUE"""),6.15)</f>
        <v>6.15</v>
      </c>
      <c r="H313" s="1">
        <f ca="1">IFERROR(__xludf.DUMMYFUNCTION("""COMPUTED_VALUE"""),3)</f>
        <v>3</v>
      </c>
      <c r="I313" s="1">
        <f ca="1">IFERROR(__xludf.DUMMYFUNCTION("""COMPUTED_VALUE"""),15)</f>
        <v>15</v>
      </c>
      <c r="J313" s="1">
        <f ca="1">IFERROR(__xludf.DUMMYFUNCTION("""COMPUTED_VALUE"""),8)</f>
        <v>8</v>
      </c>
      <c r="K313" s="1">
        <f ca="1">IFERROR(__xludf.DUMMYFUNCTION("""COMPUTED_VALUE"""),8)</f>
        <v>8</v>
      </c>
      <c r="L313" s="1">
        <f ca="1">IFERROR(__xludf.DUMMYFUNCTION("""COMPUTED_VALUE"""),2)</f>
        <v>2</v>
      </c>
      <c r="M313" s="1">
        <f ca="1">IFERROR(__xludf.DUMMYFUNCTION("""COMPUTED_VALUE"""),9)</f>
        <v>9</v>
      </c>
      <c r="N313" s="1">
        <f ca="1">IFERROR(__xludf.DUMMYFUNCTION("""COMPUTED_VALUE"""),2143)</f>
        <v>2143</v>
      </c>
      <c r="O313" s="1">
        <f ca="1">IFERROR(__xludf.DUMMYFUNCTION("""COMPUTED_VALUE"""),2271)</f>
        <v>2271</v>
      </c>
      <c r="P313" s="1">
        <f ca="1">IFERROR(__xludf.DUMMYFUNCTION("""COMPUTED_VALUE"""),1300)</f>
        <v>1300</v>
      </c>
      <c r="Q313" s="1">
        <f ca="1">IFERROR(__xludf.DUMMYFUNCTION("""COMPUTED_VALUE"""),787)</f>
        <v>787</v>
      </c>
      <c r="R313" s="1">
        <f ca="1">IFERROR(__xludf.DUMMYFUNCTION("""COMPUTED_VALUE"""),1863)</f>
        <v>1863</v>
      </c>
      <c r="S313" s="1">
        <f ca="1">IFERROR(__xludf.DUMMYFUNCTION("""COMPUTED_VALUE"""),0.422)</f>
        <v>0.42199999999999999</v>
      </c>
      <c r="T313" s="1">
        <f ca="1">IFERROR(__xludf.DUMMYFUNCTION("""COMPUTED_VALUE"""),170)</f>
        <v>170</v>
      </c>
      <c r="U313" s="1">
        <f ca="1">IFERROR(__xludf.DUMMYFUNCTION("""COMPUTED_VALUE"""),517)</f>
        <v>517</v>
      </c>
      <c r="V313" s="1">
        <f ca="1">IFERROR(__xludf.DUMMYFUNCTION("""COMPUTED_VALUE"""),0.329)</f>
        <v>0.32900000000000001</v>
      </c>
      <c r="W313" s="1">
        <f ca="1">IFERROR(__xludf.DUMMYFUNCTION("""COMPUTED_VALUE"""),399)</f>
        <v>399</v>
      </c>
      <c r="X313" s="1">
        <f ca="1">IFERROR(__xludf.DUMMYFUNCTION("""COMPUTED_VALUE"""),629)</f>
        <v>629</v>
      </c>
      <c r="Y313" s="1">
        <f ca="1">IFERROR(__xludf.DUMMYFUNCTION("""COMPUTED_VALUE"""),0.634)</f>
        <v>0.63400000000000001</v>
      </c>
      <c r="Z313" s="1">
        <f ca="1">IFERROR(__xludf.DUMMYFUNCTION("""COMPUTED_VALUE"""),366)</f>
        <v>366</v>
      </c>
      <c r="AA313" s="1">
        <f ca="1">IFERROR(__xludf.DUMMYFUNCTION("""COMPUTED_VALUE"""),1149)</f>
        <v>1149</v>
      </c>
      <c r="AB313" s="1">
        <f ca="1">IFERROR(__xludf.DUMMYFUNCTION("""COMPUTED_VALUE"""),397)</f>
        <v>397</v>
      </c>
      <c r="AC313" s="1">
        <f ca="1">IFERROR(__xludf.DUMMYFUNCTION("""COMPUTED_VALUE"""),208)</f>
        <v>208</v>
      </c>
      <c r="AD313" s="1">
        <f ca="1">IFERROR(__xludf.DUMMYFUNCTION("""COMPUTED_VALUE"""),133)</f>
        <v>133</v>
      </c>
      <c r="AE313" s="1">
        <f ca="1">IFERROR(__xludf.DUMMYFUNCTION("""COMPUTED_VALUE"""),446)</f>
        <v>446</v>
      </c>
      <c r="AF313" s="1">
        <f ca="1">IFERROR(__xludf.DUMMYFUNCTION("""COMPUTED_VALUE"""),565)</f>
        <v>565</v>
      </c>
    </row>
    <row r="314" spans="1:32" ht="12.5" x14ac:dyDescent="0.25">
      <c r="A314" s="1" t="str">
        <f ca="1">IFERROR(__xludf.DUMMYFUNCTION("""COMPUTED_VALUE"""),"SIU Edwardsville")</f>
        <v>SIU Edwardsville</v>
      </c>
      <c r="B314" s="1">
        <f ca="1">IFERROR(__xludf.DUMMYFUNCTION("""COMPUTED_VALUE"""),28)</f>
        <v>28</v>
      </c>
      <c r="C314" s="1">
        <f ca="1">IFERROR(__xludf.DUMMYFUNCTION("""COMPUTED_VALUE"""),12)</f>
        <v>12</v>
      </c>
      <c r="D314" s="1">
        <f ca="1">IFERROR(__xludf.DUMMYFUNCTION("""COMPUTED_VALUE"""),16)</f>
        <v>16</v>
      </c>
      <c r="E314" s="1">
        <f ca="1">IFERROR(__xludf.DUMMYFUNCTION("""COMPUTED_VALUE"""),0.429)</f>
        <v>0.42899999999999999</v>
      </c>
      <c r="F314" s="1">
        <f ca="1">IFERROR(__xludf.DUMMYFUNCTION("""COMPUTED_VALUE"""),-7.28)</f>
        <v>-7.28</v>
      </c>
      <c r="G314" s="1">
        <f ca="1">IFERROR(__xludf.DUMMYFUNCTION("""COMPUTED_VALUE"""),-4.54)</f>
        <v>-4.54</v>
      </c>
      <c r="H314" s="1">
        <f ca="1">IFERROR(__xludf.DUMMYFUNCTION("""COMPUTED_VALUE"""),8)</f>
        <v>8</v>
      </c>
      <c r="I314" s="1">
        <f ca="1">IFERROR(__xludf.DUMMYFUNCTION("""COMPUTED_VALUE"""),8)</f>
        <v>8</v>
      </c>
      <c r="J314" s="1">
        <f ca="1">IFERROR(__xludf.DUMMYFUNCTION("""COMPUTED_VALUE"""),11)</f>
        <v>11</v>
      </c>
      <c r="K314" s="1">
        <f ca="1">IFERROR(__xludf.DUMMYFUNCTION("""COMPUTED_VALUE"""),3)</f>
        <v>3</v>
      </c>
      <c r="L314" s="1">
        <f ca="1">IFERROR(__xludf.DUMMYFUNCTION("""COMPUTED_VALUE"""),1)</f>
        <v>1</v>
      </c>
      <c r="M314" s="1">
        <f ca="1">IFERROR(__xludf.DUMMYFUNCTION("""COMPUTED_VALUE"""),12)</f>
        <v>12</v>
      </c>
      <c r="N314" s="1">
        <f ca="1">IFERROR(__xludf.DUMMYFUNCTION("""COMPUTED_VALUE"""),1909)</f>
        <v>1909</v>
      </c>
      <c r="O314" s="1">
        <f ca="1">IFERROR(__xludf.DUMMYFUNCTION("""COMPUTED_VALUE"""),1884)</f>
        <v>1884</v>
      </c>
      <c r="P314" s="1">
        <f ca="1">IFERROR(__xludf.DUMMYFUNCTION("""COMPUTED_VALUE"""),1125)</f>
        <v>1125</v>
      </c>
      <c r="Q314" s="1">
        <f ca="1">IFERROR(__xludf.DUMMYFUNCTION("""COMPUTED_VALUE"""),660)</f>
        <v>660</v>
      </c>
      <c r="R314" s="1">
        <f ca="1">IFERROR(__xludf.DUMMYFUNCTION("""COMPUTED_VALUE"""),1532)</f>
        <v>1532</v>
      </c>
      <c r="S314" s="1">
        <f ca="1">IFERROR(__xludf.DUMMYFUNCTION("""COMPUTED_VALUE"""),0.431)</f>
        <v>0.43099999999999999</v>
      </c>
      <c r="T314" s="1">
        <f ca="1">IFERROR(__xludf.DUMMYFUNCTION("""COMPUTED_VALUE"""),198)</f>
        <v>198</v>
      </c>
      <c r="U314" s="1">
        <f ca="1">IFERROR(__xludf.DUMMYFUNCTION("""COMPUTED_VALUE"""),521)</f>
        <v>521</v>
      </c>
      <c r="V314" s="1">
        <f ca="1">IFERROR(__xludf.DUMMYFUNCTION("""COMPUTED_VALUE"""),0.38)</f>
        <v>0.38</v>
      </c>
      <c r="W314" s="1">
        <f ca="1">IFERROR(__xludf.DUMMYFUNCTION("""COMPUTED_VALUE"""),391)</f>
        <v>391</v>
      </c>
      <c r="X314" s="1">
        <f ca="1">IFERROR(__xludf.DUMMYFUNCTION("""COMPUTED_VALUE"""),579)</f>
        <v>579</v>
      </c>
      <c r="Y314" s="1">
        <f ca="1">IFERROR(__xludf.DUMMYFUNCTION("""COMPUTED_VALUE"""),0.675)</f>
        <v>0.67500000000000004</v>
      </c>
      <c r="Z314" s="1">
        <f ca="1">IFERROR(__xludf.DUMMYFUNCTION("""COMPUTED_VALUE"""),292)</f>
        <v>292</v>
      </c>
      <c r="AA314" s="1">
        <f ca="1">IFERROR(__xludf.DUMMYFUNCTION("""COMPUTED_VALUE"""),969)</f>
        <v>969</v>
      </c>
      <c r="AB314" s="1">
        <f ca="1">IFERROR(__xludf.DUMMYFUNCTION("""COMPUTED_VALUE"""),345)</f>
        <v>345</v>
      </c>
      <c r="AC314" s="1">
        <f ca="1">IFERROR(__xludf.DUMMYFUNCTION("""COMPUTED_VALUE"""),178)</f>
        <v>178</v>
      </c>
      <c r="AD314" s="1">
        <f ca="1">IFERROR(__xludf.DUMMYFUNCTION("""COMPUTED_VALUE"""),120)</f>
        <v>120</v>
      </c>
      <c r="AE314" s="1">
        <f ca="1">IFERROR(__xludf.DUMMYFUNCTION("""COMPUTED_VALUE"""),375)</f>
        <v>375</v>
      </c>
      <c r="AF314" s="1">
        <f ca="1">IFERROR(__xludf.DUMMYFUNCTION("""COMPUTED_VALUE"""),518)</f>
        <v>518</v>
      </c>
    </row>
    <row r="315" spans="1:32" ht="12.5" x14ac:dyDescent="0.25">
      <c r="A315" s="1" t="str">
        <f ca="1">IFERROR(__xludf.DUMMYFUNCTION("""COMPUTED_VALUE"""),"Southern Illinois")</f>
        <v>Southern Illinois</v>
      </c>
      <c r="B315" s="1">
        <f ca="1">IFERROR(__xludf.DUMMYFUNCTION("""COMPUTED_VALUE"""),33)</f>
        <v>33</v>
      </c>
      <c r="C315" s="1">
        <f ca="1">IFERROR(__xludf.DUMMYFUNCTION("""COMPUTED_VALUE"""),12)</f>
        <v>12</v>
      </c>
      <c r="D315" s="1">
        <f ca="1">IFERROR(__xludf.DUMMYFUNCTION("""COMPUTED_VALUE"""),21)</f>
        <v>21</v>
      </c>
      <c r="E315" s="1">
        <f ca="1">IFERROR(__xludf.DUMMYFUNCTION("""COMPUTED_VALUE"""),0.364)</f>
        <v>0.36399999999999999</v>
      </c>
      <c r="F315" s="1">
        <f ca="1">IFERROR(__xludf.DUMMYFUNCTION("""COMPUTED_VALUE"""),-3.48)</f>
        <v>-3.48</v>
      </c>
      <c r="G315" s="1">
        <f ca="1">IFERROR(__xludf.DUMMYFUNCTION("""COMPUTED_VALUE"""),-0.6)</f>
        <v>-0.6</v>
      </c>
      <c r="H315" s="1">
        <f ca="1">IFERROR(__xludf.DUMMYFUNCTION("""COMPUTED_VALUE"""),4)</f>
        <v>4</v>
      </c>
      <c r="I315" s="1">
        <f ca="1">IFERROR(__xludf.DUMMYFUNCTION("""COMPUTED_VALUE"""),14)</f>
        <v>14</v>
      </c>
      <c r="J315" s="1">
        <f ca="1">IFERROR(__xludf.DUMMYFUNCTION("""COMPUTED_VALUE"""),8)</f>
        <v>8</v>
      </c>
      <c r="K315" s="1">
        <f ca="1">IFERROR(__xludf.DUMMYFUNCTION("""COMPUTED_VALUE"""),7)</f>
        <v>7</v>
      </c>
      <c r="L315" s="1">
        <f ca="1">IFERROR(__xludf.DUMMYFUNCTION("""COMPUTED_VALUE"""),2)</f>
        <v>2</v>
      </c>
      <c r="M315" s="1">
        <f ca="1">IFERROR(__xludf.DUMMYFUNCTION("""COMPUTED_VALUE"""),12)</f>
        <v>12</v>
      </c>
      <c r="N315" s="1">
        <f ca="1">IFERROR(__xludf.DUMMYFUNCTION("""COMPUTED_VALUE"""),1968)</f>
        <v>1968</v>
      </c>
      <c r="O315" s="1">
        <f ca="1">IFERROR(__xludf.DUMMYFUNCTION("""COMPUTED_VALUE"""),2044)</f>
        <v>2044</v>
      </c>
      <c r="P315" s="1">
        <f ca="1">IFERROR(__xludf.DUMMYFUNCTION("""COMPUTED_VALUE"""),1320)</f>
        <v>1320</v>
      </c>
      <c r="Q315" s="1">
        <f ca="1">IFERROR(__xludf.DUMMYFUNCTION("""COMPUTED_VALUE"""),681)</f>
        <v>681</v>
      </c>
      <c r="R315" s="1">
        <f ca="1">IFERROR(__xludf.DUMMYFUNCTION("""COMPUTED_VALUE"""),1626)</f>
        <v>1626</v>
      </c>
      <c r="S315" s="1">
        <f ca="1">IFERROR(__xludf.DUMMYFUNCTION("""COMPUTED_VALUE"""),0.419)</f>
        <v>0.41899999999999998</v>
      </c>
      <c r="T315" s="1">
        <f ca="1">IFERROR(__xludf.DUMMYFUNCTION("""COMPUTED_VALUE"""),138)</f>
        <v>138</v>
      </c>
      <c r="U315" s="1">
        <f ca="1">IFERROR(__xludf.DUMMYFUNCTION("""COMPUTED_VALUE"""),418)</f>
        <v>418</v>
      </c>
      <c r="V315" s="1">
        <f ca="1">IFERROR(__xludf.DUMMYFUNCTION("""COMPUTED_VALUE"""),0.33)</f>
        <v>0.33</v>
      </c>
      <c r="W315" s="1">
        <f ca="1">IFERROR(__xludf.DUMMYFUNCTION("""COMPUTED_VALUE"""),468)</f>
        <v>468</v>
      </c>
      <c r="X315" s="1">
        <f ca="1">IFERROR(__xludf.DUMMYFUNCTION("""COMPUTED_VALUE"""),667)</f>
        <v>667</v>
      </c>
      <c r="Y315" s="1">
        <f ca="1">IFERROR(__xludf.DUMMYFUNCTION("""COMPUTED_VALUE"""),0.702)</f>
        <v>0.70199999999999996</v>
      </c>
      <c r="Z315" s="1">
        <f ca="1">IFERROR(__xludf.DUMMYFUNCTION("""COMPUTED_VALUE"""),327)</f>
        <v>327</v>
      </c>
      <c r="AA315" s="1">
        <f ca="1">IFERROR(__xludf.DUMMYFUNCTION("""COMPUTED_VALUE"""),1027)</f>
        <v>1027</v>
      </c>
      <c r="AB315" s="1">
        <f ca="1">IFERROR(__xludf.DUMMYFUNCTION("""COMPUTED_VALUE"""),274)</f>
        <v>274</v>
      </c>
      <c r="AC315" s="1">
        <f ca="1">IFERROR(__xludf.DUMMYFUNCTION("""COMPUTED_VALUE"""),221)</f>
        <v>221</v>
      </c>
      <c r="AD315" s="1">
        <f ca="1">IFERROR(__xludf.DUMMYFUNCTION("""COMPUTED_VALUE"""),72)</f>
        <v>72</v>
      </c>
      <c r="AE315" s="1">
        <f ca="1">IFERROR(__xludf.DUMMYFUNCTION("""COMPUTED_VALUE"""),423)</f>
        <v>423</v>
      </c>
      <c r="AF315" s="1">
        <f ca="1">IFERROR(__xludf.DUMMYFUNCTION("""COMPUTED_VALUE"""),605)</f>
        <v>605</v>
      </c>
    </row>
    <row r="316" spans="1:32" ht="12.5" x14ac:dyDescent="0.25">
      <c r="A316" s="1" t="str">
        <f ca="1">IFERROR(__xludf.DUMMYFUNCTION("""COMPUTED_VALUE"""),"Southern MethodistNCAA")</f>
        <v>Southern MethodistNCAA</v>
      </c>
      <c r="B316" s="1">
        <f ca="1">IFERROR(__xludf.DUMMYFUNCTION("""COMPUTED_VALUE"""),34)</f>
        <v>34</v>
      </c>
      <c r="C316" s="1">
        <f ca="1">IFERROR(__xludf.DUMMYFUNCTION("""COMPUTED_VALUE"""),27)</f>
        <v>27</v>
      </c>
      <c r="D316" s="1">
        <f ca="1">IFERROR(__xludf.DUMMYFUNCTION("""COMPUTED_VALUE"""),7)</f>
        <v>7</v>
      </c>
      <c r="E316" s="1">
        <f ca="1">IFERROR(__xludf.DUMMYFUNCTION("""COMPUTED_VALUE"""),0.794)</f>
        <v>0.79400000000000004</v>
      </c>
      <c r="F316" s="1">
        <f ca="1">IFERROR(__xludf.DUMMYFUNCTION("""COMPUTED_VALUE"""),12.94)</f>
        <v>12.94</v>
      </c>
      <c r="G316" s="1">
        <f ca="1">IFERROR(__xludf.DUMMYFUNCTION("""COMPUTED_VALUE"""),3.57)</f>
        <v>3.57</v>
      </c>
      <c r="H316" s="1">
        <f ca="1">IFERROR(__xludf.DUMMYFUNCTION("""COMPUTED_VALUE"""),15)</f>
        <v>15</v>
      </c>
      <c r="I316" s="1">
        <f ca="1">IFERROR(__xludf.DUMMYFUNCTION("""COMPUTED_VALUE"""),3)</f>
        <v>3</v>
      </c>
      <c r="J316" s="1">
        <f ca="1">IFERROR(__xludf.DUMMYFUNCTION("""COMPUTED_VALUE"""),16)</f>
        <v>16</v>
      </c>
      <c r="K316" s="1">
        <f ca="1">IFERROR(__xludf.DUMMYFUNCTION("""COMPUTED_VALUE"""),2)</f>
        <v>2</v>
      </c>
      <c r="L316" s="1">
        <f ca="1">IFERROR(__xludf.DUMMYFUNCTION("""COMPUTED_VALUE"""),8)</f>
        <v>8</v>
      </c>
      <c r="M316" s="1">
        <f ca="1">IFERROR(__xludf.DUMMYFUNCTION("""COMPUTED_VALUE"""),4)</f>
        <v>4</v>
      </c>
      <c r="N316" s="1">
        <f ca="1">IFERROR(__xludf.DUMMYFUNCTION("""COMPUTED_VALUE"""),2350)</f>
        <v>2350</v>
      </c>
      <c r="O316" s="1">
        <f ca="1">IFERROR(__xludf.DUMMYFUNCTION("""COMPUTED_VALUE"""),2032)</f>
        <v>2032</v>
      </c>
      <c r="P316" s="1">
        <f ca="1">IFERROR(__xludf.DUMMYFUNCTION("""COMPUTED_VALUE"""),1365)</f>
        <v>1365</v>
      </c>
      <c r="Q316" s="1">
        <f ca="1">IFERROR(__xludf.DUMMYFUNCTION("""COMPUTED_VALUE"""),832)</f>
        <v>832</v>
      </c>
      <c r="R316" s="1">
        <f ca="1">IFERROR(__xludf.DUMMYFUNCTION("""COMPUTED_VALUE"""),1750)</f>
        <v>1750</v>
      </c>
      <c r="S316" s="1">
        <f ca="1">IFERROR(__xludf.DUMMYFUNCTION("""COMPUTED_VALUE"""),0.475)</f>
        <v>0.47499999999999998</v>
      </c>
      <c r="T316" s="1">
        <f ca="1">IFERROR(__xludf.DUMMYFUNCTION("""COMPUTED_VALUE"""),145)</f>
        <v>145</v>
      </c>
      <c r="U316" s="1">
        <f ca="1">IFERROR(__xludf.DUMMYFUNCTION("""COMPUTED_VALUE"""),400)</f>
        <v>400</v>
      </c>
      <c r="V316" s="1">
        <f ca="1">IFERROR(__xludf.DUMMYFUNCTION("""COMPUTED_VALUE"""),0.363)</f>
        <v>0.36299999999999999</v>
      </c>
      <c r="W316" s="1">
        <f ca="1">IFERROR(__xludf.DUMMYFUNCTION("""COMPUTED_VALUE"""),541)</f>
        <v>541</v>
      </c>
      <c r="X316" s="1">
        <f ca="1">IFERROR(__xludf.DUMMYFUNCTION("""COMPUTED_VALUE"""),770)</f>
        <v>770</v>
      </c>
      <c r="Y316" s="1">
        <f ca="1">IFERROR(__xludf.DUMMYFUNCTION("""COMPUTED_VALUE"""),0.703)</f>
        <v>0.70299999999999996</v>
      </c>
      <c r="Z316" s="1">
        <f ca="1">IFERROR(__xludf.DUMMYFUNCTION("""COMPUTED_VALUE"""),388)</f>
        <v>388</v>
      </c>
      <c r="AA316" s="1">
        <f ca="1">IFERROR(__xludf.DUMMYFUNCTION("""COMPUTED_VALUE"""),1244)</f>
        <v>1244</v>
      </c>
      <c r="AB316" s="1">
        <f ca="1">IFERROR(__xludf.DUMMYFUNCTION("""COMPUTED_VALUE"""),524)</f>
        <v>524</v>
      </c>
      <c r="AC316" s="1">
        <f ca="1">IFERROR(__xludf.DUMMYFUNCTION("""COMPUTED_VALUE"""),237)</f>
        <v>237</v>
      </c>
      <c r="AD316" s="1">
        <f ca="1">IFERROR(__xludf.DUMMYFUNCTION("""COMPUTED_VALUE"""),146)</f>
        <v>146</v>
      </c>
      <c r="AE316" s="1">
        <f ca="1">IFERROR(__xludf.DUMMYFUNCTION("""COMPUTED_VALUE"""),426)</f>
        <v>426</v>
      </c>
      <c r="AF316" s="1">
        <f ca="1">IFERROR(__xludf.DUMMYFUNCTION("""COMPUTED_VALUE"""),551)</f>
        <v>551</v>
      </c>
    </row>
    <row r="317" spans="1:32" ht="12.5" x14ac:dyDescent="0.25">
      <c r="A317" s="1" t="str">
        <f ca="1">IFERROR(__xludf.DUMMYFUNCTION("""COMPUTED_VALUE"""),"Southern Mississippi")</f>
        <v>Southern Mississippi</v>
      </c>
      <c r="B317" s="1">
        <f ca="1">IFERROR(__xludf.DUMMYFUNCTION("""COMPUTED_VALUE"""),29)</f>
        <v>29</v>
      </c>
      <c r="C317" s="1">
        <f ca="1">IFERROR(__xludf.DUMMYFUNCTION("""COMPUTED_VALUE"""),9)</f>
        <v>9</v>
      </c>
      <c r="D317" s="1">
        <f ca="1">IFERROR(__xludf.DUMMYFUNCTION("""COMPUTED_VALUE"""),20)</f>
        <v>20</v>
      </c>
      <c r="E317" s="1">
        <f ca="1">IFERROR(__xludf.DUMMYFUNCTION("""COMPUTED_VALUE"""),0.31)</f>
        <v>0.31</v>
      </c>
      <c r="F317" s="1">
        <f ca="1">IFERROR(__xludf.DUMMYFUNCTION("""COMPUTED_VALUE"""),-10.03)</f>
        <v>-10.029999999999999</v>
      </c>
      <c r="G317" s="1">
        <f ca="1">IFERROR(__xludf.DUMMYFUNCTION("""COMPUTED_VALUE"""),-0.06)</f>
        <v>-0.06</v>
      </c>
      <c r="H317" s="1">
        <f ca="1">IFERROR(__xludf.DUMMYFUNCTION("""COMPUTED_VALUE"""),4)</f>
        <v>4</v>
      </c>
      <c r="I317" s="1">
        <f ca="1">IFERROR(__xludf.DUMMYFUNCTION("""COMPUTED_VALUE"""),14)</f>
        <v>14</v>
      </c>
      <c r="J317" s="1">
        <f ca="1">IFERROR(__xludf.DUMMYFUNCTION("""COMPUTED_VALUE"""),8)</f>
        <v>8</v>
      </c>
      <c r="K317" s="1">
        <f ca="1">IFERROR(__xludf.DUMMYFUNCTION("""COMPUTED_VALUE"""),7)</f>
        <v>7</v>
      </c>
      <c r="L317" s="1">
        <f ca="1">IFERROR(__xludf.DUMMYFUNCTION("""COMPUTED_VALUE"""),1)</f>
        <v>1</v>
      </c>
      <c r="M317" s="1">
        <f ca="1">IFERROR(__xludf.DUMMYFUNCTION("""COMPUTED_VALUE"""),13)</f>
        <v>13</v>
      </c>
      <c r="N317" s="1">
        <f ca="1">IFERROR(__xludf.DUMMYFUNCTION("""COMPUTED_VALUE"""),1742)</f>
        <v>1742</v>
      </c>
      <c r="O317" s="1">
        <f ca="1">IFERROR(__xludf.DUMMYFUNCTION("""COMPUTED_VALUE"""),1978)</f>
        <v>1978</v>
      </c>
      <c r="P317" s="1">
        <f ca="1">IFERROR(__xludf.DUMMYFUNCTION("""COMPUTED_VALUE"""),1170)</f>
        <v>1170</v>
      </c>
      <c r="Q317" s="1">
        <f ca="1">IFERROR(__xludf.DUMMYFUNCTION("""COMPUTED_VALUE"""),618)</f>
        <v>618</v>
      </c>
      <c r="R317" s="1">
        <f ca="1">IFERROR(__xludf.DUMMYFUNCTION("""COMPUTED_VALUE"""),1438)</f>
        <v>1438</v>
      </c>
      <c r="S317" s="1">
        <f ca="1">IFERROR(__xludf.DUMMYFUNCTION("""COMPUTED_VALUE"""),0.43)</f>
        <v>0.43</v>
      </c>
      <c r="T317" s="1">
        <f ca="1">IFERROR(__xludf.DUMMYFUNCTION("""COMPUTED_VALUE"""),183)</f>
        <v>183</v>
      </c>
      <c r="U317" s="1">
        <f ca="1">IFERROR(__xludf.DUMMYFUNCTION("""COMPUTED_VALUE"""),554)</f>
        <v>554</v>
      </c>
      <c r="V317" s="1">
        <f ca="1">IFERROR(__xludf.DUMMYFUNCTION("""COMPUTED_VALUE"""),0.33)</f>
        <v>0.33</v>
      </c>
      <c r="W317" s="1">
        <f ca="1">IFERROR(__xludf.DUMMYFUNCTION("""COMPUTED_VALUE"""),323)</f>
        <v>323</v>
      </c>
      <c r="X317" s="1">
        <f ca="1">IFERROR(__xludf.DUMMYFUNCTION("""COMPUTED_VALUE"""),515)</f>
        <v>515</v>
      </c>
      <c r="Y317" s="1">
        <f ca="1">IFERROR(__xludf.DUMMYFUNCTION("""COMPUTED_VALUE"""),0.627)</f>
        <v>0.627</v>
      </c>
      <c r="Z317" s="1">
        <f ca="1">IFERROR(__xludf.DUMMYFUNCTION("""COMPUTED_VALUE"""),248)</f>
        <v>248</v>
      </c>
      <c r="AA317" s="1">
        <f ca="1">IFERROR(__xludf.DUMMYFUNCTION("""COMPUTED_VALUE"""),863)</f>
        <v>863</v>
      </c>
      <c r="AB317" s="1">
        <f ca="1">IFERROR(__xludf.DUMMYFUNCTION("""COMPUTED_VALUE"""),352)</f>
        <v>352</v>
      </c>
      <c r="AC317" s="1">
        <f ca="1">IFERROR(__xludf.DUMMYFUNCTION("""COMPUTED_VALUE"""),178)</f>
        <v>178</v>
      </c>
      <c r="AD317" s="1">
        <f ca="1">IFERROR(__xludf.DUMMYFUNCTION("""COMPUTED_VALUE"""),63)</f>
        <v>63</v>
      </c>
      <c r="AE317" s="1">
        <f ca="1">IFERROR(__xludf.DUMMYFUNCTION("""COMPUTED_VALUE"""),408)</f>
        <v>408</v>
      </c>
      <c r="AF317" s="1">
        <f ca="1">IFERROR(__xludf.DUMMYFUNCTION("""COMPUTED_VALUE"""),449)</f>
        <v>449</v>
      </c>
    </row>
    <row r="318" spans="1:32" ht="12.5" x14ac:dyDescent="0.25">
      <c r="A318" s="1" t="str">
        <f ca="1">IFERROR(__xludf.DUMMYFUNCTION("""COMPUTED_VALUE"""),"Southern Utah")</f>
        <v>Southern Utah</v>
      </c>
      <c r="B318" s="1">
        <f ca="1">IFERROR(__xludf.DUMMYFUNCTION("""COMPUTED_VALUE"""),29)</f>
        <v>29</v>
      </c>
      <c r="C318" s="1">
        <f ca="1">IFERROR(__xludf.DUMMYFUNCTION("""COMPUTED_VALUE"""),10)</f>
        <v>10</v>
      </c>
      <c r="D318" s="1">
        <f ca="1">IFERROR(__xludf.DUMMYFUNCTION("""COMPUTED_VALUE"""),19)</f>
        <v>19</v>
      </c>
      <c r="E318" s="1">
        <f ca="1">IFERROR(__xludf.DUMMYFUNCTION("""COMPUTED_VALUE"""),0.345)</f>
        <v>0.34499999999999997</v>
      </c>
      <c r="F318" s="1">
        <f ca="1">IFERROR(__xludf.DUMMYFUNCTION("""COMPUTED_VALUE"""),-11.98)</f>
        <v>-11.98</v>
      </c>
      <c r="G318" s="1">
        <f ca="1">IFERROR(__xludf.DUMMYFUNCTION("""COMPUTED_VALUE"""),-5.48)</f>
        <v>-5.48</v>
      </c>
      <c r="H318" s="1">
        <f ca="1">IFERROR(__xludf.DUMMYFUNCTION("""COMPUTED_VALUE"""),7)</f>
        <v>7</v>
      </c>
      <c r="I318" s="1">
        <f ca="1">IFERROR(__xludf.DUMMYFUNCTION("""COMPUTED_VALUE"""),11)</f>
        <v>11</v>
      </c>
      <c r="J318" s="1">
        <f ca="1">IFERROR(__xludf.DUMMYFUNCTION("""COMPUTED_VALUE"""),5)</f>
        <v>5</v>
      </c>
      <c r="K318" s="1">
        <f ca="1">IFERROR(__xludf.DUMMYFUNCTION("""COMPUTED_VALUE"""),7)</f>
        <v>7</v>
      </c>
      <c r="L318" s="1">
        <f ca="1">IFERROR(__xludf.DUMMYFUNCTION("""COMPUTED_VALUE"""),4)</f>
        <v>4</v>
      </c>
      <c r="M318" s="1">
        <f ca="1">IFERROR(__xludf.DUMMYFUNCTION("""COMPUTED_VALUE"""),11)</f>
        <v>11</v>
      </c>
      <c r="N318" s="1">
        <f ca="1">IFERROR(__xludf.DUMMYFUNCTION("""COMPUTED_VALUE"""),2011)</f>
        <v>2011</v>
      </c>
      <c r="O318" s="1">
        <f ca="1">IFERROR(__xludf.DUMMYFUNCTION("""COMPUTED_VALUE"""),2146)</f>
        <v>2146</v>
      </c>
      <c r="P318" s="1">
        <f ca="1">IFERROR(__xludf.DUMMYFUNCTION("""COMPUTED_VALUE"""),1170)</f>
        <v>1170</v>
      </c>
      <c r="Q318" s="1">
        <f ca="1">IFERROR(__xludf.DUMMYFUNCTION("""COMPUTED_VALUE"""),700)</f>
        <v>700</v>
      </c>
      <c r="R318" s="1">
        <f ca="1">IFERROR(__xludf.DUMMYFUNCTION("""COMPUTED_VALUE"""),1537)</f>
        <v>1537</v>
      </c>
      <c r="S318" s="1">
        <f ca="1">IFERROR(__xludf.DUMMYFUNCTION("""COMPUTED_VALUE"""),0.455)</f>
        <v>0.45500000000000002</v>
      </c>
      <c r="T318" s="1">
        <f ca="1">IFERROR(__xludf.DUMMYFUNCTION("""COMPUTED_VALUE"""),210)</f>
        <v>210</v>
      </c>
      <c r="U318" s="1">
        <f ca="1">IFERROR(__xludf.DUMMYFUNCTION("""COMPUTED_VALUE"""),537)</f>
        <v>537</v>
      </c>
      <c r="V318" s="1">
        <f ca="1">IFERROR(__xludf.DUMMYFUNCTION("""COMPUTED_VALUE"""),0.391)</f>
        <v>0.39100000000000001</v>
      </c>
      <c r="W318" s="1">
        <f ca="1">IFERROR(__xludf.DUMMYFUNCTION("""COMPUTED_VALUE"""),401)</f>
        <v>401</v>
      </c>
      <c r="X318" s="1">
        <f ca="1">IFERROR(__xludf.DUMMYFUNCTION("""COMPUTED_VALUE"""),599)</f>
        <v>599</v>
      </c>
      <c r="Y318" s="1">
        <f ca="1">IFERROR(__xludf.DUMMYFUNCTION("""COMPUTED_VALUE"""),0.669)</f>
        <v>0.66900000000000004</v>
      </c>
      <c r="Z318" s="1">
        <f ca="1">IFERROR(__xludf.DUMMYFUNCTION("""COMPUTED_VALUE"""),218)</f>
        <v>218</v>
      </c>
      <c r="AA318" s="1">
        <f ca="1">IFERROR(__xludf.DUMMYFUNCTION("""COMPUTED_VALUE"""),920)</f>
        <v>920</v>
      </c>
      <c r="AB318" s="1">
        <f ca="1">IFERROR(__xludf.DUMMYFUNCTION("""COMPUTED_VALUE"""),344)</f>
        <v>344</v>
      </c>
      <c r="AC318" s="1">
        <f ca="1">IFERROR(__xludf.DUMMYFUNCTION("""COMPUTED_VALUE"""),144)</f>
        <v>144</v>
      </c>
      <c r="AD318" s="1">
        <f ca="1">IFERROR(__xludf.DUMMYFUNCTION("""COMPUTED_VALUE"""),108)</f>
        <v>108</v>
      </c>
      <c r="AE318" s="1">
        <f ca="1">IFERROR(__xludf.DUMMYFUNCTION("""COMPUTED_VALUE"""),393)</f>
        <v>393</v>
      </c>
      <c r="AF318" s="1">
        <f ca="1">IFERROR(__xludf.DUMMYFUNCTION("""COMPUTED_VALUE"""),651)</f>
        <v>651</v>
      </c>
    </row>
    <row r="319" spans="1:32" ht="12.5" x14ac:dyDescent="0.25">
      <c r="A319" s="1" t="str">
        <f ca="1">IFERROR(__xludf.DUMMYFUNCTION("""COMPUTED_VALUE"""),"Southern")</f>
        <v>Southern</v>
      </c>
      <c r="B319" s="1">
        <f ca="1">IFERROR(__xludf.DUMMYFUNCTION("""COMPUTED_VALUE"""),35)</f>
        <v>35</v>
      </c>
      <c r="C319" s="1">
        <f ca="1">IFERROR(__xludf.DUMMYFUNCTION("""COMPUTED_VALUE"""),18)</f>
        <v>18</v>
      </c>
      <c r="D319" s="1">
        <f ca="1">IFERROR(__xludf.DUMMYFUNCTION("""COMPUTED_VALUE"""),17)</f>
        <v>17</v>
      </c>
      <c r="E319" s="1">
        <f ca="1">IFERROR(__xludf.DUMMYFUNCTION("""COMPUTED_VALUE"""),0.514)</f>
        <v>0.51400000000000001</v>
      </c>
      <c r="F319" s="1">
        <f ca="1">IFERROR(__xludf.DUMMYFUNCTION("""COMPUTED_VALUE"""),-9.95)</f>
        <v>-9.9499999999999993</v>
      </c>
      <c r="G319" s="1">
        <f ca="1">IFERROR(__xludf.DUMMYFUNCTION("""COMPUTED_VALUE"""),-8.23)</f>
        <v>-8.23</v>
      </c>
      <c r="H319" s="1">
        <f ca="1">IFERROR(__xludf.DUMMYFUNCTION("""COMPUTED_VALUE"""),13)</f>
        <v>13</v>
      </c>
      <c r="I319" s="1">
        <f ca="1">IFERROR(__xludf.DUMMYFUNCTION("""COMPUTED_VALUE"""),5)</f>
        <v>5</v>
      </c>
      <c r="J319" s="1">
        <f ca="1">IFERROR(__xludf.DUMMYFUNCTION("""COMPUTED_VALUE"""),9)</f>
        <v>9</v>
      </c>
      <c r="K319" s="1">
        <f ca="1">IFERROR(__xludf.DUMMYFUNCTION("""COMPUTED_VALUE"""),4)</f>
        <v>4</v>
      </c>
      <c r="L319" s="1">
        <f ca="1">IFERROR(__xludf.DUMMYFUNCTION("""COMPUTED_VALUE"""),7)</f>
        <v>7</v>
      </c>
      <c r="M319" s="1">
        <f ca="1">IFERROR(__xludf.DUMMYFUNCTION("""COMPUTED_VALUE"""),10)</f>
        <v>10</v>
      </c>
      <c r="N319" s="1">
        <f ca="1">IFERROR(__xludf.DUMMYFUNCTION("""COMPUTED_VALUE"""),2259)</f>
        <v>2259</v>
      </c>
      <c r="O319" s="1">
        <f ca="1">IFERROR(__xludf.DUMMYFUNCTION("""COMPUTED_VALUE"""),2226)</f>
        <v>2226</v>
      </c>
      <c r="P319" s="1">
        <f ca="1">IFERROR(__xludf.DUMMYFUNCTION("""COMPUTED_VALUE"""),1410)</f>
        <v>1410</v>
      </c>
      <c r="Q319" s="1">
        <f ca="1">IFERROR(__xludf.DUMMYFUNCTION("""COMPUTED_VALUE"""),801)</f>
        <v>801</v>
      </c>
      <c r="R319" s="1">
        <f ca="1">IFERROR(__xludf.DUMMYFUNCTION("""COMPUTED_VALUE"""),1895)</f>
        <v>1895</v>
      </c>
      <c r="S319" s="1">
        <f ca="1">IFERROR(__xludf.DUMMYFUNCTION("""COMPUTED_VALUE"""),0.423)</f>
        <v>0.42299999999999999</v>
      </c>
      <c r="T319" s="1">
        <f ca="1">IFERROR(__xludf.DUMMYFUNCTION("""COMPUTED_VALUE"""),150)</f>
        <v>150</v>
      </c>
      <c r="U319" s="1">
        <f ca="1">IFERROR(__xludf.DUMMYFUNCTION("""COMPUTED_VALUE"""),484)</f>
        <v>484</v>
      </c>
      <c r="V319" s="1">
        <f ca="1">IFERROR(__xludf.DUMMYFUNCTION("""COMPUTED_VALUE"""),0.31)</f>
        <v>0.31</v>
      </c>
      <c r="W319" s="1">
        <f ca="1">IFERROR(__xludf.DUMMYFUNCTION("""COMPUTED_VALUE"""),507)</f>
        <v>507</v>
      </c>
      <c r="X319" s="1">
        <f ca="1">IFERROR(__xludf.DUMMYFUNCTION("""COMPUTED_VALUE"""),775)</f>
        <v>775</v>
      </c>
      <c r="Y319" s="1">
        <f ca="1">IFERROR(__xludf.DUMMYFUNCTION("""COMPUTED_VALUE"""),0.654)</f>
        <v>0.65400000000000003</v>
      </c>
      <c r="Z319" s="1">
        <f ca="1">IFERROR(__xludf.DUMMYFUNCTION("""COMPUTED_VALUE"""),403)</f>
        <v>403</v>
      </c>
      <c r="AA319" s="1">
        <f ca="1">IFERROR(__xludf.DUMMYFUNCTION("""COMPUTED_VALUE"""),1262)</f>
        <v>1262</v>
      </c>
      <c r="AB319" s="1">
        <f ca="1">IFERROR(__xludf.DUMMYFUNCTION("""COMPUTED_VALUE"""),359)</f>
        <v>359</v>
      </c>
      <c r="AC319" s="1">
        <f ca="1">IFERROR(__xludf.DUMMYFUNCTION("""COMPUTED_VALUE"""),240)</f>
        <v>240</v>
      </c>
      <c r="AD319" s="1">
        <f ca="1">IFERROR(__xludf.DUMMYFUNCTION("""COMPUTED_VALUE"""),145)</f>
        <v>145</v>
      </c>
      <c r="AE319" s="1">
        <f ca="1">IFERROR(__xludf.DUMMYFUNCTION("""COMPUTED_VALUE"""),462)</f>
        <v>462</v>
      </c>
      <c r="AF319" s="1">
        <f ca="1">IFERROR(__xludf.DUMMYFUNCTION("""COMPUTED_VALUE"""),702)</f>
        <v>702</v>
      </c>
    </row>
    <row r="320" spans="1:32" ht="12.5" x14ac:dyDescent="0.25">
      <c r="A320" s="1" t="str">
        <f ca="1">IFERROR(__xludf.DUMMYFUNCTION("""COMPUTED_VALUE"""),"St. Bonaventure")</f>
        <v>St. Bonaventure</v>
      </c>
      <c r="B320" s="1">
        <f ca="1">IFERROR(__xludf.DUMMYFUNCTION("""COMPUTED_VALUE"""),31)</f>
        <v>31</v>
      </c>
      <c r="C320" s="1">
        <f ca="1">IFERROR(__xludf.DUMMYFUNCTION("""COMPUTED_VALUE"""),18)</f>
        <v>18</v>
      </c>
      <c r="D320" s="1">
        <f ca="1">IFERROR(__xludf.DUMMYFUNCTION("""COMPUTED_VALUE"""),13)</f>
        <v>13</v>
      </c>
      <c r="E320" s="1">
        <f ca="1">IFERROR(__xludf.DUMMYFUNCTION("""COMPUTED_VALUE"""),0.581)</f>
        <v>0.58099999999999996</v>
      </c>
      <c r="F320" s="1">
        <f ca="1">IFERROR(__xludf.DUMMYFUNCTION("""COMPUTED_VALUE"""),3.93)</f>
        <v>3.93</v>
      </c>
      <c r="G320" s="1">
        <f ca="1">IFERROR(__xludf.DUMMYFUNCTION("""COMPUTED_VALUE"""),1.34)</f>
        <v>1.34</v>
      </c>
      <c r="H320" s="1">
        <f ca="1">IFERROR(__xludf.DUMMYFUNCTION("""COMPUTED_VALUE"""),10)</f>
        <v>10</v>
      </c>
      <c r="I320" s="1">
        <f ca="1">IFERROR(__xludf.DUMMYFUNCTION("""COMPUTED_VALUE"""),8)</f>
        <v>8</v>
      </c>
      <c r="J320" s="1">
        <f ca="1">IFERROR(__xludf.DUMMYFUNCTION("""COMPUTED_VALUE"""),8)</f>
        <v>8</v>
      </c>
      <c r="K320" s="1">
        <f ca="1">IFERROR(__xludf.DUMMYFUNCTION("""COMPUTED_VALUE"""),6)</f>
        <v>6</v>
      </c>
      <c r="L320" s="1">
        <f ca="1">IFERROR(__xludf.DUMMYFUNCTION("""COMPUTED_VALUE"""),7)</f>
        <v>7</v>
      </c>
      <c r="M320" s="1">
        <f ca="1">IFERROR(__xludf.DUMMYFUNCTION("""COMPUTED_VALUE"""),6)</f>
        <v>6</v>
      </c>
      <c r="N320" s="1">
        <f ca="1">IFERROR(__xludf.DUMMYFUNCTION("""COMPUTED_VALUE"""),2085)</f>
        <v>2085</v>
      </c>
      <c r="O320" s="1">
        <f ca="1">IFERROR(__xludf.DUMMYFUNCTION("""COMPUTED_VALUE"""),2005)</f>
        <v>2005</v>
      </c>
      <c r="P320" s="1">
        <f ca="1">IFERROR(__xludf.DUMMYFUNCTION("""COMPUTED_VALUE"""),1250)</f>
        <v>1250</v>
      </c>
      <c r="Q320" s="1">
        <f ca="1">IFERROR(__xludf.DUMMYFUNCTION("""COMPUTED_VALUE"""),733)</f>
        <v>733</v>
      </c>
      <c r="R320" s="1">
        <f ca="1">IFERROR(__xludf.DUMMYFUNCTION("""COMPUTED_VALUE"""),1723)</f>
        <v>1723</v>
      </c>
      <c r="S320" s="1">
        <f ca="1">IFERROR(__xludf.DUMMYFUNCTION("""COMPUTED_VALUE"""),0.425)</f>
        <v>0.42499999999999999</v>
      </c>
      <c r="T320" s="1">
        <f ca="1">IFERROR(__xludf.DUMMYFUNCTION("""COMPUTED_VALUE"""),158)</f>
        <v>158</v>
      </c>
      <c r="U320" s="1">
        <f ca="1">IFERROR(__xludf.DUMMYFUNCTION("""COMPUTED_VALUE"""),503)</f>
        <v>503</v>
      </c>
      <c r="V320" s="1">
        <f ca="1">IFERROR(__xludf.DUMMYFUNCTION("""COMPUTED_VALUE"""),0.314)</f>
        <v>0.314</v>
      </c>
      <c r="W320" s="1">
        <f ca="1">IFERROR(__xludf.DUMMYFUNCTION("""COMPUTED_VALUE"""),461)</f>
        <v>461</v>
      </c>
      <c r="X320" s="1">
        <f ca="1">IFERROR(__xludf.DUMMYFUNCTION("""COMPUTED_VALUE"""),653)</f>
        <v>653</v>
      </c>
      <c r="Y320" s="1">
        <f ca="1">IFERROR(__xludf.DUMMYFUNCTION("""COMPUTED_VALUE"""),0.706)</f>
        <v>0.70599999999999996</v>
      </c>
      <c r="Z320" s="1">
        <f ca="1">IFERROR(__xludf.DUMMYFUNCTION("""COMPUTED_VALUE"""),384)</f>
        <v>384</v>
      </c>
      <c r="AA320" s="1">
        <f ca="1">IFERROR(__xludf.DUMMYFUNCTION("""COMPUTED_VALUE"""),1153)</f>
        <v>1153</v>
      </c>
      <c r="AB320" s="1">
        <f ca="1">IFERROR(__xludf.DUMMYFUNCTION("""COMPUTED_VALUE"""),383)</f>
        <v>383</v>
      </c>
      <c r="AC320" s="1">
        <f ca="1">IFERROR(__xludf.DUMMYFUNCTION("""COMPUTED_VALUE"""),206)</f>
        <v>206</v>
      </c>
      <c r="AD320" s="1">
        <f ca="1">IFERROR(__xludf.DUMMYFUNCTION("""COMPUTED_VALUE"""),149)</f>
        <v>149</v>
      </c>
      <c r="AE320" s="1">
        <f ca="1">IFERROR(__xludf.DUMMYFUNCTION("""COMPUTED_VALUE"""),384)</f>
        <v>384</v>
      </c>
      <c r="AF320" s="1">
        <f ca="1">IFERROR(__xludf.DUMMYFUNCTION("""COMPUTED_VALUE"""),535)</f>
        <v>535</v>
      </c>
    </row>
    <row r="321" spans="1:32" ht="12.5" x14ac:dyDescent="0.25">
      <c r="A321" s="1" t="str">
        <f ca="1">IFERROR(__xludf.DUMMYFUNCTION("""COMPUTED_VALUE"""),"St. Francis (NY)")</f>
        <v>St. Francis (NY)</v>
      </c>
      <c r="B321" s="1">
        <f ca="1">IFERROR(__xludf.DUMMYFUNCTION("""COMPUTED_VALUE"""),35)</f>
        <v>35</v>
      </c>
      <c r="C321" s="1">
        <f ca="1">IFERROR(__xludf.DUMMYFUNCTION("""COMPUTED_VALUE"""),23)</f>
        <v>23</v>
      </c>
      <c r="D321" s="1">
        <f ca="1">IFERROR(__xludf.DUMMYFUNCTION("""COMPUTED_VALUE"""),12)</f>
        <v>12</v>
      </c>
      <c r="E321" s="1">
        <f ca="1">IFERROR(__xludf.DUMMYFUNCTION("""COMPUTED_VALUE"""),0.657)</f>
        <v>0.65700000000000003</v>
      </c>
      <c r="F321" s="1">
        <f ca="1">IFERROR(__xludf.DUMMYFUNCTION("""COMPUTED_VALUE"""),-2.14)</f>
        <v>-2.14</v>
      </c>
      <c r="G321" s="1">
        <f ca="1">IFERROR(__xludf.DUMMYFUNCTION("""COMPUTED_VALUE"""),-6.2)</f>
        <v>-6.2</v>
      </c>
      <c r="H321" s="1">
        <f ca="1">IFERROR(__xludf.DUMMYFUNCTION("""COMPUTED_VALUE"""),15)</f>
        <v>15</v>
      </c>
      <c r="I321" s="1">
        <f ca="1">IFERROR(__xludf.DUMMYFUNCTION("""COMPUTED_VALUE"""),3)</f>
        <v>3</v>
      </c>
      <c r="J321" s="1">
        <f ca="1">IFERROR(__xludf.DUMMYFUNCTION("""COMPUTED_VALUE"""),12)</f>
        <v>12</v>
      </c>
      <c r="K321" s="1">
        <f ca="1">IFERROR(__xludf.DUMMYFUNCTION("""COMPUTED_VALUE"""),4)</f>
        <v>4</v>
      </c>
      <c r="L321" s="1">
        <f ca="1">IFERROR(__xludf.DUMMYFUNCTION("""COMPUTED_VALUE"""),9)</f>
        <v>9</v>
      </c>
      <c r="M321" s="1">
        <f ca="1">IFERROR(__xludf.DUMMYFUNCTION("""COMPUTED_VALUE"""),7)</f>
        <v>7</v>
      </c>
      <c r="N321" s="1">
        <f ca="1">IFERROR(__xludf.DUMMYFUNCTION("""COMPUTED_VALUE"""),2418)</f>
        <v>2418</v>
      </c>
      <c r="O321" s="1">
        <f ca="1">IFERROR(__xludf.DUMMYFUNCTION("""COMPUTED_VALUE"""),2262)</f>
        <v>2262</v>
      </c>
      <c r="P321" s="1">
        <f ca="1">IFERROR(__xludf.DUMMYFUNCTION("""COMPUTED_VALUE"""),1415)</f>
        <v>1415</v>
      </c>
      <c r="Q321" s="1">
        <f ca="1">IFERROR(__xludf.DUMMYFUNCTION("""COMPUTED_VALUE"""),837)</f>
        <v>837</v>
      </c>
      <c r="R321" s="1">
        <f ca="1">IFERROR(__xludf.DUMMYFUNCTION("""COMPUTED_VALUE"""),2005)</f>
        <v>2005</v>
      </c>
      <c r="S321" s="1">
        <f ca="1">IFERROR(__xludf.DUMMYFUNCTION("""COMPUTED_VALUE"""),0.417)</f>
        <v>0.41699999999999998</v>
      </c>
      <c r="T321" s="1">
        <f ca="1">IFERROR(__xludf.DUMMYFUNCTION("""COMPUTED_VALUE"""),195)</f>
        <v>195</v>
      </c>
      <c r="U321" s="1">
        <f ca="1">IFERROR(__xludf.DUMMYFUNCTION("""COMPUTED_VALUE"""),662)</f>
        <v>662</v>
      </c>
      <c r="V321" s="1">
        <f ca="1">IFERROR(__xludf.DUMMYFUNCTION("""COMPUTED_VALUE"""),0.295)</f>
        <v>0.29499999999999998</v>
      </c>
      <c r="W321" s="1">
        <f ca="1">IFERROR(__xludf.DUMMYFUNCTION("""COMPUTED_VALUE"""),549)</f>
        <v>549</v>
      </c>
      <c r="X321" s="1">
        <f ca="1">IFERROR(__xludf.DUMMYFUNCTION("""COMPUTED_VALUE"""),809)</f>
        <v>809</v>
      </c>
      <c r="Y321" s="1">
        <f ca="1">IFERROR(__xludf.DUMMYFUNCTION("""COMPUTED_VALUE"""),0.679)</f>
        <v>0.67900000000000005</v>
      </c>
      <c r="Z321" s="1">
        <f ca="1">IFERROR(__xludf.DUMMYFUNCTION("""COMPUTED_VALUE"""),521)</f>
        <v>521</v>
      </c>
      <c r="AA321" s="1">
        <f ca="1">IFERROR(__xludf.DUMMYFUNCTION("""COMPUTED_VALUE"""),1361)</f>
        <v>1361</v>
      </c>
      <c r="AB321" s="1">
        <f ca="1">IFERROR(__xludf.DUMMYFUNCTION("""COMPUTED_VALUE"""),431)</f>
        <v>431</v>
      </c>
      <c r="AC321" s="1">
        <f ca="1">IFERROR(__xludf.DUMMYFUNCTION("""COMPUTED_VALUE"""),232)</f>
        <v>232</v>
      </c>
      <c r="AD321" s="1">
        <f ca="1">IFERROR(__xludf.DUMMYFUNCTION("""COMPUTED_VALUE"""),172)</f>
        <v>172</v>
      </c>
      <c r="AE321" s="1">
        <f ca="1">IFERROR(__xludf.DUMMYFUNCTION("""COMPUTED_VALUE"""),459)</f>
        <v>459</v>
      </c>
      <c r="AF321" s="1">
        <f ca="1">IFERROR(__xludf.DUMMYFUNCTION("""COMPUTED_VALUE"""),643)</f>
        <v>643</v>
      </c>
    </row>
    <row r="322" spans="1:32" ht="12.5" x14ac:dyDescent="0.25">
      <c r="A322" s="1" t="str">
        <f ca="1">IFERROR(__xludf.DUMMYFUNCTION("""COMPUTED_VALUE"""),"St. John's (NY)NCAA")</f>
        <v>St. John's (NY)NCAA</v>
      </c>
      <c r="B322" s="1">
        <f ca="1">IFERROR(__xludf.DUMMYFUNCTION("""COMPUTED_VALUE"""),33)</f>
        <v>33</v>
      </c>
      <c r="C322" s="1">
        <f ca="1">IFERROR(__xludf.DUMMYFUNCTION("""COMPUTED_VALUE"""),21)</f>
        <v>21</v>
      </c>
      <c r="D322" s="1">
        <f ca="1">IFERROR(__xludf.DUMMYFUNCTION("""COMPUTED_VALUE"""),12)</f>
        <v>12</v>
      </c>
      <c r="E322" s="1">
        <f ca="1">IFERROR(__xludf.DUMMYFUNCTION("""COMPUTED_VALUE"""),0.636)</f>
        <v>0.63600000000000001</v>
      </c>
      <c r="F322" s="1">
        <f ca="1">IFERROR(__xludf.DUMMYFUNCTION("""COMPUTED_VALUE"""),11.85)</f>
        <v>11.85</v>
      </c>
      <c r="G322" s="1">
        <f ca="1">IFERROR(__xludf.DUMMYFUNCTION("""COMPUTED_VALUE"""),9.04)</f>
        <v>9.0399999999999991</v>
      </c>
      <c r="H322" s="1">
        <f ca="1">IFERROR(__xludf.DUMMYFUNCTION("""COMPUTED_VALUE"""),10)</f>
        <v>10</v>
      </c>
      <c r="I322" s="1">
        <f ca="1">IFERROR(__xludf.DUMMYFUNCTION("""COMPUTED_VALUE"""),8)</f>
        <v>8</v>
      </c>
      <c r="J322" s="1">
        <f ca="1">IFERROR(__xludf.DUMMYFUNCTION("""COMPUTED_VALUE"""),15)</f>
        <v>15</v>
      </c>
      <c r="K322" s="1">
        <f ca="1">IFERROR(__xludf.DUMMYFUNCTION("""COMPUTED_VALUE"""),3)</f>
        <v>3</v>
      </c>
      <c r="L322" s="1">
        <f ca="1">IFERROR(__xludf.DUMMYFUNCTION("""COMPUTED_VALUE"""),5)</f>
        <v>5</v>
      </c>
      <c r="M322" s="1">
        <f ca="1">IFERROR(__xludf.DUMMYFUNCTION("""COMPUTED_VALUE"""),6)</f>
        <v>6</v>
      </c>
      <c r="N322" s="1">
        <f ca="1">IFERROR(__xludf.DUMMYFUNCTION("""COMPUTED_VALUE"""),2343)</f>
        <v>2343</v>
      </c>
      <c r="O322" s="1">
        <f ca="1">IFERROR(__xludf.DUMMYFUNCTION("""COMPUTED_VALUE"""),2240)</f>
        <v>2240</v>
      </c>
      <c r="P322" s="1">
        <f ca="1">IFERROR(__xludf.DUMMYFUNCTION("""COMPUTED_VALUE"""),1325)</f>
        <v>1325</v>
      </c>
      <c r="Q322" s="1">
        <f ca="1">IFERROR(__xludf.DUMMYFUNCTION("""COMPUTED_VALUE"""),835)</f>
        <v>835</v>
      </c>
      <c r="R322" s="1">
        <f ca="1">IFERROR(__xludf.DUMMYFUNCTION("""COMPUTED_VALUE"""),1890)</f>
        <v>1890</v>
      </c>
      <c r="S322" s="1">
        <f ca="1">IFERROR(__xludf.DUMMYFUNCTION("""COMPUTED_VALUE"""),0.442)</f>
        <v>0.442</v>
      </c>
      <c r="T322" s="1">
        <f ca="1">IFERROR(__xludf.DUMMYFUNCTION("""COMPUTED_VALUE"""),198)</f>
        <v>198</v>
      </c>
      <c r="U322" s="1">
        <f ca="1">IFERROR(__xludf.DUMMYFUNCTION("""COMPUTED_VALUE"""),569)</f>
        <v>569</v>
      </c>
      <c r="V322" s="1">
        <f ca="1">IFERROR(__xludf.DUMMYFUNCTION("""COMPUTED_VALUE"""),0.348)</f>
        <v>0.34799999999999998</v>
      </c>
      <c r="W322" s="1">
        <f ca="1">IFERROR(__xludf.DUMMYFUNCTION("""COMPUTED_VALUE"""),475)</f>
        <v>475</v>
      </c>
      <c r="X322" s="1">
        <f ca="1">IFERROR(__xludf.DUMMYFUNCTION("""COMPUTED_VALUE"""),687)</f>
        <v>687</v>
      </c>
      <c r="Y322" s="1">
        <f ca="1">IFERROR(__xludf.DUMMYFUNCTION("""COMPUTED_VALUE"""),0.691)</f>
        <v>0.69099999999999995</v>
      </c>
      <c r="Z322" s="1">
        <f ca="1">IFERROR(__xludf.DUMMYFUNCTION("""COMPUTED_VALUE"""),336)</f>
        <v>336</v>
      </c>
      <c r="AA322" s="1">
        <f ca="1">IFERROR(__xludf.DUMMYFUNCTION("""COMPUTED_VALUE"""),1164)</f>
        <v>1164</v>
      </c>
      <c r="AB322" s="1">
        <f ca="1">IFERROR(__xludf.DUMMYFUNCTION("""COMPUTED_VALUE"""),408)</f>
        <v>408</v>
      </c>
      <c r="AC322" s="1">
        <f ca="1">IFERROR(__xludf.DUMMYFUNCTION("""COMPUTED_VALUE"""),246)</f>
        <v>246</v>
      </c>
      <c r="AD322" s="1">
        <f ca="1">IFERROR(__xludf.DUMMYFUNCTION("""COMPUTED_VALUE"""),210)</f>
        <v>210</v>
      </c>
      <c r="AE322" s="1">
        <f ca="1">IFERROR(__xludf.DUMMYFUNCTION("""COMPUTED_VALUE"""),352)</f>
        <v>352</v>
      </c>
      <c r="AF322" s="1">
        <f ca="1">IFERROR(__xludf.DUMMYFUNCTION("""COMPUTED_VALUE"""),587)</f>
        <v>587</v>
      </c>
    </row>
    <row r="323" spans="1:32" ht="12.5" x14ac:dyDescent="0.25">
      <c r="A323" s="1" t="str">
        <f ca="1">IFERROR(__xludf.DUMMYFUNCTION("""COMPUTED_VALUE"""),"Stanford")</f>
        <v>Stanford</v>
      </c>
      <c r="B323" s="1">
        <f ca="1">IFERROR(__xludf.DUMMYFUNCTION("""COMPUTED_VALUE"""),37)</f>
        <v>37</v>
      </c>
      <c r="C323" s="1">
        <f ca="1">IFERROR(__xludf.DUMMYFUNCTION("""COMPUTED_VALUE"""),24)</f>
        <v>24</v>
      </c>
      <c r="D323" s="1">
        <f ca="1">IFERROR(__xludf.DUMMYFUNCTION("""COMPUTED_VALUE"""),13)</f>
        <v>13</v>
      </c>
      <c r="E323" s="1">
        <f ca="1">IFERROR(__xludf.DUMMYFUNCTION("""COMPUTED_VALUE"""),0.649)</f>
        <v>0.64900000000000002</v>
      </c>
      <c r="F323" s="1">
        <f ca="1">IFERROR(__xludf.DUMMYFUNCTION("""COMPUTED_VALUE"""),12.33)</f>
        <v>12.33</v>
      </c>
      <c r="G323" s="1">
        <f ca="1">IFERROR(__xludf.DUMMYFUNCTION("""COMPUTED_VALUE"""),7.33)</f>
        <v>7.33</v>
      </c>
      <c r="H323" s="1">
        <f ca="1">IFERROR(__xludf.DUMMYFUNCTION("""COMPUTED_VALUE"""),9)</f>
        <v>9</v>
      </c>
      <c r="I323" s="1">
        <f ca="1">IFERROR(__xludf.DUMMYFUNCTION("""COMPUTED_VALUE"""),9)</f>
        <v>9</v>
      </c>
      <c r="J323" s="1">
        <f ca="1">IFERROR(__xludf.DUMMYFUNCTION("""COMPUTED_VALUE"""),16)</f>
        <v>16</v>
      </c>
      <c r="K323" s="1">
        <f ca="1">IFERROR(__xludf.DUMMYFUNCTION("""COMPUTED_VALUE"""),3)</f>
        <v>3</v>
      </c>
      <c r="L323" s="1">
        <f ca="1">IFERROR(__xludf.DUMMYFUNCTION("""COMPUTED_VALUE"""),4)</f>
        <v>4</v>
      </c>
      <c r="M323" s="1">
        <f ca="1">IFERROR(__xludf.DUMMYFUNCTION("""COMPUTED_VALUE"""),8)</f>
        <v>8</v>
      </c>
      <c r="N323" s="1">
        <f ca="1">IFERROR(__xludf.DUMMYFUNCTION("""COMPUTED_VALUE"""),2676)</f>
        <v>2676</v>
      </c>
      <c r="O323" s="1">
        <f ca="1">IFERROR(__xludf.DUMMYFUNCTION("""COMPUTED_VALUE"""),2491)</f>
        <v>2491</v>
      </c>
      <c r="P323" s="1">
        <f ca="1">IFERROR(__xludf.DUMMYFUNCTION("""COMPUTED_VALUE"""),1505)</f>
        <v>1505</v>
      </c>
      <c r="Q323" s="1">
        <f ca="1">IFERROR(__xludf.DUMMYFUNCTION("""COMPUTED_VALUE"""),908)</f>
        <v>908</v>
      </c>
      <c r="R323" s="1">
        <f ca="1">IFERROR(__xludf.DUMMYFUNCTION("""COMPUTED_VALUE"""),2089)</f>
        <v>2089</v>
      </c>
      <c r="S323" s="1">
        <f ca="1">IFERROR(__xludf.DUMMYFUNCTION("""COMPUTED_VALUE"""),0.435)</f>
        <v>0.435</v>
      </c>
      <c r="T323" s="1">
        <f ca="1">IFERROR(__xludf.DUMMYFUNCTION("""COMPUTED_VALUE"""),246)</f>
        <v>246</v>
      </c>
      <c r="U323" s="1">
        <f ca="1">IFERROR(__xludf.DUMMYFUNCTION("""COMPUTED_VALUE"""),651)</f>
        <v>651</v>
      </c>
      <c r="V323" s="1">
        <f ca="1">IFERROR(__xludf.DUMMYFUNCTION("""COMPUTED_VALUE"""),0.378)</f>
        <v>0.378</v>
      </c>
      <c r="W323" s="1">
        <f ca="1">IFERROR(__xludf.DUMMYFUNCTION("""COMPUTED_VALUE"""),614)</f>
        <v>614</v>
      </c>
      <c r="X323" s="1">
        <f ca="1">IFERROR(__xludf.DUMMYFUNCTION("""COMPUTED_VALUE"""),846)</f>
        <v>846</v>
      </c>
      <c r="Y323" s="1">
        <f ca="1">IFERROR(__xludf.DUMMYFUNCTION("""COMPUTED_VALUE"""),0.726)</f>
        <v>0.72599999999999998</v>
      </c>
      <c r="Z323" s="1">
        <f ca="1">IFERROR(__xludf.DUMMYFUNCTION("""COMPUTED_VALUE"""),428)</f>
        <v>428</v>
      </c>
      <c r="AA323" s="1">
        <f ca="1">IFERROR(__xludf.DUMMYFUNCTION("""COMPUTED_VALUE"""),1363)</f>
        <v>1363</v>
      </c>
      <c r="AB323" s="1">
        <f ca="1">IFERROR(__xludf.DUMMYFUNCTION("""COMPUTED_VALUE"""),435)</f>
        <v>435</v>
      </c>
      <c r="AC323" s="1">
        <f ca="1">IFERROR(__xludf.DUMMYFUNCTION("""COMPUTED_VALUE"""),204)</f>
        <v>204</v>
      </c>
      <c r="AD323" s="1">
        <f ca="1">IFERROR(__xludf.DUMMYFUNCTION("""COMPUTED_VALUE"""),102)</f>
        <v>102</v>
      </c>
      <c r="AE323" s="1">
        <f ca="1">IFERROR(__xludf.DUMMYFUNCTION("""COMPUTED_VALUE"""),399)</f>
        <v>399</v>
      </c>
      <c r="AF323" s="1">
        <f ca="1">IFERROR(__xludf.DUMMYFUNCTION("""COMPUTED_VALUE"""),708)</f>
        <v>708</v>
      </c>
    </row>
    <row r="324" spans="1:32" ht="12.5" x14ac:dyDescent="0.25">
      <c r="A324" s="1" t="str">
        <f ca="1">IFERROR(__xludf.DUMMYFUNCTION("""COMPUTED_VALUE"""),"Stephen F. AustinNCAA")</f>
        <v>Stephen F. AustinNCAA</v>
      </c>
      <c r="B324" s="1">
        <f ca="1">IFERROR(__xludf.DUMMYFUNCTION("""COMPUTED_VALUE"""),34)</f>
        <v>34</v>
      </c>
      <c r="C324" s="1">
        <f ca="1">IFERROR(__xludf.DUMMYFUNCTION("""COMPUTED_VALUE"""),29)</f>
        <v>29</v>
      </c>
      <c r="D324" s="1">
        <f ca="1">IFERROR(__xludf.DUMMYFUNCTION("""COMPUTED_VALUE"""),5)</f>
        <v>5</v>
      </c>
      <c r="E324" s="1">
        <f ca="1">IFERROR(__xludf.DUMMYFUNCTION("""COMPUTED_VALUE"""),0.853)</f>
        <v>0.85299999999999998</v>
      </c>
      <c r="F324" s="1">
        <f ca="1">IFERROR(__xludf.DUMMYFUNCTION("""COMPUTED_VALUE"""),8.61)</f>
        <v>8.61</v>
      </c>
      <c r="G324" s="1">
        <f ca="1">IFERROR(__xludf.DUMMYFUNCTION("""COMPUTED_VALUE"""),-4.2)</f>
        <v>-4.2</v>
      </c>
      <c r="H324" s="1">
        <f ca="1">IFERROR(__xludf.DUMMYFUNCTION("""COMPUTED_VALUE"""),17)</f>
        <v>17</v>
      </c>
      <c r="I324" s="1">
        <f ca="1">IFERROR(__xludf.DUMMYFUNCTION("""COMPUTED_VALUE"""),1)</f>
        <v>1</v>
      </c>
      <c r="J324" s="1">
        <f ca="1">IFERROR(__xludf.DUMMYFUNCTION("""COMPUTED_VALUE"""),15)</f>
        <v>15</v>
      </c>
      <c r="K324" s="1">
        <f ca="1">IFERROR(__xludf.DUMMYFUNCTION("""COMPUTED_VALUE"""),1)</f>
        <v>1</v>
      </c>
      <c r="L324" s="1">
        <f ca="1">IFERROR(__xludf.DUMMYFUNCTION("""COMPUTED_VALUE"""),10)</f>
        <v>10</v>
      </c>
      <c r="M324" s="1">
        <f ca="1">IFERROR(__xludf.DUMMYFUNCTION("""COMPUTED_VALUE"""),3)</f>
        <v>3</v>
      </c>
      <c r="N324" s="1">
        <f ca="1">IFERROR(__xludf.DUMMYFUNCTION("""COMPUTED_VALUE"""),2672)</f>
        <v>2672</v>
      </c>
      <c r="O324" s="1">
        <f ca="1">IFERROR(__xludf.DUMMYFUNCTION("""COMPUTED_VALUE"""),2188)</f>
        <v>2188</v>
      </c>
      <c r="P324" s="1">
        <f ca="1">IFERROR(__xludf.DUMMYFUNCTION("""COMPUTED_VALUE"""),1365)</f>
        <v>1365</v>
      </c>
      <c r="Q324" s="1">
        <f ca="1">IFERROR(__xludf.DUMMYFUNCTION("""COMPUTED_VALUE"""),911)</f>
        <v>911</v>
      </c>
      <c r="R324" s="1">
        <f ca="1">IFERROR(__xludf.DUMMYFUNCTION("""COMPUTED_VALUE"""),1870)</f>
        <v>1870</v>
      </c>
      <c r="S324" s="1">
        <f ca="1">IFERROR(__xludf.DUMMYFUNCTION("""COMPUTED_VALUE"""),0.487)</f>
        <v>0.48699999999999999</v>
      </c>
      <c r="T324" s="1">
        <f ca="1">IFERROR(__xludf.DUMMYFUNCTION("""COMPUTED_VALUE"""),262)</f>
        <v>262</v>
      </c>
      <c r="U324" s="1">
        <f ca="1">IFERROR(__xludf.DUMMYFUNCTION("""COMPUTED_VALUE"""),692)</f>
        <v>692</v>
      </c>
      <c r="V324" s="1">
        <f ca="1">IFERROR(__xludf.DUMMYFUNCTION("""COMPUTED_VALUE"""),0.379)</f>
        <v>0.379</v>
      </c>
      <c r="W324" s="1">
        <f ca="1">IFERROR(__xludf.DUMMYFUNCTION("""COMPUTED_VALUE"""),588)</f>
        <v>588</v>
      </c>
      <c r="X324" s="1">
        <f ca="1">IFERROR(__xludf.DUMMYFUNCTION("""COMPUTED_VALUE"""),799)</f>
        <v>799</v>
      </c>
      <c r="Y324" s="1">
        <f ca="1">IFERROR(__xludf.DUMMYFUNCTION("""COMPUTED_VALUE"""),0.736)</f>
        <v>0.73599999999999999</v>
      </c>
      <c r="Z324" s="1">
        <f ca="1">IFERROR(__xludf.DUMMYFUNCTION("""COMPUTED_VALUE"""),413)</f>
        <v>413</v>
      </c>
      <c r="AA324" s="1">
        <f ca="1">IFERROR(__xludf.DUMMYFUNCTION("""COMPUTED_VALUE"""),1176)</f>
        <v>1176</v>
      </c>
      <c r="AB324" s="1">
        <f ca="1">IFERROR(__xludf.DUMMYFUNCTION("""COMPUTED_VALUE"""),596)</f>
        <v>596</v>
      </c>
      <c r="AC324" s="1">
        <f ca="1">IFERROR(__xludf.DUMMYFUNCTION("""COMPUTED_VALUE"""),259)</f>
        <v>259</v>
      </c>
      <c r="AD324" s="1">
        <f ca="1">IFERROR(__xludf.DUMMYFUNCTION("""COMPUTED_VALUE"""),120)</f>
        <v>120</v>
      </c>
      <c r="AE324" s="1">
        <f ca="1">IFERROR(__xludf.DUMMYFUNCTION("""COMPUTED_VALUE"""),476)</f>
        <v>476</v>
      </c>
      <c r="AF324" s="1">
        <f ca="1">IFERROR(__xludf.DUMMYFUNCTION("""COMPUTED_VALUE"""),734)</f>
        <v>734</v>
      </c>
    </row>
    <row r="325" spans="1:32" ht="12.5" x14ac:dyDescent="0.25">
      <c r="A325" s="1" t="str">
        <f ca="1">IFERROR(__xludf.DUMMYFUNCTION("""COMPUTED_VALUE"""),"Stetson")</f>
        <v>Stetson</v>
      </c>
      <c r="B325" s="1">
        <f ca="1">IFERROR(__xludf.DUMMYFUNCTION("""COMPUTED_VALUE"""),31)</f>
        <v>31</v>
      </c>
      <c r="C325" s="1">
        <f ca="1">IFERROR(__xludf.DUMMYFUNCTION("""COMPUTED_VALUE"""),9)</f>
        <v>9</v>
      </c>
      <c r="D325" s="1">
        <f ca="1">IFERROR(__xludf.DUMMYFUNCTION("""COMPUTED_VALUE"""),22)</f>
        <v>22</v>
      </c>
      <c r="E325" s="1">
        <f ca="1">IFERROR(__xludf.DUMMYFUNCTION("""COMPUTED_VALUE"""),0.29)</f>
        <v>0.28999999999999998</v>
      </c>
      <c r="F325" s="1">
        <f ca="1">IFERROR(__xludf.DUMMYFUNCTION("""COMPUTED_VALUE"""),-16.22)</f>
        <v>-16.22</v>
      </c>
      <c r="G325" s="1">
        <f ca="1">IFERROR(__xludf.DUMMYFUNCTION("""COMPUTED_VALUE"""),-6.68)</f>
        <v>-6.68</v>
      </c>
      <c r="H325" s="1">
        <f ca="1">IFERROR(__xludf.DUMMYFUNCTION("""COMPUTED_VALUE"""),3)</f>
        <v>3</v>
      </c>
      <c r="I325" s="1">
        <f ca="1">IFERROR(__xludf.DUMMYFUNCTION("""COMPUTED_VALUE"""),11)</f>
        <v>11</v>
      </c>
      <c r="J325" s="1">
        <f ca="1">IFERROR(__xludf.DUMMYFUNCTION("""COMPUTED_VALUE"""),7)</f>
        <v>7</v>
      </c>
      <c r="K325" s="1">
        <f ca="1">IFERROR(__xludf.DUMMYFUNCTION("""COMPUTED_VALUE"""),7)</f>
        <v>7</v>
      </c>
      <c r="L325" s="1">
        <f ca="1">IFERROR(__xludf.DUMMYFUNCTION("""COMPUTED_VALUE"""),1)</f>
        <v>1</v>
      </c>
      <c r="M325" s="1">
        <f ca="1">IFERROR(__xludf.DUMMYFUNCTION("""COMPUTED_VALUE"""),15)</f>
        <v>15</v>
      </c>
      <c r="N325" s="1">
        <f ca="1">IFERROR(__xludf.DUMMYFUNCTION("""COMPUTED_VALUE"""),2064)</f>
        <v>2064</v>
      </c>
      <c r="O325" s="1">
        <f ca="1">IFERROR(__xludf.DUMMYFUNCTION("""COMPUTED_VALUE"""),2290)</f>
        <v>2290</v>
      </c>
      <c r="P325" s="1">
        <f ca="1">IFERROR(__xludf.DUMMYFUNCTION("""COMPUTED_VALUE"""),1240)</f>
        <v>1240</v>
      </c>
      <c r="Q325" s="1">
        <f ca="1">IFERROR(__xludf.DUMMYFUNCTION("""COMPUTED_VALUE"""),744)</f>
        <v>744</v>
      </c>
      <c r="R325" s="1">
        <f ca="1">IFERROR(__xludf.DUMMYFUNCTION("""COMPUTED_VALUE"""),1717)</f>
        <v>1717</v>
      </c>
      <c r="S325" s="1">
        <f ca="1">IFERROR(__xludf.DUMMYFUNCTION("""COMPUTED_VALUE"""),0.433)</f>
        <v>0.433</v>
      </c>
      <c r="T325" s="1">
        <f ca="1">IFERROR(__xludf.DUMMYFUNCTION("""COMPUTED_VALUE"""),193)</f>
        <v>193</v>
      </c>
      <c r="U325" s="1">
        <f ca="1">IFERROR(__xludf.DUMMYFUNCTION("""COMPUTED_VALUE"""),586)</f>
        <v>586</v>
      </c>
      <c r="V325" s="1">
        <f ca="1">IFERROR(__xludf.DUMMYFUNCTION("""COMPUTED_VALUE"""),0.329)</f>
        <v>0.32900000000000001</v>
      </c>
      <c r="W325" s="1">
        <f ca="1">IFERROR(__xludf.DUMMYFUNCTION("""COMPUTED_VALUE"""),383)</f>
        <v>383</v>
      </c>
      <c r="X325" s="1">
        <f ca="1">IFERROR(__xludf.DUMMYFUNCTION("""COMPUTED_VALUE"""),583)</f>
        <v>583</v>
      </c>
      <c r="Y325" s="1">
        <f ca="1">IFERROR(__xludf.DUMMYFUNCTION("""COMPUTED_VALUE"""),0.657)</f>
        <v>0.65700000000000003</v>
      </c>
      <c r="Z325" s="1">
        <f ca="1">IFERROR(__xludf.DUMMYFUNCTION("""COMPUTED_VALUE"""),297)</f>
        <v>297</v>
      </c>
      <c r="AA325" s="1">
        <f ca="1">IFERROR(__xludf.DUMMYFUNCTION("""COMPUTED_VALUE"""),1041)</f>
        <v>1041</v>
      </c>
      <c r="AB325" s="1">
        <f ca="1">IFERROR(__xludf.DUMMYFUNCTION("""COMPUTED_VALUE"""),388)</f>
        <v>388</v>
      </c>
      <c r="AC325" s="1">
        <f ca="1">IFERROR(__xludf.DUMMYFUNCTION("""COMPUTED_VALUE"""),139)</f>
        <v>139</v>
      </c>
      <c r="AD325" s="1">
        <f ca="1">IFERROR(__xludf.DUMMYFUNCTION("""COMPUTED_VALUE"""),103)</f>
        <v>103</v>
      </c>
      <c r="AE325" s="1">
        <f ca="1">IFERROR(__xludf.DUMMYFUNCTION("""COMPUTED_VALUE"""),384)</f>
        <v>384</v>
      </c>
      <c r="AF325" s="1">
        <f ca="1">IFERROR(__xludf.DUMMYFUNCTION("""COMPUTED_VALUE"""),543)</f>
        <v>543</v>
      </c>
    </row>
    <row r="326" spans="1:32" ht="12.5" x14ac:dyDescent="0.25">
      <c r="A326" s="1" t="str">
        <f ca="1">IFERROR(__xludf.DUMMYFUNCTION("""COMPUTED_VALUE"""),"Stony Brook")</f>
        <v>Stony Brook</v>
      </c>
      <c r="B326" s="1">
        <f ca="1">IFERROR(__xludf.DUMMYFUNCTION("""COMPUTED_VALUE"""),35)</f>
        <v>35</v>
      </c>
      <c r="C326" s="1">
        <f ca="1">IFERROR(__xludf.DUMMYFUNCTION("""COMPUTED_VALUE"""),23)</f>
        <v>23</v>
      </c>
      <c r="D326" s="1">
        <f ca="1">IFERROR(__xludf.DUMMYFUNCTION("""COMPUTED_VALUE"""),12)</f>
        <v>12</v>
      </c>
      <c r="E326" s="1">
        <f ca="1">IFERROR(__xludf.DUMMYFUNCTION("""COMPUTED_VALUE"""),0.657)</f>
        <v>0.65700000000000003</v>
      </c>
      <c r="F326" s="1">
        <f ca="1">IFERROR(__xludf.DUMMYFUNCTION("""COMPUTED_VALUE"""),-0.03)</f>
        <v>-0.03</v>
      </c>
      <c r="G326" s="1">
        <f ca="1">IFERROR(__xludf.DUMMYFUNCTION("""COMPUTED_VALUE"""),-4.03)</f>
        <v>-4.03</v>
      </c>
      <c r="H326" s="1">
        <f ca="1">IFERROR(__xludf.DUMMYFUNCTION("""COMPUTED_VALUE"""),12)</f>
        <v>12</v>
      </c>
      <c r="I326" s="1">
        <f ca="1">IFERROR(__xludf.DUMMYFUNCTION("""COMPUTED_VALUE"""),4)</f>
        <v>4</v>
      </c>
      <c r="J326" s="1">
        <f ca="1">IFERROR(__xludf.DUMMYFUNCTION("""COMPUTED_VALUE"""),13)</f>
        <v>13</v>
      </c>
      <c r="K326" s="1">
        <f ca="1">IFERROR(__xludf.DUMMYFUNCTION("""COMPUTED_VALUE"""),2)</f>
        <v>2</v>
      </c>
      <c r="L326" s="1">
        <f ca="1">IFERROR(__xludf.DUMMYFUNCTION("""COMPUTED_VALUE"""),9)</f>
        <v>9</v>
      </c>
      <c r="M326" s="1">
        <f ca="1">IFERROR(__xludf.DUMMYFUNCTION("""COMPUTED_VALUE"""),10)</f>
        <v>10</v>
      </c>
      <c r="N326" s="1">
        <f ca="1">IFERROR(__xludf.DUMMYFUNCTION("""COMPUTED_VALUE"""),2290)</f>
        <v>2290</v>
      </c>
      <c r="O326" s="1">
        <f ca="1">IFERROR(__xludf.DUMMYFUNCTION("""COMPUTED_VALUE"""),2102)</f>
        <v>2102</v>
      </c>
      <c r="P326" s="1">
        <f ca="1">IFERROR(__xludf.DUMMYFUNCTION("""COMPUTED_VALUE"""),1405)</f>
        <v>1405</v>
      </c>
      <c r="Q326" s="1">
        <f ca="1">IFERROR(__xludf.DUMMYFUNCTION("""COMPUTED_VALUE"""),835)</f>
        <v>835</v>
      </c>
      <c r="R326" s="1">
        <f ca="1">IFERROR(__xludf.DUMMYFUNCTION("""COMPUTED_VALUE"""),1999)</f>
        <v>1999</v>
      </c>
      <c r="S326" s="1">
        <f ca="1">IFERROR(__xludf.DUMMYFUNCTION("""COMPUTED_VALUE"""),0.418)</f>
        <v>0.41799999999999998</v>
      </c>
      <c r="T326" s="1">
        <f ca="1">IFERROR(__xludf.DUMMYFUNCTION("""COMPUTED_VALUE"""),191)</f>
        <v>191</v>
      </c>
      <c r="U326" s="1">
        <f ca="1">IFERROR(__xludf.DUMMYFUNCTION("""COMPUTED_VALUE"""),576)</f>
        <v>576</v>
      </c>
      <c r="V326" s="1">
        <f ca="1">IFERROR(__xludf.DUMMYFUNCTION("""COMPUTED_VALUE"""),0.332)</f>
        <v>0.33200000000000002</v>
      </c>
      <c r="W326" s="1">
        <f ca="1">IFERROR(__xludf.DUMMYFUNCTION("""COMPUTED_VALUE"""),429)</f>
        <v>429</v>
      </c>
      <c r="X326" s="1">
        <f ca="1">IFERROR(__xludf.DUMMYFUNCTION("""COMPUTED_VALUE"""),647)</f>
        <v>647</v>
      </c>
      <c r="Y326" s="1">
        <f ca="1">IFERROR(__xludf.DUMMYFUNCTION("""COMPUTED_VALUE"""),0.663)</f>
        <v>0.66300000000000003</v>
      </c>
      <c r="Z326" s="1">
        <f ca="1">IFERROR(__xludf.DUMMYFUNCTION("""COMPUTED_VALUE"""),488)</f>
        <v>488</v>
      </c>
      <c r="AA326" s="1">
        <f ca="1">IFERROR(__xludf.DUMMYFUNCTION("""COMPUTED_VALUE"""),1395)</f>
        <v>1395</v>
      </c>
      <c r="AB326" s="1">
        <f ca="1">IFERROR(__xludf.DUMMYFUNCTION("""COMPUTED_VALUE"""),420)</f>
        <v>420</v>
      </c>
      <c r="AC326" s="1">
        <f ca="1">IFERROR(__xludf.DUMMYFUNCTION("""COMPUTED_VALUE"""),180)</f>
        <v>180</v>
      </c>
      <c r="AD326" s="1">
        <f ca="1">IFERROR(__xludf.DUMMYFUNCTION("""COMPUTED_VALUE"""),147)</f>
        <v>147</v>
      </c>
      <c r="AE326" s="1">
        <f ca="1">IFERROR(__xludf.DUMMYFUNCTION("""COMPUTED_VALUE"""),416)</f>
        <v>416</v>
      </c>
      <c r="AF326" s="1">
        <f ca="1">IFERROR(__xludf.DUMMYFUNCTION("""COMPUTED_VALUE"""),578)</f>
        <v>578</v>
      </c>
    </row>
    <row r="327" spans="1:32" ht="12.5" x14ac:dyDescent="0.25">
      <c r="A327" s="1" t="str">
        <f ca="1">IFERROR(__xludf.DUMMYFUNCTION("""COMPUTED_VALUE"""),"Syracuse")</f>
        <v>Syracuse</v>
      </c>
      <c r="B327" s="1">
        <f ca="1">IFERROR(__xludf.DUMMYFUNCTION("""COMPUTED_VALUE"""),31)</f>
        <v>31</v>
      </c>
      <c r="C327" s="1">
        <f ca="1">IFERROR(__xludf.DUMMYFUNCTION("""COMPUTED_VALUE"""),18)</f>
        <v>18</v>
      </c>
      <c r="D327" s="1">
        <f ca="1">IFERROR(__xludf.DUMMYFUNCTION("""COMPUTED_VALUE"""),13)</f>
        <v>13</v>
      </c>
      <c r="E327" s="1">
        <f ca="1">IFERROR(__xludf.DUMMYFUNCTION("""COMPUTED_VALUE"""),0.581)</f>
        <v>0.58099999999999996</v>
      </c>
      <c r="F327" s="1">
        <f ca="1">IFERROR(__xludf.DUMMYFUNCTION("""COMPUTED_VALUE"""),11.91)</f>
        <v>11.91</v>
      </c>
      <c r="G327" s="1">
        <f ca="1">IFERROR(__xludf.DUMMYFUNCTION("""COMPUTED_VALUE"""),7.68)</f>
        <v>7.68</v>
      </c>
      <c r="H327" s="1">
        <f ca="1">IFERROR(__xludf.DUMMYFUNCTION("""COMPUTED_VALUE"""),9)</f>
        <v>9</v>
      </c>
      <c r="I327" s="1">
        <f ca="1">IFERROR(__xludf.DUMMYFUNCTION("""COMPUTED_VALUE"""),9)</f>
        <v>9</v>
      </c>
      <c r="J327" s="1">
        <f ca="1">IFERROR(__xludf.DUMMYFUNCTION("""COMPUTED_VALUE"""),13)</f>
        <v>13</v>
      </c>
      <c r="K327" s="1">
        <f ca="1">IFERROR(__xludf.DUMMYFUNCTION("""COMPUTED_VALUE"""),5)</f>
        <v>5</v>
      </c>
      <c r="L327" s="1">
        <f ca="1">IFERROR(__xludf.DUMMYFUNCTION("""COMPUTED_VALUE"""),4)</f>
        <v>4</v>
      </c>
      <c r="M327" s="1">
        <f ca="1">IFERROR(__xludf.DUMMYFUNCTION("""COMPUTED_VALUE"""),7)</f>
        <v>7</v>
      </c>
      <c r="N327" s="1">
        <f ca="1">IFERROR(__xludf.DUMMYFUNCTION("""COMPUTED_VALUE"""),2096)</f>
        <v>2096</v>
      </c>
      <c r="O327" s="1">
        <f ca="1">IFERROR(__xludf.DUMMYFUNCTION("""COMPUTED_VALUE"""),1965)</f>
        <v>1965</v>
      </c>
      <c r="P327" s="1">
        <f ca="1">IFERROR(__xludf.DUMMYFUNCTION("""COMPUTED_VALUE"""),1250)</f>
        <v>1250</v>
      </c>
      <c r="Q327" s="1">
        <f ca="1">IFERROR(__xludf.DUMMYFUNCTION("""COMPUTED_VALUE"""),763)</f>
        <v>763</v>
      </c>
      <c r="R327" s="1">
        <f ca="1">IFERROR(__xludf.DUMMYFUNCTION("""COMPUTED_VALUE"""),1775)</f>
        <v>1775</v>
      </c>
      <c r="S327" s="1">
        <f ca="1">IFERROR(__xludf.DUMMYFUNCTION("""COMPUTED_VALUE"""),0.43)</f>
        <v>0.43</v>
      </c>
      <c r="T327" s="1">
        <f ca="1">IFERROR(__xludf.DUMMYFUNCTION("""COMPUTED_VALUE"""),155)</f>
        <v>155</v>
      </c>
      <c r="U327" s="1">
        <f ca="1">IFERROR(__xludf.DUMMYFUNCTION("""COMPUTED_VALUE"""),515)</f>
        <v>515</v>
      </c>
      <c r="V327" s="1">
        <f ca="1">IFERROR(__xludf.DUMMYFUNCTION("""COMPUTED_VALUE"""),0.301)</f>
        <v>0.30099999999999999</v>
      </c>
      <c r="W327" s="1">
        <f ca="1">IFERROR(__xludf.DUMMYFUNCTION("""COMPUTED_VALUE"""),415)</f>
        <v>415</v>
      </c>
      <c r="X327" s="1">
        <f ca="1">IFERROR(__xludf.DUMMYFUNCTION("""COMPUTED_VALUE"""),629)</f>
        <v>629</v>
      </c>
      <c r="Y327" s="1">
        <f ca="1">IFERROR(__xludf.DUMMYFUNCTION("""COMPUTED_VALUE"""),0.66)</f>
        <v>0.66</v>
      </c>
      <c r="Z327" s="1">
        <f ca="1">IFERROR(__xludf.DUMMYFUNCTION("""COMPUTED_VALUE"""),373)</f>
        <v>373</v>
      </c>
      <c r="AA327" s="1">
        <f ca="1">IFERROR(__xludf.DUMMYFUNCTION("""COMPUTED_VALUE"""),1135)</f>
        <v>1135</v>
      </c>
      <c r="AB327" s="1">
        <f ca="1">IFERROR(__xludf.DUMMYFUNCTION("""COMPUTED_VALUE"""),468)</f>
        <v>468</v>
      </c>
      <c r="AC327" s="1">
        <f ca="1">IFERROR(__xludf.DUMMYFUNCTION("""COMPUTED_VALUE"""),258)</f>
        <v>258</v>
      </c>
      <c r="AD327" s="1">
        <f ca="1">IFERROR(__xludf.DUMMYFUNCTION("""COMPUTED_VALUE"""),157)</f>
        <v>157</v>
      </c>
      <c r="AE327" s="1">
        <f ca="1">IFERROR(__xludf.DUMMYFUNCTION("""COMPUTED_VALUE"""),370)</f>
        <v>370</v>
      </c>
      <c r="AF327" s="1">
        <f ca="1">IFERROR(__xludf.DUMMYFUNCTION("""COMPUTED_VALUE"""),471)</f>
        <v>471</v>
      </c>
    </row>
    <row r="328" spans="1:32" ht="12.5" x14ac:dyDescent="0.25">
      <c r="A328" s="1" t="str">
        <f ca="1">IFERROR(__xludf.DUMMYFUNCTION("""COMPUTED_VALUE"""),"Temple")</f>
        <v>Temple</v>
      </c>
      <c r="B328" s="1">
        <f ca="1">IFERROR(__xludf.DUMMYFUNCTION("""COMPUTED_VALUE"""),37)</f>
        <v>37</v>
      </c>
      <c r="C328" s="1">
        <f ca="1">IFERROR(__xludf.DUMMYFUNCTION("""COMPUTED_VALUE"""),26)</f>
        <v>26</v>
      </c>
      <c r="D328" s="1">
        <f ca="1">IFERROR(__xludf.DUMMYFUNCTION("""COMPUTED_VALUE"""),11)</f>
        <v>11</v>
      </c>
      <c r="E328" s="1">
        <f ca="1">IFERROR(__xludf.DUMMYFUNCTION("""COMPUTED_VALUE"""),0.703)</f>
        <v>0.70299999999999996</v>
      </c>
      <c r="F328" s="1">
        <f ca="1">IFERROR(__xludf.DUMMYFUNCTION("""COMPUTED_VALUE"""),8.2)</f>
        <v>8.1999999999999993</v>
      </c>
      <c r="G328" s="1">
        <f ca="1">IFERROR(__xludf.DUMMYFUNCTION("""COMPUTED_VALUE"""),3.52)</f>
        <v>3.52</v>
      </c>
      <c r="H328" s="1">
        <f ca="1">IFERROR(__xludf.DUMMYFUNCTION("""COMPUTED_VALUE"""),13)</f>
        <v>13</v>
      </c>
      <c r="I328" s="1">
        <f ca="1">IFERROR(__xludf.DUMMYFUNCTION("""COMPUTED_VALUE"""),5)</f>
        <v>5</v>
      </c>
      <c r="J328" s="1">
        <f ca="1">IFERROR(__xludf.DUMMYFUNCTION("""COMPUTED_VALUE"""),16)</f>
        <v>16</v>
      </c>
      <c r="K328" s="1">
        <f ca="1">IFERROR(__xludf.DUMMYFUNCTION("""COMPUTED_VALUE"""),2)</f>
        <v>2</v>
      </c>
      <c r="L328" s="1">
        <f ca="1">IFERROR(__xludf.DUMMYFUNCTION("""COMPUTED_VALUE"""),7)</f>
        <v>7</v>
      </c>
      <c r="M328" s="1">
        <f ca="1">IFERROR(__xludf.DUMMYFUNCTION("""COMPUTED_VALUE"""),5)</f>
        <v>5</v>
      </c>
      <c r="N328" s="1">
        <f ca="1">IFERROR(__xludf.DUMMYFUNCTION("""COMPUTED_VALUE"""),2436)</f>
        <v>2436</v>
      </c>
      <c r="O328" s="1">
        <f ca="1">IFERROR(__xludf.DUMMYFUNCTION("""COMPUTED_VALUE"""),2263)</f>
        <v>2263</v>
      </c>
      <c r="P328" s="1">
        <f ca="1">IFERROR(__xludf.DUMMYFUNCTION("""COMPUTED_VALUE"""),1485)</f>
        <v>1485</v>
      </c>
      <c r="Q328" s="1">
        <f ca="1">IFERROR(__xludf.DUMMYFUNCTION("""COMPUTED_VALUE"""),833)</f>
        <v>833</v>
      </c>
      <c r="R328" s="1">
        <f ca="1">IFERROR(__xludf.DUMMYFUNCTION("""COMPUTED_VALUE"""),2149)</f>
        <v>2149</v>
      </c>
      <c r="S328" s="1">
        <f ca="1">IFERROR(__xludf.DUMMYFUNCTION("""COMPUTED_VALUE"""),0.388)</f>
        <v>0.38800000000000001</v>
      </c>
      <c r="T328" s="1">
        <f ca="1">IFERROR(__xludf.DUMMYFUNCTION("""COMPUTED_VALUE"""),235)</f>
        <v>235</v>
      </c>
      <c r="U328" s="1">
        <f ca="1">IFERROR(__xludf.DUMMYFUNCTION("""COMPUTED_VALUE"""),772)</f>
        <v>772</v>
      </c>
      <c r="V328" s="1">
        <f ca="1">IFERROR(__xludf.DUMMYFUNCTION("""COMPUTED_VALUE"""),0.304)</f>
        <v>0.30399999999999999</v>
      </c>
      <c r="W328" s="1">
        <f ca="1">IFERROR(__xludf.DUMMYFUNCTION("""COMPUTED_VALUE"""),535)</f>
        <v>535</v>
      </c>
      <c r="X328" s="1">
        <f ca="1">IFERROR(__xludf.DUMMYFUNCTION("""COMPUTED_VALUE"""),765)</f>
        <v>765</v>
      </c>
      <c r="Y328" s="1">
        <f ca="1">IFERROR(__xludf.DUMMYFUNCTION("""COMPUTED_VALUE"""),0.699)</f>
        <v>0.69899999999999995</v>
      </c>
      <c r="Z328" s="1">
        <f ca="1">IFERROR(__xludf.DUMMYFUNCTION("""COMPUTED_VALUE"""),453)</f>
        <v>453</v>
      </c>
      <c r="AA328" s="1">
        <f ca="1">IFERROR(__xludf.DUMMYFUNCTION("""COMPUTED_VALUE"""),1410)</f>
        <v>1410</v>
      </c>
      <c r="AB328" s="1">
        <f ca="1">IFERROR(__xludf.DUMMYFUNCTION("""COMPUTED_VALUE"""),457)</f>
        <v>457</v>
      </c>
      <c r="AC328" s="1">
        <f ca="1">IFERROR(__xludf.DUMMYFUNCTION("""COMPUTED_VALUE"""),254)</f>
        <v>254</v>
      </c>
      <c r="AD328" s="1">
        <f ca="1">IFERROR(__xludf.DUMMYFUNCTION("""COMPUTED_VALUE"""),165)</f>
        <v>165</v>
      </c>
      <c r="AE328" s="1">
        <f ca="1">IFERROR(__xludf.DUMMYFUNCTION("""COMPUTED_VALUE"""),352)</f>
        <v>352</v>
      </c>
      <c r="AF328" s="1">
        <f ca="1">IFERROR(__xludf.DUMMYFUNCTION("""COMPUTED_VALUE"""),632)</f>
        <v>632</v>
      </c>
    </row>
    <row r="329" spans="1:32" ht="12.5" x14ac:dyDescent="0.25">
      <c r="A329" s="1" t="str">
        <f ca="1">IFERROR(__xludf.DUMMYFUNCTION("""COMPUTED_VALUE"""),"Tennessee-Martin")</f>
        <v>Tennessee-Martin</v>
      </c>
      <c r="B329" s="1">
        <f ca="1">IFERROR(__xludf.DUMMYFUNCTION("""COMPUTED_VALUE"""),34)</f>
        <v>34</v>
      </c>
      <c r="C329" s="1">
        <f ca="1">IFERROR(__xludf.DUMMYFUNCTION("""COMPUTED_VALUE"""),21)</f>
        <v>21</v>
      </c>
      <c r="D329" s="1">
        <f ca="1">IFERROR(__xludf.DUMMYFUNCTION("""COMPUTED_VALUE"""),13)</f>
        <v>13</v>
      </c>
      <c r="E329" s="1">
        <f ca="1">IFERROR(__xludf.DUMMYFUNCTION("""COMPUTED_VALUE"""),0.618)</f>
        <v>0.61799999999999999</v>
      </c>
      <c r="F329" s="1">
        <f ca="1">IFERROR(__xludf.DUMMYFUNCTION("""COMPUTED_VALUE"""),-2.12)</f>
        <v>-2.12</v>
      </c>
      <c r="G329" s="1">
        <f ca="1">IFERROR(__xludf.DUMMYFUNCTION("""COMPUTED_VALUE"""),-3.9)</f>
        <v>-3.9</v>
      </c>
      <c r="H329" s="1">
        <f ca="1">IFERROR(__xludf.DUMMYFUNCTION("""COMPUTED_VALUE"""),10)</f>
        <v>10</v>
      </c>
      <c r="I329" s="1">
        <f ca="1">IFERROR(__xludf.DUMMYFUNCTION("""COMPUTED_VALUE"""),6)</f>
        <v>6</v>
      </c>
      <c r="J329" s="1">
        <f ca="1">IFERROR(__xludf.DUMMYFUNCTION("""COMPUTED_VALUE"""),9)</f>
        <v>9</v>
      </c>
      <c r="K329" s="1">
        <f ca="1">IFERROR(__xludf.DUMMYFUNCTION("""COMPUTED_VALUE"""),3)</f>
        <v>3</v>
      </c>
      <c r="L329" s="1">
        <f ca="1">IFERROR(__xludf.DUMMYFUNCTION("""COMPUTED_VALUE"""),12)</f>
        <v>12</v>
      </c>
      <c r="M329" s="1">
        <f ca="1">IFERROR(__xludf.DUMMYFUNCTION("""COMPUTED_VALUE"""),9)</f>
        <v>9</v>
      </c>
      <c r="N329" s="1">
        <f ca="1">IFERROR(__xludf.DUMMYFUNCTION("""COMPUTED_VALUE"""),2390)</f>
        <v>2390</v>
      </c>
      <c r="O329" s="1">
        <f ca="1">IFERROR(__xludf.DUMMYFUNCTION("""COMPUTED_VALUE"""),2224)</f>
        <v>2224</v>
      </c>
      <c r="P329" s="1">
        <f ca="1">IFERROR(__xludf.DUMMYFUNCTION("""COMPUTED_VALUE"""),1375)</f>
        <v>1375</v>
      </c>
      <c r="Q329" s="1">
        <f ca="1">IFERROR(__xludf.DUMMYFUNCTION("""COMPUTED_VALUE"""),855)</f>
        <v>855</v>
      </c>
      <c r="R329" s="1">
        <f ca="1">IFERROR(__xludf.DUMMYFUNCTION("""COMPUTED_VALUE"""),1838)</f>
        <v>1838</v>
      </c>
      <c r="S329" s="1">
        <f ca="1">IFERROR(__xludf.DUMMYFUNCTION("""COMPUTED_VALUE"""),0.465)</f>
        <v>0.46500000000000002</v>
      </c>
      <c r="T329" s="1">
        <f ca="1">IFERROR(__xludf.DUMMYFUNCTION("""COMPUTED_VALUE"""),268)</f>
        <v>268</v>
      </c>
      <c r="U329" s="1">
        <f ca="1">IFERROR(__xludf.DUMMYFUNCTION("""COMPUTED_VALUE"""),681)</f>
        <v>681</v>
      </c>
      <c r="V329" s="1">
        <f ca="1">IFERROR(__xludf.DUMMYFUNCTION("""COMPUTED_VALUE"""),0.394)</f>
        <v>0.39400000000000002</v>
      </c>
      <c r="W329" s="1">
        <f ca="1">IFERROR(__xludf.DUMMYFUNCTION("""COMPUTED_VALUE"""),412)</f>
        <v>412</v>
      </c>
      <c r="X329" s="1">
        <f ca="1">IFERROR(__xludf.DUMMYFUNCTION("""COMPUTED_VALUE"""),582)</f>
        <v>582</v>
      </c>
      <c r="Y329" s="1">
        <f ca="1">IFERROR(__xludf.DUMMYFUNCTION("""COMPUTED_VALUE"""),0.708)</f>
        <v>0.70799999999999996</v>
      </c>
      <c r="Z329" s="1">
        <f ca="1">IFERROR(__xludf.DUMMYFUNCTION("""COMPUTED_VALUE"""),332)</f>
        <v>332</v>
      </c>
      <c r="AA329" s="1">
        <f ca="1">IFERROR(__xludf.DUMMYFUNCTION("""COMPUTED_VALUE"""),1175)</f>
        <v>1175</v>
      </c>
      <c r="AB329" s="1">
        <f ca="1">IFERROR(__xludf.DUMMYFUNCTION("""COMPUTED_VALUE"""),441)</f>
        <v>441</v>
      </c>
      <c r="AC329" s="1">
        <f ca="1">IFERROR(__xludf.DUMMYFUNCTION("""COMPUTED_VALUE"""),178)</f>
        <v>178</v>
      </c>
      <c r="AD329" s="1">
        <f ca="1">IFERROR(__xludf.DUMMYFUNCTION("""COMPUTED_VALUE"""),63)</f>
        <v>63</v>
      </c>
      <c r="AE329" s="1">
        <f ca="1">IFERROR(__xludf.DUMMYFUNCTION("""COMPUTED_VALUE"""),394)</f>
        <v>394</v>
      </c>
      <c r="AF329" s="1">
        <f ca="1">IFERROR(__xludf.DUMMYFUNCTION("""COMPUTED_VALUE"""),507)</f>
        <v>507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IFERROR(__xludf.DUMMYFUNCTION("""COMPUTED_VALUE"""),"Tennessee State")</f>
        <v>Tennessee State</v>
      </c>
      <c r="B332" s="1">
        <f ca="1">IFERROR(__xludf.DUMMYFUNCTION("""COMPUTED_VALUE"""),31)</f>
        <v>31</v>
      </c>
      <c r="C332" s="1">
        <f ca="1">IFERROR(__xludf.DUMMYFUNCTION("""COMPUTED_VALUE"""),5)</f>
        <v>5</v>
      </c>
      <c r="D332" s="1">
        <f ca="1">IFERROR(__xludf.DUMMYFUNCTION("""COMPUTED_VALUE"""),26)</f>
        <v>26</v>
      </c>
      <c r="E332" s="1">
        <f ca="1">IFERROR(__xludf.DUMMYFUNCTION("""COMPUTED_VALUE"""),0.161)</f>
        <v>0.161</v>
      </c>
      <c r="F332" s="1">
        <f ca="1">IFERROR(__xludf.DUMMYFUNCTION("""COMPUTED_VALUE"""),-14.93)</f>
        <v>-14.93</v>
      </c>
      <c r="G332" s="1">
        <f ca="1">IFERROR(__xludf.DUMMYFUNCTION("""COMPUTED_VALUE"""),-2.38)</f>
        <v>-2.38</v>
      </c>
      <c r="H332" s="1">
        <f ca="1">IFERROR(__xludf.DUMMYFUNCTION("""COMPUTED_VALUE"""),2)</f>
        <v>2</v>
      </c>
      <c r="I332" s="1">
        <f ca="1">IFERROR(__xludf.DUMMYFUNCTION("""COMPUTED_VALUE"""),14)</f>
        <v>14</v>
      </c>
      <c r="J332" s="1">
        <f ca="1">IFERROR(__xludf.DUMMYFUNCTION("""COMPUTED_VALUE"""),5)</f>
        <v>5</v>
      </c>
      <c r="K332" s="1">
        <f ca="1">IFERROR(__xludf.DUMMYFUNCTION("""COMPUTED_VALUE"""),8)</f>
        <v>8</v>
      </c>
      <c r="L332" s="1">
        <f ca="1">IFERROR(__xludf.DUMMYFUNCTION("""COMPUTED_VALUE"""),0)</f>
        <v>0</v>
      </c>
      <c r="M332" s="1">
        <f ca="1">IFERROR(__xludf.DUMMYFUNCTION("""COMPUTED_VALUE"""),17)</f>
        <v>17</v>
      </c>
      <c r="N332" s="1">
        <f ca="1">IFERROR(__xludf.DUMMYFUNCTION("""COMPUTED_VALUE"""),1793)</f>
        <v>1793</v>
      </c>
      <c r="O332" s="1">
        <f ca="1">IFERROR(__xludf.DUMMYFUNCTION("""COMPUTED_VALUE"""),2111)</f>
        <v>2111</v>
      </c>
      <c r="P332" s="1">
        <f ca="1">IFERROR(__xludf.DUMMYFUNCTION("""COMPUTED_VALUE"""),1240)</f>
        <v>1240</v>
      </c>
      <c r="Q332" s="1">
        <f ca="1">IFERROR(__xludf.DUMMYFUNCTION("""COMPUTED_VALUE"""),611)</f>
        <v>611</v>
      </c>
      <c r="R332" s="1">
        <f ca="1">IFERROR(__xludf.DUMMYFUNCTION("""COMPUTED_VALUE"""),1548)</f>
        <v>1548</v>
      </c>
      <c r="S332" s="1">
        <f ca="1">IFERROR(__xludf.DUMMYFUNCTION("""COMPUTED_VALUE"""),0.395)</f>
        <v>0.39500000000000002</v>
      </c>
      <c r="T332" s="1">
        <f ca="1">IFERROR(__xludf.DUMMYFUNCTION("""COMPUTED_VALUE"""),170)</f>
        <v>170</v>
      </c>
      <c r="U332" s="1">
        <f ca="1">IFERROR(__xludf.DUMMYFUNCTION("""COMPUTED_VALUE"""),486)</f>
        <v>486</v>
      </c>
      <c r="V332" s="1">
        <f ca="1">IFERROR(__xludf.DUMMYFUNCTION("""COMPUTED_VALUE"""),0.35)</f>
        <v>0.35</v>
      </c>
      <c r="W332" s="1">
        <f ca="1">IFERROR(__xludf.DUMMYFUNCTION("""COMPUTED_VALUE"""),401)</f>
        <v>401</v>
      </c>
      <c r="X332" s="1">
        <f ca="1">IFERROR(__xludf.DUMMYFUNCTION("""COMPUTED_VALUE"""),648)</f>
        <v>648</v>
      </c>
      <c r="Y332" s="1">
        <f ca="1">IFERROR(__xludf.DUMMYFUNCTION("""COMPUTED_VALUE"""),0.619)</f>
        <v>0.61899999999999999</v>
      </c>
      <c r="Z332" s="1">
        <f ca="1">IFERROR(__xludf.DUMMYFUNCTION("""COMPUTED_VALUE"""),297)</f>
        <v>297</v>
      </c>
      <c r="AA332" s="1">
        <f ca="1">IFERROR(__xludf.DUMMYFUNCTION("""COMPUTED_VALUE"""),1022)</f>
        <v>1022</v>
      </c>
      <c r="AB332" s="1">
        <f ca="1">IFERROR(__xludf.DUMMYFUNCTION("""COMPUTED_VALUE"""),294)</f>
        <v>294</v>
      </c>
      <c r="AC332" s="1">
        <f ca="1">IFERROR(__xludf.DUMMYFUNCTION("""COMPUTED_VALUE"""),167)</f>
        <v>167</v>
      </c>
      <c r="AD332" s="1">
        <f ca="1">IFERROR(__xludf.DUMMYFUNCTION("""COMPUTED_VALUE"""),108)</f>
        <v>108</v>
      </c>
      <c r="AE332" s="1">
        <f ca="1">IFERROR(__xludf.DUMMYFUNCTION("""COMPUTED_VALUE"""),446)</f>
        <v>446</v>
      </c>
      <c r="AF332" s="1">
        <f ca="1">IFERROR(__xludf.DUMMYFUNCTION("""COMPUTED_VALUE"""),628)</f>
        <v>628</v>
      </c>
    </row>
    <row r="333" spans="1:32" ht="12.5" x14ac:dyDescent="0.25">
      <c r="A333" s="1" t="str">
        <f ca="1">IFERROR(__xludf.DUMMYFUNCTION("""COMPUTED_VALUE"""),"Tennessee Tech")</f>
        <v>Tennessee Tech</v>
      </c>
      <c r="B333" s="1">
        <f ca="1">IFERROR(__xludf.DUMMYFUNCTION("""COMPUTED_VALUE"""),30)</f>
        <v>30</v>
      </c>
      <c r="C333" s="1">
        <f ca="1">IFERROR(__xludf.DUMMYFUNCTION("""COMPUTED_VALUE"""),12)</f>
        <v>12</v>
      </c>
      <c r="D333" s="1">
        <f ca="1">IFERROR(__xludf.DUMMYFUNCTION("""COMPUTED_VALUE"""),18)</f>
        <v>18</v>
      </c>
      <c r="E333" s="1">
        <f ca="1">IFERROR(__xludf.DUMMYFUNCTION("""COMPUTED_VALUE"""),0.4)</f>
        <v>0.4</v>
      </c>
      <c r="F333" s="1">
        <f ca="1">IFERROR(__xludf.DUMMYFUNCTION("""COMPUTED_VALUE"""),-6.49)</f>
        <v>-6.49</v>
      </c>
      <c r="G333" s="1">
        <f ca="1">IFERROR(__xludf.DUMMYFUNCTION("""COMPUTED_VALUE"""),-3.99)</f>
        <v>-3.99</v>
      </c>
      <c r="H333" s="1">
        <f ca="1">IFERROR(__xludf.DUMMYFUNCTION("""COMPUTED_VALUE"""),4)</f>
        <v>4</v>
      </c>
      <c r="I333" s="1">
        <f ca="1">IFERROR(__xludf.DUMMYFUNCTION("""COMPUTED_VALUE"""),12)</f>
        <v>12</v>
      </c>
      <c r="J333" s="1">
        <f ca="1">IFERROR(__xludf.DUMMYFUNCTION("""COMPUTED_VALUE"""),10)</f>
        <v>10</v>
      </c>
      <c r="K333" s="1">
        <f ca="1">IFERROR(__xludf.DUMMYFUNCTION("""COMPUTED_VALUE"""),4)</f>
        <v>4</v>
      </c>
      <c r="L333" s="1">
        <f ca="1">IFERROR(__xludf.DUMMYFUNCTION("""COMPUTED_VALUE"""),2)</f>
        <v>2</v>
      </c>
      <c r="M333" s="1">
        <f ca="1">IFERROR(__xludf.DUMMYFUNCTION("""COMPUTED_VALUE"""),14)</f>
        <v>14</v>
      </c>
      <c r="N333" s="1">
        <f ca="1">IFERROR(__xludf.DUMMYFUNCTION("""COMPUTED_VALUE"""),2118)</f>
        <v>2118</v>
      </c>
      <c r="O333" s="1">
        <f ca="1">IFERROR(__xludf.DUMMYFUNCTION("""COMPUTED_VALUE"""),2095)</f>
        <v>2095</v>
      </c>
      <c r="P333" s="1">
        <f ca="1">IFERROR(__xludf.DUMMYFUNCTION("""COMPUTED_VALUE"""),1205)</f>
        <v>1205</v>
      </c>
      <c r="Q333" s="1">
        <f ca="1">IFERROR(__xludf.DUMMYFUNCTION("""COMPUTED_VALUE"""),768)</f>
        <v>768</v>
      </c>
      <c r="R333" s="1">
        <f ca="1">IFERROR(__xludf.DUMMYFUNCTION("""COMPUTED_VALUE"""),1741)</f>
        <v>1741</v>
      </c>
      <c r="S333" s="1">
        <f ca="1">IFERROR(__xludf.DUMMYFUNCTION("""COMPUTED_VALUE"""),0.441)</f>
        <v>0.441</v>
      </c>
      <c r="T333" s="1">
        <f ca="1">IFERROR(__xludf.DUMMYFUNCTION("""COMPUTED_VALUE"""),169)</f>
        <v>169</v>
      </c>
      <c r="U333" s="1">
        <f ca="1">IFERROR(__xludf.DUMMYFUNCTION("""COMPUTED_VALUE"""),526)</f>
        <v>526</v>
      </c>
      <c r="V333" s="1">
        <f ca="1">IFERROR(__xludf.DUMMYFUNCTION("""COMPUTED_VALUE"""),0.321)</f>
        <v>0.32100000000000001</v>
      </c>
      <c r="W333" s="1">
        <f ca="1">IFERROR(__xludf.DUMMYFUNCTION("""COMPUTED_VALUE"""),413)</f>
        <v>413</v>
      </c>
      <c r="X333" s="1">
        <f ca="1">IFERROR(__xludf.DUMMYFUNCTION("""COMPUTED_VALUE"""),609)</f>
        <v>609</v>
      </c>
      <c r="Y333" s="1">
        <f ca="1">IFERROR(__xludf.DUMMYFUNCTION("""COMPUTED_VALUE"""),0.678)</f>
        <v>0.67800000000000005</v>
      </c>
      <c r="Z333" s="1">
        <f ca="1">IFERROR(__xludf.DUMMYFUNCTION("""COMPUTED_VALUE"""),396)</f>
        <v>396</v>
      </c>
      <c r="AA333" s="1">
        <f ca="1">IFERROR(__xludf.DUMMYFUNCTION("""COMPUTED_VALUE"""),1110)</f>
        <v>1110</v>
      </c>
      <c r="AB333" s="1">
        <f ca="1">IFERROR(__xludf.DUMMYFUNCTION("""COMPUTED_VALUE"""),395)</f>
        <v>395</v>
      </c>
      <c r="AC333" s="1">
        <f ca="1">IFERROR(__xludf.DUMMYFUNCTION("""COMPUTED_VALUE"""),186)</f>
        <v>186</v>
      </c>
      <c r="AD333" s="1">
        <f ca="1">IFERROR(__xludf.DUMMYFUNCTION("""COMPUTED_VALUE"""),103)</f>
        <v>103</v>
      </c>
      <c r="AE333" s="1">
        <f ca="1">IFERROR(__xludf.DUMMYFUNCTION("""COMPUTED_VALUE"""),412)</f>
        <v>412</v>
      </c>
      <c r="AF333" s="1">
        <f ca="1">IFERROR(__xludf.DUMMYFUNCTION("""COMPUTED_VALUE"""),567)</f>
        <v>567</v>
      </c>
    </row>
    <row r="334" spans="1:32" ht="12.5" x14ac:dyDescent="0.25">
      <c r="A334" s="1" t="str">
        <f ca="1">IFERROR(__xludf.DUMMYFUNCTION("""COMPUTED_VALUE"""),"Tennessee")</f>
        <v>Tennessee</v>
      </c>
      <c r="B334" s="1">
        <f ca="1">IFERROR(__xludf.DUMMYFUNCTION("""COMPUTED_VALUE"""),32)</f>
        <v>32</v>
      </c>
      <c r="C334" s="1">
        <f ca="1">IFERROR(__xludf.DUMMYFUNCTION("""COMPUTED_VALUE"""),16)</f>
        <v>16</v>
      </c>
      <c r="D334" s="1">
        <f ca="1">IFERROR(__xludf.DUMMYFUNCTION("""COMPUTED_VALUE"""),16)</f>
        <v>16</v>
      </c>
      <c r="E334" s="1">
        <f ca="1">IFERROR(__xludf.DUMMYFUNCTION("""COMPUTED_VALUE"""),0.5)</f>
        <v>0.5</v>
      </c>
      <c r="F334" s="1">
        <f ca="1">IFERROR(__xludf.DUMMYFUNCTION("""COMPUTED_VALUE"""),7.23)</f>
        <v>7.23</v>
      </c>
      <c r="G334" s="1">
        <f ca="1">IFERROR(__xludf.DUMMYFUNCTION("""COMPUTED_VALUE"""),8.16)</f>
        <v>8.16</v>
      </c>
      <c r="H334" s="1">
        <f ca="1">IFERROR(__xludf.DUMMYFUNCTION("""COMPUTED_VALUE"""),7)</f>
        <v>7</v>
      </c>
      <c r="I334" s="1">
        <f ca="1">IFERROR(__xludf.DUMMYFUNCTION("""COMPUTED_VALUE"""),11)</f>
        <v>11</v>
      </c>
      <c r="J334" s="1">
        <f ca="1">IFERROR(__xludf.DUMMYFUNCTION("""COMPUTED_VALUE"""),9)</f>
        <v>9</v>
      </c>
      <c r="K334" s="1">
        <f ca="1">IFERROR(__xludf.DUMMYFUNCTION("""COMPUTED_VALUE"""),7)</f>
        <v>7</v>
      </c>
      <c r="L334" s="1">
        <f ca="1">IFERROR(__xludf.DUMMYFUNCTION("""COMPUTED_VALUE"""),5)</f>
        <v>5</v>
      </c>
      <c r="M334" s="1">
        <f ca="1">IFERROR(__xludf.DUMMYFUNCTION("""COMPUTED_VALUE"""),5)</f>
        <v>5</v>
      </c>
      <c r="N334" s="1">
        <f ca="1">IFERROR(__xludf.DUMMYFUNCTION("""COMPUTED_VALUE"""),2025)</f>
        <v>2025</v>
      </c>
      <c r="O334" s="1">
        <f ca="1">IFERROR(__xludf.DUMMYFUNCTION("""COMPUTED_VALUE"""),2055)</f>
        <v>2055</v>
      </c>
      <c r="P334" s="1">
        <f ca="1">IFERROR(__xludf.DUMMYFUNCTION("""COMPUTED_VALUE"""),1285)</f>
        <v>1285</v>
      </c>
      <c r="Q334" s="1">
        <f ca="1">IFERROR(__xludf.DUMMYFUNCTION("""COMPUTED_VALUE"""),725)</f>
        <v>725</v>
      </c>
      <c r="R334" s="1">
        <f ca="1">IFERROR(__xludf.DUMMYFUNCTION("""COMPUTED_VALUE"""),1706)</f>
        <v>1706</v>
      </c>
      <c r="S334" s="1">
        <f ca="1">IFERROR(__xludf.DUMMYFUNCTION("""COMPUTED_VALUE"""),0.425)</f>
        <v>0.42499999999999999</v>
      </c>
      <c r="T334" s="1">
        <f ca="1">IFERROR(__xludf.DUMMYFUNCTION("""COMPUTED_VALUE"""),194)</f>
        <v>194</v>
      </c>
      <c r="U334" s="1">
        <f ca="1">IFERROR(__xludf.DUMMYFUNCTION("""COMPUTED_VALUE"""),586)</f>
        <v>586</v>
      </c>
      <c r="V334" s="1">
        <f ca="1">IFERROR(__xludf.DUMMYFUNCTION("""COMPUTED_VALUE"""),0.331)</f>
        <v>0.33100000000000002</v>
      </c>
      <c r="W334" s="1">
        <f ca="1">IFERROR(__xludf.DUMMYFUNCTION("""COMPUTED_VALUE"""),381)</f>
        <v>381</v>
      </c>
      <c r="X334" s="1">
        <f ca="1">IFERROR(__xludf.DUMMYFUNCTION("""COMPUTED_VALUE"""),551)</f>
        <v>551</v>
      </c>
      <c r="Y334" s="1">
        <f ca="1">IFERROR(__xludf.DUMMYFUNCTION("""COMPUTED_VALUE"""),0.691)</f>
        <v>0.69099999999999995</v>
      </c>
      <c r="Z334" s="1">
        <f ca="1">IFERROR(__xludf.DUMMYFUNCTION("""COMPUTED_VALUE"""),396)</f>
        <v>396</v>
      </c>
      <c r="AA334" s="1">
        <f ca="1">IFERROR(__xludf.DUMMYFUNCTION("""COMPUTED_VALUE"""),1040)</f>
        <v>1040</v>
      </c>
      <c r="AB334" s="1">
        <f ca="1">IFERROR(__xludf.DUMMYFUNCTION("""COMPUTED_VALUE"""),350)</f>
        <v>350</v>
      </c>
      <c r="AC334" s="1">
        <f ca="1">IFERROR(__xludf.DUMMYFUNCTION("""COMPUTED_VALUE"""),247)</f>
        <v>247</v>
      </c>
      <c r="AD334" s="1">
        <f ca="1">IFERROR(__xludf.DUMMYFUNCTION("""COMPUTED_VALUE"""),108)</f>
        <v>108</v>
      </c>
      <c r="AE334" s="1">
        <f ca="1">IFERROR(__xludf.DUMMYFUNCTION("""COMPUTED_VALUE"""),387)</f>
        <v>387</v>
      </c>
      <c r="AF334" s="1">
        <f ca="1">IFERROR(__xludf.DUMMYFUNCTION("""COMPUTED_VALUE"""),625)</f>
        <v>625</v>
      </c>
    </row>
    <row r="335" spans="1:32" ht="12.5" x14ac:dyDescent="0.25">
      <c r="A335" s="1" t="str">
        <f ca="1">IFERROR(__xludf.DUMMYFUNCTION("""COMPUTED_VALUE"""),"Texas A&amp;M-Corpus Christi")</f>
        <v>Texas A&amp;M-Corpus Christi</v>
      </c>
      <c r="B335" s="1">
        <f ca="1">IFERROR(__xludf.DUMMYFUNCTION("""COMPUTED_VALUE"""),34)</f>
        <v>34</v>
      </c>
      <c r="C335" s="1">
        <f ca="1">IFERROR(__xludf.DUMMYFUNCTION("""COMPUTED_VALUE"""),20)</f>
        <v>20</v>
      </c>
      <c r="D335" s="1">
        <f ca="1">IFERROR(__xludf.DUMMYFUNCTION("""COMPUTED_VALUE"""),14)</f>
        <v>14</v>
      </c>
      <c r="E335" s="1">
        <f ca="1">IFERROR(__xludf.DUMMYFUNCTION("""COMPUTED_VALUE"""),0.588)</f>
        <v>0.58799999999999997</v>
      </c>
      <c r="F335" s="1">
        <f ca="1">IFERROR(__xludf.DUMMYFUNCTION("""COMPUTED_VALUE"""),-5.58)</f>
        <v>-5.58</v>
      </c>
      <c r="G335" s="1">
        <f ca="1">IFERROR(__xludf.DUMMYFUNCTION("""COMPUTED_VALUE"""),-6.43)</f>
        <v>-6.43</v>
      </c>
      <c r="H335" s="1">
        <f ca="1">IFERROR(__xludf.DUMMYFUNCTION("""COMPUTED_VALUE"""),13)</f>
        <v>13</v>
      </c>
      <c r="I335" s="1">
        <f ca="1">IFERROR(__xludf.DUMMYFUNCTION("""COMPUTED_VALUE"""),5)</f>
        <v>5</v>
      </c>
      <c r="J335" s="1">
        <f ca="1">IFERROR(__xludf.DUMMYFUNCTION("""COMPUTED_VALUE"""),10)</f>
        <v>10</v>
      </c>
      <c r="K335" s="1">
        <f ca="1">IFERROR(__xludf.DUMMYFUNCTION("""COMPUTED_VALUE"""),4)</f>
        <v>4</v>
      </c>
      <c r="L335" s="1">
        <f ca="1">IFERROR(__xludf.DUMMYFUNCTION("""COMPUTED_VALUE"""),8)</f>
        <v>8</v>
      </c>
      <c r="M335" s="1">
        <f ca="1">IFERROR(__xludf.DUMMYFUNCTION("""COMPUTED_VALUE"""),8)</f>
        <v>8</v>
      </c>
      <c r="N335" s="1">
        <f ca="1">IFERROR(__xludf.DUMMYFUNCTION("""COMPUTED_VALUE"""),2266)</f>
        <v>2266</v>
      </c>
      <c r="O335" s="1">
        <f ca="1">IFERROR(__xludf.DUMMYFUNCTION("""COMPUTED_VALUE"""),2192)</f>
        <v>2192</v>
      </c>
      <c r="P335" s="1">
        <f ca="1">IFERROR(__xludf.DUMMYFUNCTION("""COMPUTED_VALUE"""),1365)</f>
        <v>1365</v>
      </c>
      <c r="Q335" s="1">
        <f ca="1">IFERROR(__xludf.DUMMYFUNCTION("""COMPUTED_VALUE"""),748)</f>
        <v>748</v>
      </c>
      <c r="R335" s="1">
        <f ca="1">IFERROR(__xludf.DUMMYFUNCTION("""COMPUTED_VALUE"""),1678)</f>
        <v>1678</v>
      </c>
      <c r="S335" s="1">
        <f ca="1">IFERROR(__xludf.DUMMYFUNCTION("""COMPUTED_VALUE"""),0.446)</f>
        <v>0.44600000000000001</v>
      </c>
      <c r="T335" s="1">
        <f ca="1">IFERROR(__xludf.DUMMYFUNCTION("""COMPUTED_VALUE"""),165)</f>
        <v>165</v>
      </c>
      <c r="U335" s="1">
        <f ca="1">IFERROR(__xludf.DUMMYFUNCTION("""COMPUTED_VALUE"""),499)</f>
        <v>499</v>
      </c>
      <c r="V335" s="1">
        <f ca="1">IFERROR(__xludf.DUMMYFUNCTION("""COMPUTED_VALUE"""),0.331)</f>
        <v>0.33100000000000002</v>
      </c>
      <c r="W335" s="1">
        <f ca="1">IFERROR(__xludf.DUMMYFUNCTION("""COMPUTED_VALUE"""),605)</f>
        <v>605</v>
      </c>
      <c r="X335" s="1">
        <f ca="1">IFERROR(__xludf.DUMMYFUNCTION("""COMPUTED_VALUE"""),881)</f>
        <v>881</v>
      </c>
      <c r="Y335" s="1">
        <f ca="1">IFERROR(__xludf.DUMMYFUNCTION("""COMPUTED_VALUE"""),0.687)</f>
        <v>0.68700000000000006</v>
      </c>
      <c r="Z335" s="1">
        <f ca="1">IFERROR(__xludf.DUMMYFUNCTION("""COMPUTED_VALUE"""),333)</f>
        <v>333</v>
      </c>
      <c r="AA335" s="1">
        <f ca="1">IFERROR(__xludf.DUMMYFUNCTION("""COMPUTED_VALUE"""),1101)</f>
        <v>1101</v>
      </c>
      <c r="AB335" s="1">
        <f ca="1">IFERROR(__xludf.DUMMYFUNCTION("""COMPUTED_VALUE"""),354)</f>
        <v>354</v>
      </c>
      <c r="AC335" s="1">
        <f ca="1">IFERROR(__xludf.DUMMYFUNCTION("""COMPUTED_VALUE"""),230)</f>
        <v>230</v>
      </c>
      <c r="AD335" s="1">
        <f ca="1">IFERROR(__xludf.DUMMYFUNCTION("""COMPUTED_VALUE"""),91)</f>
        <v>91</v>
      </c>
      <c r="AE335" s="1">
        <f ca="1">IFERROR(__xludf.DUMMYFUNCTION("""COMPUTED_VALUE"""),430)</f>
        <v>430</v>
      </c>
      <c r="AF335" s="1">
        <f ca="1">IFERROR(__xludf.DUMMYFUNCTION("""COMPUTED_VALUE"""),693)</f>
        <v>693</v>
      </c>
    </row>
    <row r="336" spans="1:32" ht="12.5" x14ac:dyDescent="0.25">
      <c r="A336" s="1" t="str">
        <f ca="1">IFERROR(__xludf.DUMMYFUNCTION("""COMPUTED_VALUE"""),"Texas A&amp;M")</f>
        <v>Texas A&amp;M</v>
      </c>
      <c r="B336" s="1">
        <f ca="1">IFERROR(__xludf.DUMMYFUNCTION("""COMPUTED_VALUE"""),33)</f>
        <v>33</v>
      </c>
      <c r="C336" s="1">
        <f ca="1">IFERROR(__xludf.DUMMYFUNCTION("""COMPUTED_VALUE"""),21)</f>
        <v>21</v>
      </c>
      <c r="D336" s="1">
        <f ca="1">IFERROR(__xludf.DUMMYFUNCTION("""COMPUTED_VALUE"""),12)</f>
        <v>12</v>
      </c>
      <c r="E336" s="1">
        <f ca="1">IFERROR(__xludf.DUMMYFUNCTION("""COMPUTED_VALUE"""),0.636)</f>
        <v>0.63600000000000001</v>
      </c>
      <c r="F336" s="1">
        <f ca="1">IFERROR(__xludf.DUMMYFUNCTION("""COMPUTED_VALUE"""),10.73)</f>
        <v>10.73</v>
      </c>
      <c r="G336" s="1">
        <f ca="1">IFERROR(__xludf.DUMMYFUNCTION("""COMPUTED_VALUE"""),5.91)</f>
        <v>5.91</v>
      </c>
      <c r="H336" s="1">
        <f ca="1">IFERROR(__xludf.DUMMYFUNCTION("""COMPUTED_VALUE"""),11)</f>
        <v>11</v>
      </c>
      <c r="I336" s="1">
        <f ca="1">IFERROR(__xludf.DUMMYFUNCTION("""COMPUTED_VALUE"""),7)</f>
        <v>7</v>
      </c>
      <c r="J336" s="1">
        <f ca="1">IFERROR(__xludf.DUMMYFUNCTION("""COMPUTED_VALUE"""),14)</f>
        <v>14</v>
      </c>
      <c r="K336" s="1">
        <f ca="1">IFERROR(__xludf.DUMMYFUNCTION("""COMPUTED_VALUE"""),4)</f>
        <v>4</v>
      </c>
      <c r="L336" s="1">
        <f ca="1">IFERROR(__xludf.DUMMYFUNCTION("""COMPUTED_VALUE"""),5)</f>
        <v>5</v>
      </c>
      <c r="M336" s="1">
        <f ca="1">IFERROR(__xludf.DUMMYFUNCTION("""COMPUTED_VALUE"""),6)</f>
        <v>6</v>
      </c>
      <c r="N336" s="1">
        <f ca="1">IFERROR(__xludf.DUMMYFUNCTION("""COMPUTED_VALUE"""),2236)</f>
        <v>2236</v>
      </c>
      <c r="O336" s="1">
        <f ca="1">IFERROR(__xludf.DUMMYFUNCTION("""COMPUTED_VALUE"""),2077)</f>
        <v>2077</v>
      </c>
      <c r="P336" s="1">
        <f ca="1">IFERROR(__xludf.DUMMYFUNCTION("""COMPUTED_VALUE"""),1330)</f>
        <v>1330</v>
      </c>
      <c r="Q336" s="1">
        <f ca="1">IFERROR(__xludf.DUMMYFUNCTION("""COMPUTED_VALUE"""),805)</f>
        <v>805</v>
      </c>
      <c r="R336" s="1">
        <f ca="1">IFERROR(__xludf.DUMMYFUNCTION("""COMPUTED_VALUE"""),1778)</f>
        <v>1778</v>
      </c>
      <c r="S336" s="1">
        <f ca="1">IFERROR(__xludf.DUMMYFUNCTION("""COMPUTED_VALUE"""),0.453)</f>
        <v>0.45300000000000001</v>
      </c>
      <c r="T336" s="1">
        <f ca="1">IFERROR(__xludf.DUMMYFUNCTION("""COMPUTED_VALUE"""),181)</f>
        <v>181</v>
      </c>
      <c r="U336" s="1">
        <f ca="1">IFERROR(__xludf.DUMMYFUNCTION("""COMPUTED_VALUE"""),521)</f>
        <v>521</v>
      </c>
      <c r="V336" s="1">
        <f ca="1">IFERROR(__xludf.DUMMYFUNCTION("""COMPUTED_VALUE"""),0.347)</f>
        <v>0.34699999999999998</v>
      </c>
      <c r="W336" s="1">
        <f ca="1">IFERROR(__xludf.DUMMYFUNCTION("""COMPUTED_VALUE"""),445)</f>
        <v>445</v>
      </c>
      <c r="X336" s="1">
        <f ca="1">IFERROR(__xludf.DUMMYFUNCTION("""COMPUTED_VALUE"""),676)</f>
        <v>676</v>
      </c>
      <c r="Y336" s="1">
        <f ca="1">IFERROR(__xludf.DUMMYFUNCTION("""COMPUTED_VALUE"""),0.658)</f>
        <v>0.65800000000000003</v>
      </c>
      <c r="Z336" s="1">
        <f ca="1">IFERROR(__xludf.DUMMYFUNCTION("""COMPUTED_VALUE"""),374)</f>
        <v>374</v>
      </c>
      <c r="AA336" s="1">
        <f ca="1">IFERROR(__xludf.DUMMYFUNCTION("""COMPUTED_VALUE"""),1197)</f>
        <v>1197</v>
      </c>
      <c r="AB336" s="1">
        <f ca="1">IFERROR(__xludf.DUMMYFUNCTION("""COMPUTED_VALUE"""),485)</f>
        <v>485</v>
      </c>
      <c r="AC336" s="1">
        <f ca="1">IFERROR(__xludf.DUMMYFUNCTION("""COMPUTED_VALUE"""),186)</f>
        <v>186</v>
      </c>
      <c r="AD336" s="1">
        <f ca="1">IFERROR(__xludf.DUMMYFUNCTION("""COMPUTED_VALUE"""),97)</f>
        <v>97</v>
      </c>
      <c r="AE336" s="1">
        <f ca="1">IFERROR(__xludf.DUMMYFUNCTION("""COMPUTED_VALUE"""),410)</f>
        <v>410</v>
      </c>
      <c r="AF336" s="1">
        <f ca="1">IFERROR(__xludf.DUMMYFUNCTION("""COMPUTED_VALUE"""),595)</f>
        <v>595</v>
      </c>
    </row>
    <row r="337" spans="1:32" ht="12.5" x14ac:dyDescent="0.25">
      <c r="A337" s="1" t="str">
        <f ca="1">IFERROR(__xludf.DUMMYFUNCTION("""COMPUTED_VALUE"""),"Texas-Arlington")</f>
        <v>Texas-Arlington</v>
      </c>
      <c r="B337" s="1">
        <f ca="1">IFERROR(__xludf.DUMMYFUNCTION("""COMPUTED_VALUE"""),31)</f>
        <v>31</v>
      </c>
      <c r="C337" s="1">
        <f ca="1">IFERROR(__xludf.DUMMYFUNCTION("""COMPUTED_VALUE"""),16)</f>
        <v>16</v>
      </c>
      <c r="D337" s="1">
        <f ca="1">IFERROR(__xludf.DUMMYFUNCTION("""COMPUTED_VALUE"""),15)</f>
        <v>15</v>
      </c>
      <c r="E337" s="1">
        <f ca="1">IFERROR(__xludf.DUMMYFUNCTION("""COMPUTED_VALUE"""),0.516)</f>
        <v>0.51600000000000001</v>
      </c>
      <c r="F337" s="1">
        <f ca="1">IFERROR(__xludf.DUMMYFUNCTION("""COMPUTED_VALUE"""),-3.59)</f>
        <v>-3.59</v>
      </c>
      <c r="G337" s="1">
        <f ca="1">IFERROR(__xludf.DUMMYFUNCTION("""COMPUTED_VALUE"""),-2.76)</f>
        <v>-2.76</v>
      </c>
      <c r="H337" s="1">
        <f ca="1">IFERROR(__xludf.DUMMYFUNCTION("""COMPUTED_VALUE"""),10)</f>
        <v>10</v>
      </c>
      <c r="I337" s="1">
        <f ca="1">IFERROR(__xludf.DUMMYFUNCTION("""COMPUTED_VALUE"""),10)</f>
        <v>10</v>
      </c>
      <c r="J337" s="1">
        <f ca="1">IFERROR(__xludf.DUMMYFUNCTION("""COMPUTED_VALUE"""),9)</f>
        <v>9</v>
      </c>
      <c r="K337" s="1">
        <f ca="1">IFERROR(__xludf.DUMMYFUNCTION("""COMPUTED_VALUE"""),5)</f>
        <v>5</v>
      </c>
      <c r="L337" s="1">
        <f ca="1">IFERROR(__xludf.DUMMYFUNCTION("""COMPUTED_VALUE"""),7)</f>
        <v>7</v>
      </c>
      <c r="M337" s="1">
        <f ca="1">IFERROR(__xludf.DUMMYFUNCTION("""COMPUTED_VALUE"""),9)</f>
        <v>9</v>
      </c>
      <c r="N337" s="1">
        <f ca="1">IFERROR(__xludf.DUMMYFUNCTION("""COMPUTED_VALUE"""),2220)</f>
        <v>2220</v>
      </c>
      <c r="O337" s="1">
        <f ca="1">IFERROR(__xludf.DUMMYFUNCTION("""COMPUTED_VALUE"""),2206)</f>
        <v>2206</v>
      </c>
      <c r="P337" s="1">
        <f ca="1">IFERROR(__xludf.DUMMYFUNCTION("""COMPUTED_VALUE"""),1245)</f>
        <v>1245</v>
      </c>
      <c r="Q337" s="1">
        <f ca="1">IFERROR(__xludf.DUMMYFUNCTION("""COMPUTED_VALUE"""),779)</f>
        <v>779</v>
      </c>
      <c r="R337" s="1">
        <f ca="1">IFERROR(__xludf.DUMMYFUNCTION("""COMPUTED_VALUE"""),1773)</f>
        <v>1773</v>
      </c>
      <c r="S337" s="1">
        <f ca="1">IFERROR(__xludf.DUMMYFUNCTION("""COMPUTED_VALUE"""),0.439)</f>
        <v>0.439</v>
      </c>
      <c r="T337" s="1">
        <f ca="1">IFERROR(__xludf.DUMMYFUNCTION("""COMPUTED_VALUE"""),205)</f>
        <v>205</v>
      </c>
      <c r="U337" s="1">
        <f ca="1">IFERROR(__xludf.DUMMYFUNCTION("""COMPUTED_VALUE"""),648)</f>
        <v>648</v>
      </c>
      <c r="V337" s="1">
        <f ca="1">IFERROR(__xludf.DUMMYFUNCTION("""COMPUTED_VALUE"""),0.316)</f>
        <v>0.316</v>
      </c>
      <c r="W337" s="1">
        <f ca="1">IFERROR(__xludf.DUMMYFUNCTION("""COMPUTED_VALUE"""),457)</f>
        <v>457</v>
      </c>
      <c r="X337" s="1">
        <f ca="1">IFERROR(__xludf.DUMMYFUNCTION("""COMPUTED_VALUE"""),679)</f>
        <v>679</v>
      </c>
      <c r="Y337" s="1">
        <f ca="1">IFERROR(__xludf.DUMMYFUNCTION("""COMPUTED_VALUE"""),0.673)</f>
        <v>0.67300000000000004</v>
      </c>
      <c r="Z337" s="1">
        <f ca="1">IFERROR(__xludf.DUMMYFUNCTION("""COMPUTED_VALUE"""),352)</f>
        <v>352</v>
      </c>
      <c r="AA337" s="1">
        <f ca="1">IFERROR(__xludf.DUMMYFUNCTION("""COMPUTED_VALUE"""),1144)</f>
        <v>1144</v>
      </c>
      <c r="AB337" s="1">
        <f ca="1">IFERROR(__xludf.DUMMYFUNCTION("""COMPUTED_VALUE"""),399)</f>
        <v>399</v>
      </c>
      <c r="AC337" s="1">
        <f ca="1">IFERROR(__xludf.DUMMYFUNCTION("""COMPUTED_VALUE"""),206)</f>
        <v>206</v>
      </c>
      <c r="AD337" s="1">
        <f ca="1">IFERROR(__xludf.DUMMYFUNCTION("""COMPUTED_VALUE"""),107)</f>
        <v>107</v>
      </c>
      <c r="AE337" s="1">
        <f ca="1">IFERROR(__xludf.DUMMYFUNCTION("""COMPUTED_VALUE"""),453)</f>
        <v>453</v>
      </c>
      <c r="AF337" s="1">
        <f ca="1">IFERROR(__xludf.DUMMYFUNCTION("""COMPUTED_VALUE"""),654)</f>
        <v>654</v>
      </c>
    </row>
    <row r="338" spans="1:32" ht="12.5" x14ac:dyDescent="0.25">
      <c r="A338" s="1" t="str">
        <f ca="1">IFERROR(__xludf.DUMMYFUNCTION("""COMPUTED_VALUE"""),"Texas Christian")</f>
        <v>Texas Christian</v>
      </c>
      <c r="B338" s="1">
        <f ca="1">IFERROR(__xludf.DUMMYFUNCTION("""COMPUTED_VALUE"""),33)</f>
        <v>33</v>
      </c>
      <c r="C338" s="1">
        <f ca="1">IFERROR(__xludf.DUMMYFUNCTION("""COMPUTED_VALUE"""),18)</f>
        <v>18</v>
      </c>
      <c r="D338" s="1">
        <f ca="1">IFERROR(__xludf.DUMMYFUNCTION("""COMPUTED_VALUE"""),15)</f>
        <v>15</v>
      </c>
      <c r="E338" s="1">
        <f ca="1">IFERROR(__xludf.DUMMYFUNCTION("""COMPUTED_VALUE"""),0.545)</f>
        <v>0.54500000000000004</v>
      </c>
      <c r="F338" s="1">
        <f ca="1">IFERROR(__xludf.DUMMYFUNCTION("""COMPUTED_VALUE"""),11.1)</f>
        <v>11.1</v>
      </c>
      <c r="G338" s="1">
        <f ca="1">IFERROR(__xludf.DUMMYFUNCTION("""COMPUTED_VALUE"""),5.32)</f>
        <v>5.32</v>
      </c>
      <c r="H338" s="1">
        <f ca="1">IFERROR(__xludf.DUMMYFUNCTION("""COMPUTED_VALUE"""),4)</f>
        <v>4</v>
      </c>
      <c r="I338" s="1">
        <f ca="1">IFERROR(__xludf.DUMMYFUNCTION("""COMPUTED_VALUE"""),14)</f>
        <v>14</v>
      </c>
      <c r="J338" s="1">
        <f ca="1">IFERROR(__xludf.DUMMYFUNCTION("""COMPUTED_VALUE"""),13)</f>
        <v>13</v>
      </c>
      <c r="K338" s="1">
        <f ca="1">IFERROR(__xludf.DUMMYFUNCTION("""COMPUTED_VALUE"""),6)</f>
        <v>6</v>
      </c>
      <c r="L338" s="1">
        <f ca="1">IFERROR(__xludf.DUMMYFUNCTION("""COMPUTED_VALUE"""),2)</f>
        <v>2</v>
      </c>
      <c r="M338" s="1">
        <f ca="1">IFERROR(__xludf.DUMMYFUNCTION("""COMPUTED_VALUE"""),8)</f>
        <v>8</v>
      </c>
      <c r="N338" s="1">
        <f ca="1">IFERROR(__xludf.DUMMYFUNCTION("""COMPUTED_VALUE"""),2249)</f>
        <v>2249</v>
      </c>
      <c r="O338" s="1">
        <f ca="1">IFERROR(__xludf.DUMMYFUNCTION("""COMPUTED_VALUE"""),2058)</f>
        <v>2058</v>
      </c>
      <c r="P338" s="1">
        <f ca="1">IFERROR(__xludf.DUMMYFUNCTION("""COMPUTED_VALUE"""),1330)</f>
        <v>1330</v>
      </c>
      <c r="Q338" s="1">
        <f ca="1">IFERROR(__xludf.DUMMYFUNCTION("""COMPUTED_VALUE"""),791)</f>
        <v>791</v>
      </c>
      <c r="R338" s="1">
        <f ca="1">IFERROR(__xludf.DUMMYFUNCTION("""COMPUTED_VALUE"""),1809)</f>
        <v>1809</v>
      </c>
      <c r="S338" s="1">
        <f ca="1">IFERROR(__xludf.DUMMYFUNCTION("""COMPUTED_VALUE"""),0.437)</f>
        <v>0.437</v>
      </c>
      <c r="T338" s="1">
        <f ca="1">IFERROR(__xludf.DUMMYFUNCTION("""COMPUTED_VALUE"""),150)</f>
        <v>150</v>
      </c>
      <c r="U338" s="1">
        <f ca="1">IFERROR(__xludf.DUMMYFUNCTION("""COMPUTED_VALUE"""),459)</f>
        <v>459</v>
      </c>
      <c r="V338" s="1">
        <f ca="1">IFERROR(__xludf.DUMMYFUNCTION("""COMPUTED_VALUE"""),0.327)</f>
        <v>0.32700000000000001</v>
      </c>
      <c r="W338" s="1">
        <f ca="1">IFERROR(__xludf.DUMMYFUNCTION("""COMPUTED_VALUE"""),517)</f>
        <v>517</v>
      </c>
      <c r="X338" s="1">
        <f ca="1">IFERROR(__xludf.DUMMYFUNCTION("""COMPUTED_VALUE"""),841)</f>
        <v>841</v>
      </c>
      <c r="Y338" s="1">
        <f ca="1">IFERROR(__xludf.DUMMYFUNCTION("""COMPUTED_VALUE"""),0.615)</f>
        <v>0.61499999999999999</v>
      </c>
      <c r="Z338" s="1">
        <f ca="1">IFERROR(__xludf.DUMMYFUNCTION("""COMPUTED_VALUE"""),445)</f>
        <v>445</v>
      </c>
      <c r="AA338" s="1">
        <f ca="1">IFERROR(__xludf.DUMMYFUNCTION("""COMPUTED_VALUE"""),1214)</f>
        <v>1214</v>
      </c>
      <c r="AB338" s="1">
        <f ca="1">IFERROR(__xludf.DUMMYFUNCTION("""COMPUTED_VALUE"""),435)</f>
        <v>435</v>
      </c>
      <c r="AC338" s="1">
        <f ca="1">IFERROR(__xludf.DUMMYFUNCTION("""COMPUTED_VALUE"""),207)</f>
        <v>207</v>
      </c>
      <c r="AD338" s="1">
        <f ca="1">IFERROR(__xludf.DUMMYFUNCTION("""COMPUTED_VALUE"""),176)</f>
        <v>176</v>
      </c>
      <c r="AE338" s="1">
        <f ca="1">IFERROR(__xludf.DUMMYFUNCTION("""COMPUTED_VALUE"""),395)</f>
        <v>395</v>
      </c>
      <c r="AF338" s="1">
        <f ca="1">IFERROR(__xludf.DUMMYFUNCTION("""COMPUTED_VALUE"""),681)</f>
        <v>681</v>
      </c>
    </row>
    <row r="339" spans="1:32" ht="12.5" x14ac:dyDescent="0.25">
      <c r="A339" s="1" t="str">
        <f ca="1">IFERROR(__xludf.DUMMYFUNCTION("""COMPUTED_VALUE"""),"Texas-El Paso")</f>
        <v>Texas-El Paso</v>
      </c>
      <c r="B339" s="1">
        <f ca="1">IFERROR(__xludf.DUMMYFUNCTION("""COMPUTED_VALUE"""),33)</f>
        <v>33</v>
      </c>
      <c r="C339" s="1">
        <f ca="1">IFERROR(__xludf.DUMMYFUNCTION("""COMPUTED_VALUE"""),22)</f>
        <v>22</v>
      </c>
      <c r="D339" s="1">
        <f ca="1">IFERROR(__xludf.DUMMYFUNCTION("""COMPUTED_VALUE"""),11)</f>
        <v>11</v>
      </c>
      <c r="E339" s="1">
        <f ca="1">IFERROR(__xludf.DUMMYFUNCTION("""COMPUTED_VALUE"""),0.667)</f>
        <v>0.66700000000000004</v>
      </c>
      <c r="F339" s="1">
        <f ca="1">IFERROR(__xludf.DUMMYFUNCTION("""COMPUTED_VALUE"""),4.89)</f>
        <v>4.8899999999999997</v>
      </c>
      <c r="G339" s="1">
        <f ca="1">IFERROR(__xludf.DUMMYFUNCTION("""COMPUTED_VALUE"""),-0.51)</f>
        <v>-0.51</v>
      </c>
      <c r="H339" s="1">
        <f ca="1">IFERROR(__xludf.DUMMYFUNCTION("""COMPUTED_VALUE"""),13)</f>
        <v>13</v>
      </c>
      <c r="I339" s="1">
        <f ca="1">IFERROR(__xludf.DUMMYFUNCTION("""COMPUTED_VALUE"""),5)</f>
        <v>5</v>
      </c>
      <c r="J339" s="1">
        <f ca="1">IFERROR(__xludf.DUMMYFUNCTION("""COMPUTED_VALUE"""),13)</f>
        <v>13</v>
      </c>
      <c r="K339" s="1">
        <f ca="1">IFERROR(__xludf.DUMMYFUNCTION("""COMPUTED_VALUE"""),2)</f>
        <v>2</v>
      </c>
      <c r="L339" s="1">
        <f ca="1">IFERROR(__xludf.DUMMYFUNCTION("""COMPUTED_VALUE"""),5)</f>
        <v>5</v>
      </c>
      <c r="M339" s="1">
        <f ca="1">IFERROR(__xludf.DUMMYFUNCTION("""COMPUTED_VALUE"""),7)</f>
        <v>7</v>
      </c>
      <c r="N339" s="1">
        <f ca="1">IFERROR(__xludf.DUMMYFUNCTION("""COMPUTED_VALUE"""),2282)</f>
        <v>2282</v>
      </c>
      <c r="O339" s="1">
        <f ca="1">IFERROR(__xludf.DUMMYFUNCTION("""COMPUTED_VALUE"""),2104)</f>
        <v>2104</v>
      </c>
      <c r="P339" s="1">
        <f ca="1">IFERROR(__xludf.DUMMYFUNCTION("""COMPUTED_VALUE"""),1325)</f>
        <v>1325</v>
      </c>
      <c r="Q339" s="1">
        <f ca="1">IFERROR(__xludf.DUMMYFUNCTION("""COMPUTED_VALUE"""),800)</f>
        <v>800</v>
      </c>
      <c r="R339" s="1">
        <f ca="1">IFERROR(__xludf.DUMMYFUNCTION("""COMPUTED_VALUE"""),1717)</f>
        <v>1717</v>
      </c>
      <c r="S339" s="1">
        <f ca="1">IFERROR(__xludf.DUMMYFUNCTION("""COMPUTED_VALUE"""),0.466)</f>
        <v>0.46600000000000003</v>
      </c>
      <c r="T339" s="1">
        <f ca="1">IFERROR(__xludf.DUMMYFUNCTION("""COMPUTED_VALUE"""),185)</f>
        <v>185</v>
      </c>
      <c r="U339" s="1">
        <f ca="1">IFERROR(__xludf.DUMMYFUNCTION("""COMPUTED_VALUE"""),506)</f>
        <v>506</v>
      </c>
      <c r="V339" s="1">
        <f ca="1">IFERROR(__xludf.DUMMYFUNCTION("""COMPUTED_VALUE"""),0.366)</f>
        <v>0.36599999999999999</v>
      </c>
      <c r="W339" s="1">
        <f ca="1">IFERROR(__xludf.DUMMYFUNCTION("""COMPUTED_VALUE"""),497)</f>
        <v>497</v>
      </c>
      <c r="X339" s="1">
        <f ca="1">IFERROR(__xludf.DUMMYFUNCTION("""COMPUTED_VALUE"""),752)</f>
        <v>752</v>
      </c>
      <c r="Y339" s="1">
        <f ca="1">IFERROR(__xludf.DUMMYFUNCTION("""COMPUTED_VALUE"""),0.661)</f>
        <v>0.66100000000000003</v>
      </c>
      <c r="Z339" s="1">
        <f ca="1">IFERROR(__xludf.DUMMYFUNCTION("""COMPUTED_VALUE"""),312)</f>
        <v>312</v>
      </c>
      <c r="AA339" s="1">
        <f ca="1">IFERROR(__xludf.DUMMYFUNCTION("""COMPUTED_VALUE"""),1140)</f>
        <v>1140</v>
      </c>
      <c r="AB339" s="1">
        <f ca="1">IFERROR(__xludf.DUMMYFUNCTION("""COMPUTED_VALUE"""),452)</f>
        <v>452</v>
      </c>
      <c r="AC339" s="1">
        <f ca="1">IFERROR(__xludf.DUMMYFUNCTION("""COMPUTED_VALUE"""),178)</f>
        <v>178</v>
      </c>
      <c r="AD339" s="1">
        <f ca="1">IFERROR(__xludf.DUMMYFUNCTION("""COMPUTED_VALUE"""),133)</f>
        <v>133</v>
      </c>
      <c r="AE339" s="1">
        <f ca="1">IFERROR(__xludf.DUMMYFUNCTION("""COMPUTED_VALUE"""),406)</f>
        <v>406</v>
      </c>
      <c r="AF339" s="1">
        <f ca="1">IFERROR(__xludf.DUMMYFUNCTION("""COMPUTED_VALUE"""),566)</f>
        <v>566</v>
      </c>
    </row>
    <row r="340" spans="1:32" ht="12.5" x14ac:dyDescent="0.25">
      <c r="A340" s="1" t="str">
        <f ca="1">IFERROR(__xludf.DUMMYFUNCTION("""COMPUTED_VALUE"""),"Texas-Rio Grande Valley")</f>
        <v>Texas-Rio Grande Valley</v>
      </c>
      <c r="B340" s="1">
        <f ca="1">IFERROR(__xludf.DUMMYFUNCTION("""COMPUTED_VALUE"""),31)</f>
        <v>31</v>
      </c>
      <c r="C340" s="1">
        <f ca="1">IFERROR(__xludf.DUMMYFUNCTION("""COMPUTED_VALUE"""),10)</f>
        <v>10</v>
      </c>
      <c r="D340" s="1">
        <f ca="1">IFERROR(__xludf.DUMMYFUNCTION("""COMPUTED_VALUE"""),21)</f>
        <v>21</v>
      </c>
      <c r="E340" s="1">
        <f ca="1">IFERROR(__xludf.DUMMYFUNCTION("""COMPUTED_VALUE"""),0.323)</f>
        <v>0.32300000000000001</v>
      </c>
      <c r="F340" s="1">
        <f ca="1">IFERROR(__xludf.DUMMYFUNCTION("""COMPUTED_VALUE"""),-14.46)</f>
        <v>-14.46</v>
      </c>
      <c r="G340" s="1">
        <f ca="1">IFERROR(__xludf.DUMMYFUNCTION("""COMPUTED_VALUE"""),-4.68)</f>
        <v>-4.68</v>
      </c>
      <c r="H340" s="1">
        <f ca="1">IFERROR(__xludf.DUMMYFUNCTION("""COMPUTED_VALUE"""),4)</f>
        <v>4</v>
      </c>
      <c r="I340" s="1">
        <f ca="1">IFERROR(__xludf.DUMMYFUNCTION("""COMPUTED_VALUE"""),10)</f>
        <v>10</v>
      </c>
      <c r="J340" s="1">
        <f ca="1">IFERROR(__xludf.DUMMYFUNCTION("""COMPUTED_VALUE"""),8)</f>
        <v>8</v>
      </c>
      <c r="K340" s="1">
        <f ca="1">IFERROR(__xludf.DUMMYFUNCTION("""COMPUTED_VALUE"""),4)</f>
        <v>4</v>
      </c>
      <c r="L340" s="1">
        <f ca="1">IFERROR(__xludf.DUMMYFUNCTION("""COMPUTED_VALUE"""),1)</f>
        <v>1</v>
      </c>
      <c r="M340" s="1">
        <f ca="1">IFERROR(__xludf.DUMMYFUNCTION("""COMPUTED_VALUE"""),15)</f>
        <v>15</v>
      </c>
      <c r="N340" s="1">
        <f ca="1">IFERROR(__xludf.DUMMYFUNCTION("""COMPUTED_VALUE"""),1927)</f>
        <v>1927</v>
      </c>
      <c r="O340" s="1">
        <f ca="1">IFERROR(__xludf.DUMMYFUNCTION("""COMPUTED_VALUE"""),2179)</f>
        <v>2179</v>
      </c>
      <c r="P340" s="1">
        <f ca="1">IFERROR(__xludf.DUMMYFUNCTION("""COMPUTED_VALUE"""),1240)</f>
        <v>1240</v>
      </c>
      <c r="Q340" s="1">
        <f ca="1">IFERROR(__xludf.DUMMYFUNCTION("""COMPUTED_VALUE"""),678)</f>
        <v>678</v>
      </c>
      <c r="R340" s="1">
        <f ca="1">IFERROR(__xludf.DUMMYFUNCTION("""COMPUTED_VALUE"""),1610)</f>
        <v>1610</v>
      </c>
      <c r="S340" s="1">
        <f ca="1">IFERROR(__xludf.DUMMYFUNCTION("""COMPUTED_VALUE"""),0.421)</f>
        <v>0.42099999999999999</v>
      </c>
      <c r="T340" s="1">
        <f ca="1">IFERROR(__xludf.DUMMYFUNCTION("""COMPUTED_VALUE"""),130)</f>
        <v>130</v>
      </c>
      <c r="U340" s="1">
        <f ca="1">IFERROR(__xludf.DUMMYFUNCTION("""COMPUTED_VALUE"""),433)</f>
        <v>433</v>
      </c>
      <c r="V340" s="1">
        <f ca="1">IFERROR(__xludf.DUMMYFUNCTION("""COMPUTED_VALUE"""),0.3)</f>
        <v>0.3</v>
      </c>
      <c r="W340" s="1">
        <f ca="1">IFERROR(__xludf.DUMMYFUNCTION("""COMPUTED_VALUE"""),441)</f>
        <v>441</v>
      </c>
      <c r="X340" s="1">
        <f ca="1">IFERROR(__xludf.DUMMYFUNCTION("""COMPUTED_VALUE"""),652)</f>
        <v>652</v>
      </c>
      <c r="Y340" s="1">
        <f ca="1">IFERROR(__xludf.DUMMYFUNCTION("""COMPUTED_VALUE"""),0.676)</f>
        <v>0.67600000000000005</v>
      </c>
      <c r="Z340" s="1">
        <f ca="1">IFERROR(__xludf.DUMMYFUNCTION("""COMPUTED_VALUE"""),322)</f>
        <v>322</v>
      </c>
      <c r="AA340" s="1">
        <f ca="1">IFERROR(__xludf.DUMMYFUNCTION("""COMPUTED_VALUE"""),1000)</f>
        <v>1000</v>
      </c>
      <c r="AB340" s="1">
        <f ca="1">IFERROR(__xludf.DUMMYFUNCTION("""COMPUTED_VALUE"""),411)</f>
        <v>411</v>
      </c>
      <c r="AC340" s="1">
        <f ca="1">IFERROR(__xludf.DUMMYFUNCTION("""COMPUTED_VALUE"""),171)</f>
        <v>171</v>
      </c>
      <c r="AD340" s="1">
        <f ca="1">IFERROR(__xludf.DUMMYFUNCTION("""COMPUTED_VALUE"""),102)</f>
        <v>102</v>
      </c>
      <c r="AE340" s="1">
        <f ca="1">IFERROR(__xludf.DUMMYFUNCTION("""COMPUTED_VALUE"""),417)</f>
        <v>417</v>
      </c>
      <c r="AF340" s="1">
        <f ca="1">IFERROR(__xludf.DUMMYFUNCTION("""COMPUTED_VALUE"""),544)</f>
        <v>544</v>
      </c>
    </row>
    <row r="341" spans="1:32" ht="12.5" x14ac:dyDescent="0.25">
      <c r="A341" s="1" t="str">
        <f ca="1">IFERROR(__xludf.DUMMYFUNCTION("""COMPUTED_VALUE"""),"Texas-San Antonio")</f>
        <v>Texas-San Antonio</v>
      </c>
      <c r="B341" s="1">
        <f ca="1">IFERROR(__xludf.DUMMYFUNCTION("""COMPUTED_VALUE"""),30)</f>
        <v>30</v>
      </c>
      <c r="C341" s="1">
        <f ca="1">IFERROR(__xludf.DUMMYFUNCTION("""COMPUTED_VALUE"""),14)</f>
        <v>14</v>
      </c>
      <c r="D341" s="1">
        <f ca="1">IFERROR(__xludf.DUMMYFUNCTION("""COMPUTED_VALUE"""),16)</f>
        <v>16</v>
      </c>
      <c r="E341" s="1">
        <f ca="1">IFERROR(__xludf.DUMMYFUNCTION("""COMPUTED_VALUE"""),0.467)</f>
        <v>0.46700000000000003</v>
      </c>
      <c r="F341" s="1">
        <f ca="1">IFERROR(__xludf.DUMMYFUNCTION("""COMPUTED_VALUE"""),-3.33)</f>
        <v>-3.33</v>
      </c>
      <c r="G341" s="1">
        <f ca="1">IFERROR(__xludf.DUMMYFUNCTION("""COMPUTED_VALUE"""),-2.61)</f>
        <v>-2.61</v>
      </c>
      <c r="H341" s="1">
        <f ca="1">IFERROR(__xludf.DUMMYFUNCTION("""COMPUTED_VALUE"""),8)</f>
        <v>8</v>
      </c>
      <c r="I341" s="1">
        <f ca="1">IFERROR(__xludf.DUMMYFUNCTION("""COMPUTED_VALUE"""),10)</f>
        <v>10</v>
      </c>
      <c r="J341" s="1">
        <f ca="1">IFERROR(__xludf.DUMMYFUNCTION("""COMPUTED_VALUE"""),7)</f>
        <v>7</v>
      </c>
      <c r="K341" s="1">
        <f ca="1">IFERROR(__xludf.DUMMYFUNCTION("""COMPUTED_VALUE"""),8)</f>
        <v>8</v>
      </c>
      <c r="L341" s="1">
        <f ca="1">IFERROR(__xludf.DUMMYFUNCTION("""COMPUTED_VALUE"""),7)</f>
        <v>7</v>
      </c>
      <c r="M341" s="1">
        <f ca="1">IFERROR(__xludf.DUMMYFUNCTION("""COMPUTED_VALUE"""),7)</f>
        <v>7</v>
      </c>
      <c r="N341" s="1">
        <f ca="1">IFERROR(__xludf.DUMMYFUNCTION("""COMPUTED_VALUE"""),2120)</f>
        <v>2120</v>
      </c>
      <c r="O341" s="1">
        <f ca="1">IFERROR(__xludf.DUMMYFUNCTION("""COMPUTED_VALUE"""),2111)</f>
        <v>2111</v>
      </c>
      <c r="P341" s="1">
        <f ca="1">IFERROR(__xludf.DUMMYFUNCTION("""COMPUTED_VALUE"""),1205)</f>
        <v>1205</v>
      </c>
      <c r="Q341" s="1">
        <f ca="1">IFERROR(__xludf.DUMMYFUNCTION("""COMPUTED_VALUE"""),717)</f>
        <v>717</v>
      </c>
      <c r="R341" s="1">
        <f ca="1">IFERROR(__xludf.DUMMYFUNCTION("""COMPUTED_VALUE"""),1701)</f>
        <v>1701</v>
      </c>
      <c r="S341" s="1">
        <f ca="1">IFERROR(__xludf.DUMMYFUNCTION("""COMPUTED_VALUE"""),0.422)</f>
        <v>0.42199999999999999</v>
      </c>
      <c r="T341" s="1">
        <f ca="1">IFERROR(__xludf.DUMMYFUNCTION("""COMPUTED_VALUE"""),191)</f>
        <v>191</v>
      </c>
      <c r="U341" s="1">
        <f ca="1">IFERROR(__xludf.DUMMYFUNCTION("""COMPUTED_VALUE"""),587)</f>
        <v>587</v>
      </c>
      <c r="V341" s="1">
        <f ca="1">IFERROR(__xludf.DUMMYFUNCTION("""COMPUTED_VALUE"""),0.325)</f>
        <v>0.32500000000000001</v>
      </c>
      <c r="W341" s="1">
        <f ca="1">IFERROR(__xludf.DUMMYFUNCTION("""COMPUTED_VALUE"""),495)</f>
        <v>495</v>
      </c>
      <c r="X341" s="1">
        <f ca="1">IFERROR(__xludf.DUMMYFUNCTION("""COMPUTED_VALUE"""),708)</f>
        <v>708</v>
      </c>
      <c r="Y341" s="1">
        <f ca="1">IFERROR(__xludf.DUMMYFUNCTION("""COMPUTED_VALUE"""),0.699)</f>
        <v>0.69899999999999995</v>
      </c>
      <c r="Z341" s="1">
        <f ca="1">IFERROR(__xludf.DUMMYFUNCTION("""COMPUTED_VALUE"""),387)</f>
        <v>387</v>
      </c>
      <c r="AA341" s="1">
        <f ca="1">IFERROR(__xludf.DUMMYFUNCTION("""COMPUTED_VALUE"""),1071)</f>
        <v>1071</v>
      </c>
      <c r="AB341" s="1">
        <f ca="1">IFERROR(__xludf.DUMMYFUNCTION("""COMPUTED_VALUE"""),370)</f>
        <v>370</v>
      </c>
      <c r="AC341" s="1">
        <f ca="1">IFERROR(__xludf.DUMMYFUNCTION("""COMPUTED_VALUE"""),213)</f>
        <v>213</v>
      </c>
      <c r="AD341" s="1">
        <f ca="1">IFERROR(__xludf.DUMMYFUNCTION("""COMPUTED_VALUE"""),69)</f>
        <v>69</v>
      </c>
      <c r="AE341" s="1">
        <f ca="1">IFERROR(__xludf.DUMMYFUNCTION("""COMPUTED_VALUE"""),370)</f>
        <v>370</v>
      </c>
      <c r="AF341" s="1">
        <f ca="1">IFERROR(__xludf.DUMMYFUNCTION("""COMPUTED_VALUE"""),501)</f>
        <v>501</v>
      </c>
    </row>
    <row r="342" spans="1:32" ht="12.5" x14ac:dyDescent="0.25">
      <c r="A342" s="1" t="str">
        <f ca="1">IFERROR(__xludf.DUMMYFUNCTION("""COMPUTED_VALUE"""),"Texas SouthernNCAA")</f>
        <v>Texas SouthernNCAA</v>
      </c>
      <c r="B342" s="1">
        <f ca="1">IFERROR(__xludf.DUMMYFUNCTION("""COMPUTED_VALUE"""),35)</f>
        <v>35</v>
      </c>
      <c r="C342" s="1">
        <f ca="1">IFERROR(__xludf.DUMMYFUNCTION("""COMPUTED_VALUE"""),22)</f>
        <v>22</v>
      </c>
      <c r="D342" s="1">
        <f ca="1">IFERROR(__xludf.DUMMYFUNCTION("""COMPUTED_VALUE"""),13)</f>
        <v>13</v>
      </c>
      <c r="E342" s="1">
        <f ca="1">IFERROR(__xludf.DUMMYFUNCTION("""COMPUTED_VALUE"""),0.629)</f>
        <v>0.629</v>
      </c>
      <c r="F342" s="1">
        <f ca="1">IFERROR(__xludf.DUMMYFUNCTION("""COMPUTED_VALUE"""),-5.98)</f>
        <v>-5.98</v>
      </c>
      <c r="G342" s="1">
        <f ca="1">IFERROR(__xludf.DUMMYFUNCTION("""COMPUTED_VALUE"""),-6.09)</f>
        <v>-6.09</v>
      </c>
      <c r="H342" s="1">
        <f ca="1">IFERROR(__xludf.DUMMYFUNCTION("""COMPUTED_VALUE"""),16)</f>
        <v>16</v>
      </c>
      <c r="I342" s="1">
        <f ca="1">IFERROR(__xludf.DUMMYFUNCTION("""COMPUTED_VALUE"""),2)</f>
        <v>2</v>
      </c>
      <c r="J342" s="1">
        <f ca="1">IFERROR(__xludf.DUMMYFUNCTION("""COMPUTED_VALUE"""),9)</f>
        <v>9</v>
      </c>
      <c r="K342" s="1">
        <f ca="1">IFERROR(__xludf.DUMMYFUNCTION("""COMPUTED_VALUE"""),1)</f>
        <v>1</v>
      </c>
      <c r="L342" s="1">
        <f ca="1">IFERROR(__xludf.DUMMYFUNCTION("""COMPUTED_VALUE"""),10)</f>
        <v>10</v>
      </c>
      <c r="M342" s="1">
        <f ca="1">IFERROR(__xludf.DUMMYFUNCTION("""COMPUTED_VALUE"""),11)</f>
        <v>11</v>
      </c>
      <c r="N342" s="1">
        <f ca="1">IFERROR(__xludf.DUMMYFUNCTION("""COMPUTED_VALUE"""),2390)</f>
        <v>2390</v>
      </c>
      <c r="O342" s="1">
        <f ca="1">IFERROR(__xludf.DUMMYFUNCTION("""COMPUTED_VALUE"""),2386)</f>
        <v>2386</v>
      </c>
      <c r="P342" s="1">
        <f ca="1">IFERROR(__xludf.DUMMYFUNCTION("""COMPUTED_VALUE"""),1430)</f>
        <v>1430</v>
      </c>
      <c r="Q342" s="1">
        <f ca="1">IFERROR(__xludf.DUMMYFUNCTION("""COMPUTED_VALUE"""),818)</f>
        <v>818</v>
      </c>
      <c r="R342" s="1">
        <f ca="1">IFERROR(__xludf.DUMMYFUNCTION("""COMPUTED_VALUE"""),1840)</f>
        <v>1840</v>
      </c>
      <c r="S342" s="1">
        <f ca="1">IFERROR(__xludf.DUMMYFUNCTION("""COMPUTED_VALUE"""),0.445)</f>
        <v>0.44500000000000001</v>
      </c>
      <c r="T342" s="1">
        <f ca="1">IFERROR(__xludf.DUMMYFUNCTION("""COMPUTED_VALUE"""),185)</f>
        <v>185</v>
      </c>
      <c r="U342" s="1">
        <f ca="1">IFERROR(__xludf.DUMMYFUNCTION("""COMPUTED_VALUE"""),574)</f>
        <v>574</v>
      </c>
      <c r="V342" s="1">
        <f ca="1">IFERROR(__xludf.DUMMYFUNCTION("""COMPUTED_VALUE"""),0.322)</f>
        <v>0.32200000000000001</v>
      </c>
      <c r="W342" s="1">
        <f ca="1">IFERROR(__xludf.DUMMYFUNCTION("""COMPUTED_VALUE"""),569)</f>
        <v>569</v>
      </c>
      <c r="X342" s="1">
        <f ca="1">IFERROR(__xludf.DUMMYFUNCTION("""COMPUTED_VALUE"""),861)</f>
        <v>861</v>
      </c>
      <c r="Y342" s="1">
        <f ca="1">IFERROR(__xludf.DUMMYFUNCTION("""COMPUTED_VALUE"""),0.661)</f>
        <v>0.66100000000000003</v>
      </c>
      <c r="Z342" s="1">
        <f ca="1">IFERROR(__xludf.DUMMYFUNCTION("""COMPUTED_VALUE"""),394)</f>
        <v>394</v>
      </c>
      <c r="AA342" s="1">
        <f ca="1">IFERROR(__xludf.DUMMYFUNCTION("""COMPUTED_VALUE"""),1193)</f>
        <v>1193</v>
      </c>
      <c r="AB342" s="1">
        <f ca="1">IFERROR(__xludf.DUMMYFUNCTION("""COMPUTED_VALUE"""),375)</f>
        <v>375</v>
      </c>
      <c r="AC342" s="1">
        <f ca="1">IFERROR(__xludf.DUMMYFUNCTION("""COMPUTED_VALUE"""),214)</f>
        <v>214</v>
      </c>
      <c r="AD342" s="1">
        <f ca="1">IFERROR(__xludf.DUMMYFUNCTION("""COMPUTED_VALUE"""),109)</f>
        <v>109</v>
      </c>
      <c r="AE342" s="1">
        <f ca="1">IFERROR(__xludf.DUMMYFUNCTION("""COMPUTED_VALUE"""),454)</f>
        <v>454</v>
      </c>
      <c r="AF342" s="1">
        <f ca="1">IFERROR(__xludf.DUMMYFUNCTION("""COMPUTED_VALUE"""),609)</f>
        <v>609</v>
      </c>
    </row>
    <row r="343" spans="1:32" ht="12.5" x14ac:dyDescent="0.25">
      <c r="A343" s="1" t="str">
        <f ca="1">IFERROR(__xludf.DUMMYFUNCTION("""COMPUTED_VALUE"""),"Texas State")</f>
        <v>Texas State</v>
      </c>
      <c r="B343" s="1">
        <f ca="1">IFERROR(__xludf.DUMMYFUNCTION("""COMPUTED_VALUE"""),31)</f>
        <v>31</v>
      </c>
      <c r="C343" s="1">
        <f ca="1">IFERROR(__xludf.DUMMYFUNCTION("""COMPUTED_VALUE"""),14)</f>
        <v>14</v>
      </c>
      <c r="D343" s="1">
        <f ca="1">IFERROR(__xludf.DUMMYFUNCTION("""COMPUTED_VALUE"""),17)</f>
        <v>17</v>
      </c>
      <c r="E343" s="1">
        <f ca="1">IFERROR(__xludf.DUMMYFUNCTION("""COMPUTED_VALUE"""),0.452)</f>
        <v>0.45200000000000001</v>
      </c>
      <c r="F343" s="1">
        <f ca="1">IFERROR(__xludf.DUMMYFUNCTION("""COMPUTED_VALUE"""),-5.25)</f>
        <v>-5.25</v>
      </c>
      <c r="G343" s="1">
        <f ca="1">IFERROR(__xludf.DUMMYFUNCTION("""COMPUTED_VALUE"""),-3.36)</f>
        <v>-3.36</v>
      </c>
      <c r="H343" s="1">
        <f ca="1">IFERROR(__xludf.DUMMYFUNCTION("""COMPUTED_VALUE"""),7)</f>
        <v>7</v>
      </c>
      <c r="I343" s="1">
        <f ca="1">IFERROR(__xludf.DUMMYFUNCTION("""COMPUTED_VALUE"""),13)</f>
        <v>13</v>
      </c>
      <c r="J343" s="1">
        <f ca="1">IFERROR(__xludf.DUMMYFUNCTION("""COMPUTED_VALUE"""),9)</f>
        <v>9</v>
      </c>
      <c r="K343" s="1">
        <f ca="1">IFERROR(__xludf.DUMMYFUNCTION("""COMPUTED_VALUE"""),6)</f>
        <v>6</v>
      </c>
      <c r="L343" s="1">
        <f ca="1">IFERROR(__xludf.DUMMYFUNCTION("""COMPUTED_VALUE"""),4)</f>
        <v>4</v>
      </c>
      <c r="M343" s="1">
        <f ca="1">IFERROR(__xludf.DUMMYFUNCTION("""COMPUTED_VALUE"""),10)</f>
        <v>10</v>
      </c>
      <c r="N343" s="1">
        <f ca="1">IFERROR(__xludf.DUMMYFUNCTION("""COMPUTED_VALUE"""),1905)</f>
        <v>1905</v>
      </c>
      <c r="O343" s="1">
        <f ca="1">IFERROR(__xludf.DUMMYFUNCTION("""COMPUTED_VALUE"""),1854)</f>
        <v>1854</v>
      </c>
      <c r="P343" s="1">
        <f ca="1">IFERROR(__xludf.DUMMYFUNCTION("""COMPUTED_VALUE"""),1265)</f>
        <v>1265</v>
      </c>
      <c r="Q343" s="1">
        <f ca="1">IFERROR(__xludf.DUMMYFUNCTION("""COMPUTED_VALUE"""),664)</f>
        <v>664</v>
      </c>
      <c r="R343" s="1">
        <f ca="1">IFERROR(__xludf.DUMMYFUNCTION("""COMPUTED_VALUE"""),1645)</f>
        <v>1645</v>
      </c>
      <c r="S343" s="1">
        <f ca="1">IFERROR(__xludf.DUMMYFUNCTION("""COMPUTED_VALUE"""),0.404)</f>
        <v>0.40400000000000003</v>
      </c>
      <c r="T343" s="1">
        <f ca="1">IFERROR(__xludf.DUMMYFUNCTION("""COMPUTED_VALUE"""),159)</f>
        <v>159</v>
      </c>
      <c r="U343" s="1">
        <f ca="1">IFERROR(__xludf.DUMMYFUNCTION("""COMPUTED_VALUE"""),506)</f>
        <v>506</v>
      </c>
      <c r="V343" s="1">
        <f ca="1">IFERROR(__xludf.DUMMYFUNCTION("""COMPUTED_VALUE"""),0.314)</f>
        <v>0.314</v>
      </c>
      <c r="W343" s="1">
        <f ca="1">IFERROR(__xludf.DUMMYFUNCTION("""COMPUTED_VALUE"""),418)</f>
        <v>418</v>
      </c>
      <c r="X343" s="1">
        <f ca="1">IFERROR(__xludf.DUMMYFUNCTION("""COMPUTED_VALUE"""),606)</f>
        <v>606</v>
      </c>
      <c r="Y343" s="1">
        <f ca="1">IFERROR(__xludf.DUMMYFUNCTION("""COMPUTED_VALUE"""),0.69)</f>
        <v>0.69</v>
      </c>
      <c r="Z343" s="1">
        <f ca="1">IFERROR(__xludf.DUMMYFUNCTION("""COMPUTED_VALUE"""),315)</f>
        <v>315</v>
      </c>
      <c r="AA343" s="1">
        <f ca="1">IFERROR(__xludf.DUMMYFUNCTION("""COMPUTED_VALUE"""),1003)</f>
        <v>1003</v>
      </c>
      <c r="AB343" s="1">
        <f ca="1">IFERROR(__xludf.DUMMYFUNCTION("""COMPUTED_VALUE"""),345)</f>
        <v>345</v>
      </c>
      <c r="AC343" s="1">
        <f ca="1">IFERROR(__xludf.DUMMYFUNCTION("""COMPUTED_VALUE"""),224)</f>
        <v>224</v>
      </c>
      <c r="AD343" s="1">
        <f ca="1">IFERROR(__xludf.DUMMYFUNCTION("""COMPUTED_VALUE"""),77)</f>
        <v>77</v>
      </c>
      <c r="AE343" s="1">
        <f ca="1">IFERROR(__xludf.DUMMYFUNCTION("""COMPUTED_VALUE"""),395)</f>
        <v>395</v>
      </c>
      <c r="AF343" s="1">
        <f ca="1">IFERROR(__xludf.DUMMYFUNCTION("""COMPUTED_VALUE"""),546)</f>
        <v>546</v>
      </c>
    </row>
    <row r="344" spans="1:32" ht="12.5" x14ac:dyDescent="0.25">
      <c r="A344" s="1" t="str">
        <f ca="1">IFERROR(__xludf.DUMMYFUNCTION("""COMPUTED_VALUE"""),"Texas Tech")</f>
        <v>Texas Tech</v>
      </c>
      <c r="B344" s="1">
        <f ca="1">IFERROR(__xludf.DUMMYFUNCTION("""COMPUTED_VALUE"""),32)</f>
        <v>32</v>
      </c>
      <c r="C344" s="1">
        <f ca="1">IFERROR(__xludf.DUMMYFUNCTION("""COMPUTED_VALUE"""),13)</f>
        <v>13</v>
      </c>
      <c r="D344" s="1">
        <f ca="1">IFERROR(__xludf.DUMMYFUNCTION("""COMPUTED_VALUE"""),19)</f>
        <v>19</v>
      </c>
      <c r="E344" s="1">
        <f ca="1">IFERROR(__xludf.DUMMYFUNCTION("""COMPUTED_VALUE"""),0.406)</f>
        <v>0.40600000000000003</v>
      </c>
      <c r="F344" s="1">
        <f ca="1">IFERROR(__xludf.DUMMYFUNCTION("""COMPUTED_VALUE"""),3.77)</f>
        <v>3.77</v>
      </c>
      <c r="G344" s="1">
        <f ca="1">IFERROR(__xludf.DUMMYFUNCTION("""COMPUTED_VALUE"""),7.2)</f>
        <v>7.2</v>
      </c>
      <c r="H344" s="1">
        <f ca="1">IFERROR(__xludf.DUMMYFUNCTION("""COMPUTED_VALUE"""),3)</f>
        <v>3</v>
      </c>
      <c r="I344" s="1">
        <f ca="1">IFERROR(__xludf.DUMMYFUNCTION("""COMPUTED_VALUE"""),15)</f>
        <v>15</v>
      </c>
      <c r="J344" s="1">
        <f ca="1">IFERROR(__xludf.DUMMYFUNCTION("""COMPUTED_VALUE"""),13)</f>
        <v>13</v>
      </c>
      <c r="K344" s="1">
        <f ca="1">IFERROR(__xludf.DUMMYFUNCTION("""COMPUTED_VALUE"""),6)</f>
        <v>6</v>
      </c>
      <c r="L344" s="1">
        <f ca="1">IFERROR(__xludf.DUMMYFUNCTION("""COMPUTED_VALUE"""),0)</f>
        <v>0</v>
      </c>
      <c r="M344" s="1">
        <f ca="1">IFERROR(__xludf.DUMMYFUNCTION("""COMPUTED_VALUE"""),10)</f>
        <v>10</v>
      </c>
      <c r="N344" s="1">
        <f ca="1">IFERROR(__xludf.DUMMYFUNCTION("""COMPUTED_VALUE"""),1949)</f>
        <v>1949</v>
      </c>
      <c r="O344" s="1">
        <f ca="1">IFERROR(__xludf.DUMMYFUNCTION("""COMPUTED_VALUE"""),2059)</f>
        <v>2059</v>
      </c>
      <c r="P344" s="1">
        <f ca="1">IFERROR(__xludf.DUMMYFUNCTION("""COMPUTED_VALUE"""),1290)</f>
        <v>1290</v>
      </c>
      <c r="Q344" s="1">
        <f ca="1">IFERROR(__xludf.DUMMYFUNCTION("""COMPUTED_VALUE"""),652)</f>
        <v>652</v>
      </c>
      <c r="R344" s="1">
        <f ca="1">IFERROR(__xludf.DUMMYFUNCTION("""COMPUTED_VALUE"""),1610)</f>
        <v>1610</v>
      </c>
      <c r="S344" s="1">
        <f ca="1">IFERROR(__xludf.DUMMYFUNCTION("""COMPUTED_VALUE"""),0.405)</f>
        <v>0.40500000000000003</v>
      </c>
      <c r="T344" s="1">
        <f ca="1">IFERROR(__xludf.DUMMYFUNCTION("""COMPUTED_VALUE"""),169)</f>
        <v>169</v>
      </c>
      <c r="U344" s="1">
        <f ca="1">IFERROR(__xludf.DUMMYFUNCTION("""COMPUTED_VALUE"""),524)</f>
        <v>524</v>
      </c>
      <c r="V344" s="1">
        <f ca="1">IFERROR(__xludf.DUMMYFUNCTION("""COMPUTED_VALUE"""),0.323)</f>
        <v>0.32300000000000001</v>
      </c>
      <c r="W344" s="1">
        <f ca="1">IFERROR(__xludf.DUMMYFUNCTION("""COMPUTED_VALUE"""),476)</f>
        <v>476</v>
      </c>
      <c r="X344" s="1">
        <f ca="1">IFERROR(__xludf.DUMMYFUNCTION("""COMPUTED_VALUE"""),742)</f>
        <v>742</v>
      </c>
      <c r="Y344" s="1">
        <f ca="1">IFERROR(__xludf.DUMMYFUNCTION("""COMPUTED_VALUE"""),0.642)</f>
        <v>0.64200000000000002</v>
      </c>
      <c r="Z344" s="1">
        <f ca="1">IFERROR(__xludf.DUMMYFUNCTION("""COMPUTED_VALUE"""),374)</f>
        <v>374</v>
      </c>
      <c r="AA344" s="1">
        <f ca="1">IFERROR(__xludf.DUMMYFUNCTION("""COMPUTED_VALUE"""),1072)</f>
        <v>1072</v>
      </c>
      <c r="AB344" s="1">
        <f ca="1">IFERROR(__xludf.DUMMYFUNCTION("""COMPUTED_VALUE"""),356)</f>
        <v>356</v>
      </c>
      <c r="AC344" s="1">
        <f ca="1">IFERROR(__xludf.DUMMYFUNCTION("""COMPUTED_VALUE"""),187)</f>
        <v>187</v>
      </c>
      <c r="AD344" s="1">
        <f ca="1">IFERROR(__xludf.DUMMYFUNCTION("""COMPUTED_VALUE"""),131)</f>
        <v>131</v>
      </c>
      <c r="AE344" s="1">
        <f ca="1">IFERROR(__xludf.DUMMYFUNCTION("""COMPUTED_VALUE"""),442)</f>
        <v>442</v>
      </c>
      <c r="AF344" s="1">
        <f ca="1">IFERROR(__xludf.DUMMYFUNCTION("""COMPUTED_VALUE"""),558)</f>
        <v>558</v>
      </c>
    </row>
    <row r="345" spans="1:32" ht="12.5" x14ac:dyDescent="0.25">
      <c r="A345" s="1" t="str">
        <f ca="1">IFERROR(__xludf.DUMMYFUNCTION("""COMPUTED_VALUE"""),"TexasNCAA")</f>
        <v>TexasNCAA</v>
      </c>
      <c r="B345" s="1">
        <f ca="1">IFERROR(__xludf.DUMMYFUNCTION("""COMPUTED_VALUE"""),34)</f>
        <v>34</v>
      </c>
      <c r="C345" s="1">
        <f ca="1">IFERROR(__xludf.DUMMYFUNCTION("""COMPUTED_VALUE"""),20)</f>
        <v>20</v>
      </c>
      <c r="D345" s="1">
        <f ca="1">IFERROR(__xludf.DUMMYFUNCTION("""COMPUTED_VALUE"""),14)</f>
        <v>14</v>
      </c>
      <c r="E345" s="1">
        <f ca="1">IFERROR(__xludf.DUMMYFUNCTION("""COMPUTED_VALUE"""),0.588)</f>
        <v>0.58799999999999997</v>
      </c>
      <c r="F345" s="1">
        <f ca="1">IFERROR(__xludf.DUMMYFUNCTION("""COMPUTED_VALUE"""),16.16)</f>
        <v>16.16</v>
      </c>
      <c r="G345" s="1">
        <f ca="1">IFERROR(__xludf.DUMMYFUNCTION("""COMPUTED_VALUE"""),9.07)</f>
        <v>9.07</v>
      </c>
      <c r="H345" s="1">
        <f ca="1">IFERROR(__xludf.DUMMYFUNCTION("""COMPUTED_VALUE"""),8)</f>
        <v>8</v>
      </c>
      <c r="I345" s="1">
        <f ca="1">IFERROR(__xludf.DUMMYFUNCTION("""COMPUTED_VALUE"""),10)</f>
        <v>10</v>
      </c>
      <c r="J345" s="1">
        <f ca="1">IFERROR(__xludf.DUMMYFUNCTION("""COMPUTED_VALUE"""),13)</f>
        <v>13</v>
      </c>
      <c r="K345" s="1">
        <f ca="1">IFERROR(__xludf.DUMMYFUNCTION("""COMPUTED_VALUE"""),5)</f>
        <v>5</v>
      </c>
      <c r="L345" s="1">
        <f ca="1">IFERROR(__xludf.DUMMYFUNCTION("""COMPUTED_VALUE"""),4)</f>
        <v>4</v>
      </c>
      <c r="M345" s="1">
        <f ca="1">IFERROR(__xludf.DUMMYFUNCTION("""COMPUTED_VALUE"""),7)</f>
        <v>7</v>
      </c>
      <c r="N345" s="1">
        <f ca="1">IFERROR(__xludf.DUMMYFUNCTION("""COMPUTED_VALUE"""),2290)</f>
        <v>2290</v>
      </c>
      <c r="O345" s="1">
        <f ca="1">IFERROR(__xludf.DUMMYFUNCTION("""COMPUTED_VALUE"""),2049)</f>
        <v>2049</v>
      </c>
      <c r="P345" s="1">
        <f ca="1">IFERROR(__xludf.DUMMYFUNCTION("""COMPUTED_VALUE"""),1375)</f>
        <v>1375</v>
      </c>
      <c r="Q345" s="1">
        <f ca="1">IFERROR(__xludf.DUMMYFUNCTION("""COMPUTED_VALUE"""),796)</f>
        <v>796</v>
      </c>
      <c r="R345" s="1">
        <f ca="1">IFERROR(__xludf.DUMMYFUNCTION("""COMPUTED_VALUE"""),1837)</f>
        <v>1837</v>
      </c>
      <c r="S345" s="1">
        <f ca="1">IFERROR(__xludf.DUMMYFUNCTION("""COMPUTED_VALUE"""),0.433)</f>
        <v>0.433</v>
      </c>
      <c r="T345" s="1">
        <f ca="1">IFERROR(__xludf.DUMMYFUNCTION("""COMPUTED_VALUE"""),212)</f>
        <v>212</v>
      </c>
      <c r="U345" s="1">
        <f ca="1">IFERROR(__xludf.DUMMYFUNCTION("""COMPUTED_VALUE"""),626)</f>
        <v>626</v>
      </c>
      <c r="V345" s="1">
        <f ca="1">IFERROR(__xludf.DUMMYFUNCTION("""COMPUTED_VALUE"""),0.339)</f>
        <v>0.33900000000000002</v>
      </c>
      <c r="W345" s="1">
        <f ca="1">IFERROR(__xludf.DUMMYFUNCTION("""COMPUTED_VALUE"""),486)</f>
        <v>486</v>
      </c>
      <c r="X345" s="1">
        <f ca="1">IFERROR(__xludf.DUMMYFUNCTION("""COMPUTED_VALUE"""),671)</f>
        <v>671</v>
      </c>
      <c r="Y345" s="1">
        <f ca="1">IFERROR(__xludf.DUMMYFUNCTION("""COMPUTED_VALUE"""),0.724)</f>
        <v>0.72399999999999998</v>
      </c>
      <c r="Z345" s="1">
        <f ca="1">IFERROR(__xludf.DUMMYFUNCTION("""COMPUTED_VALUE"""),422)</f>
        <v>422</v>
      </c>
      <c r="AA345" s="1">
        <f ca="1">IFERROR(__xludf.DUMMYFUNCTION("""COMPUTED_VALUE"""),1351)</f>
        <v>1351</v>
      </c>
      <c r="AB345" s="1">
        <f ca="1">IFERROR(__xludf.DUMMYFUNCTION("""COMPUTED_VALUE"""),442)</f>
        <v>442</v>
      </c>
      <c r="AC345" s="1">
        <f ca="1">IFERROR(__xludf.DUMMYFUNCTION("""COMPUTED_VALUE"""),128)</f>
        <v>128</v>
      </c>
      <c r="AD345" s="1">
        <f ca="1">IFERROR(__xludf.DUMMYFUNCTION("""COMPUTED_VALUE"""),265)</f>
        <v>265</v>
      </c>
      <c r="AE345" s="1">
        <f ca="1">IFERROR(__xludf.DUMMYFUNCTION("""COMPUTED_VALUE"""),435)</f>
        <v>435</v>
      </c>
      <c r="AF345" s="1">
        <f ca="1">IFERROR(__xludf.DUMMYFUNCTION("""COMPUTED_VALUE"""),555)</f>
        <v>555</v>
      </c>
    </row>
    <row r="346" spans="1:32" ht="12.5" x14ac:dyDescent="0.25">
      <c r="A346" s="1" t="str">
        <f ca="1">IFERROR(__xludf.DUMMYFUNCTION("""COMPUTED_VALUE"""),"Toledo")</f>
        <v>Toledo</v>
      </c>
      <c r="B346" s="1">
        <f ca="1">IFERROR(__xludf.DUMMYFUNCTION("""COMPUTED_VALUE"""),33)</f>
        <v>33</v>
      </c>
      <c r="C346" s="1">
        <f ca="1">IFERROR(__xludf.DUMMYFUNCTION("""COMPUTED_VALUE"""),20)</f>
        <v>20</v>
      </c>
      <c r="D346" s="1">
        <f ca="1">IFERROR(__xludf.DUMMYFUNCTION("""COMPUTED_VALUE"""),13)</f>
        <v>13</v>
      </c>
      <c r="E346" s="1">
        <f ca="1">IFERROR(__xludf.DUMMYFUNCTION("""COMPUTED_VALUE"""),0.606)</f>
        <v>0.60599999999999998</v>
      </c>
      <c r="F346" s="1">
        <f ca="1">IFERROR(__xludf.DUMMYFUNCTION("""COMPUTED_VALUE"""),4.86)</f>
        <v>4.8600000000000003</v>
      </c>
      <c r="G346" s="1">
        <f ca="1">IFERROR(__xludf.DUMMYFUNCTION("""COMPUTED_VALUE"""),0.62)</f>
        <v>0.62</v>
      </c>
      <c r="H346" s="1">
        <f ca="1">IFERROR(__xludf.DUMMYFUNCTION("""COMPUTED_VALUE"""),11)</f>
        <v>11</v>
      </c>
      <c r="I346" s="1">
        <f ca="1">IFERROR(__xludf.DUMMYFUNCTION("""COMPUTED_VALUE"""),7)</f>
        <v>7</v>
      </c>
      <c r="J346" s="1">
        <f ca="1">IFERROR(__xludf.DUMMYFUNCTION("""COMPUTED_VALUE"""),10)</f>
        <v>10</v>
      </c>
      <c r="K346" s="1">
        <f ca="1">IFERROR(__xludf.DUMMYFUNCTION("""COMPUTED_VALUE"""),4)</f>
        <v>4</v>
      </c>
      <c r="L346" s="1">
        <f ca="1">IFERROR(__xludf.DUMMYFUNCTION("""COMPUTED_VALUE"""),9)</f>
        <v>9</v>
      </c>
      <c r="M346" s="1">
        <f ca="1">IFERROR(__xludf.DUMMYFUNCTION("""COMPUTED_VALUE"""),7)</f>
        <v>7</v>
      </c>
      <c r="N346" s="1">
        <f ca="1">IFERROR(__xludf.DUMMYFUNCTION("""COMPUTED_VALUE"""),2483)</f>
        <v>2483</v>
      </c>
      <c r="O346" s="1">
        <f ca="1">IFERROR(__xludf.DUMMYFUNCTION("""COMPUTED_VALUE"""),2343)</f>
        <v>2343</v>
      </c>
      <c r="P346" s="1">
        <f ca="1">IFERROR(__xludf.DUMMYFUNCTION("""COMPUTED_VALUE"""),1330)</f>
        <v>1330</v>
      </c>
      <c r="Q346" s="1">
        <f ca="1">IFERROR(__xludf.DUMMYFUNCTION("""COMPUTED_VALUE"""),863)</f>
        <v>863</v>
      </c>
      <c r="R346" s="1">
        <f ca="1">IFERROR(__xludf.DUMMYFUNCTION("""COMPUTED_VALUE"""),1837)</f>
        <v>1837</v>
      </c>
      <c r="S346" s="1">
        <f ca="1">IFERROR(__xludf.DUMMYFUNCTION("""COMPUTED_VALUE"""),0.47)</f>
        <v>0.47</v>
      </c>
      <c r="T346" s="1">
        <f ca="1">IFERROR(__xludf.DUMMYFUNCTION("""COMPUTED_VALUE"""),195)</f>
        <v>195</v>
      </c>
      <c r="U346" s="1">
        <f ca="1">IFERROR(__xludf.DUMMYFUNCTION("""COMPUTED_VALUE"""),533)</f>
        <v>533</v>
      </c>
      <c r="V346" s="1">
        <f ca="1">IFERROR(__xludf.DUMMYFUNCTION("""COMPUTED_VALUE"""),0.366)</f>
        <v>0.36599999999999999</v>
      </c>
      <c r="W346" s="1">
        <f ca="1">IFERROR(__xludf.DUMMYFUNCTION("""COMPUTED_VALUE"""),562)</f>
        <v>562</v>
      </c>
      <c r="X346" s="1">
        <f ca="1">IFERROR(__xludf.DUMMYFUNCTION("""COMPUTED_VALUE"""),757)</f>
        <v>757</v>
      </c>
      <c r="Y346" s="1">
        <f ca="1">IFERROR(__xludf.DUMMYFUNCTION("""COMPUTED_VALUE"""),0.742)</f>
        <v>0.74199999999999999</v>
      </c>
      <c r="Z346" s="1">
        <f ca="1">IFERROR(__xludf.DUMMYFUNCTION("""COMPUTED_VALUE"""),360)</f>
        <v>360</v>
      </c>
      <c r="AA346" s="1">
        <f ca="1">IFERROR(__xludf.DUMMYFUNCTION("""COMPUTED_VALUE"""),1204)</f>
        <v>1204</v>
      </c>
      <c r="AB346" s="1">
        <f ca="1">IFERROR(__xludf.DUMMYFUNCTION("""COMPUTED_VALUE"""),432)</f>
        <v>432</v>
      </c>
      <c r="AC346" s="1">
        <f ca="1">IFERROR(__xludf.DUMMYFUNCTION("""COMPUTED_VALUE"""),170)</f>
        <v>170</v>
      </c>
      <c r="AD346" s="1">
        <f ca="1">IFERROR(__xludf.DUMMYFUNCTION("""COMPUTED_VALUE"""),108)</f>
        <v>108</v>
      </c>
      <c r="AE346" s="1">
        <f ca="1">IFERROR(__xludf.DUMMYFUNCTION("""COMPUTED_VALUE"""),405)</f>
        <v>405</v>
      </c>
      <c r="AF346" s="1">
        <f ca="1">IFERROR(__xludf.DUMMYFUNCTION("""COMPUTED_VALUE"""),563)</f>
        <v>563</v>
      </c>
    </row>
    <row r="347" spans="1:32" ht="12.5" x14ac:dyDescent="0.25">
      <c r="A347" s="1" t="str">
        <f ca="1">IFERROR(__xludf.DUMMYFUNCTION("""COMPUTED_VALUE"""),"Towson")</f>
        <v>Towson</v>
      </c>
      <c r="B347" s="1">
        <f ca="1">IFERROR(__xludf.DUMMYFUNCTION("""COMPUTED_VALUE"""),32)</f>
        <v>32</v>
      </c>
      <c r="C347" s="1">
        <f ca="1">IFERROR(__xludf.DUMMYFUNCTION("""COMPUTED_VALUE"""),12)</f>
        <v>12</v>
      </c>
      <c r="D347" s="1">
        <f ca="1">IFERROR(__xludf.DUMMYFUNCTION("""COMPUTED_VALUE"""),20)</f>
        <v>20</v>
      </c>
      <c r="E347" s="1">
        <f ca="1">IFERROR(__xludf.DUMMYFUNCTION("""COMPUTED_VALUE"""),0.375)</f>
        <v>0.375</v>
      </c>
      <c r="F347" s="1">
        <f ca="1">IFERROR(__xludf.DUMMYFUNCTION("""COMPUTED_VALUE"""),-7.02)</f>
        <v>-7.02</v>
      </c>
      <c r="G347" s="1">
        <f ca="1">IFERROR(__xludf.DUMMYFUNCTION("""COMPUTED_VALUE"""),-3.8)</f>
        <v>-3.8</v>
      </c>
      <c r="H347" s="1">
        <f ca="1">IFERROR(__xludf.DUMMYFUNCTION("""COMPUTED_VALUE"""),5)</f>
        <v>5</v>
      </c>
      <c r="I347" s="1">
        <f ca="1">IFERROR(__xludf.DUMMYFUNCTION("""COMPUTED_VALUE"""),13)</f>
        <v>13</v>
      </c>
      <c r="J347" s="1">
        <f ca="1">IFERROR(__xludf.DUMMYFUNCTION("""COMPUTED_VALUE"""),4)</f>
        <v>4</v>
      </c>
      <c r="K347" s="1">
        <f ca="1">IFERROR(__xludf.DUMMYFUNCTION("""COMPUTED_VALUE"""),9)</f>
        <v>9</v>
      </c>
      <c r="L347" s="1">
        <f ca="1">IFERROR(__xludf.DUMMYFUNCTION("""COMPUTED_VALUE"""),6)</f>
        <v>6</v>
      </c>
      <c r="M347" s="1">
        <f ca="1">IFERROR(__xludf.DUMMYFUNCTION("""COMPUTED_VALUE"""),10)</f>
        <v>10</v>
      </c>
      <c r="N347" s="1">
        <f ca="1">IFERROR(__xludf.DUMMYFUNCTION("""COMPUTED_VALUE"""),2034)</f>
        <v>2034</v>
      </c>
      <c r="O347" s="1">
        <f ca="1">IFERROR(__xludf.DUMMYFUNCTION("""COMPUTED_VALUE"""),2080)</f>
        <v>2080</v>
      </c>
      <c r="P347" s="1">
        <f ca="1">IFERROR(__xludf.DUMMYFUNCTION("""COMPUTED_VALUE"""),1300)</f>
        <v>1300</v>
      </c>
      <c r="Q347" s="1">
        <f ca="1">IFERROR(__xludf.DUMMYFUNCTION("""COMPUTED_VALUE"""),689)</f>
        <v>689</v>
      </c>
      <c r="R347" s="1">
        <f ca="1">IFERROR(__xludf.DUMMYFUNCTION("""COMPUTED_VALUE"""),1678)</f>
        <v>1678</v>
      </c>
      <c r="S347" s="1">
        <f ca="1">IFERROR(__xludf.DUMMYFUNCTION("""COMPUTED_VALUE"""),0.411)</f>
        <v>0.41099999999999998</v>
      </c>
      <c r="T347" s="1">
        <f ca="1">IFERROR(__xludf.DUMMYFUNCTION("""COMPUTED_VALUE"""),134)</f>
        <v>134</v>
      </c>
      <c r="U347" s="1">
        <f ca="1">IFERROR(__xludf.DUMMYFUNCTION("""COMPUTED_VALUE"""),429)</f>
        <v>429</v>
      </c>
      <c r="V347" s="1">
        <f ca="1">IFERROR(__xludf.DUMMYFUNCTION("""COMPUTED_VALUE"""),0.312)</f>
        <v>0.312</v>
      </c>
      <c r="W347" s="1">
        <f ca="1">IFERROR(__xludf.DUMMYFUNCTION("""COMPUTED_VALUE"""),522)</f>
        <v>522</v>
      </c>
      <c r="X347" s="1">
        <f ca="1">IFERROR(__xludf.DUMMYFUNCTION("""COMPUTED_VALUE"""),787)</f>
        <v>787</v>
      </c>
      <c r="Y347" s="1">
        <f ca="1">IFERROR(__xludf.DUMMYFUNCTION("""COMPUTED_VALUE"""),0.663)</f>
        <v>0.66300000000000003</v>
      </c>
      <c r="Z347" s="1">
        <f ca="1">IFERROR(__xludf.DUMMYFUNCTION("""COMPUTED_VALUE"""),468)</f>
        <v>468</v>
      </c>
      <c r="AA347" s="1">
        <f ca="1">IFERROR(__xludf.DUMMYFUNCTION("""COMPUTED_VALUE"""),1256)</f>
        <v>1256</v>
      </c>
      <c r="AB347" s="1">
        <f ca="1">IFERROR(__xludf.DUMMYFUNCTION("""COMPUTED_VALUE"""),290)</f>
        <v>290</v>
      </c>
      <c r="AC347" s="1">
        <f ca="1">IFERROR(__xludf.DUMMYFUNCTION("""COMPUTED_VALUE"""),113)</f>
        <v>113</v>
      </c>
      <c r="AD347" s="1">
        <f ca="1">IFERROR(__xludf.DUMMYFUNCTION("""COMPUTED_VALUE"""),127)</f>
        <v>127</v>
      </c>
      <c r="AE347" s="1">
        <f ca="1">IFERROR(__xludf.DUMMYFUNCTION("""COMPUTED_VALUE"""),423)</f>
        <v>423</v>
      </c>
      <c r="AF347" s="1">
        <f ca="1">IFERROR(__xludf.DUMMYFUNCTION("""COMPUTED_VALUE"""),672)</f>
        <v>672</v>
      </c>
    </row>
    <row r="348" spans="1:32" ht="12.5" x14ac:dyDescent="0.25">
      <c r="A348" s="1" t="str">
        <f ca="1">IFERROR(__xludf.DUMMYFUNCTION("""COMPUTED_VALUE"""),"Troy")</f>
        <v>Troy</v>
      </c>
      <c r="B348" s="1">
        <f ca="1">IFERROR(__xludf.DUMMYFUNCTION("""COMPUTED_VALUE"""),29)</f>
        <v>29</v>
      </c>
      <c r="C348" s="1">
        <f ca="1">IFERROR(__xludf.DUMMYFUNCTION("""COMPUTED_VALUE"""),10)</f>
        <v>10</v>
      </c>
      <c r="D348" s="1">
        <f ca="1">IFERROR(__xludf.DUMMYFUNCTION("""COMPUTED_VALUE"""),19)</f>
        <v>19</v>
      </c>
      <c r="E348" s="1">
        <f ca="1">IFERROR(__xludf.DUMMYFUNCTION("""COMPUTED_VALUE"""),0.345)</f>
        <v>0.34499999999999997</v>
      </c>
      <c r="F348" s="1">
        <f ca="1">IFERROR(__xludf.DUMMYFUNCTION("""COMPUTED_VALUE"""),-8.72)</f>
        <v>-8.7200000000000006</v>
      </c>
      <c r="G348" s="1">
        <f ca="1">IFERROR(__xludf.DUMMYFUNCTION("""COMPUTED_VALUE"""),-5.09)</f>
        <v>-5.09</v>
      </c>
      <c r="H348" s="1">
        <f ca="1">IFERROR(__xludf.DUMMYFUNCTION("""COMPUTED_VALUE"""),5)</f>
        <v>5</v>
      </c>
      <c r="I348" s="1">
        <f ca="1">IFERROR(__xludf.DUMMYFUNCTION("""COMPUTED_VALUE"""),15)</f>
        <v>15</v>
      </c>
      <c r="J348" s="1">
        <f ca="1">IFERROR(__xludf.DUMMYFUNCTION("""COMPUTED_VALUE"""),5)</f>
        <v>5</v>
      </c>
      <c r="K348" s="1">
        <f ca="1">IFERROR(__xludf.DUMMYFUNCTION("""COMPUTED_VALUE"""),9)</f>
        <v>9</v>
      </c>
      <c r="L348" s="1">
        <f ca="1">IFERROR(__xludf.DUMMYFUNCTION("""COMPUTED_VALUE"""),4)</f>
        <v>4</v>
      </c>
      <c r="M348" s="1">
        <f ca="1">IFERROR(__xludf.DUMMYFUNCTION("""COMPUTED_VALUE"""),10)</f>
        <v>10</v>
      </c>
      <c r="N348" s="1">
        <f ca="1">IFERROR(__xludf.DUMMYFUNCTION("""COMPUTED_VALUE"""),1946)</f>
        <v>1946</v>
      </c>
      <c r="O348" s="1">
        <f ca="1">IFERROR(__xludf.DUMMYFUNCTION("""COMPUTED_VALUE"""),2013)</f>
        <v>2013</v>
      </c>
      <c r="P348" s="1">
        <f ca="1">IFERROR(__xludf.DUMMYFUNCTION("""COMPUTED_VALUE"""),1170)</f>
        <v>1170</v>
      </c>
      <c r="Q348" s="1">
        <f ca="1">IFERROR(__xludf.DUMMYFUNCTION("""COMPUTED_VALUE"""),674)</f>
        <v>674</v>
      </c>
      <c r="R348" s="1">
        <f ca="1">IFERROR(__xludf.DUMMYFUNCTION("""COMPUTED_VALUE"""),1566)</f>
        <v>1566</v>
      </c>
      <c r="S348" s="1">
        <f ca="1">IFERROR(__xludf.DUMMYFUNCTION("""COMPUTED_VALUE"""),0.43)</f>
        <v>0.43</v>
      </c>
      <c r="T348" s="1">
        <f ca="1">IFERROR(__xludf.DUMMYFUNCTION("""COMPUTED_VALUE"""),192)</f>
        <v>192</v>
      </c>
      <c r="U348" s="1">
        <f ca="1">IFERROR(__xludf.DUMMYFUNCTION("""COMPUTED_VALUE"""),577)</f>
        <v>577</v>
      </c>
      <c r="V348" s="1">
        <f ca="1">IFERROR(__xludf.DUMMYFUNCTION("""COMPUTED_VALUE"""),0.333)</f>
        <v>0.33300000000000002</v>
      </c>
      <c r="W348" s="1">
        <f ca="1">IFERROR(__xludf.DUMMYFUNCTION("""COMPUTED_VALUE"""),406)</f>
        <v>406</v>
      </c>
      <c r="X348" s="1">
        <f ca="1">IFERROR(__xludf.DUMMYFUNCTION("""COMPUTED_VALUE"""),612)</f>
        <v>612</v>
      </c>
      <c r="Y348" s="1">
        <f ca="1">IFERROR(__xludf.DUMMYFUNCTION("""COMPUTED_VALUE"""),0.663)</f>
        <v>0.66300000000000003</v>
      </c>
      <c r="Z348" s="1">
        <f ca="1">IFERROR(__xludf.DUMMYFUNCTION("""COMPUTED_VALUE"""),316)</f>
        <v>316</v>
      </c>
      <c r="AA348" s="1">
        <f ca="1">IFERROR(__xludf.DUMMYFUNCTION("""COMPUTED_VALUE"""),986)</f>
        <v>986</v>
      </c>
      <c r="AB348" s="1">
        <f ca="1">IFERROR(__xludf.DUMMYFUNCTION("""COMPUTED_VALUE"""),271)</f>
        <v>271</v>
      </c>
      <c r="AC348" s="1">
        <f ca="1">IFERROR(__xludf.DUMMYFUNCTION("""COMPUTED_VALUE"""),193)</f>
        <v>193</v>
      </c>
      <c r="AD348" s="1">
        <f ca="1">IFERROR(__xludf.DUMMYFUNCTION("""COMPUTED_VALUE"""),61)</f>
        <v>61</v>
      </c>
      <c r="AE348" s="1">
        <f ca="1">IFERROR(__xludf.DUMMYFUNCTION("""COMPUTED_VALUE"""),410)</f>
        <v>410</v>
      </c>
      <c r="AF348" s="1">
        <f ca="1">IFERROR(__xludf.DUMMYFUNCTION("""COMPUTED_VALUE"""),456)</f>
        <v>456</v>
      </c>
    </row>
    <row r="349" spans="1:32" ht="12.5" x14ac:dyDescent="0.25">
      <c r="A349" s="1" t="str">
        <f ca="1">IFERROR(__xludf.DUMMYFUNCTION("""COMPUTED_VALUE"""),"Tulane")</f>
        <v>Tulane</v>
      </c>
      <c r="B349" s="1">
        <f ca="1">IFERROR(__xludf.DUMMYFUNCTION("""COMPUTED_VALUE"""),31)</f>
        <v>31</v>
      </c>
      <c r="C349" s="1">
        <f ca="1">IFERROR(__xludf.DUMMYFUNCTION("""COMPUTED_VALUE"""),15)</f>
        <v>15</v>
      </c>
      <c r="D349" s="1">
        <f ca="1">IFERROR(__xludf.DUMMYFUNCTION("""COMPUTED_VALUE"""),16)</f>
        <v>16</v>
      </c>
      <c r="E349" s="1">
        <f ca="1">IFERROR(__xludf.DUMMYFUNCTION("""COMPUTED_VALUE"""),0.484)</f>
        <v>0.48399999999999999</v>
      </c>
      <c r="F349" s="1">
        <f ca="1">IFERROR(__xludf.DUMMYFUNCTION("""COMPUTED_VALUE"""),-1.51)</f>
        <v>-1.51</v>
      </c>
      <c r="G349" s="1">
        <f ca="1">IFERROR(__xludf.DUMMYFUNCTION("""COMPUTED_VALUE"""),0.32)</f>
        <v>0.32</v>
      </c>
      <c r="H349" s="1">
        <f ca="1">IFERROR(__xludf.DUMMYFUNCTION("""COMPUTED_VALUE"""),6)</f>
        <v>6</v>
      </c>
      <c r="I349" s="1">
        <f ca="1">IFERROR(__xludf.DUMMYFUNCTION("""COMPUTED_VALUE"""),12)</f>
        <v>12</v>
      </c>
      <c r="J349" s="1">
        <f ca="1">IFERROR(__xludf.DUMMYFUNCTION("""COMPUTED_VALUE"""),9)</f>
        <v>9</v>
      </c>
      <c r="K349" s="1">
        <f ca="1">IFERROR(__xludf.DUMMYFUNCTION("""COMPUTED_VALUE"""),8)</f>
        <v>8</v>
      </c>
      <c r="L349" s="1">
        <f ca="1">IFERROR(__xludf.DUMMYFUNCTION("""COMPUTED_VALUE"""),6)</f>
        <v>6</v>
      </c>
      <c r="M349" s="1">
        <f ca="1">IFERROR(__xludf.DUMMYFUNCTION("""COMPUTED_VALUE"""),5)</f>
        <v>5</v>
      </c>
      <c r="N349" s="1">
        <f ca="1">IFERROR(__xludf.DUMMYFUNCTION("""COMPUTED_VALUE"""),1973)</f>
        <v>1973</v>
      </c>
      <c r="O349" s="1">
        <f ca="1">IFERROR(__xludf.DUMMYFUNCTION("""COMPUTED_VALUE"""),1984)</f>
        <v>1984</v>
      </c>
      <c r="P349" s="1">
        <f ca="1">IFERROR(__xludf.DUMMYFUNCTION("""COMPUTED_VALUE"""),1265)</f>
        <v>1265</v>
      </c>
      <c r="Q349" s="1">
        <f ca="1">IFERROR(__xludf.DUMMYFUNCTION("""COMPUTED_VALUE"""),699)</f>
        <v>699</v>
      </c>
      <c r="R349" s="1">
        <f ca="1">IFERROR(__xludf.DUMMYFUNCTION("""COMPUTED_VALUE"""),1700)</f>
        <v>1700</v>
      </c>
      <c r="S349" s="1">
        <f ca="1">IFERROR(__xludf.DUMMYFUNCTION("""COMPUTED_VALUE"""),0.411)</f>
        <v>0.41099999999999998</v>
      </c>
      <c r="T349" s="1">
        <f ca="1">IFERROR(__xludf.DUMMYFUNCTION("""COMPUTED_VALUE"""),199)</f>
        <v>199</v>
      </c>
      <c r="U349" s="1">
        <f ca="1">IFERROR(__xludf.DUMMYFUNCTION("""COMPUTED_VALUE"""),610)</f>
        <v>610</v>
      </c>
      <c r="V349" s="1">
        <f ca="1">IFERROR(__xludf.DUMMYFUNCTION("""COMPUTED_VALUE"""),0.326)</f>
        <v>0.32600000000000001</v>
      </c>
      <c r="W349" s="1">
        <f ca="1">IFERROR(__xludf.DUMMYFUNCTION("""COMPUTED_VALUE"""),376)</f>
        <v>376</v>
      </c>
      <c r="X349" s="1">
        <f ca="1">IFERROR(__xludf.DUMMYFUNCTION("""COMPUTED_VALUE"""),579)</f>
        <v>579</v>
      </c>
      <c r="Y349" s="1">
        <f ca="1">IFERROR(__xludf.DUMMYFUNCTION("""COMPUTED_VALUE"""),0.649)</f>
        <v>0.64900000000000002</v>
      </c>
      <c r="Z349" s="1">
        <f ca="1">IFERROR(__xludf.DUMMYFUNCTION("""COMPUTED_VALUE"""),365)</f>
        <v>365</v>
      </c>
      <c r="AA349" s="1">
        <f ca="1">IFERROR(__xludf.DUMMYFUNCTION("""COMPUTED_VALUE"""),1076)</f>
        <v>1076</v>
      </c>
      <c r="AB349" s="1">
        <f ca="1">IFERROR(__xludf.DUMMYFUNCTION("""COMPUTED_VALUE"""),349)</f>
        <v>349</v>
      </c>
      <c r="AC349" s="1">
        <f ca="1">IFERROR(__xludf.DUMMYFUNCTION("""COMPUTED_VALUE"""),193)</f>
        <v>193</v>
      </c>
      <c r="AD349" s="1">
        <f ca="1">IFERROR(__xludf.DUMMYFUNCTION("""COMPUTED_VALUE"""),62)</f>
        <v>62</v>
      </c>
      <c r="AE349" s="1">
        <f ca="1">IFERROR(__xludf.DUMMYFUNCTION("""COMPUTED_VALUE"""),397)</f>
        <v>397</v>
      </c>
      <c r="AF349" s="1">
        <f ca="1">IFERROR(__xludf.DUMMYFUNCTION("""COMPUTED_VALUE"""),550)</f>
        <v>550</v>
      </c>
    </row>
    <row r="350" spans="1:32" ht="12.5" x14ac:dyDescent="0.25">
      <c r="A350" s="1" t="str">
        <f ca="1">IFERROR(__xludf.DUMMYFUNCTION("""COMPUTED_VALUE"""),"Tulsa")</f>
        <v>Tulsa</v>
      </c>
      <c r="B350" s="1">
        <f ca="1">IFERROR(__xludf.DUMMYFUNCTION("""COMPUTED_VALUE"""),34)</f>
        <v>34</v>
      </c>
      <c r="C350" s="1">
        <f ca="1">IFERROR(__xludf.DUMMYFUNCTION("""COMPUTED_VALUE"""),23)</f>
        <v>23</v>
      </c>
      <c r="D350" s="1">
        <f ca="1">IFERROR(__xludf.DUMMYFUNCTION("""COMPUTED_VALUE"""),11)</f>
        <v>11</v>
      </c>
      <c r="E350" s="1">
        <f ca="1">IFERROR(__xludf.DUMMYFUNCTION("""COMPUTED_VALUE"""),0.676)</f>
        <v>0.67600000000000005</v>
      </c>
      <c r="F350" s="1">
        <f ca="1">IFERROR(__xludf.DUMMYFUNCTION("""COMPUTED_VALUE"""),6.66)</f>
        <v>6.66</v>
      </c>
      <c r="G350" s="1">
        <f ca="1">IFERROR(__xludf.DUMMYFUNCTION("""COMPUTED_VALUE"""),2.81)</f>
        <v>2.81</v>
      </c>
      <c r="H350" s="1">
        <f ca="1">IFERROR(__xludf.DUMMYFUNCTION("""COMPUTED_VALUE"""),14)</f>
        <v>14</v>
      </c>
      <c r="I350" s="1">
        <f ca="1">IFERROR(__xludf.DUMMYFUNCTION("""COMPUTED_VALUE"""),4)</f>
        <v>4</v>
      </c>
      <c r="J350" s="1">
        <f ca="1">IFERROR(__xludf.DUMMYFUNCTION("""COMPUTED_VALUE"""),13)</f>
        <v>13</v>
      </c>
      <c r="K350" s="1">
        <f ca="1">IFERROR(__xludf.DUMMYFUNCTION("""COMPUTED_VALUE"""),5)</f>
        <v>5</v>
      </c>
      <c r="L350" s="1">
        <f ca="1">IFERROR(__xludf.DUMMYFUNCTION("""COMPUTED_VALUE"""),8)</f>
        <v>8</v>
      </c>
      <c r="M350" s="1">
        <f ca="1">IFERROR(__xludf.DUMMYFUNCTION("""COMPUTED_VALUE"""),4)</f>
        <v>4</v>
      </c>
      <c r="N350" s="1">
        <f ca="1">IFERROR(__xludf.DUMMYFUNCTION("""COMPUTED_VALUE"""),2188)</f>
        <v>2188</v>
      </c>
      <c r="O350" s="1">
        <f ca="1">IFERROR(__xludf.DUMMYFUNCTION("""COMPUTED_VALUE"""),2064)</f>
        <v>2064</v>
      </c>
      <c r="P350" s="1">
        <f ca="1">IFERROR(__xludf.DUMMYFUNCTION("""COMPUTED_VALUE"""),1370)</f>
        <v>1370</v>
      </c>
      <c r="Q350" s="1">
        <f ca="1">IFERROR(__xludf.DUMMYFUNCTION("""COMPUTED_VALUE"""),758)</f>
        <v>758</v>
      </c>
      <c r="R350" s="1">
        <f ca="1">IFERROR(__xludf.DUMMYFUNCTION("""COMPUTED_VALUE"""),1820)</f>
        <v>1820</v>
      </c>
      <c r="S350" s="1">
        <f ca="1">IFERROR(__xludf.DUMMYFUNCTION("""COMPUTED_VALUE"""),0.416)</f>
        <v>0.41599999999999998</v>
      </c>
      <c r="T350" s="1">
        <f ca="1">IFERROR(__xludf.DUMMYFUNCTION("""COMPUTED_VALUE"""),188)</f>
        <v>188</v>
      </c>
      <c r="U350" s="1">
        <f ca="1">IFERROR(__xludf.DUMMYFUNCTION("""COMPUTED_VALUE"""),586)</f>
        <v>586</v>
      </c>
      <c r="V350" s="1">
        <f ca="1">IFERROR(__xludf.DUMMYFUNCTION("""COMPUTED_VALUE"""),0.321)</f>
        <v>0.32100000000000001</v>
      </c>
      <c r="W350" s="1">
        <f ca="1">IFERROR(__xludf.DUMMYFUNCTION("""COMPUTED_VALUE"""),484)</f>
        <v>484</v>
      </c>
      <c r="X350" s="1">
        <f ca="1">IFERROR(__xludf.DUMMYFUNCTION("""COMPUTED_VALUE"""),746)</f>
        <v>746</v>
      </c>
      <c r="Y350" s="1">
        <f ca="1">IFERROR(__xludf.DUMMYFUNCTION("""COMPUTED_VALUE"""),0.649)</f>
        <v>0.64900000000000002</v>
      </c>
      <c r="Z350" s="1">
        <f ca="1">IFERROR(__xludf.DUMMYFUNCTION("""COMPUTED_VALUE"""),375)</f>
        <v>375</v>
      </c>
      <c r="AA350" s="1">
        <f ca="1">IFERROR(__xludf.DUMMYFUNCTION("""COMPUTED_VALUE"""),1246)</f>
        <v>1246</v>
      </c>
      <c r="AB350" s="1">
        <f ca="1">IFERROR(__xludf.DUMMYFUNCTION("""COMPUTED_VALUE"""),375)</f>
        <v>375</v>
      </c>
      <c r="AC350" s="1">
        <f ca="1">IFERROR(__xludf.DUMMYFUNCTION("""COMPUTED_VALUE"""),198)</f>
        <v>198</v>
      </c>
      <c r="AD350" s="1">
        <f ca="1">IFERROR(__xludf.DUMMYFUNCTION("""COMPUTED_VALUE"""),116)</f>
        <v>116</v>
      </c>
      <c r="AE350" s="1">
        <f ca="1">IFERROR(__xludf.DUMMYFUNCTION("""COMPUTED_VALUE"""),389)</f>
        <v>389</v>
      </c>
      <c r="AF350" s="1">
        <f ca="1">IFERROR(__xludf.DUMMYFUNCTION("""COMPUTED_VALUE"""),573)</f>
        <v>573</v>
      </c>
    </row>
    <row r="351" spans="1:32" ht="12.5" x14ac:dyDescent="0.25">
      <c r="A351" s="1" t="str">
        <f ca="1">IFERROR(__xludf.DUMMYFUNCTION("""COMPUTED_VALUE"""),"UCLANCAA")</f>
        <v>UCLANCAA</v>
      </c>
      <c r="B351" s="1">
        <f ca="1">IFERROR(__xludf.DUMMYFUNCTION("""COMPUTED_VALUE"""),36)</f>
        <v>36</v>
      </c>
      <c r="C351" s="1">
        <f ca="1">IFERROR(__xludf.DUMMYFUNCTION("""COMPUTED_VALUE"""),22)</f>
        <v>22</v>
      </c>
      <c r="D351" s="1">
        <f ca="1">IFERROR(__xludf.DUMMYFUNCTION("""COMPUTED_VALUE"""),14)</f>
        <v>14</v>
      </c>
      <c r="E351" s="1">
        <f ca="1">IFERROR(__xludf.DUMMYFUNCTION("""COMPUTED_VALUE"""),0.611)</f>
        <v>0.61099999999999999</v>
      </c>
      <c r="F351" s="1">
        <f ca="1">IFERROR(__xludf.DUMMYFUNCTION("""COMPUTED_VALUE"""),12.07)</f>
        <v>12.07</v>
      </c>
      <c r="G351" s="1">
        <f ca="1">IFERROR(__xludf.DUMMYFUNCTION("""COMPUTED_VALUE"""),8.27)</f>
        <v>8.27</v>
      </c>
      <c r="H351" s="1">
        <f ca="1">IFERROR(__xludf.DUMMYFUNCTION("""COMPUTED_VALUE"""),11)</f>
        <v>11</v>
      </c>
      <c r="I351" s="1">
        <f ca="1">IFERROR(__xludf.DUMMYFUNCTION("""COMPUTED_VALUE"""),7)</f>
        <v>7</v>
      </c>
      <c r="J351" s="1">
        <f ca="1">IFERROR(__xludf.DUMMYFUNCTION("""COMPUTED_VALUE"""),16)</f>
        <v>16</v>
      </c>
      <c r="K351" s="1">
        <f ca="1">IFERROR(__xludf.DUMMYFUNCTION("""COMPUTED_VALUE"""),1)</f>
        <v>1</v>
      </c>
      <c r="L351" s="1">
        <f ca="1">IFERROR(__xludf.DUMMYFUNCTION("""COMPUTED_VALUE"""),2)</f>
        <v>2</v>
      </c>
      <c r="M351" s="1">
        <f ca="1">IFERROR(__xludf.DUMMYFUNCTION("""COMPUTED_VALUE"""),8)</f>
        <v>8</v>
      </c>
      <c r="N351" s="1">
        <f ca="1">IFERROR(__xludf.DUMMYFUNCTION("""COMPUTED_VALUE"""),2590)</f>
        <v>2590</v>
      </c>
      <c r="O351" s="1">
        <f ca="1">IFERROR(__xludf.DUMMYFUNCTION("""COMPUTED_VALUE"""),2453)</f>
        <v>2453</v>
      </c>
      <c r="P351" s="1">
        <f ca="1">IFERROR(__xludf.DUMMYFUNCTION("""COMPUTED_VALUE"""),1450)</f>
        <v>1450</v>
      </c>
      <c r="Q351" s="1">
        <f ca="1">IFERROR(__xludf.DUMMYFUNCTION("""COMPUTED_VALUE"""),930)</f>
        <v>930</v>
      </c>
      <c r="R351" s="1">
        <f ca="1">IFERROR(__xludf.DUMMYFUNCTION("""COMPUTED_VALUE"""),2099)</f>
        <v>2099</v>
      </c>
      <c r="S351" s="1">
        <f ca="1">IFERROR(__xludf.DUMMYFUNCTION("""COMPUTED_VALUE"""),0.443)</f>
        <v>0.443</v>
      </c>
      <c r="T351" s="1">
        <f ca="1">IFERROR(__xludf.DUMMYFUNCTION("""COMPUTED_VALUE"""),223)</f>
        <v>223</v>
      </c>
      <c r="U351" s="1">
        <f ca="1">IFERROR(__xludf.DUMMYFUNCTION("""COMPUTED_VALUE"""),606)</f>
        <v>606</v>
      </c>
      <c r="V351" s="1">
        <f ca="1">IFERROR(__xludf.DUMMYFUNCTION("""COMPUTED_VALUE"""),0.368)</f>
        <v>0.36799999999999999</v>
      </c>
      <c r="W351" s="1">
        <f ca="1">IFERROR(__xludf.DUMMYFUNCTION("""COMPUTED_VALUE"""),507)</f>
        <v>507</v>
      </c>
      <c r="X351" s="1">
        <f ca="1">IFERROR(__xludf.DUMMYFUNCTION("""COMPUTED_VALUE"""),750)</f>
        <v>750</v>
      </c>
      <c r="Y351" s="1">
        <f ca="1">IFERROR(__xludf.DUMMYFUNCTION("""COMPUTED_VALUE"""),0.676)</f>
        <v>0.67600000000000005</v>
      </c>
      <c r="Z351" s="1">
        <f ca="1">IFERROR(__xludf.DUMMYFUNCTION("""COMPUTED_VALUE"""),440)</f>
        <v>440</v>
      </c>
      <c r="AA351" s="1">
        <f ca="1">IFERROR(__xludf.DUMMYFUNCTION("""COMPUTED_VALUE"""),1367)</f>
        <v>1367</v>
      </c>
      <c r="AB351" s="1">
        <f ca="1">IFERROR(__xludf.DUMMYFUNCTION("""COMPUTED_VALUE"""),498)</f>
        <v>498</v>
      </c>
      <c r="AC351" s="1">
        <f ca="1">IFERROR(__xludf.DUMMYFUNCTION("""COMPUTED_VALUE"""),238)</f>
        <v>238</v>
      </c>
      <c r="AD351" s="1">
        <f ca="1">IFERROR(__xludf.DUMMYFUNCTION("""COMPUTED_VALUE"""),139)</f>
        <v>139</v>
      </c>
      <c r="AE351" s="1">
        <f ca="1">IFERROR(__xludf.DUMMYFUNCTION("""COMPUTED_VALUE"""),430)</f>
        <v>430</v>
      </c>
      <c r="AF351" s="1">
        <f ca="1">IFERROR(__xludf.DUMMYFUNCTION("""COMPUTED_VALUE"""),645)</f>
        <v>645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IFERROR(__xludf.DUMMYFUNCTION("""COMPUTED_VALUE"""),"Utah State")</f>
        <v>Utah State</v>
      </c>
      <c r="B354" s="1">
        <f ca="1">IFERROR(__xludf.DUMMYFUNCTION("""COMPUTED_VALUE"""),31)</f>
        <v>31</v>
      </c>
      <c r="C354" s="1">
        <f ca="1">IFERROR(__xludf.DUMMYFUNCTION("""COMPUTED_VALUE"""),18)</f>
        <v>18</v>
      </c>
      <c r="D354" s="1">
        <f ca="1">IFERROR(__xludf.DUMMYFUNCTION("""COMPUTED_VALUE"""),13)</f>
        <v>13</v>
      </c>
      <c r="E354" s="1">
        <f ca="1">IFERROR(__xludf.DUMMYFUNCTION("""COMPUTED_VALUE"""),0.581)</f>
        <v>0.58099999999999996</v>
      </c>
      <c r="F354" s="1">
        <f ca="1">IFERROR(__xludf.DUMMYFUNCTION("""COMPUTED_VALUE"""),2.92)</f>
        <v>2.92</v>
      </c>
      <c r="G354" s="1">
        <f ca="1">IFERROR(__xludf.DUMMYFUNCTION("""COMPUTED_VALUE"""),0.28)</f>
        <v>0.28000000000000003</v>
      </c>
      <c r="H354" s="1">
        <f ca="1">IFERROR(__xludf.DUMMYFUNCTION("""COMPUTED_VALUE"""),11)</f>
        <v>11</v>
      </c>
      <c r="I354" s="1">
        <f ca="1">IFERROR(__xludf.DUMMYFUNCTION("""COMPUTED_VALUE"""),7)</f>
        <v>7</v>
      </c>
      <c r="J354" s="1">
        <f ca="1">IFERROR(__xludf.DUMMYFUNCTION("""COMPUTED_VALUE"""),11)</f>
        <v>11</v>
      </c>
      <c r="K354" s="1">
        <f ca="1">IFERROR(__xludf.DUMMYFUNCTION("""COMPUTED_VALUE"""),5)</f>
        <v>5</v>
      </c>
      <c r="L354" s="1">
        <f ca="1">IFERROR(__xludf.DUMMYFUNCTION("""COMPUTED_VALUE"""),7)</f>
        <v>7</v>
      </c>
      <c r="M354" s="1">
        <f ca="1">IFERROR(__xludf.DUMMYFUNCTION("""COMPUTED_VALUE"""),7)</f>
        <v>7</v>
      </c>
      <c r="N354" s="1">
        <f ca="1">IFERROR(__xludf.DUMMYFUNCTION("""COMPUTED_VALUE"""),2064)</f>
        <v>2064</v>
      </c>
      <c r="O354" s="1">
        <f ca="1">IFERROR(__xludf.DUMMYFUNCTION("""COMPUTED_VALUE"""),1973)</f>
        <v>1973</v>
      </c>
      <c r="P354" s="1">
        <f ca="1">IFERROR(__xludf.DUMMYFUNCTION("""COMPUTED_VALUE"""),1255)</f>
        <v>1255</v>
      </c>
      <c r="Q354" s="1">
        <f ca="1">IFERROR(__xludf.DUMMYFUNCTION("""COMPUTED_VALUE"""),721)</f>
        <v>721</v>
      </c>
      <c r="R354" s="1">
        <f ca="1">IFERROR(__xludf.DUMMYFUNCTION("""COMPUTED_VALUE"""),1596)</f>
        <v>1596</v>
      </c>
      <c r="S354" s="1">
        <f ca="1">IFERROR(__xludf.DUMMYFUNCTION("""COMPUTED_VALUE"""),0.452)</f>
        <v>0.45200000000000001</v>
      </c>
      <c r="T354" s="1">
        <f ca="1">IFERROR(__xludf.DUMMYFUNCTION("""COMPUTED_VALUE"""),233)</f>
        <v>233</v>
      </c>
      <c r="U354" s="1">
        <f ca="1">IFERROR(__xludf.DUMMYFUNCTION("""COMPUTED_VALUE"""),591)</f>
        <v>591</v>
      </c>
      <c r="V354" s="1">
        <f ca="1">IFERROR(__xludf.DUMMYFUNCTION("""COMPUTED_VALUE"""),0.394)</f>
        <v>0.39400000000000002</v>
      </c>
      <c r="W354" s="1">
        <f ca="1">IFERROR(__xludf.DUMMYFUNCTION("""COMPUTED_VALUE"""),389)</f>
        <v>389</v>
      </c>
      <c r="X354" s="1">
        <f ca="1">IFERROR(__xludf.DUMMYFUNCTION("""COMPUTED_VALUE"""),579)</f>
        <v>579</v>
      </c>
      <c r="Y354" s="1">
        <f ca="1">IFERROR(__xludf.DUMMYFUNCTION("""COMPUTED_VALUE"""),0.672)</f>
        <v>0.67200000000000004</v>
      </c>
      <c r="Z354" s="1">
        <f ca="1">IFERROR(__xludf.DUMMYFUNCTION("""COMPUTED_VALUE"""),215)</f>
        <v>215</v>
      </c>
      <c r="AA354" s="1">
        <f ca="1">IFERROR(__xludf.DUMMYFUNCTION("""COMPUTED_VALUE"""),978)</f>
        <v>978</v>
      </c>
      <c r="AB354" s="1">
        <f ca="1">IFERROR(__xludf.DUMMYFUNCTION("""COMPUTED_VALUE"""),445)</f>
        <v>445</v>
      </c>
      <c r="AC354" s="1">
        <f ca="1">IFERROR(__xludf.DUMMYFUNCTION("""COMPUTED_VALUE"""),149)</f>
        <v>149</v>
      </c>
      <c r="AD354" s="1">
        <f ca="1">IFERROR(__xludf.DUMMYFUNCTION("""COMPUTED_VALUE"""),142)</f>
        <v>142</v>
      </c>
      <c r="AE354" s="1">
        <f ca="1">IFERROR(__xludf.DUMMYFUNCTION("""COMPUTED_VALUE"""),323)</f>
        <v>323</v>
      </c>
      <c r="AF354" s="1">
        <f ca="1">IFERROR(__xludf.DUMMYFUNCTION("""COMPUTED_VALUE"""),505)</f>
        <v>505</v>
      </c>
    </row>
    <row r="355" spans="1:32" ht="12.5" x14ac:dyDescent="0.25">
      <c r="A355" s="1" t="str">
        <f ca="1">IFERROR(__xludf.DUMMYFUNCTION("""COMPUTED_VALUE"""),"Utah Valley")</f>
        <v>Utah Valley</v>
      </c>
      <c r="B355" s="1">
        <f ca="1">IFERROR(__xludf.DUMMYFUNCTION("""COMPUTED_VALUE"""),30)</f>
        <v>30</v>
      </c>
      <c r="C355" s="1">
        <f ca="1">IFERROR(__xludf.DUMMYFUNCTION("""COMPUTED_VALUE"""),11)</f>
        <v>11</v>
      </c>
      <c r="D355" s="1">
        <f ca="1">IFERROR(__xludf.DUMMYFUNCTION("""COMPUTED_VALUE"""),19)</f>
        <v>19</v>
      </c>
      <c r="E355" s="1">
        <f ca="1">IFERROR(__xludf.DUMMYFUNCTION("""COMPUTED_VALUE"""),0.367)</f>
        <v>0.36699999999999999</v>
      </c>
      <c r="F355" s="1">
        <f ca="1">IFERROR(__xludf.DUMMYFUNCTION("""COMPUTED_VALUE"""),-12.72)</f>
        <v>-12.72</v>
      </c>
      <c r="G355" s="1">
        <f ca="1">IFERROR(__xludf.DUMMYFUNCTION("""COMPUTED_VALUE"""),-4.87)</f>
        <v>-4.87</v>
      </c>
      <c r="H355" s="1">
        <f ca="1">IFERROR(__xludf.DUMMYFUNCTION("""COMPUTED_VALUE"""),5)</f>
        <v>5</v>
      </c>
      <c r="I355" s="1">
        <f ca="1">IFERROR(__xludf.DUMMYFUNCTION("""COMPUTED_VALUE"""),9)</f>
        <v>9</v>
      </c>
      <c r="J355" s="1">
        <f ca="1">IFERROR(__xludf.DUMMYFUNCTION("""COMPUTED_VALUE"""),8)</f>
        <v>8</v>
      </c>
      <c r="K355" s="1">
        <f ca="1">IFERROR(__xludf.DUMMYFUNCTION("""COMPUTED_VALUE"""),5)</f>
        <v>5</v>
      </c>
      <c r="L355" s="1">
        <f ca="1">IFERROR(__xludf.DUMMYFUNCTION("""COMPUTED_VALUE"""),3)</f>
        <v>3</v>
      </c>
      <c r="M355" s="1">
        <f ca="1">IFERROR(__xludf.DUMMYFUNCTION("""COMPUTED_VALUE"""),13)</f>
        <v>13</v>
      </c>
      <c r="N355" s="1">
        <f ca="1">IFERROR(__xludf.DUMMYFUNCTION("""COMPUTED_VALUE"""),1758)</f>
        <v>1758</v>
      </c>
      <c r="O355" s="1">
        <f ca="1">IFERROR(__xludf.DUMMYFUNCTION("""COMPUTED_VALUE"""),1923)</f>
        <v>1923</v>
      </c>
      <c r="P355" s="1">
        <f ca="1">IFERROR(__xludf.DUMMYFUNCTION("""COMPUTED_VALUE"""),1200)</f>
        <v>1200</v>
      </c>
      <c r="Q355" s="1">
        <f ca="1">IFERROR(__xludf.DUMMYFUNCTION("""COMPUTED_VALUE"""),616)</f>
        <v>616</v>
      </c>
      <c r="R355" s="1">
        <f ca="1">IFERROR(__xludf.DUMMYFUNCTION("""COMPUTED_VALUE"""),1540)</f>
        <v>1540</v>
      </c>
      <c r="S355" s="1">
        <f ca="1">IFERROR(__xludf.DUMMYFUNCTION("""COMPUTED_VALUE"""),0.4)</f>
        <v>0.4</v>
      </c>
      <c r="T355" s="1">
        <f ca="1">IFERROR(__xludf.DUMMYFUNCTION("""COMPUTED_VALUE"""),169)</f>
        <v>169</v>
      </c>
      <c r="U355" s="1">
        <f ca="1">IFERROR(__xludf.DUMMYFUNCTION("""COMPUTED_VALUE"""),566)</f>
        <v>566</v>
      </c>
      <c r="V355" s="1">
        <f ca="1">IFERROR(__xludf.DUMMYFUNCTION("""COMPUTED_VALUE"""),0.299)</f>
        <v>0.29899999999999999</v>
      </c>
      <c r="W355" s="1">
        <f ca="1">IFERROR(__xludf.DUMMYFUNCTION("""COMPUTED_VALUE"""),357)</f>
        <v>357</v>
      </c>
      <c r="X355" s="1">
        <f ca="1">IFERROR(__xludf.DUMMYFUNCTION("""COMPUTED_VALUE"""),514)</f>
        <v>514</v>
      </c>
      <c r="Y355" s="1">
        <f ca="1">IFERROR(__xludf.DUMMYFUNCTION("""COMPUTED_VALUE"""),0.695)</f>
        <v>0.69499999999999995</v>
      </c>
      <c r="Z355" s="1">
        <f ca="1">IFERROR(__xludf.DUMMYFUNCTION("""COMPUTED_VALUE"""),297)</f>
        <v>297</v>
      </c>
      <c r="AA355" s="1">
        <f ca="1">IFERROR(__xludf.DUMMYFUNCTION("""COMPUTED_VALUE"""),989)</f>
        <v>989</v>
      </c>
      <c r="AB355" s="1">
        <f ca="1">IFERROR(__xludf.DUMMYFUNCTION("""COMPUTED_VALUE"""),387)</f>
        <v>387</v>
      </c>
      <c r="AC355" s="1">
        <f ca="1">IFERROR(__xludf.DUMMYFUNCTION("""COMPUTED_VALUE"""),134)</f>
        <v>134</v>
      </c>
      <c r="AD355" s="1">
        <f ca="1">IFERROR(__xludf.DUMMYFUNCTION("""COMPUTED_VALUE"""),69)</f>
        <v>69</v>
      </c>
      <c r="AE355" s="1">
        <f ca="1">IFERROR(__xludf.DUMMYFUNCTION("""COMPUTED_VALUE"""),385)</f>
        <v>385</v>
      </c>
      <c r="AF355" s="1">
        <f ca="1">IFERROR(__xludf.DUMMYFUNCTION("""COMPUTED_VALUE"""),519)</f>
        <v>519</v>
      </c>
    </row>
    <row r="356" spans="1:32" ht="12.5" x14ac:dyDescent="0.25">
      <c r="A356" s="1" t="str">
        <f ca="1">IFERROR(__xludf.DUMMYFUNCTION("""COMPUTED_VALUE"""),"UtahNCAA")</f>
        <v>UtahNCAA</v>
      </c>
      <c r="B356" s="1">
        <f ca="1">IFERROR(__xludf.DUMMYFUNCTION("""COMPUTED_VALUE"""),35)</f>
        <v>35</v>
      </c>
      <c r="C356" s="1">
        <f ca="1">IFERROR(__xludf.DUMMYFUNCTION("""COMPUTED_VALUE"""),26)</f>
        <v>26</v>
      </c>
      <c r="D356" s="1">
        <f ca="1">IFERROR(__xludf.DUMMYFUNCTION("""COMPUTED_VALUE"""),9)</f>
        <v>9</v>
      </c>
      <c r="E356" s="1">
        <f ca="1">IFERROR(__xludf.DUMMYFUNCTION("""COMPUTED_VALUE"""),0.743)</f>
        <v>0.74299999999999999</v>
      </c>
      <c r="F356" s="1">
        <f ca="1">IFERROR(__xludf.DUMMYFUNCTION("""COMPUTED_VALUE"""),20.98)</f>
        <v>20.98</v>
      </c>
      <c r="G356" s="1">
        <f ca="1">IFERROR(__xludf.DUMMYFUNCTION("""COMPUTED_VALUE"""),7.42)</f>
        <v>7.42</v>
      </c>
      <c r="H356" s="1">
        <f ca="1">IFERROR(__xludf.DUMMYFUNCTION("""COMPUTED_VALUE"""),13)</f>
        <v>13</v>
      </c>
      <c r="I356" s="1">
        <f ca="1">IFERROR(__xludf.DUMMYFUNCTION("""COMPUTED_VALUE"""),5)</f>
        <v>5</v>
      </c>
      <c r="J356" s="1">
        <f ca="1">IFERROR(__xludf.DUMMYFUNCTION("""COMPUTED_VALUE"""),16)</f>
        <v>16</v>
      </c>
      <c r="K356" s="1">
        <f ca="1">IFERROR(__xludf.DUMMYFUNCTION("""COMPUTED_VALUE"""),1)</f>
        <v>1</v>
      </c>
      <c r="L356" s="1">
        <f ca="1">IFERROR(__xludf.DUMMYFUNCTION("""COMPUTED_VALUE"""),6)</f>
        <v>6</v>
      </c>
      <c r="M356" s="1">
        <f ca="1">IFERROR(__xludf.DUMMYFUNCTION("""COMPUTED_VALUE"""),5)</f>
        <v>5</v>
      </c>
      <c r="N356" s="1">
        <f ca="1">IFERROR(__xludf.DUMMYFUNCTION("""COMPUTED_VALUE"""),2496)</f>
        <v>2496</v>
      </c>
      <c r="O356" s="1">
        <f ca="1">IFERROR(__xludf.DUMMYFUNCTION("""COMPUTED_VALUE"""),1999)</f>
        <v>1999</v>
      </c>
      <c r="P356" s="1">
        <f ca="1">IFERROR(__xludf.DUMMYFUNCTION("""COMPUTED_VALUE"""),1405)</f>
        <v>1405</v>
      </c>
      <c r="Q356" s="1">
        <f ca="1">IFERROR(__xludf.DUMMYFUNCTION("""COMPUTED_VALUE"""),849)</f>
        <v>849</v>
      </c>
      <c r="R356" s="1">
        <f ca="1">IFERROR(__xludf.DUMMYFUNCTION("""COMPUTED_VALUE"""),1760)</f>
        <v>1760</v>
      </c>
      <c r="S356" s="1">
        <f ca="1">IFERROR(__xludf.DUMMYFUNCTION("""COMPUTED_VALUE"""),0.482)</f>
        <v>0.48199999999999998</v>
      </c>
      <c r="T356" s="1">
        <f ca="1">IFERROR(__xludf.DUMMYFUNCTION("""COMPUTED_VALUE"""),264)</f>
        <v>264</v>
      </c>
      <c r="U356" s="1">
        <f ca="1">IFERROR(__xludf.DUMMYFUNCTION("""COMPUTED_VALUE"""),654)</f>
        <v>654</v>
      </c>
      <c r="V356" s="1">
        <f ca="1">IFERROR(__xludf.DUMMYFUNCTION("""COMPUTED_VALUE"""),0.404)</f>
        <v>0.40400000000000003</v>
      </c>
      <c r="W356" s="1">
        <f ca="1">IFERROR(__xludf.DUMMYFUNCTION("""COMPUTED_VALUE"""),534)</f>
        <v>534</v>
      </c>
      <c r="X356" s="1">
        <f ca="1">IFERROR(__xludf.DUMMYFUNCTION("""COMPUTED_VALUE"""),760)</f>
        <v>760</v>
      </c>
      <c r="Y356" s="1">
        <f ca="1">IFERROR(__xludf.DUMMYFUNCTION("""COMPUTED_VALUE"""),0.703)</f>
        <v>0.70299999999999996</v>
      </c>
      <c r="Z356" s="1">
        <f ca="1">IFERROR(__xludf.DUMMYFUNCTION("""COMPUTED_VALUE"""),322)</f>
        <v>322</v>
      </c>
      <c r="AA356" s="1">
        <f ca="1">IFERROR(__xludf.DUMMYFUNCTION("""COMPUTED_VALUE"""),1204)</f>
        <v>1204</v>
      </c>
      <c r="AB356" s="1">
        <f ca="1">IFERROR(__xludf.DUMMYFUNCTION("""COMPUTED_VALUE"""),489)</f>
        <v>489</v>
      </c>
      <c r="AC356" s="1">
        <f ca="1">IFERROR(__xludf.DUMMYFUNCTION("""COMPUTED_VALUE"""),208)</f>
        <v>208</v>
      </c>
      <c r="AD356" s="1">
        <f ca="1">IFERROR(__xludf.DUMMYFUNCTION("""COMPUTED_VALUE"""),175)</f>
        <v>175</v>
      </c>
      <c r="AE356" s="1">
        <f ca="1">IFERROR(__xludf.DUMMYFUNCTION("""COMPUTED_VALUE"""),407)</f>
        <v>407</v>
      </c>
      <c r="AF356" s="1">
        <f ca="1">IFERROR(__xludf.DUMMYFUNCTION("""COMPUTED_VALUE"""),581)</f>
        <v>581</v>
      </c>
    </row>
    <row r="357" spans="1:32" ht="12.5" x14ac:dyDescent="0.25">
      <c r="A357" s="1" t="str">
        <f ca="1">IFERROR(__xludf.DUMMYFUNCTION("""COMPUTED_VALUE"""),"ValparaisoNCAA")</f>
        <v>ValparaisoNCAA</v>
      </c>
      <c r="B357" s="1">
        <f ca="1">IFERROR(__xludf.DUMMYFUNCTION("""COMPUTED_VALUE"""),34)</f>
        <v>34</v>
      </c>
      <c r="C357" s="1">
        <f ca="1">IFERROR(__xludf.DUMMYFUNCTION("""COMPUTED_VALUE"""),28)</f>
        <v>28</v>
      </c>
      <c r="D357" s="1">
        <f ca="1">IFERROR(__xludf.DUMMYFUNCTION("""COMPUTED_VALUE"""),6)</f>
        <v>6</v>
      </c>
      <c r="E357" s="1">
        <f ca="1">IFERROR(__xludf.DUMMYFUNCTION("""COMPUTED_VALUE"""),0.824)</f>
        <v>0.82399999999999995</v>
      </c>
      <c r="F357" s="1">
        <f ca="1">IFERROR(__xludf.DUMMYFUNCTION("""COMPUTED_VALUE"""),6.29)</f>
        <v>6.29</v>
      </c>
      <c r="G357" s="1">
        <f ca="1">IFERROR(__xludf.DUMMYFUNCTION("""COMPUTED_VALUE"""),-2)</f>
        <v>-2</v>
      </c>
      <c r="H357" s="1">
        <f ca="1">IFERROR(__xludf.DUMMYFUNCTION("""COMPUTED_VALUE"""),13)</f>
        <v>13</v>
      </c>
      <c r="I357" s="1">
        <f ca="1">IFERROR(__xludf.DUMMYFUNCTION("""COMPUTED_VALUE"""),3)</f>
        <v>3</v>
      </c>
      <c r="J357" s="1">
        <f ca="1">IFERROR(__xludf.DUMMYFUNCTION("""COMPUTED_VALUE"""),15)</f>
        <v>15</v>
      </c>
      <c r="K357" s="1">
        <f ca="1">IFERROR(__xludf.DUMMYFUNCTION("""COMPUTED_VALUE"""),1)</f>
        <v>1</v>
      </c>
      <c r="L357" s="1">
        <f ca="1">IFERROR(__xludf.DUMMYFUNCTION("""COMPUTED_VALUE"""),8)</f>
        <v>8</v>
      </c>
      <c r="M357" s="1">
        <f ca="1">IFERROR(__xludf.DUMMYFUNCTION("""COMPUTED_VALUE"""),4)</f>
        <v>4</v>
      </c>
      <c r="N357" s="1">
        <f ca="1">IFERROR(__xludf.DUMMYFUNCTION("""COMPUTED_VALUE"""),2366)</f>
        <v>2366</v>
      </c>
      <c r="O357" s="1">
        <f ca="1">IFERROR(__xludf.DUMMYFUNCTION("""COMPUTED_VALUE"""),2021)</f>
        <v>2021</v>
      </c>
      <c r="P357" s="1">
        <f ca="1">IFERROR(__xludf.DUMMYFUNCTION("""COMPUTED_VALUE"""),1365)</f>
        <v>1365</v>
      </c>
      <c r="Q357" s="1">
        <f ca="1">IFERROR(__xludf.DUMMYFUNCTION("""COMPUTED_VALUE"""),837)</f>
        <v>837</v>
      </c>
      <c r="R357" s="1">
        <f ca="1">IFERROR(__xludf.DUMMYFUNCTION("""COMPUTED_VALUE"""),1836)</f>
        <v>1836</v>
      </c>
      <c r="S357" s="1">
        <f ca="1">IFERROR(__xludf.DUMMYFUNCTION("""COMPUTED_VALUE"""),0.456)</f>
        <v>0.45600000000000002</v>
      </c>
      <c r="T357" s="1">
        <f ca="1">IFERROR(__xludf.DUMMYFUNCTION("""COMPUTED_VALUE"""),236)</f>
        <v>236</v>
      </c>
      <c r="U357" s="1">
        <f ca="1">IFERROR(__xludf.DUMMYFUNCTION("""COMPUTED_VALUE"""),620)</f>
        <v>620</v>
      </c>
      <c r="V357" s="1">
        <f ca="1">IFERROR(__xludf.DUMMYFUNCTION("""COMPUTED_VALUE"""),0.381)</f>
        <v>0.38100000000000001</v>
      </c>
      <c r="W357" s="1">
        <f ca="1">IFERROR(__xludf.DUMMYFUNCTION("""COMPUTED_VALUE"""),456)</f>
        <v>456</v>
      </c>
      <c r="X357" s="1">
        <f ca="1">IFERROR(__xludf.DUMMYFUNCTION("""COMPUTED_VALUE"""),676)</f>
        <v>676</v>
      </c>
      <c r="Y357" s="1">
        <f ca="1">IFERROR(__xludf.DUMMYFUNCTION("""COMPUTED_VALUE"""),0.675)</f>
        <v>0.67500000000000004</v>
      </c>
      <c r="Z357" s="1">
        <f ca="1">IFERROR(__xludf.DUMMYFUNCTION("""COMPUTED_VALUE"""),397)</f>
        <v>397</v>
      </c>
      <c r="AA357" s="1">
        <f ca="1">IFERROR(__xludf.DUMMYFUNCTION("""COMPUTED_VALUE"""),1276)</f>
        <v>1276</v>
      </c>
      <c r="AB357" s="1">
        <f ca="1">IFERROR(__xludf.DUMMYFUNCTION("""COMPUTED_VALUE"""),443)</f>
        <v>443</v>
      </c>
      <c r="AC357" s="1">
        <f ca="1">IFERROR(__xludf.DUMMYFUNCTION("""COMPUTED_VALUE"""),203)</f>
        <v>203</v>
      </c>
      <c r="AD357" s="1">
        <f ca="1">IFERROR(__xludf.DUMMYFUNCTION("""COMPUTED_VALUE"""),157)</f>
        <v>157</v>
      </c>
      <c r="AE357" s="1">
        <f ca="1">IFERROR(__xludf.DUMMYFUNCTION("""COMPUTED_VALUE"""),422)</f>
        <v>422</v>
      </c>
      <c r="AF357" s="1">
        <f ca="1">IFERROR(__xludf.DUMMYFUNCTION("""COMPUTED_VALUE"""),563)</f>
        <v>563</v>
      </c>
    </row>
    <row r="358" spans="1:32" ht="12.5" x14ac:dyDescent="0.25">
      <c r="A358" s="1" t="str">
        <f ca="1">IFERROR(__xludf.DUMMYFUNCTION("""COMPUTED_VALUE"""),"Vanderbilt")</f>
        <v>Vanderbilt</v>
      </c>
      <c r="B358" s="1">
        <f ca="1">IFERROR(__xludf.DUMMYFUNCTION("""COMPUTED_VALUE"""),35)</f>
        <v>35</v>
      </c>
      <c r="C358" s="1">
        <f ca="1">IFERROR(__xludf.DUMMYFUNCTION("""COMPUTED_VALUE"""),21)</f>
        <v>21</v>
      </c>
      <c r="D358" s="1">
        <f ca="1">IFERROR(__xludf.DUMMYFUNCTION("""COMPUTED_VALUE"""),14)</f>
        <v>14</v>
      </c>
      <c r="E358" s="1">
        <f ca="1">IFERROR(__xludf.DUMMYFUNCTION("""COMPUTED_VALUE"""),0.6)</f>
        <v>0.6</v>
      </c>
      <c r="F358" s="1">
        <f ca="1">IFERROR(__xludf.DUMMYFUNCTION("""COMPUTED_VALUE"""),11.89)</f>
        <v>11.89</v>
      </c>
      <c r="G358" s="1">
        <f ca="1">IFERROR(__xludf.DUMMYFUNCTION("""COMPUTED_VALUE"""),6.22)</f>
        <v>6.22</v>
      </c>
      <c r="H358" s="1">
        <f ca="1">IFERROR(__xludf.DUMMYFUNCTION("""COMPUTED_VALUE"""),9)</f>
        <v>9</v>
      </c>
      <c r="I358" s="1">
        <f ca="1">IFERROR(__xludf.DUMMYFUNCTION("""COMPUTED_VALUE"""),9)</f>
        <v>9</v>
      </c>
      <c r="J358" s="1">
        <f ca="1">IFERROR(__xludf.DUMMYFUNCTION("""COMPUTED_VALUE"""),15)</f>
        <v>15</v>
      </c>
      <c r="K358" s="1">
        <f ca="1">IFERROR(__xludf.DUMMYFUNCTION("""COMPUTED_VALUE"""),4)</f>
        <v>4</v>
      </c>
      <c r="L358" s="1">
        <f ca="1">IFERROR(__xludf.DUMMYFUNCTION("""COMPUTED_VALUE"""),5)</f>
        <v>5</v>
      </c>
      <c r="M358" s="1">
        <f ca="1">IFERROR(__xludf.DUMMYFUNCTION("""COMPUTED_VALUE"""),8)</f>
        <v>8</v>
      </c>
      <c r="N358" s="1">
        <f ca="1">IFERROR(__xludf.DUMMYFUNCTION("""COMPUTED_VALUE"""),2472)</f>
        <v>2472</v>
      </c>
      <c r="O358" s="1">
        <f ca="1">IFERROR(__xludf.DUMMYFUNCTION("""COMPUTED_VALUE"""),2252)</f>
        <v>2252</v>
      </c>
      <c r="P358" s="1">
        <f ca="1">IFERROR(__xludf.DUMMYFUNCTION("""COMPUTED_VALUE"""),1420)</f>
        <v>1420</v>
      </c>
      <c r="Q358" s="1">
        <f ca="1">IFERROR(__xludf.DUMMYFUNCTION("""COMPUTED_VALUE"""),838)</f>
        <v>838</v>
      </c>
      <c r="R358" s="1">
        <f ca="1">IFERROR(__xludf.DUMMYFUNCTION("""COMPUTED_VALUE"""),1775)</f>
        <v>1775</v>
      </c>
      <c r="S358" s="1">
        <f ca="1">IFERROR(__xludf.DUMMYFUNCTION("""COMPUTED_VALUE"""),0.472)</f>
        <v>0.47199999999999998</v>
      </c>
      <c r="T358" s="1">
        <f ca="1">IFERROR(__xludf.DUMMYFUNCTION("""COMPUTED_VALUE"""),255)</f>
        <v>255</v>
      </c>
      <c r="U358" s="1">
        <f ca="1">IFERROR(__xludf.DUMMYFUNCTION("""COMPUTED_VALUE"""),651)</f>
        <v>651</v>
      </c>
      <c r="V358" s="1">
        <f ca="1">IFERROR(__xludf.DUMMYFUNCTION("""COMPUTED_VALUE"""),0.392)</f>
        <v>0.39200000000000002</v>
      </c>
      <c r="W358" s="1">
        <f ca="1">IFERROR(__xludf.DUMMYFUNCTION("""COMPUTED_VALUE"""),541)</f>
        <v>541</v>
      </c>
      <c r="X358" s="1">
        <f ca="1">IFERROR(__xludf.DUMMYFUNCTION("""COMPUTED_VALUE"""),764)</f>
        <v>764</v>
      </c>
      <c r="Y358" s="1">
        <f ca="1">IFERROR(__xludf.DUMMYFUNCTION("""COMPUTED_VALUE"""),0.708)</f>
        <v>0.70799999999999996</v>
      </c>
      <c r="Z358" s="1">
        <f ca="1">IFERROR(__xludf.DUMMYFUNCTION("""COMPUTED_VALUE"""),339)</f>
        <v>339</v>
      </c>
      <c r="AA358" s="1">
        <f ca="1">IFERROR(__xludf.DUMMYFUNCTION("""COMPUTED_VALUE"""),1184)</f>
        <v>1184</v>
      </c>
      <c r="AB358" s="1">
        <f ca="1">IFERROR(__xludf.DUMMYFUNCTION("""COMPUTED_VALUE"""),541)</f>
        <v>541</v>
      </c>
      <c r="AC358" s="1">
        <f ca="1">IFERROR(__xludf.DUMMYFUNCTION("""COMPUTED_VALUE"""),168)</f>
        <v>168</v>
      </c>
      <c r="AD358" s="1">
        <f ca="1">IFERROR(__xludf.DUMMYFUNCTION("""COMPUTED_VALUE"""),186)</f>
        <v>186</v>
      </c>
      <c r="AE358" s="1">
        <f ca="1">IFERROR(__xludf.DUMMYFUNCTION("""COMPUTED_VALUE"""),452)</f>
        <v>452</v>
      </c>
      <c r="AF358" s="1">
        <f ca="1">IFERROR(__xludf.DUMMYFUNCTION("""COMPUTED_VALUE"""),603)</f>
        <v>603</v>
      </c>
    </row>
    <row r="359" spans="1:32" ht="12.5" x14ac:dyDescent="0.25">
      <c r="A359" s="1" t="str">
        <f ca="1">IFERROR(__xludf.DUMMYFUNCTION("""COMPUTED_VALUE"""),"Vermont")</f>
        <v>Vermont</v>
      </c>
      <c r="B359" s="1">
        <f ca="1">IFERROR(__xludf.DUMMYFUNCTION("""COMPUTED_VALUE"""),34)</f>
        <v>34</v>
      </c>
      <c r="C359" s="1">
        <f ca="1">IFERROR(__xludf.DUMMYFUNCTION("""COMPUTED_VALUE"""),20)</f>
        <v>20</v>
      </c>
      <c r="D359" s="1">
        <f ca="1">IFERROR(__xludf.DUMMYFUNCTION("""COMPUTED_VALUE"""),14)</f>
        <v>14</v>
      </c>
      <c r="E359" s="1">
        <f ca="1">IFERROR(__xludf.DUMMYFUNCTION("""COMPUTED_VALUE"""),0.588)</f>
        <v>0.58799999999999997</v>
      </c>
      <c r="F359" s="1">
        <f ca="1">IFERROR(__xludf.DUMMYFUNCTION("""COMPUTED_VALUE"""),1.21)</f>
        <v>1.21</v>
      </c>
      <c r="G359" s="1">
        <f ca="1">IFERROR(__xludf.DUMMYFUNCTION("""COMPUTED_VALUE"""),-5.52)</f>
        <v>-5.52</v>
      </c>
      <c r="H359" s="1">
        <f ca="1">IFERROR(__xludf.DUMMYFUNCTION("""COMPUTED_VALUE"""),12)</f>
        <v>12</v>
      </c>
      <c r="I359" s="1">
        <f ca="1">IFERROR(__xludf.DUMMYFUNCTION("""COMPUTED_VALUE"""),4)</f>
        <v>4</v>
      </c>
      <c r="J359" s="1">
        <f ca="1">IFERROR(__xludf.DUMMYFUNCTION("""COMPUTED_VALUE"""),13)</f>
        <v>13</v>
      </c>
      <c r="K359" s="1">
        <f ca="1">IFERROR(__xludf.DUMMYFUNCTION("""COMPUTED_VALUE"""),4)</f>
        <v>4</v>
      </c>
      <c r="L359" s="1">
        <f ca="1">IFERROR(__xludf.DUMMYFUNCTION("""COMPUTED_VALUE"""),7)</f>
        <v>7</v>
      </c>
      <c r="M359" s="1">
        <f ca="1">IFERROR(__xludf.DUMMYFUNCTION("""COMPUTED_VALUE"""),10)</f>
        <v>10</v>
      </c>
      <c r="N359" s="1">
        <f ca="1">IFERROR(__xludf.DUMMYFUNCTION("""COMPUTED_VALUE"""),2279)</f>
        <v>2279</v>
      </c>
      <c r="O359" s="1">
        <f ca="1">IFERROR(__xludf.DUMMYFUNCTION("""COMPUTED_VALUE"""),2012)</f>
        <v>2012</v>
      </c>
      <c r="P359" s="1">
        <f ca="1">IFERROR(__xludf.DUMMYFUNCTION("""COMPUTED_VALUE"""),1370)</f>
        <v>1370</v>
      </c>
      <c r="Q359" s="1">
        <f ca="1">IFERROR(__xludf.DUMMYFUNCTION("""COMPUTED_VALUE"""),801)</f>
        <v>801</v>
      </c>
      <c r="R359" s="1">
        <f ca="1">IFERROR(__xludf.DUMMYFUNCTION("""COMPUTED_VALUE"""),1701)</f>
        <v>1701</v>
      </c>
      <c r="S359" s="1">
        <f ca="1">IFERROR(__xludf.DUMMYFUNCTION("""COMPUTED_VALUE"""),0.471)</f>
        <v>0.47099999999999997</v>
      </c>
      <c r="T359" s="1">
        <f ca="1">IFERROR(__xludf.DUMMYFUNCTION("""COMPUTED_VALUE"""),182)</f>
        <v>182</v>
      </c>
      <c r="U359" s="1">
        <f ca="1">IFERROR(__xludf.DUMMYFUNCTION("""COMPUTED_VALUE"""),513)</f>
        <v>513</v>
      </c>
      <c r="V359" s="1">
        <f ca="1">IFERROR(__xludf.DUMMYFUNCTION("""COMPUTED_VALUE"""),0.355)</f>
        <v>0.35499999999999998</v>
      </c>
      <c r="W359" s="1">
        <f ca="1">IFERROR(__xludf.DUMMYFUNCTION("""COMPUTED_VALUE"""),495)</f>
        <v>495</v>
      </c>
      <c r="X359" s="1">
        <f ca="1">IFERROR(__xludf.DUMMYFUNCTION("""COMPUTED_VALUE"""),715)</f>
        <v>715</v>
      </c>
      <c r="Y359" s="1">
        <f ca="1">IFERROR(__xludf.DUMMYFUNCTION("""COMPUTED_VALUE"""),0.692)</f>
        <v>0.69199999999999995</v>
      </c>
      <c r="Z359" s="1">
        <f ca="1">IFERROR(__xludf.DUMMYFUNCTION("""COMPUTED_VALUE"""),274)</f>
        <v>274</v>
      </c>
      <c r="AA359" s="1">
        <f ca="1">IFERROR(__xludf.DUMMYFUNCTION("""COMPUTED_VALUE"""),1129)</f>
        <v>1129</v>
      </c>
      <c r="AB359" s="1">
        <f ca="1">IFERROR(__xludf.DUMMYFUNCTION("""COMPUTED_VALUE"""),446)</f>
        <v>446</v>
      </c>
      <c r="AC359" s="1">
        <f ca="1">IFERROR(__xludf.DUMMYFUNCTION("""COMPUTED_VALUE"""),216)</f>
        <v>216</v>
      </c>
      <c r="AD359" s="1">
        <f ca="1">IFERROR(__xludf.DUMMYFUNCTION("""COMPUTED_VALUE"""),173)</f>
        <v>173</v>
      </c>
      <c r="AE359" s="1">
        <f ca="1">IFERROR(__xludf.DUMMYFUNCTION("""COMPUTED_VALUE"""),442)</f>
        <v>442</v>
      </c>
      <c r="AF359" s="1">
        <f ca="1">IFERROR(__xludf.DUMMYFUNCTION("""COMPUTED_VALUE"""),648)</f>
        <v>648</v>
      </c>
    </row>
    <row r="360" spans="1:32" ht="12.5" x14ac:dyDescent="0.25">
      <c r="A360" s="1" t="str">
        <f ca="1">IFERROR(__xludf.DUMMYFUNCTION("""COMPUTED_VALUE"""),"VillanovaNCAA")</f>
        <v>VillanovaNCAA</v>
      </c>
      <c r="B360" s="1">
        <f ca="1">IFERROR(__xludf.DUMMYFUNCTION("""COMPUTED_VALUE"""),36)</f>
        <v>36</v>
      </c>
      <c r="C360" s="1">
        <f ca="1">IFERROR(__xludf.DUMMYFUNCTION("""COMPUTED_VALUE"""),33)</f>
        <v>33</v>
      </c>
      <c r="D360" s="1">
        <f ca="1">IFERROR(__xludf.DUMMYFUNCTION("""COMPUTED_VALUE"""),3)</f>
        <v>3</v>
      </c>
      <c r="E360" s="1">
        <f ca="1">IFERROR(__xludf.DUMMYFUNCTION("""COMPUTED_VALUE"""),0.917)</f>
        <v>0.91700000000000004</v>
      </c>
      <c r="F360" s="1">
        <f ca="1">IFERROR(__xludf.DUMMYFUNCTION("""COMPUTED_VALUE"""),23.13)</f>
        <v>23.13</v>
      </c>
      <c r="G360" s="1">
        <f ca="1">IFERROR(__xludf.DUMMYFUNCTION("""COMPUTED_VALUE"""),7.55)</f>
        <v>7.55</v>
      </c>
      <c r="H360" s="1">
        <f ca="1">IFERROR(__xludf.DUMMYFUNCTION("""COMPUTED_VALUE"""),16)</f>
        <v>16</v>
      </c>
      <c r="I360" s="1">
        <f ca="1">IFERROR(__xludf.DUMMYFUNCTION("""COMPUTED_VALUE"""),2)</f>
        <v>2</v>
      </c>
      <c r="J360" s="1">
        <f ca="1">IFERROR(__xludf.DUMMYFUNCTION("""COMPUTED_VALUE"""),15)</f>
        <v>15</v>
      </c>
      <c r="K360" s="1">
        <f ca="1">IFERROR(__xludf.DUMMYFUNCTION("""COMPUTED_VALUE"""),0)</f>
        <v>0</v>
      </c>
      <c r="L360" s="1">
        <f ca="1">IFERROR(__xludf.DUMMYFUNCTION("""COMPUTED_VALUE"""),9)</f>
        <v>9</v>
      </c>
      <c r="M360" s="1">
        <f ca="1">IFERROR(__xludf.DUMMYFUNCTION("""COMPUTED_VALUE"""),2)</f>
        <v>2</v>
      </c>
      <c r="N360" s="1">
        <f ca="1">IFERROR(__xludf.DUMMYFUNCTION("""COMPUTED_VALUE"""),2754)</f>
        <v>2754</v>
      </c>
      <c r="O360" s="1">
        <f ca="1">IFERROR(__xludf.DUMMYFUNCTION("""COMPUTED_VALUE"""),2193)</f>
        <v>2193</v>
      </c>
      <c r="P360" s="1">
        <f ca="1">IFERROR(__xludf.DUMMYFUNCTION("""COMPUTED_VALUE"""),1450)</f>
        <v>1450</v>
      </c>
      <c r="Q360" s="1">
        <f ca="1">IFERROR(__xludf.DUMMYFUNCTION("""COMPUTED_VALUE"""),916)</f>
        <v>916</v>
      </c>
      <c r="R360" s="1">
        <f ca="1">IFERROR(__xludf.DUMMYFUNCTION("""COMPUTED_VALUE"""),1951)</f>
        <v>1951</v>
      </c>
      <c r="S360" s="1">
        <f ca="1">IFERROR(__xludf.DUMMYFUNCTION("""COMPUTED_VALUE"""),0.47)</f>
        <v>0.47</v>
      </c>
      <c r="T360" s="1">
        <f ca="1">IFERROR(__xludf.DUMMYFUNCTION("""COMPUTED_VALUE"""),326)</f>
        <v>326</v>
      </c>
      <c r="U360" s="1">
        <f ca="1">IFERROR(__xludf.DUMMYFUNCTION("""COMPUTED_VALUE"""),837)</f>
        <v>837</v>
      </c>
      <c r="V360" s="1">
        <f ca="1">IFERROR(__xludf.DUMMYFUNCTION("""COMPUTED_VALUE"""),0.389)</f>
        <v>0.38900000000000001</v>
      </c>
      <c r="W360" s="1">
        <f ca="1">IFERROR(__xludf.DUMMYFUNCTION("""COMPUTED_VALUE"""),596)</f>
        <v>596</v>
      </c>
      <c r="X360" s="1">
        <f ca="1">IFERROR(__xludf.DUMMYFUNCTION("""COMPUTED_VALUE"""),815)</f>
        <v>815</v>
      </c>
      <c r="Y360" s="1">
        <f ca="1">IFERROR(__xludf.DUMMYFUNCTION("""COMPUTED_VALUE"""),0.731)</f>
        <v>0.73099999999999998</v>
      </c>
      <c r="Z360" s="1">
        <f ca="1">IFERROR(__xludf.DUMMYFUNCTION("""COMPUTED_VALUE"""),371)</f>
        <v>371</v>
      </c>
      <c r="AA360" s="1">
        <f ca="1">IFERROR(__xludf.DUMMYFUNCTION("""COMPUTED_VALUE"""),1235)</f>
        <v>1235</v>
      </c>
      <c r="AB360" s="1">
        <f ca="1">IFERROR(__xludf.DUMMYFUNCTION("""COMPUTED_VALUE"""),570)</f>
        <v>570</v>
      </c>
      <c r="AC360" s="1">
        <f ca="1">IFERROR(__xludf.DUMMYFUNCTION("""COMPUTED_VALUE"""),278)</f>
        <v>278</v>
      </c>
      <c r="AD360" s="1">
        <f ca="1">IFERROR(__xludf.DUMMYFUNCTION("""COMPUTED_VALUE"""),146)</f>
        <v>146</v>
      </c>
      <c r="AE360" s="1">
        <f ca="1">IFERROR(__xludf.DUMMYFUNCTION("""COMPUTED_VALUE"""),382)</f>
        <v>382</v>
      </c>
      <c r="AF360" s="1">
        <f ca="1">IFERROR(__xludf.DUMMYFUNCTION("""COMPUTED_VALUE"""),596)</f>
        <v>596</v>
      </c>
    </row>
    <row r="361" spans="1:32" ht="12.5" x14ac:dyDescent="0.25">
      <c r="A361" s="1" t="str">
        <f ca="1">IFERROR(__xludf.DUMMYFUNCTION("""COMPUTED_VALUE"""),"Virginia CommonwealthNCAA")</f>
        <v>Virginia CommonwealthNCAA</v>
      </c>
      <c r="B361" s="1">
        <f ca="1">IFERROR(__xludf.DUMMYFUNCTION("""COMPUTED_VALUE"""),36)</f>
        <v>36</v>
      </c>
      <c r="C361" s="1">
        <f ca="1">IFERROR(__xludf.DUMMYFUNCTION("""COMPUTED_VALUE"""),26)</f>
        <v>26</v>
      </c>
      <c r="D361" s="1">
        <f ca="1">IFERROR(__xludf.DUMMYFUNCTION("""COMPUTED_VALUE"""),10)</f>
        <v>10</v>
      </c>
      <c r="E361" s="1">
        <f ca="1">IFERROR(__xludf.DUMMYFUNCTION("""COMPUTED_VALUE"""),0.722)</f>
        <v>0.72199999999999998</v>
      </c>
      <c r="F361" s="1">
        <f ca="1">IFERROR(__xludf.DUMMYFUNCTION("""COMPUTED_VALUE"""),12.79)</f>
        <v>12.79</v>
      </c>
      <c r="G361" s="1">
        <f ca="1">IFERROR(__xludf.DUMMYFUNCTION("""COMPUTED_VALUE"""),6.1)</f>
        <v>6.1</v>
      </c>
      <c r="H361" s="1">
        <f ca="1">IFERROR(__xludf.DUMMYFUNCTION("""COMPUTED_VALUE"""),12)</f>
        <v>12</v>
      </c>
      <c r="I361" s="1">
        <f ca="1">IFERROR(__xludf.DUMMYFUNCTION("""COMPUTED_VALUE"""),6)</f>
        <v>6</v>
      </c>
      <c r="J361" s="1">
        <f ca="1">IFERROR(__xludf.DUMMYFUNCTION("""COMPUTED_VALUE"""),12)</f>
        <v>12</v>
      </c>
      <c r="K361" s="1">
        <f ca="1">IFERROR(__xludf.DUMMYFUNCTION("""COMPUTED_VALUE"""),4)</f>
        <v>4</v>
      </c>
      <c r="L361" s="1">
        <f ca="1">IFERROR(__xludf.DUMMYFUNCTION("""COMPUTED_VALUE"""),8)</f>
        <v>8</v>
      </c>
      <c r="M361" s="1">
        <f ca="1">IFERROR(__xludf.DUMMYFUNCTION("""COMPUTED_VALUE"""),4)</f>
        <v>4</v>
      </c>
      <c r="N361" s="1">
        <f ca="1">IFERROR(__xludf.DUMMYFUNCTION("""COMPUTED_VALUE"""),2609)</f>
        <v>2609</v>
      </c>
      <c r="O361" s="1">
        <f ca="1">IFERROR(__xludf.DUMMYFUNCTION("""COMPUTED_VALUE"""),2368)</f>
        <v>2368</v>
      </c>
      <c r="P361" s="1">
        <f ca="1">IFERROR(__xludf.DUMMYFUNCTION("""COMPUTED_VALUE"""),1475)</f>
        <v>1475</v>
      </c>
      <c r="Q361" s="1">
        <f ca="1">IFERROR(__xludf.DUMMYFUNCTION("""COMPUTED_VALUE"""),896)</f>
        <v>896</v>
      </c>
      <c r="R361" s="1">
        <f ca="1">IFERROR(__xludf.DUMMYFUNCTION("""COMPUTED_VALUE"""),2139)</f>
        <v>2139</v>
      </c>
      <c r="S361" s="1">
        <f ca="1">IFERROR(__xludf.DUMMYFUNCTION("""COMPUTED_VALUE"""),0.419)</f>
        <v>0.41899999999999998</v>
      </c>
      <c r="T361" s="1">
        <f ca="1">IFERROR(__xludf.DUMMYFUNCTION("""COMPUTED_VALUE"""),293)</f>
        <v>293</v>
      </c>
      <c r="U361" s="1">
        <f ca="1">IFERROR(__xludf.DUMMYFUNCTION("""COMPUTED_VALUE"""),854)</f>
        <v>854</v>
      </c>
      <c r="V361" s="1">
        <f ca="1">IFERROR(__xludf.DUMMYFUNCTION("""COMPUTED_VALUE"""),0.343)</f>
        <v>0.34300000000000003</v>
      </c>
      <c r="W361" s="1">
        <f ca="1">IFERROR(__xludf.DUMMYFUNCTION("""COMPUTED_VALUE"""),524)</f>
        <v>524</v>
      </c>
      <c r="X361" s="1">
        <f ca="1">IFERROR(__xludf.DUMMYFUNCTION("""COMPUTED_VALUE"""),797)</f>
        <v>797</v>
      </c>
      <c r="Y361" s="1">
        <f ca="1">IFERROR(__xludf.DUMMYFUNCTION("""COMPUTED_VALUE"""),0.657)</f>
        <v>0.65700000000000003</v>
      </c>
      <c r="Z361" s="1">
        <f ca="1">IFERROR(__xludf.DUMMYFUNCTION("""COMPUTED_VALUE"""),444)</f>
        <v>444</v>
      </c>
      <c r="AA361" s="1">
        <f ca="1">IFERROR(__xludf.DUMMYFUNCTION("""COMPUTED_VALUE"""),1277)</f>
        <v>1277</v>
      </c>
      <c r="AB361" s="1">
        <f ca="1">IFERROR(__xludf.DUMMYFUNCTION("""COMPUTED_VALUE"""),456)</f>
        <v>456</v>
      </c>
      <c r="AC361" s="1">
        <f ca="1">IFERROR(__xludf.DUMMYFUNCTION("""COMPUTED_VALUE"""),342)</f>
        <v>342</v>
      </c>
      <c r="AD361" s="1">
        <f ca="1">IFERROR(__xludf.DUMMYFUNCTION("""COMPUTED_VALUE"""),153)</f>
        <v>153</v>
      </c>
      <c r="AE361" s="1">
        <f ca="1">IFERROR(__xludf.DUMMYFUNCTION("""COMPUTED_VALUE"""),383)</f>
        <v>383</v>
      </c>
      <c r="AF361" s="1">
        <f ca="1">IFERROR(__xludf.DUMMYFUNCTION("""COMPUTED_VALUE"""),690)</f>
        <v>690</v>
      </c>
    </row>
    <row r="362" spans="1:32" ht="12.5" x14ac:dyDescent="0.25">
      <c r="A362" s="1" t="str">
        <f ca="1">IFERROR(__xludf.DUMMYFUNCTION("""COMPUTED_VALUE"""),"VMI")</f>
        <v>VMI</v>
      </c>
      <c r="B362" s="1">
        <f ca="1">IFERROR(__xludf.DUMMYFUNCTION("""COMPUTED_VALUE"""),30)</f>
        <v>30</v>
      </c>
      <c r="C362" s="1">
        <f ca="1">IFERROR(__xludf.DUMMYFUNCTION("""COMPUTED_VALUE"""),11)</f>
        <v>11</v>
      </c>
      <c r="D362" s="1">
        <f ca="1">IFERROR(__xludf.DUMMYFUNCTION("""COMPUTED_VALUE"""),19)</f>
        <v>19</v>
      </c>
      <c r="E362" s="1">
        <f ca="1">IFERROR(__xludf.DUMMYFUNCTION("""COMPUTED_VALUE"""),0.367)</f>
        <v>0.36699999999999999</v>
      </c>
      <c r="F362" s="1">
        <f ca="1">IFERROR(__xludf.DUMMYFUNCTION("""COMPUTED_VALUE"""),-9.85)</f>
        <v>-9.85</v>
      </c>
      <c r="G362" s="1">
        <f ca="1">IFERROR(__xludf.DUMMYFUNCTION("""COMPUTED_VALUE"""),-3.92)</f>
        <v>-3.92</v>
      </c>
      <c r="H362" s="1">
        <f ca="1">IFERROR(__xludf.DUMMYFUNCTION("""COMPUTED_VALUE"""),7)</f>
        <v>7</v>
      </c>
      <c r="I362" s="1">
        <f ca="1">IFERROR(__xludf.DUMMYFUNCTION("""COMPUTED_VALUE"""),11)</f>
        <v>11</v>
      </c>
      <c r="J362" s="1">
        <f ca="1">IFERROR(__xludf.DUMMYFUNCTION("""COMPUTED_VALUE"""),6)</f>
        <v>6</v>
      </c>
      <c r="K362" s="1">
        <f ca="1">IFERROR(__xludf.DUMMYFUNCTION("""COMPUTED_VALUE"""),7)</f>
        <v>7</v>
      </c>
      <c r="L362" s="1">
        <f ca="1">IFERROR(__xludf.DUMMYFUNCTION("""COMPUTED_VALUE"""),4)</f>
        <v>4</v>
      </c>
      <c r="M362" s="1">
        <f ca="1">IFERROR(__xludf.DUMMYFUNCTION("""COMPUTED_VALUE"""),9)</f>
        <v>9</v>
      </c>
      <c r="N362" s="1">
        <f ca="1">IFERROR(__xludf.DUMMYFUNCTION("""COMPUTED_VALUE"""),2415)</f>
        <v>2415</v>
      </c>
      <c r="O362" s="1">
        <f ca="1">IFERROR(__xludf.DUMMYFUNCTION("""COMPUTED_VALUE"""),2428)</f>
        <v>2428</v>
      </c>
      <c r="P362" s="1">
        <f ca="1">IFERROR(__xludf.DUMMYFUNCTION("""COMPUTED_VALUE"""),1220)</f>
        <v>1220</v>
      </c>
      <c r="Q362" s="1">
        <f ca="1">IFERROR(__xludf.DUMMYFUNCTION("""COMPUTED_VALUE"""),829)</f>
        <v>829</v>
      </c>
      <c r="R362" s="1">
        <f ca="1">IFERROR(__xludf.DUMMYFUNCTION("""COMPUTED_VALUE"""),2074)</f>
        <v>2074</v>
      </c>
      <c r="S362" s="1">
        <f ca="1">IFERROR(__xludf.DUMMYFUNCTION("""COMPUTED_VALUE"""),0.4)</f>
        <v>0.4</v>
      </c>
      <c r="T362" s="1">
        <f ca="1">IFERROR(__xludf.DUMMYFUNCTION("""COMPUTED_VALUE"""),342)</f>
        <v>342</v>
      </c>
      <c r="U362" s="1">
        <f ca="1">IFERROR(__xludf.DUMMYFUNCTION("""COMPUTED_VALUE"""),1078)</f>
        <v>1078</v>
      </c>
      <c r="V362" s="1">
        <f ca="1">IFERROR(__xludf.DUMMYFUNCTION("""COMPUTED_VALUE"""),0.317)</f>
        <v>0.317</v>
      </c>
      <c r="W362" s="1">
        <f ca="1">IFERROR(__xludf.DUMMYFUNCTION("""COMPUTED_VALUE"""),415)</f>
        <v>415</v>
      </c>
      <c r="X362" s="1">
        <f ca="1">IFERROR(__xludf.DUMMYFUNCTION("""COMPUTED_VALUE"""),607)</f>
        <v>607</v>
      </c>
      <c r="Y362" s="1">
        <f ca="1">IFERROR(__xludf.DUMMYFUNCTION("""COMPUTED_VALUE"""),0.684)</f>
        <v>0.68400000000000005</v>
      </c>
      <c r="Z362" s="1">
        <f ca="1">IFERROR(__xludf.DUMMYFUNCTION("""COMPUTED_VALUE"""),434)</f>
        <v>434</v>
      </c>
      <c r="AA362" s="1">
        <f ca="1">IFERROR(__xludf.DUMMYFUNCTION("""COMPUTED_VALUE"""),1178)</f>
        <v>1178</v>
      </c>
      <c r="AB362" s="1">
        <f ca="1">IFERROR(__xludf.DUMMYFUNCTION("""COMPUTED_VALUE"""),408)</f>
        <v>408</v>
      </c>
      <c r="AC362" s="1">
        <f ca="1">IFERROR(__xludf.DUMMYFUNCTION("""COMPUTED_VALUE"""),255)</f>
        <v>255</v>
      </c>
      <c r="AD362" s="1">
        <f ca="1">IFERROR(__xludf.DUMMYFUNCTION("""COMPUTED_VALUE"""),177)</f>
        <v>177</v>
      </c>
      <c r="AE362" s="1">
        <f ca="1">IFERROR(__xludf.DUMMYFUNCTION("""COMPUTED_VALUE"""),449)</f>
        <v>449</v>
      </c>
      <c r="AF362" s="1">
        <f ca="1">IFERROR(__xludf.DUMMYFUNCTION("""COMPUTED_VALUE"""),646)</f>
        <v>646</v>
      </c>
    </row>
    <row r="363" spans="1:32" ht="12.5" x14ac:dyDescent="0.25">
      <c r="A363" s="1" t="str">
        <f ca="1">IFERROR(__xludf.DUMMYFUNCTION("""COMPUTED_VALUE"""),"Virginia Tech")</f>
        <v>Virginia Tech</v>
      </c>
      <c r="B363" s="1">
        <f ca="1">IFERROR(__xludf.DUMMYFUNCTION("""COMPUTED_VALUE"""),33)</f>
        <v>33</v>
      </c>
      <c r="C363" s="1">
        <f ca="1">IFERROR(__xludf.DUMMYFUNCTION("""COMPUTED_VALUE"""),11)</f>
        <v>11</v>
      </c>
      <c r="D363" s="1">
        <f ca="1">IFERROR(__xludf.DUMMYFUNCTION("""COMPUTED_VALUE"""),22)</f>
        <v>22</v>
      </c>
      <c r="E363" s="1">
        <f ca="1">IFERROR(__xludf.DUMMYFUNCTION("""COMPUTED_VALUE"""),0.333)</f>
        <v>0.33300000000000002</v>
      </c>
      <c r="F363" s="1">
        <f ca="1">IFERROR(__xludf.DUMMYFUNCTION("""COMPUTED_VALUE"""),1.29)</f>
        <v>1.29</v>
      </c>
      <c r="G363" s="1">
        <f ca="1">IFERROR(__xludf.DUMMYFUNCTION("""COMPUTED_VALUE"""),5.32)</f>
        <v>5.32</v>
      </c>
      <c r="H363" s="1">
        <f ca="1">IFERROR(__xludf.DUMMYFUNCTION("""COMPUTED_VALUE"""),2)</f>
        <v>2</v>
      </c>
      <c r="I363" s="1">
        <f ca="1">IFERROR(__xludf.DUMMYFUNCTION("""COMPUTED_VALUE"""),16)</f>
        <v>16</v>
      </c>
      <c r="J363" s="1">
        <f ca="1">IFERROR(__xludf.DUMMYFUNCTION("""COMPUTED_VALUE"""),9)</f>
        <v>9</v>
      </c>
      <c r="K363" s="1">
        <f ca="1">IFERROR(__xludf.DUMMYFUNCTION("""COMPUTED_VALUE"""),9)</f>
        <v>9</v>
      </c>
      <c r="L363" s="1">
        <f ca="1">IFERROR(__xludf.DUMMYFUNCTION("""COMPUTED_VALUE"""),0)</f>
        <v>0</v>
      </c>
      <c r="M363" s="1">
        <f ca="1">IFERROR(__xludf.DUMMYFUNCTION("""COMPUTED_VALUE"""),11)</f>
        <v>11</v>
      </c>
      <c r="N363" s="1">
        <f ca="1">IFERROR(__xludf.DUMMYFUNCTION("""COMPUTED_VALUE"""),2156)</f>
        <v>2156</v>
      </c>
      <c r="O363" s="1">
        <f ca="1">IFERROR(__xludf.DUMMYFUNCTION("""COMPUTED_VALUE"""),2289)</f>
        <v>2289</v>
      </c>
      <c r="P363" s="1">
        <f ca="1">IFERROR(__xludf.DUMMYFUNCTION("""COMPUTED_VALUE"""),1330)</f>
        <v>1330</v>
      </c>
      <c r="Q363" s="1">
        <f ca="1">IFERROR(__xludf.DUMMYFUNCTION("""COMPUTED_VALUE"""),779)</f>
        <v>779</v>
      </c>
      <c r="R363" s="1">
        <f ca="1">IFERROR(__xludf.DUMMYFUNCTION("""COMPUTED_VALUE"""),1747)</f>
        <v>1747</v>
      </c>
      <c r="S363" s="1">
        <f ca="1">IFERROR(__xludf.DUMMYFUNCTION("""COMPUTED_VALUE"""),0.446)</f>
        <v>0.44600000000000001</v>
      </c>
      <c r="T363" s="1">
        <f ca="1">IFERROR(__xludf.DUMMYFUNCTION("""COMPUTED_VALUE"""),241)</f>
        <v>241</v>
      </c>
      <c r="U363" s="1">
        <f ca="1">IFERROR(__xludf.DUMMYFUNCTION("""COMPUTED_VALUE"""),619)</f>
        <v>619</v>
      </c>
      <c r="V363" s="1">
        <f ca="1">IFERROR(__xludf.DUMMYFUNCTION("""COMPUTED_VALUE"""),0.389)</f>
        <v>0.38900000000000001</v>
      </c>
      <c r="W363" s="1">
        <f ca="1">IFERROR(__xludf.DUMMYFUNCTION("""COMPUTED_VALUE"""),357)</f>
        <v>357</v>
      </c>
      <c r="X363" s="1">
        <f ca="1">IFERROR(__xludf.DUMMYFUNCTION("""COMPUTED_VALUE"""),558)</f>
        <v>558</v>
      </c>
      <c r="Y363" s="1">
        <f ca="1">IFERROR(__xludf.DUMMYFUNCTION("""COMPUTED_VALUE"""),0.64)</f>
        <v>0.64</v>
      </c>
      <c r="Z363" s="1">
        <f ca="1">IFERROR(__xludf.DUMMYFUNCTION("""COMPUTED_VALUE"""),274)</f>
        <v>274</v>
      </c>
      <c r="AA363" s="1">
        <f ca="1">IFERROR(__xludf.DUMMYFUNCTION("""COMPUTED_VALUE"""),978)</f>
        <v>978</v>
      </c>
      <c r="AB363" s="1">
        <f ca="1">IFERROR(__xludf.DUMMYFUNCTION("""COMPUTED_VALUE"""),395)</f>
        <v>395</v>
      </c>
      <c r="AC363" s="1">
        <f ca="1">IFERROR(__xludf.DUMMYFUNCTION("""COMPUTED_VALUE"""),144)</f>
        <v>144</v>
      </c>
      <c r="AD363" s="1">
        <f ca="1">IFERROR(__xludf.DUMMYFUNCTION("""COMPUTED_VALUE"""),97)</f>
        <v>97</v>
      </c>
      <c r="AE363" s="1">
        <f ca="1">IFERROR(__xludf.DUMMYFUNCTION("""COMPUTED_VALUE"""),386)</f>
        <v>386</v>
      </c>
      <c r="AF363" s="1">
        <f ca="1">IFERROR(__xludf.DUMMYFUNCTION("""COMPUTED_VALUE"""),598)</f>
        <v>598</v>
      </c>
    </row>
    <row r="364" spans="1:32" ht="12.5" x14ac:dyDescent="0.25">
      <c r="A364" s="1" t="str">
        <f ca="1">IFERROR(__xludf.DUMMYFUNCTION("""COMPUTED_VALUE"""),"VirginiaNCAA")</f>
        <v>VirginiaNCAA</v>
      </c>
      <c r="B364" s="1">
        <f ca="1">IFERROR(__xludf.DUMMYFUNCTION("""COMPUTED_VALUE"""),34)</f>
        <v>34</v>
      </c>
      <c r="C364" s="1">
        <f ca="1">IFERROR(__xludf.DUMMYFUNCTION("""COMPUTED_VALUE"""),30)</f>
        <v>30</v>
      </c>
      <c r="D364" s="1">
        <f ca="1">IFERROR(__xludf.DUMMYFUNCTION("""COMPUTED_VALUE"""),4)</f>
        <v>4</v>
      </c>
      <c r="E364" s="1">
        <f ca="1">IFERROR(__xludf.DUMMYFUNCTION("""COMPUTED_VALUE"""),0.882)</f>
        <v>0.88200000000000001</v>
      </c>
      <c r="F364" s="1">
        <f ca="1">IFERROR(__xludf.DUMMYFUNCTION("""COMPUTED_VALUE"""),21.73)</f>
        <v>21.73</v>
      </c>
      <c r="G364" s="1">
        <f ca="1">IFERROR(__xludf.DUMMYFUNCTION("""COMPUTED_VALUE"""),7.81)</f>
        <v>7.81</v>
      </c>
      <c r="H364" s="1">
        <f ca="1">IFERROR(__xludf.DUMMYFUNCTION("""COMPUTED_VALUE"""),16)</f>
        <v>16</v>
      </c>
      <c r="I364" s="1">
        <f ca="1">IFERROR(__xludf.DUMMYFUNCTION("""COMPUTED_VALUE"""),2)</f>
        <v>2</v>
      </c>
      <c r="J364" s="1">
        <f ca="1">IFERROR(__xludf.DUMMYFUNCTION("""COMPUTED_VALUE"""),15)</f>
        <v>15</v>
      </c>
      <c r="K364" s="1">
        <f ca="1">IFERROR(__xludf.DUMMYFUNCTION("""COMPUTED_VALUE"""),1)</f>
        <v>1</v>
      </c>
      <c r="L364" s="1">
        <f ca="1">IFERROR(__xludf.DUMMYFUNCTION("""COMPUTED_VALUE"""),11)</f>
        <v>11</v>
      </c>
      <c r="M364" s="1">
        <f ca="1">IFERROR(__xludf.DUMMYFUNCTION("""COMPUTED_VALUE"""),1)</f>
        <v>1</v>
      </c>
      <c r="N364" s="1">
        <f ca="1">IFERROR(__xludf.DUMMYFUNCTION("""COMPUTED_VALUE"""),2224)</f>
        <v>2224</v>
      </c>
      <c r="O364" s="1">
        <f ca="1">IFERROR(__xludf.DUMMYFUNCTION("""COMPUTED_VALUE"""),1751)</f>
        <v>1751</v>
      </c>
      <c r="P364" s="1">
        <f ca="1">IFERROR(__xludf.DUMMYFUNCTION("""COMPUTED_VALUE"""),1370)</f>
        <v>1370</v>
      </c>
      <c r="Q364" s="1">
        <f ca="1">IFERROR(__xludf.DUMMYFUNCTION("""COMPUTED_VALUE"""),804)</f>
        <v>804</v>
      </c>
      <c r="R364" s="1">
        <f ca="1">IFERROR(__xludf.DUMMYFUNCTION("""COMPUTED_VALUE"""),1758)</f>
        <v>1758</v>
      </c>
      <c r="S364" s="1">
        <f ca="1">IFERROR(__xludf.DUMMYFUNCTION("""COMPUTED_VALUE"""),0.457)</f>
        <v>0.45700000000000002</v>
      </c>
      <c r="T364" s="1">
        <f ca="1">IFERROR(__xludf.DUMMYFUNCTION("""COMPUTED_VALUE"""),170)</f>
        <v>170</v>
      </c>
      <c r="U364" s="1">
        <f ca="1">IFERROR(__xludf.DUMMYFUNCTION("""COMPUTED_VALUE"""),483)</f>
        <v>483</v>
      </c>
      <c r="V364" s="1">
        <f ca="1">IFERROR(__xludf.DUMMYFUNCTION("""COMPUTED_VALUE"""),0.352)</f>
        <v>0.35199999999999998</v>
      </c>
      <c r="W364" s="1">
        <f ca="1">IFERROR(__xludf.DUMMYFUNCTION("""COMPUTED_VALUE"""),446)</f>
        <v>446</v>
      </c>
      <c r="X364" s="1">
        <f ca="1">IFERROR(__xludf.DUMMYFUNCTION("""COMPUTED_VALUE"""),614)</f>
        <v>614</v>
      </c>
      <c r="Y364" s="1">
        <f ca="1">IFERROR(__xludf.DUMMYFUNCTION("""COMPUTED_VALUE"""),0.726)</f>
        <v>0.72599999999999998</v>
      </c>
      <c r="Z364" s="1">
        <f ca="1">IFERROR(__xludf.DUMMYFUNCTION("""COMPUTED_VALUE"""),358)</f>
        <v>358</v>
      </c>
      <c r="AA364" s="1">
        <f ca="1">IFERROR(__xludf.DUMMYFUNCTION("""COMPUTED_VALUE"""),1232)</f>
        <v>1232</v>
      </c>
      <c r="AB364" s="1">
        <f ca="1">IFERROR(__xludf.DUMMYFUNCTION("""COMPUTED_VALUE"""),430)</f>
        <v>430</v>
      </c>
      <c r="AC364" s="1">
        <f ca="1">IFERROR(__xludf.DUMMYFUNCTION("""COMPUTED_VALUE"""),186)</f>
        <v>186</v>
      </c>
      <c r="AD364" s="1">
        <f ca="1">IFERROR(__xludf.DUMMYFUNCTION("""COMPUTED_VALUE"""),143)</f>
        <v>143</v>
      </c>
      <c r="AE364" s="1">
        <f ca="1">IFERROR(__xludf.DUMMYFUNCTION("""COMPUTED_VALUE"""),316)</f>
        <v>316</v>
      </c>
      <c r="AF364" s="1">
        <f ca="1">IFERROR(__xludf.DUMMYFUNCTION("""COMPUTED_VALUE"""),484)</f>
        <v>484</v>
      </c>
    </row>
    <row r="365" spans="1:32" ht="12.5" x14ac:dyDescent="0.25">
      <c r="A365" s="1" t="str">
        <f ca="1">IFERROR(__xludf.DUMMYFUNCTION("""COMPUTED_VALUE"""),"Wagner")</f>
        <v>Wagner</v>
      </c>
      <c r="B365" s="1">
        <f ca="1">IFERROR(__xludf.DUMMYFUNCTION("""COMPUTED_VALUE"""),30)</f>
        <v>30</v>
      </c>
      <c r="C365" s="1">
        <f ca="1">IFERROR(__xludf.DUMMYFUNCTION("""COMPUTED_VALUE"""),10)</f>
        <v>10</v>
      </c>
      <c r="D365" s="1">
        <f ca="1">IFERROR(__xludf.DUMMYFUNCTION("""COMPUTED_VALUE"""),20)</f>
        <v>20</v>
      </c>
      <c r="E365" s="1">
        <f ca="1">IFERROR(__xludf.DUMMYFUNCTION("""COMPUTED_VALUE"""),0.333)</f>
        <v>0.33300000000000002</v>
      </c>
      <c r="F365" s="1">
        <f ca="1">IFERROR(__xludf.DUMMYFUNCTION("""COMPUTED_VALUE"""),-11.47)</f>
        <v>-11.47</v>
      </c>
      <c r="G365" s="1">
        <f ca="1">IFERROR(__xludf.DUMMYFUNCTION("""COMPUTED_VALUE"""),-4.99)</f>
        <v>-4.99</v>
      </c>
      <c r="H365" s="1">
        <f ca="1">IFERROR(__xludf.DUMMYFUNCTION("""COMPUTED_VALUE"""),8)</f>
        <v>8</v>
      </c>
      <c r="I365" s="1">
        <f ca="1">IFERROR(__xludf.DUMMYFUNCTION("""COMPUTED_VALUE"""),10)</f>
        <v>10</v>
      </c>
      <c r="J365" s="1">
        <f ca="1">IFERROR(__xludf.DUMMYFUNCTION("""COMPUTED_VALUE"""),8)</f>
        <v>8</v>
      </c>
      <c r="K365" s="1">
        <f ca="1">IFERROR(__xludf.DUMMYFUNCTION("""COMPUTED_VALUE"""),5)</f>
        <v>5</v>
      </c>
      <c r="L365" s="1">
        <f ca="1">IFERROR(__xludf.DUMMYFUNCTION("""COMPUTED_VALUE"""),2)</f>
        <v>2</v>
      </c>
      <c r="M365" s="1">
        <f ca="1">IFERROR(__xludf.DUMMYFUNCTION("""COMPUTED_VALUE"""),15)</f>
        <v>15</v>
      </c>
      <c r="N365" s="1">
        <f ca="1">IFERROR(__xludf.DUMMYFUNCTION("""COMPUTED_VALUE"""),2052)</f>
        <v>2052</v>
      </c>
      <c r="O365" s="1">
        <f ca="1">IFERROR(__xludf.DUMMYFUNCTION("""COMPUTED_VALUE"""),2206)</f>
        <v>2206</v>
      </c>
      <c r="P365" s="1">
        <f ca="1">IFERROR(__xludf.DUMMYFUNCTION("""COMPUTED_VALUE"""),1220)</f>
        <v>1220</v>
      </c>
      <c r="Q365" s="1">
        <f ca="1">IFERROR(__xludf.DUMMYFUNCTION("""COMPUTED_VALUE"""),722)</f>
        <v>722</v>
      </c>
      <c r="R365" s="1">
        <f ca="1">IFERROR(__xludf.DUMMYFUNCTION("""COMPUTED_VALUE"""),1804)</f>
        <v>1804</v>
      </c>
      <c r="S365" s="1">
        <f ca="1">IFERROR(__xludf.DUMMYFUNCTION("""COMPUTED_VALUE"""),0.4)</f>
        <v>0.4</v>
      </c>
      <c r="T365" s="1">
        <f ca="1">IFERROR(__xludf.DUMMYFUNCTION("""COMPUTED_VALUE"""),179)</f>
        <v>179</v>
      </c>
      <c r="U365" s="1">
        <f ca="1">IFERROR(__xludf.DUMMYFUNCTION("""COMPUTED_VALUE"""),574)</f>
        <v>574</v>
      </c>
      <c r="V365" s="1">
        <f ca="1">IFERROR(__xludf.DUMMYFUNCTION("""COMPUTED_VALUE"""),0.312)</f>
        <v>0.312</v>
      </c>
      <c r="W365" s="1">
        <f ca="1">IFERROR(__xludf.DUMMYFUNCTION("""COMPUTED_VALUE"""),429)</f>
        <v>429</v>
      </c>
      <c r="X365" s="1">
        <f ca="1">IFERROR(__xludf.DUMMYFUNCTION("""COMPUTED_VALUE"""),616)</f>
        <v>616</v>
      </c>
      <c r="Y365" s="1">
        <f ca="1">IFERROR(__xludf.DUMMYFUNCTION("""COMPUTED_VALUE"""),0.696)</f>
        <v>0.69599999999999995</v>
      </c>
      <c r="Z365" s="1">
        <f ca="1">IFERROR(__xludf.DUMMYFUNCTION("""COMPUTED_VALUE"""),445)</f>
        <v>445</v>
      </c>
      <c r="AA365" s="1">
        <f ca="1">IFERROR(__xludf.DUMMYFUNCTION("""COMPUTED_VALUE"""),1112)</f>
        <v>1112</v>
      </c>
      <c r="AB365" s="1">
        <f ca="1">IFERROR(__xludf.DUMMYFUNCTION("""COMPUTED_VALUE"""),324)</f>
        <v>324</v>
      </c>
      <c r="AC365" s="1">
        <f ca="1">IFERROR(__xludf.DUMMYFUNCTION("""COMPUTED_VALUE"""),195)</f>
        <v>195</v>
      </c>
      <c r="AD365" s="1">
        <f ca="1">IFERROR(__xludf.DUMMYFUNCTION("""COMPUTED_VALUE"""),79)</f>
        <v>79</v>
      </c>
      <c r="AE365" s="1">
        <f ca="1">IFERROR(__xludf.DUMMYFUNCTION("""COMPUTED_VALUE"""),420)</f>
        <v>420</v>
      </c>
      <c r="AF365" s="1">
        <f ca="1">IFERROR(__xludf.DUMMYFUNCTION("""COMPUTED_VALUE"""),681)</f>
        <v>681</v>
      </c>
    </row>
    <row r="366" spans="1:32" ht="12.5" x14ac:dyDescent="0.25">
      <c r="A366" s="1" t="str">
        <f ca="1">IFERROR(__xludf.DUMMYFUNCTION("""COMPUTED_VALUE"""),"Wake Forest")</f>
        <v>Wake Forest</v>
      </c>
      <c r="B366" s="1">
        <f ca="1">IFERROR(__xludf.DUMMYFUNCTION("""COMPUTED_VALUE"""),32)</f>
        <v>32</v>
      </c>
      <c r="C366" s="1">
        <f ca="1">IFERROR(__xludf.DUMMYFUNCTION("""COMPUTED_VALUE"""),13)</f>
        <v>13</v>
      </c>
      <c r="D366" s="1">
        <f ca="1">IFERROR(__xludf.DUMMYFUNCTION("""COMPUTED_VALUE"""),19)</f>
        <v>19</v>
      </c>
      <c r="E366" s="1">
        <f ca="1">IFERROR(__xludf.DUMMYFUNCTION("""COMPUTED_VALUE"""),0.406)</f>
        <v>0.40600000000000003</v>
      </c>
      <c r="F366" s="1">
        <f ca="1">IFERROR(__xludf.DUMMYFUNCTION("""COMPUTED_VALUE"""),4.62)</f>
        <v>4.62</v>
      </c>
      <c r="G366" s="1">
        <f ca="1">IFERROR(__xludf.DUMMYFUNCTION("""COMPUTED_VALUE"""),7.68)</f>
        <v>7.68</v>
      </c>
      <c r="H366" s="1">
        <f ca="1">IFERROR(__xludf.DUMMYFUNCTION("""COMPUTED_VALUE"""),5)</f>
        <v>5</v>
      </c>
      <c r="I366" s="1">
        <f ca="1">IFERROR(__xludf.DUMMYFUNCTION("""COMPUTED_VALUE"""),13)</f>
        <v>13</v>
      </c>
      <c r="J366" s="1">
        <f ca="1">IFERROR(__xludf.DUMMYFUNCTION("""COMPUTED_VALUE"""),11)</f>
        <v>11</v>
      </c>
      <c r="K366" s="1">
        <f ca="1">IFERROR(__xludf.DUMMYFUNCTION("""COMPUTED_VALUE"""),7)</f>
        <v>7</v>
      </c>
      <c r="L366" s="1">
        <f ca="1">IFERROR(__xludf.DUMMYFUNCTION("""COMPUTED_VALUE"""),2)</f>
        <v>2</v>
      </c>
      <c r="M366" s="1">
        <f ca="1">IFERROR(__xludf.DUMMYFUNCTION("""COMPUTED_VALUE"""),10)</f>
        <v>10</v>
      </c>
      <c r="N366" s="1">
        <f ca="1">IFERROR(__xludf.DUMMYFUNCTION("""COMPUTED_VALUE"""),2209)</f>
        <v>2209</v>
      </c>
      <c r="O366" s="1">
        <f ca="1">IFERROR(__xludf.DUMMYFUNCTION("""COMPUTED_VALUE"""),2307)</f>
        <v>2307</v>
      </c>
      <c r="P366" s="1">
        <f ca="1">IFERROR(__xludf.DUMMYFUNCTION("""COMPUTED_VALUE"""),1295)</f>
        <v>1295</v>
      </c>
      <c r="Q366" s="1">
        <f ca="1">IFERROR(__xludf.DUMMYFUNCTION("""COMPUTED_VALUE"""),762)</f>
        <v>762</v>
      </c>
      <c r="R366" s="1">
        <f ca="1">IFERROR(__xludf.DUMMYFUNCTION("""COMPUTED_VALUE"""),1809)</f>
        <v>1809</v>
      </c>
      <c r="S366" s="1">
        <f ca="1">IFERROR(__xludf.DUMMYFUNCTION("""COMPUTED_VALUE"""),0.421)</f>
        <v>0.42099999999999999</v>
      </c>
      <c r="T366" s="1">
        <f ca="1">IFERROR(__xludf.DUMMYFUNCTION("""COMPUTED_VALUE"""),206)</f>
        <v>206</v>
      </c>
      <c r="U366" s="1">
        <f ca="1">IFERROR(__xludf.DUMMYFUNCTION("""COMPUTED_VALUE"""),614)</f>
        <v>614</v>
      </c>
      <c r="V366" s="1">
        <f ca="1">IFERROR(__xludf.DUMMYFUNCTION("""COMPUTED_VALUE"""),0.336)</f>
        <v>0.33600000000000002</v>
      </c>
      <c r="W366" s="1">
        <f ca="1">IFERROR(__xludf.DUMMYFUNCTION("""COMPUTED_VALUE"""),479)</f>
        <v>479</v>
      </c>
      <c r="X366" s="1">
        <f ca="1">IFERROR(__xludf.DUMMYFUNCTION("""COMPUTED_VALUE"""),751)</f>
        <v>751</v>
      </c>
      <c r="Y366" s="1">
        <f ca="1">IFERROR(__xludf.DUMMYFUNCTION("""COMPUTED_VALUE"""),0.638)</f>
        <v>0.63800000000000001</v>
      </c>
      <c r="Z366" s="1">
        <f ca="1">IFERROR(__xludf.DUMMYFUNCTION("""COMPUTED_VALUE"""),375)</f>
        <v>375</v>
      </c>
      <c r="AA366" s="1">
        <f ca="1">IFERROR(__xludf.DUMMYFUNCTION("""COMPUTED_VALUE"""),1200)</f>
        <v>1200</v>
      </c>
      <c r="AB366" s="1">
        <f ca="1">IFERROR(__xludf.DUMMYFUNCTION("""COMPUTED_VALUE"""),451)</f>
        <v>451</v>
      </c>
      <c r="AC366" s="1">
        <f ca="1">IFERROR(__xludf.DUMMYFUNCTION("""COMPUTED_VALUE"""),208)</f>
        <v>208</v>
      </c>
      <c r="AD366" s="1">
        <f ca="1">IFERROR(__xludf.DUMMYFUNCTION("""COMPUTED_VALUE"""),123)</f>
        <v>123</v>
      </c>
      <c r="AE366" s="1">
        <f ca="1">IFERROR(__xludf.DUMMYFUNCTION("""COMPUTED_VALUE"""),428)</f>
        <v>428</v>
      </c>
      <c r="AF366" s="1">
        <f ca="1">IFERROR(__xludf.DUMMYFUNCTION("""COMPUTED_VALUE"""),579)</f>
        <v>579</v>
      </c>
    </row>
    <row r="367" spans="1:32" ht="12.5" x14ac:dyDescent="0.25">
      <c r="A367" s="1" t="str">
        <f ca="1">IFERROR(__xludf.DUMMYFUNCTION("""COMPUTED_VALUE"""),"Washington State")</f>
        <v>Washington State</v>
      </c>
      <c r="B367" s="1">
        <f ca="1">IFERROR(__xludf.DUMMYFUNCTION("""COMPUTED_VALUE"""),31)</f>
        <v>31</v>
      </c>
      <c r="C367" s="1">
        <f ca="1">IFERROR(__xludf.DUMMYFUNCTION("""COMPUTED_VALUE"""),13)</f>
        <v>13</v>
      </c>
      <c r="D367" s="1">
        <f ca="1">IFERROR(__xludf.DUMMYFUNCTION("""COMPUTED_VALUE"""),18)</f>
        <v>18</v>
      </c>
      <c r="E367" s="1">
        <f ca="1">IFERROR(__xludf.DUMMYFUNCTION("""COMPUTED_VALUE"""),0.419)</f>
        <v>0.41899999999999998</v>
      </c>
      <c r="F367" s="1">
        <f ca="1">IFERROR(__xludf.DUMMYFUNCTION("""COMPUTED_VALUE"""),0.14)</f>
        <v>0.14000000000000001</v>
      </c>
      <c r="G367" s="1">
        <f ca="1">IFERROR(__xludf.DUMMYFUNCTION("""COMPUTED_VALUE"""),6.08)</f>
        <v>6.08</v>
      </c>
      <c r="H367" s="1">
        <f ca="1">IFERROR(__xludf.DUMMYFUNCTION("""COMPUTED_VALUE"""),7)</f>
        <v>7</v>
      </c>
      <c r="I367" s="1">
        <f ca="1">IFERROR(__xludf.DUMMYFUNCTION("""COMPUTED_VALUE"""),11)</f>
        <v>11</v>
      </c>
      <c r="J367" s="1">
        <f ca="1">IFERROR(__xludf.DUMMYFUNCTION("""COMPUTED_VALUE"""),8)</f>
        <v>8</v>
      </c>
      <c r="K367" s="1">
        <f ca="1">IFERROR(__xludf.DUMMYFUNCTION("""COMPUTED_VALUE"""),6)</f>
        <v>6</v>
      </c>
      <c r="L367" s="1">
        <f ca="1">IFERROR(__xludf.DUMMYFUNCTION("""COMPUTED_VALUE"""),3)</f>
        <v>3</v>
      </c>
      <c r="M367" s="1">
        <f ca="1">IFERROR(__xludf.DUMMYFUNCTION("""COMPUTED_VALUE"""),9)</f>
        <v>9</v>
      </c>
      <c r="N367" s="1">
        <f ca="1">IFERROR(__xludf.DUMMYFUNCTION("""COMPUTED_VALUE"""),2189)</f>
        <v>2189</v>
      </c>
      <c r="O367" s="1">
        <f ca="1">IFERROR(__xludf.DUMMYFUNCTION("""COMPUTED_VALUE"""),2373)</f>
        <v>2373</v>
      </c>
      <c r="P367" s="1">
        <f ca="1">IFERROR(__xludf.DUMMYFUNCTION("""COMPUTED_VALUE"""),1255)</f>
        <v>1255</v>
      </c>
      <c r="Q367" s="1">
        <f ca="1">IFERROR(__xludf.DUMMYFUNCTION("""COMPUTED_VALUE"""),743)</f>
        <v>743</v>
      </c>
      <c r="R367" s="1">
        <f ca="1">IFERROR(__xludf.DUMMYFUNCTION("""COMPUTED_VALUE"""),1712)</f>
        <v>1712</v>
      </c>
      <c r="S367" s="1">
        <f ca="1">IFERROR(__xludf.DUMMYFUNCTION("""COMPUTED_VALUE"""),0.434)</f>
        <v>0.434</v>
      </c>
      <c r="T367" s="1">
        <f ca="1">IFERROR(__xludf.DUMMYFUNCTION("""COMPUTED_VALUE"""),214)</f>
        <v>214</v>
      </c>
      <c r="U367" s="1">
        <f ca="1">IFERROR(__xludf.DUMMYFUNCTION("""COMPUTED_VALUE"""),626)</f>
        <v>626</v>
      </c>
      <c r="V367" s="1">
        <f ca="1">IFERROR(__xludf.DUMMYFUNCTION("""COMPUTED_VALUE"""),0.342)</f>
        <v>0.34200000000000003</v>
      </c>
      <c r="W367" s="1">
        <f ca="1">IFERROR(__xludf.DUMMYFUNCTION("""COMPUTED_VALUE"""),489)</f>
        <v>489</v>
      </c>
      <c r="X367" s="1">
        <f ca="1">IFERROR(__xludf.DUMMYFUNCTION("""COMPUTED_VALUE"""),679)</f>
        <v>679</v>
      </c>
      <c r="Y367" s="1">
        <f ca="1">IFERROR(__xludf.DUMMYFUNCTION("""COMPUTED_VALUE"""),0.72)</f>
        <v>0.72</v>
      </c>
      <c r="Z367" s="1">
        <f ca="1">IFERROR(__xludf.DUMMYFUNCTION("""COMPUTED_VALUE"""),282)</f>
        <v>282</v>
      </c>
      <c r="AA367" s="1">
        <f ca="1">IFERROR(__xludf.DUMMYFUNCTION("""COMPUTED_VALUE"""),1026)</f>
        <v>1026</v>
      </c>
      <c r="AB367" s="1">
        <f ca="1">IFERROR(__xludf.DUMMYFUNCTION("""COMPUTED_VALUE"""),453)</f>
        <v>453</v>
      </c>
      <c r="AC367" s="1">
        <f ca="1">IFERROR(__xludf.DUMMYFUNCTION("""COMPUTED_VALUE"""),120)</f>
        <v>120</v>
      </c>
      <c r="AD367" s="1">
        <f ca="1">IFERROR(__xludf.DUMMYFUNCTION("""COMPUTED_VALUE"""),102)</f>
        <v>102</v>
      </c>
      <c r="AE367" s="1">
        <f ca="1">IFERROR(__xludf.DUMMYFUNCTION("""COMPUTED_VALUE"""),367)</f>
        <v>367</v>
      </c>
      <c r="AF367" s="1">
        <f ca="1">IFERROR(__xludf.DUMMYFUNCTION("""COMPUTED_VALUE"""),570)</f>
        <v>570</v>
      </c>
    </row>
    <row r="368" spans="1:32" ht="12.5" x14ac:dyDescent="0.25">
      <c r="A368" s="1" t="str">
        <f ca="1">IFERROR(__xludf.DUMMYFUNCTION("""COMPUTED_VALUE"""),"Washington")</f>
        <v>Washington</v>
      </c>
      <c r="B368" s="1">
        <f ca="1">IFERROR(__xludf.DUMMYFUNCTION("""COMPUTED_VALUE"""),31)</f>
        <v>31</v>
      </c>
      <c r="C368" s="1">
        <f ca="1">IFERROR(__xludf.DUMMYFUNCTION("""COMPUTED_VALUE"""),16)</f>
        <v>16</v>
      </c>
      <c r="D368" s="1">
        <f ca="1">IFERROR(__xludf.DUMMYFUNCTION("""COMPUTED_VALUE"""),15)</f>
        <v>15</v>
      </c>
      <c r="E368" s="1">
        <f ca="1">IFERROR(__xludf.DUMMYFUNCTION("""COMPUTED_VALUE"""),0.516)</f>
        <v>0.51600000000000001</v>
      </c>
      <c r="F368" s="1">
        <f ca="1">IFERROR(__xludf.DUMMYFUNCTION("""COMPUTED_VALUE"""),5.57)</f>
        <v>5.57</v>
      </c>
      <c r="G368" s="1">
        <f ca="1">IFERROR(__xludf.DUMMYFUNCTION("""COMPUTED_VALUE"""),4.83)</f>
        <v>4.83</v>
      </c>
      <c r="H368" s="1">
        <f ca="1">IFERROR(__xludf.DUMMYFUNCTION("""COMPUTED_VALUE"""),5)</f>
        <v>5</v>
      </c>
      <c r="I368" s="1">
        <f ca="1">IFERROR(__xludf.DUMMYFUNCTION("""COMPUTED_VALUE"""),13)</f>
        <v>13</v>
      </c>
      <c r="J368" s="1">
        <f ca="1">IFERROR(__xludf.DUMMYFUNCTION("""COMPUTED_VALUE"""),8)</f>
        <v>8</v>
      </c>
      <c r="K368" s="1">
        <f ca="1">IFERROR(__xludf.DUMMYFUNCTION("""COMPUTED_VALUE"""),7)</f>
        <v>7</v>
      </c>
      <c r="L368" s="1">
        <f ca="1">IFERROR(__xludf.DUMMYFUNCTION("""COMPUTED_VALUE"""),3)</f>
        <v>3</v>
      </c>
      <c r="M368" s="1">
        <f ca="1">IFERROR(__xludf.DUMMYFUNCTION("""COMPUTED_VALUE"""),7)</f>
        <v>7</v>
      </c>
      <c r="N368" s="1">
        <f ca="1">IFERROR(__xludf.DUMMYFUNCTION("""COMPUTED_VALUE"""),2128)</f>
        <v>2128</v>
      </c>
      <c r="O368" s="1">
        <f ca="1">IFERROR(__xludf.DUMMYFUNCTION("""COMPUTED_VALUE"""),2105)</f>
        <v>2105</v>
      </c>
      <c r="P368" s="1">
        <f ca="1">IFERROR(__xludf.DUMMYFUNCTION("""COMPUTED_VALUE"""),1245)</f>
        <v>1245</v>
      </c>
      <c r="Q368" s="1">
        <f ca="1">IFERROR(__xludf.DUMMYFUNCTION("""COMPUTED_VALUE"""),765)</f>
        <v>765</v>
      </c>
      <c r="R368" s="1">
        <f ca="1">IFERROR(__xludf.DUMMYFUNCTION("""COMPUTED_VALUE"""),1747)</f>
        <v>1747</v>
      </c>
      <c r="S368" s="1">
        <f ca="1">IFERROR(__xludf.DUMMYFUNCTION("""COMPUTED_VALUE"""),0.438)</f>
        <v>0.438</v>
      </c>
      <c r="T368" s="1">
        <f ca="1">IFERROR(__xludf.DUMMYFUNCTION("""COMPUTED_VALUE"""),193)</f>
        <v>193</v>
      </c>
      <c r="U368" s="1">
        <f ca="1">IFERROR(__xludf.DUMMYFUNCTION("""COMPUTED_VALUE"""),579)</f>
        <v>579</v>
      </c>
      <c r="V368" s="1">
        <f ca="1">IFERROR(__xludf.DUMMYFUNCTION("""COMPUTED_VALUE"""),0.333)</f>
        <v>0.33300000000000002</v>
      </c>
      <c r="W368" s="1">
        <f ca="1">IFERROR(__xludf.DUMMYFUNCTION("""COMPUTED_VALUE"""),405)</f>
        <v>405</v>
      </c>
      <c r="X368" s="1">
        <f ca="1">IFERROR(__xludf.DUMMYFUNCTION("""COMPUTED_VALUE"""),593)</f>
        <v>593</v>
      </c>
      <c r="Y368" s="1">
        <f ca="1">IFERROR(__xludf.DUMMYFUNCTION("""COMPUTED_VALUE"""),0.683)</f>
        <v>0.68300000000000005</v>
      </c>
      <c r="Z368" s="1">
        <f ca="1">IFERROR(__xludf.DUMMYFUNCTION("""COMPUTED_VALUE"""),329)</f>
        <v>329</v>
      </c>
      <c r="AA368" s="1">
        <f ca="1">IFERROR(__xludf.DUMMYFUNCTION("""COMPUTED_VALUE"""),1082)</f>
        <v>1082</v>
      </c>
      <c r="AB368" s="1">
        <f ca="1">IFERROR(__xludf.DUMMYFUNCTION("""COMPUTED_VALUE"""),412)</f>
        <v>412</v>
      </c>
      <c r="AC368" s="1">
        <f ca="1">IFERROR(__xludf.DUMMYFUNCTION("""COMPUTED_VALUE"""),152)</f>
        <v>152</v>
      </c>
      <c r="AD368" s="1">
        <f ca="1">IFERROR(__xludf.DUMMYFUNCTION("""COMPUTED_VALUE"""),153)</f>
        <v>153</v>
      </c>
      <c r="AE368" s="1">
        <f ca="1">IFERROR(__xludf.DUMMYFUNCTION("""COMPUTED_VALUE"""),361)</f>
        <v>361</v>
      </c>
      <c r="AF368" s="1">
        <f ca="1">IFERROR(__xludf.DUMMYFUNCTION("""COMPUTED_VALUE"""),535)</f>
        <v>535</v>
      </c>
    </row>
    <row r="369" spans="1:32" ht="12.5" x14ac:dyDescent="0.25">
      <c r="A369" s="1" t="str">
        <f ca="1">IFERROR(__xludf.DUMMYFUNCTION("""COMPUTED_VALUE"""),"Weber State")</f>
        <v>Weber State</v>
      </c>
      <c r="B369" s="1">
        <f ca="1">IFERROR(__xludf.DUMMYFUNCTION("""COMPUTED_VALUE"""),30)</f>
        <v>30</v>
      </c>
      <c r="C369" s="1">
        <f ca="1">IFERROR(__xludf.DUMMYFUNCTION("""COMPUTED_VALUE"""),13)</f>
        <v>13</v>
      </c>
      <c r="D369" s="1">
        <f ca="1">IFERROR(__xludf.DUMMYFUNCTION("""COMPUTED_VALUE"""),17)</f>
        <v>17</v>
      </c>
      <c r="E369" s="1">
        <f ca="1">IFERROR(__xludf.DUMMYFUNCTION("""COMPUTED_VALUE"""),0.433)</f>
        <v>0.433</v>
      </c>
      <c r="F369" s="1">
        <f ca="1">IFERROR(__xludf.DUMMYFUNCTION("""COMPUTED_VALUE"""),-7.29)</f>
        <v>-7.29</v>
      </c>
      <c r="G369" s="1">
        <f ca="1">IFERROR(__xludf.DUMMYFUNCTION("""COMPUTED_VALUE"""),-3.5)</f>
        <v>-3.5</v>
      </c>
      <c r="H369" s="1">
        <f ca="1">IFERROR(__xludf.DUMMYFUNCTION("""COMPUTED_VALUE"""),8)</f>
        <v>8</v>
      </c>
      <c r="I369" s="1">
        <f ca="1">IFERROR(__xludf.DUMMYFUNCTION("""COMPUTED_VALUE"""),10)</f>
        <v>10</v>
      </c>
      <c r="J369" s="1">
        <f ca="1">IFERROR(__xludf.DUMMYFUNCTION("""COMPUTED_VALUE"""),8)</f>
        <v>8</v>
      </c>
      <c r="K369" s="1">
        <f ca="1">IFERROR(__xludf.DUMMYFUNCTION("""COMPUTED_VALUE"""),6)</f>
        <v>6</v>
      </c>
      <c r="L369" s="1">
        <f ca="1">IFERROR(__xludf.DUMMYFUNCTION("""COMPUTED_VALUE"""),4)</f>
        <v>4</v>
      </c>
      <c r="M369" s="1">
        <f ca="1">IFERROR(__xludf.DUMMYFUNCTION("""COMPUTED_VALUE"""),9)</f>
        <v>9</v>
      </c>
      <c r="N369" s="1">
        <f ca="1">IFERROR(__xludf.DUMMYFUNCTION("""COMPUTED_VALUE"""),2010)</f>
        <v>2010</v>
      </c>
      <c r="O369" s="1">
        <f ca="1">IFERROR(__xludf.DUMMYFUNCTION("""COMPUTED_VALUE"""),2041)</f>
        <v>2041</v>
      </c>
      <c r="P369" s="1">
        <f ca="1">IFERROR(__xludf.DUMMYFUNCTION("""COMPUTED_VALUE"""),1210)</f>
        <v>1210</v>
      </c>
      <c r="Q369" s="1">
        <f ca="1">IFERROR(__xludf.DUMMYFUNCTION("""COMPUTED_VALUE"""),641)</f>
        <v>641</v>
      </c>
      <c r="R369" s="1">
        <f ca="1">IFERROR(__xludf.DUMMYFUNCTION("""COMPUTED_VALUE"""),1518)</f>
        <v>1518</v>
      </c>
      <c r="S369" s="1">
        <f ca="1">IFERROR(__xludf.DUMMYFUNCTION("""COMPUTED_VALUE"""),0.422)</f>
        <v>0.42199999999999999</v>
      </c>
      <c r="T369" s="1">
        <f ca="1">IFERROR(__xludf.DUMMYFUNCTION("""COMPUTED_VALUE"""),217)</f>
        <v>217</v>
      </c>
      <c r="U369" s="1">
        <f ca="1">IFERROR(__xludf.DUMMYFUNCTION("""COMPUTED_VALUE"""),607)</f>
        <v>607</v>
      </c>
      <c r="V369" s="1">
        <f ca="1">IFERROR(__xludf.DUMMYFUNCTION("""COMPUTED_VALUE"""),0.357)</f>
        <v>0.35699999999999998</v>
      </c>
      <c r="W369" s="1">
        <f ca="1">IFERROR(__xludf.DUMMYFUNCTION("""COMPUTED_VALUE"""),511)</f>
        <v>511</v>
      </c>
      <c r="X369" s="1">
        <f ca="1">IFERROR(__xludf.DUMMYFUNCTION("""COMPUTED_VALUE"""),683)</f>
        <v>683</v>
      </c>
      <c r="Y369" s="1">
        <f ca="1">IFERROR(__xludf.DUMMYFUNCTION("""COMPUTED_VALUE"""),0.748)</f>
        <v>0.748</v>
      </c>
      <c r="Z369" s="1">
        <f ca="1">IFERROR(__xludf.DUMMYFUNCTION("""COMPUTED_VALUE"""),283)</f>
        <v>283</v>
      </c>
      <c r="AA369" s="1">
        <f ca="1">IFERROR(__xludf.DUMMYFUNCTION("""COMPUTED_VALUE"""),997)</f>
        <v>997</v>
      </c>
      <c r="AB369" s="1">
        <f ca="1">IFERROR(__xludf.DUMMYFUNCTION("""COMPUTED_VALUE"""),358)</f>
        <v>358</v>
      </c>
      <c r="AC369" s="1">
        <f ca="1">IFERROR(__xludf.DUMMYFUNCTION("""COMPUTED_VALUE"""),158)</f>
        <v>158</v>
      </c>
      <c r="AD369" s="1">
        <f ca="1">IFERROR(__xludf.DUMMYFUNCTION("""COMPUTED_VALUE"""),120)</f>
        <v>120</v>
      </c>
      <c r="AE369" s="1">
        <f ca="1">IFERROR(__xludf.DUMMYFUNCTION("""COMPUTED_VALUE"""),402)</f>
        <v>402</v>
      </c>
      <c r="AF369" s="1">
        <f ca="1">IFERROR(__xludf.DUMMYFUNCTION("""COMPUTED_VALUE"""),539)</f>
        <v>539</v>
      </c>
    </row>
    <row r="370" spans="1:32" ht="12.5" x14ac:dyDescent="0.25">
      <c r="A370" s="1" t="str">
        <f ca="1">IFERROR(__xludf.DUMMYFUNCTION("""COMPUTED_VALUE"""),"West VirginiaNCAA")</f>
        <v>West VirginiaNCAA</v>
      </c>
      <c r="B370" s="1">
        <f ca="1">IFERROR(__xludf.DUMMYFUNCTION("""COMPUTED_VALUE"""),35)</f>
        <v>35</v>
      </c>
      <c r="C370" s="1">
        <f ca="1">IFERROR(__xludf.DUMMYFUNCTION("""COMPUTED_VALUE"""),25)</f>
        <v>25</v>
      </c>
      <c r="D370" s="1">
        <f ca="1">IFERROR(__xludf.DUMMYFUNCTION("""COMPUTED_VALUE"""),10)</f>
        <v>10</v>
      </c>
      <c r="E370" s="1">
        <f ca="1">IFERROR(__xludf.DUMMYFUNCTION("""COMPUTED_VALUE"""),0.714)</f>
        <v>0.71399999999999997</v>
      </c>
      <c r="F370" s="1">
        <f ca="1">IFERROR(__xludf.DUMMYFUNCTION("""COMPUTED_VALUE"""),15.12)</f>
        <v>15.12</v>
      </c>
      <c r="G370" s="1">
        <f ca="1">IFERROR(__xludf.DUMMYFUNCTION("""COMPUTED_VALUE"""),9.29)</f>
        <v>9.2899999999999991</v>
      </c>
      <c r="H370" s="1">
        <f ca="1">IFERROR(__xludf.DUMMYFUNCTION("""COMPUTED_VALUE"""),11)</f>
        <v>11</v>
      </c>
      <c r="I370" s="1">
        <f ca="1">IFERROR(__xludf.DUMMYFUNCTION("""COMPUTED_VALUE"""),7)</f>
        <v>7</v>
      </c>
      <c r="J370" s="1">
        <f ca="1">IFERROR(__xludf.DUMMYFUNCTION("""COMPUTED_VALUE"""),12)</f>
        <v>12</v>
      </c>
      <c r="K370" s="1">
        <f ca="1">IFERROR(__xludf.DUMMYFUNCTION("""COMPUTED_VALUE"""),3)</f>
        <v>3</v>
      </c>
      <c r="L370" s="1">
        <f ca="1">IFERROR(__xludf.DUMMYFUNCTION("""COMPUTED_VALUE"""),5)</f>
        <v>5</v>
      </c>
      <c r="M370" s="1">
        <f ca="1">IFERROR(__xludf.DUMMYFUNCTION("""COMPUTED_VALUE"""),5)</f>
        <v>5</v>
      </c>
      <c r="N370" s="1">
        <f ca="1">IFERROR(__xludf.DUMMYFUNCTION("""COMPUTED_VALUE"""),2542)</f>
        <v>2542</v>
      </c>
      <c r="O370" s="1">
        <f ca="1">IFERROR(__xludf.DUMMYFUNCTION("""COMPUTED_VALUE"""),2338)</f>
        <v>2338</v>
      </c>
      <c r="P370" s="1">
        <f ca="1">IFERROR(__xludf.DUMMYFUNCTION("""COMPUTED_VALUE"""),1410)</f>
        <v>1410</v>
      </c>
      <c r="Q370" s="1">
        <f ca="1">IFERROR(__xludf.DUMMYFUNCTION("""COMPUTED_VALUE"""),872)</f>
        <v>872</v>
      </c>
      <c r="R370" s="1">
        <f ca="1">IFERROR(__xludf.DUMMYFUNCTION("""COMPUTED_VALUE"""),2138)</f>
        <v>2138</v>
      </c>
      <c r="S370" s="1">
        <f ca="1">IFERROR(__xludf.DUMMYFUNCTION("""COMPUTED_VALUE"""),0.408)</f>
        <v>0.40799999999999997</v>
      </c>
      <c r="T370" s="1">
        <f ca="1">IFERROR(__xludf.DUMMYFUNCTION("""COMPUTED_VALUE"""),227)</f>
        <v>227</v>
      </c>
      <c r="U370" s="1">
        <f ca="1">IFERROR(__xludf.DUMMYFUNCTION("""COMPUTED_VALUE"""),719)</f>
        <v>719</v>
      </c>
      <c r="V370" s="1">
        <f ca="1">IFERROR(__xludf.DUMMYFUNCTION("""COMPUTED_VALUE"""),0.316)</f>
        <v>0.316</v>
      </c>
      <c r="W370" s="1">
        <f ca="1">IFERROR(__xludf.DUMMYFUNCTION("""COMPUTED_VALUE"""),571)</f>
        <v>571</v>
      </c>
      <c r="X370" s="1">
        <f ca="1">IFERROR(__xludf.DUMMYFUNCTION("""COMPUTED_VALUE"""),863)</f>
        <v>863</v>
      </c>
      <c r="Y370" s="1">
        <f ca="1">IFERROR(__xludf.DUMMYFUNCTION("""COMPUTED_VALUE"""),0.662)</f>
        <v>0.66200000000000003</v>
      </c>
      <c r="Z370" s="1">
        <f ca="1">IFERROR(__xludf.DUMMYFUNCTION("""COMPUTED_VALUE"""),575)</f>
        <v>575</v>
      </c>
      <c r="AA370" s="1">
        <f ca="1">IFERROR(__xludf.DUMMYFUNCTION("""COMPUTED_VALUE"""),1272)</f>
        <v>1272</v>
      </c>
      <c r="AB370" s="1">
        <f ca="1">IFERROR(__xludf.DUMMYFUNCTION("""COMPUTED_VALUE"""),494)</f>
        <v>494</v>
      </c>
      <c r="AC370" s="1">
        <f ca="1">IFERROR(__xludf.DUMMYFUNCTION("""COMPUTED_VALUE"""),376)</f>
        <v>376</v>
      </c>
      <c r="AD370" s="1">
        <f ca="1">IFERROR(__xludf.DUMMYFUNCTION("""COMPUTED_VALUE"""),96)</f>
        <v>96</v>
      </c>
      <c r="AE370" s="1">
        <f ca="1">IFERROR(__xludf.DUMMYFUNCTION("""COMPUTED_VALUE"""),453)</f>
        <v>453</v>
      </c>
      <c r="AF370" s="1">
        <f ca="1">IFERROR(__xludf.DUMMYFUNCTION("""COMPUTED_VALUE"""),821)</f>
        <v>821</v>
      </c>
    </row>
    <row r="371" spans="1:32" ht="12.5" x14ac:dyDescent="0.25">
      <c r="A371" s="1" t="str">
        <f ca="1">IFERROR(__xludf.DUMMYFUNCTION("""COMPUTED_VALUE"""),"Western Carolina")</f>
        <v>Western Carolina</v>
      </c>
      <c r="B371" s="1">
        <f ca="1">IFERROR(__xludf.DUMMYFUNCTION("""COMPUTED_VALUE"""),32)</f>
        <v>32</v>
      </c>
      <c r="C371" s="1">
        <f ca="1">IFERROR(__xludf.DUMMYFUNCTION("""COMPUTED_VALUE"""),15)</f>
        <v>15</v>
      </c>
      <c r="D371" s="1">
        <f ca="1">IFERROR(__xludf.DUMMYFUNCTION("""COMPUTED_VALUE"""),17)</f>
        <v>17</v>
      </c>
      <c r="E371" s="1">
        <f ca="1">IFERROR(__xludf.DUMMYFUNCTION("""COMPUTED_VALUE"""),0.469)</f>
        <v>0.46899999999999997</v>
      </c>
      <c r="F371" s="1">
        <f ca="1">IFERROR(__xludf.DUMMYFUNCTION("""COMPUTED_VALUE"""),-5.83)</f>
        <v>-5.83</v>
      </c>
      <c r="G371" s="1">
        <f ca="1">IFERROR(__xludf.DUMMYFUNCTION("""COMPUTED_VALUE"""),-3.56)</f>
        <v>-3.56</v>
      </c>
      <c r="H371" s="1">
        <f ca="1">IFERROR(__xludf.DUMMYFUNCTION("""COMPUTED_VALUE"""),9)</f>
        <v>9</v>
      </c>
      <c r="I371" s="1">
        <f ca="1">IFERROR(__xludf.DUMMYFUNCTION("""COMPUTED_VALUE"""),9)</f>
        <v>9</v>
      </c>
      <c r="J371" s="1">
        <f ca="1">IFERROR(__xludf.DUMMYFUNCTION("""COMPUTED_VALUE"""),7)</f>
        <v>7</v>
      </c>
      <c r="K371" s="1">
        <f ca="1">IFERROR(__xludf.DUMMYFUNCTION("""COMPUTED_VALUE"""),5)</f>
        <v>5</v>
      </c>
      <c r="L371" s="1">
        <f ca="1">IFERROR(__xludf.DUMMYFUNCTION("""COMPUTED_VALUE"""),6)</f>
        <v>6</v>
      </c>
      <c r="M371" s="1">
        <f ca="1">IFERROR(__xludf.DUMMYFUNCTION("""COMPUTED_VALUE"""),10)</f>
        <v>10</v>
      </c>
      <c r="N371" s="1">
        <f ca="1">IFERROR(__xludf.DUMMYFUNCTION("""COMPUTED_VALUE"""),2251)</f>
        <v>2251</v>
      </c>
      <c r="O371" s="1">
        <f ca="1">IFERROR(__xludf.DUMMYFUNCTION("""COMPUTED_VALUE"""),2284)</f>
        <v>2284</v>
      </c>
      <c r="P371" s="1">
        <f ca="1">IFERROR(__xludf.DUMMYFUNCTION("""COMPUTED_VALUE"""),1305)</f>
        <v>1305</v>
      </c>
      <c r="Q371" s="1">
        <f ca="1">IFERROR(__xludf.DUMMYFUNCTION("""COMPUTED_VALUE"""),799)</f>
        <v>799</v>
      </c>
      <c r="R371" s="1">
        <f ca="1">IFERROR(__xludf.DUMMYFUNCTION("""COMPUTED_VALUE"""),1839)</f>
        <v>1839</v>
      </c>
      <c r="S371" s="1">
        <f ca="1">IFERROR(__xludf.DUMMYFUNCTION("""COMPUTED_VALUE"""),0.434)</f>
        <v>0.434</v>
      </c>
      <c r="T371" s="1">
        <f ca="1">IFERROR(__xludf.DUMMYFUNCTION("""COMPUTED_VALUE"""),197)</f>
        <v>197</v>
      </c>
      <c r="U371" s="1">
        <f ca="1">IFERROR(__xludf.DUMMYFUNCTION("""COMPUTED_VALUE"""),576)</f>
        <v>576</v>
      </c>
      <c r="V371" s="1">
        <f ca="1">IFERROR(__xludf.DUMMYFUNCTION("""COMPUTED_VALUE"""),0.342)</f>
        <v>0.34200000000000003</v>
      </c>
      <c r="W371" s="1">
        <f ca="1">IFERROR(__xludf.DUMMYFUNCTION("""COMPUTED_VALUE"""),456)</f>
        <v>456</v>
      </c>
      <c r="X371" s="1">
        <f ca="1">IFERROR(__xludf.DUMMYFUNCTION("""COMPUTED_VALUE"""),651)</f>
        <v>651</v>
      </c>
      <c r="Y371" s="1">
        <f ca="1">IFERROR(__xludf.DUMMYFUNCTION("""COMPUTED_VALUE"""),0.7)</f>
        <v>0.7</v>
      </c>
      <c r="Z371" s="1">
        <f ca="1">IFERROR(__xludf.DUMMYFUNCTION("""COMPUTED_VALUE"""),401)</f>
        <v>401</v>
      </c>
      <c r="AA371" s="1">
        <f ca="1">IFERROR(__xludf.DUMMYFUNCTION("""COMPUTED_VALUE"""),1130)</f>
        <v>1130</v>
      </c>
      <c r="AB371" s="1">
        <f ca="1">IFERROR(__xludf.DUMMYFUNCTION("""COMPUTED_VALUE"""),375)</f>
        <v>375</v>
      </c>
      <c r="AC371" s="1">
        <f ca="1">IFERROR(__xludf.DUMMYFUNCTION("""COMPUTED_VALUE"""),260)</f>
        <v>260</v>
      </c>
      <c r="AD371" s="1">
        <f ca="1">IFERROR(__xludf.DUMMYFUNCTION("""COMPUTED_VALUE"""),141)</f>
        <v>141</v>
      </c>
      <c r="AE371" s="1">
        <f ca="1">IFERROR(__xludf.DUMMYFUNCTION("""COMPUTED_VALUE"""),435)</f>
        <v>435</v>
      </c>
      <c r="AF371" s="1">
        <f ca="1">IFERROR(__xludf.DUMMYFUNCTION("""COMPUTED_VALUE"""),671)</f>
        <v>671</v>
      </c>
    </row>
    <row r="372" spans="1:32" ht="12.5" x14ac:dyDescent="0.25">
      <c r="A372" s="1" t="str">
        <f ca="1">IFERROR(__xludf.DUMMYFUNCTION("""COMPUTED_VALUE"""),"Western Illinois")</f>
        <v>Western Illinois</v>
      </c>
      <c r="B372" s="1">
        <f ca="1">IFERROR(__xludf.DUMMYFUNCTION("""COMPUTED_VALUE"""),28)</f>
        <v>28</v>
      </c>
      <c r="C372" s="1">
        <f ca="1">IFERROR(__xludf.DUMMYFUNCTION("""COMPUTED_VALUE"""),8)</f>
        <v>8</v>
      </c>
      <c r="D372" s="1">
        <f ca="1">IFERROR(__xludf.DUMMYFUNCTION("""COMPUTED_VALUE"""),20)</f>
        <v>20</v>
      </c>
      <c r="E372" s="1">
        <f ca="1">IFERROR(__xludf.DUMMYFUNCTION("""COMPUTED_VALUE"""),0.286)</f>
        <v>0.28599999999999998</v>
      </c>
      <c r="F372" s="1">
        <f ca="1">IFERROR(__xludf.DUMMYFUNCTION("""COMPUTED_VALUE"""),-13.81)</f>
        <v>-13.81</v>
      </c>
      <c r="G372" s="1">
        <f ca="1">IFERROR(__xludf.DUMMYFUNCTION("""COMPUTED_VALUE"""),-2.93)</f>
        <v>-2.93</v>
      </c>
      <c r="H372" s="1">
        <f ca="1">IFERROR(__xludf.DUMMYFUNCTION("""COMPUTED_VALUE"""),3)</f>
        <v>3</v>
      </c>
      <c r="I372" s="1">
        <f ca="1">IFERROR(__xludf.DUMMYFUNCTION("""COMPUTED_VALUE"""),13)</f>
        <v>13</v>
      </c>
      <c r="J372" s="1">
        <f ca="1">IFERROR(__xludf.DUMMYFUNCTION("""COMPUTED_VALUE"""),8)</f>
        <v>8</v>
      </c>
      <c r="K372" s="1">
        <f ca="1">IFERROR(__xludf.DUMMYFUNCTION("""COMPUTED_VALUE"""),6)</f>
        <v>6</v>
      </c>
      <c r="L372" s="1">
        <f ca="1">IFERROR(__xludf.DUMMYFUNCTION("""COMPUTED_VALUE"""),0)</f>
        <v>0</v>
      </c>
      <c r="M372" s="1">
        <f ca="1">IFERROR(__xludf.DUMMYFUNCTION("""COMPUTED_VALUE"""),13)</f>
        <v>13</v>
      </c>
      <c r="N372" s="1">
        <f ca="1">IFERROR(__xludf.DUMMYFUNCTION("""COMPUTED_VALUE"""),1747)</f>
        <v>1747</v>
      </c>
      <c r="O372" s="1">
        <f ca="1">IFERROR(__xludf.DUMMYFUNCTION("""COMPUTED_VALUE"""),1983)</f>
        <v>1983</v>
      </c>
      <c r="P372" s="1">
        <f ca="1">IFERROR(__xludf.DUMMYFUNCTION("""COMPUTED_VALUE"""),1125)</f>
        <v>1125</v>
      </c>
      <c r="Q372" s="1">
        <f ca="1">IFERROR(__xludf.DUMMYFUNCTION("""COMPUTED_VALUE"""),618)</f>
        <v>618</v>
      </c>
      <c r="R372" s="1">
        <f ca="1">IFERROR(__xludf.DUMMYFUNCTION("""COMPUTED_VALUE"""),1543)</f>
        <v>1543</v>
      </c>
      <c r="S372" s="1">
        <f ca="1">IFERROR(__xludf.DUMMYFUNCTION("""COMPUTED_VALUE"""),0.401)</f>
        <v>0.40100000000000002</v>
      </c>
      <c r="T372" s="1">
        <f ca="1">IFERROR(__xludf.DUMMYFUNCTION("""COMPUTED_VALUE"""),188)</f>
        <v>188</v>
      </c>
      <c r="U372" s="1">
        <f ca="1">IFERROR(__xludf.DUMMYFUNCTION("""COMPUTED_VALUE"""),537)</f>
        <v>537</v>
      </c>
      <c r="V372" s="1">
        <f ca="1">IFERROR(__xludf.DUMMYFUNCTION("""COMPUTED_VALUE"""),0.35)</f>
        <v>0.35</v>
      </c>
      <c r="W372" s="1">
        <f ca="1">IFERROR(__xludf.DUMMYFUNCTION("""COMPUTED_VALUE"""),323)</f>
        <v>323</v>
      </c>
      <c r="X372" s="1">
        <f ca="1">IFERROR(__xludf.DUMMYFUNCTION("""COMPUTED_VALUE"""),463)</f>
        <v>463</v>
      </c>
      <c r="Y372" s="1">
        <f ca="1">IFERROR(__xludf.DUMMYFUNCTION("""COMPUTED_VALUE"""),0.698)</f>
        <v>0.69799999999999995</v>
      </c>
      <c r="Z372" s="1">
        <f ca="1">IFERROR(__xludf.DUMMYFUNCTION("""COMPUTED_VALUE"""),207)</f>
        <v>207</v>
      </c>
      <c r="AA372" s="1">
        <f ca="1">IFERROR(__xludf.DUMMYFUNCTION("""COMPUTED_VALUE"""),907)</f>
        <v>907</v>
      </c>
      <c r="AB372" s="1">
        <f ca="1">IFERROR(__xludf.DUMMYFUNCTION("""COMPUTED_VALUE"""),335)</f>
        <v>335</v>
      </c>
      <c r="AC372" s="1">
        <f ca="1">IFERROR(__xludf.DUMMYFUNCTION("""COMPUTED_VALUE"""),148)</f>
        <v>148</v>
      </c>
      <c r="AD372" s="1">
        <f ca="1">IFERROR(__xludf.DUMMYFUNCTION("""COMPUTED_VALUE"""),67)</f>
        <v>67</v>
      </c>
      <c r="AE372" s="1">
        <f ca="1">IFERROR(__xludf.DUMMYFUNCTION("""COMPUTED_VALUE"""),352)</f>
        <v>352</v>
      </c>
      <c r="AF372" s="1">
        <f ca="1">IFERROR(__xludf.DUMMYFUNCTION("""COMPUTED_VALUE"""),483)</f>
        <v>483</v>
      </c>
    </row>
    <row r="373" spans="1:32" ht="12.5" x14ac:dyDescent="0.25">
      <c r="A373" s="1" t="str">
        <f ca="1">IFERROR(__xludf.DUMMYFUNCTION("""COMPUTED_VALUE"""),"Western Kentucky")</f>
        <v>Western Kentucky</v>
      </c>
      <c r="B373" s="1">
        <f ca="1">IFERROR(__xludf.DUMMYFUNCTION("""COMPUTED_VALUE"""),32)</f>
        <v>32</v>
      </c>
      <c r="C373" s="1">
        <f ca="1">IFERROR(__xludf.DUMMYFUNCTION("""COMPUTED_VALUE"""),20)</f>
        <v>20</v>
      </c>
      <c r="D373" s="1">
        <f ca="1">IFERROR(__xludf.DUMMYFUNCTION("""COMPUTED_VALUE"""),12)</f>
        <v>12</v>
      </c>
      <c r="E373" s="1">
        <f ca="1">IFERROR(__xludf.DUMMYFUNCTION("""COMPUTED_VALUE"""),0.625)</f>
        <v>0.625</v>
      </c>
      <c r="F373" s="1">
        <f ca="1">IFERROR(__xludf.DUMMYFUNCTION("""COMPUTED_VALUE"""),1.12)</f>
        <v>1.1200000000000001</v>
      </c>
      <c r="G373" s="1">
        <f ca="1">IFERROR(__xludf.DUMMYFUNCTION("""COMPUTED_VALUE"""),-0.44)</f>
        <v>-0.44</v>
      </c>
      <c r="H373" s="1">
        <f ca="1">IFERROR(__xludf.DUMMYFUNCTION("""COMPUTED_VALUE"""),12)</f>
        <v>12</v>
      </c>
      <c r="I373" s="1">
        <f ca="1">IFERROR(__xludf.DUMMYFUNCTION("""COMPUTED_VALUE"""),6)</f>
        <v>6</v>
      </c>
      <c r="J373" s="1">
        <f ca="1">IFERROR(__xludf.DUMMYFUNCTION("""COMPUTED_VALUE"""),13)</f>
        <v>13</v>
      </c>
      <c r="K373" s="1">
        <f ca="1">IFERROR(__xludf.DUMMYFUNCTION("""COMPUTED_VALUE"""),3)</f>
        <v>3</v>
      </c>
      <c r="L373" s="1">
        <f ca="1">IFERROR(__xludf.DUMMYFUNCTION("""COMPUTED_VALUE"""),5)</f>
        <v>5</v>
      </c>
      <c r="M373" s="1">
        <f ca="1">IFERROR(__xludf.DUMMYFUNCTION("""COMPUTED_VALUE"""),8)</f>
        <v>8</v>
      </c>
      <c r="N373" s="1">
        <f ca="1">IFERROR(__xludf.DUMMYFUNCTION("""COMPUTED_VALUE"""),2285)</f>
        <v>2285</v>
      </c>
      <c r="O373" s="1">
        <f ca="1">IFERROR(__xludf.DUMMYFUNCTION("""COMPUTED_VALUE"""),2149)</f>
        <v>2149</v>
      </c>
      <c r="P373" s="1">
        <f ca="1">IFERROR(__xludf.DUMMYFUNCTION("""COMPUTED_VALUE"""),1295)</f>
        <v>1295</v>
      </c>
      <c r="Q373" s="1">
        <f ca="1">IFERROR(__xludf.DUMMYFUNCTION("""COMPUTED_VALUE"""),793)</f>
        <v>793</v>
      </c>
      <c r="R373" s="1">
        <f ca="1">IFERROR(__xludf.DUMMYFUNCTION("""COMPUTED_VALUE"""),1824)</f>
        <v>1824</v>
      </c>
      <c r="S373" s="1">
        <f ca="1">IFERROR(__xludf.DUMMYFUNCTION("""COMPUTED_VALUE"""),0.435)</f>
        <v>0.435</v>
      </c>
      <c r="T373" s="1">
        <f ca="1">IFERROR(__xludf.DUMMYFUNCTION("""COMPUTED_VALUE"""),248)</f>
        <v>248</v>
      </c>
      <c r="U373" s="1">
        <f ca="1">IFERROR(__xludf.DUMMYFUNCTION("""COMPUTED_VALUE"""),685)</f>
        <v>685</v>
      </c>
      <c r="V373" s="1">
        <f ca="1">IFERROR(__xludf.DUMMYFUNCTION("""COMPUTED_VALUE"""),0.362)</f>
        <v>0.36199999999999999</v>
      </c>
      <c r="W373" s="1">
        <f ca="1">IFERROR(__xludf.DUMMYFUNCTION("""COMPUTED_VALUE"""),451)</f>
        <v>451</v>
      </c>
      <c r="X373" s="1">
        <f ca="1">IFERROR(__xludf.DUMMYFUNCTION("""COMPUTED_VALUE"""),690)</f>
        <v>690</v>
      </c>
      <c r="Y373" s="1">
        <f ca="1">IFERROR(__xludf.DUMMYFUNCTION("""COMPUTED_VALUE"""),0.654)</f>
        <v>0.65400000000000003</v>
      </c>
      <c r="Z373" s="1">
        <f ca="1">IFERROR(__xludf.DUMMYFUNCTION("""COMPUTED_VALUE"""),363)</f>
        <v>363</v>
      </c>
      <c r="AA373" s="1">
        <f ca="1">IFERROR(__xludf.DUMMYFUNCTION("""COMPUTED_VALUE"""),1190)</f>
        <v>1190</v>
      </c>
      <c r="AB373" s="1">
        <f ca="1">IFERROR(__xludf.DUMMYFUNCTION("""COMPUTED_VALUE"""),456)</f>
        <v>456</v>
      </c>
      <c r="AC373" s="1">
        <f ca="1">IFERROR(__xludf.DUMMYFUNCTION("""COMPUTED_VALUE"""),175)</f>
        <v>175</v>
      </c>
      <c r="AD373" s="1">
        <f ca="1">IFERROR(__xludf.DUMMYFUNCTION("""COMPUTED_VALUE"""),106)</f>
        <v>106</v>
      </c>
      <c r="AE373" s="1">
        <f ca="1">IFERROR(__xludf.DUMMYFUNCTION("""COMPUTED_VALUE"""),413)</f>
        <v>413</v>
      </c>
      <c r="AF373" s="1">
        <f ca="1">IFERROR(__xludf.DUMMYFUNCTION("""COMPUTED_VALUE"""),580)</f>
        <v>580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IFERROR(__xludf.DUMMYFUNCTION("""COMPUTED_VALUE"""),"Western Michigan")</f>
        <v>Western Michigan</v>
      </c>
      <c r="B376" s="1">
        <f ca="1">IFERROR(__xludf.DUMMYFUNCTION("""COMPUTED_VALUE"""),34)</f>
        <v>34</v>
      </c>
      <c r="C376" s="1">
        <f ca="1">IFERROR(__xludf.DUMMYFUNCTION("""COMPUTED_VALUE"""),20)</f>
        <v>20</v>
      </c>
      <c r="D376" s="1">
        <f ca="1">IFERROR(__xludf.DUMMYFUNCTION("""COMPUTED_VALUE"""),14)</f>
        <v>14</v>
      </c>
      <c r="E376" s="1">
        <f ca="1">IFERROR(__xludf.DUMMYFUNCTION("""COMPUTED_VALUE"""),0.588)</f>
        <v>0.58799999999999997</v>
      </c>
      <c r="F376" s="1">
        <f ca="1">IFERROR(__xludf.DUMMYFUNCTION("""COMPUTED_VALUE"""),0.25)</f>
        <v>0.25</v>
      </c>
      <c r="G376" s="1">
        <f ca="1">IFERROR(__xludf.DUMMYFUNCTION("""COMPUTED_VALUE"""),0.19)</f>
        <v>0.19</v>
      </c>
      <c r="H376" s="1">
        <f ca="1">IFERROR(__xludf.DUMMYFUNCTION("""COMPUTED_VALUE"""),10)</f>
        <v>10</v>
      </c>
      <c r="I376" s="1">
        <f ca="1">IFERROR(__xludf.DUMMYFUNCTION("""COMPUTED_VALUE"""),8)</f>
        <v>8</v>
      </c>
      <c r="J376" s="1">
        <f ca="1">IFERROR(__xludf.DUMMYFUNCTION("""COMPUTED_VALUE"""),13)</f>
        <v>13</v>
      </c>
      <c r="K376" s="1">
        <f ca="1">IFERROR(__xludf.DUMMYFUNCTION("""COMPUTED_VALUE"""),3)</f>
        <v>3</v>
      </c>
      <c r="L376" s="1">
        <f ca="1">IFERROR(__xludf.DUMMYFUNCTION("""COMPUTED_VALUE"""),5)</f>
        <v>5</v>
      </c>
      <c r="M376" s="1">
        <f ca="1">IFERROR(__xludf.DUMMYFUNCTION("""COMPUTED_VALUE"""),9)</f>
        <v>9</v>
      </c>
      <c r="N376" s="1">
        <f ca="1">IFERROR(__xludf.DUMMYFUNCTION("""COMPUTED_VALUE"""),2401)</f>
        <v>2401</v>
      </c>
      <c r="O376" s="1">
        <f ca="1">IFERROR(__xludf.DUMMYFUNCTION("""COMPUTED_VALUE"""),2354)</f>
        <v>2354</v>
      </c>
      <c r="P376" s="1">
        <f ca="1">IFERROR(__xludf.DUMMYFUNCTION("""COMPUTED_VALUE"""),1375)</f>
        <v>1375</v>
      </c>
      <c r="Q376" s="1">
        <f ca="1">IFERROR(__xludf.DUMMYFUNCTION("""COMPUTED_VALUE"""),819)</f>
        <v>819</v>
      </c>
      <c r="R376" s="1">
        <f ca="1">IFERROR(__xludf.DUMMYFUNCTION("""COMPUTED_VALUE"""),1802)</f>
        <v>1802</v>
      </c>
      <c r="S376" s="1">
        <f ca="1">IFERROR(__xludf.DUMMYFUNCTION("""COMPUTED_VALUE"""),0.454)</f>
        <v>0.45400000000000001</v>
      </c>
      <c r="T376" s="1">
        <f ca="1">IFERROR(__xludf.DUMMYFUNCTION("""COMPUTED_VALUE"""),236)</f>
        <v>236</v>
      </c>
      <c r="U376" s="1">
        <f ca="1">IFERROR(__xludf.DUMMYFUNCTION("""COMPUTED_VALUE"""),649)</f>
        <v>649</v>
      </c>
      <c r="V376" s="1">
        <f ca="1">IFERROR(__xludf.DUMMYFUNCTION("""COMPUTED_VALUE"""),0.364)</f>
        <v>0.36399999999999999</v>
      </c>
      <c r="W376" s="1">
        <f ca="1">IFERROR(__xludf.DUMMYFUNCTION("""COMPUTED_VALUE"""),527)</f>
        <v>527</v>
      </c>
      <c r="X376" s="1">
        <f ca="1">IFERROR(__xludf.DUMMYFUNCTION("""COMPUTED_VALUE"""),750)</f>
        <v>750</v>
      </c>
      <c r="Y376" s="1">
        <f ca="1">IFERROR(__xludf.DUMMYFUNCTION("""COMPUTED_VALUE"""),0.703)</f>
        <v>0.70299999999999996</v>
      </c>
      <c r="Z376" s="1">
        <f ca="1">IFERROR(__xludf.DUMMYFUNCTION("""COMPUTED_VALUE"""),338)</f>
        <v>338</v>
      </c>
      <c r="AA376" s="1">
        <f ca="1">IFERROR(__xludf.DUMMYFUNCTION("""COMPUTED_VALUE"""),1108)</f>
        <v>1108</v>
      </c>
      <c r="AB376" s="1">
        <f ca="1">IFERROR(__xludf.DUMMYFUNCTION("""COMPUTED_VALUE"""),424)</f>
        <v>424</v>
      </c>
      <c r="AC376" s="1">
        <f ca="1">IFERROR(__xludf.DUMMYFUNCTION("""COMPUTED_VALUE"""),220)</f>
        <v>220</v>
      </c>
      <c r="AD376" s="1">
        <f ca="1">IFERROR(__xludf.DUMMYFUNCTION("""COMPUTED_VALUE"""),77)</f>
        <v>77</v>
      </c>
      <c r="AE376" s="1">
        <f ca="1">IFERROR(__xludf.DUMMYFUNCTION("""COMPUTED_VALUE"""),406)</f>
        <v>406</v>
      </c>
      <c r="AF376" s="1">
        <f ca="1">IFERROR(__xludf.DUMMYFUNCTION("""COMPUTED_VALUE"""),615)</f>
        <v>615</v>
      </c>
    </row>
    <row r="377" spans="1:32" ht="12.5" x14ac:dyDescent="0.25">
      <c r="A377" s="1" t="str">
        <f ca="1">IFERROR(__xludf.DUMMYFUNCTION("""COMPUTED_VALUE"""),"Wichita StateNCAA")</f>
        <v>Wichita StateNCAA</v>
      </c>
      <c r="B377" s="1">
        <f ca="1">IFERROR(__xludf.DUMMYFUNCTION("""COMPUTED_VALUE"""),35)</f>
        <v>35</v>
      </c>
      <c r="C377" s="1">
        <f ca="1">IFERROR(__xludf.DUMMYFUNCTION("""COMPUTED_VALUE"""),30)</f>
        <v>30</v>
      </c>
      <c r="D377" s="1">
        <f ca="1">IFERROR(__xludf.DUMMYFUNCTION("""COMPUTED_VALUE"""),5)</f>
        <v>5</v>
      </c>
      <c r="E377" s="1">
        <f ca="1">IFERROR(__xludf.DUMMYFUNCTION("""COMPUTED_VALUE"""),0.857)</f>
        <v>0.85699999999999998</v>
      </c>
      <c r="F377" s="1">
        <f ca="1">IFERROR(__xludf.DUMMYFUNCTION("""COMPUTED_VALUE"""),15.56)</f>
        <v>15.56</v>
      </c>
      <c r="G377" s="1">
        <f ca="1">IFERROR(__xludf.DUMMYFUNCTION("""COMPUTED_VALUE"""),3.68)</f>
        <v>3.68</v>
      </c>
      <c r="H377" s="1">
        <f ca="1">IFERROR(__xludf.DUMMYFUNCTION("""COMPUTED_VALUE"""),17)</f>
        <v>17</v>
      </c>
      <c r="I377" s="1">
        <f ca="1">IFERROR(__xludf.DUMMYFUNCTION("""COMPUTED_VALUE"""),1)</f>
        <v>1</v>
      </c>
      <c r="J377" s="1">
        <f ca="1">IFERROR(__xludf.DUMMYFUNCTION("""COMPUTED_VALUE"""),15)</f>
        <v>15</v>
      </c>
      <c r="K377" s="1">
        <f ca="1">IFERROR(__xludf.DUMMYFUNCTION("""COMPUTED_VALUE"""),0)</f>
        <v>0</v>
      </c>
      <c r="L377" s="1">
        <f ca="1">IFERROR(__xludf.DUMMYFUNCTION("""COMPUTED_VALUE"""),10)</f>
        <v>10</v>
      </c>
      <c r="M377" s="1">
        <f ca="1">IFERROR(__xludf.DUMMYFUNCTION("""COMPUTED_VALUE"""),2)</f>
        <v>2</v>
      </c>
      <c r="N377" s="1">
        <f ca="1">IFERROR(__xludf.DUMMYFUNCTION("""COMPUTED_VALUE"""),2460)</f>
        <v>2460</v>
      </c>
      <c r="O377" s="1">
        <f ca="1">IFERROR(__xludf.DUMMYFUNCTION("""COMPUTED_VALUE"""),2008)</f>
        <v>2008</v>
      </c>
      <c r="P377" s="1">
        <f ca="1">IFERROR(__xludf.DUMMYFUNCTION("""COMPUTED_VALUE"""),1410)</f>
        <v>1410</v>
      </c>
      <c r="Q377" s="1">
        <f ca="1">IFERROR(__xludf.DUMMYFUNCTION("""COMPUTED_VALUE"""),860)</f>
        <v>860</v>
      </c>
      <c r="R377" s="1">
        <f ca="1">IFERROR(__xludf.DUMMYFUNCTION("""COMPUTED_VALUE"""),1933)</f>
        <v>1933</v>
      </c>
      <c r="S377" s="1">
        <f ca="1">IFERROR(__xludf.DUMMYFUNCTION("""COMPUTED_VALUE"""),0.445)</f>
        <v>0.44500000000000001</v>
      </c>
      <c r="T377" s="1">
        <f ca="1">IFERROR(__xludf.DUMMYFUNCTION("""COMPUTED_VALUE"""),239)</f>
        <v>239</v>
      </c>
      <c r="U377" s="1">
        <f ca="1">IFERROR(__xludf.DUMMYFUNCTION("""COMPUTED_VALUE"""),670)</f>
        <v>670</v>
      </c>
      <c r="V377" s="1">
        <f ca="1">IFERROR(__xludf.DUMMYFUNCTION("""COMPUTED_VALUE"""),0.357)</f>
        <v>0.35699999999999998</v>
      </c>
      <c r="W377" s="1">
        <f ca="1">IFERROR(__xludf.DUMMYFUNCTION("""COMPUTED_VALUE"""),501)</f>
        <v>501</v>
      </c>
      <c r="X377" s="1">
        <f ca="1">IFERROR(__xludf.DUMMYFUNCTION("""COMPUTED_VALUE"""),715)</f>
        <v>715</v>
      </c>
      <c r="Y377" s="1">
        <f ca="1">IFERROR(__xludf.DUMMYFUNCTION("""COMPUTED_VALUE"""),0.701)</f>
        <v>0.70099999999999996</v>
      </c>
      <c r="Z377" s="1">
        <f ca="1">IFERROR(__xludf.DUMMYFUNCTION("""COMPUTED_VALUE"""),415)</f>
        <v>415</v>
      </c>
      <c r="AA377" s="1">
        <f ca="1">IFERROR(__xludf.DUMMYFUNCTION("""COMPUTED_VALUE"""),1245)</f>
        <v>1245</v>
      </c>
      <c r="AB377" s="1">
        <f ca="1">IFERROR(__xludf.DUMMYFUNCTION("""COMPUTED_VALUE"""),476)</f>
        <v>476</v>
      </c>
      <c r="AC377" s="1">
        <f ca="1">IFERROR(__xludf.DUMMYFUNCTION("""COMPUTED_VALUE"""),250)</f>
        <v>250</v>
      </c>
      <c r="AD377" s="1">
        <f ca="1">IFERROR(__xludf.DUMMYFUNCTION("""COMPUTED_VALUE"""),134)</f>
        <v>134</v>
      </c>
      <c r="AE377" s="1">
        <f ca="1">IFERROR(__xludf.DUMMYFUNCTION("""COMPUTED_VALUE"""),327)</f>
        <v>327</v>
      </c>
      <c r="AF377" s="1">
        <f ca="1">IFERROR(__xludf.DUMMYFUNCTION("""COMPUTED_VALUE"""),587)</f>
        <v>587</v>
      </c>
    </row>
    <row r="378" spans="1:32" ht="12.5" x14ac:dyDescent="0.25">
      <c r="A378" s="1" t="str">
        <f ca="1">IFERROR(__xludf.DUMMYFUNCTION("""COMPUTED_VALUE"""),"William &amp; Mary")</f>
        <v>William &amp; Mary</v>
      </c>
      <c r="B378" s="1">
        <f ca="1">IFERROR(__xludf.DUMMYFUNCTION("""COMPUTED_VALUE"""),33)</f>
        <v>33</v>
      </c>
      <c r="C378" s="1">
        <f ca="1">IFERROR(__xludf.DUMMYFUNCTION("""COMPUTED_VALUE"""),20)</f>
        <v>20</v>
      </c>
      <c r="D378" s="1">
        <f ca="1">IFERROR(__xludf.DUMMYFUNCTION("""COMPUTED_VALUE"""),13)</f>
        <v>13</v>
      </c>
      <c r="E378" s="1">
        <f ca="1">IFERROR(__xludf.DUMMYFUNCTION("""COMPUTED_VALUE"""),0.606)</f>
        <v>0.60599999999999998</v>
      </c>
      <c r="F378" s="1">
        <f ca="1">IFERROR(__xludf.DUMMYFUNCTION("""COMPUTED_VALUE"""),2.82)</f>
        <v>2.82</v>
      </c>
      <c r="G378" s="1">
        <f ca="1">IFERROR(__xludf.DUMMYFUNCTION("""COMPUTED_VALUE"""),-1.15)</f>
        <v>-1.1499999999999999</v>
      </c>
      <c r="H378" s="1">
        <f ca="1">IFERROR(__xludf.DUMMYFUNCTION("""COMPUTED_VALUE"""),12)</f>
        <v>12</v>
      </c>
      <c r="I378" s="1">
        <f ca="1">IFERROR(__xludf.DUMMYFUNCTION("""COMPUTED_VALUE"""),6)</f>
        <v>6</v>
      </c>
      <c r="J378" s="1">
        <f ca="1">IFERROR(__xludf.DUMMYFUNCTION("""COMPUTED_VALUE"""),12)</f>
        <v>12</v>
      </c>
      <c r="K378" s="1">
        <f ca="1">IFERROR(__xludf.DUMMYFUNCTION("""COMPUTED_VALUE"""),2)</f>
        <v>2</v>
      </c>
      <c r="L378" s="1">
        <f ca="1">IFERROR(__xludf.DUMMYFUNCTION("""COMPUTED_VALUE"""),6)</f>
        <v>6</v>
      </c>
      <c r="M378" s="1">
        <f ca="1">IFERROR(__xludf.DUMMYFUNCTION("""COMPUTED_VALUE"""),10)</f>
        <v>10</v>
      </c>
      <c r="N378" s="1">
        <f ca="1">IFERROR(__xludf.DUMMYFUNCTION("""COMPUTED_VALUE"""),2414)</f>
        <v>2414</v>
      </c>
      <c r="O378" s="1">
        <f ca="1">IFERROR(__xludf.DUMMYFUNCTION("""COMPUTED_VALUE"""),2208)</f>
        <v>2208</v>
      </c>
      <c r="P378" s="1">
        <f ca="1">IFERROR(__xludf.DUMMYFUNCTION("""COMPUTED_VALUE"""),1330)</f>
        <v>1330</v>
      </c>
      <c r="Q378" s="1">
        <f ca="1">IFERROR(__xludf.DUMMYFUNCTION("""COMPUTED_VALUE"""),834)</f>
        <v>834</v>
      </c>
      <c r="R378" s="1">
        <f ca="1">IFERROR(__xludf.DUMMYFUNCTION("""COMPUTED_VALUE"""),1726)</f>
        <v>1726</v>
      </c>
      <c r="S378" s="1">
        <f ca="1">IFERROR(__xludf.DUMMYFUNCTION("""COMPUTED_VALUE"""),0.483)</f>
        <v>0.48299999999999998</v>
      </c>
      <c r="T378" s="1">
        <f ca="1">IFERROR(__xludf.DUMMYFUNCTION("""COMPUTED_VALUE"""),293)</f>
        <v>293</v>
      </c>
      <c r="U378" s="1">
        <f ca="1">IFERROR(__xludf.DUMMYFUNCTION("""COMPUTED_VALUE"""),736)</f>
        <v>736</v>
      </c>
      <c r="V378" s="1">
        <f ca="1">IFERROR(__xludf.DUMMYFUNCTION("""COMPUTED_VALUE"""),0.398)</f>
        <v>0.39800000000000002</v>
      </c>
      <c r="W378" s="1">
        <f ca="1">IFERROR(__xludf.DUMMYFUNCTION("""COMPUTED_VALUE"""),453)</f>
        <v>453</v>
      </c>
      <c r="X378" s="1">
        <f ca="1">IFERROR(__xludf.DUMMYFUNCTION("""COMPUTED_VALUE"""),617)</f>
        <v>617</v>
      </c>
      <c r="Y378" s="1">
        <f ca="1">IFERROR(__xludf.DUMMYFUNCTION("""COMPUTED_VALUE"""),0.734)</f>
        <v>0.73399999999999999</v>
      </c>
      <c r="Z378" s="1">
        <f ca="1">IFERROR(__xludf.DUMMYFUNCTION("""COMPUTED_VALUE"""),248)</f>
        <v>248</v>
      </c>
      <c r="AA378" s="1">
        <f ca="1">IFERROR(__xludf.DUMMYFUNCTION("""COMPUTED_VALUE"""),1065)</f>
        <v>1065</v>
      </c>
      <c r="AB378" s="1">
        <f ca="1">IFERROR(__xludf.DUMMYFUNCTION("""COMPUTED_VALUE"""),487)</f>
        <v>487</v>
      </c>
      <c r="AC378" s="1">
        <f ca="1">IFERROR(__xludf.DUMMYFUNCTION("""COMPUTED_VALUE"""),204)</f>
        <v>204</v>
      </c>
      <c r="AD378" s="1">
        <f ca="1">IFERROR(__xludf.DUMMYFUNCTION("""COMPUTED_VALUE"""),137)</f>
        <v>137</v>
      </c>
      <c r="AE378" s="1">
        <f ca="1">IFERROR(__xludf.DUMMYFUNCTION("""COMPUTED_VALUE"""),379)</f>
        <v>379</v>
      </c>
      <c r="AF378" s="1">
        <f ca="1">IFERROR(__xludf.DUMMYFUNCTION("""COMPUTED_VALUE"""),513)</f>
        <v>513</v>
      </c>
    </row>
    <row r="379" spans="1:32" ht="12.5" x14ac:dyDescent="0.25">
      <c r="A379" s="1" t="str">
        <f ca="1">IFERROR(__xludf.DUMMYFUNCTION("""COMPUTED_VALUE"""),"Winthrop")</f>
        <v>Winthrop</v>
      </c>
      <c r="B379" s="1">
        <f ca="1">IFERROR(__xludf.DUMMYFUNCTION("""COMPUTED_VALUE"""),32)</f>
        <v>32</v>
      </c>
      <c r="C379" s="1">
        <f ca="1">IFERROR(__xludf.DUMMYFUNCTION("""COMPUTED_VALUE"""),19)</f>
        <v>19</v>
      </c>
      <c r="D379" s="1">
        <f ca="1">IFERROR(__xludf.DUMMYFUNCTION("""COMPUTED_VALUE"""),13)</f>
        <v>13</v>
      </c>
      <c r="E379" s="1">
        <f ca="1">IFERROR(__xludf.DUMMYFUNCTION("""COMPUTED_VALUE"""),0.594)</f>
        <v>0.59399999999999997</v>
      </c>
      <c r="F379" s="1">
        <f ca="1">IFERROR(__xludf.DUMMYFUNCTION("""COMPUTED_VALUE"""),-3.9)</f>
        <v>-3.9</v>
      </c>
      <c r="G379" s="1">
        <f ca="1">IFERROR(__xludf.DUMMYFUNCTION("""COMPUTED_VALUE"""),-7.38)</f>
        <v>-7.38</v>
      </c>
      <c r="H379" s="1">
        <f ca="1">IFERROR(__xludf.DUMMYFUNCTION("""COMPUTED_VALUE"""),12)</f>
        <v>12</v>
      </c>
      <c r="I379" s="1">
        <f ca="1">IFERROR(__xludf.DUMMYFUNCTION("""COMPUTED_VALUE"""),6)</f>
        <v>6</v>
      </c>
      <c r="J379" s="1">
        <f ca="1">IFERROR(__xludf.DUMMYFUNCTION("""COMPUTED_VALUE"""),11)</f>
        <v>11</v>
      </c>
      <c r="K379" s="1">
        <f ca="1">IFERROR(__xludf.DUMMYFUNCTION("""COMPUTED_VALUE"""),3)</f>
        <v>3</v>
      </c>
      <c r="L379" s="1">
        <f ca="1">IFERROR(__xludf.DUMMYFUNCTION("""COMPUTED_VALUE"""),6)</f>
        <v>6</v>
      </c>
      <c r="M379" s="1">
        <f ca="1">IFERROR(__xludf.DUMMYFUNCTION("""COMPUTED_VALUE"""),9)</f>
        <v>9</v>
      </c>
      <c r="N379" s="1">
        <f ca="1">IFERROR(__xludf.DUMMYFUNCTION("""COMPUTED_VALUE"""),2356)</f>
        <v>2356</v>
      </c>
      <c r="O379" s="1">
        <f ca="1">IFERROR(__xludf.DUMMYFUNCTION("""COMPUTED_VALUE"""),2159)</f>
        <v>2159</v>
      </c>
      <c r="P379" s="1">
        <f ca="1">IFERROR(__xludf.DUMMYFUNCTION("""COMPUTED_VALUE"""),1300)</f>
        <v>1300</v>
      </c>
      <c r="Q379" s="1">
        <f ca="1">IFERROR(__xludf.DUMMYFUNCTION("""COMPUTED_VALUE"""),812)</f>
        <v>812</v>
      </c>
      <c r="R379" s="1">
        <f ca="1">IFERROR(__xludf.DUMMYFUNCTION("""COMPUTED_VALUE"""),1809)</f>
        <v>1809</v>
      </c>
      <c r="S379" s="1">
        <f ca="1">IFERROR(__xludf.DUMMYFUNCTION("""COMPUTED_VALUE"""),0.449)</f>
        <v>0.44900000000000001</v>
      </c>
      <c r="T379" s="1">
        <f ca="1">IFERROR(__xludf.DUMMYFUNCTION("""COMPUTED_VALUE"""),251)</f>
        <v>251</v>
      </c>
      <c r="U379" s="1">
        <f ca="1">IFERROR(__xludf.DUMMYFUNCTION("""COMPUTED_VALUE"""),700)</f>
        <v>700</v>
      </c>
      <c r="V379" s="1">
        <f ca="1">IFERROR(__xludf.DUMMYFUNCTION("""COMPUTED_VALUE"""),0.359)</f>
        <v>0.35899999999999999</v>
      </c>
      <c r="W379" s="1">
        <f ca="1">IFERROR(__xludf.DUMMYFUNCTION("""COMPUTED_VALUE"""),481)</f>
        <v>481</v>
      </c>
      <c r="X379" s="1">
        <f ca="1">IFERROR(__xludf.DUMMYFUNCTION("""COMPUTED_VALUE"""),664)</f>
        <v>664</v>
      </c>
      <c r="Y379" s="1">
        <f ca="1">IFERROR(__xludf.DUMMYFUNCTION("""COMPUTED_VALUE"""),0.724)</f>
        <v>0.72399999999999998</v>
      </c>
      <c r="Z379" s="1">
        <f ca="1">IFERROR(__xludf.DUMMYFUNCTION("""COMPUTED_VALUE"""),332)</f>
        <v>332</v>
      </c>
      <c r="AA379" s="1">
        <f ca="1">IFERROR(__xludf.DUMMYFUNCTION("""COMPUTED_VALUE"""),1127)</f>
        <v>1127</v>
      </c>
      <c r="AB379" s="1">
        <f ca="1">IFERROR(__xludf.DUMMYFUNCTION("""COMPUTED_VALUE"""),388)</f>
        <v>388</v>
      </c>
      <c r="AC379" s="1">
        <f ca="1">IFERROR(__xludf.DUMMYFUNCTION("""COMPUTED_VALUE"""),224)</f>
        <v>224</v>
      </c>
      <c r="AD379" s="1">
        <f ca="1">IFERROR(__xludf.DUMMYFUNCTION("""COMPUTED_VALUE"""),140)</f>
        <v>140</v>
      </c>
      <c r="AE379" s="1">
        <f ca="1">IFERROR(__xludf.DUMMYFUNCTION("""COMPUTED_VALUE"""),387)</f>
        <v>387</v>
      </c>
      <c r="AF379" s="1">
        <f ca="1">IFERROR(__xludf.DUMMYFUNCTION("""COMPUTED_VALUE"""),574)</f>
        <v>574</v>
      </c>
    </row>
    <row r="380" spans="1:32" ht="12.5" x14ac:dyDescent="0.25">
      <c r="A380" s="1" t="str">
        <f ca="1">IFERROR(__xludf.DUMMYFUNCTION("""COMPUTED_VALUE"""),"WisconsinNCAA")</f>
        <v>WisconsinNCAA</v>
      </c>
      <c r="B380" s="1">
        <f ca="1">IFERROR(__xludf.DUMMYFUNCTION("""COMPUTED_VALUE"""),40)</f>
        <v>40</v>
      </c>
      <c r="C380" s="1">
        <f ca="1">IFERROR(__xludf.DUMMYFUNCTION("""COMPUTED_VALUE"""),36)</f>
        <v>36</v>
      </c>
      <c r="D380" s="1">
        <f ca="1">IFERROR(__xludf.DUMMYFUNCTION("""COMPUTED_VALUE"""),4)</f>
        <v>4</v>
      </c>
      <c r="E380" s="1">
        <f ca="1">IFERROR(__xludf.DUMMYFUNCTION("""COMPUTED_VALUE"""),0.9)</f>
        <v>0.9</v>
      </c>
      <c r="F380" s="1">
        <f ca="1">IFERROR(__xludf.DUMMYFUNCTION("""COMPUTED_VALUE"""),24.61)</f>
        <v>24.61</v>
      </c>
      <c r="G380" s="1">
        <f ca="1">IFERROR(__xludf.DUMMYFUNCTION("""COMPUTED_VALUE"""),10.29)</f>
        <v>10.29</v>
      </c>
      <c r="H380" s="1">
        <f ca="1">IFERROR(__xludf.DUMMYFUNCTION("""COMPUTED_VALUE"""),16)</f>
        <v>16</v>
      </c>
      <c r="I380" s="1">
        <f ca="1">IFERROR(__xludf.DUMMYFUNCTION("""COMPUTED_VALUE"""),2)</f>
        <v>2</v>
      </c>
      <c r="J380" s="1">
        <f ca="1">IFERROR(__xludf.DUMMYFUNCTION("""COMPUTED_VALUE"""),15)</f>
        <v>15</v>
      </c>
      <c r="K380" s="1">
        <f ca="1">IFERROR(__xludf.DUMMYFUNCTION("""COMPUTED_VALUE"""),1)</f>
        <v>1</v>
      </c>
      <c r="L380" s="1">
        <f ca="1">IFERROR(__xludf.DUMMYFUNCTION("""COMPUTED_VALUE"""),10)</f>
        <v>10</v>
      </c>
      <c r="M380" s="1">
        <f ca="1">IFERROR(__xludf.DUMMYFUNCTION("""COMPUTED_VALUE"""),2)</f>
        <v>2</v>
      </c>
      <c r="N380" s="1">
        <f ca="1">IFERROR(__xludf.DUMMYFUNCTION("""COMPUTED_VALUE"""),2900)</f>
        <v>2900</v>
      </c>
      <c r="O380" s="1">
        <f ca="1">IFERROR(__xludf.DUMMYFUNCTION("""COMPUTED_VALUE"""),2327)</f>
        <v>2327</v>
      </c>
      <c r="P380" s="1">
        <f ca="1">IFERROR(__xludf.DUMMYFUNCTION("""COMPUTED_VALUE"""),1610)</f>
        <v>1610</v>
      </c>
      <c r="Q380" s="1">
        <f ca="1">IFERROR(__xludf.DUMMYFUNCTION("""COMPUTED_VALUE"""),1014)</f>
        <v>1014</v>
      </c>
      <c r="R380" s="1">
        <f ca="1">IFERROR(__xludf.DUMMYFUNCTION("""COMPUTED_VALUE"""),2115)</f>
        <v>2115</v>
      </c>
      <c r="S380" s="1">
        <f ca="1">IFERROR(__xludf.DUMMYFUNCTION("""COMPUTED_VALUE"""),0.479)</f>
        <v>0.47899999999999998</v>
      </c>
      <c r="T380" s="1">
        <f ca="1">IFERROR(__xludf.DUMMYFUNCTION("""COMPUTED_VALUE"""),288)</f>
        <v>288</v>
      </c>
      <c r="U380" s="1">
        <f ca="1">IFERROR(__xludf.DUMMYFUNCTION("""COMPUTED_VALUE"""),790)</f>
        <v>790</v>
      </c>
      <c r="V380" s="1">
        <f ca="1">IFERROR(__xludf.DUMMYFUNCTION("""COMPUTED_VALUE"""),0.365)</f>
        <v>0.36499999999999999</v>
      </c>
      <c r="W380" s="1">
        <f ca="1">IFERROR(__xludf.DUMMYFUNCTION("""COMPUTED_VALUE"""),584)</f>
        <v>584</v>
      </c>
      <c r="X380" s="1">
        <f ca="1">IFERROR(__xludf.DUMMYFUNCTION("""COMPUTED_VALUE"""),765)</f>
        <v>765</v>
      </c>
      <c r="Y380" s="1">
        <f ca="1">IFERROR(__xludf.DUMMYFUNCTION("""COMPUTED_VALUE"""),0.763)</f>
        <v>0.76300000000000001</v>
      </c>
      <c r="Z380" s="1">
        <f ca="1">IFERROR(__xludf.DUMMYFUNCTION("""COMPUTED_VALUE"""),383)</f>
        <v>383</v>
      </c>
      <c r="AA380" s="1">
        <f ca="1">IFERROR(__xludf.DUMMYFUNCTION("""COMPUTED_VALUE"""),1338)</f>
        <v>1338</v>
      </c>
      <c r="AB380" s="1">
        <f ca="1">IFERROR(__xludf.DUMMYFUNCTION("""COMPUTED_VALUE"""),504)</f>
        <v>504</v>
      </c>
      <c r="AC380" s="1">
        <f ca="1">IFERROR(__xludf.DUMMYFUNCTION("""COMPUTED_VALUE"""),174)</f>
        <v>174</v>
      </c>
      <c r="AD380" s="1">
        <f ca="1">IFERROR(__xludf.DUMMYFUNCTION("""COMPUTED_VALUE"""),127)</f>
        <v>127</v>
      </c>
      <c r="AE380" s="1">
        <f ca="1">IFERROR(__xludf.DUMMYFUNCTION("""COMPUTED_VALUE"""),296)</f>
        <v>296</v>
      </c>
      <c r="AF380" s="1">
        <f ca="1">IFERROR(__xludf.DUMMYFUNCTION("""COMPUTED_VALUE"""),501)</f>
        <v>501</v>
      </c>
    </row>
    <row r="381" spans="1:32" ht="12.5" x14ac:dyDescent="0.25">
      <c r="A381" s="1" t="str">
        <f ca="1">IFERROR(__xludf.DUMMYFUNCTION("""COMPUTED_VALUE"""),"WoffordNCAA")</f>
        <v>WoffordNCAA</v>
      </c>
      <c r="B381" s="1">
        <f ca="1">IFERROR(__xludf.DUMMYFUNCTION("""COMPUTED_VALUE"""),35)</f>
        <v>35</v>
      </c>
      <c r="C381" s="1">
        <f ca="1">IFERROR(__xludf.DUMMYFUNCTION("""COMPUTED_VALUE"""),28)</f>
        <v>28</v>
      </c>
      <c r="D381" s="1">
        <f ca="1">IFERROR(__xludf.DUMMYFUNCTION("""COMPUTED_VALUE"""),7)</f>
        <v>7</v>
      </c>
      <c r="E381" s="1">
        <f ca="1">IFERROR(__xludf.DUMMYFUNCTION("""COMPUTED_VALUE"""),0.8)</f>
        <v>0.8</v>
      </c>
      <c r="F381" s="1">
        <f ca="1">IFERROR(__xludf.DUMMYFUNCTION("""COMPUTED_VALUE"""),2.56)</f>
        <v>2.56</v>
      </c>
      <c r="G381" s="1">
        <f ca="1">IFERROR(__xludf.DUMMYFUNCTION("""COMPUTED_VALUE"""),-2.98)</f>
        <v>-2.98</v>
      </c>
      <c r="H381" s="1">
        <f ca="1">IFERROR(__xludf.DUMMYFUNCTION("""COMPUTED_VALUE"""),16)</f>
        <v>16</v>
      </c>
      <c r="I381" s="1">
        <f ca="1">IFERROR(__xludf.DUMMYFUNCTION("""COMPUTED_VALUE"""),2)</f>
        <v>2</v>
      </c>
      <c r="J381" s="1">
        <f ca="1">IFERROR(__xludf.DUMMYFUNCTION("""COMPUTED_VALUE"""),13)</f>
        <v>13</v>
      </c>
      <c r="K381" s="1">
        <f ca="1">IFERROR(__xludf.DUMMYFUNCTION("""COMPUTED_VALUE"""),1)</f>
        <v>1</v>
      </c>
      <c r="L381" s="1">
        <f ca="1">IFERROR(__xludf.DUMMYFUNCTION("""COMPUTED_VALUE"""),10)</f>
        <v>10</v>
      </c>
      <c r="M381" s="1">
        <f ca="1">IFERROR(__xludf.DUMMYFUNCTION("""COMPUTED_VALUE"""),5)</f>
        <v>5</v>
      </c>
      <c r="N381" s="1">
        <f ca="1">IFERROR(__xludf.DUMMYFUNCTION("""COMPUTED_VALUE"""),2331)</f>
        <v>2331</v>
      </c>
      <c r="O381" s="1">
        <f ca="1">IFERROR(__xludf.DUMMYFUNCTION("""COMPUTED_VALUE"""),2089)</f>
        <v>2089</v>
      </c>
      <c r="P381" s="1">
        <f ca="1">IFERROR(__xludf.DUMMYFUNCTION("""COMPUTED_VALUE"""),1400)</f>
        <v>1400</v>
      </c>
      <c r="Q381" s="1">
        <f ca="1">IFERROR(__xludf.DUMMYFUNCTION("""COMPUTED_VALUE"""),818)</f>
        <v>818</v>
      </c>
      <c r="R381" s="1">
        <f ca="1">IFERROR(__xludf.DUMMYFUNCTION("""COMPUTED_VALUE"""),1802)</f>
        <v>1802</v>
      </c>
      <c r="S381" s="1">
        <f ca="1">IFERROR(__xludf.DUMMYFUNCTION("""COMPUTED_VALUE"""),0.454)</f>
        <v>0.45400000000000001</v>
      </c>
      <c r="T381" s="1">
        <f ca="1">IFERROR(__xludf.DUMMYFUNCTION("""COMPUTED_VALUE"""),222)</f>
        <v>222</v>
      </c>
      <c r="U381" s="1">
        <f ca="1">IFERROR(__xludf.DUMMYFUNCTION("""COMPUTED_VALUE"""),596)</f>
        <v>596</v>
      </c>
      <c r="V381" s="1">
        <f ca="1">IFERROR(__xludf.DUMMYFUNCTION("""COMPUTED_VALUE"""),0.372)</f>
        <v>0.372</v>
      </c>
      <c r="W381" s="1">
        <f ca="1">IFERROR(__xludf.DUMMYFUNCTION("""COMPUTED_VALUE"""),473)</f>
        <v>473</v>
      </c>
      <c r="X381" s="1">
        <f ca="1">IFERROR(__xludf.DUMMYFUNCTION("""COMPUTED_VALUE"""),688)</f>
        <v>688</v>
      </c>
      <c r="Y381" s="1">
        <f ca="1">IFERROR(__xludf.DUMMYFUNCTION("""COMPUTED_VALUE"""),0.688)</f>
        <v>0.68799999999999994</v>
      </c>
      <c r="Z381" s="1">
        <f ca="1">IFERROR(__xludf.DUMMYFUNCTION("""COMPUTED_VALUE"""),324)</f>
        <v>324</v>
      </c>
      <c r="AA381" s="1">
        <f ca="1">IFERROR(__xludf.DUMMYFUNCTION("""COMPUTED_VALUE"""),1139)</f>
        <v>1139</v>
      </c>
      <c r="AB381" s="1">
        <f ca="1">IFERROR(__xludf.DUMMYFUNCTION("""COMPUTED_VALUE"""),461)</f>
        <v>461</v>
      </c>
      <c r="AC381" s="1">
        <f ca="1">IFERROR(__xludf.DUMMYFUNCTION("""COMPUTED_VALUE"""),228)</f>
        <v>228</v>
      </c>
      <c r="AD381" s="1">
        <f ca="1">IFERROR(__xludf.DUMMYFUNCTION("""COMPUTED_VALUE"""),87)</f>
        <v>87</v>
      </c>
      <c r="AE381" s="1">
        <f ca="1">IFERROR(__xludf.DUMMYFUNCTION("""COMPUTED_VALUE"""),379)</f>
        <v>379</v>
      </c>
      <c r="AF381" s="1">
        <f ca="1">IFERROR(__xludf.DUMMYFUNCTION("""COMPUTED_VALUE"""),589)</f>
        <v>589</v>
      </c>
    </row>
    <row r="382" spans="1:32" ht="12.5" x14ac:dyDescent="0.25">
      <c r="A382" s="1" t="str">
        <f ca="1">IFERROR(__xludf.DUMMYFUNCTION("""COMPUTED_VALUE"""),"Wright State")</f>
        <v>Wright State</v>
      </c>
      <c r="B382" s="1">
        <f ca="1">IFERROR(__xludf.DUMMYFUNCTION("""COMPUTED_VALUE"""),31)</f>
        <v>31</v>
      </c>
      <c r="C382" s="1">
        <f ca="1">IFERROR(__xludf.DUMMYFUNCTION("""COMPUTED_VALUE"""),11)</f>
        <v>11</v>
      </c>
      <c r="D382" s="1">
        <f ca="1">IFERROR(__xludf.DUMMYFUNCTION("""COMPUTED_VALUE"""),20)</f>
        <v>20</v>
      </c>
      <c r="E382" s="1">
        <f ca="1">IFERROR(__xludf.DUMMYFUNCTION("""COMPUTED_VALUE"""),0.355)</f>
        <v>0.35499999999999998</v>
      </c>
      <c r="F382" s="1">
        <f ca="1">IFERROR(__xludf.DUMMYFUNCTION("""COMPUTED_VALUE"""),-6.41)</f>
        <v>-6.41</v>
      </c>
      <c r="G382" s="1">
        <f ca="1">IFERROR(__xludf.DUMMYFUNCTION("""COMPUTED_VALUE"""),-1.14)</f>
        <v>-1.1399999999999999</v>
      </c>
      <c r="H382" s="1">
        <f ca="1">IFERROR(__xludf.DUMMYFUNCTION("""COMPUTED_VALUE"""),3)</f>
        <v>3</v>
      </c>
      <c r="I382" s="1">
        <f ca="1">IFERROR(__xludf.DUMMYFUNCTION("""COMPUTED_VALUE"""),13)</f>
        <v>13</v>
      </c>
      <c r="J382" s="1">
        <f ca="1">IFERROR(__xludf.DUMMYFUNCTION("""COMPUTED_VALUE"""),4)</f>
        <v>4</v>
      </c>
      <c r="K382" s="1">
        <f ca="1">IFERROR(__xludf.DUMMYFUNCTION("""COMPUTED_VALUE"""),8)</f>
        <v>8</v>
      </c>
      <c r="L382" s="1">
        <f ca="1">IFERROR(__xludf.DUMMYFUNCTION("""COMPUTED_VALUE"""),6)</f>
        <v>6</v>
      </c>
      <c r="M382" s="1">
        <f ca="1">IFERROR(__xludf.DUMMYFUNCTION("""COMPUTED_VALUE"""),10)</f>
        <v>10</v>
      </c>
      <c r="N382" s="1">
        <f ca="1">IFERROR(__xludf.DUMMYFUNCTION("""COMPUTED_VALUE"""),1989)</f>
        <v>1989</v>
      </c>
      <c r="O382" s="1">
        <f ca="1">IFERROR(__xludf.DUMMYFUNCTION("""COMPUTED_VALUE"""),2107)</f>
        <v>2107</v>
      </c>
      <c r="P382" s="1">
        <f ca="1">IFERROR(__xludf.DUMMYFUNCTION("""COMPUTED_VALUE"""),1250)</f>
        <v>1250</v>
      </c>
      <c r="Q382" s="1">
        <f ca="1">IFERROR(__xludf.DUMMYFUNCTION("""COMPUTED_VALUE"""),715)</f>
        <v>715</v>
      </c>
      <c r="R382" s="1">
        <f ca="1">IFERROR(__xludf.DUMMYFUNCTION("""COMPUTED_VALUE"""),1619)</f>
        <v>1619</v>
      </c>
      <c r="S382" s="1">
        <f ca="1">IFERROR(__xludf.DUMMYFUNCTION("""COMPUTED_VALUE"""),0.442)</f>
        <v>0.442</v>
      </c>
      <c r="T382" s="1">
        <f ca="1">IFERROR(__xludf.DUMMYFUNCTION("""COMPUTED_VALUE"""),194)</f>
        <v>194</v>
      </c>
      <c r="U382" s="1">
        <f ca="1">IFERROR(__xludf.DUMMYFUNCTION("""COMPUTED_VALUE"""),571)</f>
        <v>571</v>
      </c>
      <c r="V382" s="1">
        <f ca="1">IFERROR(__xludf.DUMMYFUNCTION("""COMPUTED_VALUE"""),0.34)</f>
        <v>0.34</v>
      </c>
      <c r="W382" s="1">
        <f ca="1">IFERROR(__xludf.DUMMYFUNCTION("""COMPUTED_VALUE"""),365)</f>
        <v>365</v>
      </c>
      <c r="X382" s="1">
        <f ca="1">IFERROR(__xludf.DUMMYFUNCTION("""COMPUTED_VALUE"""),524)</f>
        <v>524</v>
      </c>
      <c r="Y382" s="1">
        <f ca="1">IFERROR(__xludf.DUMMYFUNCTION("""COMPUTED_VALUE"""),0.697)</f>
        <v>0.69699999999999995</v>
      </c>
      <c r="Z382" s="1">
        <f ca="1">IFERROR(__xludf.DUMMYFUNCTION("""COMPUTED_VALUE"""),232)</f>
        <v>232</v>
      </c>
      <c r="AA382" s="1">
        <f ca="1">IFERROR(__xludf.DUMMYFUNCTION("""COMPUTED_VALUE"""),902)</f>
        <v>902</v>
      </c>
      <c r="AB382" s="1">
        <f ca="1">IFERROR(__xludf.DUMMYFUNCTION("""COMPUTED_VALUE"""),407)</f>
        <v>407</v>
      </c>
      <c r="AC382" s="1">
        <f ca="1">IFERROR(__xludf.DUMMYFUNCTION("""COMPUTED_VALUE"""),168)</f>
        <v>168</v>
      </c>
      <c r="AD382" s="1">
        <f ca="1">IFERROR(__xludf.DUMMYFUNCTION("""COMPUTED_VALUE"""),75)</f>
        <v>75</v>
      </c>
      <c r="AE382" s="1">
        <f ca="1">IFERROR(__xludf.DUMMYFUNCTION("""COMPUTED_VALUE"""),373)</f>
        <v>373</v>
      </c>
      <c r="AF382" s="1">
        <f ca="1">IFERROR(__xludf.DUMMYFUNCTION("""COMPUTED_VALUE"""),594)</f>
        <v>594</v>
      </c>
    </row>
    <row r="383" spans="1:32" ht="12.5" x14ac:dyDescent="0.25">
      <c r="A383" s="1" t="str">
        <f ca="1">IFERROR(__xludf.DUMMYFUNCTION("""COMPUTED_VALUE"""),"WyomingNCAA")</f>
        <v>WyomingNCAA</v>
      </c>
      <c r="B383" s="1">
        <f ca="1">IFERROR(__xludf.DUMMYFUNCTION("""COMPUTED_VALUE"""),35)</f>
        <v>35</v>
      </c>
      <c r="C383" s="1">
        <f ca="1">IFERROR(__xludf.DUMMYFUNCTION("""COMPUTED_VALUE"""),25)</f>
        <v>25</v>
      </c>
      <c r="D383" s="1">
        <f ca="1">IFERROR(__xludf.DUMMYFUNCTION("""COMPUTED_VALUE"""),10)</f>
        <v>10</v>
      </c>
      <c r="E383" s="1">
        <f ca="1">IFERROR(__xludf.DUMMYFUNCTION("""COMPUTED_VALUE"""),0.714)</f>
        <v>0.71399999999999997</v>
      </c>
      <c r="F383" s="1">
        <f ca="1">IFERROR(__xludf.DUMMYFUNCTION("""COMPUTED_VALUE"""),3.81)</f>
        <v>3.81</v>
      </c>
      <c r="G383" s="1">
        <f ca="1">IFERROR(__xludf.DUMMYFUNCTION("""COMPUTED_VALUE"""),-0.04)</f>
        <v>-0.04</v>
      </c>
      <c r="H383" s="1">
        <f ca="1">IFERROR(__xludf.DUMMYFUNCTION("""COMPUTED_VALUE"""),11)</f>
        <v>11</v>
      </c>
      <c r="I383" s="1">
        <f ca="1">IFERROR(__xludf.DUMMYFUNCTION("""COMPUTED_VALUE"""),7)</f>
        <v>7</v>
      </c>
      <c r="J383" s="1">
        <f ca="1">IFERROR(__xludf.DUMMYFUNCTION("""COMPUTED_VALUE"""),17)</f>
        <v>17</v>
      </c>
      <c r="K383" s="1">
        <f ca="1">IFERROR(__xludf.DUMMYFUNCTION("""COMPUTED_VALUE"""),2)</f>
        <v>2</v>
      </c>
      <c r="L383" s="1">
        <f ca="1">IFERROR(__xludf.DUMMYFUNCTION("""COMPUTED_VALUE"""),5)</f>
        <v>5</v>
      </c>
      <c r="M383" s="1">
        <f ca="1">IFERROR(__xludf.DUMMYFUNCTION("""COMPUTED_VALUE"""),7)</f>
        <v>7</v>
      </c>
      <c r="N383" s="1">
        <f ca="1">IFERROR(__xludf.DUMMYFUNCTION("""COMPUTED_VALUE"""),2151)</f>
        <v>2151</v>
      </c>
      <c r="O383" s="1">
        <f ca="1">IFERROR(__xludf.DUMMYFUNCTION("""COMPUTED_VALUE"""),1974)</f>
        <v>1974</v>
      </c>
      <c r="P383" s="1">
        <f ca="1">IFERROR(__xludf.DUMMYFUNCTION("""COMPUTED_VALUE"""),1430)</f>
        <v>1430</v>
      </c>
      <c r="Q383" s="1">
        <f ca="1">IFERROR(__xludf.DUMMYFUNCTION("""COMPUTED_VALUE"""),747)</f>
        <v>747</v>
      </c>
      <c r="R383" s="1">
        <f ca="1">IFERROR(__xludf.DUMMYFUNCTION("""COMPUTED_VALUE"""),1619)</f>
        <v>1619</v>
      </c>
      <c r="S383" s="1">
        <f ca="1">IFERROR(__xludf.DUMMYFUNCTION("""COMPUTED_VALUE"""),0.461)</f>
        <v>0.46100000000000002</v>
      </c>
      <c r="T383" s="1">
        <f ca="1">IFERROR(__xludf.DUMMYFUNCTION("""COMPUTED_VALUE"""),209)</f>
        <v>209</v>
      </c>
      <c r="U383" s="1">
        <f ca="1">IFERROR(__xludf.DUMMYFUNCTION("""COMPUTED_VALUE"""),642)</f>
        <v>642</v>
      </c>
      <c r="V383" s="1">
        <f ca="1">IFERROR(__xludf.DUMMYFUNCTION("""COMPUTED_VALUE"""),0.326)</f>
        <v>0.32600000000000001</v>
      </c>
      <c r="W383" s="1">
        <f ca="1">IFERROR(__xludf.DUMMYFUNCTION("""COMPUTED_VALUE"""),448)</f>
        <v>448</v>
      </c>
      <c r="X383" s="1">
        <f ca="1">IFERROR(__xludf.DUMMYFUNCTION("""COMPUTED_VALUE"""),638)</f>
        <v>638</v>
      </c>
      <c r="Y383" s="1">
        <f ca="1">IFERROR(__xludf.DUMMYFUNCTION("""COMPUTED_VALUE"""),0.702)</f>
        <v>0.70199999999999996</v>
      </c>
      <c r="Z383" s="1">
        <f ca="1">IFERROR(__xludf.DUMMYFUNCTION("""COMPUTED_VALUE"""),216)</f>
        <v>216</v>
      </c>
      <c r="AA383" s="1">
        <f ca="1">IFERROR(__xludf.DUMMYFUNCTION("""COMPUTED_VALUE"""),1047)</f>
        <v>1047</v>
      </c>
      <c r="AB383" s="1">
        <f ca="1">IFERROR(__xludf.DUMMYFUNCTION("""COMPUTED_VALUE"""),501)</f>
        <v>501</v>
      </c>
      <c r="AC383" s="1">
        <f ca="1">IFERROR(__xludf.DUMMYFUNCTION("""COMPUTED_VALUE"""),191)</f>
        <v>191</v>
      </c>
      <c r="AD383" s="1">
        <f ca="1">IFERROR(__xludf.DUMMYFUNCTION("""COMPUTED_VALUE"""),102)</f>
        <v>102</v>
      </c>
      <c r="AE383" s="1">
        <f ca="1">IFERROR(__xludf.DUMMYFUNCTION("""COMPUTED_VALUE"""),392)</f>
        <v>392</v>
      </c>
      <c r="AF383" s="1">
        <f ca="1">IFERROR(__xludf.DUMMYFUNCTION("""COMPUTED_VALUE"""),481)</f>
        <v>481</v>
      </c>
    </row>
    <row r="384" spans="1:32" ht="12.5" x14ac:dyDescent="0.25">
      <c r="A384" s="1" t="str">
        <f ca="1">IFERROR(__xludf.DUMMYFUNCTION("""COMPUTED_VALUE"""),"XavierNCAA")</f>
        <v>XavierNCAA</v>
      </c>
      <c r="B384" s="1">
        <f ca="1">IFERROR(__xludf.DUMMYFUNCTION("""COMPUTED_VALUE"""),37)</f>
        <v>37</v>
      </c>
      <c r="C384" s="1">
        <f ca="1">IFERROR(__xludf.DUMMYFUNCTION("""COMPUTED_VALUE"""),23)</f>
        <v>23</v>
      </c>
      <c r="D384" s="1">
        <f ca="1">IFERROR(__xludf.DUMMYFUNCTION("""COMPUTED_VALUE"""),14)</f>
        <v>14</v>
      </c>
      <c r="E384" s="1">
        <f ca="1">IFERROR(__xludf.DUMMYFUNCTION("""COMPUTED_VALUE"""),0.622)</f>
        <v>0.622</v>
      </c>
      <c r="F384" s="1">
        <f ca="1">IFERROR(__xludf.DUMMYFUNCTION("""COMPUTED_VALUE"""),15.42)</f>
        <v>15.42</v>
      </c>
      <c r="G384" s="1">
        <f ca="1">IFERROR(__xludf.DUMMYFUNCTION("""COMPUTED_VALUE"""),9.48)</f>
        <v>9.48</v>
      </c>
      <c r="H384" s="1">
        <f ca="1">IFERROR(__xludf.DUMMYFUNCTION("""COMPUTED_VALUE"""),9)</f>
        <v>9</v>
      </c>
      <c r="I384" s="1">
        <f ca="1">IFERROR(__xludf.DUMMYFUNCTION("""COMPUTED_VALUE"""),9)</f>
        <v>9</v>
      </c>
      <c r="J384" s="1">
        <f ca="1">IFERROR(__xludf.DUMMYFUNCTION("""COMPUTED_VALUE"""),13)</f>
        <v>13</v>
      </c>
      <c r="K384" s="1">
        <f ca="1">IFERROR(__xludf.DUMMYFUNCTION("""COMPUTED_VALUE"""),3)</f>
        <v>3</v>
      </c>
      <c r="L384" s="1">
        <f ca="1">IFERROR(__xludf.DUMMYFUNCTION("""COMPUTED_VALUE"""),5)</f>
        <v>5</v>
      </c>
      <c r="M384" s="1">
        <f ca="1">IFERROR(__xludf.DUMMYFUNCTION("""COMPUTED_VALUE"""),7)</f>
        <v>7</v>
      </c>
      <c r="N384" s="1">
        <f ca="1">IFERROR(__xludf.DUMMYFUNCTION("""COMPUTED_VALUE"""),2712)</f>
        <v>2712</v>
      </c>
      <c r="O384" s="1">
        <f ca="1">IFERROR(__xludf.DUMMYFUNCTION("""COMPUTED_VALUE"""),2492)</f>
        <v>2492</v>
      </c>
      <c r="P384" s="1">
        <f ca="1">IFERROR(__xludf.DUMMYFUNCTION("""COMPUTED_VALUE"""),1505)</f>
        <v>1505</v>
      </c>
      <c r="Q384" s="1">
        <f ca="1">IFERROR(__xludf.DUMMYFUNCTION("""COMPUTED_VALUE"""),956)</f>
        <v>956</v>
      </c>
      <c r="R384" s="1">
        <f ca="1">IFERROR(__xludf.DUMMYFUNCTION("""COMPUTED_VALUE"""),2011)</f>
        <v>2011</v>
      </c>
      <c r="S384" s="1">
        <f ca="1">IFERROR(__xludf.DUMMYFUNCTION("""COMPUTED_VALUE"""),0.475)</f>
        <v>0.47499999999999998</v>
      </c>
      <c r="T384" s="1">
        <f ca="1">IFERROR(__xludf.DUMMYFUNCTION("""COMPUTED_VALUE"""),234)</f>
        <v>234</v>
      </c>
      <c r="U384" s="1">
        <f ca="1">IFERROR(__xludf.DUMMYFUNCTION("""COMPUTED_VALUE"""),666)</f>
        <v>666</v>
      </c>
      <c r="V384" s="1">
        <f ca="1">IFERROR(__xludf.DUMMYFUNCTION("""COMPUTED_VALUE"""),0.351)</f>
        <v>0.35099999999999998</v>
      </c>
      <c r="W384" s="1">
        <f ca="1">IFERROR(__xludf.DUMMYFUNCTION("""COMPUTED_VALUE"""),566)</f>
        <v>566</v>
      </c>
      <c r="X384" s="1">
        <f ca="1">IFERROR(__xludf.DUMMYFUNCTION("""COMPUTED_VALUE"""),775)</f>
        <v>775</v>
      </c>
      <c r="Y384" s="1">
        <f ca="1">IFERROR(__xludf.DUMMYFUNCTION("""COMPUTED_VALUE"""),0.73)</f>
        <v>0.73</v>
      </c>
      <c r="Z384" s="1">
        <f ca="1">IFERROR(__xludf.DUMMYFUNCTION("""COMPUTED_VALUE"""),364)</f>
        <v>364</v>
      </c>
      <c r="AA384" s="1">
        <f ca="1">IFERROR(__xludf.DUMMYFUNCTION("""COMPUTED_VALUE"""),1282)</f>
        <v>1282</v>
      </c>
      <c r="AB384" s="1">
        <f ca="1">IFERROR(__xludf.DUMMYFUNCTION("""COMPUTED_VALUE"""),596)</f>
        <v>596</v>
      </c>
      <c r="AC384" s="1">
        <f ca="1">IFERROR(__xludf.DUMMYFUNCTION("""COMPUTED_VALUE"""),223)</f>
        <v>223</v>
      </c>
      <c r="AD384" s="1">
        <f ca="1">IFERROR(__xludf.DUMMYFUNCTION("""COMPUTED_VALUE"""),106)</f>
        <v>106</v>
      </c>
      <c r="AE384" s="1">
        <f ca="1">IFERROR(__xludf.DUMMYFUNCTION("""COMPUTED_VALUE"""),447)</f>
        <v>447</v>
      </c>
      <c r="AF384" s="1">
        <f ca="1">IFERROR(__xludf.DUMMYFUNCTION("""COMPUTED_VALUE"""),661)</f>
        <v>661</v>
      </c>
    </row>
    <row r="385" spans="1:32" ht="12.5" x14ac:dyDescent="0.25">
      <c r="A385" s="1" t="str">
        <f ca="1">IFERROR(__xludf.DUMMYFUNCTION("""COMPUTED_VALUE"""),"Yale")</f>
        <v>Yale</v>
      </c>
      <c r="B385" s="1">
        <f ca="1">IFERROR(__xludf.DUMMYFUNCTION("""COMPUTED_VALUE"""),33)</f>
        <v>33</v>
      </c>
      <c r="C385" s="1">
        <f ca="1">IFERROR(__xludf.DUMMYFUNCTION("""COMPUTED_VALUE"""),22)</f>
        <v>22</v>
      </c>
      <c r="D385" s="1">
        <f ca="1">IFERROR(__xludf.DUMMYFUNCTION("""COMPUTED_VALUE"""),10)</f>
        <v>10</v>
      </c>
      <c r="E385" s="1">
        <f ca="1">IFERROR(__xludf.DUMMYFUNCTION("""COMPUTED_VALUE"""),0.688)</f>
        <v>0.68799999999999994</v>
      </c>
      <c r="F385" s="1">
        <f ca="1">IFERROR(__xludf.DUMMYFUNCTION("""COMPUTED_VALUE"""),3.53)</f>
        <v>3.53</v>
      </c>
      <c r="G385" s="1">
        <f ca="1">IFERROR(__xludf.DUMMYFUNCTION("""COMPUTED_VALUE"""),-0.87)</f>
        <v>-0.87</v>
      </c>
      <c r="H385" s="1">
        <f ca="1">IFERROR(__xludf.DUMMYFUNCTION("""COMPUTED_VALUE"""),11)</f>
        <v>11</v>
      </c>
      <c r="I385" s="1">
        <f ca="1">IFERROR(__xludf.DUMMYFUNCTION("""COMPUTED_VALUE"""),4)</f>
        <v>4</v>
      </c>
      <c r="J385" s="1">
        <f ca="1">IFERROR(__xludf.DUMMYFUNCTION("""COMPUTED_VALUE"""),9)</f>
        <v>9</v>
      </c>
      <c r="K385" s="1">
        <f ca="1">IFERROR(__xludf.DUMMYFUNCTION("""COMPUTED_VALUE"""),3)</f>
        <v>3</v>
      </c>
      <c r="L385" s="1">
        <f ca="1">IFERROR(__xludf.DUMMYFUNCTION("""COMPUTED_VALUE"""),11)</f>
        <v>11</v>
      </c>
      <c r="M385" s="1">
        <f ca="1">IFERROR(__xludf.DUMMYFUNCTION("""COMPUTED_VALUE"""),6)</f>
        <v>6</v>
      </c>
      <c r="N385" s="1">
        <f ca="1">IFERROR(__xludf.DUMMYFUNCTION("""COMPUTED_VALUE"""),2164)</f>
        <v>2164</v>
      </c>
      <c r="O385" s="1">
        <f ca="1">IFERROR(__xludf.DUMMYFUNCTION("""COMPUTED_VALUE"""),1931)</f>
        <v>1931</v>
      </c>
      <c r="P385" s="1">
        <f ca="1">IFERROR(__xludf.DUMMYFUNCTION("""COMPUTED_VALUE"""),1300)</f>
        <v>1300</v>
      </c>
      <c r="Q385" s="1">
        <f ca="1">IFERROR(__xludf.DUMMYFUNCTION("""COMPUTED_VALUE"""),740)</f>
        <v>740</v>
      </c>
      <c r="R385" s="1">
        <f ca="1">IFERROR(__xludf.DUMMYFUNCTION("""COMPUTED_VALUE"""),1667)</f>
        <v>1667</v>
      </c>
      <c r="S385" s="1">
        <f ca="1">IFERROR(__xludf.DUMMYFUNCTION("""COMPUTED_VALUE"""),0.444)</f>
        <v>0.44400000000000001</v>
      </c>
      <c r="T385" s="1">
        <f ca="1">IFERROR(__xludf.DUMMYFUNCTION("""COMPUTED_VALUE"""),220)</f>
        <v>220</v>
      </c>
      <c r="U385" s="1">
        <f ca="1">IFERROR(__xludf.DUMMYFUNCTION("""COMPUTED_VALUE"""),595)</f>
        <v>595</v>
      </c>
      <c r="V385" s="1">
        <f ca="1">IFERROR(__xludf.DUMMYFUNCTION("""COMPUTED_VALUE"""),0.37)</f>
        <v>0.37</v>
      </c>
      <c r="W385" s="1">
        <f ca="1">IFERROR(__xludf.DUMMYFUNCTION("""COMPUTED_VALUE"""),464)</f>
        <v>464</v>
      </c>
      <c r="X385" s="1">
        <f ca="1">IFERROR(__xludf.DUMMYFUNCTION("""COMPUTED_VALUE"""),653)</f>
        <v>653</v>
      </c>
      <c r="Y385" s="1">
        <f ca="1">IFERROR(__xludf.DUMMYFUNCTION("""COMPUTED_VALUE"""),0.711)</f>
        <v>0.71099999999999997</v>
      </c>
      <c r="Z385" s="1">
        <f ca="1">IFERROR(__xludf.DUMMYFUNCTION("""COMPUTED_VALUE"""),360)</f>
        <v>360</v>
      </c>
      <c r="AA385" s="1">
        <f ca="1">IFERROR(__xludf.DUMMYFUNCTION("""COMPUTED_VALUE"""),1139)</f>
        <v>1139</v>
      </c>
      <c r="AB385" s="1">
        <f ca="1">IFERROR(__xludf.DUMMYFUNCTION("""COMPUTED_VALUE"""),437)</f>
        <v>437</v>
      </c>
      <c r="AC385" s="1">
        <f ca="1">IFERROR(__xludf.DUMMYFUNCTION("""COMPUTED_VALUE"""),188)</f>
        <v>188</v>
      </c>
      <c r="AD385" s="1">
        <f ca="1">IFERROR(__xludf.DUMMYFUNCTION("""COMPUTED_VALUE"""),127)</f>
        <v>127</v>
      </c>
      <c r="AE385" s="1">
        <f ca="1">IFERROR(__xludf.DUMMYFUNCTION("""COMPUTED_VALUE"""),406)</f>
        <v>406</v>
      </c>
      <c r="AF385" s="1">
        <f ca="1">IFERROR(__xludf.DUMMYFUNCTION("""COMPUTED_VALUE"""),552)</f>
        <v>552</v>
      </c>
    </row>
    <row r="386" spans="1:32" ht="12.5" x14ac:dyDescent="0.25">
      <c r="A386" s="1" t="str">
        <f ca="1">IFERROR(__xludf.DUMMYFUNCTION("""COMPUTED_VALUE"""),"Youngstown State")</f>
        <v>Youngstown State</v>
      </c>
      <c r="B386" s="1">
        <f ca="1">IFERROR(__xludf.DUMMYFUNCTION("""COMPUTED_VALUE"""),32)</f>
        <v>32</v>
      </c>
      <c r="C386" s="1">
        <f ca="1">IFERROR(__xludf.DUMMYFUNCTION("""COMPUTED_VALUE"""),11)</f>
        <v>11</v>
      </c>
      <c r="D386" s="1">
        <f ca="1">IFERROR(__xludf.DUMMYFUNCTION("""COMPUTED_VALUE"""),21)</f>
        <v>21</v>
      </c>
      <c r="E386" s="1">
        <f ca="1">IFERROR(__xludf.DUMMYFUNCTION("""COMPUTED_VALUE"""),0.344)</f>
        <v>0.34399999999999997</v>
      </c>
      <c r="F386" s="1">
        <f ca="1">IFERROR(__xludf.DUMMYFUNCTION("""COMPUTED_VALUE"""),-7.63)</f>
        <v>-7.63</v>
      </c>
      <c r="G386" s="1">
        <f ca="1">IFERROR(__xludf.DUMMYFUNCTION("""COMPUTED_VALUE"""),-1.73)</f>
        <v>-1.73</v>
      </c>
      <c r="H386" s="1">
        <f ca="1">IFERROR(__xludf.DUMMYFUNCTION("""COMPUTED_VALUE"""),2)</f>
        <v>2</v>
      </c>
      <c r="I386" s="1">
        <f ca="1">IFERROR(__xludf.DUMMYFUNCTION("""COMPUTED_VALUE"""),14)</f>
        <v>14</v>
      </c>
      <c r="J386" s="1">
        <f ca="1">IFERROR(__xludf.DUMMYFUNCTION("""COMPUTED_VALUE"""),6)</f>
        <v>6</v>
      </c>
      <c r="K386" s="1">
        <f ca="1">IFERROR(__xludf.DUMMYFUNCTION("""COMPUTED_VALUE"""),9)</f>
        <v>9</v>
      </c>
      <c r="L386" s="1">
        <f ca="1">IFERROR(__xludf.DUMMYFUNCTION("""COMPUTED_VALUE"""),3)</f>
        <v>3</v>
      </c>
      <c r="M386" s="1">
        <f ca="1">IFERROR(__xludf.DUMMYFUNCTION("""COMPUTED_VALUE"""),12)</f>
        <v>12</v>
      </c>
      <c r="N386" s="1">
        <f ca="1">IFERROR(__xludf.DUMMYFUNCTION("""COMPUTED_VALUE"""),2287)</f>
        <v>2287</v>
      </c>
      <c r="O386" s="1">
        <f ca="1">IFERROR(__xludf.DUMMYFUNCTION("""COMPUTED_VALUE"""),2394)</f>
        <v>2394</v>
      </c>
      <c r="P386" s="1">
        <f ca="1">IFERROR(__xludf.DUMMYFUNCTION("""COMPUTED_VALUE"""),1290)</f>
        <v>1290</v>
      </c>
      <c r="Q386" s="1">
        <f ca="1">IFERROR(__xludf.DUMMYFUNCTION("""COMPUTED_VALUE"""),807)</f>
        <v>807</v>
      </c>
      <c r="R386" s="1">
        <f ca="1">IFERROR(__xludf.DUMMYFUNCTION("""COMPUTED_VALUE"""),1826)</f>
        <v>1826</v>
      </c>
      <c r="S386" s="1">
        <f ca="1">IFERROR(__xludf.DUMMYFUNCTION("""COMPUTED_VALUE"""),0.442)</f>
        <v>0.442</v>
      </c>
      <c r="T386" s="1">
        <f ca="1">IFERROR(__xludf.DUMMYFUNCTION("""COMPUTED_VALUE"""),208)</f>
        <v>208</v>
      </c>
      <c r="U386" s="1">
        <f ca="1">IFERROR(__xludf.DUMMYFUNCTION("""COMPUTED_VALUE"""),588)</f>
        <v>588</v>
      </c>
      <c r="V386" s="1">
        <f ca="1">IFERROR(__xludf.DUMMYFUNCTION("""COMPUTED_VALUE"""),0.354)</f>
        <v>0.35399999999999998</v>
      </c>
      <c r="W386" s="1">
        <f ca="1">IFERROR(__xludf.DUMMYFUNCTION("""COMPUTED_VALUE"""),465)</f>
        <v>465</v>
      </c>
      <c r="X386" s="1">
        <f ca="1">IFERROR(__xludf.DUMMYFUNCTION("""COMPUTED_VALUE"""),670)</f>
        <v>670</v>
      </c>
      <c r="Y386" s="1">
        <f ca="1">IFERROR(__xludf.DUMMYFUNCTION("""COMPUTED_VALUE"""),0.694)</f>
        <v>0.69399999999999995</v>
      </c>
      <c r="Z386" s="1">
        <f ca="1">IFERROR(__xludf.DUMMYFUNCTION("""COMPUTED_VALUE"""),315)</f>
        <v>315</v>
      </c>
      <c r="AA386" s="1">
        <f ca="1">IFERROR(__xludf.DUMMYFUNCTION("""COMPUTED_VALUE"""),1055)</f>
        <v>1055</v>
      </c>
      <c r="AB386" s="1">
        <f ca="1">IFERROR(__xludf.DUMMYFUNCTION("""COMPUTED_VALUE"""),450)</f>
        <v>450</v>
      </c>
      <c r="AC386" s="1">
        <f ca="1">IFERROR(__xludf.DUMMYFUNCTION("""COMPUTED_VALUE"""),192)</f>
        <v>192</v>
      </c>
      <c r="AD386" s="1">
        <f ca="1">IFERROR(__xludf.DUMMYFUNCTION("""COMPUTED_VALUE"""),67)</f>
        <v>67</v>
      </c>
      <c r="AE386" s="1">
        <f ca="1">IFERROR(__xludf.DUMMYFUNCTION("""COMPUTED_VALUE"""),374)</f>
        <v>374</v>
      </c>
      <c r="AF386" s="1">
        <f ca="1">IFERROR(__xludf.DUMMYFUNCTION("""COMPUTED_VALUE"""),586)</f>
        <v>586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F386"/>
  <sheetViews>
    <sheetView workbookViewId="0">
      <selection activeCell="P1" sqref="P1:P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IFERROR(__xludf.DUMMYFUNCTION("""COMPUTED_VALUE"""),"Abilene Christian")</f>
        <v>Abilene Christian</v>
      </c>
      <c r="B2" s="1">
        <f ca="1">IFERROR(__xludf.DUMMYFUNCTION("""COMPUTED_VALUE"""),31)</f>
        <v>31</v>
      </c>
      <c r="C2" s="1">
        <f ca="1">IFERROR(__xludf.DUMMYFUNCTION("""COMPUTED_VALUE"""),11)</f>
        <v>11</v>
      </c>
      <c r="D2" s="1">
        <f ca="1">IFERROR(__xludf.DUMMYFUNCTION("""COMPUTED_VALUE"""),20)</f>
        <v>20</v>
      </c>
      <c r="E2" s="1">
        <f ca="1">IFERROR(__xludf.DUMMYFUNCTION("""COMPUTED_VALUE"""),0.355)</f>
        <v>0.35499999999999998</v>
      </c>
      <c r="F2" s="1">
        <f ca="1">IFERROR(__xludf.DUMMYFUNCTION("""COMPUTED_VALUE"""),-19.6)</f>
        <v>-19.600000000000001</v>
      </c>
      <c r="G2" s="1">
        <f ca="1">IFERROR(__xludf.DUMMYFUNCTION("""COMPUTED_VALUE"""),-4.12)</f>
        <v>-4.12</v>
      </c>
      <c r="H2" s="1">
        <f ca="1">IFERROR(__xludf.DUMMYFUNCTION("""COMPUTED_VALUE"""),2)</f>
        <v>2</v>
      </c>
      <c r="I2" s="1">
        <f ca="1">IFERROR(__xludf.DUMMYFUNCTION("""COMPUTED_VALUE"""),12)</f>
        <v>12</v>
      </c>
      <c r="J2" s="1">
        <f ca="1">IFERROR(__xludf.DUMMYFUNCTION("""COMPUTED_VALUE"""),9)</f>
        <v>9</v>
      </c>
      <c r="K2" s="1">
        <f ca="1">IFERROR(__xludf.DUMMYFUNCTION("""COMPUTED_VALUE"""),5)</f>
        <v>5</v>
      </c>
      <c r="L2" s="1">
        <f ca="1">IFERROR(__xludf.DUMMYFUNCTION("""COMPUTED_VALUE"""),0)</f>
        <v>0</v>
      </c>
      <c r="M2" s="1">
        <f ca="1">IFERROR(__xludf.DUMMYFUNCTION("""COMPUTED_VALUE"""),14)</f>
        <v>14</v>
      </c>
      <c r="N2" s="1">
        <f ca="1">IFERROR(__xludf.DUMMYFUNCTION("""COMPUTED_VALUE"""),2214)</f>
        <v>2214</v>
      </c>
      <c r="O2" s="1">
        <f ca="1">IFERROR(__xludf.DUMMYFUNCTION("""COMPUTED_VALUE"""),2228)</f>
        <v>2228</v>
      </c>
      <c r="P2" s="1">
        <f ca="1">IFERROR(__xludf.DUMMYFUNCTION("""COMPUTED_VALUE"""),1255)</f>
        <v>1255</v>
      </c>
      <c r="Q2" s="1">
        <f ca="1">IFERROR(__xludf.DUMMYFUNCTION("""COMPUTED_VALUE"""),737)</f>
        <v>737</v>
      </c>
      <c r="R2" s="1">
        <f ca="1">IFERROR(__xludf.DUMMYFUNCTION("""COMPUTED_VALUE"""),1664)</f>
        <v>1664</v>
      </c>
      <c r="S2" s="1">
        <f ca="1">IFERROR(__xludf.DUMMYFUNCTION("""COMPUTED_VALUE"""),0.443)</f>
        <v>0.443</v>
      </c>
      <c r="T2" s="1">
        <f ca="1">IFERROR(__xludf.DUMMYFUNCTION("""COMPUTED_VALUE"""),241)</f>
        <v>241</v>
      </c>
      <c r="U2" s="1">
        <f ca="1">IFERROR(__xludf.DUMMYFUNCTION("""COMPUTED_VALUE"""),599)</f>
        <v>599</v>
      </c>
      <c r="V2" s="1">
        <f ca="1">IFERROR(__xludf.DUMMYFUNCTION("""COMPUTED_VALUE"""),0.402)</f>
        <v>0.40200000000000002</v>
      </c>
      <c r="W2" s="1">
        <f ca="1">IFERROR(__xludf.DUMMYFUNCTION("""COMPUTED_VALUE"""),499)</f>
        <v>499</v>
      </c>
      <c r="X2" s="1">
        <f ca="1">IFERROR(__xludf.DUMMYFUNCTION("""COMPUTED_VALUE"""),666)</f>
        <v>666</v>
      </c>
      <c r="Y2" s="1">
        <f ca="1">IFERROR(__xludf.DUMMYFUNCTION("""COMPUTED_VALUE"""),0.749)</f>
        <v>0.749</v>
      </c>
      <c r="Z2" s="1">
        <f ca="1">IFERROR(__xludf.DUMMYFUNCTION("""COMPUTED_VALUE"""),306)</f>
        <v>306</v>
      </c>
      <c r="AA2" s="1">
        <f ca="1">IFERROR(__xludf.DUMMYFUNCTION("""COMPUTED_VALUE"""),1011)</f>
        <v>1011</v>
      </c>
      <c r="AB2" s="1">
        <f ca="1">IFERROR(__xludf.DUMMYFUNCTION("""COMPUTED_VALUE"""),402)</f>
        <v>402</v>
      </c>
      <c r="AC2" s="1">
        <f ca="1">IFERROR(__xludf.DUMMYFUNCTION("""COMPUTED_VALUE"""),221)</f>
        <v>221</v>
      </c>
      <c r="AD2" s="1">
        <f ca="1">IFERROR(__xludf.DUMMYFUNCTION("""COMPUTED_VALUE"""),72)</f>
        <v>72</v>
      </c>
      <c r="AE2" s="1">
        <f ca="1">IFERROR(__xludf.DUMMYFUNCTION("""COMPUTED_VALUE"""),453)</f>
        <v>453</v>
      </c>
      <c r="AF2" s="1">
        <f ca="1">IFERROR(__xludf.DUMMYFUNCTION("""COMPUTED_VALUE"""),641)</f>
        <v>641</v>
      </c>
    </row>
    <row r="3" spans="1:32" ht="15.75" customHeight="1" x14ac:dyDescent="0.25">
      <c r="A3" s="1" t="str">
        <f ca="1">IFERROR(__xludf.DUMMYFUNCTION("""COMPUTED_VALUE"""),"Air Force")</f>
        <v>Air Force</v>
      </c>
      <c r="B3" s="1">
        <f ca="1">IFERROR(__xludf.DUMMYFUNCTION("""COMPUTED_VALUE"""),30)</f>
        <v>30</v>
      </c>
      <c r="C3" s="1">
        <f ca="1">IFERROR(__xludf.DUMMYFUNCTION("""COMPUTED_VALUE"""),12)</f>
        <v>12</v>
      </c>
      <c r="D3" s="1">
        <f ca="1">IFERROR(__xludf.DUMMYFUNCTION("""COMPUTED_VALUE"""),18)</f>
        <v>18</v>
      </c>
      <c r="E3" s="1">
        <f ca="1">IFERROR(__xludf.DUMMYFUNCTION("""COMPUTED_VALUE"""),0.4)</f>
        <v>0.4</v>
      </c>
      <c r="F3" s="1">
        <f ca="1">IFERROR(__xludf.DUMMYFUNCTION("""COMPUTED_VALUE"""),-4.08)</f>
        <v>-4.08</v>
      </c>
      <c r="G3" s="1">
        <f ca="1">IFERROR(__xludf.DUMMYFUNCTION("""COMPUTED_VALUE"""),1.71)</f>
        <v>1.71</v>
      </c>
      <c r="H3" s="1">
        <f ca="1">IFERROR(__xludf.DUMMYFUNCTION("""COMPUTED_VALUE"""),6)</f>
        <v>6</v>
      </c>
      <c r="I3" s="1">
        <f ca="1">IFERROR(__xludf.DUMMYFUNCTION("""COMPUTED_VALUE"""),12)</f>
        <v>12</v>
      </c>
      <c r="J3" s="1">
        <f ca="1">IFERROR(__xludf.DUMMYFUNCTION("""COMPUTED_VALUE"""),8)</f>
        <v>8</v>
      </c>
      <c r="K3" s="1">
        <f ca="1">IFERROR(__xludf.DUMMYFUNCTION("""COMPUTED_VALUE"""),9)</f>
        <v>9</v>
      </c>
      <c r="L3" s="1">
        <f ca="1">IFERROR(__xludf.DUMMYFUNCTION("""COMPUTED_VALUE"""),3)</f>
        <v>3</v>
      </c>
      <c r="M3" s="1">
        <f ca="1">IFERROR(__xludf.DUMMYFUNCTION("""COMPUTED_VALUE"""),8)</f>
        <v>8</v>
      </c>
      <c r="N3" s="1">
        <f ca="1">IFERROR(__xludf.DUMMYFUNCTION("""COMPUTED_VALUE"""),1980)</f>
        <v>1980</v>
      </c>
      <c r="O3" s="1">
        <f ca="1">IFERROR(__xludf.DUMMYFUNCTION("""COMPUTED_VALUE"""),2074)</f>
        <v>2074</v>
      </c>
      <c r="P3" s="1">
        <f ca="1">IFERROR(__xludf.DUMMYFUNCTION("""COMPUTED_VALUE"""),1210)</f>
        <v>1210</v>
      </c>
      <c r="Q3" s="1">
        <f ca="1">IFERROR(__xludf.DUMMYFUNCTION("""COMPUTED_VALUE"""),679)</f>
        <v>679</v>
      </c>
      <c r="R3" s="1">
        <f ca="1">IFERROR(__xludf.DUMMYFUNCTION("""COMPUTED_VALUE"""),1561)</f>
        <v>1561</v>
      </c>
      <c r="S3" s="1">
        <f ca="1">IFERROR(__xludf.DUMMYFUNCTION("""COMPUTED_VALUE"""),0.435)</f>
        <v>0.435</v>
      </c>
      <c r="T3" s="1">
        <f ca="1">IFERROR(__xludf.DUMMYFUNCTION("""COMPUTED_VALUE"""),216)</f>
        <v>216</v>
      </c>
      <c r="U3" s="1">
        <f ca="1">IFERROR(__xludf.DUMMYFUNCTION("""COMPUTED_VALUE"""),653)</f>
        <v>653</v>
      </c>
      <c r="V3" s="1">
        <f ca="1">IFERROR(__xludf.DUMMYFUNCTION("""COMPUTED_VALUE"""),0.331)</f>
        <v>0.33100000000000002</v>
      </c>
      <c r="W3" s="1">
        <f ca="1">IFERROR(__xludf.DUMMYFUNCTION("""COMPUTED_VALUE"""),406)</f>
        <v>406</v>
      </c>
      <c r="X3" s="1">
        <f ca="1">IFERROR(__xludf.DUMMYFUNCTION("""COMPUTED_VALUE"""),588)</f>
        <v>588</v>
      </c>
      <c r="Y3" s="1">
        <f ca="1">IFERROR(__xludf.DUMMYFUNCTION("""COMPUTED_VALUE"""),0.69)</f>
        <v>0.69</v>
      </c>
      <c r="Z3" s="1">
        <f ca="1">IFERROR(__xludf.DUMMYFUNCTION("""COMPUTED_VALUE"""),263)</f>
        <v>263</v>
      </c>
      <c r="AA3" s="1">
        <f ca="1">IFERROR(__xludf.DUMMYFUNCTION("""COMPUTED_VALUE"""),970)</f>
        <v>970</v>
      </c>
      <c r="AB3" s="1">
        <f ca="1">IFERROR(__xludf.DUMMYFUNCTION("""COMPUTED_VALUE"""),419)</f>
        <v>419</v>
      </c>
      <c r="AC3" s="1">
        <f ca="1">IFERROR(__xludf.DUMMYFUNCTION("""COMPUTED_VALUE"""),164)</f>
        <v>164</v>
      </c>
      <c r="AD3" s="1">
        <f ca="1">IFERROR(__xludf.DUMMYFUNCTION("""COMPUTED_VALUE"""),94)</f>
        <v>94</v>
      </c>
      <c r="AE3" s="1">
        <f ca="1">IFERROR(__xludf.DUMMYFUNCTION("""COMPUTED_VALUE"""),400)</f>
        <v>400</v>
      </c>
      <c r="AF3" s="1">
        <f ca="1">IFERROR(__xludf.DUMMYFUNCTION("""COMPUTED_VALUE"""),563)</f>
        <v>563</v>
      </c>
    </row>
    <row r="4" spans="1:32" ht="15.75" customHeight="1" x14ac:dyDescent="0.25">
      <c r="A4" s="1" t="str">
        <f ca="1">IFERROR(__xludf.DUMMYFUNCTION("""COMPUTED_VALUE"""),"Akron")</f>
        <v>Akron</v>
      </c>
      <c r="B4" s="1">
        <f ca="1">IFERROR(__xludf.DUMMYFUNCTION("""COMPUTED_VALUE"""),34)</f>
        <v>34</v>
      </c>
      <c r="C4" s="1">
        <f ca="1">IFERROR(__xludf.DUMMYFUNCTION("""COMPUTED_VALUE"""),21)</f>
        <v>21</v>
      </c>
      <c r="D4" s="1">
        <f ca="1">IFERROR(__xludf.DUMMYFUNCTION("""COMPUTED_VALUE"""),13)</f>
        <v>13</v>
      </c>
      <c r="E4" s="1">
        <f ca="1">IFERROR(__xludf.DUMMYFUNCTION("""COMPUTED_VALUE"""),0.618)</f>
        <v>0.61799999999999999</v>
      </c>
      <c r="F4" s="1">
        <f ca="1">IFERROR(__xludf.DUMMYFUNCTION("""COMPUTED_VALUE"""),1.16)</f>
        <v>1.1599999999999999</v>
      </c>
      <c r="G4" s="1">
        <f ca="1">IFERROR(__xludf.DUMMYFUNCTION("""COMPUTED_VALUE"""),-0.48)</f>
        <v>-0.48</v>
      </c>
      <c r="H4" s="1">
        <f ca="1">IFERROR(__xludf.DUMMYFUNCTION("""COMPUTED_VALUE"""),12)</f>
        <v>12</v>
      </c>
      <c r="I4" s="1">
        <f ca="1">IFERROR(__xludf.DUMMYFUNCTION("""COMPUTED_VALUE"""),6)</f>
        <v>6</v>
      </c>
      <c r="J4" s="1">
        <f ca="1">IFERROR(__xludf.DUMMYFUNCTION("""COMPUTED_VALUE"""),13)</f>
        <v>13</v>
      </c>
      <c r="K4" s="1">
        <f ca="1">IFERROR(__xludf.DUMMYFUNCTION("""COMPUTED_VALUE"""),2)</f>
        <v>2</v>
      </c>
      <c r="L4" s="1">
        <f ca="1">IFERROR(__xludf.DUMMYFUNCTION("""COMPUTED_VALUE"""),6)</f>
        <v>6</v>
      </c>
      <c r="M4" s="1">
        <f ca="1">IFERROR(__xludf.DUMMYFUNCTION("""COMPUTED_VALUE"""),8)</f>
        <v>8</v>
      </c>
      <c r="N4" s="1">
        <f ca="1">IFERROR(__xludf.DUMMYFUNCTION("""COMPUTED_VALUE"""),2332)</f>
        <v>2332</v>
      </c>
      <c r="O4" s="1">
        <f ca="1">IFERROR(__xludf.DUMMYFUNCTION("""COMPUTED_VALUE"""),2276)</f>
        <v>2276</v>
      </c>
      <c r="P4" s="1">
        <f ca="1">IFERROR(__xludf.DUMMYFUNCTION("""COMPUTED_VALUE"""),1375)</f>
        <v>1375</v>
      </c>
      <c r="Q4" s="1">
        <f ca="1">IFERROR(__xludf.DUMMYFUNCTION("""COMPUTED_VALUE"""),813)</f>
        <v>813</v>
      </c>
      <c r="R4" s="1">
        <f ca="1">IFERROR(__xludf.DUMMYFUNCTION("""COMPUTED_VALUE"""),1855)</f>
        <v>1855</v>
      </c>
      <c r="S4" s="1">
        <f ca="1">IFERROR(__xludf.DUMMYFUNCTION("""COMPUTED_VALUE"""),0.438)</f>
        <v>0.438</v>
      </c>
      <c r="T4" s="1">
        <f ca="1">IFERROR(__xludf.DUMMYFUNCTION("""COMPUTED_VALUE"""),239)</f>
        <v>239</v>
      </c>
      <c r="U4" s="1">
        <f ca="1">IFERROR(__xludf.DUMMYFUNCTION("""COMPUTED_VALUE"""),690)</f>
        <v>690</v>
      </c>
      <c r="V4" s="1">
        <f ca="1">IFERROR(__xludf.DUMMYFUNCTION("""COMPUTED_VALUE"""),0.346)</f>
        <v>0.34599999999999997</v>
      </c>
      <c r="W4" s="1">
        <f ca="1">IFERROR(__xludf.DUMMYFUNCTION("""COMPUTED_VALUE"""),467)</f>
        <v>467</v>
      </c>
      <c r="X4" s="1">
        <f ca="1">IFERROR(__xludf.DUMMYFUNCTION("""COMPUTED_VALUE"""),750)</f>
        <v>750</v>
      </c>
      <c r="Y4" s="1">
        <f ca="1">IFERROR(__xludf.DUMMYFUNCTION("""COMPUTED_VALUE"""),0.623)</f>
        <v>0.623</v>
      </c>
      <c r="Z4" s="1">
        <f ca="1">IFERROR(__xludf.DUMMYFUNCTION("""COMPUTED_VALUE"""),412)</f>
        <v>412</v>
      </c>
      <c r="AA4" s="1">
        <f ca="1">IFERROR(__xludf.DUMMYFUNCTION("""COMPUTED_VALUE"""),1175)</f>
        <v>1175</v>
      </c>
      <c r="AB4" s="1">
        <f ca="1">IFERROR(__xludf.DUMMYFUNCTION("""COMPUTED_VALUE"""),387)</f>
        <v>387</v>
      </c>
      <c r="AC4" s="1">
        <f ca="1">IFERROR(__xludf.DUMMYFUNCTION("""COMPUTED_VALUE"""),225)</f>
        <v>225</v>
      </c>
      <c r="AD4" s="1">
        <f ca="1">IFERROR(__xludf.DUMMYFUNCTION("""COMPUTED_VALUE"""),142)</f>
        <v>142</v>
      </c>
      <c r="AE4" s="1">
        <f ca="1">IFERROR(__xludf.DUMMYFUNCTION("""COMPUTED_VALUE"""),446)</f>
        <v>446</v>
      </c>
      <c r="AF4" s="1">
        <f ca="1">IFERROR(__xludf.DUMMYFUNCTION("""COMPUTED_VALUE"""),606)</f>
        <v>606</v>
      </c>
    </row>
    <row r="5" spans="1:32" ht="15.75" customHeight="1" x14ac:dyDescent="0.25">
      <c r="A5" s="1" t="str">
        <f ca="1">IFERROR(__xludf.DUMMYFUNCTION("""COMPUTED_VALUE"""),"Alabama A&amp;M")</f>
        <v>Alabama A&amp;M</v>
      </c>
      <c r="B5" s="1">
        <f ca="1">IFERROR(__xludf.DUMMYFUNCTION("""COMPUTED_VALUE"""),30)</f>
        <v>30</v>
      </c>
      <c r="C5" s="1">
        <f ca="1">IFERROR(__xludf.DUMMYFUNCTION("""COMPUTED_VALUE"""),14)</f>
        <v>14</v>
      </c>
      <c r="D5" s="1">
        <f ca="1">IFERROR(__xludf.DUMMYFUNCTION("""COMPUTED_VALUE"""),16)</f>
        <v>16</v>
      </c>
      <c r="E5" s="1">
        <f ca="1">IFERROR(__xludf.DUMMYFUNCTION("""COMPUTED_VALUE"""),0.467)</f>
        <v>0.46700000000000003</v>
      </c>
      <c r="F5" s="1">
        <f ca="1">IFERROR(__xludf.DUMMYFUNCTION("""COMPUTED_VALUE"""),-13.86)</f>
        <v>-13.86</v>
      </c>
      <c r="G5" s="1">
        <f ca="1">IFERROR(__xludf.DUMMYFUNCTION("""COMPUTED_VALUE"""),-10.58)</f>
        <v>-10.58</v>
      </c>
      <c r="H5" s="1">
        <f ca="1">IFERROR(__xludf.DUMMYFUNCTION("""COMPUTED_VALUE"""),10)</f>
        <v>10</v>
      </c>
      <c r="I5" s="1">
        <f ca="1">IFERROR(__xludf.DUMMYFUNCTION("""COMPUTED_VALUE"""),8)</f>
        <v>8</v>
      </c>
      <c r="J5" s="1">
        <f ca="1">IFERROR(__xludf.DUMMYFUNCTION("""COMPUTED_VALUE"""),7)</f>
        <v>7</v>
      </c>
      <c r="K5" s="1">
        <f ca="1">IFERROR(__xludf.DUMMYFUNCTION("""COMPUTED_VALUE"""),4)</f>
        <v>4</v>
      </c>
      <c r="L5" s="1">
        <f ca="1">IFERROR(__xludf.DUMMYFUNCTION("""COMPUTED_VALUE"""),5)</f>
        <v>5</v>
      </c>
      <c r="M5" s="1">
        <f ca="1">IFERROR(__xludf.DUMMYFUNCTION("""COMPUTED_VALUE"""),11)</f>
        <v>11</v>
      </c>
      <c r="N5" s="1">
        <f ca="1">IFERROR(__xludf.DUMMYFUNCTION("""COMPUTED_VALUE"""),1936)</f>
        <v>1936</v>
      </c>
      <c r="O5" s="1">
        <f ca="1">IFERROR(__xludf.DUMMYFUNCTION("""COMPUTED_VALUE"""),2010)</f>
        <v>2010</v>
      </c>
      <c r="P5" s="1">
        <f ca="1">IFERROR(__xludf.DUMMYFUNCTION("""COMPUTED_VALUE"""),1215)</f>
        <v>1215</v>
      </c>
      <c r="Q5" s="1">
        <f ca="1">IFERROR(__xludf.DUMMYFUNCTION("""COMPUTED_VALUE"""),656)</f>
        <v>656</v>
      </c>
      <c r="R5" s="1">
        <f ca="1">IFERROR(__xludf.DUMMYFUNCTION("""COMPUTED_VALUE"""),1601)</f>
        <v>1601</v>
      </c>
      <c r="S5" s="1">
        <f ca="1">IFERROR(__xludf.DUMMYFUNCTION("""COMPUTED_VALUE"""),0.41)</f>
        <v>0.41</v>
      </c>
      <c r="T5" s="1">
        <f ca="1">IFERROR(__xludf.DUMMYFUNCTION("""COMPUTED_VALUE"""),182)</f>
        <v>182</v>
      </c>
      <c r="U5" s="1">
        <f ca="1">IFERROR(__xludf.DUMMYFUNCTION("""COMPUTED_VALUE"""),561)</f>
        <v>561</v>
      </c>
      <c r="V5" s="1">
        <f ca="1">IFERROR(__xludf.DUMMYFUNCTION("""COMPUTED_VALUE"""),0.324)</f>
        <v>0.32400000000000001</v>
      </c>
      <c r="W5" s="1">
        <f ca="1">IFERROR(__xludf.DUMMYFUNCTION("""COMPUTED_VALUE"""),442)</f>
        <v>442</v>
      </c>
      <c r="X5" s="1">
        <f ca="1">IFERROR(__xludf.DUMMYFUNCTION("""COMPUTED_VALUE"""),674)</f>
        <v>674</v>
      </c>
      <c r="Y5" s="1">
        <f ca="1">IFERROR(__xludf.DUMMYFUNCTION("""COMPUTED_VALUE"""),0.656)</f>
        <v>0.65600000000000003</v>
      </c>
      <c r="Z5" s="1">
        <f ca="1">IFERROR(__xludf.DUMMYFUNCTION("""COMPUTED_VALUE"""),300)</f>
        <v>300</v>
      </c>
      <c r="AA5" s="1">
        <f ca="1">IFERROR(__xludf.DUMMYFUNCTION("""COMPUTED_VALUE"""),1015)</f>
        <v>1015</v>
      </c>
      <c r="AB5" s="1">
        <f ca="1">IFERROR(__xludf.DUMMYFUNCTION("""COMPUTED_VALUE"""),380)</f>
        <v>380</v>
      </c>
      <c r="AC5" s="1">
        <f ca="1">IFERROR(__xludf.DUMMYFUNCTION("""COMPUTED_VALUE"""),187)</f>
        <v>187</v>
      </c>
      <c r="AD5" s="1">
        <f ca="1">IFERROR(__xludf.DUMMYFUNCTION("""COMPUTED_VALUE"""),125)</f>
        <v>125</v>
      </c>
      <c r="AE5" s="1">
        <f ca="1">IFERROR(__xludf.DUMMYFUNCTION("""COMPUTED_VALUE"""),396)</f>
        <v>396</v>
      </c>
      <c r="AF5" s="1">
        <f ca="1">IFERROR(__xludf.DUMMYFUNCTION("""COMPUTED_VALUE"""),643)</f>
        <v>643</v>
      </c>
    </row>
    <row r="6" spans="1:32" ht="15.75" customHeight="1" x14ac:dyDescent="0.25">
      <c r="A6" s="1" t="str">
        <f ca="1">IFERROR(__xludf.DUMMYFUNCTION("""COMPUTED_VALUE"""),"Alabama-Birmingham")</f>
        <v>Alabama-Birmingham</v>
      </c>
      <c r="B6" s="1">
        <f ca="1">IFERROR(__xludf.DUMMYFUNCTION("""COMPUTED_VALUE"""),31)</f>
        <v>31</v>
      </c>
      <c r="C6" s="1">
        <f ca="1">IFERROR(__xludf.DUMMYFUNCTION("""COMPUTED_VALUE"""),18)</f>
        <v>18</v>
      </c>
      <c r="D6" s="1">
        <f ca="1">IFERROR(__xludf.DUMMYFUNCTION("""COMPUTED_VALUE"""),13)</f>
        <v>13</v>
      </c>
      <c r="E6" s="1">
        <f ca="1">IFERROR(__xludf.DUMMYFUNCTION("""COMPUTED_VALUE"""),0.581)</f>
        <v>0.58099999999999996</v>
      </c>
      <c r="F6" s="1">
        <f ca="1">IFERROR(__xludf.DUMMYFUNCTION("""COMPUTED_VALUE"""),0.78)</f>
        <v>0.78</v>
      </c>
      <c r="G6" s="1">
        <f ca="1">IFERROR(__xludf.DUMMYFUNCTION("""COMPUTED_VALUE"""),-0.77)</f>
        <v>-0.77</v>
      </c>
      <c r="H6" s="1">
        <f ca="1">IFERROR(__xludf.DUMMYFUNCTION("""COMPUTED_VALUE"""),7)</f>
        <v>7</v>
      </c>
      <c r="I6" s="1">
        <f ca="1">IFERROR(__xludf.DUMMYFUNCTION("""COMPUTED_VALUE"""),9)</f>
        <v>9</v>
      </c>
      <c r="J6" s="1">
        <f ca="1">IFERROR(__xludf.DUMMYFUNCTION("""COMPUTED_VALUE"""),12)</f>
        <v>12</v>
      </c>
      <c r="K6" s="1">
        <f ca="1">IFERROR(__xludf.DUMMYFUNCTION("""COMPUTED_VALUE"""),5)</f>
        <v>5</v>
      </c>
      <c r="L6" s="1">
        <f ca="1">IFERROR(__xludf.DUMMYFUNCTION("""COMPUTED_VALUE"""),5)</f>
        <v>5</v>
      </c>
      <c r="M6" s="1">
        <f ca="1">IFERROR(__xludf.DUMMYFUNCTION("""COMPUTED_VALUE"""),5)</f>
        <v>5</v>
      </c>
      <c r="N6" s="1">
        <f ca="1">IFERROR(__xludf.DUMMYFUNCTION("""COMPUTED_VALUE"""),2266)</f>
        <v>2266</v>
      </c>
      <c r="O6" s="1">
        <f ca="1">IFERROR(__xludf.DUMMYFUNCTION("""COMPUTED_VALUE"""),2180)</f>
        <v>2180</v>
      </c>
      <c r="P6" s="1">
        <f ca="1">IFERROR(__xludf.DUMMYFUNCTION("""COMPUTED_VALUE"""),1255)</f>
        <v>1255</v>
      </c>
      <c r="Q6" s="1">
        <f ca="1">IFERROR(__xludf.DUMMYFUNCTION("""COMPUTED_VALUE"""),800)</f>
        <v>800</v>
      </c>
      <c r="R6" s="1">
        <f ca="1">IFERROR(__xludf.DUMMYFUNCTION("""COMPUTED_VALUE"""),1919)</f>
        <v>1919</v>
      </c>
      <c r="S6" s="1">
        <f ca="1">IFERROR(__xludf.DUMMYFUNCTION("""COMPUTED_VALUE"""),0.417)</f>
        <v>0.41699999999999998</v>
      </c>
      <c r="T6" s="1">
        <f ca="1">IFERROR(__xludf.DUMMYFUNCTION("""COMPUTED_VALUE"""),158)</f>
        <v>158</v>
      </c>
      <c r="U6" s="1">
        <f ca="1">IFERROR(__xludf.DUMMYFUNCTION("""COMPUTED_VALUE"""),525)</f>
        <v>525</v>
      </c>
      <c r="V6" s="1">
        <f ca="1">IFERROR(__xludf.DUMMYFUNCTION("""COMPUTED_VALUE"""),0.301)</f>
        <v>0.30099999999999999</v>
      </c>
      <c r="W6" s="1">
        <f ca="1">IFERROR(__xludf.DUMMYFUNCTION("""COMPUTED_VALUE"""),508)</f>
        <v>508</v>
      </c>
      <c r="X6" s="1">
        <f ca="1">IFERROR(__xludf.DUMMYFUNCTION("""COMPUTED_VALUE"""),772)</f>
        <v>772</v>
      </c>
      <c r="Y6" s="1">
        <f ca="1">IFERROR(__xludf.DUMMYFUNCTION("""COMPUTED_VALUE"""),0.658)</f>
        <v>0.65800000000000003</v>
      </c>
      <c r="Z6" s="1">
        <f ca="1">IFERROR(__xludf.DUMMYFUNCTION("""COMPUTED_VALUE"""),508)</f>
        <v>508</v>
      </c>
      <c r="AA6" s="1">
        <f ca="1">IFERROR(__xludf.DUMMYFUNCTION("""COMPUTED_VALUE"""),1381)</f>
        <v>1381</v>
      </c>
      <c r="AB6" s="1">
        <f ca="1">IFERROR(__xludf.DUMMYFUNCTION("""COMPUTED_VALUE"""),392)</f>
        <v>392</v>
      </c>
      <c r="AC6" s="1">
        <f ca="1">IFERROR(__xludf.DUMMYFUNCTION("""COMPUTED_VALUE"""),169)</f>
        <v>169</v>
      </c>
      <c r="AD6" s="1">
        <f ca="1">IFERROR(__xludf.DUMMYFUNCTION("""COMPUTED_VALUE"""),128)</f>
        <v>128</v>
      </c>
      <c r="AE6" s="1">
        <f ca="1">IFERROR(__xludf.DUMMYFUNCTION("""COMPUTED_VALUE"""),403)</f>
        <v>403</v>
      </c>
      <c r="AF6" s="1">
        <f ca="1">IFERROR(__xludf.DUMMYFUNCTION("""COMPUTED_VALUE"""),543)</f>
        <v>543</v>
      </c>
    </row>
    <row r="7" spans="1:32" ht="15.75" customHeight="1" x14ac:dyDescent="0.25">
      <c r="A7" s="1" t="str">
        <f ca="1">IFERROR(__xludf.DUMMYFUNCTION("""COMPUTED_VALUE"""),"Alabama State")</f>
        <v>Alabama State</v>
      </c>
      <c r="B7" s="1">
        <f ca="1">IFERROR(__xludf.DUMMYFUNCTION("""COMPUTED_VALUE"""),32)</f>
        <v>32</v>
      </c>
      <c r="C7" s="1">
        <f ca="1">IFERROR(__xludf.DUMMYFUNCTION("""COMPUTED_VALUE"""),19)</f>
        <v>19</v>
      </c>
      <c r="D7" s="1">
        <f ca="1">IFERROR(__xludf.DUMMYFUNCTION("""COMPUTED_VALUE"""),13)</f>
        <v>13</v>
      </c>
      <c r="E7" s="1">
        <f ca="1">IFERROR(__xludf.DUMMYFUNCTION("""COMPUTED_VALUE"""),0.594)</f>
        <v>0.59399999999999997</v>
      </c>
      <c r="F7" s="1">
        <f ca="1">IFERROR(__xludf.DUMMYFUNCTION("""COMPUTED_VALUE"""),-12.84)</f>
        <v>-12.84</v>
      </c>
      <c r="G7" s="1">
        <f ca="1">IFERROR(__xludf.DUMMYFUNCTION("""COMPUTED_VALUE"""),-11.4)</f>
        <v>-11.4</v>
      </c>
      <c r="H7" s="1">
        <f ca="1">IFERROR(__xludf.DUMMYFUNCTION("""COMPUTED_VALUE"""),12)</f>
        <v>12</v>
      </c>
      <c r="I7" s="1">
        <f ca="1">IFERROR(__xludf.DUMMYFUNCTION("""COMPUTED_VALUE"""),6)</f>
        <v>6</v>
      </c>
      <c r="J7" s="1">
        <f ca="1">IFERROR(__xludf.DUMMYFUNCTION("""COMPUTED_VALUE"""),13)</f>
        <v>13</v>
      </c>
      <c r="K7" s="1">
        <f ca="1">IFERROR(__xludf.DUMMYFUNCTION("""COMPUTED_VALUE"""),1)</f>
        <v>1</v>
      </c>
      <c r="L7" s="1">
        <f ca="1">IFERROR(__xludf.DUMMYFUNCTION("""COMPUTED_VALUE"""),5)</f>
        <v>5</v>
      </c>
      <c r="M7" s="1">
        <f ca="1">IFERROR(__xludf.DUMMYFUNCTION("""COMPUTED_VALUE"""),10)</f>
        <v>10</v>
      </c>
      <c r="N7" s="1">
        <f ca="1">IFERROR(__xludf.DUMMYFUNCTION("""COMPUTED_VALUE"""),2265)</f>
        <v>2265</v>
      </c>
      <c r="O7" s="1">
        <f ca="1">IFERROR(__xludf.DUMMYFUNCTION("""COMPUTED_VALUE"""),2225)</f>
        <v>2225</v>
      </c>
      <c r="P7" s="1">
        <f ca="1">IFERROR(__xludf.DUMMYFUNCTION("""COMPUTED_VALUE"""),1300)</f>
        <v>1300</v>
      </c>
      <c r="Q7" s="1">
        <f ca="1">IFERROR(__xludf.DUMMYFUNCTION("""COMPUTED_VALUE"""),792)</f>
        <v>792</v>
      </c>
      <c r="R7" s="1">
        <f ca="1">IFERROR(__xludf.DUMMYFUNCTION("""COMPUTED_VALUE"""),1892)</f>
        <v>1892</v>
      </c>
      <c r="S7" s="1">
        <f ca="1">IFERROR(__xludf.DUMMYFUNCTION("""COMPUTED_VALUE"""),0.419)</f>
        <v>0.41899999999999998</v>
      </c>
      <c r="T7" s="1">
        <f ca="1">IFERROR(__xludf.DUMMYFUNCTION("""COMPUTED_VALUE"""),175)</f>
        <v>175</v>
      </c>
      <c r="U7" s="1">
        <f ca="1">IFERROR(__xludf.DUMMYFUNCTION("""COMPUTED_VALUE"""),612)</f>
        <v>612</v>
      </c>
      <c r="V7" s="1">
        <f ca="1">IFERROR(__xludf.DUMMYFUNCTION("""COMPUTED_VALUE"""),0.286)</f>
        <v>0.28599999999999998</v>
      </c>
      <c r="W7" s="1">
        <f ca="1">IFERROR(__xludf.DUMMYFUNCTION("""COMPUTED_VALUE"""),506)</f>
        <v>506</v>
      </c>
      <c r="X7" s="1">
        <f ca="1">IFERROR(__xludf.DUMMYFUNCTION("""COMPUTED_VALUE"""),748)</f>
        <v>748</v>
      </c>
      <c r="Y7" s="1">
        <f ca="1">IFERROR(__xludf.DUMMYFUNCTION("""COMPUTED_VALUE"""),0.676)</f>
        <v>0.67600000000000005</v>
      </c>
      <c r="Z7" s="1">
        <f ca="1">IFERROR(__xludf.DUMMYFUNCTION("""COMPUTED_VALUE"""),407)</f>
        <v>407</v>
      </c>
      <c r="AA7" s="1">
        <f ca="1">IFERROR(__xludf.DUMMYFUNCTION("""COMPUTED_VALUE"""),1158)</f>
        <v>1158</v>
      </c>
      <c r="AB7" s="1">
        <f ca="1">IFERROR(__xludf.DUMMYFUNCTION("""COMPUTED_VALUE"""),415)</f>
        <v>415</v>
      </c>
      <c r="AC7" s="1">
        <f ca="1">IFERROR(__xludf.DUMMYFUNCTION("""COMPUTED_VALUE"""),217)</f>
        <v>217</v>
      </c>
      <c r="AD7" s="1">
        <f ca="1">IFERROR(__xludf.DUMMYFUNCTION("""COMPUTED_VALUE"""),115)</f>
        <v>115</v>
      </c>
      <c r="AE7" s="1">
        <f ca="1">IFERROR(__xludf.DUMMYFUNCTION("""COMPUTED_VALUE"""),377)</f>
        <v>377</v>
      </c>
      <c r="AF7" s="1">
        <f ca="1">IFERROR(__xludf.DUMMYFUNCTION("""COMPUTED_VALUE"""),578)</f>
        <v>578</v>
      </c>
    </row>
    <row r="8" spans="1:32" ht="15.75" customHeight="1" x14ac:dyDescent="0.25">
      <c r="A8" s="1" t="str">
        <f ca="1">IFERROR(__xludf.DUMMYFUNCTION("""COMPUTED_VALUE"""),"Alabama")</f>
        <v>Alabama</v>
      </c>
      <c r="B8" s="1">
        <f ca="1">IFERROR(__xludf.DUMMYFUNCTION("""COMPUTED_VALUE"""),32)</f>
        <v>32</v>
      </c>
      <c r="C8" s="1">
        <f ca="1">IFERROR(__xludf.DUMMYFUNCTION("""COMPUTED_VALUE"""),13)</f>
        <v>13</v>
      </c>
      <c r="D8" s="1">
        <f ca="1">IFERROR(__xludf.DUMMYFUNCTION("""COMPUTED_VALUE"""),19)</f>
        <v>19</v>
      </c>
      <c r="E8" s="1">
        <f ca="1">IFERROR(__xludf.DUMMYFUNCTION("""COMPUTED_VALUE"""),0.406)</f>
        <v>0.40600000000000003</v>
      </c>
      <c r="F8" s="1">
        <f ca="1">IFERROR(__xludf.DUMMYFUNCTION("""COMPUTED_VALUE"""),8.34)</f>
        <v>8.34</v>
      </c>
      <c r="G8" s="1">
        <f ca="1">IFERROR(__xludf.DUMMYFUNCTION("""COMPUTED_VALUE"""),8.88)</f>
        <v>8.8800000000000008</v>
      </c>
      <c r="H8" s="1">
        <f ca="1">IFERROR(__xludf.DUMMYFUNCTION("""COMPUTED_VALUE"""),7)</f>
        <v>7</v>
      </c>
      <c r="I8" s="1">
        <f ca="1">IFERROR(__xludf.DUMMYFUNCTION("""COMPUTED_VALUE"""),11)</f>
        <v>11</v>
      </c>
      <c r="J8" s="1">
        <f ca="1">IFERROR(__xludf.DUMMYFUNCTION("""COMPUTED_VALUE"""),13)</f>
        <v>13</v>
      </c>
      <c r="K8" s="1">
        <f ca="1">IFERROR(__xludf.DUMMYFUNCTION("""COMPUTED_VALUE"""),4)</f>
        <v>4</v>
      </c>
      <c r="L8" s="1">
        <f ca="1">IFERROR(__xludf.DUMMYFUNCTION("""COMPUTED_VALUE"""),0)</f>
        <v>0</v>
      </c>
      <c r="M8" s="1">
        <f ca="1">IFERROR(__xludf.DUMMYFUNCTION("""COMPUTED_VALUE"""),11)</f>
        <v>11</v>
      </c>
      <c r="N8" s="1">
        <f ca="1">IFERROR(__xludf.DUMMYFUNCTION("""COMPUTED_VALUE"""),2170)</f>
        <v>2170</v>
      </c>
      <c r="O8" s="1">
        <f ca="1">IFERROR(__xludf.DUMMYFUNCTION("""COMPUTED_VALUE"""),2150)</f>
        <v>2150</v>
      </c>
      <c r="P8" s="1">
        <f ca="1">IFERROR(__xludf.DUMMYFUNCTION("""COMPUTED_VALUE"""),1295)</f>
        <v>1295</v>
      </c>
      <c r="Q8" s="1">
        <f ca="1">IFERROR(__xludf.DUMMYFUNCTION("""COMPUTED_VALUE"""),741)</f>
        <v>741</v>
      </c>
      <c r="R8" s="1">
        <f ca="1">IFERROR(__xludf.DUMMYFUNCTION("""COMPUTED_VALUE"""),1669)</f>
        <v>1669</v>
      </c>
      <c r="S8" s="1">
        <f ca="1">IFERROR(__xludf.DUMMYFUNCTION("""COMPUTED_VALUE"""),0.444)</f>
        <v>0.44400000000000001</v>
      </c>
      <c r="T8" s="1">
        <f ca="1">IFERROR(__xludf.DUMMYFUNCTION("""COMPUTED_VALUE"""),183)</f>
        <v>183</v>
      </c>
      <c r="U8" s="1">
        <f ca="1">IFERROR(__xludf.DUMMYFUNCTION("""COMPUTED_VALUE"""),548)</f>
        <v>548</v>
      </c>
      <c r="V8" s="1">
        <f ca="1">IFERROR(__xludf.DUMMYFUNCTION("""COMPUTED_VALUE"""),0.334)</f>
        <v>0.33400000000000002</v>
      </c>
      <c r="W8" s="1">
        <f ca="1">IFERROR(__xludf.DUMMYFUNCTION("""COMPUTED_VALUE"""),505)</f>
        <v>505</v>
      </c>
      <c r="X8" s="1">
        <f ca="1">IFERROR(__xludf.DUMMYFUNCTION("""COMPUTED_VALUE"""),737)</f>
        <v>737</v>
      </c>
      <c r="Y8" s="1">
        <f ca="1">IFERROR(__xludf.DUMMYFUNCTION("""COMPUTED_VALUE"""),0.685)</f>
        <v>0.68500000000000005</v>
      </c>
      <c r="Z8" s="1">
        <f ca="1">IFERROR(__xludf.DUMMYFUNCTION("""COMPUTED_VALUE"""),320)</f>
        <v>320</v>
      </c>
      <c r="AA8" s="1">
        <f ca="1">IFERROR(__xludf.DUMMYFUNCTION("""COMPUTED_VALUE"""),1050)</f>
        <v>1050</v>
      </c>
      <c r="AB8" s="1">
        <f ca="1">IFERROR(__xludf.DUMMYFUNCTION("""COMPUTED_VALUE"""),351)</f>
        <v>351</v>
      </c>
      <c r="AC8" s="1">
        <f ca="1">IFERROR(__xludf.DUMMYFUNCTION("""COMPUTED_VALUE"""),218)</f>
        <v>218</v>
      </c>
      <c r="AD8" s="1">
        <f ca="1">IFERROR(__xludf.DUMMYFUNCTION("""COMPUTED_VALUE"""),137)</f>
        <v>137</v>
      </c>
      <c r="AE8" s="1">
        <f ca="1">IFERROR(__xludf.DUMMYFUNCTION("""COMPUTED_VALUE"""),380)</f>
        <v>380</v>
      </c>
      <c r="AF8" s="1">
        <f ca="1">IFERROR(__xludf.DUMMYFUNCTION("""COMPUTED_VALUE"""),607)</f>
        <v>607</v>
      </c>
    </row>
    <row r="9" spans="1:32" ht="15.75" customHeight="1" x14ac:dyDescent="0.25">
      <c r="A9" s="1" t="str">
        <f ca="1">IFERROR(__xludf.DUMMYFUNCTION("""COMPUTED_VALUE"""),"Albany (NY)NCAA")</f>
        <v>Albany (NY)NCAA</v>
      </c>
      <c r="B9" s="1">
        <f ca="1">IFERROR(__xludf.DUMMYFUNCTION("""COMPUTED_VALUE"""),34)</f>
        <v>34</v>
      </c>
      <c r="C9" s="1">
        <f ca="1">IFERROR(__xludf.DUMMYFUNCTION("""COMPUTED_VALUE"""),19)</f>
        <v>19</v>
      </c>
      <c r="D9" s="1">
        <f ca="1">IFERROR(__xludf.DUMMYFUNCTION("""COMPUTED_VALUE"""),15)</f>
        <v>15</v>
      </c>
      <c r="E9" s="1">
        <f ca="1">IFERROR(__xludf.DUMMYFUNCTION("""COMPUTED_VALUE"""),0.559)</f>
        <v>0.55900000000000005</v>
      </c>
      <c r="F9" s="1">
        <f ca="1">IFERROR(__xludf.DUMMYFUNCTION("""COMPUTED_VALUE"""),-3.31)</f>
        <v>-3.31</v>
      </c>
      <c r="G9" s="1">
        <f ca="1">IFERROR(__xludf.DUMMYFUNCTION("""COMPUTED_VALUE"""),-5.22)</f>
        <v>-5.22</v>
      </c>
      <c r="H9" s="1">
        <f ca="1">IFERROR(__xludf.DUMMYFUNCTION("""COMPUTED_VALUE"""),9)</f>
        <v>9</v>
      </c>
      <c r="I9" s="1">
        <f ca="1">IFERROR(__xludf.DUMMYFUNCTION("""COMPUTED_VALUE"""),7)</f>
        <v>7</v>
      </c>
      <c r="J9" s="1">
        <f ca="1">IFERROR(__xludf.DUMMYFUNCTION("""COMPUTED_VALUE"""),10)</f>
        <v>10</v>
      </c>
      <c r="K9" s="1">
        <f ca="1">IFERROR(__xludf.DUMMYFUNCTION("""COMPUTED_VALUE"""),3)</f>
        <v>3</v>
      </c>
      <c r="L9" s="1">
        <f ca="1">IFERROR(__xludf.DUMMYFUNCTION("""COMPUTED_VALUE"""),7)</f>
        <v>7</v>
      </c>
      <c r="M9" s="1">
        <f ca="1">IFERROR(__xludf.DUMMYFUNCTION("""COMPUTED_VALUE"""),11)</f>
        <v>11</v>
      </c>
      <c r="N9" s="1">
        <f ca="1">IFERROR(__xludf.DUMMYFUNCTION("""COMPUTED_VALUE"""),2239)</f>
        <v>2239</v>
      </c>
      <c r="O9" s="1">
        <f ca="1">IFERROR(__xludf.DUMMYFUNCTION("""COMPUTED_VALUE"""),2174)</f>
        <v>2174</v>
      </c>
      <c r="P9" s="1">
        <f ca="1">IFERROR(__xludf.DUMMYFUNCTION("""COMPUTED_VALUE"""),1375)</f>
        <v>1375</v>
      </c>
      <c r="Q9" s="1">
        <f ca="1">IFERROR(__xludf.DUMMYFUNCTION("""COMPUTED_VALUE"""),765)</f>
        <v>765</v>
      </c>
      <c r="R9" s="1">
        <f ca="1">IFERROR(__xludf.DUMMYFUNCTION("""COMPUTED_VALUE"""),1733)</f>
        <v>1733</v>
      </c>
      <c r="S9" s="1">
        <f ca="1">IFERROR(__xludf.DUMMYFUNCTION("""COMPUTED_VALUE"""),0.441)</f>
        <v>0.441</v>
      </c>
      <c r="T9" s="1">
        <f ca="1">IFERROR(__xludf.DUMMYFUNCTION("""COMPUTED_VALUE"""),163)</f>
        <v>163</v>
      </c>
      <c r="U9" s="1">
        <f ca="1">IFERROR(__xludf.DUMMYFUNCTION("""COMPUTED_VALUE"""),453)</f>
        <v>453</v>
      </c>
      <c r="V9" s="1">
        <f ca="1">IFERROR(__xludf.DUMMYFUNCTION("""COMPUTED_VALUE"""),0.36)</f>
        <v>0.36</v>
      </c>
      <c r="W9" s="1">
        <f ca="1">IFERROR(__xludf.DUMMYFUNCTION("""COMPUTED_VALUE"""),546)</f>
        <v>546</v>
      </c>
      <c r="X9" s="1">
        <f ca="1">IFERROR(__xludf.DUMMYFUNCTION("""COMPUTED_VALUE"""),728)</f>
        <v>728</v>
      </c>
      <c r="Y9" s="1">
        <f ca="1">IFERROR(__xludf.DUMMYFUNCTION("""COMPUTED_VALUE"""),0.75)</f>
        <v>0.75</v>
      </c>
      <c r="Z9" s="1">
        <f ca="1">IFERROR(__xludf.DUMMYFUNCTION("""COMPUTED_VALUE"""),343)</f>
        <v>343</v>
      </c>
      <c r="AA9" s="1">
        <f ca="1">IFERROR(__xludf.DUMMYFUNCTION("""COMPUTED_VALUE"""),1175)</f>
        <v>1175</v>
      </c>
      <c r="AB9" s="1">
        <f ca="1">IFERROR(__xludf.DUMMYFUNCTION("""COMPUTED_VALUE"""),376)</f>
        <v>376</v>
      </c>
      <c r="AC9" s="1">
        <f ca="1">IFERROR(__xludf.DUMMYFUNCTION("""COMPUTED_VALUE"""),184)</f>
        <v>184</v>
      </c>
      <c r="AD9" s="1">
        <f ca="1">IFERROR(__xludf.DUMMYFUNCTION("""COMPUTED_VALUE"""),101)</f>
        <v>101</v>
      </c>
      <c r="AE9" s="1">
        <f ca="1">IFERROR(__xludf.DUMMYFUNCTION("""COMPUTED_VALUE"""),428)</f>
        <v>428</v>
      </c>
      <c r="AF9" s="1">
        <f ca="1">IFERROR(__xludf.DUMMYFUNCTION("""COMPUTED_VALUE"""),580)</f>
        <v>580</v>
      </c>
    </row>
    <row r="10" spans="1:32" ht="15.75" customHeight="1" x14ac:dyDescent="0.25">
      <c r="A10" s="1" t="str">
        <f ca="1">IFERROR(__xludf.DUMMYFUNCTION("""COMPUTED_VALUE"""),"Alcorn State")</f>
        <v>Alcorn State</v>
      </c>
      <c r="B10" s="1">
        <f ca="1">IFERROR(__xludf.DUMMYFUNCTION("""COMPUTED_VALUE"""),31)</f>
        <v>31</v>
      </c>
      <c r="C10" s="1">
        <f ca="1">IFERROR(__xludf.DUMMYFUNCTION("""COMPUTED_VALUE"""),12)</f>
        <v>12</v>
      </c>
      <c r="D10" s="1">
        <f ca="1">IFERROR(__xludf.DUMMYFUNCTION("""COMPUTED_VALUE"""),19)</f>
        <v>19</v>
      </c>
      <c r="E10" s="1">
        <f ca="1">IFERROR(__xludf.DUMMYFUNCTION("""COMPUTED_VALUE"""),0.387)</f>
        <v>0.38700000000000001</v>
      </c>
      <c r="F10" s="1">
        <f ca="1">IFERROR(__xludf.DUMMYFUNCTION("""COMPUTED_VALUE"""),-15.95)</f>
        <v>-15.95</v>
      </c>
      <c r="G10" s="1">
        <f ca="1">IFERROR(__xludf.DUMMYFUNCTION("""COMPUTED_VALUE"""),-9.27)</f>
        <v>-9.27</v>
      </c>
      <c r="H10" s="1">
        <f ca="1">IFERROR(__xludf.DUMMYFUNCTION("""COMPUTED_VALUE"""),9)</f>
        <v>9</v>
      </c>
      <c r="I10" s="1">
        <f ca="1">IFERROR(__xludf.DUMMYFUNCTION("""COMPUTED_VALUE"""),9)</f>
        <v>9</v>
      </c>
      <c r="J10" s="1">
        <f ca="1">IFERROR(__xludf.DUMMYFUNCTION("""COMPUTED_VALUE"""),9)</f>
        <v>9</v>
      </c>
      <c r="K10" s="1">
        <f ca="1">IFERROR(__xludf.DUMMYFUNCTION("""COMPUTED_VALUE"""),3)</f>
        <v>3</v>
      </c>
      <c r="L10" s="1">
        <f ca="1">IFERROR(__xludf.DUMMYFUNCTION("""COMPUTED_VALUE"""),2)</f>
        <v>2</v>
      </c>
      <c r="M10" s="1">
        <f ca="1">IFERROR(__xludf.DUMMYFUNCTION("""COMPUTED_VALUE"""),13)</f>
        <v>13</v>
      </c>
      <c r="N10" s="1">
        <f ca="1">IFERROR(__xludf.DUMMYFUNCTION("""COMPUTED_VALUE"""),1985)</f>
        <v>1985</v>
      </c>
      <c r="O10" s="1">
        <f ca="1">IFERROR(__xludf.DUMMYFUNCTION("""COMPUTED_VALUE"""),2101)</f>
        <v>2101</v>
      </c>
      <c r="P10" s="1">
        <f ca="1">IFERROR(__xludf.DUMMYFUNCTION("""COMPUTED_VALUE"""),1265)</f>
        <v>1265</v>
      </c>
      <c r="Q10" s="1">
        <f ca="1">IFERROR(__xludf.DUMMYFUNCTION("""COMPUTED_VALUE"""),693)</f>
        <v>693</v>
      </c>
      <c r="R10" s="1">
        <f ca="1">IFERROR(__xludf.DUMMYFUNCTION("""COMPUTED_VALUE"""),1658)</f>
        <v>1658</v>
      </c>
      <c r="S10" s="1">
        <f ca="1">IFERROR(__xludf.DUMMYFUNCTION("""COMPUTED_VALUE"""),0.418)</f>
        <v>0.41799999999999998</v>
      </c>
      <c r="T10" s="1">
        <f ca="1">IFERROR(__xludf.DUMMYFUNCTION("""COMPUTED_VALUE"""),136)</f>
        <v>136</v>
      </c>
      <c r="U10" s="1">
        <f ca="1">IFERROR(__xludf.DUMMYFUNCTION("""COMPUTED_VALUE"""),449)</f>
        <v>449</v>
      </c>
      <c r="V10" s="1">
        <f ca="1">IFERROR(__xludf.DUMMYFUNCTION("""COMPUTED_VALUE"""),0.303)</f>
        <v>0.30299999999999999</v>
      </c>
      <c r="W10" s="1">
        <f ca="1">IFERROR(__xludf.DUMMYFUNCTION("""COMPUTED_VALUE"""),463)</f>
        <v>463</v>
      </c>
      <c r="X10" s="1">
        <f ca="1">IFERROR(__xludf.DUMMYFUNCTION("""COMPUTED_VALUE"""),708)</f>
        <v>708</v>
      </c>
      <c r="Y10" s="1">
        <f ca="1">IFERROR(__xludf.DUMMYFUNCTION("""COMPUTED_VALUE"""),0.654)</f>
        <v>0.65400000000000003</v>
      </c>
      <c r="Z10" s="1">
        <f ca="1">IFERROR(__xludf.DUMMYFUNCTION("""COMPUTED_VALUE"""),302)</f>
        <v>302</v>
      </c>
      <c r="AA10" s="1">
        <f ca="1">IFERROR(__xludf.DUMMYFUNCTION("""COMPUTED_VALUE"""),959)</f>
        <v>959</v>
      </c>
      <c r="AB10" s="1">
        <f ca="1">IFERROR(__xludf.DUMMYFUNCTION("""COMPUTED_VALUE"""),283)</f>
        <v>283</v>
      </c>
      <c r="AC10" s="1">
        <f ca="1">IFERROR(__xludf.DUMMYFUNCTION("""COMPUTED_VALUE"""),185)</f>
        <v>185</v>
      </c>
      <c r="AD10" s="1">
        <f ca="1">IFERROR(__xludf.DUMMYFUNCTION("""COMPUTED_VALUE"""),116)</f>
        <v>116</v>
      </c>
      <c r="AE10" s="1">
        <f ca="1">IFERROR(__xludf.DUMMYFUNCTION("""COMPUTED_VALUE"""),356)</f>
        <v>356</v>
      </c>
      <c r="AF10" s="1">
        <f ca="1">IFERROR(__xludf.DUMMYFUNCTION("""COMPUTED_VALUE"""),577)</f>
        <v>577</v>
      </c>
    </row>
    <row r="11" spans="1:32" ht="15.75" customHeight="1" x14ac:dyDescent="0.25">
      <c r="A11" s="1" t="str">
        <f ca="1">IFERROR(__xludf.DUMMYFUNCTION("""COMPUTED_VALUE"""),"AmericanNCAA")</f>
        <v>AmericanNCAA</v>
      </c>
      <c r="B11" s="1">
        <f ca="1">IFERROR(__xludf.DUMMYFUNCTION("""COMPUTED_VALUE"""),33)</f>
        <v>33</v>
      </c>
      <c r="C11" s="1">
        <f ca="1">IFERROR(__xludf.DUMMYFUNCTION("""COMPUTED_VALUE"""),20)</f>
        <v>20</v>
      </c>
      <c r="D11" s="1">
        <f ca="1">IFERROR(__xludf.DUMMYFUNCTION("""COMPUTED_VALUE"""),13)</f>
        <v>13</v>
      </c>
      <c r="E11" s="1">
        <f ca="1">IFERROR(__xludf.DUMMYFUNCTION("""COMPUTED_VALUE"""),0.606)</f>
        <v>0.60599999999999998</v>
      </c>
      <c r="F11" s="1">
        <f ca="1">IFERROR(__xludf.DUMMYFUNCTION("""COMPUTED_VALUE"""),0.69)</f>
        <v>0.69</v>
      </c>
      <c r="G11" s="1">
        <f ca="1">IFERROR(__xludf.DUMMYFUNCTION("""COMPUTED_VALUE"""),-3.25)</f>
        <v>-3.25</v>
      </c>
      <c r="H11" s="1">
        <f ca="1">IFERROR(__xludf.DUMMYFUNCTION("""COMPUTED_VALUE"""),13)</f>
        <v>13</v>
      </c>
      <c r="I11" s="1">
        <f ca="1">IFERROR(__xludf.DUMMYFUNCTION("""COMPUTED_VALUE"""),5)</f>
        <v>5</v>
      </c>
      <c r="J11" s="1">
        <f ca="1">IFERROR(__xludf.DUMMYFUNCTION("""COMPUTED_VALUE"""),11)</f>
        <v>11</v>
      </c>
      <c r="K11" s="1">
        <f ca="1">IFERROR(__xludf.DUMMYFUNCTION("""COMPUTED_VALUE"""),3)</f>
        <v>3</v>
      </c>
      <c r="L11" s="1">
        <f ca="1">IFERROR(__xludf.DUMMYFUNCTION("""COMPUTED_VALUE"""),9)</f>
        <v>9</v>
      </c>
      <c r="M11" s="1">
        <f ca="1">IFERROR(__xludf.DUMMYFUNCTION("""COMPUTED_VALUE"""),9)</f>
        <v>9</v>
      </c>
      <c r="N11" s="1">
        <f ca="1">IFERROR(__xludf.DUMMYFUNCTION("""COMPUTED_VALUE"""),2081)</f>
        <v>2081</v>
      </c>
      <c r="O11" s="1">
        <f ca="1">IFERROR(__xludf.DUMMYFUNCTION("""COMPUTED_VALUE"""),1951)</f>
        <v>1951</v>
      </c>
      <c r="P11" s="1">
        <f ca="1">IFERROR(__xludf.DUMMYFUNCTION("""COMPUTED_VALUE"""),1325)</f>
        <v>1325</v>
      </c>
      <c r="Q11" s="1">
        <f ca="1">IFERROR(__xludf.DUMMYFUNCTION("""COMPUTED_VALUE"""),748)</f>
        <v>748</v>
      </c>
      <c r="R11" s="1">
        <f ca="1">IFERROR(__xludf.DUMMYFUNCTION("""COMPUTED_VALUE"""),1527)</f>
        <v>1527</v>
      </c>
      <c r="S11" s="1">
        <f ca="1">IFERROR(__xludf.DUMMYFUNCTION("""COMPUTED_VALUE"""),0.49)</f>
        <v>0.49</v>
      </c>
      <c r="T11" s="1">
        <f ca="1">IFERROR(__xludf.DUMMYFUNCTION("""COMPUTED_VALUE"""),207)</f>
        <v>207</v>
      </c>
      <c r="U11" s="1">
        <f ca="1">IFERROR(__xludf.DUMMYFUNCTION("""COMPUTED_VALUE"""),546)</f>
        <v>546</v>
      </c>
      <c r="V11" s="1">
        <f ca="1">IFERROR(__xludf.DUMMYFUNCTION("""COMPUTED_VALUE"""),0.379)</f>
        <v>0.379</v>
      </c>
      <c r="W11" s="1">
        <f ca="1">IFERROR(__xludf.DUMMYFUNCTION("""COMPUTED_VALUE"""),378)</f>
        <v>378</v>
      </c>
      <c r="X11" s="1">
        <f ca="1">IFERROR(__xludf.DUMMYFUNCTION("""COMPUTED_VALUE"""),535)</f>
        <v>535</v>
      </c>
      <c r="Y11" s="1">
        <f ca="1">IFERROR(__xludf.DUMMYFUNCTION("""COMPUTED_VALUE"""),0.707)</f>
        <v>0.70699999999999996</v>
      </c>
      <c r="Z11" s="1">
        <f ca="1">IFERROR(__xludf.DUMMYFUNCTION("""COMPUTED_VALUE"""),232)</f>
        <v>232</v>
      </c>
      <c r="AA11" s="1">
        <f ca="1">IFERROR(__xludf.DUMMYFUNCTION("""COMPUTED_VALUE"""),986)</f>
        <v>986</v>
      </c>
      <c r="AB11" s="1">
        <f ca="1">IFERROR(__xludf.DUMMYFUNCTION("""COMPUTED_VALUE"""),492)</f>
        <v>492</v>
      </c>
      <c r="AC11" s="1">
        <f ca="1">IFERROR(__xludf.DUMMYFUNCTION("""COMPUTED_VALUE"""),198)</f>
        <v>198</v>
      </c>
      <c r="AD11" s="1">
        <f ca="1">IFERROR(__xludf.DUMMYFUNCTION("""COMPUTED_VALUE"""),110)</f>
        <v>110</v>
      </c>
      <c r="AE11" s="1">
        <f ca="1">IFERROR(__xludf.DUMMYFUNCTION("""COMPUTED_VALUE"""),464)</f>
        <v>464</v>
      </c>
      <c r="AF11" s="1">
        <f ca="1">IFERROR(__xludf.DUMMYFUNCTION("""COMPUTED_VALUE"""),567)</f>
        <v>567</v>
      </c>
    </row>
    <row r="12" spans="1:32" ht="15.75" customHeight="1" x14ac:dyDescent="0.25">
      <c r="A12" s="1" t="str">
        <f ca="1">IFERROR(__xludf.DUMMYFUNCTION("""COMPUTED_VALUE"""),"Appalachian State")</f>
        <v>Appalachian State</v>
      </c>
      <c r="B12" s="1">
        <f ca="1">IFERROR(__xludf.DUMMYFUNCTION("""COMPUTED_VALUE"""),30)</f>
        <v>30</v>
      </c>
      <c r="C12" s="1">
        <f ca="1">IFERROR(__xludf.DUMMYFUNCTION("""COMPUTED_VALUE"""),9)</f>
        <v>9</v>
      </c>
      <c r="D12" s="1">
        <f ca="1">IFERROR(__xludf.DUMMYFUNCTION("""COMPUTED_VALUE"""),21)</f>
        <v>21</v>
      </c>
      <c r="E12" s="1">
        <f ca="1">IFERROR(__xludf.DUMMYFUNCTION("""COMPUTED_VALUE"""),0.3)</f>
        <v>0.3</v>
      </c>
      <c r="F12" s="1">
        <f ca="1">IFERROR(__xludf.DUMMYFUNCTION("""COMPUTED_VALUE"""),-15.32)</f>
        <v>-15.32</v>
      </c>
      <c r="G12" s="1">
        <f ca="1">IFERROR(__xludf.DUMMYFUNCTION("""COMPUTED_VALUE"""),-7.13)</f>
        <v>-7.13</v>
      </c>
      <c r="H12" s="1">
        <f ca="1">IFERROR(__xludf.DUMMYFUNCTION("""COMPUTED_VALUE"""),5)</f>
        <v>5</v>
      </c>
      <c r="I12" s="1">
        <f ca="1">IFERROR(__xludf.DUMMYFUNCTION("""COMPUTED_VALUE"""),11)</f>
        <v>11</v>
      </c>
      <c r="J12" s="1">
        <f ca="1">IFERROR(__xludf.DUMMYFUNCTION("""COMPUTED_VALUE"""),7)</f>
        <v>7</v>
      </c>
      <c r="K12" s="1">
        <f ca="1">IFERROR(__xludf.DUMMYFUNCTION("""COMPUTED_VALUE"""),7)</f>
        <v>7</v>
      </c>
      <c r="L12" s="1">
        <f ca="1">IFERROR(__xludf.DUMMYFUNCTION("""COMPUTED_VALUE"""),2)</f>
        <v>2</v>
      </c>
      <c r="M12" s="1">
        <f ca="1">IFERROR(__xludf.DUMMYFUNCTION("""COMPUTED_VALUE"""),13)</f>
        <v>13</v>
      </c>
      <c r="N12" s="1">
        <f ca="1">IFERROR(__xludf.DUMMYFUNCTION("""COMPUTED_VALUE"""),2034)</f>
        <v>2034</v>
      </c>
      <c r="O12" s="1">
        <f ca="1">IFERROR(__xludf.DUMMYFUNCTION("""COMPUTED_VALUE"""),2152)</f>
        <v>2152</v>
      </c>
      <c r="P12" s="1">
        <f ca="1">IFERROR(__xludf.DUMMYFUNCTION("""COMPUTED_VALUE"""),1210)</f>
        <v>1210</v>
      </c>
      <c r="Q12" s="1">
        <f ca="1">IFERROR(__xludf.DUMMYFUNCTION("""COMPUTED_VALUE"""),719)</f>
        <v>719</v>
      </c>
      <c r="R12" s="1">
        <f ca="1">IFERROR(__xludf.DUMMYFUNCTION("""COMPUTED_VALUE"""),1730)</f>
        <v>1730</v>
      </c>
      <c r="S12" s="1">
        <f ca="1">IFERROR(__xludf.DUMMYFUNCTION("""COMPUTED_VALUE"""),0.416)</f>
        <v>0.41599999999999998</v>
      </c>
      <c r="T12" s="1">
        <f ca="1">IFERROR(__xludf.DUMMYFUNCTION("""COMPUTED_VALUE"""),151)</f>
        <v>151</v>
      </c>
      <c r="U12" s="1">
        <f ca="1">IFERROR(__xludf.DUMMYFUNCTION("""COMPUTED_VALUE"""),500)</f>
        <v>500</v>
      </c>
      <c r="V12" s="1">
        <f ca="1">IFERROR(__xludf.DUMMYFUNCTION("""COMPUTED_VALUE"""),0.302)</f>
        <v>0.30199999999999999</v>
      </c>
      <c r="W12" s="1">
        <f ca="1">IFERROR(__xludf.DUMMYFUNCTION("""COMPUTED_VALUE"""),445)</f>
        <v>445</v>
      </c>
      <c r="X12" s="1">
        <f ca="1">IFERROR(__xludf.DUMMYFUNCTION("""COMPUTED_VALUE"""),697)</f>
        <v>697</v>
      </c>
      <c r="Y12" s="1">
        <f ca="1">IFERROR(__xludf.DUMMYFUNCTION("""COMPUTED_VALUE"""),0.638)</f>
        <v>0.63800000000000001</v>
      </c>
      <c r="Z12" s="1">
        <f ca="1">IFERROR(__xludf.DUMMYFUNCTION("""COMPUTED_VALUE"""),392)</f>
        <v>392</v>
      </c>
      <c r="AA12" s="1">
        <f ca="1">IFERROR(__xludf.DUMMYFUNCTION("""COMPUTED_VALUE"""),1091)</f>
        <v>1091</v>
      </c>
      <c r="AB12" s="1">
        <f ca="1">IFERROR(__xludf.DUMMYFUNCTION("""COMPUTED_VALUE"""),327)</f>
        <v>327</v>
      </c>
      <c r="AC12" s="1">
        <f ca="1">IFERROR(__xludf.DUMMYFUNCTION("""COMPUTED_VALUE"""),187)</f>
        <v>187</v>
      </c>
      <c r="AD12" s="1">
        <f ca="1">IFERROR(__xludf.DUMMYFUNCTION("""COMPUTED_VALUE"""),83)</f>
        <v>83</v>
      </c>
      <c r="AE12" s="1">
        <f ca="1">IFERROR(__xludf.DUMMYFUNCTION("""COMPUTED_VALUE"""),362)</f>
        <v>362</v>
      </c>
      <c r="AF12" s="1">
        <f ca="1">IFERROR(__xludf.DUMMYFUNCTION("""COMPUTED_VALUE"""),597)</f>
        <v>597</v>
      </c>
    </row>
    <row r="13" spans="1:32" ht="15.75" customHeight="1" x14ac:dyDescent="0.25">
      <c r="A13" s="1" t="str">
        <f ca="1">IFERROR(__xludf.DUMMYFUNCTION("""COMPUTED_VALUE"""),"Arizona StateNCAA")</f>
        <v>Arizona StateNCAA</v>
      </c>
      <c r="B13" s="1">
        <f ca="1">IFERROR(__xludf.DUMMYFUNCTION("""COMPUTED_VALUE"""),33)</f>
        <v>33</v>
      </c>
      <c r="C13" s="1">
        <f ca="1">IFERROR(__xludf.DUMMYFUNCTION("""COMPUTED_VALUE"""),21)</f>
        <v>21</v>
      </c>
      <c r="D13" s="1">
        <f ca="1">IFERROR(__xludf.DUMMYFUNCTION("""COMPUTED_VALUE"""),12)</f>
        <v>12</v>
      </c>
      <c r="E13" s="1">
        <f ca="1">IFERROR(__xludf.DUMMYFUNCTION("""COMPUTED_VALUE"""),0.636)</f>
        <v>0.63600000000000001</v>
      </c>
      <c r="F13" s="1">
        <f ca="1">IFERROR(__xludf.DUMMYFUNCTION("""COMPUTED_VALUE"""),13.32)</f>
        <v>13.32</v>
      </c>
      <c r="G13" s="1">
        <f ca="1">IFERROR(__xludf.DUMMYFUNCTION("""COMPUTED_VALUE"""),7.41)</f>
        <v>7.41</v>
      </c>
      <c r="H13" s="1">
        <f ca="1">IFERROR(__xludf.DUMMYFUNCTION("""COMPUTED_VALUE"""),10)</f>
        <v>10</v>
      </c>
      <c r="I13" s="1">
        <f ca="1">IFERROR(__xludf.DUMMYFUNCTION("""COMPUTED_VALUE"""),8)</f>
        <v>8</v>
      </c>
      <c r="J13" s="1">
        <f ca="1">IFERROR(__xludf.DUMMYFUNCTION("""COMPUTED_VALUE"""),16)</f>
        <v>16</v>
      </c>
      <c r="K13" s="1">
        <f ca="1">IFERROR(__xludf.DUMMYFUNCTION("""COMPUTED_VALUE"""),1)</f>
        <v>1</v>
      </c>
      <c r="L13" s="1">
        <f ca="1">IFERROR(__xludf.DUMMYFUNCTION("""COMPUTED_VALUE"""),4)</f>
        <v>4</v>
      </c>
      <c r="M13" s="1">
        <f ca="1">IFERROR(__xludf.DUMMYFUNCTION("""COMPUTED_VALUE"""),7)</f>
        <v>7</v>
      </c>
      <c r="N13" s="1">
        <f ca="1">IFERROR(__xludf.DUMMYFUNCTION("""COMPUTED_VALUE"""),2486)</f>
        <v>2486</v>
      </c>
      <c r="O13" s="1">
        <f ca="1">IFERROR(__xludf.DUMMYFUNCTION("""COMPUTED_VALUE"""),2291)</f>
        <v>2291</v>
      </c>
      <c r="P13" s="1">
        <f ca="1">IFERROR(__xludf.DUMMYFUNCTION("""COMPUTED_VALUE"""),1345)</f>
        <v>1345</v>
      </c>
      <c r="Q13" s="1">
        <f ca="1">IFERROR(__xludf.DUMMYFUNCTION("""COMPUTED_VALUE"""),836)</f>
        <v>836</v>
      </c>
      <c r="R13" s="1">
        <f ca="1">IFERROR(__xludf.DUMMYFUNCTION("""COMPUTED_VALUE"""),1852)</f>
        <v>1852</v>
      </c>
      <c r="S13" s="1">
        <f ca="1">IFERROR(__xludf.DUMMYFUNCTION("""COMPUTED_VALUE"""),0.451)</f>
        <v>0.45100000000000001</v>
      </c>
      <c r="T13" s="1">
        <f ca="1">IFERROR(__xludf.DUMMYFUNCTION("""COMPUTED_VALUE"""),268)</f>
        <v>268</v>
      </c>
      <c r="U13" s="1">
        <f ca="1">IFERROR(__xludf.DUMMYFUNCTION("""COMPUTED_VALUE"""),688)</f>
        <v>688</v>
      </c>
      <c r="V13" s="1">
        <f ca="1">IFERROR(__xludf.DUMMYFUNCTION("""COMPUTED_VALUE"""),0.39)</f>
        <v>0.39</v>
      </c>
      <c r="W13" s="1">
        <f ca="1">IFERROR(__xludf.DUMMYFUNCTION("""COMPUTED_VALUE"""),546)</f>
        <v>546</v>
      </c>
      <c r="X13" s="1">
        <f ca="1">IFERROR(__xludf.DUMMYFUNCTION("""COMPUTED_VALUE"""),787)</f>
        <v>787</v>
      </c>
      <c r="Y13" s="1">
        <f ca="1">IFERROR(__xludf.DUMMYFUNCTION("""COMPUTED_VALUE"""),0.694)</f>
        <v>0.69399999999999995</v>
      </c>
      <c r="Z13" s="1">
        <f ca="1">IFERROR(__xludf.DUMMYFUNCTION("""COMPUTED_VALUE"""),281)</f>
        <v>281</v>
      </c>
      <c r="AA13" s="1">
        <f ca="1">IFERROR(__xludf.DUMMYFUNCTION("""COMPUTED_VALUE"""),1172)</f>
        <v>1172</v>
      </c>
      <c r="AB13" s="1">
        <f ca="1">IFERROR(__xludf.DUMMYFUNCTION("""COMPUTED_VALUE"""),471)</f>
        <v>471</v>
      </c>
      <c r="AC13" s="1">
        <f ca="1">IFERROR(__xludf.DUMMYFUNCTION("""COMPUTED_VALUE"""),167)</f>
        <v>167</v>
      </c>
      <c r="AD13" s="1">
        <f ca="1">IFERROR(__xludf.DUMMYFUNCTION("""COMPUTED_VALUE"""),182)</f>
        <v>182</v>
      </c>
      <c r="AE13" s="1">
        <f ca="1">IFERROR(__xludf.DUMMYFUNCTION("""COMPUTED_VALUE"""),377)</f>
        <v>377</v>
      </c>
      <c r="AF13" s="1">
        <f ca="1">IFERROR(__xludf.DUMMYFUNCTION("""COMPUTED_VALUE"""),635)</f>
        <v>635</v>
      </c>
    </row>
    <row r="14" spans="1:32" ht="15.75" customHeight="1" x14ac:dyDescent="0.25">
      <c r="A14" s="1" t="str">
        <f ca="1">IFERROR(__xludf.DUMMYFUNCTION("""COMPUTED_VALUE"""),"ArizonaNCAA")</f>
        <v>ArizonaNCAA</v>
      </c>
      <c r="B14" s="1">
        <f ca="1">IFERROR(__xludf.DUMMYFUNCTION("""COMPUTED_VALUE"""),38)</f>
        <v>38</v>
      </c>
      <c r="C14" s="1">
        <f ca="1">IFERROR(__xludf.DUMMYFUNCTION("""COMPUTED_VALUE"""),33)</f>
        <v>33</v>
      </c>
      <c r="D14" s="1">
        <f ca="1">IFERROR(__xludf.DUMMYFUNCTION("""COMPUTED_VALUE"""),5)</f>
        <v>5</v>
      </c>
      <c r="E14" s="1">
        <f ca="1">IFERROR(__xludf.DUMMYFUNCTION("""COMPUTED_VALUE"""),0.868)</f>
        <v>0.86799999999999999</v>
      </c>
      <c r="F14" s="1">
        <f ca="1">IFERROR(__xludf.DUMMYFUNCTION("""COMPUTED_VALUE"""),23.36)</f>
        <v>23.36</v>
      </c>
      <c r="G14" s="1">
        <f ca="1">IFERROR(__xludf.DUMMYFUNCTION("""COMPUTED_VALUE"""),9.04)</f>
        <v>9.0399999999999991</v>
      </c>
      <c r="H14" s="1">
        <f ca="1">IFERROR(__xludf.DUMMYFUNCTION("""COMPUTED_VALUE"""),15)</f>
        <v>15</v>
      </c>
      <c r="I14" s="1">
        <f ca="1">IFERROR(__xludf.DUMMYFUNCTION("""COMPUTED_VALUE"""),3)</f>
        <v>3</v>
      </c>
      <c r="J14" s="1">
        <f ca="1">IFERROR(__xludf.DUMMYFUNCTION("""COMPUTED_VALUE"""),18)</f>
        <v>18</v>
      </c>
      <c r="K14" s="1">
        <f ca="1">IFERROR(__xludf.DUMMYFUNCTION("""COMPUTED_VALUE"""),0)</f>
        <v>0</v>
      </c>
      <c r="L14" s="1">
        <f ca="1">IFERROR(__xludf.DUMMYFUNCTION("""COMPUTED_VALUE"""),8)</f>
        <v>8</v>
      </c>
      <c r="M14" s="1">
        <f ca="1">IFERROR(__xludf.DUMMYFUNCTION("""COMPUTED_VALUE"""),3)</f>
        <v>3</v>
      </c>
      <c r="N14" s="1">
        <f ca="1">IFERROR(__xludf.DUMMYFUNCTION("""COMPUTED_VALUE"""),2769)</f>
        <v>2769</v>
      </c>
      <c r="O14" s="1">
        <f ca="1">IFERROR(__xludf.DUMMYFUNCTION("""COMPUTED_VALUE"""),2225)</f>
        <v>2225</v>
      </c>
      <c r="P14" s="1">
        <f ca="1">IFERROR(__xludf.DUMMYFUNCTION("""COMPUTED_VALUE"""),1540)</f>
        <v>1540</v>
      </c>
      <c r="Q14" s="1">
        <f ca="1">IFERROR(__xludf.DUMMYFUNCTION("""COMPUTED_VALUE"""),996)</f>
        <v>996</v>
      </c>
      <c r="R14" s="1">
        <f ca="1">IFERROR(__xludf.DUMMYFUNCTION("""COMPUTED_VALUE"""),2123)</f>
        <v>2123</v>
      </c>
      <c r="S14" s="1">
        <f ca="1">IFERROR(__xludf.DUMMYFUNCTION("""COMPUTED_VALUE"""),0.469)</f>
        <v>0.46899999999999997</v>
      </c>
      <c r="T14" s="1">
        <f ca="1">IFERROR(__xludf.DUMMYFUNCTION("""COMPUTED_VALUE"""),204)</f>
        <v>204</v>
      </c>
      <c r="U14" s="1">
        <f ca="1">IFERROR(__xludf.DUMMYFUNCTION("""COMPUTED_VALUE"""),561)</f>
        <v>561</v>
      </c>
      <c r="V14" s="1">
        <f ca="1">IFERROR(__xludf.DUMMYFUNCTION("""COMPUTED_VALUE"""),0.364)</f>
        <v>0.36399999999999999</v>
      </c>
      <c r="W14" s="1">
        <f ca="1">IFERROR(__xludf.DUMMYFUNCTION("""COMPUTED_VALUE"""),573)</f>
        <v>573</v>
      </c>
      <c r="X14" s="1">
        <f ca="1">IFERROR(__xludf.DUMMYFUNCTION("""COMPUTED_VALUE"""),870)</f>
        <v>870</v>
      </c>
      <c r="Y14" s="1">
        <f ca="1">IFERROR(__xludf.DUMMYFUNCTION("""COMPUTED_VALUE"""),0.659)</f>
        <v>0.65900000000000003</v>
      </c>
      <c r="Z14" s="1">
        <f ca="1">IFERROR(__xludf.DUMMYFUNCTION("""COMPUTED_VALUE"""),465)</f>
        <v>465</v>
      </c>
      <c r="AA14" s="1">
        <f ca="1">IFERROR(__xludf.DUMMYFUNCTION("""COMPUTED_VALUE"""),1449)</f>
        <v>1449</v>
      </c>
      <c r="AB14" s="1">
        <f ca="1">IFERROR(__xludf.DUMMYFUNCTION("""COMPUTED_VALUE"""),574)</f>
        <v>574</v>
      </c>
      <c r="AC14" s="1">
        <f ca="1">IFERROR(__xludf.DUMMYFUNCTION("""COMPUTED_VALUE"""),223)</f>
        <v>223</v>
      </c>
      <c r="AD14" s="1">
        <f ca="1">IFERROR(__xludf.DUMMYFUNCTION("""COMPUTED_VALUE"""),173)</f>
        <v>173</v>
      </c>
      <c r="AE14" s="1">
        <f ca="1">IFERROR(__xludf.DUMMYFUNCTION("""COMPUTED_VALUE"""),387)</f>
        <v>387</v>
      </c>
      <c r="AF14" s="1">
        <f ca="1">IFERROR(__xludf.DUMMYFUNCTION("""COMPUTED_VALUE"""),630)</f>
        <v>630</v>
      </c>
    </row>
    <row r="15" spans="1:32" ht="15.75" customHeight="1" x14ac:dyDescent="0.25">
      <c r="A15" s="1" t="str">
        <f ca="1">IFERROR(__xludf.DUMMYFUNCTION("""COMPUTED_VALUE"""),"Little Rock")</f>
        <v>Little Rock</v>
      </c>
      <c r="B15" s="1">
        <f ca="1">IFERROR(__xludf.DUMMYFUNCTION("""COMPUTED_VALUE"""),32)</f>
        <v>32</v>
      </c>
      <c r="C15" s="1">
        <f ca="1">IFERROR(__xludf.DUMMYFUNCTION("""COMPUTED_VALUE"""),15)</f>
        <v>15</v>
      </c>
      <c r="D15" s="1">
        <f ca="1">IFERROR(__xludf.DUMMYFUNCTION("""COMPUTED_VALUE"""),17)</f>
        <v>17</v>
      </c>
      <c r="E15" s="1">
        <f ca="1">IFERROR(__xludf.DUMMYFUNCTION("""COMPUTED_VALUE"""),0.469)</f>
        <v>0.46899999999999997</v>
      </c>
      <c r="F15" s="1">
        <f ca="1">IFERROR(__xludf.DUMMYFUNCTION("""COMPUTED_VALUE"""),-5.39)</f>
        <v>-5.39</v>
      </c>
      <c r="G15" s="1">
        <f ca="1">IFERROR(__xludf.DUMMYFUNCTION("""COMPUTED_VALUE"""),-1.09)</f>
        <v>-1.0900000000000001</v>
      </c>
      <c r="H15" s="1">
        <f ca="1">IFERROR(__xludf.DUMMYFUNCTION("""COMPUTED_VALUE"""),9)</f>
        <v>9</v>
      </c>
      <c r="I15" s="1">
        <f ca="1">IFERROR(__xludf.DUMMYFUNCTION("""COMPUTED_VALUE"""),9)</f>
        <v>9</v>
      </c>
      <c r="J15" s="1">
        <f ca="1">IFERROR(__xludf.DUMMYFUNCTION("""COMPUTED_VALUE"""),7)</f>
        <v>7</v>
      </c>
      <c r="K15" s="1">
        <f ca="1">IFERROR(__xludf.DUMMYFUNCTION("""COMPUTED_VALUE"""),6)</f>
        <v>6</v>
      </c>
      <c r="L15" s="1">
        <f ca="1">IFERROR(__xludf.DUMMYFUNCTION("""COMPUTED_VALUE"""),6)</f>
        <v>6</v>
      </c>
      <c r="M15" s="1">
        <f ca="1">IFERROR(__xludf.DUMMYFUNCTION("""COMPUTED_VALUE"""),9)</f>
        <v>9</v>
      </c>
      <c r="N15" s="1">
        <f ca="1">IFERROR(__xludf.DUMMYFUNCTION("""COMPUTED_VALUE"""),2288)</f>
        <v>2288</v>
      </c>
      <c r="O15" s="1">
        <f ca="1">IFERROR(__xludf.DUMMYFUNCTION("""COMPUTED_VALUE"""),2371)</f>
        <v>2371</v>
      </c>
      <c r="P15" s="1">
        <f ca="1">IFERROR(__xludf.DUMMYFUNCTION("""COMPUTED_VALUE"""),1320)</f>
        <v>1320</v>
      </c>
      <c r="Q15" s="1">
        <f ca="1">IFERROR(__xludf.DUMMYFUNCTION("""COMPUTED_VALUE"""),784)</f>
        <v>784</v>
      </c>
      <c r="R15" s="1">
        <f ca="1">IFERROR(__xludf.DUMMYFUNCTION("""COMPUTED_VALUE"""),1844)</f>
        <v>1844</v>
      </c>
      <c r="S15" s="1">
        <f ca="1">IFERROR(__xludf.DUMMYFUNCTION("""COMPUTED_VALUE"""),0.425)</f>
        <v>0.42499999999999999</v>
      </c>
      <c r="T15" s="1">
        <f ca="1">IFERROR(__xludf.DUMMYFUNCTION("""COMPUTED_VALUE"""),164)</f>
        <v>164</v>
      </c>
      <c r="U15" s="1">
        <f ca="1">IFERROR(__xludf.DUMMYFUNCTION("""COMPUTED_VALUE"""),505)</f>
        <v>505</v>
      </c>
      <c r="V15" s="1">
        <f ca="1">IFERROR(__xludf.DUMMYFUNCTION("""COMPUTED_VALUE"""),0.325)</f>
        <v>0.32500000000000001</v>
      </c>
      <c r="W15" s="1">
        <f ca="1">IFERROR(__xludf.DUMMYFUNCTION("""COMPUTED_VALUE"""),556)</f>
        <v>556</v>
      </c>
      <c r="X15" s="1">
        <f ca="1">IFERROR(__xludf.DUMMYFUNCTION("""COMPUTED_VALUE"""),754)</f>
        <v>754</v>
      </c>
      <c r="Y15" s="1">
        <f ca="1">IFERROR(__xludf.DUMMYFUNCTION("""COMPUTED_VALUE"""),0.737)</f>
        <v>0.73699999999999999</v>
      </c>
      <c r="Z15" s="1">
        <f ca="1">IFERROR(__xludf.DUMMYFUNCTION("""COMPUTED_VALUE"""),369)</f>
        <v>369</v>
      </c>
      <c r="AA15" s="1">
        <f ca="1">IFERROR(__xludf.DUMMYFUNCTION("""COMPUTED_VALUE"""),1174)</f>
        <v>1174</v>
      </c>
      <c r="AB15" s="1">
        <f ca="1">IFERROR(__xludf.DUMMYFUNCTION("""COMPUTED_VALUE"""),376)</f>
        <v>376</v>
      </c>
      <c r="AC15" s="1">
        <f ca="1">IFERROR(__xludf.DUMMYFUNCTION("""COMPUTED_VALUE"""),190)</f>
        <v>190</v>
      </c>
      <c r="AD15" s="1">
        <f ca="1">IFERROR(__xludf.DUMMYFUNCTION("""COMPUTED_VALUE"""),125)</f>
        <v>125</v>
      </c>
      <c r="AE15" s="1">
        <f ca="1">IFERROR(__xludf.DUMMYFUNCTION("""COMPUTED_VALUE"""),422)</f>
        <v>422</v>
      </c>
      <c r="AF15" s="1">
        <f ca="1">IFERROR(__xludf.DUMMYFUNCTION("""COMPUTED_VALUE"""),689)</f>
        <v>689</v>
      </c>
    </row>
    <row r="16" spans="1:32" ht="15.75" customHeight="1" x14ac:dyDescent="0.25">
      <c r="A16" s="1" t="str">
        <f ca="1">IFERROR(__xludf.DUMMYFUNCTION("""COMPUTED_VALUE"""),"Arkansas-Pine Bluff")</f>
        <v>Arkansas-Pine Bluff</v>
      </c>
      <c r="B16" s="1">
        <f ca="1">IFERROR(__xludf.DUMMYFUNCTION("""COMPUTED_VALUE"""),31)</f>
        <v>31</v>
      </c>
      <c r="C16" s="1">
        <f ca="1">IFERROR(__xludf.DUMMYFUNCTION("""COMPUTED_VALUE"""),13)</f>
        <v>13</v>
      </c>
      <c r="D16" s="1">
        <f ca="1">IFERROR(__xludf.DUMMYFUNCTION("""COMPUTED_VALUE"""),18)</f>
        <v>18</v>
      </c>
      <c r="E16" s="1">
        <f ca="1">IFERROR(__xludf.DUMMYFUNCTION("""COMPUTED_VALUE"""),0.419)</f>
        <v>0.41899999999999998</v>
      </c>
      <c r="F16" s="1">
        <f ca="1">IFERROR(__xludf.DUMMYFUNCTION("""COMPUTED_VALUE"""),-15.39)</f>
        <v>-15.39</v>
      </c>
      <c r="G16" s="1">
        <f ca="1">IFERROR(__xludf.DUMMYFUNCTION("""COMPUTED_VALUE"""),-6.9)</f>
        <v>-6.9</v>
      </c>
      <c r="H16" s="1">
        <f ca="1">IFERROR(__xludf.DUMMYFUNCTION("""COMPUTED_VALUE"""),11)</f>
        <v>11</v>
      </c>
      <c r="I16" s="1">
        <f ca="1">IFERROR(__xludf.DUMMYFUNCTION("""COMPUTED_VALUE"""),7)</f>
        <v>7</v>
      </c>
      <c r="J16" s="1">
        <f ca="1">IFERROR(__xludf.DUMMYFUNCTION("""COMPUTED_VALUE"""),6)</f>
        <v>6</v>
      </c>
      <c r="K16" s="1">
        <f ca="1">IFERROR(__xludf.DUMMYFUNCTION("""COMPUTED_VALUE"""),3)</f>
        <v>3</v>
      </c>
      <c r="L16" s="1">
        <f ca="1">IFERROR(__xludf.DUMMYFUNCTION("""COMPUTED_VALUE"""),6)</f>
        <v>6</v>
      </c>
      <c r="M16" s="1">
        <f ca="1">IFERROR(__xludf.DUMMYFUNCTION("""COMPUTED_VALUE"""),12)</f>
        <v>12</v>
      </c>
      <c r="N16" s="1">
        <f ca="1">IFERROR(__xludf.DUMMYFUNCTION("""COMPUTED_VALUE"""),1957)</f>
        <v>1957</v>
      </c>
      <c r="O16" s="1">
        <f ca="1">IFERROR(__xludf.DUMMYFUNCTION("""COMPUTED_VALUE"""),2188)</f>
        <v>2188</v>
      </c>
      <c r="P16" s="1">
        <f ca="1">IFERROR(__xludf.DUMMYFUNCTION("""COMPUTED_VALUE"""),1240)</f>
        <v>1240</v>
      </c>
      <c r="Q16" s="1">
        <f ca="1">IFERROR(__xludf.DUMMYFUNCTION("""COMPUTED_VALUE"""),659)</f>
        <v>659</v>
      </c>
      <c r="R16" s="1">
        <f ca="1">IFERROR(__xludf.DUMMYFUNCTION("""COMPUTED_VALUE"""),1605)</f>
        <v>1605</v>
      </c>
      <c r="S16" s="1">
        <f ca="1">IFERROR(__xludf.DUMMYFUNCTION("""COMPUTED_VALUE"""),0.411)</f>
        <v>0.41099999999999998</v>
      </c>
      <c r="T16" s="1">
        <f ca="1">IFERROR(__xludf.DUMMYFUNCTION("""COMPUTED_VALUE"""),193)</f>
        <v>193</v>
      </c>
      <c r="U16" s="1">
        <f ca="1">IFERROR(__xludf.DUMMYFUNCTION("""COMPUTED_VALUE"""),562)</f>
        <v>562</v>
      </c>
      <c r="V16" s="1">
        <f ca="1">IFERROR(__xludf.DUMMYFUNCTION("""COMPUTED_VALUE"""),0.343)</f>
        <v>0.34300000000000003</v>
      </c>
      <c r="W16" s="1">
        <f ca="1">IFERROR(__xludf.DUMMYFUNCTION("""COMPUTED_VALUE"""),446)</f>
        <v>446</v>
      </c>
      <c r="X16" s="1">
        <f ca="1">IFERROR(__xludf.DUMMYFUNCTION("""COMPUTED_VALUE"""),675)</f>
        <v>675</v>
      </c>
      <c r="Y16" s="1">
        <f ca="1">IFERROR(__xludf.DUMMYFUNCTION("""COMPUTED_VALUE"""),0.661)</f>
        <v>0.66100000000000003</v>
      </c>
      <c r="Z16" s="1">
        <f ca="1">IFERROR(__xludf.DUMMYFUNCTION("""COMPUTED_VALUE"""),307)</f>
        <v>307</v>
      </c>
      <c r="AA16" s="1">
        <f ca="1">IFERROR(__xludf.DUMMYFUNCTION("""COMPUTED_VALUE"""),946)</f>
        <v>946</v>
      </c>
      <c r="AB16" s="1">
        <f ca="1">IFERROR(__xludf.DUMMYFUNCTION("""COMPUTED_VALUE"""),350)</f>
        <v>350</v>
      </c>
      <c r="AC16" s="1">
        <f ca="1">IFERROR(__xludf.DUMMYFUNCTION("""COMPUTED_VALUE"""),296)</f>
        <v>296</v>
      </c>
      <c r="AD16" s="1">
        <f ca="1">IFERROR(__xludf.DUMMYFUNCTION("""COMPUTED_VALUE"""),72)</f>
        <v>72</v>
      </c>
      <c r="AE16" s="1">
        <f ca="1">IFERROR(__xludf.DUMMYFUNCTION("""COMPUTED_VALUE"""),478)</f>
        <v>478</v>
      </c>
      <c r="AF16" s="1">
        <f ca="1">IFERROR(__xludf.DUMMYFUNCTION("""COMPUTED_VALUE"""),605)</f>
        <v>605</v>
      </c>
    </row>
    <row r="17" spans="1:32" ht="15.75" customHeight="1" x14ac:dyDescent="0.25">
      <c r="A17" s="1" t="str">
        <f ca="1">IFERROR(__xludf.DUMMYFUNCTION("""COMPUTED_VALUE"""),"Arkansas State")</f>
        <v>Arkansas State</v>
      </c>
      <c r="B17" s="1">
        <f ca="1">IFERROR(__xludf.DUMMYFUNCTION("""COMPUTED_VALUE"""),32)</f>
        <v>32</v>
      </c>
      <c r="C17" s="1">
        <f ca="1">IFERROR(__xludf.DUMMYFUNCTION("""COMPUTED_VALUE"""),19)</f>
        <v>19</v>
      </c>
      <c r="D17" s="1">
        <f ca="1">IFERROR(__xludf.DUMMYFUNCTION("""COMPUTED_VALUE"""),13)</f>
        <v>13</v>
      </c>
      <c r="E17" s="1">
        <f ca="1">IFERROR(__xludf.DUMMYFUNCTION("""COMPUTED_VALUE"""),0.594)</f>
        <v>0.59399999999999997</v>
      </c>
      <c r="F17" s="1">
        <f ca="1">IFERROR(__xludf.DUMMYFUNCTION("""COMPUTED_VALUE"""),-0.44)</f>
        <v>-0.44</v>
      </c>
      <c r="G17" s="1">
        <f ca="1">IFERROR(__xludf.DUMMYFUNCTION("""COMPUTED_VALUE"""),-3.18)</f>
        <v>-3.18</v>
      </c>
      <c r="H17" s="1">
        <f ca="1">IFERROR(__xludf.DUMMYFUNCTION("""COMPUTED_VALUE"""),10)</f>
        <v>10</v>
      </c>
      <c r="I17" s="1">
        <f ca="1">IFERROR(__xludf.DUMMYFUNCTION("""COMPUTED_VALUE"""),8)</f>
        <v>8</v>
      </c>
      <c r="J17" s="1">
        <f ca="1">IFERROR(__xludf.DUMMYFUNCTION("""COMPUTED_VALUE"""),11)</f>
        <v>11</v>
      </c>
      <c r="K17" s="1">
        <f ca="1">IFERROR(__xludf.DUMMYFUNCTION("""COMPUTED_VALUE"""),4)</f>
        <v>4</v>
      </c>
      <c r="L17" s="1">
        <f ca="1">IFERROR(__xludf.DUMMYFUNCTION("""COMPUTED_VALUE"""),7)</f>
        <v>7</v>
      </c>
      <c r="M17" s="1">
        <f ca="1">IFERROR(__xludf.DUMMYFUNCTION("""COMPUTED_VALUE"""),8)</f>
        <v>8</v>
      </c>
      <c r="N17" s="1">
        <f ca="1">IFERROR(__xludf.DUMMYFUNCTION("""COMPUTED_VALUE"""),2432)</f>
        <v>2432</v>
      </c>
      <c r="O17" s="1">
        <f ca="1">IFERROR(__xludf.DUMMYFUNCTION("""COMPUTED_VALUE"""),2299)</f>
        <v>2299</v>
      </c>
      <c r="P17" s="1">
        <f ca="1">IFERROR(__xludf.DUMMYFUNCTION("""COMPUTED_VALUE"""),1315)</f>
        <v>1315</v>
      </c>
      <c r="Q17" s="1">
        <f ca="1">IFERROR(__xludf.DUMMYFUNCTION("""COMPUTED_VALUE"""),797)</f>
        <v>797</v>
      </c>
      <c r="R17" s="1">
        <f ca="1">IFERROR(__xludf.DUMMYFUNCTION("""COMPUTED_VALUE"""),1795)</f>
        <v>1795</v>
      </c>
      <c r="S17" s="1">
        <f ca="1">IFERROR(__xludf.DUMMYFUNCTION("""COMPUTED_VALUE"""),0.444)</f>
        <v>0.44400000000000001</v>
      </c>
      <c r="T17" s="1">
        <f ca="1">IFERROR(__xludf.DUMMYFUNCTION("""COMPUTED_VALUE"""),282)</f>
        <v>282</v>
      </c>
      <c r="U17" s="1">
        <f ca="1">IFERROR(__xludf.DUMMYFUNCTION("""COMPUTED_VALUE"""),737)</f>
        <v>737</v>
      </c>
      <c r="V17" s="1">
        <f ca="1">IFERROR(__xludf.DUMMYFUNCTION("""COMPUTED_VALUE"""),0.383)</f>
        <v>0.38300000000000001</v>
      </c>
      <c r="W17" s="1">
        <f ca="1">IFERROR(__xludf.DUMMYFUNCTION("""COMPUTED_VALUE"""),556)</f>
        <v>556</v>
      </c>
      <c r="X17" s="1">
        <f ca="1">IFERROR(__xludf.DUMMYFUNCTION("""COMPUTED_VALUE"""),766)</f>
        <v>766</v>
      </c>
      <c r="Y17" s="1">
        <f ca="1">IFERROR(__xludf.DUMMYFUNCTION("""COMPUTED_VALUE"""),0.726)</f>
        <v>0.72599999999999998</v>
      </c>
      <c r="Z17" s="1">
        <f ca="1">IFERROR(__xludf.DUMMYFUNCTION("""COMPUTED_VALUE"""),301)</f>
        <v>301</v>
      </c>
      <c r="AA17" s="1">
        <f ca="1">IFERROR(__xludf.DUMMYFUNCTION("""COMPUTED_VALUE"""),1104)</f>
        <v>1104</v>
      </c>
      <c r="AB17" s="1">
        <f ca="1">IFERROR(__xludf.DUMMYFUNCTION("""COMPUTED_VALUE"""),425)</f>
        <v>425</v>
      </c>
      <c r="AC17" s="1">
        <f ca="1">IFERROR(__xludf.DUMMYFUNCTION("""COMPUTED_VALUE"""),216)</f>
        <v>216</v>
      </c>
      <c r="AD17" s="1">
        <f ca="1">IFERROR(__xludf.DUMMYFUNCTION("""COMPUTED_VALUE"""),89)</f>
        <v>89</v>
      </c>
      <c r="AE17" s="1">
        <f ca="1">IFERROR(__xludf.DUMMYFUNCTION("""COMPUTED_VALUE"""),390)</f>
        <v>390</v>
      </c>
      <c r="AF17" s="1">
        <f ca="1">IFERROR(__xludf.DUMMYFUNCTION("""COMPUTED_VALUE"""),570)</f>
        <v>570</v>
      </c>
    </row>
    <row r="18" spans="1:32" ht="15.75" customHeight="1" x14ac:dyDescent="0.25">
      <c r="A18" s="1" t="str">
        <f ca="1">IFERROR(__xludf.DUMMYFUNCTION("""COMPUTED_VALUE"""),"Arkansas")</f>
        <v>Arkansas</v>
      </c>
      <c r="B18" s="1">
        <f ca="1">IFERROR(__xludf.DUMMYFUNCTION("""COMPUTED_VALUE"""),34)</f>
        <v>34</v>
      </c>
      <c r="C18" s="1">
        <f ca="1">IFERROR(__xludf.DUMMYFUNCTION("""COMPUTED_VALUE"""),22)</f>
        <v>22</v>
      </c>
      <c r="D18" s="1">
        <f ca="1">IFERROR(__xludf.DUMMYFUNCTION("""COMPUTED_VALUE"""),12)</f>
        <v>12</v>
      </c>
      <c r="E18" s="1">
        <f ca="1">IFERROR(__xludf.DUMMYFUNCTION("""COMPUTED_VALUE"""),0.647)</f>
        <v>0.64700000000000002</v>
      </c>
      <c r="F18" s="1">
        <f ca="1">IFERROR(__xludf.DUMMYFUNCTION("""COMPUTED_VALUE"""),14.34)</f>
        <v>14.34</v>
      </c>
      <c r="G18" s="1">
        <f ca="1">IFERROR(__xludf.DUMMYFUNCTION("""COMPUTED_VALUE"""),5.57)</f>
        <v>5.57</v>
      </c>
      <c r="H18" s="1">
        <f ca="1">IFERROR(__xludf.DUMMYFUNCTION("""COMPUTED_VALUE"""),10)</f>
        <v>10</v>
      </c>
      <c r="I18" s="1">
        <f ca="1">IFERROR(__xludf.DUMMYFUNCTION("""COMPUTED_VALUE"""),8)</f>
        <v>8</v>
      </c>
      <c r="J18" s="1">
        <f ca="1">IFERROR(__xludf.DUMMYFUNCTION("""COMPUTED_VALUE"""),17)</f>
        <v>17</v>
      </c>
      <c r="K18" s="1">
        <f ca="1">IFERROR(__xludf.DUMMYFUNCTION("""COMPUTED_VALUE"""),2)</f>
        <v>2</v>
      </c>
      <c r="L18" s="1">
        <f ca="1">IFERROR(__xludf.DUMMYFUNCTION("""COMPUTED_VALUE"""),3)</f>
        <v>3</v>
      </c>
      <c r="M18" s="1">
        <f ca="1">IFERROR(__xludf.DUMMYFUNCTION("""COMPUTED_VALUE"""),7)</f>
        <v>7</v>
      </c>
      <c r="N18" s="1">
        <f ca="1">IFERROR(__xludf.DUMMYFUNCTION("""COMPUTED_VALUE"""),2723)</f>
        <v>2723</v>
      </c>
      <c r="O18" s="1">
        <f ca="1">IFERROR(__xludf.DUMMYFUNCTION("""COMPUTED_VALUE"""),2425)</f>
        <v>2425</v>
      </c>
      <c r="P18" s="1">
        <f ca="1">IFERROR(__xludf.DUMMYFUNCTION("""COMPUTED_VALUE"""),1376)</f>
        <v>1376</v>
      </c>
      <c r="Q18" s="1">
        <f ca="1">IFERROR(__xludf.DUMMYFUNCTION("""COMPUTED_VALUE"""),928)</f>
        <v>928</v>
      </c>
      <c r="R18" s="1">
        <f ca="1">IFERROR(__xludf.DUMMYFUNCTION("""COMPUTED_VALUE"""),2105)</f>
        <v>2105</v>
      </c>
      <c r="S18" s="1">
        <f ca="1">IFERROR(__xludf.DUMMYFUNCTION("""COMPUTED_VALUE"""),0.441)</f>
        <v>0.441</v>
      </c>
      <c r="T18" s="1">
        <f ca="1">IFERROR(__xludf.DUMMYFUNCTION("""COMPUTED_VALUE"""),253)</f>
        <v>253</v>
      </c>
      <c r="U18" s="1">
        <f ca="1">IFERROR(__xludf.DUMMYFUNCTION("""COMPUTED_VALUE"""),698)</f>
        <v>698</v>
      </c>
      <c r="V18" s="1">
        <f ca="1">IFERROR(__xludf.DUMMYFUNCTION("""COMPUTED_VALUE"""),0.362)</f>
        <v>0.36199999999999999</v>
      </c>
      <c r="W18" s="1">
        <f ca="1">IFERROR(__xludf.DUMMYFUNCTION("""COMPUTED_VALUE"""),614)</f>
        <v>614</v>
      </c>
      <c r="X18" s="1">
        <f ca="1">IFERROR(__xludf.DUMMYFUNCTION("""COMPUTED_VALUE"""),846)</f>
        <v>846</v>
      </c>
      <c r="Y18" s="1">
        <f ca="1">IFERROR(__xludf.DUMMYFUNCTION("""COMPUTED_VALUE"""),0.726)</f>
        <v>0.72599999999999998</v>
      </c>
      <c r="Z18" s="1">
        <f ca="1">IFERROR(__xludf.DUMMYFUNCTION("""COMPUTED_VALUE"""),404)</f>
        <v>404</v>
      </c>
      <c r="AA18" s="1">
        <f ca="1">IFERROR(__xludf.DUMMYFUNCTION("""COMPUTED_VALUE"""),1222)</f>
        <v>1222</v>
      </c>
      <c r="AB18" s="1">
        <f ca="1">IFERROR(__xludf.DUMMYFUNCTION("""COMPUTED_VALUE"""),521)</f>
        <v>521</v>
      </c>
      <c r="AC18" s="1">
        <f ca="1">IFERROR(__xludf.DUMMYFUNCTION("""COMPUTED_VALUE"""),287)</f>
        <v>287</v>
      </c>
      <c r="AD18" s="1">
        <f ca="1">IFERROR(__xludf.DUMMYFUNCTION("""COMPUTED_VALUE"""),189)</f>
        <v>189</v>
      </c>
      <c r="AE18" s="1">
        <f ca="1">IFERROR(__xludf.DUMMYFUNCTION("""COMPUTED_VALUE"""),392)</f>
        <v>392</v>
      </c>
      <c r="AF18" s="1">
        <f ca="1">IFERROR(__xludf.DUMMYFUNCTION("""COMPUTED_VALUE"""),706)</f>
        <v>706</v>
      </c>
    </row>
    <row r="19" spans="1:32" ht="12.5" x14ac:dyDescent="0.25">
      <c r="A19" s="1" t="str">
        <f ca="1">IFERROR(__xludf.DUMMYFUNCTION("""COMPUTED_VALUE"""),"Army")</f>
        <v>Army</v>
      </c>
      <c r="B19" s="1">
        <f ca="1">IFERROR(__xludf.DUMMYFUNCTION("""COMPUTED_VALUE"""),31)</f>
        <v>31</v>
      </c>
      <c r="C19" s="1">
        <f ca="1">IFERROR(__xludf.DUMMYFUNCTION("""COMPUTED_VALUE"""),15)</f>
        <v>15</v>
      </c>
      <c r="D19" s="1">
        <f ca="1">IFERROR(__xludf.DUMMYFUNCTION("""COMPUTED_VALUE"""),16)</f>
        <v>16</v>
      </c>
      <c r="E19" s="1">
        <f ca="1">IFERROR(__xludf.DUMMYFUNCTION("""COMPUTED_VALUE"""),0.484)</f>
        <v>0.48399999999999999</v>
      </c>
      <c r="F19" s="1">
        <f ca="1">IFERROR(__xludf.DUMMYFUNCTION("""COMPUTED_VALUE"""),-6.16)</f>
        <v>-6.16</v>
      </c>
      <c r="G19" s="1">
        <f ca="1">IFERROR(__xludf.DUMMYFUNCTION("""COMPUTED_VALUE"""),-4.66)</f>
        <v>-4.66</v>
      </c>
      <c r="H19" s="1">
        <f ca="1">IFERROR(__xludf.DUMMYFUNCTION("""COMPUTED_VALUE"""),10)</f>
        <v>10</v>
      </c>
      <c r="I19" s="1">
        <f ca="1">IFERROR(__xludf.DUMMYFUNCTION("""COMPUTED_VALUE"""),8)</f>
        <v>8</v>
      </c>
      <c r="J19" s="1">
        <f ca="1">IFERROR(__xludf.DUMMYFUNCTION("""COMPUTED_VALUE"""),7)</f>
        <v>7</v>
      </c>
      <c r="K19" s="1">
        <f ca="1">IFERROR(__xludf.DUMMYFUNCTION("""COMPUTED_VALUE"""),7)</f>
        <v>7</v>
      </c>
      <c r="L19" s="1">
        <f ca="1">IFERROR(__xludf.DUMMYFUNCTION("""COMPUTED_VALUE"""),7)</f>
        <v>7</v>
      </c>
      <c r="M19" s="1">
        <f ca="1">IFERROR(__xludf.DUMMYFUNCTION("""COMPUTED_VALUE"""),8)</f>
        <v>8</v>
      </c>
      <c r="N19" s="1">
        <f ca="1">IFERROR(__xludf.DUMMYFUNCTION("""COMPUTED_VALUE"""),2244)</f>
        <v>2244</v>
      </c>
      <c r="O19" s="1">
        <f ca="1">IFERROR(__xludf.DUMMYFUNCTION("""COMPUTED_VALUE"""),2269)</f>
        <v>2269</v>
      </c>
      <c r="P19" s="1">
        <f ca="1">IFERROR(__xludf.DUMMYFUNCTION("""COMPUTED_VALUE"""),1250)</f>
        <v>1250</v>
      </c>
      <c r="Q19" s="1">
        <f ca="1">IFERROR(__xludf.DUMMYFUNCTION("""COMPUTED_VALUE"""),801)</f>
        <v>801</v>
      </c>
      <c r="R19" s="1">
        <f ca="1">IFERROR(__xludf.DUMMYFUNCTION("""COMPUTED_VALUE"""),1804)</f>
        <v>1804</v>
      </c>
      <c r="S19" s="1">
        <f ca="1">IFERROR(__xludf.DUMMYFUNCTION("""COMPUTED_VALUE"""),0.444)</f>
        <v>0.44400000000000001</v>
      </c>
      <c r="T19" s="1">
        <f ca="1">IFERROR(__xludf.DUMMYFUNCTION("""COMPUTED_VALUE"""),236)</f>
        <v>236</v>
      </c>
      <c r="U19" s="1">
        <f ca="1">IFERROR(__xludf.DUMMYFUNCTION("""COMPUTED_VALUE"""),697)</f>
        <v>697</v>
      </c>
      <c r="V19" s="1">
        <f ca="1">IFERROR(__xludf.DUMMYFUNCTION("""COMPUTED_VALUE"""),0.339)</f>
        <v>0.33900000000000002</v>
      </c>
      <c r="W19" s="1">
        <f ca="1">IFERROR(__xludf.DUMMYFUNCTION("""COMPUTED_VALUE"""),406)</f>
        <v>406</v>
      </c>
      <c r="X19" s="1">
        <f ca="1">IFERROR(__xludf.DUMMYFUNCTION("""COMPUTED_VALUE"""),580)</f>
        <v>580</v>
      </c>
      <c r="Y19" s="1">
        <f ca="1">IFERROR(__xludf.DUMMYFUNCTION("""COMPUTED_VALUE"""),0.7)</f>
        <v>0.7</v>
      </c>
      <c r="Z19" s="1">
        <f ca="1">IFERROR(__xludf.DUMMYFUNCTION("""COMPUTED_VALUE"""),352)</f>
        <v>352</v>
      </c>
      <c r="AA19" s="1">
        <f ca="1">IFERROR(__xludf.DUMMYFUNCTION("""COMPUTED_VALUE"""),1043)</f>
        <v>1043</v>
      </c>
      <c r="AB19" s="1">
        <f ca="1">IFERROR(__xludf.DUMMYFUNCTION("""COMPUTED_VALUE"""),436)</f>
        <v>436</v>
      </c>
      <c r="AC19" s="1">
        <f ca="1">IFERROR(__xludf.DUMMYFUNCTION("""COMPUTED_VALUE"""),187)</f>
        <v>187</v>
      </c>
      <c r="AD19" s="1">
        <f ca="1">IFERROR(__xludf.DUMMYFUNCTION("""COMPUTED_VALUE"""),132)</f>
        <v>132</v>
      </c>
      <c r="AE19" s="1">
        <f ca="1">IFERROR(__xludf.DUMMYFUNCTION("""COMPUTED_VALUE"""),401)</f>
        <v>401</v>
      </c>
      <c r="AF19" s="1">
        <f ca="1">IFERROR(__xludf.DUMMYFUNCTION("""COMPUTED_VALUE"""),567)</f>
        <v>567</v>
      </c>
    </row>
    <row r="20" spans="1:32" ht="12.5" x14ac:dyDescent="0.25">
      <c r="A20" s="1" t="str">
        <f ca="1">IFERROR(__xludf.DUMMYFUNCTION("""COMPUTED_VALUE"""),"Auburn")</f>
        <v>Auburn</v>
      </c>
      <c r="B20" s="1">
        <f ca="1">IFERROR(__xludf.DUMMYFUNCTION("""COMPUTED_VALUE"""),30)</f>
        <v>30</v>
      </c>
      <c r="C20" s="1">
        <f ca="1">IFERROR(__xludf.DUMMYFUNCTION("""COMPUTED_VALUE"""),14)</f>
        <v>14</v>
      </c>
      <c r="D20" s="1">
        <f ca="1">IFERROR(__xludf.DUMMYFUNCTION("""COMPUTED_VALUE"""),16)</f>
        <v>16</v>
      </c>
      <c r="E20" s="1">
        <f ca="1">IFERROR(__xludf.DUMMYFUNCTION("""COMPUTED_VALUE"""),0.467)</f>
        <v>0.46700000000000003</v>
      </c>
      <c r="F20" s="1">
        <f ca="1">IFERROR(__xludf.DUMMYFUNCTION("""COMPUTED_VALUE"""),5.11)</f>
        <v>5.1100000000000003</v>
      </c>
      <c r="G20" s="1">
        <f ca="1">IFERROR(__xludf.DUMMYFUNCTION("""COMPUTED_VALUE"""),5.47)</f>
        <v>5.47</v>
      </c>
      <c r="H20" s="1">
        <f ca="1">IFERROR(__xludf.DUMMYFUNCTION("""COMPUTED_VALUE"""),6)</f>
        <v>6</v>
      </c>
      <c r="I20" s="1">
        <f ca="1">IFERROR(__xludf.DUMMYFUNCTION("""COMPUTED_VALUE"""),12)</f>
        <v>12</v>
      </c>
      <c r="J20" s="1">
        <f ca="1">IFERROR(__xludf.DUMMYFUNCTION("""COMPUTED_VALUE"""),12)</f>
        <v>12</v>
      </c>
      <c r="K20" s="1">
        <f ca="1">IFERROR(__xludf.DUMMYFUNCTION("""COMPUTED_VALUE"""),6)</f>
        <v>6</v>
      </c>
      <c r="L20" s="1">
        <f ca="1">IFERROR(__xludf.DUMMYFUNCTION("""COMPUTED_VALUE"""),2)</f>
        <v>2</v>
      </c>
      <c r="M20" s="1">
        <f ca="1">IFERROR(__xludf.DUMMYFUNCTION("""COMPUTED_VALUE"""),8)</f>
        <v>8</v>
      </c>
      <c r="N20" s="1">
        <f ca="1">IFERROR(__xludf.DUMMYFUNCTION("""COMPUTED_VALUE"""),2144)</f>
        <v>2144</v>
      </c>
      <c r="O20" s="1">
        <f ca="1">IFERROR(__xludf.DUMMYFUNCTION("""COMPUTED_VALUE"""),2155)</f>
        <v>2155</v>
      </c>
      <c r="P20" s="1">
        <f ca="1">IFERROR(__xludf.DUMMYFUNCTION("""COMPUTED_VALUE"""),1201)</f>
        <v>1201</v>
      </c>
      <c r="Q20" s="1">
        <f ca="1">IFERROR(__xludf.DUMMYFUNCTION("""COMPUTED_VALUE"""),723)</f>
        <v>723</v>
      </c>
      <c r="R20" s="1">
        <f ca="1">IFERROR(__xludf.DUMMYFUNCTION("""COMPUTED_VALUE"""),1656)</f>
        <v>1656</v>
      </c>
      <c r="S20" s="1">
        <f ca="1">IFERROR(__xludf.DUMMYFUNCTION("""COMPUTED_VALUE"""),0.437)</f>
        <v>0.437</v>
      </c>
      <c r="T20" s="1">
        <f ca="1">IFERROR(__xludf.DUMMYFUNCTION("""COMPUTED_VALUE"""),172)</f>
        <v>172</v>
      </c>
      <c r="U20" s="1">
        <f ca="1">IFERROR(__xludf.DUMMYFUNCTION("""COMPUTED_VALUE"""),554)</f>
        <v>554</v>
      </c>
      <c r="V20" s="1">
        <f ca="1">IFERROR(__xludf.DUMMYFUNCTION("""COMPUTED_VALUE"""),0.31)</f>
        <v>0.31</v>
      </c>
      <c r="W20" s="1">
        <f ca="1">IFERROR(__xludf.DUMMYFUNCTION("""COMPUTED_VALUE"""),526)</f>
        <v>526</v>
      </c>
      <c r="X20" s="1">
        <f ca="1">IFERROR(__xludf.DUMMYFUNCTION("""COMPUTED_VALUE"""),730)</f>
        <v>730</v>
      </c>
      <c r="Y20" s="1">
        <f ca="1">IFERROR(__xludf.DUMMYFUNCTION("""COMPUTED_VALUE"""),0.721)</f>
        <v>0.72099999999999997</v>
      </c>
      <c r="Z20" s="1">
        <f ca="1">IFERROR(__xludf.DUMMYFUNCTION("""COMPUTED_VALUE"""),330)</f>
        <v>330</v>
      </c>
      <c r="AA20" s="1">
        <f ca="1">IFERROR(__xludf.DUMMYFUNCTION("""COMPUTED_VALUE"""),1022)</f>
        <v>1022</v>
      </c>
      <c r="AB20" s="1">
        <f ca="1">IFERROR(__xludf.DUMMYFUNCTION("""COMPUTED_VALUE"""),349)</f>
        <v>349</v>
      </c>
      <c r="AC20" s="1">
        <f ca="1">IFERROR(__xludf.DUMMYFUNCTION("""COMPUTED_VALUE"""),183)</f>
        <v>183</v>
      </c>
      <c r="AD20" s="1">
        <f ca="1">IFERROR(__xludf.DUMMYFUNCTION("""COMPUTED_VALUE"""),134)</f>
        <v>134</v>
      </c>
      <c r="AE20" s="1">
        <f ca="1">IFERROR(__xludf.DUMMYFUNCTION("""COMPUTED_VALUE"""),363)</f>
        <v>363</v>
      </c>
      <c r="AF20" s="1">
        <f ca="1">IFERROR(__xludf.DUMMYFUNCTION("""COMPUTED_VALUE"""),645)</f>
        <v>645</v>
      </c>
    </row>
    <row r="21" spans="1:32" ht="12.5" x14ac:dyDescent="0.25">
      <c r="A21" s="1" t="str">
        <f ca="1">IFERROR(__xludf.DUMMYFUNCTION("""COMPUTED_VALUE"""),"Austin Peay")</f>
        <v>Austin Peay</v>
      </c>
      <c r="B21" s="1">
        <f ca="1">IFERROR(__xludf.DUMMYFUNCTION("""COMPUTED_VALUE"""),30)</f>
        <v>30</v>
      </c>
      <c r="C21" s="1">
        <f ca="1">IFERROR(__xludf.DUMMYFUNCTION("""COMPUTED_VALUE"""),12)</f>
        <v>12</v>
      </c>
      <c r="D21" s="1">
        <f ca="1">IFERROR(__xludf.DUMMYFUNCTION("""COMPUTED_VALUE"""),18)</f>
        <v>18</v>
      </c>
      <c r="E21" s="1">
        <f ca="1">IFERROR(__xludf.DUMMYFUNCTION("""COMPUTED_VALUE"""),0.4)</f>
        <v>0.4</v>
      </c>
      <c r="F21" s="1">
        <f ca="1">IFERROR(__xludf.DUMMYFUNCTION("""COMPUTED_VALUE"""),-10.5)</f>
        <v>-10.5</v>
      </c>
      <c r="G21" s="1">
        <f ca="1">IFERROR(__xludf.DUMMYFUNCTION("""COMPUTED_VALUE"""),-5.78)</f>
        <v>-5.78</v>
      </c>
      <c r="H21" s="1">
        <f ca="1">IFERROR(__xludf.DUMMYFUNCTION("""COMPUTED_VALUE"""),6)</f>
        <v>6</v>
      </c>
      <c r="I21" s="1">
        <f ca="1">IFERROR(__xludf.DUMMYFUNCTION("""COMPUTED_VALUE"""),10)</f>
        <v>10</v>
      </c>
      <c r="J21" s="1">
        <f ca="1">IFERROR(__xludf.DUMMYFUNCTION("""COMPUTED_VALUE"""),8)</f>
        <v>8</v>
      </c>
      <c r="K21" s="1">
        <f ca="1">IFERROR(__xludf.DUMMYFUNCTION("""COMPUTED_VALUE"""),6)</f>
        <v>6</v>
      </c>
      <c r="L21" s="1">
        <f ca="1">IFERROR(__xludf.DUMMYFUNCTION("""COMPUTED_VALUE"""),3)</f>
        <v>3</v>
      </c>
      <c r="M21" s="1">
        <f ca="1">IFERROR(__xludf.DUMMYFUNCTION("""COMPUTED_VALUE"""),11)</f>
        <v>11</v>
      </c>
      <c r="N21" s="1">
        <f ca="1">IFERROR(__xludf.DUMMYFUNCTION("""COMPUTED_VALUE"""),2287)</f>
        <v>2287</v>
      </c>
      <c r="O21" s="1">
        <f ca="1">IFERROR(__xludf.DUMMYFUNCTION("""COMPUTED_VALUE"""),2368)</f>
        <v>2368</v>
      </c>
      <c r="P21" s="1">
        <f ca="1">IFERROR(__xludf.DUMMYFUNCTION("""COMPUTED_VALUE"""),1215)</f>
        <v>1215</v>
      </c>
      <c r="Q21" s="1">
        <f ca="1">IFERROR(__xludf.DUMMYFUNCTION("""COMPUTED_VALUE"""),797)</f>
        <v>797</v>
      </c>
      <c r="R21" s="1">
        <f ca="1">IFERROR(__xludf.DUMMYFUNCTION("""COMPUTED_VALUE"""),1632)</f>
        <v>1632</v>
      </c>
      <c r="S21" s="1">
        <f ca="1">IFERROR(__xludf.DUMMYFUNCTION("""COMPUTED_VALUE"""),0.488)</f>
        <v>0.48799999999999999</v>
      </c>
      <c r="T21" s="1">
        <f ca="1">IFERROR(__xludf.DUMMYFUNCTION("""COMPUTED_VALUE"""),158)</f>
        <v>158</v>
      </c>
      <c r="U21" s="1">
        <f ca="1">IFERROR(__xludf.DUMMYFUNCTION("""COMPUTED_VALUE"""),459)</f>
        <v>459</v>
      </c>
      <c r="V21" s="1">
        <f ca="1">IFERROR(__xludf.DUMMYFUNCTION("""COMPUTED_VALUE"""),0.344)</f>
        <v>0.34399999999999997</v>
      </c>
      <c r="W21" s="1">
        <f ca="1">IFERROR(__xludf.DUMMYFUNCTION("""COMPUTED_VALUE"""),535)</f>
        <v>535</v>
      </c>
      <c r="X21" s="1">
        <f ca="1">IFERROR(__xludf.DUMMYFUNCTION("""COMPUTED_VALUE"""),804)</f>
        <v>804</v>
      </c>
      <c r="Y21" s="1">
        <f ca="1">IFERROR(__xludf.DUMMYFUNCTION("""COMPUTED_VALUE"""),0.665)</f>
        <v>0.66500000000000004</v>
      </c>
      <c r="Z21" s="1">
        <f ca="1">IFERROR(__xludf.DUMMYFUNCTION("""COMPUTED_VALUE"""),298)</f>
        <v>298</v>
      </c>
      <c r="AA21" s="1">
        <f ca="1">IFERROR(__xludf.DUMMYFUNCTION("""COMPUTED_VALUE"""),999)</f>
        <v>999</v>
      </c>
      <c r="AB21" s="1">
        <f ca="1">IFERROR(__xludf.DUMMYFUNCTION("""COMPUTED_VALUE"""),444)</f>
        <v>444</v>
      </c>
      <c r="AC21" s="1">
        <f ca="1">IFERROR(__xludf.DUMMYFUNCTION("""COMPUTED_VALUE"""),206)</f>
        <v>206</v>
      </c>
      <c r="AD21" s="1">
        <f ca="1">IFERROR(__xludf.DUMMYFUNCTION("""COMPUTED_VALUE"""),156)</f>
        <v>156</v>
      </c>
      <c r="AE21" s="1">
        <f ca="1">IFERROR(__xludf.DUMMYFUNCTION("""COMPUTED_VALUE"""),471)</f>
        <v>471</v>
      </c>
      <c r="AF21" s="1">
        <f ca="1">IFERROR(__xludf.DUMMYFUNCTION("""COMPUTED_VALUE"""),517)</f>
        <v>517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IFERROR(__xludf.DUMMYFUNCTION("""COMPUTED_VALUE"""),"Ball State")</f>
        <v>Ball State</v>
      </c>
      <c r="B24" s="1">
        <f ca="1">IFERROR(__xludf.DUMMYFUNCTION("""COMPUTED_VALUE"""),30)</f>
        <v>30</v>
      </c>
      <c r="C24" s="1">
        <f ca="1">IFERROR(__xludf.DUMMYFUNCTION("""COMPUTED_VALUE"""),5)</f>
        <v>5</v>
      </c>
      <c r="D24" s="1">
        <f ca="1">IFERROR(__xludf.DUMMYFUNCTION("""COMPUTED_VALUE"""),25)</f>
        <v>25</v>
      </c>
      <c r="E24" s="1">
        <f ca="1">IFERROR(__xludf.DUMMYFUNCTION("""COMPUTED_VALUE"""),0.167)</f>
        <v>0.16700000000000001</v>
      </c>
      <c r="F24" s="1">
        <f ca="1">IFERROR(__xludf.DUMMYFUNCTION("""COMPUTED_VALUE"""),-10.17)</f>
        <v>-10.17</v>
      </c>
      <c r="G24" s="1">
        <f ca="1">IFERROR(__xludf.DUMMYFUNCTION("""COMPUTED_VALUE"""),0.65)</f>
        <v>0.65</v>
      </c>
      <c r="H24" s="1">
        <f ca="1">IFERROR(__xludf.DUMMYFUNCTION("""COMPUTED_VALUE"""),2)</f>
        <v>2</v>
      </c>
      <c r="I24" s="1">
        <f ca="1">IFERROR(__xludf.DUMMYFUNCTION("""COMPUTED_VALUE"""),16)</f>
        <v>16</v>
      </c>
      <c r="J24" s="1">
        <f ca="1">IFERROR(__xludf.DUMMYFUNCTION("""COMPUTED_VALUE"""),5)</f>
        <v>5</v>
      </c>
      <c r="K24" s="1">
        <f ca="1">IFERROR(__xludf.DUMMYFUNCTION("""COMPUTED_VALUE"""),9)</f>
        <v>9</v>
      </c>
      <c r="L24" s="1">
        <f ca="1">IFERROR(__xludf.DUMMYFUNCTION("""COMPUTED_VALUE"""),0)</f>
        <v>0</v>
      </c>
      <c r="M24" s="1">
        <f ca="1">IFERROR(__xludf.DUMMYFUNCTION("""COMPUTED_VALUE"""),16)</f>
        <v>16</v>
      </c>
      <c r="N24" s="1">
        <f ca="1">IFERROR(__xludf.DUMMYFUNCTION("""COMPUTED_VALUE"""),1967)</f>
        <v>1967</v>
      </c>
      <c r="O24" s="1">
        <f ca="1">IFERROR(__xludf.DUMMYFUNCTION("""COMPUTED_VALUE"""),2214)</f>
        <v>2214</v>
      </c>
      <c r="P24" s="1">
        <f ca="1">IFERROR(__xludf.DUMMYFUNCTION("""COMPUTED_VALUE"""),1225)</f>
        <v>1225</v>
      </c>
      <c r="Q24" s="1">
        <f ca="1">IFERROR(__xludf.DUMMYFUNCTION("""COMPUTED_VALUE"""),651)</f>
        <v>651</v>
      </c>
      <c r="R24" s="1">
        <f ca="1">IFERROR(__xludf.DUMMYFUNCTION("""COMPUTED_VALUE"""),1601)</f>
        <v>1601</v>
      </c>
      <c r="S24" s="1">
        <f ca="1">IFERROR(__xludf.DUMMYFUNCTION("""COMPUTED_VALUE"""),0.407)</f>
        <v>0.40699999999999997</v>
      </c>
      <c r="T24" s="1">
        <f ca="1">IFERROR(__xludf.DUMMYFUNCTION("""COMPUTED_VALUE"""),196)</f>
        <v>196</v>
      </c>
      <c r="U24" s="1">
        <f ca="1">IFERROR(__xludf.DUMMYFUNCTION("""COMPUTED_VALUE"""),625)</f>
        <v>625</v>
      </c>
      <c r="V24" s="1">
        <f ca="1">IFERROR(__xludf.DUMMYFUNCTION("""COMPUTED_VALUE"""),0.314)</f>
        <v>0.314</v>
      </c>
      <c r="W24" s="1">
        <f ca="1">IFERROR(__xludf.DUMMYFUNCTION("""COMPUTED_VALUE"""),469)</f>
        <v>469</v>
      </c>
      <c r="X24" s="1">
        <f ca="1">IFERROR(__xludf.DUMMYFUNCTION("""COMPUTED_VALUE"""),679)</f>
        <v>679</v>
      </c>
      <c r="Y24" s="1">
        <f ca="1">IFERROR(__xludf.DUMMYFUNCTION("""COMPUTED_VALUE"""),0.691)</f>
        <v>0.69099999999999995</v>
      </c>
      <c r="Z24" s="1">
        <f ca="1">IFERROR(__xludf.DUMMYFUNCTION("""COMPUTED_VALUE"""),383)</f>
        <v>383</v>
      </c>
      <c r="AA24" s="1">
        <f ca="1">IFERROR(__xludf.DUMMYFUNCTION("""COMPUTED_VALUE"""),1108)</f>
        <v>1108</v>
      </c>
      <c r="AB24" s="1">
        <f ca="1">IFERROR(__xludf.DUMMYFUNCTION("""COMPUTED_VALUE"""),375)</f>
        <v>375</v>
      </c>
      <c r="AC24" s="1">
        <f ca="1">IFERROR(__xludf.DUMMYFUNCTION("""COMPUTED_VALUE"""),136)</f>
        <v>136</v>
      </c>
      <c r="AD24" s="1">
        <f ca="1">IFERROR(__xludf.DUMMYFUNCTION("""COMPUTED_VALUE"""),70)</f>
        <v>70</v>
      </c>
      <c r="AE24" s="1">
        <f ca="1">IFERROR(__xludf.DUMMYFUNCTION("""COMPUTED_VALUE"""),505)</f>
        <v>505</v>
      </c>
      <c r="AF24" s="1">
        <f ca="1">IFERROR(__xludf.DUMMYFUNCTION("""COMPUTED_VALUE"""),615)</f>
        <v>615</v>
      </c>
    </row>
    <row r="25" spans="1:32" ht="12.5" x14ac:dyDescent="0.25">
      <c r="A25" s="1" t="str">
        <f ca="1">IFERROR(__xludf.DUMMYFUNCTION("""COMPUTED_VALUE"""),"BaylorNCAA")</f>
        <v>BaylorNCAA</v>
      </c>
      <c r="B25" s="1">
        <f ca="1">IFERROR(__xludf.DUMMYFUNCTION("""COMPUTED_VALUE"""),38)</f>
        <v>38</v>
      </c>
      <c r="C25" s="1">
        <f ca="1">IFERROR(__xludf.DUMMYFUNCTION("""COMPUTED_VALUE"""),26)</f>
        <v>26</v>
      </c>
      <c r="D25" s="1">
        <f ca="1">IFERROR(__xludf.DUMMYFUNCTION("""COMPUTED_VALUE"""),12)</f>
        <v>12</v>
      </c>
      <c r="E25" s="1">
        <f ca="1">IFERROR(__xludf.DUMMYFUNCTION("""COMPUTED_VALUE"""),0.684)</f>
        <v>0.68400000000000005</v>
      </c>
      <c r="F25" s="1">
        <f ca="1">IFERROR(__xludf.DUMMYFUNCTION("""COMPUTED_VALUE"""),15.8)</f>
        <v>15.8</v>
      </c>
      <c r="G25" s="1">
        <f ca="1">IFERROR(__xludf.DUMMYFUNCTION("""COMPUTED_VALUE"""),10.11)</f>
        <v>10.11</v>
      </c>
      <c r="H25" s="1">
        <f ca="1">IFERROR(__xludf.DUMMYFUNCTION("""COMPUTED_VALUE"""),9)</f>
        <v>9</v>
      </c>
      <c r="I25" s="1">
        <f ca="1">IFERROR(__xludf.DUMMYFUNCTION("""COMPUTED_VALUE"""),9)</f>
        <v>9</v>
      </c>
      <c r="J25" s="1">
        <f ca="1">IFERROR(__xludf.DUMMYFUNCTION("""COMPUTED_VALUE"""),13)</f>
        <v>13</v>
      </c>
      <c r="K25" s="1">
        <f ca="1">IFERROR(__xludf.DUMMYFUNCTION("""COMPUTED_VALUE"""),4)</f>
        <v>4</v>
      </c>
      <c r="L25" s="1">
        <f ca="1">IFERROR(__xludf.DUMMYFUNCTION("""COMPUTED_VALUE"""),5)</f>
        <v>5</v>
      </c>
      <c r="M25" s="1">
        <f ca="1">IFERROR(__xludf.DUMMYFUNCTION("""COMPUTED_VALUE"""),5)</f>
        <v>5</v>
      </c>
      <c r="N25" s="1">
        <f ca="1">IFERROR(__xludf.DUMMYFUNCTION("""COMPUTED_VALUE"""),2843)</f>
        <v>2843</v>
      </c>
      <c r="O25" s="1">
        <f ca="1">IFERROR(__xludf.DUMMYFUNCTION("""COMPUTED_VALUE"""),2577)</f>
        <v>2577</v>
      </c>
      <c r="P25" s="1">
        <f ca="1">IFERROR(__xludf.DUMMYFUNCTION("""COMPUTED_VALUE"""),1540)</f>
        <v>1540</v>
      </c>
      <c r="Q25" s="1">
        <f ca="1">IFERROR(__xludf.DUMMYFUNCTION("""COMPUTED_VALUE"""),959)</f>
        <v>959</v>
      </c>
      <c r="R25" s="1">
        <f ca="1">IFERROR(__xludf.DUMMYFUNCTION("""COMPUTED_VALUE"""),2108)</f>
        <v>2108</v>
      </c>
      <c r="S25" s="1">
        <f ca="1">IFERROR(__xludf.DUMMYFUNCTION("""COMPUTED_VALUE"""),0.455)</f>
        <v>0.45500000000000002</v>
      </c>
      <c r="T25" s="1">
        <f ca="1">IFERROR(__xludf.DUMMYFUNCTION("""COMPUTED_VALUE"""),280)</f>
        <v>280</v>
      </c>
      <c r="U25" s="1">
        <f ca="1">IFERROR(__xludf.DUMMYFUNCTION("""COMPUTED_VALUE"""),725)</f>
        <v>725</v>
      </c>
      <c r="V25" s="1">
        <f ca="1">IFERROR(__xludf.DUMMYFUNCTION("""COMPUTED_VALUE"""),0.386)</f>
        <v>0.38600000000000001</v>
      </c>
      <c r="W25" s="1">
        <f ca="1">IFERROR(__xludf.DUMMYFUNCTION("""COMPUTED_VALUE"""),645)</f>
        <v>645</v>
      </c>
      <c r="X25" s="1">
        <f ca="1">IFERROR(__xludf.DUMMYFUNCTION("""COMPUTED_VALUE"""),949)</f>
        <v>949</v>
      </c>
      <c r="Y25" s="1">
        <f ca="1">IFERROR(__xludf.DUMMYFUNCTION("""COMPUTED_VALUE"""),0.68)</f>
        <v>0.68</v>
      </c>
      <c r="Z25" s="1">
        <f ca="1">IFERROR(__xludf.DUMMYFUNCTION("""COMPUTED_VALUE"""),525)</f>
        <v>525</v>
      </c>
      <c r="AA25" s="1">
        <f ca="1">IFERROR(__xludf.DUMMYFUNCTION("""COMPUTED_VALUE"""),1456)</f>
        <v>1456</v>
      </c>
      <c r="AB25" s="1">
        <f ca="1">IFERROR(__xludf.DUMMYFUNCTION("""COMPUTED_VALUE"""),563)</f>
        <v>563</v>
      </c>
      <c r="AC25" s="1">
        <f ca="1">IFERROR(__xludf.DUMMYFUNCTION("""COMPUTED_VALUE"""),197)</f>
        <v>197</v>
      </c>
      <c r="AD25" s="1">
        <f ca="1">IFERROR(__xludf.DUMMYFUNCTION("""COMPUTED_VALUE"""),202)</f>
        <v>202</v>
      </c>
      <c r="AE25" s="1">
        <f ca="1">IFERROR(__xludf.DUMMYFUNCTION("""COMPUTED_VALUE"""),440)</f>
        <v>440</v>
      </c>
      <c r="AF25" s="1">
        <f ca="1">IFERROR(__xludf.DUMMYFUNCTION("""COMPUTED_VALUE"""),648)</f>
        <v>648</v>
      </c>
    </row>
    <row r="26" spans="1:32" ht="12.5" x14ac:dyDescent="0.25">
      <c r="A26" s="1" t="str">
        <f ca="1">IFERROR(__xludf.DUMMYFUNCTION("""COMPUTED_VALUE"""),"Belmont")</f>
        <v>Belmont</v>
      </c>
      <c r="B26" s="1">
        <f ca="1">IFERROR(__xludf.DUMMYFUNCTION("""COMPUTED_VALUE"""),36)</f>
        <v>36</v>
      </c>
      <c r="C26" s="1">
        <f ca="1">IFERROR(__xludf.DUMMYFUNCTION("""COMPUTED_VALUE"""),26)</f>
        <v>26</v>
      </c>
      <c r="D26" s="1">
        <f ca="1">IFERROR(__xludf.DUMMYFUNCTION("""COMPUTED_VALUE"""),10)</f>
        <v>10</v>
      </c>
      <c r="E26" s="1">
        <f ca="1">IFERROR(__xludf.DUMMYFUNCTION("""COMPUTED_VALUE"""),0.722)</f>
        <v>0.72199999999999998</v>
      </c>
      <c r="F26" s="1">
        <f ca="1">IFERROR(__xludf.DUMMYFUNCTION("""COMPUTED_VALUE"""),3.29)</f>
        <v>3.29</v>
      </c>
      <c r="G26" s="1">
        <f ca="1">IFERROR(__xludf.DUMMYFUNCTION("""COMPUTED_VALUE"""),-1.88)</f>
        <v>-1.88</v>
      </c>
      <c r="H26" s="1">
        <f ca="1">IFERROR(__xludf.DUMMYFUNCTION("""COMPUTED_VALUE"""),14)</f>
        <v>14</v>
      </c>
      <c r="I26" s="1">
        <f ca="1">IFERROR(__xludf.DUMMYFUNCTION("""COMPUTED_VALUE"""),2)</f>
        <v>2</v>
      </c>
      <c r="J26" s="1">
        <f ca="1">IFERROR(__xludf.DUMMYFUNCTION("""COMPUTED_VALUE"""),13)</f>
        <v>13</v>
      </c>
      <c r="K26" s="1">
        <f ca="1">IFERROR(__xludf.DUMMYFUNCTION("""COMPUTED_VALUE"""),1)</f>
        <v>1</v>
      </c>
      <c r="L26" s="1">
        <f ca="1">IFERROR(__xludf.DUMMYFUNCTION("""COMPUTED_VALUE"""),10)</f>
        <v>10</v>
      </c>
      <c r="M26" s="1">
        <f ca="1">IFERROR(__xludf.DUMMYFUNCTION("""COMPUTED_VALUE"""),8)</f>
        <v>8</v>
      </c>
      <c r="N26" s="1">
        <f ca="1">IFERROR(__xludf.DUMMYFUNCTION("""COMPUTED_VALUE"""),2876)</f>
        <v>2876</v>
      </c>
      <c r="O26" s="1">
        <f ca="1">IFERROR(__xludf.DUMMYFUNCTION("""COMPUTED_VALUE"""),2661)</f>
        <v>2661</v>
      </c>
      <c r="P26" s="1">
        <f ca="1">IFERROR(__xludf.DUMMYFUNCTION("""COMPUTED_VALUE"""),1440)</f>
        <v>1440</v>
      </c>
      <c r="Q26" s="1">
        <f ca="1">IFERROR(__xludf.DUMMYFUNCTION("""COMPUTED_VALUE"""),983)</f>
        <v>983</v>
      </c>
      <c r="R26" s="1">
        <f ca="1">IFERROR(__xludf.DUMMYFUNCTION("""COMPUTED_VALUE"""),1973)</f>
        <v>1973</v>
      </c>
      <c r="S26" s="1">
        <f ca="1">IFERROR(__xludf.DUMMYFUNCTION("""COMPUTED_VALUE"""),0.498)</f>
        <v>0.498</v>
      </c>
      <c r="T26" s="1">
        <f ca="1">IFERROR(__xludf.DUMMYFUNCTION("""COMPUTED_VALUE"""),323)</f>
        <v>323</v>
      </c>
      <c r="U26" s="1">
        <f ca="1">IFERROR(__xludf.DUMMYFUNCTION("""COMPUTED_VALUE"""),823)</f>
        <v>823</v>
      </c>
      <c r="V26" s="1">
        <f ca="1">IFERROR(__xludf.DUMMYFUNCTION("""COMPUTED_VALUE"""),0.392)</f>
        <v>0.39200000000000002</v>
      </c>
      <c r="W26" s="1">
        <f ca="1">IFERROR(__xludf.DUMMYFUNCTION("""COMPUTED_VALUE"""),587)</f>
        <v>587</v>
      </c>
      <c r="X26" s="1">
        <f ca="1">IFERROR(__xludf.DUMMYFUNCTION("""COMPUTED_VALUE"""),794)</f>
        <v>794</v>
      </c>
      <c r="Y26" s="1">
        <f ca="1">IFERROR(__xludf.DUMMYFUNCTION("""COMPUTED_VALUE"""),0.739)</f>
        <v>0.73899999999999999</v>
      </c>
      <c r="Z26" s="1">
        <f ca="1">IFERROR(__xludf.DUMMYFUNCTION("""COMPUTED_VALUE"""),315)</f>
        <v>315</v>
      </c>
      <c r="AA26" s="1">
        <f ca="1">IFERROR(__xludf.DUMMYFUNCTION("""COMPUTED_VALUE"""),1123)</f>
        <v>1123</v>
      </c>
      <c r="AB26" s="1">
        <f ca="1">IFERROR(__xludf.DUMMYFUNCTION("""COMPUTED_VALUE"""),571)</f>
        <v>571</v>
      </c>
      <c r="AC26" s="1">
        <f ca="1">IFERROR(__xludf.DUMMYFUNCTION("""COMPUTED_VALUE"""),248)</f>
        <v>248</v>
      </c>
      <c r="AD26" s="1">
        <f ca="1">IFERROR(__xludf.DUMMYFUNCTION("""COMPUTED_VALUE"""),88)</f>
        <v>88</v>
      </c>
      <c r="AE26" s="1">
        <f ca="1">IFERROR(__xludf.DUMMYFUNCTION("""COMPUTED_VALUE"""),463)</f>
        <v>463</v>
      </c>
      <c r="AF26" s="1">
        <f ca="1">IFERROR(__xludf.DUMMYFUNCTION("""COMPUTED_VALUE"""),735)</f>
        <v>735</v>
      </c>
    </row>
    <row r="27" spans="1:32" ht="12.5" x14ac:dyDescent="0.25">
      <c r="A27" s="1" t="str">
        <f ca="1">IFERROR(__xludf.DUMMYFUNCTION("""COMPUTED_VALUE"""),"Bethune-Cookman")</f>
        <v>Bethune-Cookman</v>
      </c>
      <c r="B27" s="1">
        <f ca="1">IFERROR(__xludf.DUMMYFUNCTION("""COMPUTED_VALUE"""),32)</f>
        <v>32</v>
      </c>
      <c r="C27" s="1">
        <f ca="1">IFERROR(__xludf.DUMMYFUNCTION("""COMPUTED_VALUE"""),7)</f>
        <v>7</v>
      </c>
      <c r="D27" s="1">
        <f ca="1">IFERROR(__xludf.DUMMYFUNCTION("""COMPUTED_VALUE"""),25)</f>
        <v>25</v>
      </c>
      <c r="E27" s="1">
        <f ca="1">IFERROR(__xludf.DUMMYFUNCTION("""COMPUTED_VALUE"""),0.219)</f>
        <v>0.219</v>
      </c>
      <c r="F27" s="1">
        <f ca="1">IFERROR(__xludf.DUMMYFUNCTION("""COMPUTED_VALUE"""),-16.86)</f>
        <v>-16.86</v>
      </c>
      <c r="G27" s="1">
        <f ca="1">IFERROR(__xludf.DUMMYFUNCTION("""COMPUTED_VALUE"""),-7.53)</f>
        <v>-7.53</v>
      </c>
      <c r="H27" s="1">
        <f ca="1">IFERROR(__xludf.DUMMYFUNCTION("""COMPUTED_VALUE"""),5)</f>
        <v>5</v>
      </c>
      <c r="I27" s="1">
        <f ca="1">IFERROR(__xludf.DUMMYFUNCTION("""COMPUTED_VALUE"""),11)</f>
        <v>11</v>
      </c>
      <c r="J27" s="1">
        <f ca="1">IFERROR(__xludf.DUMMYFUNCTION("""COMPUTED_VALUE"""),5)</f>
        <v>5</v>
      </c>
      <c r="K27" s="1">
        <f ca="1">IFERROR(__xludf.DUMMYFUNCTION("""COMPUTED_VALUE"""),6)</f>
        <v>6</v>
      </c>
      <c r="L27" s="1">
        <f ca="1">IFERROR(__xludf.DUMMYFUNCTION("""COMPUTED_VALUE"""),2)</f>
        <v>2</v>
      </c>
      <c r="M27" s="1">
        <f ca="1">IFERROR(__xludf.DUMMYFUNCTION("""COMPUTED_VALUE"""),18)</f>
        <v>18</v>
      </c>
      <c r="N27" s="1">
        <f ca="1">IFERROR(__xludf.DUMMYFUNCTION("""COMPUTED_VALUE"""),2032)</f>
        <v>2032</v>
      </c>
      <c r="O27" s="1">
        <f ca="1">IFERROR(__xludf.DUMMYFUNCTION("""COMPUTED_VALUE"""),2252)</f>
        <v>2252</v>
      </c>
      <c r="P27" s="1">
        <f ca="1">IFERROR(__xludf.DUMMYFUNCTION("""COMPUTED_VALUE"""),1290)</f>
        <v>1290</v>
      </c>
      <c r="Q27" s="1">
        <f ca="1">IFERROR(__xludf.DUMMYFUNCTION("""COMPUTED_VALUE"""),686)</f>
        <v>686</v>
      </c>
      <c r="R27" s="1">
        <f ca="1">IFERROR(__xludf.DUMMYFUNCTION("""COMPUTED_VALUE"""),1713)</f>
        <v>1713</v>
      </c>
      <c r="S27" s="1">
        <f ca="1">IFERROR(__xludf.DUMMYFUNCTION("""COMPUTED_VALUE"""),0.4)</f>
        <v>0.4</v>
      </c>
      <c r="T27" s="1">
        <f ca="1">IFERROR(__xludf.DUMMYFUNCTION("""COMPUTED_VALUE"""),218)</f>
        <v>218</v>
      </c>
      <c r="U27" s="1">
        <f ca="1">IFERROR(__xludf.DUMMYFUNCTION("""COMPUTED_VALUE"""),613)</f>
        <v>613</v>
      </c>
      <c r="V27" s="1">
        <f ca="1">IFERROR(__xludf.DUMMYFUNCTION("""COMPUTED_VALUE"""),0.356)</f>
        <v>0.35599999999999998</v>
      </c>
      <c r="W27" s="1">
        <f ca="1">IFERROR(__xludf.DUMMYFUNCTION("""COMPUTED_VALUE"""),442)</f>
        <v>442</v>
      </c>
      <c r="X27" s="1">
        <f ca="1">IFERROR(__xludf.DUMMYFUNCTION("""COMPUTED_VALUE"""),615)</f>
        <v>615</v>
      </c>
      <c r="Y27" s="1">
        <f ca="1">IFERROR(__xludf.DUMMYFUNCTION("""COMPUTED_VALUE"""),0.719)</f>
        <v>0.71899999999999997</v>
      </c>
      <c r="Z27" s="1">
        <f ca="1">IFERROR(__xludf.DUMMYFUNCTION("""COMPUTED_VALUE"""),367)</f>
        <v>367</v>
      </c>
      <c r="AA27" s="1">
        <f ca="1">IFERROR(__xludf.DUMMYFUNCTION("""COMPUTED_VALUE"""),1002)</f>
        <v>1002</v>
      </c>
      <c r="AB27" s="1">
        <f ca="1">IFERROR(__xludf.DUMMYFUNCTION("""COMPUTED_VALUE"""),316)</f>
        <v>316</v>
      </c>
      <c r="AC27" s="1">
        <f ca="1">IFERROR(__xludf.DUMMYFUNCTION("""COMPUTED_VALUE"""),199)</f>
        <v>199</v>
      </c>
      <c r="AD27" s="1">
        <f ca="1">IFERROR(__xludf.DUMMYFUNCTION("""COMPUTED_VALUE"""),80)</f>
        <v>80</v>
      </c>
      <c r="AE27" s="1">
        <f ca="1">IFERROR(__xludf.DUMMYFUNCTION("""COMPUTED_VALUE"""),408)</f>
        <v>408</v>
      </c>
      <c r="AF27" s="1">
        <f ca="1">IFERROR(__xludf.DUMMYFUNCTION("""COMPUTED_VALUE"""),681)</f>
        <v>681</v>
      </c>
    </row>
    <row r="28" spans="1:32" ht="12.5" x14ac:dyDescent="0.25">
      <c r="A28" s="1" t="str">
        <f ca="1">IFERROR(__xludf.DUMMYFUNCTION("""COMPUTED_VALUE"""),"Binghamton")</f>
        <v>Binghamton</v>
      </c>
      <c r="B28" s="1">
        <f ca="1">IFERROR(__xludf.DUMMYFUNCTION("""COMPUTED_VALUE"""),30)</f>
        <v>30</v>
      </c>
      <c r="C28" s="1">
        <f ca="1">IFERROR(__xludf.DUMMYFUNCTION("""COMPUTED_VALUE"""),7)</f>
        <v>7</v>
      </c>
      <c r="D28" s="1">
        <f ca="1">IFERROR(__xludf.DUMMYFUNCTION("""COMPUTED_VALUE"""),23)</f>
        <v>23</v>
      </c>
      <c r="E28" s="1">
        <f ca="1">IFERROR(__xludf.DUMMYFUNCTION("""COMPUTED_VALUE"""),0.233)</f>
        <v>0.23300000000000001</v>
      </c>
      <c r="F28" s="1">
        <f ca="1">IFERROR(__xludf.DUMMYFUNCTION("""COMPUTED_VALUE"""),-16.15)</f>
        <v>-16.149999999999999</v>
      </c>
      <c r="G28" s="1">
        <f ca="1">IFERROR(__xludf.DUMMYFUNCTION("""COMPUTED_VALUE"""),-6.15)</f>
        <v>-6.15</v>
      </c>
      <c r="H28" s="1">
        <f ca="1">IFERROR(__xludf.DUMMYFUNCTION("""COMPUTED_VALUE"""),4)</f>
        <v>4</v>
      </c>
      <c r="I28" s="1">
        <f ca="1">IFERROR(__xludf.DUMMYFUNCTION("""COMPUTED_VALUE"""),12)</f>
        <v>12</v>
      </c>
      <c r="J28" s="1">
        <f ca="1">IFERROR(__xludf.DUMMYFUNCTION("""COMPUTED_VALUE"""),3)</f>
        <v>3</v>
      </c>
      <c r="K28" s="1">
        <f ca="1">IFERROR(__xludf.DUMMYFUNCTION("""COMPUTED_VALUE"""),10)</f>
        <v>10</v>
      </c>
      <c r="L28" s="1">
        <f ca="1">IFERROR(__xludf.DUMMYFUNCTION("""COMPUTED_VALUE"""),4)</f>
        <v>4</v>
      </c>
      <c r="M28" s="1">
        <f ca="1">IFERROR(__xludf.DUMMYFUNCTION("""COMPUTED_VALUE"""),12)</f>
        <v>12</v>
      </c>
      <c r="N28" s="1">
        <f ca="1">IFERROR(__xludf.DUMMYFUNCTION("""COMPUTED_VALUE"""),1840)</f>
        <v>1840</v>
      </c>
      <c r="O28" s="1">
        <f ca="1">IFERROR(__xludf.DUMMYFUNCTION("""COMPUTED_VALUE"""),2140)</f>
        <v>2140</v>
      </c>
      <c r="P28" s="1">
        <f ca="1">IFERROR(__xludf.DUMMYFUNCTION("""COMPUTED_VALUE"""),1215)</f>
        <v>1215</v>
      </c>
      <c r="Q28" s="1">
        <f ca="1">IFERROR(__xludf.DUMMYFUNCTION("""COMPUTED_VALUE"""),591)</f>
        <v>591</v>
      </c>
      <c r="R28" s="1">
        <f ca="1">IFERROR(__xludf.DUMMYFUNCTION("""COMPUTED_VALUE"""),1554)</f>
        <v>1554</v>
      </c>
      <c r="S28" s="1">
        <f ca="1">IFERROR(__xludf.DUMMYFUNCTION("""COMPUTED_VALUE"""),0.38)</f>
        <v>0.38</v>
      </c>
      <c r="T28" s="1">
        <f ca="1">IFERROR(__xludf.DUMMYFUNCTION("""COMPUTED_VALUE"""),182)</f>
        <v>182</v>
      </c>
      <c r="U28" s="1">
        <f ca="1">IFERROR(__xludf.DUMMYFUNCTION("""COMPUTED_VALUE"""),569)</f>
        <v>569</v>
      </c>
      <c r="V28" s="1">
        <f ca="1">IFERROR(__xludf.DUMMYFUNCTION("""COMPUTED_VALUE"""),0.32)</f>
        <v>0.32</v>
      </c>
      <c r="W28" s="1">
        <f ca="1">IFERROR(__xludf.DUMMYFUNCTION("""COMPUTED_VALUE"""),476)</f>
        <v>476</v>
      </c>
      <c r="X28" s="1">
        <f ca="1">IFERROR(__xludf.DUMMYFUNCTION("""COMPUTED_VALUE"""),687)</f>
        <v>687</v>
      </c>
      <c r="Y28" s="1">
        <f ca="1">IFERROR(__xludf.DUMMYFUNCTION("""COMPUTED_VALUE"""),0.693)</f>
        <v>0.69299999999999995</v>
      </c>
      <c r="Z28" s="1">
        <f ca="1">IFERROR(__xludf.DUMMYFUNCTION("""COMPUTED_VALUE"""),312)</f>
        <v>312</v>
      </c>
      <c r="AA28" s="1">
        <f ca="1">IFERROR(__xludf.DUMMYFUNCTION("""COMPUTED_VALUE"""),970)</f>
        <v>970</v>
      </c>
      <c r="AB28" s="1">
        <f ca="1">IFERROR(__xludf.DUMMYFUNCTION("""COMPUTED_VALUE"""),282)</f>
        <v>282</v>
      </c>
      <c r="AC28" s="1">
        <f ca="1">IFERROR(__xludf.DUMMYFUNCTION("""COMPUTED_VALUE"""),184)</f>
        <v>184</v>
      </c>
      <c r="AD28" s="1">
        <f ca="1">IFERROR(__xludf.DUMMYFUNCTION("""COMPUTED_VALUE"""),60)</f>
        <v>60</v>
      </c>
      <c r="AE28" s="1">
        <f ca="1">IFERROR(__xludf.DUMMYFUNCTION("""COMPUTED_VALUE"""),428)</f>
        <v>428</v>
      </c>
      <c r="AF28" s="1">
        <f ca="1">IFERROR(__xludf.DUMMYFUNCTION("""COMPUTED_VALUE"""),596)</f>
        <v>596</v>
      </c>
    </row>
    <row r="29" spans="1:32" ht="12.5" x14ac:dyDescent="0.25">
      <c r="A29" s="1" t="str">
        <f ca="1">IFERROR(__xludf.DUMMYFUNCTION("""COMPUTED_VALUE"""),"Boise State")</f>
        <v>Boise State</v>
      </c>
      <c r="B29" s="1">
        <f ca="1">IFERROR(__xludf.DUMMYFUNCTION("""COMPUTED_VALUE"""),34)</f>
        <v>34</v>
      </c>
      <c r="C29" s="1">
        <f ca="1">IFERROR(__xludf.DUMMYFUNCTION("""COMPUTED_VALUE"""),21)</f>
        <v>21</v>
      </c>
      <c r="D29" s="1">
        <f ca="1">IFERROR(__xludf.DUMMYFUNCTION("""COMPUTED_VALUE"""),13)</f>
        <v>13</v>
      </c>
      <c r="E29" s="1">
        <f ca="1">IFERROR(__xludf.DUMMYFUNCTION("""COMPUTED_VALUE"""),0.618)</f>
        <v>0.61799999999999999</v>
      </c>
      <c r="F29" s="1">
        <f ca="1">IFERROR(__xludf.DUMMYFUNCTION("""COMPUTED_VALUE"""),8.83)</f>
        <v>8.83</v>
      </c>
      <c r="G29" s="1">
        <f ca="1">IFERROR(__xludf.DUMMYFUNCTION("""COMPUTED_VALUE"""),3.86)</f>
        <v>3.86</v>
      </c>
      <c r="H29" s="1">
        <f ca="1">IFERROR(__xludf.DUMMYFUNCTION("""COMPUTED_VALUE"""),9)</f>
        <v>9</v>
      </c>
      <c r="I29" s="1">
        <f ca="1">IFERROR(__xludf.DUMMYFUNCTION("""COMPUTED_VALUE"""),9)</f>
        <v>9</v>
      </c>
      <c r="J29" s="1">
        <f ca="1">IFERROR(__xludf.DUMMYFUNCTION("""COMPUTED_VALUE"""),12)</f>
        <v>12</v>
      </c>
      <c r="K29" s="1">
        <f ca="1">IFERROR(__xludf.DUMMYFUNCTION("""COMPUTED_VALUE"""),4)</f>
        <v>4</v>
      </c>
      <c r="L29" s="1">
        <f ca="1">IFERROR(__xludf.DUMMYFUNCTION("""COMPUTED_VALUE"""),5)</f>
        <v>5</v>
      </c>
      <c r="M29" s="1">
        <f ca="1">IFERROR(__xludf.DUMMYFUNCTION("""COMPUTED_VALUE"""),7)</f>
        <v>7</v>
      </c>
      <c r="N29" s="1">
        <f ca="1">IFERROR(__xludf.DUMMYFUNCTION("""COMPUTED_VALUE"""),2591)</f>
        <v>2591</v>
      </c>
      <c r="O29" s="1">
        <f ca="1">IFERROR(__xludf.DUMMYFUNCTION("""COMPUTED_VALUE"""),2347)</f>
        <v>2347</v>
      </c>
      <c r="P29" s="1">
        <f ca="1">IFERROR(__xludf.DUMMYFUNCTION("""COMPUTED_VALUE"""),1380)</f>
        <v>1380</v>
      </c>
      <c r="Q29" s="1">
        <f ca="1">IFERROR(__xludf.DUMMYFUNCTION("""COMPUTED_VALUE"""),890)</f>
        <v>890</v>
      </c>
      <c r="R29" s="1">
        <f ca="1">IFERROR(__xludf.DUMMYFUNCTION("""COMPUTED_VALUE"""),1952)</f>
        <v>1952</v>
      </c>
      <c r="S29" s="1">
        <f ca="1">IFERROR(__xludf.DUMMYFUNCTION("""COMPUTED_VALUE"""),0.456)</f>
        <v>0.45600000000000002</v>
      </c>
      <c r="T29" s="1">
        <f ca="1">IFERROR(__xludf.DUMMYFUNCTION("""COMPUTED_VALUE"""),264)</f>
        <v>264</v>
      </c>
      <c r="U29" s="1">
        <f ca="1">IFERROR(__xludf.DUMMYFUNCTION("""COMPUTED_VALUE"""),710)</f>
        <v>710</v>
      </c>
      <c r="V29" s="1">
        <f ca="1">IFERROR(__xludf.DUMMYFUNCTION("""COMPUTED_VALUE"""),0.372)</f>
        <v>0.372</v>
      </c>
      <c r="W29" s="1">
        <f ca="1">IFERROR(__xludf.DUMMYFUNCTION("""COMPUTED_VALUE"""),547)</f>
        <v>547</v>
      </c>
      <c r="X29" s="1">
        <f ca="1">IFERROR(__xludf.DUMMYFUNCTION("""COMPUTED_VALUE"""),730)</f>
        <v>730</v>
      </c>
      <c r="Y29" s="1">
        <f ca="1">IFERROR(__xludf.DUMMYFUNCTION("""COMPUTED_VALUE"""),0.749)</f>
        <v>0.749</v>
      </c>
      <c r="Z29" s="1">
        <f ca="1">IFERROR(__xludf.DUMMYFUNCTION("""COMPUTED_VALUE"""),374)</f>
        <v>374</v>
      </c>
      <c r="AA29" s="1">
        <f ca="1">IFERROR(__xludf.DUMMYFUNCTION("""COMPUTED_VALUE"""),1169)</f>
        <v>1169</v>
      </c>
      <c r="AB29" s="1">
        <f ca="1">IFERROR(__xludf.DUMMYFUNCTION("""COMPUTED_VALUE"""),407)</f>
        <v>407</v>
      </c>
      <c r="AC29" s="1">
        <f ca="1">IFERROR(__xludf.DUMMYFUNCTION("""COMPUTED_VALUE"""),203)</f>
        <v>203</v>
      </c>
      <c r="AD29" s="1">
        <f ca="1">IFERROR(__xludf.DUMMYFUNCTION("""COMPUTED_VALUE"""),71)</f>
        <v>71</v>
      </c>
      <c r="AE29" s="1">
        <f ca="1">IFERROR(__xludf.DUMMYFUNCTION("""COMPUTED_VALUE"""),340)</f>
        <v>340</v>
      </c>
      <c r="AF29" s="1">
        <f ca="1">IFERROR(__xludf.DUMMYFUNCTION("""COMPUTED_VALUE"""),653)</f>
        <v>653</v>
      </c>
    </row>
    <row r="30" spans="1:32" ht="12.5" x14ac:dyDescent="0.25">
      <c r="A30" s="1" t="str">
        <f ca="1">IFERROR(__xludf.DUMMYFUNCTION("""COMPUTED_VALUE"""),"Boston College")</f>
        <v>Boston College</v>
      </c>
      <c r="B30" s="1">
        <f ca="1">IFERROR(__xludf.DUMMYFUNCTION("""COMPUTED_VALUE"""),32)</f>
        <v>32</v>
      </c>
      <c r="C30" s="1">
        <f ca="1">IFERROR(__xludf.DUMMYFUNCTION("""COMPUTED_VALUE"""),8)</f>
        <v>8</v>
      </c>
      <c r="D30" s="1">
        <f ca="1">IFERROR(__xludf.DUMMYFUNCTION("""COMPUTED_VALUE"""),24)</f>
        <v>24</v>
      </c>
      <c r="E30" s="1">
        <f ca="1">IFERROR(__xludf.DUMMYFUNCTION("""COMPUTED_VALUE"""),0.25)</f>
        <v>0.25</v>
      </c>
      <c r="F30" s="1">
        <f ca="1">IFERROR(__xludf.DUMMYFUNCTION("""COMPUTED_VALUE"""),3.01)</f>
        <v>3.01</v>
      </c>
      <c r="G30" s="1">
        <f ca="1">IFERROR(__xludf.DUMMYFUNCTION("""COMPUTED_VALUE"""),8.62)</f>
        <v>8.6199999999999992</v>
      </c>
      <c r="H30" s="1">
        <f ca="1">IFERROR(__xludf.DUMMYFUNCTION("""COMPUTED_VALUE"""),4)</f>
        <v>4</v>
      </c>
      <c r="I30" s="1">
        <f ca="1">IFERROR(__xludf.DUMMYFUNCTION("""COMPUTED_VALUE"""),14)</f>
        <v>14</v>
      </c>
      <c r="J30" s="1">
        <f ca="1">IFERROR(__xludf.DUMMYFUNCTION("""COMPUTED_VALUE"""),4)</f>
        <v>4</v>
      </c>
      <c r="K30" s="1">
        <f ca="1">IFERROR(__xludf.DUMMYFUNCTION("""COMPUTED_VALUE"""),9)</f>
        <v>9</v>
      </c>
      <c r="L30" s="1">
        <f ca="1">IFERROR(__xludf.DUMMYFUNCTION("""COMPUTED_VALUE"""),3)</f>
        <v>3</v>
      </c>
      <c r="M30" s="1">
        <f ca="1">IFERROR(__xludf.DUMMYFUNCTION("""COMPUTED_VALUE"""),11)</f>
        <v>11</v>
      </c>
      <c r="N30" s="1">
        <f ca="1">IFERROR(__xludf.DUMMYFUNCTION("""COMPUTED_VALUE"""),2197)</f>
        <v>2197</v>
      </c>
      <c r="O30" s="1">
        <f ca="1">IFERROR(__xludf.DUMMYFUNCTION("""COMPUTED_VALUE"""),2354)</f>
        <v>2354</v>
      </c>
      <c r="P30" s="1">
        <f ca="1">IFERROR(__xludf.DUMMYFUNCTION("""COMPUTED_VALUE"""),1305)</f>
        <v>1305</v>
      </c>
      <c r="Q30" s="1">
        <f ca="1">IFERROR(__xludf.DUMMYFUNCTION("""COMPUTED_VALUE"""),716)</f>
        <v>716</v>
      </c>
      <c r="R30" s="1">
        <f ca="1">IFERROR(__xludf.DUMMYFUNCTION("""COMPUTED_VALUE"""),1606)</f>
        <v>1606</v>
      </c>
      <c r="S30" s="1">
        <f ca="1">IFERROR(__xludf.DUMMYFUNCTION("""COMPUTED_VALUE"""),0.446)</f>
        <v>0.44600000000000001</v>
      </c>
      <c r="T30" s="1">
        <f ca="1">IFERROR(__xludf.DUMMYFUNCTION("""COMPUTED_VALUE"""),247)</f>
        <v>247</v>
      </c>
      <c r="U30" s="1">
        <f ca="1">IFERROR(__xludf.DUMMYFUNCTION("""COMPUTED_VALUE"""),702)</f>
        <v>702</v>
      </c>
      <c r="V30" s="1">
        <f ca="1">IFERROR(__xludf.DUMMYFUNCTION("""COMPUTED_VALUE"""),0.352)</f>
        <v>0.35199999999999998</v>
      </c>
      <c r="W30" s="1">
        <f ca="1">IFERROR(__xludf.DUMMYFUNCTION("""COMPUTED_VALUE"""),518)</f>
        <v>518</v>
      </c>
      <c r="X30" s="1">
        <f ca="1">IFERROR(__xludf.DUMMYFUNCTION("""COMPUTED_VALUE"""),699)</f>
        <v>699</v>
      </c>
      <c r="Y30" s="1">
        <f ca="1">IFERROR(__xludf.DUMMYFUNCTION("""COMPUTED_VALUE"""),0.741)</f>
        <v>0.74099999999999999</v>
      </c>
      <c r="Z30" s="1">
        <f ca="1">IFERROR(__xludf.DUMMYFUNCTION("""COMPUTED_VALUE"""),265)</f>
        <v>265</v>
      </c>
      <c r="AA30" s="1">
        <f ca="1">IFERROR(__xludf.DUMMYFUNCTION("""COMPUTED_VALUE"""),951)</f>
        <v>951</v>
      </c>
      <c r="AB30" s="1">
        <f ca="1">IFERROR(__xludf.DUMMYFUNCTION("""COMPUTED_VALUE"""),397)</f>
        <v>397</v>
      </c>
      <c r="AC30" s="1">
        <f ca="1">IFERROR(__xludf.DUMMYFUNCTION("""COMPUTED_VALUE"""),140)</f>
        <v>140</v>
      </c>
      <c r="AD30" s="1">
        <f ca="1">IFERROR(__xludf.DUMMYFUNCTION("""COMPUTED_VALUE"""),86)</f>
        <v>86</v>
      </c>
      <c r="AE30" s="1">
        <f ca="1">IFERROR(__xludf.DUMMYFUNCTION("""COMPUTED_VALUE"""),358)</f>
        <v>358</v>
      </c>
      <c r="AF30" s="1">
        <f ca="1">IFERROR(__xludf.DUMMYFUNCTION("""COMPUTED_VALUE"""),603)</f>
        <v>603</v>
      </c>
    </row>
    <row r="31" spans="1:32" ht="12.5" x14ac:dyDescent="0.25">
      <c r="A31" s="1" t="str">
        <f ca="1">IFERROR(__xludf.DUMMYFUNCTION("""COMPUTED_VALUE"""),"Boston University")</f>
        <v>Boston University</v>
      </c>
      <c r="B31" s="1">
        <f ca="1">IFERROR(__xludf.DUMMYFUNCTION("""COMPUTED_VALUE"""),35)</f>
        <v>35</v>
      </c>
      <c r="C31" s="1">
        <f ca="1">IFERROR(__xludf.DUMMYFUNCTION("""COMPUTED_VALUE"""),24)</f>
        <v>24</v>
      </c>
      <c r="D31" s="1">
        <f ca="1">IFERROR(__xludf.DUMMYFUNCTION("""COMPUTED_VALUE"""),11)</f>
        <v>11</v>
      </c>
      <c r="E31" s="1">
        <f ca="1">IFERROR(__xludf.DUMMYFUNCTION("""COMPUTED_VALUE"""),0.686)</f>
        <v>0.68600000000000005</v>
      </c>
      <c r="F31" s="1">
        <f ca="1">IFERROR(__xludf.DUMMYFUNCTION("""COMPUTED_VALUE"""),1.77)</f>
        <v>1.77</v>
      </c>
      <c r="G31" s="1">
        <f ca="1">IFERROR(__xludf.DUMMYFUNCTION("""COMPUTED_VALUE"""),-2.4)</f>
        <v>-2.4</v>
      </c>
      <c r="H31" s="1">
        <f ca="1">IFERROR(__xludf.DUMMYFUNCTION("""COMPUTED_VALUE"""),15)</f>
        <v>15</v>
      </c>
      <c r="I31" s="1">
        <f ca="1">IFERROR(__xludf.DUMMYFUNCTION("""COMPUTED_VALUE"""),3)</f>
        <v>3</v>
      </c>
      <c r="J31" s="1">
        <f ca="1">IFERROR(__xludf.DUMMYFUNCTION("""COMPUTED_VALUE"""),11)</f>
        <v>11</v>
      </c>
      <c r="K31" s="1">
        <f ca="1">IFERROR(__xludf.DUMMYFUNCTION("""COMPUTED_VALUE"""),6)</f>
        <v>6</v>
      </c>
      <c r="L31" s="1">
        <f ca="1">IFERROR(__xludf.DUMMYFUNCTION("""COMPUTED_VALUE"""),11)</f>
        <v>11</v>
      </c>
      <c r="M31" s="1">
        <f ca="1">IFERROR(__xludf.DUMMYFUNCTION("""COMPUTED_VALUE"""),4)</f>
        <v>4</v>
      </c>
      <c r="N31" s="1">
        <f ca="1">IFERROR(__xludf.DUMMYFUNCTION("""COMPUTED_VALUE"""),2492)</f>
        <v>2492</v>
      </c>
      <c r="O31" s="1">
        <f ca="1">IFERROR(__xludf.DUMMYFUNCTION("""COMPUTED_VALUE"""),2346)</f>
        <v>2346</v>
      </c>
      <c r="P31" s="1">
        <f ca="1">IFERROR(__xludf.DUMMYFUNCTION("""COMPUTED_VALUE"""),1420)</f>
        <v>1420</v>
      </c>
      <c r="Q31" s="1">
        <f ca="1">IFERROR(__xludf.DUMMYFUNCTION("""COMPUTED_VALUE"""),894)</f>
        <v>894</v>
      </c>
      <c r="R31" s="1">
        <f ca="1">IFERROR(__xludf.DUMMYFUNCTION("""COMPUTED_VALUE"""),1978)</f>
        <v>1978</v>
      </c>
      <c r="S31" s="1">
        <f ca="1">IFERROR(__xludf.DUMMYFUNCTION("""COMPUTED_VALUE"""),0.452)</f>
        <v>0.45200000000000001</v>
      </c>
      <c r="T31" s="1">
        <f ca="1">IFERROR(__xludf.DUMMYFUNCTION("""COMPUTED_VALUE"""),282)</f>
        <v>282</v>
      </c>
      <c r="U31" s="1">
        <f ca="1">IFERROR(__xludf.DUMMYFUNCTION("""COMPUTED_VALUE"""),776)</f>
        <v>776</v>
      </c>
      <c r="V31" s="1">
        <f ca="1">IFERROR(__xludf.DUMMYFUNCTION("""COMPUTED_VALUE"""),0.363)</f>
        <v>0.36299999999999999</v>
      </c>
      <c r="W31" s="1">
        <f ca="1">IFERROR(__xludf.DUMMYFUNCTION("""COMPUTED_VALUE"""),422)</f>
        <v>422</v>
      </c>
      <c r="X31" s="1">
        <f ca="1">IFERROR(__xludf.DUMMYFUNCTION("""COMPUTED_VALUE"""),591)</f>
        <v>591</v>
      </c>
      <c r="Y31" s="1">
        <f ca="1">IFERROR(__xludf.DUMMYFUNCTION("""COMPUTED_VALUE"""),0.714)</f>
        <v>0.71399999999999997</v>
      </c>
      <c r="Z31" s="1">
        <f ca="1">IFERROR(__xludf.DUMMYFUNCTION("""COMPUTED_VALUE"""),333)</f>
        <v>333</v>
      </c>
      <c r="AA31" s="1">
        <f ca="1">IFERROR(__xludf.DUMMYFUNCTION("""COMPUTED_VALUE"""),1161)</f>
        <v>1161</v>
      </c>
      <c r="AB31" s="1">
        <f ca="1">IFERROR(__xludf.DUMMYFUNCTION("""COMPUTED_VALUE"""),491)</f>
        <v>491</v>
      </c>
      <c r="AC31" s="1">
        <f ca="1">IFERROR(__xludf.DUMMYFUNCTION("""COMPUTED_VALUE"""),245)</f>
        <v>245</v>
      </c>
      <c r="AD31" s="1">
        <f ca="1">IFERROR(__xludf.DUMMYFUNCTION("""COMPUTED_VALUE"""),62)</f>
        <v>62</v>
      </c>
      <c r="AE31" s="1">
        <f ca="1">IFERROR(__xludf.DUMMYFUNCTION("""COMPUTED_VALUE"""),411)</f>
        <v>411</v>
      </c>
      <c r="AF31" s="1">
        <f ca="1">IFERROR(__xludf.DUMMYFUNCTION("""COMPUTED_VALUE"""),590)</f>
        <v>590</v>
      </c>
    </row>
    <row r="32" spans="1:32" ht="12.5" x14ac:dyDescent="0.25">
      <c r="A32" s="1" t="str">
        <f ca="1">IFERROR(__xludf.DUMMYFUNCTION("""COMPUTED_VALUE"""),"Bowling Green State")</f>
        <v>Bowling Green State</v>
      </c>
      <c r="B32" s="1">
        <f ca="1">IFERROR(__xludf.DUMMYFUNCTION("""COMPUTED_VALUE"""),32)</f>
        <v>32</v>
      </c>
      <c r="C32" s="1">
        <f ca="1">IFERROR(__xludf.DUMMYFUNCTION("""COMPUTED_VALUE"""),12)</f>
        <v>12</v>
      </c>
      <c r="D32" s="1">
        <f ca="1">IFERROR(__xludf.DUMMYFUNCTION("""COMPUTED_VALUE"""),20)</f>
        <v>20</v>
      </c>
      <c r="E32" s="1">
        <f ca="1">IFERROR(__xludf.DUMMYFUNCTION("""COMPUTED_VALUE"""),0.375)</f>
        <v>0.375</v>
      </c>
      <c r="F32" s="1">
        <f ca="1">IFERROR(__xludf.DUMMYFUNCTION("""COMPUTED_VALUE"""),-3.45)</f>
        <v>-3.45</v>
      </c>
      <c r="G32" s="1">
        <f ca="1">IFERROR(__xludf.DUMMYFUNCTION("""COMPUTED_VALUE"""),-0.2)</f>
        <v>-0.2</v>
      </c>
      <c r="H32" s="1">
        <f ca="1">IFERROR(__xludf.DUMMYFUNCTION("""COMPUTED_VALUE"""),6)</f>
        <v>6</v>
      </c>
      <c r="I32" s="1">
        <f ca="1">IFERROR(__xludf.DUMMYFUNCTION("""COMPUTED_VALUE"""),12)</f>
        <v>12</v>
      </c>
      <c r="J32" s="1">
        <f ca="1">IFERROR(__xludf.DUMMYFUNCTION("""COMPUTED_VALUE"""),7)</f>
        <v>7</v>
      </c>
      <c r="K32" s="1">
        <f ca="1">IFERROR(__xludf.DUMMYFUNCTION("""COMPUTED_VALUE"""),8)</f>
        <v>8</v>
      </c>
      <c r="L32" s="1">
        <f ca="1">IFERROR(__xludf.DUMMYFUNCTION("""COMPUTED_VALUE"""),4)</f>
        <v>4</v>
      </c>
      <c r="M32" s="1">
        <f ca="1">IFERROR(__xludf.DUMMYFUNCTION("""COMPUTED_VALUE"""),11)</f>
        <v>11</v>
      </c>
      <c r="N32" s="1">
        <f ca="1">IFERROR(__xludf.DUMMYFUNCTION("""COMPUTED_VALUE"""),2007)</f>
        <v>2007</v>
      </c>
      <c r="O32" s="1">
        <f ca="1">IFERROR(__xludf.DUMMYFUNCTION("""COMPUTED_VALUE"""),2055)</f>
        <v>2055</v>
      </c>
      <c r="P32" s="1">
        <f ca="1">IFERROR(__xludf.DUMMYFUNCTION("""COMPUTED_VALUE"""),1290)</f>
        <v>1290</v>
      </c>
      <c r="Q32" s="1">
        <f ca="1">IFERROR(__xludf.DUMMYFUNCTION("""COMPUTED_VALUE"""),743)</f>
        <v>743</v>
      </c>
      <c r="R32" s="1">
        <f ca="1">IFERROR(__xludf.DUMMYFUNCTION("""COMPUTED_VALUE"""),1745)</f>
        <v>1745</v>
      </c>
      <c r="S32" s="1">
        <f ca="1">IFERROR(__xludf.DUMMYFUNCTION("""COMPUTED_VALUE"""),0.426)</f>
        <v>0.42599999999999999</v>
      </c>
      <c r="T32" s="1">
        <f ca="1">IFERROR(__xludf.DUMMYFUNCTION("""COMPUTED_VALUE"""),120)</f>
        <v>120</v>
      </c>
      <c r="U32" s="1">
        <f ca="1">IFERROR(__xludf.DUMMYFUNCTION("""COMPUTED_VALUE"""),417)</f>
        <v>417</v>
      </c>
      <c r="V32" s="1">
        <f ca="1">IFERROR(__xludf.DUMMYFUNCTION("""COMPUTED_VALUE"""),0.288)</f>
        <v>0.28799999999999998</v>
      </c>
      <c r="W32" s="1">
        <f ca="1">IFERROR(__xludf.DUMMYFUNCTION("""COMPUTED_VALUE"""),401)</f>
        <v>401</v>
      </c>
      <c r="X32" s="1">
        <f ca="1">IFERROR(__xludf.DUMMYFUNCTION("""COMPUTED_VALUE"""),630)</f>
        <v>630</v>
      </c>
      <c r="Y32" s="1">
        <f ca="1">IFERROR(__xludf.DUMMYFUNCTION("""COMPUTED_VALUE"""),0.637)</f>
        <v>0.63700000000000001</v>
      </c>
      <c r="Z32" s="1">
        <f ca="1">IFERROR(__xludf.DUMMYFUNCTION("""COMPUTED_VALUE"""),339)</f>
        <v>339</v>
      </c>
      <c r="AA32" s="1">
        <f ca="1">IFERROR(__xludf.DUMMYFUNCTION("""COMPUTED_VALUE"""),1131)</f>
        <v>1131</v>
      </c>
      <c r="AB32" s="1">
        <f ca="1">IFERROR(__xludf.DUMMYFUNCTION("""COMPUTED_VALUE"""),387)</f>
        <v>387</v>
      </c>
      <c r="AC32" s="1">
        <f ca="1">IFERROR(__xludf.DUMMYFUNCTION("""COMPUTED_VALUE"""),246)</f>
        <v>246</v>
      </c>
      <c r="AD32" s="1">
        <f ca="1">IFERROR(__xludf.DUMMYFUNCTION("""COMPUTED_VALUE"""),177)</f>
        <v>177</v>
      </c>
      <c r="AE32" s="1">
        <f ca="1">IFERROR(__xludf.DUMMYFUNCTION("""COMPUTED_VALUE"""),469)</f>
        <v>469</v>
      </c>
      <c r="AF32" s="1">
        <f ca="1">IFERROR(__xludf.DUMMYFUNCTION("""COMPUTED_VALUE"""),564)</f>
        <v>564</v>
      </c>
    </row>
    <row r="33" spans="1:32" ht="12.5" x14ac:dyDescent="0.25">
      <c r="A33" s="1" t="str">
        <f ca="1">IFERROR(__xludf.DUMMYFUNCTION("""COMPUTED_VALUE"""),"Bradley")</f>
        <v>Bradley</v>
      </c>
      <c r="B33" s="1">
        <f ca="1">IFERROR(__xludf.DUMMYFUNCTION("""COMPUTED_VALUE"""),32)</f>
        <v>32</v>
      </c>
      <c r="C33" s="1">
        <f ca="1">IFERROR(__xludf.DUMMYFUNCTION("""COMPUTED_VALUE"""),12)</f>
        <v>12</v>
      </c>
      <c r="D33" s="1">
        <f ca="1">IFERROR(__xludf.DUMMYFUNCTION("""COMPUTED_VALUE"""),20)</f>
        <v>20</v>
      </c>
      <c r="E33" s="1">
        <f ca="1">IFERROR(__xludf.DUMMYFUNCTION("""COMPUTED_VALUE"""),0.375)</f>
        <v>0.375</v>
      </c>
      <c r="F33" s="1">
        <f ca="1">IFERROR(__xludf.DUMMYFUNCTION("""COMPUTED_VALUE"""),-2.72)</f>
        <v>-2.72</v>
      </c>
      <c r="G33" s="1">
        <f ca="1">IFERROR(__xludf.DUMMYFUNCTION("""COMPUTED_VALUE"""),-0.31)</f>
        <v>-0.31</v>
      </c>
      <c r="H33" s="1">
        <f ca="1">IFERROR(__xludf.DUMMYFUNCTION("""COMPUTED_VALUE"""),7)</f>
        <v>7</v>
      </c>
      <c r="I33" s="1">
        <f ca="1">IFERROR(__xludf.DUMMYFUNCTION("""COMPUTED_VALUE"""),11)</f>
        <v>11</v>
      </c>
      <c r="J33" s="1">
        <f ca="1">IFERROR(__xludf.DUMMYFUNCTION("""COMPUTED_VALUE"""),11)</f>
        <v>11</v>
      </c>
      <c r="K33" s="1">
        <f ca="1">IFERROR(__xludf.DUMMYFUNCTION("""COMPUTED_VALUE"""),6)</f>
        <v>6</v>
      </c>
      <c r="L33" s="1">
        <f ca="1">IFERROR(__xludf.DUMMYFUNCTION("""COMPUTED_VALUE"""),1)</f>
        <v>1</v>
      </c>
      <c r="M33" s="1">
        <f ca="1">IFERROR(__xludf.DUMMYFUNCTION("""COMPUTED_VALUE"""),11)</f>
        <v>11</v>
      </c>
      <c r="N33" s="1">
        <f ca="1">IFERROR(__xludf.DUMMYFUNCTION("""COMPUTED_VALUE"""),2036)</f>
        <v>2036</v>
      </c>
      <c r="O33" s="1">
        <f ca="1">IFERROR(__xludf.DUMMYFUNCTION("""COMPUTED_VALUE"""),2113)</f>
        <v>2113</v>
      </c>
      <c r="P33" s="1">
        <f ca="1">IFERROR(__xludf.DUMMYFUNCTION("""COMPUTED_VALUE"""),1279)</f>
        <v>1279</v>
      </c>
      <c r="Q33" s="1">
        <f ca="1">IFERROR(__xludf.DUMMYFUNCTION("""COMPUTED_VALUE"""),721)</f>
        <v>721</v>
      </c>
      <c r="R33" s="1">
        <f ca="1">IFERROR(__xludf.DUMMYFUNCTION("""COMPUTED_VALUE"""),1720)</f>
        <v>1720</v>
      </c>
      <c r="S33" s="1">
        <f ca="1">IFERROR(__xludf.DUMMYFUNCTION("""COMPUTED_VALUE"""),0.419)</f>
        <v>0.41899999999999998</v>
      </c>
      <c r="T33" s="1">
        <f ca="1">IFERROR(__xludf.DUMMYFUNCTION("""COMPUTED_VALUE"""),154)</f>
        <v>154</v>
      </c>
      <c r="U33" s="1">
        <f ca="1">IFERROR(__xludf.DUMMYFUNCTION("""COMPUTED_VALUE"""),479)</f>
        <v>479</v>
      </c>
      <c r="V33" s="1">
        <f ca="1">IFERROR(__xludf.DUMMYFUNCTION("""COMPUTED_VALUE"""),0.322)</f>
        <v>0.32200000000000001</v>
      </c>
      <c r="W33" s="1">
        <f ca="1">IFERROR(__xludf.DUMMYFUNCTION("""COMPUTED_VALUE"""),440)</f>
        <v>440</v>
      </c>
      <c r="X33" s="1">
        <f ca="1">IFERROR(__xludf.DUMMYFUNCTION("""COMPUTED_VALUE"""),628)</f>
        <v>628</v>
      </c>
      <c r="Y33" s="1">
        <f ca="1">IFERROR(__xludf.DUMMYFUNCTION("""COMPUTED_VALUE"""),0.701)</f>
        <v>0.70099999999999996</v>
      </c>
      <c r="Z33" s="1">
        <f ca="1">IFERROR(__xludf.DUMMYFUNCTION("""COMPUTED_VALUE"""),356)</f>
        <v>356</v>
      </c>
      <c r="AA33" s="1">
        <f ca="1">IFERROR(__xludf.DUMMYFUNCTION("""COMPUTED_VALUE"""),1064)</f>
        <v>1064</v>
      </c>
      <c r="AB33" s="1">
        <f ca="1">IFERROR(__xludf.DUMMYFUNCTION("""COMPUTED_VALUE"""),306)</f>
        <v>306</v>
      </c>
      <c r="AC33" s="1">
        <f ca="1">IFERROR(__xludf.DUMMYFUNCTION("""COMPUTED_VALUE"""),226)</f>
        <v>226</v>
      </c>
      <c r="AD33" s="1">
        <f ca="1">IFERROR(__xludf.DUMMYFUNCTION("""COMPUTED_VALUE"""),84)</f>
        <v>84</v>
      </c>
      <c r="AE33" s="1">
        <f ca="1">IFERROR(__xludf.DUMMYFUNCTION("""COMPUTED_VALUE"""),383)</f>
        <v>383</v>
      </c>
      <c r="AF33" s="1">
        <f ca="1">IFERROR(__xludf.DUMMYFUNCTION("""COMPUTED_VALUE"""),635)</f>
        <v>635</v>
      </c>
    </row>
    <row r="34" spans="1:32" ht="12.5" x14ac:dyDescent="0.25">
      <c r="A34" s="1" t="str">
        <f ca="1">IFERROR(__xludf.DUMMYFUNCTION("""COMPUTED_VALUE"""),"Brigham YoungNCAA")</f>
        <v>Brigham YoungNCAA</v>
      </c>
      <c r="B34" s="1">
        <f ca="1">IFERROR(__xludf.DUMMYFUNCTION("""COMPUTED_VALUE"""),35)</f>
        <v>35</v>
      </c>
      <c r="C34" s="1">
        <f ca="1">IFERROR(__xludf.DUMMYFUNCTION("""COMPUTED_VALUE"""),23)</f>
        <v>23</v>
      </c>
      <c r="D34" s="1">
        <f ca="1">IFERROR(__xludf.DUMMYFUNCTION("""COMPUTED_VALUE"""),12)</f>
        <v>12</v>
      </c>
      <c r="E34" s="1">
        <f ca="1">IFERROR(__xludf.DUMMYFUNCTION("""COMPUTED_VALUE"""),0.657)</f>
        <v>0.65700000000000003</v>
      </c>
      <c r="F34" s="1">
        <f ca="1">IFERROR(__xludf.DUMMYFUNCTION("""COMPUTED_VALUE"""),11.63)</f>
        <v>11.63</v>
      </c>
      <c r="G34" s="1">
        <f ca="1">IFERROR(__xludf.DUMMYFUNCTION("""COMPUTED_VALUE"""),5.72)</f>
        <v>5.72</v>
      </c>
      <c r="H34" s="1">
        <f ca="1">IFERROR(__xludf.DUMMYFUNCTION("""COMPUTED_VALUE"""),13)</f>
        <v>13</v>
      </c>
      <c r="I34" s="1">
        <f ca="1">IFERROR(__xludf.DUMMYFUNCTION("""COMPUTED_VALUE"""),5)</f>
        <v>5</v>
      </c>
      <c r="J34" s="1">
        <f ca="1">IFERROR(__xludf.DUMMYFUNCTION("""COMPUTED_VALUE"""),14)</f>
        <v>14</v>
      </c>
      <c r="K34" s="1">
        <f ca="1">IFERROR(__xludf.DUMMYFUNCTION("""COMPUTED_VALUE"""),1)</f>
        <v>1</v>
      </c>
      <c r="L34" s="1">
        <f ca="1">IFERROR(__xludf.DUMMYFUNCTION("""COMPUTED_VALUE"""),5)</f>
        <v>5</v>
      </c>
      <c r="M34" s="1">
        <f ca="1">IFERROR(__xludf.DUMMYFUNCTION("""COMPUTED_VALUE"""),7)</f>
        <v>7</v>
      </c>
      <c r="N34" s="1">
        <f ca="1">IFERROR(__xludf.DUMMYFUNCTION("""COMPUTED_VALUE"""),2931)</f>
        <v>2931</v>
      </c>
      <c r="O34" s="1">
        <f ca="1">IFERROR(__xludf.DUMMYFUNCTION("""COMPUTED_VALUE"""),2706)</f>
        <v>2706</v>
      </c>
      <c r="P34" s="1">
        <f ca="1">IFERROR(__xludf.DUMMYFUNCTION("""COMPUTED_VALUE"""),1425)</f>
        <v>1425</v>
      </c>
      <c r="Q34" s="1">
        <f ca="1">IFERROR(__xludf.DUMMYFUNCTION("""COMPUTED_VALUE"""),1012)</f>
        <v>1012</v>
      </c>
      <c r="R34" s="1">
        <f ca="1">IFERROR(__xludf.DUMMYFUNCTION("""COMPUTED_VALUE"""),2186)</f>
        <v>2186</v>
      </c>
      <c r="S34" s="1">
        <f ca="1">IFERROR(__xludf.DUMMYFUNCTION("""COMPUTED_VALUE"""),0.463)</f>
        <v>0.46300000000000002</v>
      </c>
      <c r="T34" s="1">
        <f ca="1">IFERROR(__xludf.DUMMYFUNCTION("""COMPUTED_VALUE"""),177)</f>
        <v>177</v>
      </c>
      <c r="U34" s="1">
        <f ca="1">IFERROR(__xludf.DUMMYFUNCTION("""COMPUTED_VALUE"""),499)</f>
        <v>499</v>
      </c>
      <c r="V34" s="1">
        <f ca="1">IFERROR(__xludf.DUMMYFUNCTION("""COMPUTED_VALUE"""),0.355)</f>
        <v>0.35499999999999998</v>
      </c>
      <c r="W34" s="1">
        <f ca="1">IFERROR(__xludf.DUMMYFUNCTION("""COMPUTED_VALUE"""),730)</f>
        <v>730</v>
      </c>
      <c r="X34" s="1">
        <f ca="1">IFERROR(__xludf.DUMMYFUNCTION("""COMPUTED_VALUE"""),1055)</f>
        <v>1055</v>
      </c>
      <c r="Y34" s="1">
        <f ca="1">IFERROR(__xludf.DUMMYFUNCTION("""COMPUTED_VALUE"""),0.692)</f>
        <v>0.69199999999999995</v>
      </c>
      <c r="Z34" s="1">
        <f ca="1">IFERROR(__xludf.DUMMYFUNCTION("""COMPUTED_VALUE"""),463)</f>
        <v>463</v>
      </c>
      <c r="AA34" s="1">
        <f ca="1">IFERROR(__xludf.DUMMYFUNCTION("""COMPUTED_VALUE"""),1432)</f>
        <v>1432</v>
      </c>
      <c r="AB34" s="1">
        <f ca="1">IFERROR(__xludf.DUMMYFUNCTION("""COMPUTED_VALUE"""),544)</f>
        <v>544</v>
      </c>
      <c r="AC34" s="1">
        <f ca="1">IFERROR(__xludf.DUMMYFUNCTION("""COMPUTED_VALUE"""),251)</f>
        <v>251</v>
      </c>
      <c r="AD34" s="1">
        <f ca="1">IFERROR(__xludf.DUMMYFUNCTION("""COMPUTED_VALUE"""),103)</f>
        <v>103</v>
      </c>
      <c r="AE34" s="1">
        <f ca="1">IFERROR(__xludf.DUMMYFUNCTION("""COMPUTED_VALUE"""),395)</f>
        <v>395</v>
      </c>
      <c r="AF34" s="1">
        <f ca="1">IFERROR(__xludf.DUMMYFUNCTION("""COMPUTED_VALUE"""),690)</f>
        <v>690</v>
      </c>
    </row>
    <row r="35" spans="1:32" ht="12.5" x14ac:dyDescent="0.25">
      <c r="A35" s="1" t="str">
        <f ca="1">IFERROR(__xludf.DUMMYFUNCTION("""COMPUTED_VALUE"""),"Brown")</f>
        <v>Brown</v>
      </c>
      <c r="B35" s="1">
        <f ca="1">IFERROR(__xludf.DUMMYFUNCTION("""COMPUTED_VALUE"""),29)</f>
        <v>29</v>
      </c>
      <c r="C35" s="1">
        <f ca="1">IFERROR(__xludf.DUMMYFUNCTION("""COMPUTED_VALUE"""),15)</f>
        <v>15</v>
      </c>
      <c r="D35" s="1">
        <f ca="1">IFERROR(__xludf.DUMMYFUNCTION("""COMPUTED_VALUE"""),14)</f>
        <v>14</v>
      </c>
      <c r="E35" s="1">
        <f ca="1">IFERROR(__xludf.DUMMYFUNCTION("""COMPUTED_VALUE"""),0.517)</f>
        <v>0.51700000000000002</v>
      </c>
      <c r="F35" s="1">
        <f ca="1">IFERROR(__xludf.DUMMYFUNCTION("""COMPUTED_VALUE"""),-1.44)</f>
        <v>-1.44</v>
      </c>
      <c r="G35" s="1">
        <f ca="1">IFERROR(__xludf.DUMMYFUNCTION("""COMPUTED_VALUE"""),-4.04)</f>
        <v>-4.04</v>
      </c>
      <c r="H35" s="1">
        <f ca="1">IFERROR(__xludf.DUMMYFUNCTION("""COMPUTED_VALUE"""),7)</f>
        <v>7</v>
      </c>
      <c r="I35" s="1">
        <f ca="1">IFERROR(__xludf.DUMMYFUNCTION("""COMPUTED_VALUE"""),7)</f>
        <v>7</v>
      </c>
      <c r="J35" s="1">
        <f ca="1">IFERROR(__xludf.DUMMYFUNCTION("""COMPUTED_VALUE"""),8)</f>
        <v>8</v>
      </c>
      <c r="K35" s="1">
        <f ca="1">IFERROR(__xludf.DUMMYFUNCTION("""COMPUTED_VALUE"""),6)</f>
        <v>6</v>
      </c>
      <c r="L35" s="1">
        <f ca="1">IFERROR(__xludf.DUMMYFUNCTION("""COMPUTED_VALUE"""),7)</f>
        <v>7</v>
      </c>
      <c r="M35" s="1">
        <f ca="1">IFERROR(__xludf.DUMMYFUNCTION("""COMPUTED_VALUE"""),8)</f>
        <v>8</v>
      </c>
      <c r="N35" s="1">
        <f ca="1">IFERROR(__xludf.DUMMYFUNCTION("""COMPUTED_VALUE"""),2065)</f>
        <v>2065</v>
      </c>
      <c r="O35" s="1">
        <f ca="1">IFERROR(__xludf.DUMMYFUNCTION("""COMPUTED_VALUE"""),1951)</f>
        <v>1951</v>
      </c>
      <c r="P35" s="1">
        <f ca="1">IFERROR(__xludf.DUMMYFUNCTION("""COMPUTED_VALUE"""),1170)</f>
        <v>1170</v>
      </c>
      <c r="Q35" s="1">
        <f ca="1">IFERROR(__xludf.DUMMYFUNCTION("""COMPUTED_VALUE"""),735)</f>
        <v>735</v>
      </c>
      <c r="R35" s="1">
        <f ca="1">IFERROR(__xludf.DUMMYFUNCTION("""COMPUTED_VALUE"""),1705)</f>
        <v>1705</v>
      </c>
      <c r="S35" s="1">
        <f ca="1">IFERROR(__xludf.DUMMYFUNCTION("""COMPUTED_VALUE"""),0.431)</f>
        <v>0.43099999999999999</v>
      </c>
      <c r="T35" s="1">
        <f ca="1">IFERROR(__xludf.DUMMYFUNCTION("""COMPUTED_VALUE"""),196)</f>
        <v>196</v>
      </c>
      <c r="U35" s="1">
        <f ca="1">IFERROR(__xludf.DUMMYFUNCTION("""COMPUTED_VALUE"""),515)</f>
        <v>515</v>
      </c>
      <c r="V35" s="1">
        <f ca="1">IFERROR(__xludf.DUMMYFUNCTION("""COMPUTED_VALUE"""),0.381)</f>
        <v>0.38100000000000001</v>
      </c>
      <c r="W35" s="1">
        <f ca="1">IFERROR(__xludf.DUMMYFUNCTION("""COMPUTED_VALUE"""),399)</f>
        <v>399</v>
      </c>
      <c r="X35" s="1">
        <f ca="1">IFERROR(__xludf.DUMMYFUNCTION("""COMPUTED_VALUE"""),593)</f>
        <v>593</v>
      </c>
      <c r="Y35" s="1">
        <f ca="1">IFERROR(__xludf.DUMMYFUNCTION("""COMPUTED_VALUE"""),0.673)</f>
        <v>0.67300000000000004</v>
      </c>
      <c r="Z35" s="1">
        <f ca="1">IFERROR(__xludf.DUMMYFUNCTION("""COMPUTED_VALUE"""),329)</f>
        <v>329</v>
      </c>
      <c r="AA35" s="1">
        <f ca="1">IFERROR(__xludf.DUMMYFUNCTION("""COMPUTED_VALUE"""),1154)</f>
        <v>1154</v>
      </c>
      <c r="AB35" s="1">
        <f ca="1">IFERROR(__xludf.DUMMYFUNCTION("""COMPUTED_VALUE"""),388)</f>
        <v>388</v>
      </c>
      <c r="AC35" s="1">
        <f ca="1">IFERROR(__xludf.DUMMYFUNCTION("""COMPUTED_VALUE"""),164)</f>
        <v>164</v>
      </c>
      <c r="AD35" s="1">
        <f ca="1">IFERROR(__xludf.DUMMYFUNCTION("""COMPUTED_VALUE"""),138)</f>
        <v>138</v>
      </c>
      <c r="AE35" s="1">
        <f ca="1">IFERROR(__xludf.DUMMYFUNCTION("""COMPUTED_VALUE"""),375)</f>
        <v>375</v>
      </c>
      <c r="AF35" s="1">
        <f ca="1">IFERROR(__xludf.DUMMYFUNCTION("""COMPUTED_VALUE"""),570)</f>
        <v>570</v>
      </c>
    </row>
    <row r="36" spans="1:32" ht="12.5" x14ac:dyDescent="0.25">
      <c r="A36" s="1" t="str">
        <f ca="1">IFERROR(__xludf.DUMMYFUNCTION("""COMPUTED_VALUE"""),"Bryant")</f>
        <v>Bryant</v>
      </c>
      <c r="B36" s="1">
        <f ca="1">IFERROR(__xludf.DUMMYFUNCTION("""COMPUTED_VALUE"""),32)</f>
        <v>32</v>
      </c>
      <c r="C36" s="1">
        <f ca="1">IFERROR(__xludf.DUMMYFUNCTION("""COMPUTED_VALUE"""),18)</f>
        <v>18</v>
      </c>
      <c r="D36" s="1">
        <f ca="1">IFERROR(__xludf.DUMMYFUNCTION("""COMPUTED_VALUE"""),14)</f>
        <v>14</v>
      </c>
      <c r="E36" s="1">
        <f ca="1">IFERROR(__xludf.DUMMYFUNCTION("""COMPUTED_VALUE"""),0.563)</f>
        <v>0.56299999999999994</v>
      </c>
      <c r="F36" s="1">
        <f ca="1">IFERROR(__xludf.DUMMYFUNCTION("""COMPUTED_VALUE"""),-4.25)</f>
        <v>-4.25</v>
      </c>
      <c r="G36" s="1">
        <f ca="1">IFERROR(__xludf.DUMMYFUNCTION("""COMPUTED_VALUE"""),-4.89)</f>
        <v>-4.8899999999999997</v>
      </c>
      <c r="H36" s="1">
        <f ca="1">IFERROR(__xludf.DUMMYFUNCTION("""COMPUTED_VALUE"""),10)</f>
        <v>10</v>
      </c>
      <c r="I36" s="1">
        <f ca="1">IFERROR(__xludf.DUMMYFUNCTION("""COMPUTED_VALUE"""),6)</f>
        <v>6</v>
      </c>
      <c r="J36" s="1">
        <f ca="1">IFERROR(__xludf.DUMMYFUNCTION("""COMPUTED_VALUE"""),11)</f>
        <v>11</v>
      </c>
      <c r="K36" s="1">
        <f ca="1">IFERROR(__xludf.DUMMYFUNCTION("""COMPUTED_VALUE"""),4)</f>
        <v>4</v>
      </c>
      <c r="L36" s="1">
        <f ca="1">IFERROR(__xludf.DUMMYFUNCTION("""COMPUTED_VALUE"""),7)</f>
        <v>7</v>
      </c>
      <c r="M36" s="1">
        <f ca="1">IFERROR(__xludf.DUMMYFUNCTION("""COMPUTED_VALUE"""),9)</f>
        <v>9</v>
      </c>
      <c r="N36" s="1">
        <f ca="1">IFERROR(__xludf.DUMMYFUNCTION("""COMPUTED_VALUE"""),2351)</f>
        <v>2351</v>
      </c>
      <c r="O36" s="1">
        <f ca="1">IFERROR(__xludf.DUMMYFUNCTION("""COMPUTED_VALUE"""),2304)</f>
        <v>2304</v>
      </c>
      <c r="P36" s="1">
        <f ca="1">IFERROR(__xludf.DUMMYFUNCTION("""COMPUTED_VALUE"""),1290)</f>
        <v>1290</v>
      </c>
      <c r="Q36" s="1">
        <f ca="1">IFERROR(__xludf.DUMMYFUNCTION("""COMPUTED_VALUE"""),840)</f>
        <v>840</v>
      </c>
      <c r="R36" s="1">
        <f ca="1">IFERROR(__xludf.DUMMYFUNCTION("""COMPUTED_VALUE"""),1788)</f>
        <v>1788</v>
      </c>
      <c r="S36" s="1">
        <f ca="1">IFERROR(__xludf.DUMMYFUNCTION("""COMPUTED_VALUE"""),0.47)</f>
        <v>0.47</v>
      </c>
      <c r="T36" s="1">
        <f ca="1">IFERROR(__xludf.DUMMYFUNCTION("""COMPUTED_VALUE"""),201)</f>
        <v>201</v>
      </c>
      <c r="U36" s="1">
        <f ca="1">IFERROR(__xludf.DUMMYFUNCTION("""COMPUTED_VALUE"""),602)</f>
        <v>602</v>
      </c>
      <c r="V36" s="1">
        <f ca="1">IFERROR(__xludf.DUMMYFUNCTION("""COMPUTED_VALUE"""),0.334)</f>
        <v>0.33400000000000002</v>
      </c>
      <c r="W36" s="1">
        <f ca="1">IFERROR(__xludf.DUMMYFUNCTION("""COMPUTED_VALUE"""),470)</f>
        <v>470</v>
      </c>
      <c r="X36" s="1">
        <f ca="1">IFERROR(__xludf.DUMMYFUNCTION("""COMPUTED_VALUE"""),669)</f>
        <v>669</v>
      </c>
      <c r="Y36" s="1">
        <f ca="1">IFERROR(__xludf.DUMMYFUNCTION("""COMPUTED_VALUE"""),0.703)</f>
        <v>0.70299999999999996</v>
      </c>
      <c r="Z36" s="1">
        <f ca="1">IFERROR(__xludf.DUMMYFUNCTION("""COMPUTED_VALUE"""),307)</f>
        <v>307</v>
      </c>
      <c r="AA36" s="1">
        <f ca="1">IFERROR(__xludf.DUMMYFUNCTION("""COMPUTED_VALUE"""),1095)</f>
        <v>1095</v>
      </c>
      <c r="AB36" s="1">
        <f ca="1">IFERROR(__xludf.DUMMYFUNCTION("""COMPUTED_VALUE"""),420)</f>
        <v>420</v>
      </c>
      <c r="AC36" s="1">
        <f ca="1">IFERROR(__xludf.DUMMYFUNCTION("""COMPUTED_VALUE"""),207)</f>
        <v>207</v>
      </c>
      <c r="AD36" s="1">
        <f ca="1">IFERROR(__xludf.DUMMYFUNCTION("""COMPUTED_VALUE"""),93)</f>
        <v>93</v>
      </c>
      <c r="AE36" s="1">
        <f ca="1">IFERROR(__xludf.DUMMYFUNCTION("""COMPUTED_VALUE"""),397)</f>
        <v>397</v>
      </c>
      <c r="AF36" s="1">
        <f ca="1">IFERROR(__xludf.DUMMYFUNCTION("""COMPUTED_VALUE"""),568)</f>
        <v>568</v>
      </c>
    </row>
    <row r="37" spans="1:32" ht="12.5" x14ac:dyDescent="0.25">
      <c r="A37" s="1" t="str">
        <f ca="1">IFERROR(__xludf.DUMMYFUNCTION("""COMPUTED_VALUE"""),"Bucknell")</f>
        <v>Bucknell</v>
      </c>
      <c r="B37" s="1">
        <f ca="1">IFERROR(__xludf.DUMMYFUNCTION("""COMPUTED_VALUE"""),30)</f>
        <v>30</v>
      </c>
      <c r="C37" s="1">
        <f ca="1">IFERROR(__xludf.DUMMYFUNCTION("""COMPUTED_VALUE"""),16)</f>
        <v>16</v>
      </c>
      <c r="D37" s="1">
        <f ca="1">IFERROR(__xludf.DUMMYFUNCTION("""COMPUTED_VALUE"""),14)</f>
        <v>14</v>
      </c>
      <c r="E37" s="1">
        <f ca="1">IFERROR(__xludf.DUMMYFUNCTION("""COMPUTED_VALUE"""),0.533)</f>
        <v>0.53300000000000003</v>
      </c>
      <c r="F37" s="1">
        <f ca="1">IFERROR(__xludf.DUMMYFUNCTION("""COMPUTED_VALUE"""),-1.3)</f>
        <v>-1.3</v>
      </c>
      <c r="G37" s="1">
        <f ca="1">IFERROR(__xludf.DUMMYFUNCTION("""COMPUTED_VALUE"""),-3.14)</f>
        <v>-3.14</v>
      </c>
      <c r="H37" s="1">
        <f ca="1">IFERROR(__xludf.DUMMYFUNCTION("""COMPUTED_VALUE"""),11)</f>
        <v>11</v>
      </c>
      <c r="I37" s="1">
        <f ca="1">IFERROR(__xludf.DUMMYFUNCTION("""COMPUTED_VALUE"""),7)</f>
        <v>7</v>
      </c>
      <c r="J37" s="1">
        <f ca="1">IFERROR(__xludf.DUMMYFUNCTION("""COMPUTED_VALUE"""),8)</f>
        <v>8</v>
      </c>
      <c r="K37" s="1">
        <f ca="1">IFERROR(__xludf.DUMMYFUNCTION("""COMPUTED_VALUE"""),6)</f>
        <v>6</v>
      </c>
      <c r="L37" s="1">
        <f ca="1">IFERROR(__xludf.DUMMYFUNCTION("""COMPUTED_VALUE"""),8)</f>
        <v>8</v>
      </c>
      <c r="M37" s="1">
        <f ca="1">IFERROR(__xludf.DUMMYFUNCTION("""COMPUTED_VALUE"""),8)</f>
        <v>8</v>
      </c>
      <c r="N37" s="1">
        <f ca="1">IFERROR(__xludf.DUMMYFUNCTION("""COMPUTED_VALUE"""),1977)</f>
        <v>1977</v>
      </c>
      <c r="O37" s="1">
        <f ca="1">IFERROR(__xludf.DUMMYFUNCTION("""COMPUTED_VALUE"""),1922)</f>
        <v>1922</v>
      </c>
      <c r="P37" s="1">
        <f ca="1">IFERROR(__xludf.DUMMYFUNCTION("""COMPUTED_VALUE"""),1200)</f>
        <v>1200</v>
      </c>
      <c r="Q37" s="1">
        <f ca="1">IFERROR(__xludf.DUMMYFUNCTION("""COMPUTED_VALUE"""),698)</f>
        <v>698</v>
      </c>
      <c r="R37" s="1">
        <f ca="1">IFERROR(__xludf.DUMMYFUNCTION("""COMPUTED_VALUE"""),1627)</f>
        <v>1627</v>
      </c>
      <c r="S37" s="1">
        <f ca="1">IFERROR(__xludf.DUMMYFUNCTION("""COMPUTED_VALUE"""),0.429)</f>
        <v>0.42899999999999999</v>
      </c>
      <c r="T37" s="1">
        <f ca="1">IFERROR(__xludf.DUMMYFUNCTION("""COMPUTED_VALUE"""),196)</f>
        <v>196</v>
      </c>
      <c r="U37" s="1">
        <f ca="1">IFERROR(__xludf.DUMMYFUNCTION("""COMPUTED_VALUE"""),502)</f>
        <v>502</v>
      </c>
      <c r="V37" s="1">
        <f ca="1">IFERROR(__xludf.DUMMYFUNCTION("""COMPUTED_VALUE"""),0.39)</f>
        <v>0.39</v>
      </c>
      <c r="W37" s="1">
        <f ca="1">IFERROR(__xludf.DUMMYFUNCTION("""COMPUTED_VALUE"""),385)</f>
        <v>385</v>
      </c>
      <c r="X37" s="1">
        <f ca="1">IFERROR(__xludf.DUMMYFUNCTION("""COMPUTED_VALUE"""),516)</f>
        <v>516</v>
      </c>
      <c r="Y37" s="1">
        <f ca="1">IFERROR(__xludf.DUMMYFUNCTION("""COMPUTED_VALUE"""),0.746)</f>
        <v>0.746</v>
      </c>
      <c r="Z37" s="1">
        <f ca="1">IFERROR(__xludf.DUMMYFUNCTION("""COMPUTED_VALUE"""),287)</f>
        <v>287</v>
      </c>
      <c r="AA37" s="1">
        <f ca="1">IFERROR(__xludf.DUMMYFUNCTION("""COMPUTED_VALUE"""),1067)</f>
        <v>1067</v>
      </c>
      <c r="AB37" s="1">
        <f ca="1">IFERROR(__xludf.DUMMYFUNCTION("""COMPUTED_VALUE"""),357)</f>
        <v>357</v>
      </c>
      <c r="AC37" s="1">
        <f ca="1">IFERROR(__xludf.DUMMYFUNCTION("""COMPUTED_VALUE"""),138)</f>
        <v>138</v>
      </c>
      <c r="AD37" s="1">
        <f ca="1">IFERROR(__xludf.DUMMYFUNCTION("""COMPUTED_VALUE"""),49)</f>
        <v>49</v>
      </c>
      <c r="AE37" s="1">
        <f ca="1">IFERROR(__xludf.DUMMYFUNCTION("""COMPUTED_VALUE"""),321)</f>
        <v>321</v>
      </c>
      <c r="AF37" s="1">
        <f ca="1">IFERROR(__xludf.DUMMYFUNCTION("""COMPUTED_VALUE"""),500)</f>
        <v>500</v>
      </c>
    </row>
    <row r="38" spans="1:32" ht="12.5" x14ac:dyDescent="0.25">
      <c r="A38" s="1" t="str">
        <f ca="1">IFERROR(__xludf.DUMMYFUNCTION("""COMPUTED_VALUE"""),"Buffalo")</f>
        <v>Buffalo</v>
      </c>
      <c r="B38" s="1">
        <f ca="1">IFERROR(__xludf.DUMMYFUNCTION("""COMPUTED_VALUE"""),29)</f>
        <v>29</v>
      </c>
      <c r="C38" s="1">
        <f ca="1">IFERROR(__xludf.DUMMYFUNCTION("""COMPUTED_VALUE"""),19)</f>
        <v>19</v>
      </c>
      <c r="D38" s="1">
        <f ca="1">IFERROR(__xludf.DUMMYFUNCTION("""COMPUTED_VALUE"""),10)</f>
        <v>10</v>
      </c>
      <c r="E38" s="1">
        <f ca="1">IFERROR(__xludf.DUMMYFUNCTION("""COMPUTED_VALUE"""),0.655)</f>
        <v>0.65500000000000003</v>
      </c>
      <c r="F38" s="1">
        <f ca="1">IFERROR(__xludf.DUMMYFUNCTION("""COMPUTED_VALUE"""),3.58)</f>
        <v>3.58</v>
      </c>
      <c r="G38" s="1">
        <f ca="1">IFERROR(__xludf.DUMMYFUNCTION("""COMPUTED_VALUE"""),-2.13)</f>
        <v>-2.13</v>
      </c>
      <c r="H38" s="1">
        <f ca="1">IFERROR(__xludf.DUMMYFUNCTION("""COMPUTED_VALUE"""),13)</f>
        <v>13</v>
      </c>
      <c r="I38" s="1">
        <f ca="1">IFERROR(__xludf.DUMMYFUNCTION("""COMPUTED_VALUE"""),5)</f>
        <v>5</v>
      </c>
      <c r="J38" s="1">
        <f ca="1">IFERROR(__xludf.DUMMYFUNCTION("""COMPUTED_VALUE"""),13)</f>
        <v>13</v>
      </c>
      <c r="K38" s="1">
        <f ca="1">IFERROR(__xludf.DUMMYFUNCTION("""COMPUTED_VALUE"""),1)</f>
        <v>1</v>
      </c>
      <c r="L38" s="1">
        <f ca="1">IFERROR(__xludf.DUMMYFUNCTION("""COMPUTED_VALUE"""),6)</f>
        <v>6</v>
      </c>
      <c r="M38" s="1">
        <f ca="1">IFERROR(__xludf.DUMMYFUNCTION("""COMPUTED_VALUE"""),6)</f>
        <v>6</v>
      </c>
      <c r="N38" s="1">
        <f ca="1">IFERROR(__xludf.DUMMYFUNCTION("""COMPUTED_VALUE"""),2132)</f>
        <v>2132</v>
      </c>
      <c r="O38" s="1">
        <f ca="1">IFERROR(__xludf.DUMMYFUNCTION("""COMPUTED_VALUE"""),1952)</f>
        <v>1952</v>
      </c>
      <c r="P38" s="1">
        <f ca="1">IFERROR(__xludf.DUMMYFUNCTION("""COMPUTED_VALUE"""),1165)</f>
        <v>1165</v>
      </c>
      <c r="Q38" s="1">
        <f ca="1">IFERROR(__xludf.DUMMYFUNCTION("""COMPUTED_VALUE"""),729)</f>
        <v>729</v>
      </c>
      <c r="R38" s="1">
        <f ca="1">IFERROR(__xludf.DUMMYFUNCTION("""COMPUTED_VALUE"""),1631)</f>
        <v>1631</v>
      </c>
      <c r="S38" s="1">
        <f ca="1">IFERROR(__xludf.DUMMYFUNCTION("""COMPUTED_VALUE"""),0.447)</f>
        <v>0.44700000000000001</v>
      </c>
      <c r="T38" s="1">
        <f ca="1">IFERROR(__xludf.DUMMYFUNCTION("""COMPUTED_VALUE"""),187)</f>
        <v>187</v>
      </c>
      <c r="U38" s="1">
        <f ca="1">IFERROR(__xludf.DUMMYFUNCTION("""COMPUTED_VALUE"""),558)</f>
        <v>558</v>
      </c>
      <c r="V38" s="1">
        <f ca="1">IFERROR(__xludf.DUMMYFUNCTION("""COMPUTED_VALUE"""),0.335)</f>
        <v>0.33500000000000002</v>
      </c>
      <c r="W38" s="1">
        <f ca="1">IFERROR(__xludf.DUMMYFUNCTION("""COMPUTED_VALUE"""),487)</f>
        <v>487</v>
      </c>
      <c r="X38" s="1">
        <f ca="1">IFERROR(__xludf.DUMMYFUNCTION("""COMPUTED_VALUE"""),684)</f>
        <v>684</v>
      </c>
      <c r="Y38" s="1">
        <f ca="1">IFERROR(__xludf.DUMMYFUNCTION("""COMPUTED_VALUE"""),0.712)</f>
        <v>0.71199999999999997</v>
      </c>
      <c r="Z38" s="1">
        <f ca="1">IFERROR(__xludf.DUMMYFUNCTION("""COMPUTED_VALUE"""),355)</f>
        <v>355</v>
      </c>
      <c r="AA38" s="1">
        <f ca="1">IFERROR(__xludf.DUMMYFUNCTION("""COMPUTED_VALUE"""),1074)</f>
        <v>1074</v>
      </c>
      <c r="AB38" s="1">
        <f ca="1">IFERROR(__xludf.DUMMYFUNCTION("""COMPUTED_VALUE"""),436)</f>
        <v>436</v>
      </c>
      <c r="AC38" s="1">
        <f ca="1">IFERROR(__xludf.DUMMYFUNCTION("""COMPUTED_VALUE"""),198)</f>
        <v>198</v>
      </c>
      <c r="AD38" s="1">
        <f ca="1">IFERROR(__xludf.DUMMYFUNCTION("""COMPUTED_VALUE"""),137)</f>
        <v>137</v>
      </c>
      <c r="AE38" s="1">
        <f ca="1">IFERROR(__xludf.DUMMYFUNCTION("""COMPUTED_VALUE"""),365)</f>
        <v>365</v>
      </c>
      <c r="AF38" s="1">
        <f ca="1">IFERROR(__xludf.DUMMYFUNCTION("""COMPUTED_VALUE"""),535)</f>
        <v>535</v>
      </c>
    </row>
    <row r="39" spans="1:32" ht="12.5" x14ac:dyDescent="0.25">
      <c r="A39" s="1" t="str">
        <f ca="1">IFERROR(__xludf.DUMMYFUNCTION("""COMPUTED_VALUE"""),"Butler")</f>
        <v>Butler</v>
      </c>
      <c r="B39" s="1">
        <f ca="1">IFERROR(__xludf.DUMMYFUNCTION("""COMPUTED_VALUE"""),31)</f>
        <v>31</v>
      </c>
      <c r="C39" s="1">
        <f ca="1">IFERROR(__xludf.DUMMYFUNCTION("""COMPUTED_VALUE"""),14)</f>
        <v>14</v>
      </c>
      <c r="D39" s="1">
        <f ca="1">IFERROR(__xludf.DUMMYFUNCTION("""COMPUTED_VALUE"""),17)</f>
        <v>17</v>
      </c>
      <c r="E39" s="1">
        <f ca="1">IFERROR(__xludf.DUMMYFUNCTION("""COMPUTED_VALUE"""),0.452)</f>
        <v>0.45200000000000001</v>
      </c>
      <c r="F39" s="1">
        <f ca="1">IFERROR(__xludf.DUMMYFUNCTION("""COMPUTED_VALUE"""),7.04)</f>
        <v>7.04</v>
      </c>
      <c r="G39" s="1">
        <f ca="1">IFERROR(__xludf.DUMMYFUNCTION("""COMPUTED_VALUE"""),6.98)</f>
        <v>6.98</v>
      </c>
      <c r="H39" s="1">
        <f ca="1">IFERROR(__xludf.DUMMYFUNCTION("""COMPUTED_VALUE"""),4)</f>
        <v>4</v>
      </c>
      <c r="I39" s="1">
        <f ca="1">IFERROR(__xludf.DUMMYFUNCTION("""COMPUTED_VALUE"""),14)</f>
        <v>14</v>
      </c>
      <c r="J39" s="1">
        <f ca="1">IFERROR(__xludf.DUMMYFUNCTION("""COMPUTED_VALUE"""),8)</f>
        <v>8</v>
      </c>
      <c r="K39" s="1">
        <f ca="1">IFERROR(__xludf.DUMMYFUNCTION("""COMPUTED_VALUE"""),7)</f>
        <v>7</v>
      </c>
      <c r="L39" s="1">
        <f ca="1">IFERROR(__xludf.DUMMYFUNCTION("""COMPUTED_VALUE"""),4)</f>
        <v>4</v>
      </c>
      <c r="M39" s="1">
        <f ca="1">IFERROR(__xludf.DUMMYFUNCTION("""COMPUTED_VALUE"""),7)</f>
        <v>7</v>
      </c>
      <c r="N39" s="1">
        <f ca="1">IFERROR(__xludf.DUMMYFUNCTION("""COMPUTED_VALUE"""),2125)</f>
        <v>2125</v>
      </c>
      <c r="O39" s="1">
        <f ca="1">IFERROR(__xludf.DUMMYFUNCTION("""COMPUTED_VALUE"""),2064)</f>
        <v>2064</v>
      </c>
      <c r="P39" s="1">
        <f ca="1">IFERROR(__xludf.DUMMYFUNCTION("""COMPUTED_VALUE"""),1275)</f>
        <v>1275</v>
      </c>
      <c r="Q39" s="1">
        <f ca="1">IFERROR(__xludf.DUMMYFUNCTION("""COMPUTED_VALUE"""),755)</f>
        <v>755</v>
      </c>
      <c r="R39" s="1">
        <f ca="1">IFERROR(__xludf.DUMMYFUNCTION("""COMPUTED_VALUE"""),1758)</f>
        <v>1758</v>
      </c>
      <c r="S39" s="1">
        <f ca="1">IFERROR(__xludf.DUMMYFUNCTION("""COMPUTED_VALUE"""),0.429)</f>
        <v>0.42899999999999999</v>
      </c>
      <c r="T39" s="1">
        <f ca="1">IFERROR(__xludf.DUMMYFUNCTION("""COMPUTED_VALUE"""),183)</f>
        <v>183</v>
      </c>
      <c r="U39" s="1">
        <f ca="1">IFERROR(__xludf.DUMMYFUNCTION("""COMPUTED_VALUE"""),567)</f>
        <v>567</v>
      </c>
      <c r="V39" s="1">
        <f ca="1">IFERROR(__xludf.DUMMYFUNCTION("""COMPUTED_VALUE"""),0.323)</f>
        <v>0.32300000000000001</v>
      </c>
      <c r="W39" s="1">
        <f ca="1">IFERROR(__xludf.DUMMYFUNCTION("""COMPUTED_VALUE"""),432)</f>
        <v>432</v>
      </c>
      <c r="X39" s="1">
        <f ca="1">IFERROR(__xludf.DUMMYFUNCTION("""COMPUTED_VALUE"""),654)</f>
        <v>654</v>
      </c>
      <c r="Y39" s="1">
        <f ca="1">IFERROR(__xludf.DUMMYFUNCTION("""COMPUTED_VALUE"""),0.661)</f>
        <v>0.66100000000000003</v>
      </c>
      <c r="Z39" s="1">
        <f ca="1">IFERROR(__xludf.DUMMYFUNCTION("""COMPUTED_VALUE"""),340)</f>
        <v>340</v>
      </c>
      <c r="AA39" s="1">
        <f ca="1">IFERROR(__xludf.DUMMYFUNCTION("""COMPUTED_VALUE"""),1072)</f>
        <v>1072</v>
      </c>
      <c r="AB39" s="1">
        <f ca="1">IFERROR(__xludf.DUMMYFUNCTION("""COMPUTED_VALUE"""),345)</f>
        <v>345</v>
      </c>
      <c r="AC39" s="1">
        <f ca="1">IFERROR(__xludf.DUMMYFUNCTION("""COMPUTED_VALUE"""),186)</f>
        <v>186</v>
      </c>
      <c r="AD39" s="1">
        <f ca="1">IFERROR(__xludf.DUMMYFUNCTION("""COMPUTED_VALUE"""),88)</f>
        <v>88</v>
      </c>
      <c r="AE39" s="1">
        <f ca="1">IFERROR(__xludf.DUMMYFUNCTION("""COMPUTED_VALUE"""),310)</f>
        <v>310</v>
      </c>
      <c r="AF39" s="1">
        <f ca="1">IFERROR(__xludf.DUMMYFUNCTION("""COMPUTED_VALUE"""),523)</f>
        <v>523</v>
      </c>
    </row>
    <row r="40" spans="1:32" ht="12.5" x14ac:dyDescent="0.25">
      <c r="A40" s="1" t="str">
        <f ca="1">IFERROR(__xludf.DUMMYFUNCTION("""COMPUTED_VALUE"""),"Cal PolyNCAA")</f>
        <v>Cal PolyNCAA</v>
      </c>
      <c r="B40" s="1">
        <f ca="1">IFERROR(__xludf.DUMMYFUNCTION("""COMPUTED_VALUE"""),34)</f>
        <v>34</v>
      </c>
      <c r="C40" s="1">
        <f ca="1">IFERROR(__xludf.DUMMYFUNCTION("""COMPUTED_VALUE"""),14)</f>
        <v>14</v>
      </c>
      <c r="D40" s="1">
        <f ca="1">IFERROR(__xludf.DUMMYFUNCTION("""COMPUTED_VALUE"""),20)</f>
        <v>20</v>
      </c>
      <c r="E40" s="1">
        <f ca="1">IFERROR(__xludf.DUMMYFUNCTION("""COMPUTED_VALUE"""),0.412)</f>
        <v>0.41199999999999998</v>
      </c>
      <c r="F40" s="1">
        <f ca="1">IFERROR(__xludf.DUMMYFUNCTION("""COMPUTED_VALUE"""),-1.34)</f>
        <v>-1.34</v>
      </c>
      <c r="G40" s="1">
        <f ca="1">IFERROR(__xludf.DUMMYFUNCTION("""COMPUTED_VALUE"""),1.69)</f>
        <v>1.69</v>
      </c>
      <c r="H40" s="1">
        <f ca="1">IFERROR(__xludf.DUMMYFUNCTION("""COMPUTED_VALUE"""),6)</f>
        <v>6</v>
      </c>
      <c r="I40" s="1">
        <f ca="1">IFERROR(__xludf.DUMMYFUNCTION("""COMPUTED_VALUE"""),10)</f>
        <v>10</v>
      </c>
      <c r="J40" s="1">
        <f ca="1">IFERROR(__xludf.DUMMYFUNCTION("""COMPUTED_VALUE"""),6)</f>
        <v>6</v>
      </c>
      <c r="K40" s="1">
        <f ca="1">IFERROR(__xludf.DUMMYFUNCTION("""COMPUTED_VALUE"""),6)</f>
        <v>6</v>
      </c>
      <c r="L40" s="1">
        <f ca="1">IFERROR(__xludf.DUMMYFUNCTION("""COMPUTED_VALUE"""),3)</f>
        <v>3</v>
      </c>
      <c r="M40" s="1">
        <f ca="1">IFERROR(__xludf.DUMMYFUNCTION("""COMPUTED_VALUE"""),12)</f>
        <v>12</v>
      </c>
      <c r="N40" s="1">
        <f ca="1">IFERROR(__xludf.DUMMYFUNCTION("""COMPUTED_VALUE"""),2141)</f>
        <v>2141</v>
      </c>
      <c r="O40" s="1">
        <f ca="1">IFERROR(__xludf.DUMMYFUNCTION("""COMPUTED_VALUE"""),2163)</f>
        <v>2163</v>
      </c>
      <c r="P40" s="1">
        <f ca="1">IFERROR(__xludf.DUMMYFUNCTION("""COMPUTED_VALUE"""),1360)</f>
        <v>1360</v>
      </c>
      <c r="Q40" s="1">
        <f ca="1">IFERROR(__xludf.DUMMYFUNCTION("""COMPUTED_VALUE"""),754)</f>
        <v>754</v>
      </c>
      <c r="R40" s="1">
        <f ca="1">IFERROR(__xludf.DUMMYFUNCTION("""COMPUTED_VALUE"""),1850)</f>
        <v>1850</v>
      </c>
      <c r="S40" s="1">
        <f ca="1">IFERROR(__xludf.DUMMYFUNCTION("""COMPUTED_VALUE"""),0.408)</f>
        <v>0.40799999999999997</v>
      </c>
      <c r="T40" s="1">
        <f ca="1">IFERROR(__xludf.DUMMYFUNCTION("""COMPUTED_VALUE"""),218)</f>
        <v>218</v>
      </c>
      <c r="U40" s="1">
        <f ca="1">IFERROR(__xludf.DUMMYFUNCTION("""COMPUTED_VALUE"""),654)</f>
        <v>654</v>
      </c>
      <c r="V40" s="1">
        <f ca="1">IFERROR(__xludf.DUMMYFUNCTION("""COMPUTED_VALUE"""),0.333)</f>
        <v>0.33300000000000002</v>
      </c>
      <c r="W40" s="1">
        <f ca="1">IFERROR(__xludf.DUMMYFUNCTION("""COMPUTED_VALUE"""),415)</f>
        <v>415</v>
      </c>
      <c r="X40" s="1">
        <f ca="1">IFERROR(__xludf.DUMMYFUNCTION("""COMPUTED_VALUE"""),603)</f>
        <v>603</v>
      </c>
      <c r="Y40" s="1">
        <f ca="1">IFERROR(__xludf.DUMMYFUNCTION("""COMPUTED_VALUE"""),0.688)</f>
        <v>0.68799999999999994</v>
      </c>
      <c r="Z40" s="1">
        <f ca="1">IFERROR(__xludf.DUMMYFUNCTION("""COMPUTED_VALUE"""),377)</f>
        <v>377</v>
      </c>
      <c r="AA40" s="1">
        <f ca="1">IFERROR(__xludf.DUMMYFUNCTION("""COMPUTED_VALUE"""),1096)</f>
        <v>1096</v>
      </c>
      <c r="AB40" s="1">
        <f ca="1">IFERROR(__xludf.DUMMYFUNCTION("""COMPUTED_VALUE"""),394)</f>
        <v>394</v>
      </c>
      <c r="AC40" s="1">
        <f ca="1">IFERROR(__xludf.DUMMYFUNCTION("""COMPUTED_VALUE"""),198)</f>
        <v>198</v>
      </c>
      <c r="AD40" s="1">
        <f ca="1">IFERROR(__xludf.DUMMYFUNCTION("""COMPUTED_VALUE"""),93)</f>
        <v>93</v>
      </c>
      <c r="AE40" s="1">
        <f ca="1">IFERROR(__xludf.DUMMYFUNCTION("""COMPUTED_VALUE"""),303)</f>
        <v>303</v>
      </c>
      <c r="AF40" s="1">
        <f ca="1">IFERROR(__xludf.DUMMYFUNCTION("""COMPUTED_VALUE"""),621)</f>
        <v>621</v>
      </c>
    </row>
    <row r="41" spans="1:32" ht="12.5" x14ac:dyDescent="0.25">
      <c r="A41" s="1" t="str">
        <f ca="1">IFERROR(__xludf.DUMMYFUNCTION("""COMPUTED_VALUE"""),"Cal State Bakersfield")</f>
        <v>Cal State Bakersfield</v>
      </c>
      <c r="B41" s="1">
        <f ca="1">IFERROR(__xludf.DUMMYFUNCTION("""COMPUTED_VALUE"""),32)</f>
        <v>32</v>
      </c>
      <c r="C41" s="1">
        <f ca="1">IFERROR(__xludf.DUMMYFUNCTION("""COMPUTED_VALUE"""),13)</f>
        <v>13</v>
      </c>
      <c r="D41" s="1">
        <f ca="1">IFERROR(__xludf.DUMMYFUNCTION("""COMPUTED_VALUE"""),19)</f>
        <v>19</v>
      </c>
      <c r="E41" s="1">
        <f ca="1">IFERROR(__xludf.DUMMYFUNCTION("""COMPUTED_VALUE"""),0.406)</f>
        <v>0.40600000000000003</v>
      </c>
      <c r="F41" s="1">
        <f ca="1">IFERROR(__xludf.DUMMYFUNCTION("""COMPUTED_VALUE"""),-4.86)</f>
        <v>-4.8600000000000003</v>
      </c>
      <c r="G41" s="1">
        <f ca="1">IFERROR(__xludf.DUMMYFUNCTION("""COMPUTED_VALUE"""),-4.31)</f>
        <v>-4.3099999999999996</v>
      </c>
      <c r="H41" s="1">
        <f ca="1">IFERROR(__xludf.DUMMYFUNCTION("""COMPUTED_VALUE"""),5)</f>
        <v>5</v>
      </c>
      <c r="I41" s="1">
        <f ca="1">IFERROR(__xludf.DUMMYFUNCTION("""COMPUTED_VALUE"""),11)</f>
        <v>11</v>
      </c>
      <c r="J41" s="1">
        <f ca="1">IFERROR(__xludf.DUMMYFUNCTION("""COMPUTED_VALUE"""),6)</f>
        <v>6</v>
      </c>
      <c r="K41" s="1">
        <f ca="1">IFERROR(__xludf.DUMMYFUNCTION("""COMPUTED_VALUE"""),7)</f>
        <v>7</v>
      </c>
      <c r="L41" s="1">
        <f ca="1">IFERROR(__xludf.DUMMYFUNCTION("""COMPUTED_VALUE"""),5)</f>
        <v>5</v>
      </c>
      <c r="M41" s="1">
        <f ca="1">IFERROR(__xludf.DUMMYFUNCTION("""COMPUTED_VALUE"""),10)</f>
        <v>10</v>
      </c>
      <c r="N41" s="1">
        <f ca="1">IFERROR(__xludf.DUMMYFUNCTION("""COMPUTED_VALUE"""),2215)</f>
        <v>2215</v>
      </c>
      <c r="O41" s="1">
        <f ca="1">IFERROR(__xludf.DUMMYFUNCTION("""COMPUTED_VALUE"""),2189)</f>
        <v>2189</v>
      </c>
      <c r="P41" s="1">
        <f ca="1">IFERROR(__xludf.DUMMYFUNCTION("""COMPUTED_VALUE"""),1290)</f>
        <v>1290</v>
      </c>
      <c r="Q41" s="1">
        <f ca="1">IFERROR(__xludf.DUMMYFUNCTION("""COMPUTED_VALUE"""),767)</f>
        <v>767</v>
      </c>
      <c r="R41" s="1">
        <f ca="1">IFERROR(__xludf.DUMMYFUNCTION("""COMPUTED_VALUE"""),1752)</f>
        <v>1752</v>
      </c>
      <c r="S41" s="1">
        <f ca="1">IFERROR(__xludf.DUMMYFUNCTION("""COMPUTED_VALUE"""),0.438)</f>
        <v>0.438</v>
      </c>
      <c r="T41" s="1">
        <f ca="1">IFERROR(__xludf.DUMMYFUNCTION("""COMPUTED_VALUE"""),221)</f>
        <v>221</v>
      </c>
      <c r="U41" s="1">
        <f ca="1">IFERROR(__xludf.DUMMYFUNCTION("""COMPUTED_VALUE"""),568)</f>
        <v>568</v>
      </c>
      <c r="V41" s="1">
        <f ca="1">IFERROR(__xludf.DUMMYFUNCTION("""COMPUTED_VALUE"""),0.389)</f>
        <v>0.38900000000000001</v>
      </c>
      <c r="W41" s="1">
        <f ca="1">IFERROR(__xludf.DUMMYFUNCTION("""COMPUTED_VALUE"""),460)</f>
        <v>460</v>
      </c>
      <c r="X41" s="1">
        <f ca="1">IFERROR(__xludf.DUMMYFUNCTION("""COMPUTED_VALUE"""),669)</f>
        <v>669</v>
      </c>
      <c r="Y41" s="1">
        <f ca="1">IFERROR(__xludf.DUMMYFUNCTION("""COMPUTED_VALUE"""),0.688)</f>
        <v>0.68799999999999994</v>
      </c>
      <c r="Z41" s="1">
        <f ca="1">IFERROR(__xludf.DUMMYFUNCTION("""COMPUTED_VALUE"""),379)</f>
        <v>379</v>
      </c>
      <c r="AA41" s="1">
        <f ca="1">IFERROR(__xludf.DUMMYFUNCTION("""COMPUTED_VALUE"""),1116)</f>
        <v>1116</v>
      </c>
      <c r="AB41" s="1">
        <f ca="1">IFERROR(__xludf.DUMMYFUNCTION("""COMPUTED_VALUE"""),384)</f>
        <v>384</v>
      </c>
      <c r="AC41" s="1">
        <f ca="1">IFERROR(__xludf.DUMMYFUNCTION("""COMPUTED_VALUE"""),208)</f>
        <v>208</v>
      </c>
      <c r="AD41" s="1">
        <f ca="1">IFERROR(__xludf.DUMMYFUNCTION("""COMPUTED_VALUE"""),111)</f>
        <v>111</v>
      </c>
      <c r="AE41" s="1">
        <f ca="1">IFERROR(__xludf.DUMMYFUNCTION("""COMPUTED_VALUE"""),443)</f>
        <v>443</v>
      </c>
      <c r="AF41" s="1">
        <f ca="1">IFERROR(__xludf.DUMMYFUNCTION("""COMPUTED_VALUE"""),708)</f>
        <v>708</v>
      </c>
    </row>
    <row r="42" spans="1:32" ht="12.5" x14ac:dyDescent="0.25">
      <c r="A42" s="1" t="str">
        <f ca="1">IFERROR(__xludf.DUMMYFUNCTION("""COMPUTED_VALUE"""),"Cal State Fullerton")</f>
        <v>Cal State Fullerton</v>
      </c>
      <c r="B42" s="1">
        <f ca="1">IFERROR(__xludf.DUMMYFUNCTION("""COMPUTED_VALUE"""),31)</f>
        <v>31</v>
      </c>
      <c r="C42" s="1">
        <f ca="1">IFERROR(__xludf.DUMMYFUNCTION("""COMPUTED_VALUE"""),11)</f>
        <v>11</v>
      </c>
      <c r="D42" s="1">
        <f ca="1">IFERROR(__xludf.DUMMYFUNCTION("""COMPUTED_VALUE"""),20)</f>
        <v>20</v>
      </c>
      <c r="E42" s="1">
        <f ca="1">IFERROR(__xludf.DUMMYFUNCTION("""COMPUTED_VALUE"""),0.355)</f>
        <v>0.35499999999999998</v>
      </c>
      <c r="F42" s="1">
        <f ca="1">IFERROR(__xludf.DUMMYFUNCTION("""COMPUTED_VALUE"""),-5.08)</f>
        <v>-5.08</v>
      </c>
      <c r="G42" s="1">
        <f ca="1">IFERROR(__xludf.DUMMYFUNCTION("""COMPUTED_VALUE"""),-1.12)</f>
        <v>-1.1200000000000001</v>
      </c>
      <c r="H42" s="1">
        <f ca="1">IFERROR(__xludf.DUMMYFUNCTION("""COMPUTED_VALUE"""),6)</f>
        <v>6</v>
      </c>
      <c r="I42" s="1">
        <f ca="1">IFERROR(__xludf.DUMMYFUNCTION("""COMPUTED_VALUE"""),10)</f>
        <v>10</v>
      </c>
      <c r="J42" s="1">
        <f ca="1">IFERROR(__xludf.DUMMYFUNCTION("""COMPUTED_VALUE"""),8)</f>
        <v>8</v>
      </c>
      <c r="K42" s="1">
        <f ca="1">IFERROR(__xludf.DUMMYFUNCTION("""COMPUTED_VALUE"""),5)</f>
        <v>5</v>
      </c>
      <c r="L42" s="1">
        <f ca="1">IFERROR(__xludf.DUMMYFUNCTION("""COMPUTED_VALUE"""),3)</f>
        <v>3</v>
      </c>
      <c r="M42" s="1">
        <f ca="1">IFERROR(__xludf.DUMMYFUNCTION("""COMPUTED_VALUE"""),12)</f>
        <v>12</v>
      </c>
      <c r="N42" s="1">
        <f ca="1">IFERROR(__xludf.DUMMYFUNCTION("""COMPUTED_VALUE"""),2092)</f>
        <v>2092</v>
      </c>
      <c r="O42" s="1">
        <f ca="1">IFERROR(__xludf.DUMMYFUNCTION("""COMPUTED_VALUE"""),2215)</f>
        <v>2215</v>
      </c>
      <c r="P42" s="1">
        <f ca="1">IFERROR(__xludf.DUMMYFUNCTION("""COMPUTED_VALUE"""),1245)</f>
        <v>1245</v>
      </c>
      <c r="Q42" s="1">
        <f ca="1">IFERROR(__xludf.DUMMYFUNCTION("""COMPUTED_VALUE"""),734)</f>
        <v>734</v>
      </c>
      <c r="R42" s="1">
        <f ca="1">IFERROR(__xludf.DUMMYFUNCTION("""COMPUTED_VALUE"""),1726)</f>
        <v>1726</v>
      </c>
      <c r="S42" s="1">
        <f ca="1">IFERROR(__xludf.DUMMYFUNCTION("""COMPUTED_VALUE"""),0.425)</f>
        <v>0.42499999999999999</v>
      </c>
      <c r="T42" s="1">
        <f ca="1">IFERROR(__xludf.DUMMYFUNCTION("""COMPUTED_VALUE"""),191)</f>
        <v>191</v>
      </c>
      <c r="U42" s="1">
        <f ca="1">IFERROR(__xludf.DUMMYFUNCTION("""COMPUTED_VALUE"""),577)</f>
        <v>577</v>
      </c>
      <c r="V42" s="1">
        <f ca="1">IFERROR(__xludf.DUMMYFUNCTION("""COMPUTED_VALUE"""),0.331)</f>
        <v>0.33100000000000002</v>
      </c>
      <c r="W42" s="1">
        <f ca="1">IFERROR(__xludf.DUMMYFUNCTION("""COMPUTED_VALUE"""),433)</f>
        <v>433</v>
      </c>
      <c r="X42" s="1">
        <f ca="1">IFERROR(__xludf.DUMMYFUNCTION("""COMPUTED_VALUE"""),658)</f>
        <v>658</v>
      </c>
      <c r="Y42" s="1">
        <f ca="1">IFERROR(__xludf.DUMMYFUNCTION("""COMPUTED_VALUE"""),0.658)</f>
        <v>0.65800000000000003</v>
      </c>
      <c r="Z42" s="1">
        <f ca="1">IFERROR(__xludf.DUMMYFUNCTION("""COMPUTED_VALUE"""),325)</f>
        <v>325</v>
      </c>
      <c r="AA42" s="1">
        <f ca="1">IFERROR(__xludf.DUMMYFUNCTION("""COMPUTED_VALUE"""),1046)</f>
        <v>1046</v>
      </c>
      <c r="AB42" s="1">
        <f ca="1">IFERROR(__xludf.DUMMYFUNCTION("""COMPUTED_VALUE"""),343)</f>
        <v>343</v>
      </c>
      <c r="AC42" s="1">
        <f ca="1">IFERROR(__xludf.DUMMYFUNCTION("""COMPUTED_VALUE"""),145)</f>
        <v>145</v>
      </c>
      <c r="AD42" s="1">
        <f ca="1">IFERROR(__xludf.DUMMYFUNCTION("""COMPUTED_VALUE"""),58)</f>
        <v>58</v>
      </c>
      <c r="AE42" s="1">
        <f ca="1">IFERROR(__xludf.DUMMYFUNCTION("""COMPUTED_VALUE"""),370)</f>
        <v>370</v>
      </c>
      <c r="AF42" s="1">
        <f ca="1">IFERROR(__xludf.DUMMYFUNCTION("""COMPUTED_VALUE"""),604)</f>
        <v>604</v>
      </c>
    </row>
    <row r="43" spans="1:32" ht="12.5" x14ac:dyDescent="0.25">
      <c r="A43" s="1" t="str">
        <f ca="1">IFERROR(__xludf.DUMMYFUNCTION("""COMPUTED_VALUE"""),"Cal State Northridge")</f>
        <v>Cal State Northridge</v>
      </c>
      <c r="B43" s="1">
        <f ca="1">IFERROR(__xludf.DUMMYFUNCTION("""COMPUTED_VALUE"""),35)</f>
        <v>35</v>
      </c>
      <c r="C43" s="1">
        <f ca="1">IFERROR(__xludf.DUMMYFUNCTION("""COMPUTED_VALUE"""),17)</f>
        <v>17</v>
      </c>
      <c r="D43" s="1">
        <f ca="1">IFERROR(__xludf.DUMMYFUNCTION("""COMPUTED_VALUE"""),18)</f>
        <v>18</v>
      </c>
      <c r="E43" s="1">
        <f ca="1">IFERROR(__xludf.DUMMYFUNCTION("""COMPUTED_VALUE"""),0.486)</f>
        <v>0.48599999999999999</v>
      </c>
      <c r="F43" s="1">
        <f ca="1">IFERROR(__xludf.DUMMYFUNCTION("""COMPUTED_VALUE"""),-4.89)</f>
        <v>-4.8899999999999997</v>
      </c>
      <c r="G43" s="1">
        <f ca="1">IFERROR(__xludf.DUMMYFUNCTION("""COMPUTED_VALUE"""),-3.29)</f>
        <v>-3.29</v>
      </c>
      <c r="H43" s="1">
        <f ca="1">IFERROR(__xludf.DUMMYFUNCTION("""COMPUTED_VALUE"""),7)</f>
        <v>7</v>
      </c>
      <c r="I43" s="1">
        <f ca="1">IFERROR(__xludf.DUMMYFUNCTION("""COMPUTED_VALUE"""),9)</f>
        <v>9</v>
      </c>
      <c r="J43" s="1">
        <f ca="1">IFERROR(__xludf.DUMMYFUNCTION("""COMPUTED_VALUE"""),11)</f>
        <v>11</v>
      </c>
      <c r="K43" s="1">
        <f ca="1">IFERROR(__xludf.DUMMYFUNCTION("""COMPUTED_VALUE"""),3)</f>
        <v>3</v>
      </c>
      <c r="L43" s="1">
        <f ca="1">IFERROR(__xludf.DUMMYFUNCTION("""COMPUTED_VALUE"""),2)</f>
        <v>2</v>
      </c>
      <c r="M43" s="1">
        <f ca="1">IFERROR(__xludf.DUMMYFUNCTION("""COMPUTED_VALUE"""),14)</f>
        <v>14</v>
      </c>
      <c r="N43" s="1">
        <f ca="1">IFERROR(__xludf.DUMMYFUNCTION("""COMPUTED_VALUE"""),2689)</f>
        <v>2689</v>
      </c>
      <c r="O43" s="1">
        <f ca="1">IFERROR(__xludf.DUMMYFUNCTION("""COMPUTED_VALUE"""),2712)</f>
        <v>2712</v>
      </c>
      <c r="P43" s="1">
        <f ca="1">IFERROR(__xludf.DUMMYFUNCTION("""COMPUTED_VALUE"""),1441)</f>
        <v>1441</v>
      </c>
      <c r="Q43" s="1">
        <f ca="1">IFERROR(__xludf.DUMMYFUNCTION("""COMPUTED_VALUE"""),888)</f>
        <v>888</v>
      </c>
      <c r="R43" s="1">
        <f ca="1">IFERROR(__xludf.DUMMYFUNCTION("""COMPUTED_VALUE"""),1955)</f>
        <v>1955</v>
      </c>
      <c r="S43" s="1">
        <f ca="1">IFERROR(__xludf.DUMMYFUNCTION("""COMPUTED_VALUE"""),0.454)</f>
        <v>0.45400000000000001</v>
      </c>
      <c r="T43" s="1">
        <f ca="1">IFERROR(__xludf.DUMMYFUNCTION("""COMPUTED_VALUE"""),148)</f>
        <v>148</v>
      </c>
      <c r="U43" s="1">
        <f ca="1">IFERROR(__xludf.DUMMYFUNCTION("""COMPUTED_VALUE"""),403)</f>
        <v>403</v>
      </c>
      <c r="V43" s="1">
        <f ca="1">IFERROR(__xludf.DUMMYFUNCTION("""COMPUTED_VALUE"""),0.367)</f>
        <v>0.36699999999999999</v>
      </c>
      <c r="W43" s="1">
        <f ca="1">IFERROR(__xludf.DUMMYFUNCTION("""COMPUTED_VALUE"""),765)</f>
        <v>765</v>
      </c>
      <c r="X43" s="1">
        <f ca="1">IFERROR(__xludf.DUMMYFUNCTION("""COMPUTED_VALUE"""),967)</f>
        <v>967</v>
      </c>
      <c r="Y43" s="1">
        <f ca="1">IFERROR(__xludf.DUMMYFUNCTION("""COMPUTED_VALUE"""),0.791)</f>
        <v>0.79100000000000004</v>
      </c>
      <c r="Z43" s="1">
        <f ca="1">IFERROR(__xludf.DUMMYFUNCTION("""COMPUTED_VALUE"""),388)</f>
        <v>388</v>
      </c>
      <c r="AA43" s="1">
        <f ca="1">IFERROR(__xludf.DUMMYFUNCTION("""COMPUTED_VALUE"""),1246)</f>
        <v>1246</v>
      </c>
      <c r="AB43" s="1">
        <f ca="1">IFERROR(__xludf.DUMMYFUNCTION("""COMPUTED_VALUE"""),471)</f>
        <v>471</v>
      </c>
      <c r="AC43" s="1">
        <f ca="1">IFERROR(__xludf.DUMMYFUNCTION("""COMPUTED_VALUE"""),242)</f>
        <v>242</v>
      </c>
      <c r="AD43" s="1">
        <f ca="1">IFERROR(__xludf.DUMMYFUNCTION("""COMPUTED_VALUE"""),96)</f>
        <v>96</v>
      </c>
      <c r="AE43" s="1">
        <f ca="1">IFERROR(__xludf.DUMMYFUNCTION("""COMPUTED_VALUE"""),447)</f>
        <v>447</v>
      </c>
      <c r="AF43" s="1">
        <f ca="1">IFERROR(__xludf.DUMMYFUNCTION("""COMPUTED_VALUE"""),718)</f>
        <v>718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IFERROR(__xludf.DUMMYFUNCTION("""COMPUTED_VALUE"""),"UC-Davis")</f>
        <v>UC-Davis</v>
      </c>
      <c r="B46" s="1">
        <f ca="1">IFERROR(__xludf.DUMMYFUNCTION("""COMPUTED_VALUE"""),31)</f>
        <v>31</v>
      </c>
      <c r="C46" s="1">
        <f ca="1">IFERROR(__xludf.DUMMYFUNCTION("""COMPUTED_VALUE"""),9)</f>
        <v>9</v>
      </c>
      <c r="D46" s="1">
        <f ca="1">IFERROR(__xludf.DUMMYFUNCTION("""COMPUTED_VALUE"""),22)</f>
        <v>22</v>
      </c>
      <c r="E46" s="1">
        <f ca="1">IFERROR(__xludf.DUMMYFUNCTION("""COMPUTED_VALUE"""),0.29)</f>
        <v>0.28999999999999998</v>
      </c>
      <c r="F46" s="1">
        <f ca="1">IFERROR(__xludf.DUMMYFUNCTION("""COMPUTED_VALUE"""),-11.55)</f>
        <v>-11.55</v>
      </c>
      <c r="G46" s="1">
        <f ca="1">IFERROR(__xludf.DUMMYFUNCTION("""COMPUTED_VALUE"""),-1.76)</f>
        <v>-1.76</v>
      </c>
      <c r="H46" s="1">
        <f ca="1">IFERROR(__xludf.DUMMYFUNCTION("""COMPUTED_VALUE"""),4)</f>
        <v>4</v>
      </c>
      <c r="I46" s="1">
        <f ca="1">IFERROR(__xludf.DUMMYFUNCTION("""COMPUTED_VALUE"""),12)</f>
        <v>12</v>
      </c>
      <c r="J46" s="1">
        <f ca="1">IFERROR(__xludf.DUMMYFUNCTION("""COMPUTED_VALUE"""),6)</f>
        <v>6</v>
      </c>
      <c r="K46" s="1">
        <f ca="1">IFERROR(__xludf.DUMMYFUNCTION("""COMPUTED_VALUE"""),9)</f>
        <v>9</v>
      </c>
      <c r="L46" s="1">
        <f ca="1">IFERROR(__xludf.DUMMYFUNCTION("""COMPUTED_VALUE"""),1)</f>
        <v>1</v>
      </c>
      <c r="M46" s="1">
        <f ca="1">IFERROR(__xludf.DUMMYFUNCTION("""COMPUTED_VALUE"""),13)</f>
        <v>13</v>
      </c>
      <c r="N46" s="1">
        <f ca="1">IFERROR(__xludf.DUMMYFUNCTION("""COMPUTED_VALUE"""),2174)</f>
        <v>2174</v>
      </c>
      <c r="O46" s="1">
        <f ca="1">IFERROR(__xludf.DUMMYFUNCTION("""COMPUTED_VALUE"""),2408)</f>
        <v>2408</v>
      </c>
      <c r="P46" s="1">
        <f ca="1">IFERROR(__xludf.DUMMYFUNCTION("""COMPUTED_VALUE"""),1270)</f>
        <v>1270</v>
      </c>
      <c r="Q46" s="1">
        <f ca="1">IFERROR(__xludf.DUMMYFUNCTION("""COMPUTED_VALUE"""),745)</f>
        <v>745</v>
      </c>
      <c r="R46" s="1">
        <f ca="1">IFERROR(__xludf.DUMMYFUNCTION("""COMPUTED_VALUE"""),1701)</f>
        <v>1701</v>
      </c>
      <c r="S46" s="1">
        <f ca="1">IFERROR(__xludf.DUMMYFUNCTION("""COMPUTED_VALUE"""),0.438)</f>
        <v>0.438</v>
      </c>
      <c r="T46" s="1">
        <f ca="1">IFERROR(__xludf.DUMMYFUNCTION("""COMPUTED_VALUE"""),245)</f>
        <v>245</v>
      </c>
      <c r="U46" s="1">
        <f ca="1">IFERROR(__xludf.DUMMYFUNCTION("""COMPUTED_VALUE"""),687)</f>
        <v>687</v>
      </c>
      <c r="V46" s="1">
        <f ca="1">IFERROR(__xludf.DUMMYFUNCTION("""COMPUTED_VALUE"""),0.357)</f>
        <v>0.35699999999999998</v>
      </c>
      <c r="W46" s="1">
        <f ca="1">IFERROR(__xludf.DUMMYFUNCTION("""COMPUTED_VALUE"""),439)</f>
        <v>439</v>
      </c>
      <c r="X46" s="1">
        <f ca="1">IFERROR(__xludf.DUMMYFUNCTION("""COMPUTED_VALUE"""),631)</f>
        <v>631</v>
      </c>
      <c r="Y46" s="1">
        <f ca="1">IFERROR(__xludf.DUMMYFUNCTION("""COMPUTED_VALUE"""),0.696)</f>
        <v>0.69599999999999995</v>
      </c>
      <c r="Z46" s="1">
        <f ca="1">IFERROR(__xludf.DUMMYFUNCTION("""COMPUTED_VALUE"""),255)</f>
        <v>255</v>
      </c>
      <c r="AA46" s="1">
        <f ca="1">IFERROR(__xludf.DUMMYFUNCTION("""COMPUTED_VALUE"""),887)</f>
        <v>887</v>
      </c>
      <c r="AB46" s="1">
        <f ca="1">IFERROR(__xludf.DUMMYFUNCTION("""COMPUTED_VALUE"""),372)</f>
        <v>372</v>
      </c>
      <c r="AC46" s="1">
        <f ca="1">IFERROR(__xludf.DUMMYFUNCTION("""COMPUTED_VALUE"""),159)</f>
        <v>159</v>
      </c>
      <c r="AD46" s="1">
        <f ca="1">IFERROR(__xludf.DUMMYFUNCTION("""COMPUTED_VALUE"""),70)</f>
        <v>70</v>
      </c>
      <c r="AE46" s="1">
        <f ca="1">IFERROR(__xludf.DUMMYFUNCTION("""COMPUTED_VALUE"""),373)</f>
        <v>373</v>
      </c>
      <c r="AF46" s="1">
        <f ca="1">IFERROR(__xludf.DUMMYFUNCTION("""COMPUTED_VALUE"""),606)</f>
        <v>606</v>
      </c>
    </row>
    <row r="47" spans="1:32" ht="12.5" x14ac:dyDescent="0.25">
      <c r="A47" s="1" t="str">
        <f ca="1">IFERROR(__xludf.DUMMYFUNCTION("""COMPUTED_VALUE"""),"UC-Irvine")</f>
        <v>UC-Irvine</v>
      </c>
      <c r="B47" s="1">
        <f ca="1">IFERROR(__xludf.DUMMYFUNCTION("""COMPUTED_VALUE"""),35)</f>
        <v>35</v>
      </c>
      <c r="C47" s="1">
        <f ca="1">IFERROR(__xludf.DUMMYFUNCTION("""COMPUTED_VALUE"""),23)</f>
        <v>23</v>
      </c>
      <c r="D47" s="1">
        <f ca="1">IFERROR(__xludf.DUMMYFUNCTION("""COMPUTED_VALUE"""),12)</f>
        <v>12</v>
      </c>
      <c r="E47" s="1">
        <f ca="1">IFERROR(__xludf.DUMMYFUNCTION("""COMPUTED_VALUE"""),0.657)</f>
        <v>0.65700000000000003</v>
      </c>
      <c r="F47" s="1">
        <f ca="1">IFERROR(__xludf.DUMMYFUNCTION("""COMPUTED_VALUE"""),4.35)</f>
        <v>4.3499999999999996</v>
      </c>
      <c r="G47" s="1">
        <f ca="1">IFERROR(__xludf.DUMMYFUNCTION("""COMPUTED_VALUE"""),-0.65)</f>
        <v>-0.65</v>
      </c>
      <c r="H47" s="1">
        <f ca="1">IFERROR(__xludf.DUMMYFUNCTION("""COMPUTED_VALUE"""),13)</f>
        <v>13</v>
      </c>
      <c r="I47" s="1">
        <f ca="1">IFERROR(__xludf.DUMMYFUNCTION("""COMPUTED_VALUE"""),3)</f>
        <v>3</v>
      </c>
      <c r="J47" s="1">
        <f ca="1">IFERROR(__xludf.DUMMYFUNCTION("""COMPUTED_VALUE"""),12)</f>
        <v>12</v>
      </c>
      <c r="K47" s="1">
        <f ca="1">IFERROR(__xludf.DUMMYFUNCTION("""COMPUTED_VALUE"""),4)</f>
        <v>4</v>
      </c>
      <c r="L47" s="1">
        <f ca="1">IFERROR(__xludf.DUMMYFUNCTION("""COMPUTED_VALUE"""),10)</f>
        <v>10</v>
      </c>
      <c r="M47" s="1">
        <f ca="1">IFERROR(__xludf.DUMMYFUNCTION("""COMPUTED_VALUE"""),7)</f>
        <v>7</v>
      </c>
      <c r="N47" s="1">
        <f ca="1">IFERROR(__xludf.DUMMYFUNCTION("""COMPUTED_VALUE"""),2468)</f>
        <v>2468</v>
      </c>
      <c r="O47" s="1">
        <f ca="1">IFERROR(__xludf.DUMMYFUNCTION("""COMPUTED_VALUE"""),2231)</f>
        <v>2231</v>
      </c>
      <c r="P47" s="1">
        <f ca="1">IFERROR(__xludf.DUMMYFUNCTION("""COMPUTED_VALUE"""),1415)</f>
        <v>1415</v>
      </c>
      <c r="Q47" s="1">
        <f ca="1">IFERROR(__xludf.DUMMYFUNCTION("""COMPUTED_VALUE"""),909)</f>
        <v>909</v>
      </c>
      <c r="R47" s="1">
        <f ca="1">IFERROR(__xludf.DUMMYFUNCTION("""COMPUTED_VALUE"""),1932)</f>
        <v>1932</v>
      </c>
      <c r="S47" s="1">
        <f ca="1">IFERROR(__xludf.DUMMYFUNCTION("""COMPUTED_VALUE"""),0.47)</f>
        <v>0.47</v>
      </c>
      <c r="T47" s="1">
        <f ca="1">IFERROR(__xludf.DUMMYFUNCTION("""COMPUTED_VALUE"""),197)</f>
        <v>197</v>
      </c>
      <c r="U47" s="1">
        <f ca="1">IFERROR(__xludf.DUMMYFUNCTION("""COMPUTED_VALUE"""),557)</f>
        <v>557</v>
      </c>
      <c r="V47" s="1">
        <f ca="1">IFERROR(__xludf.DUMMYFUNCTION("""COMPUTED_VALUE"""),0.354)</f>
        <v>0.35399999999999998</v>
      </c>
      <c r="W47" s="1">
        <f ca="1">IFERROR(__xludf.DUMMYFUNCTION("""COMPUTED_VALUE"""),453)</f>
        <v>453</v>
      </c>
      <c r="X47" s="1">
        <f ca="1">IFERROR(__xludf.DUMMYFUNCTION("""COMPUTED_VALUE"""),707)</f>
        <v>707</v>
      </c>
      <c r="Y47" s="1">
        <f ca="1">IFERROR(__xludf.DUMMYFUNCTION("""COMPUTED_VALUE"""),0.641)</f>
        <v>0.64100000000000001</v>
      </c>
      <c r="Z47" s="1">
        <f ca="1">IFERROR(__xludf.DUMMYFUNCTION("""COMPUTED_VALUE"""),380)</f>
        <v>380</v>
      </c>
      <c r="AA47" s="1">
        <f ca="1">IFERROR(__xludf.DUMMYFUNCTION("""COMPUTED_VALUE"""),1350)</f>
        <v>1350</v>
      </c>
      <c r="AB47" s="1">
        <f ca="1">IFERROR(__xludf.DUMMYFUNCTION("""COMPUTED_VALUE"""),546)</f>
        <v>546</v>
      </c>
      <c r="AC47" s="1">
        <f ca="1">IFERROR(__xludf.DUMMYFUNCTION("""COMPUTED_VALUE"""),195)</f>
        <v>195</v>
      </c>
      <c r="AD47" s="1">
        <f ca="1">IFERROR(__xludf.DUMMYFUNCTION("""COMPUTED_VALUE"""),224)</f>
        <v>224</v>
      </c>
      <c r="AE47" s="1">
        <f ca="1">IFERROR(__xludf.DUMMYFUNCTION("""COMPUTED_VALUE"""),444)</f>
        <v>444</v>
      </c>
      <c r="AF47" s="1">
        <f ca="1">IFERROR(__xludf.DUMMYFUNCTION("""COMPUTED_VALUE"""),644)</f>
        <v>644</v>
      </c>
    </row>
    <row r="48" spans="1:32" ht="12.5" x14ac:dyDescent="0.25">
      <c r="A48" s="1" t="str">
        <f ca="1">IFERROR(__xludf.DUMMYFUNCTION("""COMPUTED_VALUE"""),"UC-Riverside")</f>
        <v>UC-Riverside</v>
      </c>
      <c r="B48" s="1">
        <f ca="1">IFERROR(__xludf.DUMMYFUNCTION("""COMPUTED_VALUE"""),31)</f>
        <v>31</v>
      </c>
      <c r="C48" s="1">
        <f ca="1">IFERROR(__xludf.DUMMYFUNCTION("""COMPUTED_VALUE"""),10)</f>
        <v>10</v>
      </c>
      <c r="D48" s="1">
        <f ca="1">IFERROR(__xludf.DUMMYFUNCTION("""COMPUTED_VALUE"""),21)</f>
        <v>21</v>
      </c>
      <c r="E48" s="1">
        <f ca="1">IFERROR(__xludf.DUMMYFUNCTION("""COMPUTED_VALUE"""),0.323)</f>
        <v>0.32300000000000001</v>
      </c>
      <c r="F48" s="1">
        <f ca="1">IFERROR(__xludf.DUMMYFUNCTION("""COMPUTED_VALUE"""),-7.64)</f>
        <v>-7.64</v>
      </c>
      <c r="G48" s="1">
        <f ca="1">IFERROR(__xludf.DUMMYFUNCTION("""COMPUTED_VALUE"""),-2.33)</f>
        <v>-2.33</v>
      </c>
      <c r="H48" s="1">
        <f ca="1">IFERROR(__xludf.DUMMYFUNCTION("""COMPUTED_VALUE"""),5)</f>
        <v>5</v>
      </c>
      <c r="I48" s="1">
        <f ca="1">IFERROR(__xludf.DUMMYFUNCTION("""COMPUTED_VALUE"""),11)</f>
        <v>11</v>
      </c>
      <c r="J48" s="1">
        <f ca="1">IFERROR(__xludf.DUMMYFUNCTION("""COMPUTED_VALUE"""),8)</f>
        <v>8</v>
      </c>
      <c r="K48" s="1">
        <f ca="1">IFERROR(__xludf.DUMMYFUNCTION("""COMPUTED_VALUE"""),7)</f>
        <v>7</v>
      </c>
      <c r="L48" s="1">
        <f ca="1">IFERROR(__xludf.DUMMYFUNCTION("""COMPUTED_VALUE"""),2)</f>
        <v>2</v>
      </c>
      <c r="M48" s="1">
        <f ca="1">IFERROR(__xludf.DUMMYFUNCTION("""COMPUTED_VALUE"""),13)</f>
        <v>13</v>
      </c>
      <c r="N48" s="1">
        <f ca="1">IFERROR(__xludf.DUMMYFUNCTION("""COMPUTED_VALUE"""),2117)</f>
        <v>2117</v>
      </c>
      <c r="O48" s="1">
        <f ca="1">IFERROR(__xludf.DUMMYFUNCTION("""COMPUTED_VALUE"""),2214)</f>
        <v>2214</v>
      </c>
      <c r="P48" s="1">
        <f ca="1">IFERROR(__xludf.DUMMYFUNCTION("""COMPUTED_VALUE"""),1260)</f>
        <v>1260</v>
      </c>
      <c r="Q48" s="1">
        <f ca="1">IFERROR(__xludf.DUMMYFUNCTION("""COMPUTED_VALUE"""),740)</f>
        <v>740</v>
      </c>
      <c r="R48" s="1">
        <f ca="1">IFERROR(__xludf.DUMMYFUNCTION("""COMPUTED_VALUE"""),1710)</f>
        <v>1710</v>
      </c>
      <c r="S48" s="1">
        <f ca="1">IFERROR(__xludf.DUMMYFUNCTION("""COMPUTED_VALUE"""),0.433)</f>
        <v>0.433</v>
      </c>
      <c r="T48" s="1">
        <f ca="1">IFERROR(__xludf.DUMMYFUNCTION("""COMPUTED_VALUE"""),138)</f>
        <v>138</v>
      </c>
      <c r="U48" s="1">
        <f ca="1">IFERROR(__xludf.DUMMYFUNCTION("""COMPUTED_VALUE"""),457)</f>
        <v>457</v>
      </c>
      <c r="V48" s="1">
        <f ca="1">IFERROR(__xludf.DUMMYFUNCTION("""COMPUTED_VALUE"""),0.302)</f>
        <v>0.30199999999999999</v>
      </c>
      <c r="W48" s="1">
        <f ca="1">IFERROR(__xludf.DUMMYFUNCTION("""COMPUTED_VALUE"""),499)</f>
        <v>499</v>
      </c>
      <c r="X48" s="1">
        <f ca="1">IFERROR(__xludf.DUMMYFUNCTION("""COMPUTED_VALUE"""),711)</f>
        <v>711</v>
      </c>
      <c r="Y48" s="1">
        <f ca="1">IFERROR(__xludf.DUMMYFUNCTION("""COMPUTED_VALUE"""),0.702)</f>
        <v>0.70199999999999996</v>
      </c>
      <c r="Z48" s="1">
        <f ca="1">IFERROR(__xludf.DUMMYFUNCTION("""COMPUTED_VALUE"""),319)</f>
        <v>319</v>
      </c>
      <c r="AA48" s="1">
        <f ca="1">IFERROR(__xludf.DUMMYFUNCTION("""COMPUTED_VALUE"""),1051)</f>
        <v>1051</v>
      </c>
      <c r="AB48" s="1">
        <f ca="1">IFERROR(__xludf.DUMMYFUNCTION("""COMPUTED_VALUE"""),349)</f>
        <v>349</v>
      </c>
      <c r="AC48" s="1">
        <f ca="1">IFERROR(__xludf.DUMMYFUNCTION("""COMPUTED_VALUE"""),199)</f>
        <v>199</v>
      </c>
      <c r="AD48" s="1">
        <f ca="1">IFERROR(__xludf.DUMMYFUNCTION("""COMPUTED_VALUE"""),134)</f>
        <v>134</v>
      </c>
      <c r="AE48" s="1">
        <f ca="1">IFERROR(__xludf.DUMMYFUNCTION("""COMPUTED_VALUE"""),408)</f>
        <v>408</v>
      </c>
      <c r="AF48" s="1">
        <f ca="1">IFERROR(__xludf.DUMMYFUNCTION("""COMPUTED_VALUE"""),599)</f>
        <v>599</v>
      </c>
    </row>
    <row r="49" spans="1:32" ht="12.5" x14ac:dyDescent="0.25">
      <c r="A49" s="1" t="str">
        <f ca="1">IFERROR(__xludf.DUMMYFUNCTION("""COMPUTED_VALUE"""),"UC-Santa Barbara")</f>
        <v>UC-Santa Barbara</v>
      </c>
      <c r="B49" s="1">
        <f ca="1">IFERROR(__xludf.DUMMYFUNCTION("""COMPUTED_VALUE"""),30)</f>
        <v>30</v>
      </c>
      <c r="C49" s="1">
        <f ca="1">IFERROR(__xludf.DUMMYFUNCTION("""COMPUTED_VALUE"""),21)</f>
        <v>21</v>
      </c>
      <c r="D49" s="1">
        <f ca="1">IFERROR(__xludf.DUMMYFUNCTION("""COMPUTED_VALUE"""),9)</f>
        <v>9</v>
      </c>
      <c r="E49" s="1">
        <f ca="1">IFERROR(__xludf.DUMMYFUNCTION("""COMPUTED_VALUE"""),0.7)</f>
        <v>0.7</v>
      </c>
      <c r="F49" s="1">
        <f ca="1">IFERROR(__xludf.DUMMYFUNCTION("""COMPUTED_VALUE"""),4.23)</f>
        <v>4.2300000000000004</v>
      </c>
      <c r="G49" s="1">
        <f ca="1">IFERROR(__xludf.DUMMYFUNCTION("""COMPUTED_VALUE"""),-0.13)</f>
        <v>-0.13</v>
      </c>
      <c r="H49" s="1">
        <f ca="1">IFERROR(__xludf.DUMMYFUNCTION("""COMPUTED_VALUE"""),12)</f>
        <v>12</v>
      </c>
      <c r="I49" s="1">
        <f ca="1">IFERROR(__xludf.DUMMYFUNCTION("""COMPUTED_VALUE"""),4)</f>
        <v>4</v>
      </c>
      <c r="J49" s="1">
        <f ca="1">IFERROR(__xludf.DUMMYFUNCTION("""COMPUTED_VALUE"""),10)</f>
        <v>10</v>
      </c>
      <c r="K49" s="1">
        <f ca="1">IFERROR(__xludf.DUMMYFUNCTION("""COMPUTED_VALUE"""),3)</f>
        <v>3</v>
      </c>
      <c r="L49" s="1">
        <f ca="1">IFERROR(__xludf.DUMMYFUNCTION("""COMPUTED_VALUE"""),9)</f>
        <v>9</v>
      </c>
      <c r="M49" s="1">
        <f ca="1">IFERROR(__xludf.DUMMYFUNCTION("""COMPUTED_VALUE"""),5)</f>
        <v>5</v>
      </c>
      <c r="N49" s="1">
        <f ca="1">IFERROR(__xludf.DUMMYFUNCTION("""COMPUTED_VALUE"""),2137)</f>
        <v>2137</v>
      </c>
      <c r="O49" s="1">
        <f ca="1">IFERROR(__xludf.DUMMYFUNCTION("""COMPUTED_VALUE"""),1960)</f>
        <v>1960</v>
      </c>
      <c r="P49" s="1">
        <f ca="1">IFERROR(__xludf.DUMMYFUNCTION("""COMPUTED_VALUE"""),1215)</f>
        <v>1215</v>
      </c>
      <c r="Q49" s="1">
        <f ca="1">IFERROR(__xludf.DUMMYFUNCTION("""COMPUTED_VALUE"""),731)</f>
        <v>731</v>
      </c>
      <c r="R49" s="1">
        <f ca="1">IFERROR(__xludf.DUMMYFUNCTION("""COMPUTED_VALUE"""),1574)</f>
        <v>1574</v>
      </c>
      <c r="S49" s="1">
        <f ca="1">IFERROR(__xludf.DUMMYFUNCTION("""COMPUTED_VALUE"""),0.464)</f>
        <v>0.46400000000000002</v>
      </c>
      <c r="T49" s="1">
        <f ca="1">IFERROR(__xludf.DUMMYFUNCTION("""COMPUTED_VALUE"""),210)</f>
        <v>210</v>
      </c>
      <c r="U49" s="1">
        <f ca="1">IFERROR(__xludf.DUMMYFUNCTION("""COMPUTED_VALUE"""),546)</f>
        <v>546</v>
      </c>
      <c r="V49" s="1">
        <f ca="1">IFERROR(__xludf.DUMMYFUNCTION("""COMPUTED_VALUE"""),0.385)</f>
        <v>0.38500000000000001</v>
      </c>
      <c r="W49" s="1">
        <f ca="1">IFERROR(__xludf.DUMMYFUNCTION("""COMPUTED_VALUE"""),465)</f>
        <v>465</v>
      </c>
      <c r="X49" s="1">
        <f ca="1">IFERROR(__xludf.DUMMYFUNCTION("""COMPUTED_VALUE"""),657)</f>
        <v>657</v>
      </c>
      <c r="Y49" s="1">
        <f ca="1">IFERROR(__xludf.DUMMYFUNCTION("""COMPUTED_VALUE"""),0.708)</f>
        <v>0.70799999999999996</v>
      </c>
      <c r="Z49" s="1">
        <f ca="1">IFERROR(__xludf.DUMMYFUNCTION("""COMPUTED_VALUE"""),306)</f>
        <v>306</v>
      </c>
      <c r="AA49" s="1">
        <f ca="1">IFERROR(__xludf.DUMMYFUNCTION("""COMPUTED_VALUE"""),1059)</f>
        <v>1059</v>
      </c>
      <c r="AB49" s="1">
        <f ca="1">IFERROR(__xludf.DUMMYFUNCTION("""COMPUTED_VALUE"""),478)</f>
        <v>478</v>
      </c>
      <c r="AC49" s="1">
        <f ca="1">IFERROR(__xludf.DUMMYFUNCTION("""COMPUTED_VALUE"""),149)</f>
        <v>149</v>
      </c>
      <c r="AD49" s="1">
        <f ca="1">IFERROR(__xludf.DUMMYFUNCTION("""COMPUTED_VALUE"""),145)</f>
        <v>145</v>
      </c>
      <c r="AE49" s="1">
        <f ca="1">IFERROR(__xludf.DUMMYFUNCTION("""COMPUTED_VALUE"""),335)</f>
        <v>335</v>
      </c>
      <c r="AF49" s="1">
        <f ca="1">IFERROR(__xludf.DUMMYFUNCTION("""COMPUTED_VALUE"""),564)</f>
        <v>564</v>
      </c>
    </row>
    <row r="50" spans="1:32" ht="12.5" x14ac:dyDescent="0.25">
      <c r="A50" s="1" t="str">
        <f ca="1">IFERROR(__xludf.DUMMYFUNCTION("""COMPUTED_VALUE"""),"University of California")</f>
        <v>University of California</v>
      </c>
      <c r="B50" s="1">
        <f ca="1">IFERROR(__xludf.DUMMYFUNCTION("""COMPUTED_VALUE"""),35)</f>
        <v>35</v>
      </c>
      <c r="C50" s="1">
        <f ca="1">IFERROR(__xludf.DUMMYFUNCTION("""COMPUTED_VALUE"""),21)</f>
        <v>21</v>
      </c>
      <c r="D50" s="1">
        <f ca="1">IFERROR(__xludf.DUMMYFUNCTION("""COMPUTED_VALUE"""),14)</f>
        <v>14</v>
      </c>
      <c r="E50" s="1">
        <f ca="1">IFERROR(__xludf.DUMMYFUNCTION("""COMPUTED_VALUE"""),0.6)</f>
        <v>0.6</v>
      </c>
      <c r="F50" s="1">
        <f ca="1">IFERROR(__xludf.DUMMYFUNCTION("""COMPUTED_VALUE"""),10.7)</f>
        <v>10.7</v>
      </c>
      <c r="G50" s="1">
        <f ca="1">IFERROR(__xludf.DUMMYFUNCTION("""COMPUTED_VALUE"""),7.44)</f>
        <v>7.44</v>
      </c>
      <c r="H50" s="1">
        <f ca="1">IFERROR(__xludf.DUMMYFUNCTION("""COMPUTED_VALUE"""),10)</f>
        <v>10</v>
      </c>
      <c r="I50" s="1">
        <f ca="1">IFERROR(__xludf.DUMMYFUNCTION("""COMPUTED_VALUE"""),8)</f>
        <v>8</v>
      </c>
      <c r="J50" s="1">
        <f ca="1">IFERROR(__xludf.DUMMYFUNCTION("""COMPUTED_VALUE"""),15)</f>
        <v>15</v>
      </c>
      <c r="K50" s="1">
        <f ca="1">IFERROR(__xludf.DUMMYFUNCTION("""COMPUTED_VALUE"""),4)</f>
        <v>4</v>
      </c>
      <c r="L50" s="1">
        <f ca="1">IFERROR(__xludf.DUMMYFUNCTION("""COMPUTED_VALUE"""),5)</f>
        <v>5</v>
      </c>
      <c r="M50" s="1">
        <f ca="1">IFERROR(__xludf.DUMMYFUNCTION("""COMPUTED_VALUE"""),7)</f>
        <v>7</v>
      </c>
      <c r="N50" s="1">
        <f ca="1">IFERROR(__xludf.DUMMYFUNCTION("""COMPUTED_VALUE"""),2533)</f>
        <v>2533</v>
      </c>
      <c r="O50" s="1">
        <f ca="1">IFERROR(__xludf.DUMMYFUNCTION("""COMPUTED_VALUE"""),2419)</f>
        <v>2419</v>
      </c>
      <c r="P50" s="1">
        <f ca="1">IFERROR(__xludf.DUMMYFUNCTION("""COMPUTED_VALUE"""),1416)</f>
        <v>1416</v>
      </c>
      <c r="Q50" s="1">
        <f ca="1">IFERROR(__xludf.DUMMYFUNCTION("""COMPUTED_VALUE"""),921)</f>
        <v>921</v>
      </c>
      <c r="R50" s="1">
        <f ca="1">IFERROR(__xludf.DUMMYFUNCTION("""COMPUTED_VALUE"""),2014)</f>
        <v>2014</v>
      </c>
      <c r="S50" s="1">
        <f ca="1">IFERROR(__xludf.DUMMYFUNCTION("""COMPUTED_VALUE"""),0.457)</f>
        <v>0.45700000000000002</v>
      </c>
      <c r="T50" s="1">
        <f ca="1">IFERROR(__xludf.DUMMYFUNCTION("""COMPUTED_VALUE"""),199)</f>
        <v>199</v>
      </c>
      <c r="U50" s="1">
        <f ca="1">IFERROR(__xludf.DUMMYFUNCTION("""COMPUTED_VALUE"""),576)</f>
        <v>576</v>
      </c>
      <c r="V50" s="1">
        <f ca="1">IFERROR(__xludf.DUMMYFUNCTION("""COMPUTED_VALUE"""),0.345)</f>
        <v>0.34499999999999997</v>
      </c>
      <c r="W50" s="1">
        <f ca="1">IFERROR(__xludf.DUMMYFUNCTION("""COMPUTED_VALUE"""),492)</f>
        <v>492</v>
      </c>
      <c r="X50" s="1">
        <f ca="1">IFERROR(__xludf.DUMMYFUNCTION("""COMPUTED_VALUE"""),717)</f>
        <v>717</v>
      </c>
      <c r="Y50" s="1">
        <f ca="1">IFERROR(__xludf.DUMMYFUNCTION("""COMPUTED_VALUE"""),0.686)</f>
        <v>0.68600000000000005</v>
      </c>
      <c r="Z50" s="1">
        <f ca="1">IFERROR(__xludf.DUMMYFUNCTION("""COMPUTED_VALUE"""),353)</f>
        <v>353</v>
      </c>
      <c r="AA50" s="1">
        <f ca="1">IFERROR(__xludf.DUMMYFUNCTION("""COMPUTED_VALUE"""),1247)</f>
        <v>1247</v>
      </c>
      <c r="AB50" s="1">
        <f ca="1">IFERROR(__xludf.DUMMYFUNCTION("""COMPUTED_VALUE"""),537)</f>
        <v>537</v>
      </c>
      <c r="AC50" s="1">
        <f ca="1">IFERROR(__xludf.DUMMYFUNCTION("""COMPUTED_VALUE"""),185)</f>
        <v>185</v>
      </c>
      <c r="AD50" s="1">
        <f ca="1">IFERROR(__xludf.DUMMYFUNCTION("""COMPUTED_VALUE"""),159)</f>
        <v>159</v>
      </c>
      <c r="AE50" s="1">
        <f ca="1">IFERROR(__xludf.DUMMYFUNCTION("""COMPUTED_VALUE"""),356)</f>
        <v>356</v>
      </c>
      <c r="AF50" s="1">
        <f ca="1">IFERROR(__xludf.DUMMYFUNCTION("""COMPUTED_VALUE"""),593)</f>
        <v>593</v>
      </c>
    </row>
    <row r="51" spans="1:32" ht="12.5" x14ac:dyDescent="0.25">
      <c r="A51" s="1" t="str">
        <f ca="1">IFERROR(__xludf.DUMMYFUNCTION("""COMPUTED_VALUE"""),"Campbell")</f>
        <v>Campbell</v>
      </c>
      <c r="B51" s="1">
        <f ca="1">IFERROR(__xludf.DUMMYFUNCTION("""COMPUTED_VALUE"""),32)</f>
        <v>32</v>
      </c>
      <c r="C51" s="1">
        <f ca="1">IFERROR(__xludf.DUMMYFUNCTION("""COMPUTED_VALUE"""),12)</f>
        <v>12</v>
      </c>
      <c r="D51" s="1">
        <f ca="1">IFERROR(__xludf.DUMMYFUNCTION("""COMPUTED_VALUE"""),20)</f>
        <v>20</v>
      </c>
      <c r="E51" s="1">
        <f ca="1">IFERROR(__xludf.DUMMYFUNCTION("""COMPUTED_VALUE"""),0.375)</f>
        <v>0.375</v>
      </c>
      <c r="F51" s="1">
        <f ca="1">IFERROR(__xludf.DUMMYFUNCTION("""COMPUTED_VALUE"""),-14.04)</f>
        <v>-14.04</v>
      </c>
      <c r="G51" s="1">
        <f ca="1">IFERROR(__xludf.DUMMYFUNCTION("""COMPUTED_VALUE"""),-7.33)</f>
        <v>-7.33</v>
      </c>
      <c r="H51" s="1">
        <f ca="1">IFERROR(__xludf.DUMMYFUNCTION("""COMPUTED_VALUE"""),6)</f>
        <v>6</v>
      </c>
      <c r="I51" s="1">
        <f ca="1">IFERROR(__xludf.DUMMYFUNCTION("""COMPUTED_VALUE"""),10)</f>
        <v>10</v>
      </c>
      <c r="J51" s="1">
        <f ca="1">IFERROR(__xludf.DUMMYFUNCTION("""COMPUTED_VALUE"""),9)</f>
        <v>9</v>
      </c>
      <c r="K51" s="1">
        <f ca="1">IFERROR(__xludf.DUMMYFUNCTION("""COMPUTED_VALUE"""),7)</f>
        <v>7</v>
      </c>
      <c r="L51" s="1">
        <f ca="1">IFERROR(__xludf.DUMMYFUNCTION("""COMPUTED_VALUE"""),3)</f>
        <v>3</v>
      </c>
      <c r="M51" s="1">
        <f ca="1">IFERROR(__xludf.DUMMYFUNCTION("""COMPUTED_VALUE"""),12)</f>
        <v>12</v>
      </c>
      <c r="N51" s="1">
        <f ca="1">IFERROR(__xludf.DUMMYFUNCTION("""COMPUTED_VALUE"""),2164)</f>
        <v>2164</v>
      </c>
      <c r="O51" s="1">
        <f ca="1">IFERROR(__xludf.DUMMYFUNCTION("""COMPUTED_VALUE"""),2291)</f>
        <v>2291</v>
      </c>
      <c r="P51" s="1">
        <f ca="1">IFERROR(__xludf.DUMMYFUNCTION("""COMPUTED_VALUE"""),1295)</f>
        <v>1295</v>
      </c>
      <c r="Q51" s="1">
        <f ca="1">IFERROR(__xludf.DUMMYFUNCTION("""COMPUTED_VALUE"""),771)</f>
        <v>771</v>
      </c>
      <c r="R51" s="1">
        <f ca="1">IFERROR(__xludf.DUMMYFUNCTION("""COMPUTED_VALUE"""),1747)</f>
        <v>1747</v>
      </c>
      <c r="S51" s="1">
        <f ca="1">IFERROR(__xludf.DUMMYFUNCTION("""COMPUTED_VALUE"""),0.441)</f>
        <v>0.441</v>
      </c>
      <c r="T51" s="1">
        <f ca="1">IFERROR(__xludf.DUMMYFUNCTION("""COMPUTED_VALUE"""),278)</f>
        <v>278</v>
      </c>
      <c r="U51" s="1">
        <f ca="1">IFERROR(__xludf.DUMMYFUNCTION("""COMPUTED_VALUE"""),795)</f>
        <v>795</v>
      </c>
      <c r="V51" s="1">
        <f ca="1">IFERROR(__xludf.DUMMYFUNCTION("""COMPUTED_VALUE"""),0.35)</f>
        <v>0.35</v>
      </c>
      <c r="W51" s="1">
        <f ca="1">IFERROR(__xludf.DUMMYFUNCTION("""COMPUTED_VALUE"""),344)</f>
        <v>344</v>
      </c>
      <c r="X51" s="1">
        <f ca="1">IFERROR(__xludf.DUMMYFUNCTION("""COMPUTED_VALUE"""),508)</f>
        <v>508</v>
      </c>
      <c r="Y51" s="1">
        <f ca="1">IFERROR(__xludf.DUMMYFUNCTION("""COMPUTED_VALUE"""),0.677)</f>
        <v>0.67700000000000005</v>
      </c>
      <c r="Z51" s="1">
        <f ca="1">IFERROR(__xludf.DUMMYFUNCTION("""COMPUTED_VALUE"""),345)</f>
        <v>345</v>
      </c>
      <c r="AA51" s="1">
        <f ca="1">IFERROR(__xludf.DUMMYFUNCTION("""COMPUTED_VALUE"""),1049)</f>
        <v>1049</v>
      </c>
      <c r="AB51" s="1">
        <f ca="1">IFERROR(__xludf.DUMMYFUNCTION("""COMPUTED_VALUE"""),454)</f>
        <v>454</v>
      </c>
      <c r="AC51" s="1">
        <f ca="1">IFERROR(__xludf.DUMMYFUNCTION("""COMPUTED_VALUE"""),193)</f>
        <v>193</v>
      </c>
      <c r="AD51" s="1">
        <f ca="1">IFERROR(__xludf.DUMMYFUNCTION("""COMPUTED_VALUE"""),140)</f>
        <v>140</v>
      </c>
      <c r="AE51" s="1">
        <f ca="1">IFERROR(__xludf.DUMMYFUNCTION("""COMPUTED_VALUE"""),427)</f>
        <v>427</v>
      </c>
      <c r="AF51" s="1">
        <f ca="1">IFERROR(__xludf.DUMMYFUNCTION("""COMPUTED_VALUE"""),572)</f>
        <v>572</v>
      </c>
    </row>
    <row r="52" spans="1:32" ht="12.5" x14ac:dyDescent="0.25">
      <c r="A52" s="1" t="str">
        <f ca="1">IFERROR(__xludf.DUMMYFUNCTION("""COMPUTED_VALUE"""),"Canisius")</f>
        <v>Canisius</v>
      </c>
      <c r="B52" s="1">
        <f ca="1">IFERROR(__xludf.DUMMYFUNCTION("""COMPUTED_VALUE"""),34)</f>
        <v>34</v>
      </c>
      <c r="C52" s="1">
        <f ca="1">IFERROR(__xludf.DUMMYFUNCTION("""COMPUTED_VALUE"""),21)</f>
        <v>21</v>
      </c>
      <c r="D52" s="1">
        <f ca="1">IFERROR(__xludf.DUMMYFUNCTION("""COMPUTED_VALUE"""),13)</f>
        <v>13</v>
      </c>
      <c r="E52" s="1">
        <f ca="1">IFERROR(__xludf.DUMMYFUNCTION("""COMPUTED_VALUE"""),0.618)</f>
        <v>0.61799999999999999</v>
      </c>
      <c r="F52" s="1">
        <f ca="1">IFERROR(__xludf.DUMMYFUNCTION("""COMPUTED_VALUE"""),1.24)</f>
        <v>1.24</v>
      </c>
      <c r="G52" s="1">
        <f ca="1">IFERROR(__xludf.DUMMYFUNCTION("""COMPUTED_VALUE"""),-1.95)</f>
        <v>-1.95</v>
      </c>
      <c r="H52" s="1">
        <f ca="1">IFERROR(__xludf.DUMMYFUNCTION("""COMPUTED_VALUE"""),14)</f>
        <v>14</v>
      </c>
      <c r="I52" s="1">
        <f ca="1">IFERROR(__xludf.DUMMYFUNCTION("""COMPUTED_VALUE"""),6)</f>
        <v>6</v>
      </c>
      <c r="J52" s="1">
        <f ca="1">IFERROR(__xludf.DUMMYFUNCTION("""COMPUTED_VALUE"""),9)</f>
        <v>9</v>
      </c>
      <c r="K52" s="1">
        <f ca="1">IFERROR(__xludf.DUMMYFUNCTION("""COMPUTED_VALUE"""),4)</f>
        <v>4</v>
      </c>
      <c r="L52" s="1">
        <f ca="1">IFERROR(__xludf.DUMMYFUNCTION("""COMPUTED_VALUE"""),8)</f>
        <v>8</v>
      </c>
      <c r="M52" s="1">
        <f ca="1">IFERROR(__xludf.DUMMYFUNCTION("""COMPUTED_VALUE"""),7)</f>
        <v>7</v>
      </c>
      <c r="N52" s="1">
        <f ca="1">IFERROR(__xludf.DUMMYFUNCTION("""COMPUTED_VALUE"""),2661)</f>
        <v>2661</v>
      </c>
      <c r="O52" s="1">
        <f ca="1">IFERROR(__xludf.DUMMYFUNCTION("""COMPUTED_VALUE"""),2570)</f>
        <v>2570</v>
      </c>
      <c r="P52" s="1">
        <f ca="1">IFERROR(__xludf.DUMMYFUNCTION("""COMPUTED_VALUE"""),1350)</f>
        <v>1350</v>
      </c>
      <c r="Q52" s="1">
        <f ca="1">IFERROR(__xludf.DUMMYFUNCTION("""COMPUTED_VALUE"""),889)</f>
        <v>889</v>
      </c>
      <c r="R52" s="1">
        <f ca="1">IFERROR(__xludf.DUMMYFUNCTION("""COMPUTED_VALUE"""),1939)</f>
        <v>1939</v>
      </c>
      <c r="S52" s="1">
        <f ca="1">IFERROR(__xludf.DUMMYFUNCTION("""COMPUTED_VALUE"""),0.458)</f>
        <v>0.45800000000000002</v>
      </c>
      <c r="T52" s="1">
        <f ca="1">IFERROR(__xludf.DUMMYFUNCTION("""COMPUTED_VALUE"""),267)</f>
        <v>267</v>
      </c>
      <c r="U52" s="1">
        <f ca="1">IFERROR(__xludf.DUMMYFUNCTION("""COMPUTED_VALUE"""),692)</f>
        <v>692</v>
      </c>
      <c r="V52" s="1">
        <f ca="1">IFERROR(__xludf.DUMMYFUNCTION("""COMPUTED_VALUE"""),0.386)</f>
        <v>0.38600000000000001</v>
      </c>
      <c r="W52" s="1">
        <f ca="1">IFERROR(__xludf.DUMMYFUNCTION("""COMPUTED_VALUE"""),547)</f>
        <v>547</v>
      </c>
      <c r="X52" s="1">
        <f ca="1">IFERROR(__xludf.DUMMYFUNCTION("""COMPUTED_VALUE"""),736)</f>
        <v>736</v>
      </c>
      <c r="Y52" s="1">
        <f ca="1">IFERROR(__xludf.DUMMYFUNCTION("""COMPUTED_VALUE"""),0.743)</f>
        <v>0.74299999999999999</v>
      </c>
      <c r="Z52" s="1">
        <f ca="1">IFERROR(__xludf.DUMMYFUNCTION("""COMPUTED_VALUE"""),385)</f>
        <v>385</v>
      </c>
      <c r="AA52" s="1">
        <f ca="1">IFERROR(__xludf.DUMMYFUNCTION("""COMPUTED_VALUE"""),1109)</f>
        <v>1109</v>
      </c>
      <c r="AB52" s="1">
        <f ca="1">IFERROR(__xludf.DUMMYFUNCTION("""COMPUTED_VALUE"""),422)</f>
        <v>422</v>
      </c>
      <c r="AC52" s="1">
        <f ca="1">IFERROR(__xludf.DUMMYFUNCTION("""COMPUTED_VALUE"""),229)</f>
        <v>229</v>
      </c>
      <c r="AD52" s="1">
        <f ca="1">IFERROR(__xludf.DUMMYFUNCTION("""COMPUTED_VALUE"""),127)</f>
        <v>127</v>
      </c>
      <c r="AE52" s="1">
        <f ca="1">IFERROR(__xludf.DUMMYFUNCTION("""COMPUTED_VALUE"""),394)</f>
        <v>394</v>
      </c>
      <c r="AF52" s="1">
        <f ca="1">IFERROR(__xludf.DUMMYFUNCTION("""COMPUTED_VALUE"""),595)</f>
        <v>595</v>
      </c>
    </row>
    <row r="53" spans="1:32" ht="12.5" x14ac:dyDescent="0.25">
      <c r="A53" s="1" t="str">
        <f ca="1">IFERROR(__xludf.DUMMYFUNCTION("""COMPUTED_VALUE"""),"Central Arkansas")</f>
        <v>Central Arkansas</v>
      </c>
      <c r="B53" s="1">
        <f ca="1">IFERROR(__xludf.DUMMYFUNCTION("""COMPUTED_VALUE"""),29)</f>
        <v>29</v>
      </c>
      <c r="C53" s="1">
        <f ca="1">IFERROR(__xludf.DUMMYFUNCTION("""COMPUTED_VALUE"""),8)</f>
        <v>8</v>
      </c>
      <c r="D53" s="1">
        <f ca="1">IFERROR(__xludf.DUMMYFUNCTION("""COMPUTED_VALUE"""),21)</f>
        <v>21</v>
      </c>
      <c r="E53" s="1">
        <f ca="1">IFERROR(__xludf.DUMMYFUNCTION("""COMPUTED_VALUE"""),0.276)</f>
        <v>0.27600000000000002</v>
      </c>
      <c r="F53" s="1">
        <f ca="1">IFERROR(__xludf.DUMMYFUNCTION("""COMPUTED_VALUE"""),-16.25)</f>
        <v>-16.25</v>
      </c>
      <c r="G53" s="1">
        <f ca="1">IFERROR(__xludf.DUMMYFUNCTION("""COMPUTED_VALUE"""),-5.54)</f>
        <v>-5.54</v>
      </c>
      <c r="H53" s="1">
        <f ca="1">IFERROR(__xludf.DUMMYFUNCTION("""COMPUTED_VALUE"""),5)</f>
        <v>5</v>
      </c>
      <c r="I53" s="1">
        <f ca="1">IFERROR(__xludf.DUMMYFUNCTION("""COMPUTED_VALUE"""),13)</f>
        <v>13</v>
      </c>
      <c r="J53" s="1">
        <f ca="1">IFERROR(__xludf.DUMMYFUNCTION("""COMPUTED_VALUE"""),7)</f>
        <v>7</v>
      </c>
      <c r="K53" s="1">
        <f ca="1">IFERROR(__xludf.DUMMYFUNCTION("""COMPUTED_VALUE"""),8)</f>
        <v>8</v>
      </c>
      <c r="L53" s="1">
        <f ca="1">IFERROR(__xludf.DUMMYFUNCTION("""COMPUTED_VALUE"""),1)</f>
        <v>1</v>
      </c>
      <c r="M53" s="1">
        <f ca="1">IFERROR(__xludf.DUMMYFUNCTION("""COMPUTED_VALUE"""),13)</f>
        <v>13</v>
      </c>
      <c r="N53" s="1">
        <f ca="1">IFERROR(__xludf.DUMMYFUNCTION("""COMPUTED_VALUE"""),2165)</f>
        <v>2165</v>
      </c>
      <c r="O53" s="1">
        <f ca="1">IFERROR(__xludf.DUMMYFUNCTION("""COMPUTED_VALUE"""),2360)</f>
        <v>2360</v>
      </c>
      <c r="P53" s="1">
        <f ca="1">IFERROR(__xludf.DUMMYFUNCTION("""COMPUTED_VALUE"""),1168)</f>
        <v>1168</v>
      </c>
      <c r="Q53" s="1">
        <f ca="1">IFERROR(__xludf.DUMMYFUNCTION("""COMPUTED_VALUE"""),787)</f>
        <v>787</v>
      </c>
      <c r="R53" s="1">
        <f ca="1">IFERROR(__xludf.DUMMYFUNCTION("""COMPUTED_VALUE"""),1761)</f>
        <v>1761</v>
      </c>
      <c r="S53" s="1">
        <f ca="1">IFERROR(__xludf.DUMMYFUNCTION("""COMPUTED_VALUE"""),0.447)</f>
        <v>0.44700000000000001</v>
      </c>
      <c r="T53" s="1">
        <f ca="1">IFERROR(__xludf.DUMMYFUNCTION("""COMPUTED_VALUE"""),191)</f>
        <v>191</v>
      </c>
      <c r="U53" s="1">
        <f ca="1">IFERROR(__xludf.DUMMYFUNCTION("""COMPUTED_VALUE"""),522)</f>
        <v>522</v>
      </c>
      <c r="V53" s="1">
        <f ca="1">IFERROR(__xludf.DUMMYFUNCTION("""COMPUTED_VALUE"""),0.366)</f>
        <v>0.36599999999999999</v>
      </c>
      <c r="W53" s="1">
        <f ca="1">IFERROR(__xludf.DUMMYFUNCTION("""COMPUTED_VALUE"""),400)</f>
        <v>400</v>
      </c>
      <c r="X53" s="1">
        <f ca="1">IFERROR(__xludf.DUMMYFUNCTION("""COMPUTED_VALUE"""),666)</f>
        <v>666</v>
      </c>
      <c r="Y53" s="1">
        <f ca="1">IFERROR(__xludf.DUMMYFUNCTION("""COMPUTED_VALUE"""),0.601)</f>
        <v>0.60099999999999998</v>
      </c>
      <c r="Z53" s="1">
        <f ca="1">IFERROR(__xludf.DUMMYFUNCTION("""COMPUTED_VALUE"""),323)</f>
        <v>323</v>
      </c>
      <c r="AA53" s="1">
        <f ca="1">IFERROR(__xludf.DUMMYFUNCTION("""COMPUTED_VALUE"""),982)</f>
        <v>982</v>
      </c>
      <c r="AB53" s="1">
        <f ca="1">IFERROR(__xludf.DUMMYFUNCTION("""COMPUTED_VALUE"""),368)</f>
        <v>368</v>
      </c>
      <c r="AC53" s="1">
        <f ca="1">IFERROR(__xludf.DUMMYFUNCTION("""COMPUTED_VALUE"""),247)</f>
        <v>247</v>
      </c>
      <c r="AD53" s="1">
        <f ca="1">IFERROR(__xludf.DUMMYFUNCTION("""COMPUTED_VALUE"""),137)</f>
        <v>137</v>
      </c>
      <c r="AE53" s="1">
        <f ca="1">IFERROR(__xludf.DUMMYFUNCTION("""COMPUTED_VALUE"""),421)</f>
        <v>421</v>
      </c>
      <c r="AF53" s="1">
        <f ca="1">IFERROR(__xludf.DUMMYFUNCTION("""COMPUTED_VALUE"""),634)</f>
        <v>634</v>
      </c>
    </row>
    <row r="54" spans="1:32" ht="12.5" x14ac:dyDescent="0.25">
      <c r="A54" s="1" t="str">
        <f ca="1">IFERROR(__xludf.DUMMYFUNCTION("""COMPUTED_VALUE"""),"Central Connecticut State")</f>
        <v>Central Connecticut State</v>
      </c>
      <c r="B54" s="1">
        <f ca="1">IFERROR(__xludf.DUMMYFUNCTION("""COMPUTED_VALUE"""),30)</f>
        <v>30</v>
      </c>
      <c r="C54" s="1">
        <f ca="1">IFERROR(__xludf.DUMMYFUNCTION("""COMPUTED_VALUE"""),11)</f>
        <v>11</v>
      </c>
      <c r="D54" s="1">
        <f ca="1">IFERROR(__xludf.DUMMYFUNCTION("""COMPUTED_VALUE"""),19)</f>
        <v>19</v>
      </c>
      <c r="E54" s="1">
        <f ca="1">IFERROR(__xludf.DUMMYFUNCTION("""COMPUTED_VALUE"""),0.367)</f>
        <v>0.36699999999999999</v>
      </c>
      <c r="F54" s="1">
        <f ca="1">IFERROR(__xludf.DUMMYFUNCTION("""COMPUTED_VALUE"""),-13.1)</f>
        <v>-13.1</v>
      </c>
      <c r="G54" s="1">
        <f ca="1">IFERROR(__xludf.DUMMYFUNCTION("""COMPUTED_VALUE"""),-6.06)</f>
        <v>-6.06</v>
      </c>
      <c r="H54" s="1">
        <f ca="1">IFERROR(__xludf.DUMMYFUNCTION("""COMPUTED_VALUE"""),7)</f>
        <v>7</v>
      </c>
      <c r="I54" s="1">
        <f ca="1">IFERROR(__xludf.DUMMYFUNCTION("""COMPUTED_VALUE"""),9)</f>
        <v>9</v>
      </c>
      <c r="J54" s="1">
        <f ca="1">IFERROR(__xludf.DUMMYFUNCTION("""COMPUTED_VALUE"""),5)</f>
        <v>5</v>
      </c>
      <c r="K54" s="1">
        <f ca="1">IFERROR(__xludf.DUMMYFUNCTION("""COMPUTED_VALUE"""),8)</f>
        <v>8</v>
      </c>
      <c r="L54" s="1">
        <f ca="1">IFERROR(__xludf.DUMMYFUNCTION("""COMPUTED_VALUE"""),6)</f>
        <v>6</v>
      </c>
      <c r="M54" s="1">
        <f ca="1">IFERROR(__xludf.DUMMYFUNCTION("""COMPUTED_VALUE"""),10)</f>
        <v>10</v>
      </c>
      <c r="N54" s="1">
        <f ca="1">IFERROR(__xludf.DUMMYFUNCTION("""COMPUTED_VALUE"""),2117)</f>
        <v>2117</v>
      </c>
      <c r="O54" s="1">
        <f ca="1">IFERROR(__xludf.DUMMYFUNCTION("""COMPUTED_VALUE"""),2318)</f>
        <v>2318</v>
      </c>
      <c r="P54" s="1">
        <f ca="1">IFERROR(__xludf.DUMMYFUNCTION("""COMPUTED_VALUE"""),1210)</f>
        <v>1210</v>
      </c>
      <c r="Q54" s="1">
        <f ca="1">IFERROR(__xludf.DUMMYFUNCTION("""COMPUTED_VALUE"""),781)</f>
        <v>781</v>
      </c>
      <c r="R54" s="1">
        <f ca="1">IFERROR(__xludf.DUMMYFUNCTION("""COMPUTED_VALUE"""),1794)</f>
        <v>1794</v>
      </c>
      <c r="S54" s="1">
        <f ca="1">IFERROR(__xludf.DUMMYFUNCTION("""COMPUTED_VALUE"""),0.435)</f>
        <v>0.435</v>
      </c>
      <c r="T54" s="1">
        <f ca="1">IFERROR(__xludf.DUMMYFUNCTION("""COMPUTED_VALUE"""),169)</f>
        <v>169</v>
      </c>
      <c r="U54" s="1">
        <f ca="1">IFERROR(__xludf.DUMMYFUNCTION("""COMPUTED_VALUE"""),504)</f>
        <v>504</v>
      </c>
      <c r="V54" s="1">
        <f ca="1">IFERROR(__xludf.DUMMYFUNCTION("""COMPUTED_VALUE"""),0.335)</f>
        <v>0.33500000000000002</v>
      </c>
      <c r="W54" s="1">
        <f ca="1">IFERROR(__xludf.DUMMYFUNCTION("""COMPUTED_VALUE"""),386)</f>
        <v>386</v>
      </c>
      <c r="X54" s="1">
        <f ca="1">IFERROR(__xludf.DUMMYFUNCTION("""COMPUTED_VALUE"""),538)</f>
        <v>538</v>
      </c>
      <c r="Y54" s="1">
        <f ca="1">IFERROR(__xludf.DUMMYFUNCTION("""COMPUTED_VALUE"""),0.717)</f>
        <v>0.71699999999999997</v>
      </c>
      <c r="Z54" s="1">
        <f ca="1">IFERROR(__xludf.DUMMYFUNCTION("""COMPUTED_VALUE"""),316)</f>
        <v>316</v>
      </c>
      <c r="AA54" s="1">
        <f ca="1">IFERROR(__xludf.DUMMYFUNCTION("""COMPUTED_VALUE"""),1036)</f>
        <v>1036</v>
      </c>
      <c r="AB54" s="1">
        <f ca="1">IFERROR(__xludf.DUMMYFUNCTION("""COMPUTED_VALUE"""),391)</f>
        <v>391</v>
      </c>
      <c r="AC54" s="1">
        <f ca="1">IFERROR(__xludf.DUMMYFUNCTION("""COMPUTED_VALUE"""),207)</f>
        <v>207</v>
      </c>
      <c r="AD54" s="1">
        <f ca="1">IFERROR(__xludf.DUMMYFUNCTION("""COMPUTED_VALUE"""),146)</f>
        <v>146</v>
      </c>
      <c r="AE54" s="1">
        <f ca="1">IFERROR(__xludf.DUMMYFUNCTION("""COMPUTED_VALUE"""),420)</f>
        <v>420</v>
      </c>
      <c r="AF54" s="1">
        <f ca="1">IFERROR(__xludf.DUMMYFUNCTION("""COMPUTED_VALUE"""),557)</f>
        <v>557</v>
      </c>
    </row>
    <row r="55" spans="1:32" ht="12.5" x14ac:dyDescent="0.25">
      <c r="A55" s="1" t="str">
        <f ca="1">IFERROR(__xludf.DUMMYFUNCTION("""COMPUTED_VALUE"""),"Central Florida")</f>
        <v>Central Florida</v>
      </c>
      <c r="B55" s="1">
        <f ca="1">IFERROR(__xludf.DUMMYFUNCTION("""COMPUTED_VALUE"""),31)</f>
        <v>31</v>
      </c>
      <c r="C55" s="1">
        <f ca="1">IFERROR(__xludf.DUMMYFUNCTION("""COMPUTED_VALUE"""),13)</f>
        <v>13</v>
      </c>
      <c r="D55" s="1">
        <f ca="1">IFERROR(__xludf.DUMMYFUNCTION("""COMPUTED_VALUE"""),18)</f>
        <v>18</v>
      </c>
      <c r="E55" s="1">
        <f ca="1">IFERROR(__xludf.DUMMYFUNCTION("""COMPUTED_VALUE"""),0.419)</f>
        <v>0.41899999999999998</v>
      </c>
      <c r="F55" s="1">
        <f ca="1">IFERROR(__xludf.DUMMYFUNCTION("""COMPUTED_VALUE"""),2.35)</f>
        <v>2.35</v>
      </c>
      <c r="G55" s="1">
        <f ca="1">IFERROR(__xludf.DUMMYFUNCTION("""COMPUTED_VALUE"""),5.14)</f>
        <v>5.14</v>
      </c>
      <c r="H55" s="1">
        <f ca="1">IFERROR(__xludf.DUMMYFUNCTION("""COMPUTED_VALUE"""),4)</f>
        <v>4</v>
      </c>
      <c r="I55" s="1">
        <f ca="1">IFERROR(__xludf.DUMMYFUNCTION("""COMPUTED_VALUE"""),14)</f>
        <v>14</v>
      </c>
      <c r="J55" s="1">
        <f ca="1">IFERROR(__xludf.DUMMYFUNCTION("""COMPUTED_VALUE"""),10)</f>
        <v>10</v>
      </c>
      <c r="K55" s="1">
        <f ca="1">IFERROR(__xludf.DUMMYFUNCTION("""COMPUTED_VALUE"""),7)</f>
        <v>7</v>
      </c>
      <c r="L55" s="1">
        <f ca="1">IFERROR(__xludf.DUMMYFUNCTION("""COMPUTED_VALUE"""),2)</f>
        <v>2</v>
      </c>
      <c r="M55" s="1">
        <f ca="1">IFERROR(__xludf.DUMMYFUNCTION("""COMPUTED_VALUE"""),10)</f>
        <v>10</v>
      </c>
      <c r="N55" s="1">
        <f ca="1">IFERROR(__xludf.DUMMYFUNCTION("""COMPUTED_VALUE"""),2253)</f>
        <v>2253</v>
      </c>
      <c r="O55" s="1">
        <f ca="1">IFERROR(__xludf.DUMMYFUNCTION("""COMPUTED_VALUE"""),2281)</f>
        <v>2281</v>
      </c>
      <c r="P55" s="1">
        <f ca="1">IFERROR(__xludf.DUMMYFUNCTION("""COMPUTED_VALUE"""),1260)</f>
        <v>1260</v>
      </c>
      <c r="Q55" s="1">
        <f ca="1">IFERROR(__xludf.DUMMYFUNCTION("""COMPUTED_VALUE"""),803)</f>
        <v>803</v>
      </c>
      <c r="R55" s="1">
        <f ca="1">IFERROR(__xludf.DUMMYFUNCTION("""COMPUTED_VALUE"""),1831)</f>
        <v>1831</v>
      </c>
      <c r="S55" s="1">
        <f ca="1">IFERROR(__xludf.DUMMYFUNCTION("""COMPUTED_VALUE"""),0.439)</f>
        <v>0.439</v>
      </c>
      <c r="T55" s="1">
        <f ca="1">IFERROR(__xludf.DUMMYFUNCTION("""COMPUTED_VALUE"""),215)</f>
        <v>215</v>
      </c>
      <c r="U55" s="1">
        <f ca="1">IFERROR(__xludf.DUMMYFUNCTION("""COMPUTED_VALUE"""),642)</f>
        <v>642</v>
      </c>
      <c r="V55" s="1">
        <f ca="1">IFERROR(__xludf.DUMMYFUNCTION("""COMPUTED_VALUE"""),0.335)</f>
        <v>0.33500000000000002</v>
      </c>
      <c r="W55" s="1">
        <f ca="1">IFERROR(__xludf.DUMMYFUNCTION("""COMPUTED_VALUE"""),432)</f>
        <v>432</v>
      </c>
      <c r="X55" s="1">
        <f ca="1">IFERROR(__xludf.DUMMYFUNCTION("""COMPUTED_VALUE"""),704)</f>
        <v>704</v>
      </c>
      <c r="Y55" s="1">
        <f ca="1">IFERROR(__xludf.DUMMYFUNCTION("""COMPUTED_VALUE"""),0.614)</f>
        <v>0.61399999999999999</v>
      </c>
      <c r="Z55" s="1">
        <f ca="1">IFERROR(__xludf.DUMMYFUNCTION("""COMPUTED_VALUE"""),441)</f>
        <v>441</v>
      </c>
      <c r="AA55" s="1">
        <f ca="1">IFERROR(__xludf.DUMMYFUNCTION("""COMPUTED_VALUE"""),1184)</f>
        <v>1184</v>
      </c>
      <c r="AB55" s="1">
        <f ca="1">IFERROR(__xludf.DUMMYFUNCTION("""COMPUTED_VALUE"""),389)</f>
        <v>389</v>
      </c>
      <c r="AC55" s="1">
        <f ca="1">IFERROR(__xludf.DUMMYFUNCTION("""COMPUTED_VALUE"""),213)</f>
        <v>213</v>
      </c>
      <c r="AD55" s="1">
        <f ca="1">IFERROR(__xludf.DUMMYFUNCTION("""COMPUTED_VALUE"""),137)</f>
        <v>137</v>
      </c>
      <c r="AE55" s="1">
        <f ca="1">IFERROR(__xludf.DUMMYFUNCTION("""COMPUTED_VALUE"""),424)</f>
        <v>424</v>
      </c>
      <c r="AF55" s="1">
        <f ca="1">IFERROR(__xludf.DUMMYFUNCTION("""COMPUTED_VALUE"""),556)</f>
        <v>556</v>
      </c>
    </row>
    <row r="56" spans="1:32" ht="12.5" x14ac:dyDescent="0.25">
      <c r="A56" s="1" t="str">
        <f ca="1">IFERROR(__xludf.DUMMYFUNCTION("""COMPUTED_VALUE"""),"Central Michigan")</f>
        <v>Central Michigan</v>
      </c>
      <c r="B56" s="1">
        <f ca="1">IFERROR(__xludf.DUMMYFUNCTION("""COMPUTED_VALUE"""),31)</f>
        <v>31</v>
      </c>
      <c r="C56" s="1">
        <f ca="1">IFERROR(__xludf.DUMMYFUNCTION("""COMPUTED_VALUE"""),10)</f>
        <v>10</v>
      </c>
      <c r="D56" s="1">
        <f ca="1">IFERROR(__xludf.DUMMYFUNCTION("""COMPUTED_VALUE"""),21)</f>
        <v>21</v>
      </c>
      <c r="E56" s="1">
        <f ca="1">IFERROR(__xludf.DUMMYFUNCTION("""COMPUTED_VALUE"""),0.323)</f>
        <v>0.32300000000000001</v>
      </c>
      <c r="F56" s="1">
        <f ca="1">IFERROR(__xludf.DUMMYFUNCTION("""COMPUTED_VALUE"""),-8.82)</f>
        <v>-8.82</v>
      </c>
      <c r="G56" s="1">
        <f ca="1">IFERROR(__xludf.DUMMYFUNCTION("""COMPUTED_VALUE"""),-2.72)</f>
        <v>-2.72</v>
      </c>
      <c r="H56" s="1">
        <f ca="1">IFERROR(__xludf.DUMMYFUNCTION("""COMPUTED_VALUE"""),3)</f>
        <v>3</v>
      </c>
      <c r="I56" s="1">
        <f ca="1">IFERROR(__xludf.DUMMYFUNCTION("""COMPUTED_VALUE"""),15)</f>
        <v>15</v>
      </c>
      <c r="J56" s="1">
        <f ca="1">IFERROR(__xludf.DUMMYFUNCTION("""COMPUTED_VALUE"""),8)</f>
        <v>8</v>
      </c>
      <c r="K56" s="1">
        <f ca="1">IFERROR(__xludf.DUMMYFUNCTION("""COMPUTED_VALUE"""),8)</f>
        <v>8</v>
      </c>
      <c r="L56" s="1">
        <f ca="1">IFERROR(__xludf.DUMMYFUNCTION("""COMPUTED_VALUE"""),2)</f>
        <v>2</v>
      </c>
      <c r="M56" s="1">
        <f ca="1">IFERROR(__xludf.DUMMYFUNCTION("""COMPUTED_VALUE"""),13)</f>
        <v>13</v>
      </c>
      <c r="N56" s="1">
        <f ca="1">IFERROR(__xludf.DUMMYFUNCTION("""COMPUTED_VALUE"""),2246)</f>
        <v>2246</v>
      </c>
      <c r="O56" s="1">
        <f ca="1">IFERROR(__xludf.DUMMYFUNCTION("""COMPUTED_VALUE"""),2288)</f>
        <v>2288</v>
      </c>
      <c r="P56" s="1">
        <f ca="1">IFERROR(__xludf.DUMMYFUNCTION("""COMPUTED_VALUE"""),1260)</f>
        <v>1260</v>
      </c>
      <c r="Q56" s="1">
        <f ca="1">IFERROR(__xludf.DUMMYFUNCTION("""COMPUTED_VALUE"""),766)</f>
        <v>766</v>
      </c>
      <c r="R56" s="1">
        <f ca="1">IFERROR(__xludf.DUMMYFUNCTION("""COMPUTED_VALUE"""),1767)</f>
        <v>1767</v>
      </c>
      <c r="S56" s="1">
        <f ca="1">IFERROR(__xludf.DUMMYFUNCTION("""COMPUTED_VALUE"""),0.434)</f>
        <v>0.434</v>
      </c>
      <c r="T56" s="1">
        <f ca="1">IFERROR(__xludf.DUMMYFUNCTION("""COMPUTED_VALUE"""),249)</f>
        <v>249</v>
      </c>
      <c r="U56" s="1">
        <f ca="1">IFERROR(__xludf.DUMMYFUNCTION("""COMPUTED_VALUE"""),777)</f>
        <v>777</v>
      </c>
      <c r="V56" s="1">
        <f ca="1">IFERROR(__xludf.DUMMYFUNCTION("""COMPUTED_VALUE"""),0.32)</f>
        <v>0.32</v>
      </c>
      <c r="W56" s="1">
        <f ca="1">IFERROR(__xludf.DUMMYFUNCTION("""COMPUTED_VALUE"""),465)</f>
        <v>465</v>
      </c>
      <c r="X56" s="1">
        <f ca="1">IFERROR(__xludf.DUMMYFUNCTION("""COMPUTED_VALUE"""),655)</f>
        <v>655</v>
      </c>
      <c r="Y56" s="1">
        <f ca="1">IFERROR(__xludf.DUMMYFUNCTION("""COMPUTED_VALUE"""),0.71)</f>
        <v>0.71</v>
      </c>
      <c r="Z56" s="1">
        <f ca="1">IFERROR(__xludf.DUMMYFUNCTION("""COMPUTED_VALUE"""),330)</f>
        <v>330</v>
      </c>
      <c r="AA56" s="1">
        <f ca="1">IFERROR(__xludf.DUMMYFUNCTION("""COMPUTED_VALUE"""),971)</f>
        <v>971</v>
      </c>
      <c r="AB56" s="1">
        <f ca="1">IFERROR(__xludf.DUMMYFUNCTION("""COMPUTED_VALUE"""),371)</f>
        <v>371</v>
      </c>
      <c r="AC56" s="1">
        <f ca="1">IFERROR(__xludf.DUMMYFUNCTION("""COMPUTED_VALUE"""),232)</f>
        <v>232</v>
      </c>
      <c r="AD56" s="1">
        <f ca="1">IFERROR(__xludf.DUMMYFUNCTION("""COMPUTED_VALUE"""),36)</f>
        <v>36</v>
      </c>
      <c r="AE56" s="1">
        <f ca="1">IFERROR(__xludf.DUMMYFUNCTION("""COMPUTED_VALUE"""),331)</f>
        <v>331</v>
      </c>
      <c r="AF56" s="1">
        <f ca="1">IFERROR(__xludf.DUMMYFUNCTION("""COMPUTED_VALUE"""),561)</f>
        <v>561</v>
      </c>
    </row>
    <row r="57" spans="1:32" ht="12.5" x14ac:dyDescent="0.25">
      <c r="A57" s="1" t="str">
        <f ca="1">IFERROR(__xludf.DUMMYFUNCTION("""COMPUTED_VALUE"""),"Charleston Southern")</f>
        <v>Charleston Southern</v>
      </c>
      <c r="B57" s="1">
        <f ca="1">IFERROR(__xludf.DUMMYFUNCTION("""COMPUTED_VALUE"""),31)</f>
        <v>31</v>
      </c>
      <c r="C57" s="1">
        <f ca="1">IFERROR(__xludf.DUMMYFUNCTION("""COMPUTED_VALUE"""),13)</f>
        <v>13</v>
      </c>
      <c r="D57" s="1">
        <f ca="1">IFERROR(__xludf.DUMMYFUNCTION("""COMPUTED_VALUE"""),18)</f>
        <v>18</v>
      </c>
      <c r="E57" s="1">
        <f ca="1">IFERROR(__xludf.DUMMYFUNCTION("""COMPUTED_VALUE"""),0.419)</f>
        <v>0.41899999999999998</v>
      </c>
      <c r="F57" s="1">
        <f ca="1">IFERROR(__xludf.DUMMYFUNCTION("""COMPUTED_VALUE"""),-5.27)</f>
        <v>-5.27</v>
      </c>
      <c r="G57" s="1">
        <f ca="1">IFERROR(__xludf.DUMMYFUNCTION("""COMPUTED_VALUE"""),-5.75)</f>
        <v>-5.75</v>
      </c>
      <c r="H57" s="1">
        <f ca="1">IFERROR(__xludf.DUMMYFUNCTION("""COMPUTED_VALUE"""),6)</f>
        <v>6</v>
      </c>
      <c r="I57" s="1">
        <f ca="1">IFERROR(__xludf.DUMMYFUNCTION("""COMPUTED_VALUE"""),10)</f>
        <v>10</v>
      </c>
      <c r="J57" s="1">
        <f ca="1">IFERROR(__xludf.DUMMYFUNCTION("""COMPUTED_VALUE"""),8)</f>
        <v>8</v>
      </c>
      <c r="K57" s="1">
        <f ca="1">IFERROR(__xludf.DUMMYFUNCTION("""COMPUTED_VALUE"""),6)</f>
        <v>6</v>
      </c>
      <c r="L57" s="1">
        <f ca="1">IFERROR(__xludf.DUMMYFUNCTION("""COMPUTED_VALUE"""),4)</f>
        <v>4</v>
      </c>
      <c r="M57" s="1">
        <f ca="1">IFERROR(__xludf.DUMMYFUNCTION("""COMPUTED_VALUE"""),12)</f>
        <v>12</v>
      </c>
      <c r="N57" s="1">
        <f ca="1">IFERROR(__xludf.DUMMYFUNCTION("""COMPUTED_VALUE"""),2523)</f>
        <v>2523</v>
      </c>
      <c r="O57" s="1">
        <f ca="1">IFERROR(__xludf.DUMMYFUNCTION("""COMPUTED_VALUE"""),2242)</f>
        <v>2242</v>
      </c>
      <c r="P57" s="1">
        <f ca="1">IFERROR(__xludf.DUMMYFUNCTION("""COMPUTED_VALUE"""),1265)</f>
        <v>1265</v>
      </c>
      <c r="Q57" s="1">
        <f ca="1">IFERROR(__xludf.DUMMYFUNCTION("""COMPUTED_VALUE"""),859)</f>
        <v>859</v>
      </c>
      <c r="R57" s="1">
        <f ca="1">IFERROR(__xludf.DUMMYFUNCTION("""COMPUTED_VALUE"""),1876)</f>
        <v>1876</v>
      </c>
      <c r="S57" s="1">
        <f ca="1">IFERROR(__xludf.DUMMYFUNCTION("""COMPUTED_VALUE"""),0.458)</f>
        <v>0.45800000000000002</v>
      </c>
      <c r="T57" s="1">
        <f ca="1">IFERROR(__xludf.DUMMYFUNCTION("""COMPUTED_VALUE"""),302)</f>
        <v>302</v>
      </c>
      <c r="U57" s="1">
        <f ca="1">IFERROR(__xludf.DUMMYFUNCTION("""COMPUTED_VALUE"""),789)</f>
        <v>789</v>
      </c>
      <c r="V57" s="1">
        <f ca="1">IFERROR(__xludf.DUMMYFUNCTION("""COMPUTED_VALUE"""),0.383)</f>
        <v>0.38300000000000001</v>
      </c>
      <c r="W57" s="1">
        <f ca="1">IFERROR(__xludf.DUMMYFUNCTION("""COMPUTED_VALUE"""),503)</f>
        <v>503</v>
      </c>
      <c r="X57" s="1">
        <f ca="1">IFERROR(__xludf.DUMMYFUNCTION("""COMPUTED_VALUE"""),689)</f>
        <v>689</v>
      </c>
      <c r="Y57" s="1">
        <f ca="1">IFERROR(__xludf.DUMMYFUNCTION("""COMPUTED_VALUE"""),0.73)</f>
        <v>0.73</v>
      </c>
      <c r="Z57" s="1">
        <f ca="1">IFERROR(__xludf.DUMMYFUNCTION("""COMPUTED_VALUE"""),366)</f>
        <v>366</v>
      </c>
      <c r="AA57" s="1">
        <f ca="1">IFERROR(__xludf.DUMMYFUNCTION("""COMPUTED_VALUE"""),1160)</f>
        <v>1160</v>
      </c>
      <c r="AB57" s="1">
        <f ca="1">IFERROR(__xludf.DUMMYFUNCTION("""COMPUTED_VALUE"""),424)</f>
        <v>424</v>
      </c>
      <c r="AC57" s="1">
        <f ca="1">IFERROR(__xludf.DUMMYFUNCTION("""COMPUTED_VALUE"""),202)</f>
        <v>202</v>
      </c>
      <c r="AD57" s="1">
        <f ca="1">IFERROR(__xludf.DUMMYFUNCTION("""COMPUTED_VALUE"""),88)</f>
        <v>88</v>
      </c>
      <c r="AE57" s="1">
        <f ca="1">IFERROR(__xludf.DUMMYFUNCTION("""COMPUTED_VALUE"""),334)</f>
        <v>334</v>
      </c>
      <c r="AF57" s="1">
        <f ca="1">IFERROR(__xludf.DUMMYFUNCTION("""COMPUTED_VALUE"""),565)</f>
        <v>565</v>
      </c>
    </row>
    <row r="58" spans="1:32" ht="12.5" x14ac:dyDescent="0.25">
      <c r="A58" s="1" t="str">
        <f ca="1">IFERROR(__xludf.DUMMYFUNCTION("""COMPUTED_VALUE"""),"Charlotte")</f>
        <v>Charlotte</v>
      </c>
      <c r="B58" s="1">
        <f ca="1">IFERROR(__xludf.DUMMYFUNCTION("""COMPUTED_VALUE"""),31)</f>
        <v>31</v>
      </c>
      <c r="C58" s="1">
        <f ca="1">IFERROR(__xludf.DUMMYFUNCTION("""COMPUTED_VALUE"""),17)</f>
        <v>17</v>
      </c>
      <c r="D58" s="1">
        <f ca="1">IFERROR(__xludf.DUMMYFUNCTION("""COMPUTED_VALUE"""),14)</f>
        <v>14</v>
      </c>
      <c r="E58" s="1">
        <f ca="1">IFERROR(__xludf.DUMMYFUNCTION("""COMPUTED_VALUE"""),0.548)</f>
        <v>0.54800000000000004</v>
      </c>
      <c r="F58" s="1">
        <f ca="1">IFERROR(__xludf.DUMMYFUNCTION("""COMPUTED_VALUE"""),-0.69)</f>
        <v>-0.69</v>
      </c>
      <c r="G58" s="1">
        <f ca="1">IFERROR(__xludf.DUMMYFUNCTION("""COMPUTED_VALUE"""),-0.5)</f>
        <v>-0.5</v>
      </c>
      <c r="H58" s="1">
        <f ca="1">IFERROR(__xludf.DUMMYFUNCTION("""COMPUTED_VALUE"""),7)</f>
        <v>7</v>
      </c>
      <c r="I58" s="1">
        <f ca="1">IFERROR(__xludf.DUMMYFUNCTION("""COMPUTED_VALUE"""),9)</f>
        <v>9</v>
      </c>
      <c r="J58" s="1">
        <f ca="1">IFERROR(__xludf.DUMMYFUNCTION("""COMPUTED_VALUE"""),10)</f>
        <v>10</v>
      </c>
      <c r="K58" s="1">
        <f ca="1">IFERROR(__xludf.DUMMYFUNCTION("""COMPUTED_VALUE"""),5)</f>
        <v>5</v>
      </c>
      <c r="L58" s="1">
        <f ca="1">IFERROR(__xludf.DUMMYFUNCTION("""COMPUTED_VALUE"""),3)</f>
        <v>3</v>
      </c>
      <c r="M58" s="1">
        <f ca="1">IFERROR(__xludf.DUMMYFUNCTION("""COMPUTED_VALUE"""),8)</f>
        <v>8</v>
      </c>
      <c r="N58" s="1">
        <f ca="1">IFERROR(__xludf.DUMMYFUNCTION("""COMPUTED_VALUE"""),2215)</f>
        <v>2215</v>
      </c>
      <c r="O58" s="1">
        <f ca="1">IFERROR(__xludf.DUMMYFUNCTION("""COMPUTED_VALUE"""),2221)</f>
        <v>2221</v>
      </c>
      <c r="P58" s="1">
        <f ca="1">IFERROR(__xludf.DUMMYFUNCTION("""COMPUTED_VALUE"""),1250)</f>
        <v>1250</v>
      </c>
      <c r="Q58" s="1">
        <f ca="1">IFERROR(__xludf.DUMMYFUNCTION("""COMPUTED_VALUE"""),788)</f>
        <v>788</v>
      </c>
      <c r="R58" s="1">
        <f ca="1">IFERROR(__xludf.DUMMYFUNCTION("""COMPUTED_VALUE"""),1771)</f>
        <v>1771</v>
      </c>
      <c r="S58" s="1">
        <f ca="1">IFERROR(__xludf.DUMMYFUNCTION("""COMPUTED_VALUE"""),0.445)</f>
        <v>0.44500000000000001</v>
      </c>
      <c r="T58" s="1">
        <f ca="1">IFERROR(__xludf.DUMMYFUNCTION("""COMPUTED_VALUE"""),186)</f>
        <v>186</v>
      </c>
      <c r="U58" s="1">
        <f ca="1">IFERROR(__xludf.DUMMYFUNCTION("""COMPUTED_VALUE"""),523)</f>
        <v>523</v>
      </c>
      <c r="V58" s="1">
        <f ca="1">IFERROR(__xludf.DUMMYFUNCTION("""COMPUTED_VALUE"""),0.356)</f>
        <v>0.35599999999999998</v>
      </c>
      <c r="W58" s="1">
        <f ca="1">IFERROR(__xludf.DUMMYFUNCTION("""COMPUTED_VALUE"""),453)</f>
        <v>453</v>
      </c>
      <c r="X58" s="1">
        <f ca="1">IFERROR(__xludf.DUMMYFUNCTION("""COMPUTED_VALUE"""),699)</f>
        <v>699</v>
      </c>
      <c r="Y58" s="1">
        <f ca="1">IFERROR(__xludf.DUMMYFUNCTION("""COMPUTED_VALUE"""),0.648)</f>
        <v>0.64800000000000002</v>
      </c>
      <c r="Z58" s="1">
        <f ca="1">IFERROR(__xludf.DUMMYFUNCTION("""COMPUTED_VALUE"""),380)</f>
        <v>380</v>
      </c>
      <c r="AA58" s="1">
        <f ca="1">IFERROR(__xludf.DUMMYFUNCTION("""COMPUTED_VALUE"""),1187)</f>
        <v>1187</v>
      </c>
      <c r="AB58" s="1">
        <f ca="1">IFERROR(__xludf.DUMMYFUNCTION("""COMPUTED_VALUE"""),420)</f>
        <v>420</v>
      </c>
      <c r="AC58" s="1">
        <f ca="1">IFERROR(__xludf.DUMMYFUNCTION("""COMPUTED_VALUE"""),188)</f>
        <v>188</v>
      </c>
      <c r="AD58" s="1">
        <f ca="1">IFERROR(__xludf.DUMMYFUNCTION("""COMPUTED_VALUE"""),78)</f>
        <v>78</v>
      </c>
      <c r="AE58" s="1">
        <f ca="1">IFERROR(__xludf.DUMMYFUNCTION("""COMPUTED_VALUE"""),456)</f>
        <v>456</v>
      </c>
      <c r="AF58" s="1">
        <f ca="1">IFERROR(__xludf.DUMMYFUNCTION("""COMPUTED_VALUE"""),569)</f>
        <v>569</v>
      </c>
    </row>
    <row r="59" spans="1:32" ht="12.5" x14ac:dyDescent="0.25">
      <c r="A59" s="1" t="str">
        <f ca="1">IFERROR(__xludf.DUMMYFUNCTION("""COMPUTED_VALUE"""),"Chattanooga")</f>
        <v>Chattanooga</v>
      </c>
      <c r="B59" s="1">
        <f ca="1">IFERROR(__xludf.DUMMYFUNCTION("""COMPUTED_VALUE"""),33)</f>
        <v>33</v>
      </c>
      <c r="C59" s="1">
        <f ca="1">IFERROR(__xludf.DUMMYFUNCTION("""COMPUTED_VALUE"""),18)</f>
        <v>18</v>
      </c>
      <c r="D59" s="1">
        <f ca="1">IFERROR(__xludf.DUMMYFUNCTION("""COMPUTED_VALUE"""),15)</f>
        <v>15</v>
      </c>
      <c r="E59" s="1">
        <f ca="1">IFERROR(__xludf.DUMMYFUNCTION("""COMPUTED_VALUE"""),0.545)</f>
        <v>0.54500000000000004</v>
      </c>
      <c r="F59" s="1">
        <f ca="1">IFERROR(__xludf.DUMMYFUNCTION("""COMPUTED_VALUE"""),-10.83)</f>
        <v>-10.83</v>
      </c>
      <c r="G59" s="1">
        <f ca="1">IFERROR(__xludf.DUMMYFUNCTION("""COMPUTED_VALUE"""),-7.9)</f>
        <v>-7.9</v>
      </c>
      <c r="H59" s="1">
        <f ca="1">IFERROR(__xludf.DUMMYFUNCTION("""COMPUTED_VALUE"""),12)</f>
        <v>12</v>
      </c>
      <c r="I59" s="1">
        <f ca="1">IFERROR(__xludf.DUMMYFUNCTION("""COMPUTED_VALUE"""),4)</f>
        <v>4</v>
      </c>
      <c r="J59" s="1">
        <f ca="1">IFERROR(__xludf.DUMMYFUNCTION("""COMPUTED_VALUE"""),11)</f>
        <v>11</v>
      </c>
      <c r="K59" s="1">
        <f ca="1">IFERROR(__xludf.DUMMYFUNCTION("""COMPUTED_VALUE"""),2)</f>
        <v>2</v>
      </c>
      <c r="L59" s="1">
        <f ca="1">IFERROR(__xludf.DUMMYFUNCTION("""COMPUTED_VALUE"""),5)</f>
        <v>5</v>
      </c>
      <c r="M59" s="1">
        <f ca="1">IFERROR(__xludf.DUMMYFUNCTION("""COMPUTED_VALUE"""),11)</f>
        <v>11</v>
      </c>
      <c r="N59" s="1">
        <f ca="1">IFERROR(__xludf.DUMMYFUNCTION("""COMPUTED_VALUE"""),2489)</f>
        <v>2489</v>
      </c>
      <c r="O59" s="1">
        <f ca="1">IFERROR(__xludf.DUMMYFUNCTION("""COMPUTED_VALUE"""),2439)</f>
        <v>2439</v>
      </c>
      <c r="P59" s="1">
        <f ca="1">IFERROR(__xludf.DUMMYFUNCTION("""COMPUTED_VALUE"""),1330)</f>
        <v>1330</v>
      </c>
      <c r="Q59" s="1">
        <f ca="1">IFERROR(__xludf.DUMMYFUNCTION("""COMPUTED_VALUE"""),832)</f>
        <v>832</v>
      </c>
      <c r="R59" s="1">
        <f ca="1">IFERROR(__xludf.DUMMYFUNCTION("""COMPUTED_VALUE"""),1922)</f>
        <v>1922</v>
      </c>
      <c r="S59" s="1">
        <f ca="1">IFERROR(__xludf.DUMMYFUNCTION("""COMPUTED_VALUE"""),0.433)</f>
        <v>0.433</v>
      </c>
      <c r="T59" s="1">
        <f ca="1">IFERROR(__xludf.DUMMYFUNCTION("""COMPUTED_VALUE"""),216)</f>
        <v>216</v>
      </c>
      <c r="U59" s="1">
        <f ca="1">IFERROR(__xludf.DUMMYFUNCTION("""COMPUTED_VALUE"""),651)</f>
        <v>651</v>
      </c>
      <c r="V59" s="1">
        <f ca="1">IFERROR(__xludf.DUMMYFUNCTION("""COMPUTED_VALUE"""),0.332)</f>
        <v>0.33200000000000002</v>
      </c>
      <c r="W59" s="1">
        <f ca="1">IFERROR(__xludf.DUMMYFUNCTION("""COMPUTED_VALUE"""),609)</f>
        <v>609</v>
      </c>
      <c r="X59" s="1">
        <f ca="1">IFERROR(__xludf.DUMMYFUNCTION("""COMPUTED_VALUE"""),866)</f>
        <v>866</v>
      </c>
      <c r="Y59" s="1">
        <f ca="1">IFERROR(__xludf.DUMMYFUNCTION("""COMPUTED_VALUE"""),0.703)</f>
        <v>0.70299999999999996</v>
      </c>
      <c r="Z59" s="1">
        <f ca="1">IFERROR(__xludf.DUMMYFUNCTION("""COMPUTED_VALUE"""),441)</f>
        <v>441</v>
      </c>
      <c r="AA59" s="1">
        <f ca="1">IFERROR(__xludf.DUMMYFUNCTION("""COMPUTED_VALUE"""),1235)</f>
        <v>1235</v>
      </c>
      <c r="AB59" s="1">
        <f ca="1">IFERROR(__xludf.DUMMYFUNCTION("""COMPUTED_VALUE"""),391)</f>
        <v>391</v>
      </c>
      <c r="AC59" s="1">
        <f ca="1">IFERROR(__xludf.DUMMYFUNCTION("""COMPUTED_VALUE"""),232)</f>
        <v>232</v>
      </c>
      <c r="AD59" s="1">
        <f ca="1">IFERROR(__xludf.DUMMYFUNCTION("""COMPUTED_VALUE"""),168)</f>
        <v>168</v>
      </c>
      <c r="AE59" s="1">
        <f ca="1">IFERROR(__xludf.DUMMYFUNCTION("""COMPUTED_VALUE"""),442)</f>
        <v>442</v>
      </c>
      <c r="AF59" s="1">
        <f ca="1">IFERROR(__xludf.DUMMYFUNCTION("""COMPUTED_VALUE"""),635)</f>
        <v>635</v>
      </c>
    </row>
    <row r="60" spans="1:32" ht="12.5" x14ac:dyDescent="0.25">
      <c r="A60" s="1" t="str">
        <f ca="1">IFERROR(__xludf.DUMMYFUNCTION("""COMPUTED_VALUE"""),"Chicago State")</f>
        <v>Chicago State</v>
      </c>
      <c r="B60" s="1">
        <f ca="1">IFERROR(__xludf.DUMMYFUNCTION("""COMPUTED_VALUE"""),32)</f>
        <v>32</v>
      </c>
      <c r="C60" s="1">
        <f ca="1">IFERROR(__xludf.DUMMYFUNCTION("""COMPUTED_VALUE"""),13)</f>
        <v>13</v>
      </c>
      <c r="D60" s="1">
        <f ca="1">IFERROR(__xludf.DUMMYFUNCTION("""COMPUTED_VALUE"""),19)</f>
        <v>19</v>
      </c>
      <c r="E60" s="1">
        <f ca="1">IFERROR(__xludf.DUMMYFUNCTION("""COMPUTED_VALUE"""),0.406)</f>
        <v>0.40600000000000003</v>
      </c>
      <c r="F60" s="1">
        <f ca="1">IFERROR(__xludf.DUMMYFUNCTION("""COMPUTED_VALUE"""),-10.47)</f>
        <v>-10.47</v>
      </c>
      <c r="G60" s="1">
        <f ca="1">IFERROR(__xludf.DUMMYFUNCTION("""COMPUTED_VALUE"""),-2.44)</f>
        <v>-2.44</v>
      </c>
      <c r="H60" s="1">
        <f ca="1">IFERROR(__xludf.DUMMYFUNCTION("""COMPUTED_VALUE"""),8)</f>
        <v>8</v>
      </c>
      <c r="I60" s="1">
        <f ca="1">IFERROR(__xludf.DUMMYFUNCTION("""COMPUTED_VALUE"""),8)</f>
        <v>8</v>
      </c>
      <c r="J60" s="1">
        <f ca="1">IFERROR(__xludf.DUMMYFUNCTION("""COMPUTED_VALUE"""),9)</f>
        <v>9</v>
      </c>
      <c r="K60" s="1">
        <f ca="1">IFERROR(__xludf.DUMMYFUNCTION("""COMPUTED_VALUE"""),5)</f>
        <v>5</v>
      </c>
      <c r="L60" s="1">
        <f ca="1">IFERROR(__xludf.DUMMYFUNCTION("""COMPUTED_VALUE"""),4)</f>
        <v>4</v>
      </c>
      <c r="M60" s="1">
        <f ca="1">IFERROR(__xludf.DUMMYFUNCTION("""COMPUTED_VALUE"""),13)</f>
        <v>13</v>
      </c>
      <c r="N60" s="1">
        <f ca="1">IFERROR(__xludf.DUMMYFUNCTION("""COMPUTED_VALUE"""),2232)</f>
        <v>2232</v>
      </c>
      <c r="O60" s="1">
        <f ca="1">IFERROR(__xludf.DUMMYFUNCTION("""COMPUTED_VALUE"""),2439)</f>
        <v>2439</v>
      </c>
      <c r="P60" s="1">
        <f ca="1">IFERROR(__xludf.DUMMYFUNCTION("""COMPUTED_VALUE"""),1305)</f>
        <v>1305</v>
      </c>
      <c r="Q60" s="1">
        <f ca="1">IFERROR(__xludf.DUMMYFUNCTION("""COMPUTED_VALUE"""),787)</f>
        <v>787</v>
      </c>
      <c r="R60" s="1">
        <f ca="1">IFERROR(__xludf.DUMMYFUNCTION("""COMPUTED_VALUE"""),1884)</f>
        <v>1884</v>
      </c>
      <c r="S60" s="1">
        <f ca="1">IFERROR(__xludf.DUMMYFUNCTION("""COMPUTED_VALUE"""),0.418)</f>
        <v>0.41799999999999998</v>
      </c>
      <c r="T60" s="1">
        <f ca="1">IFERROR(__xludf.DUMMYFUNCTION("""COMPUTED_VALUE"""),220)</f>
        <v>220</v>
      </c>
      <c r="U60" s="1">
        <f ca="1">IFERROR(__xludf.DUMMYFUNCTION("""COMPUTED_VALUE"""),653)</f>
        <v>653</v>
      </c>
      <c r="V60" s="1">
        <f ca="1">IFERROR(__xludf.DUMMYFUNCTION("""COMPUTED_VALUE"""),0.337)</f>
        <v>0.33700000000000002</v>
      </c>
      <c r="W60" s="1">
        <f ca="1">IFERROR(__xludf.DUMMYFUNCTION("""COMPUTED_VALUE"""),438)</f>
        <v>438</v>
      </c>
      <c r="X60" s="1">
        <f ca="1">IFERROR(__xludf.DUMMYFUNCTION("""COMPUTED_VALUE"""),649)</f>
        <v>649</v>
      </c>
      <c r="Y60" s="1">
        <f ca="1">IFERROR(__xludf.DUMMYFUNCTION("""COMPUTED_VALUE"""),0.675)</f>
        <v>0.67500000000000004</v>
      </c>
      <c r="Z60" s="1">
        <f ca="1">IFERROR(__xludf.DUMMYFUNCTION("""COMPUTED_VALUE"""),325)</f>
        <v>325</v>
      </c>
      <c r="AA60" s="1">
        <f ca="1">IFERROR(__xludf.DUMMYFUNCTION("""COMPUTED_VALUE"""),1003)</f>
        <v>1003</v>
      </c>
      <c r="AB60" s="1">
        <f ca="1">IFERROR(__xludf.DUMMYFUNCTION("""COMPUTED_VALUE"""),358)</f>
        <v>358</v>
      </c>
      <c r="AC60" s="1">
        <f ca="1">IFERROR(__xludf.DUMMYFUNCTION("""COMPUTED_VALUE"""),278)</f>
        <v>278</v>
      </c>
      <c r="AD60" s="1">
        <f ca="1">IFERROR(__xludf.DUMMYFUNCTION("""COMPUTED_VALUE"""),83)</f>
        <v>83</v>
      </c>
      <c r="AE60" s="1">
        <f ca="1">IFERROR(__xludf.DUMMYFUNCTION("""COMPUTED_VALUE"""),389)</f>
        <v>389</v>
      </c>
      <c r="AF60" s="1">
        <f ca="1">IFERROR(__xludf.DUMMYFUNCTION("""COMPUTED_VALUE"""),736)</f>
        <v>736</v>
      </c>
    </row>
    <row r="61" spans="1:32" ht="12.5" x14ac:dyDescent="0.25">
      <c r="A61" s="1" t="str">
        <f ca="1">IFERROR(__xludf.DUMMYFUNCTION("""COMPUTED_VALUE"""),"CincinnatiNCAA")</f>
        <v>CincinnatiNCAA</v>
      </c>
      <c r="B61" s="1">
        <f ca="1">IFERROR(__xludf.DUMMYFUNCTION("""COMPUTED_VALUE"""),34)</f>
        <v>34</v>
      </c>
      <c r="C61" s="1">
        <f ca="1">IFERROR(__xludf.DUMMYFUNCTION("""COMPUTED_VALUE"""),27)</f>
        <v>27</v>
      </c>
      <c r="D61" s="1">
        <f ca="1">IFERROR(__xludf.DUMMYFUNCTION("""COMPUTED_VALUE"""),7)</f>
        <v>7</v>
      </c>
      <c r="E61" s="1">
        <f ca="1">IFERROR(__xludf.DUMMYFUNCTION("""COMPUTED_VALUE"""),0.794)</f>
        <v>0.79400000000000004</v>
      </c>
      <c r="F61" s="1">
        <f ca="1">IFERROR(__xludf.DUMMYFUNCTION("""COMPUTED_VALUE"""),15.26)</f>
        <v>15.26</v>
      </c>
      <c r="G61" s="1">
        <f ca="1">IFERROR(__xludf.DUMMYFUNCTION("""COMPUTED_VALUE"""),5.28)</f>
        <v>5.28</v>
      </c>
      <c r="H61" s="1">
        <f ca="1">IFERROR(__xludf.DUMMYFUNCTION("""COMPUTED_VALUE"""),15)</f>
        <v>15</v>
      </c>
      <c r="I61" s="1">
        <f ca="1">IFERROR(__xludf.DUMMYFUNCTION("""COMPUTED_VALUE"""),3)</f>
        <v>3</v>
      </c>
      <c r="J61" s="1">
        <f ca="1">IFERROR(__xludf.DUMMYFUNCTION("""COMPUTED_VALUE"""),18)</f>
        <v>18</v>
      </c>
      <c r="K61" s="1">
        <f ca="1">IFERROR(__xludf.DUMMYFUNCTION("""COMPUTED_VALUE"""),1)</f>
        <v>1</v>
      </c>
      <c r="L61" s="1">
        <f ca="1">IFERROR(__xludf.DUMMYFUNCTION("""COMPUTED_VALUE"""),7)</f>
        <v>7</v>
      </c>
      <c r="M61" s="1">
        <f ca="1">IFERROR(__xludf.DUMMYFUNCTION("""COMPUTED_VALUE"""),3)</f>
        <v>3</v>
      </c>
      <c r="N61" s="1">
        <f ca="1">IFERROR(__xludf.DUMMYFUNCTION("""COMPUTED_VALUE"""),2325)</f>
        <v>2325</v>
      </c>
      <c r="O61" s="1">
        <f ca="1">IFERROR(__xludf.DUMMYFUNCTION("""COMPUTED_VALUE"""),1986)</f>
        <v>1986</v>
      </c>
      <c r="P61" s="1">
        <f ca="1">IFERROR(__xludf.DUMMYFUNCTION("""COMPUTED_VALUE"""),1360)</f>
        <v>1360</v>
      </c>
      <c r="Q61" s="1">
        <f ca="1">IFERROR(__xludf.DUMMYFUNCTION("""COMPUTED_VALUE"""),805)</f>
        <v>805</v>
      </c>
      <c r="R61" s="1">
        <f ca="1">IFERROR(__xludf.DUMMYFUNCTION("""COMPUTED_VALUE"""),1893)</f>
        <v>1893</v>
      </c>
      <c r="S61" s="1">
        <f ca="1">IFERROR(__xludf.DUMMYFUNCTION("""COMPUTED_VALUE"""),0.425)</f>
        <v>0.42499999999999999</v>
      </c>
      <c r="T61" s="1">
        <f ca="1">IFERROR(__xludf.DUMMYFUNCTION("""COMPUTED_VALUE"""),196)</f>
        <v>196</v>
      </c>
      <c r="U61" s="1">
        <f ca="1">IFERROR(__xludf.DUMMYFUNCTION("""COMPUTED_VALUE"""),585)</f>
        <v>585</v>
      </c>
      <c r="V61" s="1">
        <f ca="1">IFERROR(__xludf.DUMMYFUNCTION("""COMPUTED_VALUE"""),0.335)</f>
        <v>0.33500000000000002</v>
      </c>
      <c r="W61" s="1">
        <f ca="1">IFERROR(__xludf.DUMMYFUNCTION("""COMPUTED_VALUE"""),519)</f>
        <v>519</v>
      </c>
      <c r="X61" s="1">
        <f ca="1">IFERROR(__xludf.DUMMYFUNCTION("""COMPUTED_VALUE"""),733)</f>
        <v>733</v>
      </c>
      <c r="Y61" s="1">
        <f ca="1">IFERROR(__xludf.DUMMYFUNCTION("""COMPUTED_VALUE"""),0.708)</f>
        <v>0.70799999999999996</v>
      </c>
      <c r="Z61" s="1">
        <f ca="1">IFERROR(__xludf.DUMMYFUNCTION("""COMPUTED_VALUE"""),457)</f>
        <v>457</v>
      </c>
      <c r="AA61" s="1">
        <f ca="1">IFERROR(__xludf.DUMMYFUNCTION("""COMPUTED_VALUE"""),1224)</f>
        <v>1224</v>
      </c>
      <c r="AB61" s="1">
        <f ca="1">IFERROR(__xludf.DUMMYFUNCTION("""COMPUTED_VALUE"""),425)</f>
        <v>425</v>
      </c>
      <c r="AC61" s="1">
        <f ca="1">IFERROR(__xludf.DUMMYFUNCTION("""COMPUTED_VALUE"""),268)</f>
        <v>268</v>
      </c>
      <c r="AD61" s="1">
        <f ca="1">IFERROR(__xludf.DUMMYFUNCTION("""COMPUTED_VALUE"""),188)</f>
        <v>188</v>
      </c>
      <c r="AE61" s="1">
        <f ca="1">IFERROR(__xludf.DUMMYFUNCTION("""COMPUTED_VALUE"""),377)</f>
        <v>377</v>
      </c>
      <c r="AF61" s="1">
        <f ca="1">IFERROR(__xludf.DUMMYFUNCTION("""COMPUTED_VALUE"""),596)</f>
        <v>596</v>
      </c>
    </row>
    <row r="62" spans="1:32" ht="12.5" x14ac:dyDescent="0.25">
      <c r="A62" s="1" t="str">
        <f ca="1">IFERROR(__xludf.DUMMYFUNCTION("""COMPUTED_VALUE"""),"Citadel")</f>
        <v>Citadel</v>
      </c>
      <c r="B62" s="1">
        <f ca="1">IFERROR(__xludf.DUMMYFUNCTION("""COMPUTED_VALUE"""),33)</f>
        <v>33</v>
      </c>
      <c r="C62" s="1">
        <f ca="1">IFERROR(__xludf.DUMMYFUNCTION("""COMPUTED_VALUE"""),7)</f>
        <v>7</v>
      </c>
      <c r="D62" s="1">
        <f ca="1">IFERROR(__xludf.DUMMYFUNCTION("""COMPUTED_VALUE"""),26)</f>
        <v>26</v>
      </c>
      <c r="E62" s="1">
        <f ca="1">IFERROR(__xludf.DUMMYFUNCTION("""COMPUTED_VALUE"""),0.212)</f>
        <v>0.21199999999999999</v>
      </c>
      <c r="F62" s="1">
        <f ca="1">IFERROR(__xludf.DUMMYFUNCTION("""COMPUTED_VALUE"""),-17.61)</f>
        <v>-17.61</v>
      </c>
      <c r="G62" s="1">
        <f ca="1">IFERROR(__xludf.DUMMYFUNCTION("""COMPUTED_VALUE"""),-6.75)</f>
        <v>-6.75</v>
      </c>
      <c r="H62" s="1">
        <f ca="1">IFERROR(__xludf.DUMMYFUNCTION("""COMPUTED_VALUE"""),2)</f>
        <v>2</v>
      </c>
      <c r="I62" s="1">
        <f ca="1">IFERROR(__xludf.DUMMYFUNCTION("""COMPUTED_VALUE"""),14)</f>
        <v>14</v>
      </c>
      <c r="J62" s="1">
        <f ca="1">IFERROR(__xludf.DUMMYFUNCTION("""COMPUTED_VALUE"""),6)</f>
        <v>6</v>
      </c>
      <c r="K62" s="1">
        <f ca="1">IFERROR(__xludf.DUMMYFUNCTION("""COMPUTED_VALUE"""),8)</f>
        <v>8</v>
      </c>
      <c r="L62" s="1">
        <f ca="1">IFERROR(__xludf.DUMMYFUNCTION("""COMPUTED_VALUE"""),0)</f>
        <v>0</v>
      </c>
      <c r="M62" s="1">
        <f ca="1">IFERROR(__xludf.DUMMYFUNCTION("""COMPUTED_VALUE"""),15)</f>
        <v>15</v>
      </c>
      <c r="N62" s="1">
        <f ca="1">IFERROR(__xludf.DUMMYFUNCTION("""COMPUTED_VALUE"""),2211)</f>
        <v>2211</v>
      </c>
      <c r="O62" s="1">
        <f ca="1">IFERROR(__xludf.DUMMYFUNCTION("""COMPUTED_VALUE"""),2453)</f>
        <v>2453</v>
      </c>
      <c r="P62" s="1">
        <f ca="1">IFERROR(__xludf.DUMMYFUNCTION("""COMPUTED_VALUE"""),1330)</f>
        <v>1330</v>
      </c>
      <c r="Q62" s="1">
        <f ca="1">IFERROR(__xludf.DUMMYFUNCTION("""COMPUTED_VALUE"""),764)</f>
        <v>764</v>
      </c>
      <c r="R62" s="1">
        <f ca="1">IFERROR(__xludf.DUMMYFUNCTION("""COMPUTED_VALUE"""),1778)</f>
        <v>1778</v>
      </c>
      <c r="S62" s="1">
        <f ca="1">IFERROR(__xludf.DUMMYFUNCTION("""COMPUTED_VALUE"""),0.43)</f>
        <v>0.43</v>
      </c>
      <c r="T62" s="1">
        <f ca="1">IFERROR(__xludf.DUMMYFUNCTION("""COMPUTED_VALUE"""),210)</f>
        <v>210</v>
      </c>
      <c r="U62" s="1">
        <f ca="1">IFERROR(__xludf.DUMMYFUNCTION("""COMPUTED_VALUE"""),582)</f>
        <v>582</v>
      </c>
      <c r="V62" s="1">
        <f ca="1">IFERROR(__xludf.DUMMYFUNCTION("""COMPUTED_VALUE"""),0.361)</f>
        <v>0.36099999999999999</v>
      </c>
      <c r="W62" s="1">
        <f ca="1">IFERROR(__xludf.DUMMYFUNCTION("""COMPUTED_VALUE"""),473)</f>
        <v>473</v>
      </c>
      <c r="X62" s="1">
        <f ca="1">IFERROR(__xludf.DUMMYFUNCTION("""COMPUTED_VALUE"""),655)</f>
        <v>655</v>
      </c>
      <c r="Y62" s="1">
        <f ca="1">IFERROR(__xludf.DUMMYFUNCTION("""COMPUTED_VALUE"""),0.722)</f>
        <v>0.72199999999999998</v>
      </c>
      <c r="Z62" s="1">
        <f ca="1">IFERROR(__xludf.DUMMYFUNCTION("""COMPUTED_VALUE"""),295)</f>
        <v>295</v>
      </c>
      <c r="AA62" s="1">
        <f ca="1">IFERROR(__xludf.DUMMYFUNCTION("""COMPUTED_VALUE"""),1092)</f>
        <v>1092</v>
      </c>
      <c r="AB62" s="1">
        <f ca="1">IFERROR(__xludf.DUMMYFUNCTION("""COMPUTED_VALUE"""),442)</f>
        <v>442</v>
      </c>
      <c r="AC62" s="1">
        <f ca="1">IFERROR(__xludf.DUMMYFUNCTION("""COMPUTED_VALUE"""),137)</f>
        <v>137</v>
      </c>
      <c r="AD62" s="1">
        <f ca="1">IFERROR(__xludf.DUMMYFUNCTION("""COMPUTED_VALUE"""),95)</f>
        <v>95</v>
      </c>
      <c r="AE62" s="1">
        <f ca="1">IFERROR(__xludf.DUMMYFUNCTION("""COMPUTED_VALUE"""),412)</f>
        <v>412</v>
      </c>
      <c r="AF62" s="1">
        <f ca="1">IFERROR(__xludf.DUMMYFUNCTION("""COMPUTED_VALUE"""),630)</f>
        <v>630</v>
      </c>
    </row>
    <row r="63" spans="1:32" ht="12.5" x14ac:dyDescent="0.25">
      <c r="A63" s="1" t="str">
        <f ca="1">IFERROR(__xludf.DUMMYFUNCTION("""COMPUTED_VALUE"""),"Clemson")</f>
        <v>Clemson</v>
      </c>
      <c r="B63" s="1">
        <f ca="1">IFERROR(__xludf.DUMMYFUNCTION("""COMPUTED_VALUE"""),36)</f>
        <v>36</v>
      </c>
      <c r="C63" s="1">
        <f ca="1">IFERROR(__xludf.DUMMYFUNCTION("""COMPUTED_VALUE"""),23)</f>
        <v>23</v>
      </c>
      <c r="D63" s="1">
        <f ca="1">IFERROR(__xludf.DUMMYFUNCTION("""COMPUTED_VALUE"""),13)</f>
        <v>13</v>
      </c>
      <c r="E63" s="1">
        <f ca="1">IFERROR(__xludf.DUMMYFUNCTION("""COMPUTED_VALUE"""),0.639)</f>
        <v>0.63900000000000001</v>
      </c>
      <c r="F63" s="1">
        <f ca="1">IFERROR(__xludf.DUMMYFUNCTION("""COMPUTED_VALUE"""),11.08)</f>
        <v>11.08</v>
      </c>
      <c r="G63" s="1">
        <f ca="1">IFERROR(__xludf.DUMMYFUNCTION("""COMPUTED_VALUE"""),5.97)</f>
        <v>5.97</v>
      </c>
      <c r="H63" s="1">
        <f ca="1">IFERROR(__xludf.DUMMYFUNCTION("""COMPUTED_VALUE"""),10)</f>
        <v>10</v>
      </c>
      <c r="I63" s="1">
        <f ca="1">IFERROR(__xludf.DUMMYFUNCTION("""COMPUTED_VALUE"""),8)</f>
        <v>8</v>
      </c>
      <c r="J63" s="1">
        <f ca="1">IFERROR(__xludf.DUMMYFUNCTION("""COMPUTED_VALUE"""),16)</f>
        <v>16</v>
      </c>
      <c r="K63" s="1">
        <f ca="1">IFERROR(__xludf.DUMMYFUNCTION("""COMPUTED_VALUE"""),3)</f>
        <v>3</v>
      </c>
      <c r="L63" s="1">
        <f ca="1">IFERROR(__xludf.DUMMYFUNCTION("""COMPUTED_VALUE"""),4)</f>
        <v>4</v>
      </c>
      <c r="M63" s="1">
        <f ca="1">IFERROR(__xludf.DUMMYFUNCTION("""COMPUTED_VALUE"""),7)</f>
        <v>7</v>
      </c>
      <c r="N63" s="1">
        <f ca="1">IFERROR(__xludf.DUMMYFUNCTION("""COMPUTED_VALUE"""),2287)</f>
        <v>2287</v>
      </c>
      <c r="O63" s="1">
        <f ca="1">IFERROR(__xludf.DUMMYFUNCTION("""COMPUTED_VALUE"""),2103)</f>
        <v>2103</v>
      </c>
      <c r="P63" s="1">
        <f ca="1">IFERROR(__xludf.DUMMYFUNCTION("""COMPUTED_VALUE"""),1471)</f>
        <v>1471</v>
      </c>
      <c r="Q63" s="1">
        <f ca="1">IFERROR(__xludf.DUMMYFUNCTION("""COMPUTED_VALUE"""),796)</f>
        <v>796</v>
      </c>
      <c r="R63" s="1">
        <f ca="1">IFERROR(__xludf.DUMMYFUNCTION("""COMPUTED_VALUE"""),1879)</f>
        <v>1879</v>
      </c>
      <c r="S63" s="1">
        <f ca="1">IFERROR(__xludf.DUMMYFUNCTION("""COMPUTED_VALUE"""),0.424)</f>
        <v>0.42399999999999999</v>
      </c>
      <c r="T63" s="1">
        <f ca="1">IFERROR(__xludf.DUMMYFUNCTION("""COMPUTED_VALUE"""),190)</f>
        <v>190</v>
      </c>
      <c r="U63" s="1">
        <f ca="1">IFERROR(__xludf.DUMMYFUNCTION("""COMPUTED_VALUE"""),613)</f>
        <v>613</v>
      </c>
      <c r="V63" s="1">
        <f ca="1">IFERROR(__xludf.DUMMYFUNCTION("""COMPUTED_VALUE"""),0.31)</f>
        <v>0.31</v>
      </c>
      <c r="W63" s="1">
        <f ca="1">IFERROR(__xludf.DUMMYFUNCTION("""COMPUTED_VALUE"""),505)</f>
        <v>505</v>
      </c>
      <c r="X63" s="1">
        <f ca="1">IFERROR(__xludf.DUMMYFUNCTION("""COMPUTED_VALUE"""),679)</f>
        <v>679</v>
      </c>
      <c r="Y63" s="1">
        <f ca="1">IFERROR(__xludf.DUMMYFUNCTION("""COMPUTED_VALUE"""),0.744)</f>
        <v>0.74399999999999999</v>
      </c>
      <c r="Z63" s="1">
        <f ca="1">IFERROR(__xludf.DUMMYFUNCTION("""COMPUTED_VALUE"""),399)</f>
        <v>399</v>
      </c>
      <c r="AA63" s="1">
        <f ca="1">IFERROR(__xludf.DUMMYFUNCTION("""COMPUTED_VALUE"""),1269)</f>
        <v>1269</v>
      </c>
      <c r="AB63" s="1">
        <f ca="1">IFERROR(__xludf.DUMMYFUNCTION("""COMPUTED_VALUE"""),383)</f>
        <v>383</v>
      </c>
      <c r="AC63" s="1">
        <f ca="1">IFERROR(__xludf.DUMMYFUNCTION("""COMPUTED_VALUE"""),168)</f>
        <v>168</v>
      </c>
      <c r="AD63" s="1">
        <f ca="1">IFERROR(__xludf.DUMMYFUNCTION("""COMPUTED_VALUE"""),221)</f>
        <v>221</v>
      </c>
      <c r="AE63" s="1">
        <f ca="1">IFERROR(__xludf.DUMMYFUNCTION("""COMPUTED_VALUE"""),401)</f>
        <v>401</v>
      </c>
      <c r="AF63" s="1">
        <f ca="1">IFERROR(__xludf.DUMMYFUNCTION("""COMPUTED_VALUE"""),565)</f>
        <v>565</v>
      </c>
    </row>
    <row r="64" spans="1:32" ht="12.5" x14ac:dyDescent="0.25">
      <c r="A64" s="1" t="str">
        <f ca="1">IFERROR(__xludf.DUMMYFUNCTION("""COMPUTED_VALUE"""),"Cleveland State")</f>
        <v>Cleveland State</v>
      </c>
      <c r="B64" s="1">
        <f ca="1">IFERROR(__xludf.DUMMYFUNCTION("""COMPUTED_VALUE"""),33)</f>
        <v>33</v>
      </c>
      <c r="C64" s="1">
        <f ca="1">IFERROR(__xludf.DUMMYFUNCTION("""COMPUTED_VALUE"""),21)</f>
        <v>21</v>
      </c>
      <c r="D64" s="1">
        <f ca="1">IFERROR(__xludf.DUMMYFUNCTION("""COMPUTED_VALUE"""),12)</f>
        <v>12</v>
      </c>
      <c r="E64" s="1">
        <f ca="1">IFERROR(__xludf.DUMMYFUNCTION("""COMPUTED_VALUE"""),0.636)</f>
        <v>0.63600000000000001</v>
      </c>
      <c r="F64" s="1">
        <f ca="1">IFERROR(__xludf.DUMMYFUNCTION("""COMPUTED_VALUE"""),4.38)</f>
        <v>4.38</v>
      </c>
      <c r="G64" s="1">
        <f ca="1">IFERROR(__xludf.DUMMYFUNCTION("""COMPUTED_VALUE"""),-0.52)</f>
        <v>-0.52</v>
      </c>
      <c r="H64" s="1">
        <f ca="1">IFERROR(__xludf.DUMMYFUNCTION("""COMPUTED_VALUE"""),12)</f>
        <v>12</v>
      </c>
      <c r="I64" s="1">
        <f ca="1">IFERROR(__xludf.DUMMYFUNCTION("""COMPUTED_VALUE"""),4)</f>
        <v>4</v>
      </c>
      <c r="J64" s="1">
        <f ca="1">IFERROR(__xludf.DUMMYFUNCTION("""COMPUTED_VALUE"""),12)</f>
        <v>12</v>
      </c>
      <c r="K64" s="1">
        <f ca="1">IFERROR(__xludf.DUMMYFUNCTION("""COMPUTED_VALUE"""),3)</f>
        <v>3</v>
      </c>
      <c r="L64" s="1">
        <f ca="1">IFERROR(__xludf.DUMMYFUNCTION("""COMPUTED_VALUE"""),9)</f>
        <v>9</v>
      </c>
      <c r="M64" s="1">
        <f ca="1">IFERROR(__xludf.DUMMYFUNCTION("""COMPUTED_VALUE"""),8)</f>
        <v>8</v>
      </c>
      <c r="N64" s="1">
        <f ca="1">IFERROR(__xludf.DUMMYFUNCTION("""COMPUTED_VALUE"""),2410)</f>
        <v>2410</v>
      </c>
      <c r="O64" s="1">
        <f ca="1">IFERROR(__xludf.DUMMYFUNCTION("""COMPUTED_VALUE"""),2186)</f>
        <v>2186</v>
      </c>
      <c r="P64" s="1">
        <f ca="1">IFERROR(__xludf.DUMMYFUNCTION("""COMPUTED_VALUE"""),1340)</f>
        <v>1340</v>
      </c>
      <c r="Q64" s="1">
        <f ca="1">IFERROR(__xludf.DUMMYFUNCTION("""COMPUTED_VALUE"""),837)</f>
        <v>837</v>
      </c>
      <c r="R64" s="1">
        <f ca="1">IFERROR(__xludf.DUMMYFUNCTION("""COMPUTED_VALUE"""),1786)</f>
        <v>1786</v>
      </c>
      <c r="S64" s="1">
        <f ca="1">IFERROR(__xludf.DUMMYFUNCTION("""COMPUTED_VALUE"""),0.469)</f>
        <v>0.46899999999999997</v>
      </c>
      <c r="T64" s="1">
        <f ca="1">IFERROR(__xludf.DUMMYFUNCTION("""COMPUTED_VALUE"""),240)</f>
        <v>240</v>
      </c>
      <c r="U64" s="1">
        <f ca="1">IFERROR(__xludf.DUMMYFUNCTION("""COMPUTED_VALUE"""),594)</f>
        <v>594</v>
      </c>
      <c r="V64" s="1">
        <f ca="1">IFERROR(__xludf.DUMMYFUNCTION("""COMPUTED_VALUE"""),0.404)</f>
        <v>0.40400000000000003</v>
      </c>
      <c r="W64" s="1">
        <f ca="1">IFERROR(__xludf.DUMMYFUNCTION("""COMPUTED_VALUE"""),496)</f>
        <v>496</v>
      </c>
      <c r="X64" s="1">
        <f ca="1">IFERROR(__xludf.DUMMYFUNCTION("""COMPUTED_VALUE"""),659)</f>
        <v>659</v>
      </c>
      <c r="Y64" s="1">
        <f ca="1">IFERROR(__xludf.DUMMYFUNCTION("""COMPUTED_VALUE"""),0.753)</f>
        <v>0.753</v>
      </c>
      <c r="Z64" s="1">
        <f ca="1">IFERROR(__xludf.DUMMYFUNCTION("""COMPUTED_VALUE"""),345)</f>
        <v>345</v>
      </c>
      <c r="AA64" s="1">
        <f ca="1">IFERROR(__xludf.DUMMYFUNCTION("""COMPUTED_VALUE"""),1115)</f>
        <v>1115</v>
      </c>
      <c r="AB64" s="1">
        <f ca="1">IFERROR(__xludf.DUMMYFUNCTION("""COMPUTED_VALUE"""),469)</f>
        <v>469</v>
      </c>
      <c r="AC64" s="1">
        <f ca="1">IFERROR(__xludf.DUMMYFUNCTION("""COMPUTED_VALUE"""),200)</f>
        <v>200</v>
      </c>
      <c r="AD64" s="1">
        <f ca="1">IFERROR(__xludf.DUMMYFUNCTION("""COMPUTED_VALUE"""),113)</f>
        <v>113</v>
      </c>
      <c r="AE64" s="1">
        <f ca="1">IFERROR(__xludf.DUMMYFUNCTION("""COMPUTED_VALUE"""),414)</f>
        <v>414</v>
      </c>
      <c r="AF64" s="1">
        <f ca="1">IFERROR(__xludf.DUMMYFUNCTION("""COMPUTED_VALUE"""),649)</f>
        <v>649</v>
      </c>
    </row>
    <row r="65" spans="1:32" ht="12.5" x14ac:dyDescent="0.25">
      <c r="A65" s="1" t="str">
        <f ca="1">IFERROR(__xludf.DUMMYFUNCTION("""COMPUTED_VALUE"""),"Coastal CarolinaNCAA")</f>
        <v>Coastal CarolinaNCAA</v>
      </c>
      <c r="B65" s="1">
        <f ca="1">IFERROR(__xludf.DUMMYFUNCTION("""COMPUTED_VALUE"""),34)</f>
        <v>34</v>
      </c>
      <c r="C65" s="1">
        <f ca="1">IFERROR(__xludf.DUMMYFUNCTION("""COMPUTED_VALUE"""),21)</f>
        <v>21</v>
      </c>
      <c r="D65" s="1">
        <f ca="1">IFERROR(__xludf.DUMMYFUNCTION("""COMPUTED_VALUE"""),13)</f>
        <v>13</v>
      </c>
      <c r="E65" s="1">
        <f ca="1">IFERROR(__xludf.DUMMYFUNCTION("""COMPUTED_VALUE"""),0.618)</f>
        <v>0.61799999999999999</v>
      </c>
      <c r="F65" s="1">
        <f ca="1">IFERROR(__xludf.DUMMYFUNCTION("""COMPUTED_VALUE"""),-5.21)</f>
        <v>-5.21</v>
      </c>
      <c r="G65" s="1">
        <f ca="1">IFERROR(__xludf.DUMMYFUNCTION("""COMPUTED_VALUE"""),-6.31)</f>
        <v>-6.31</v>
      </c>
      <c r="H65" s="1">
        <f ca="1">IFERROR(__xludf.DUMMYFUNCTION("""COMPUTED_VALUE"""),11)</f>
        <v>11</v>
      </c>
      <c r="I65" s="1">
        <f ca="1">IFERROR(__xludf.DUMMYFUNCTION("""COMPUTED_VALUE"""),5)</f>
        <v>5</v>
      </c>
      <c r="J65" s="1">
        <f ca="1">IFERROR(__xludf.DUMMYFUNCTION("""COMPUTED_VALUE"""),14)</f>
        <v>14</v>
      </c>
      <c r="K65" s="1">
        <f ca="1">IFERROR(__xludf.DUMMYFUNCTION("""COMPUTED_VALUE"""),5)</f>
        <v>5</v>
      </c>
      <c r="L65" s="1">
        <f ca="1">IFERROR(__xludf.DUMMYFUNCTION("""COMPUTED_VALUE"""),6)</f>
        <v>6</v>
      </c>
      <c r="M65" s="1">
        <f ca="1">IFERROR(__xludf.DUMMYFUNCTION("""COMPUTED_VALUE"""),7)</f>
        <v>7</v>
      </c>
      <c r="N65" s="1">
        <f ca="1">IFERROR(__xludf.DUMMYFUNCTION("""COMPUTED_VALUE"""),2458)</f>
        <v>2458</v>
      </c>
      <c r="O65" s="1">
        <f ca="1">IFERROR(__xludf.DUMMYFUNCTION("""COMPUTED_VALUE"""),2326)</f>
        <v>2326</v>
      </c>
      <c r="P65" s="1">
        <f ca="1">IFERROR(__xludf.DUMMYFUNCTION("""COMPUTED_VALUE"""),1375)</f>
        <v>1375</v>
      </c>
      <c r="Q65" s="1">
        <f ca="1">IFERROR(__xludf.DUMMYFUNCTION("""COMPUTED_VALUE"""),861)</f>
        <v>861</v>
      </c>
      <c r="R65" s="1">
        <f ca="1">IFERROR(__xludf.DUMMYFUNCTION("""COMPUTED_VALUE"""),1969)</f>
        <v>1969</v>
      </c>
      <c r="S65" s="1">
        <f ca="1">IFERROR(__xludf.DUMMYFUNCTION("""COMPUTED_VALUE"""),0.437)</f>
        <v>0.437</v>
      </c>
      <c r="T65" s="1">
        <f ca="1">IFERROR(__xludf.DUMMYFUNCTION("""COMPUTED_VALUE"""),212)</f>
        <v>212</v>
      </c>
      <c r="U65" s="1">
        <f ca="1">IFERROR(__xludf.DUMMYFUNCTION("""COMPUTED_VALUE"""),628)</f>
        <v>628</v>
      </c>
      <c r="V65" s="1">
        <f ca="1">IFERROR(__xludf.DUMMYFUNCTION("""COMPUTED_VALUE"""),0.338)</f>
        <v>0.33800000000000002</v>
      </c>
      <c r="W65" s="1">
        <f ca="1">IFERROR(__xludf.DUMMYFUNCTION("""COMPUTED_VALUE"""),524)</f>
        <v>524</v>
      </c>
      <c r="X65" s="1">
        <f ca="1">IFERROR(__xludf.DUMMYFUNCTION("""COMPUTED_VALUE"""),758)</f>
        <v>758</v>
      </c>
      <c r="Y65" s="1">
        <f ca="1">IFERROR(__xludf.DUMMYFUNCTION("""COMPUTED_VALUE"""),0.691)</f>
        <v>0.69099999999999995</v>
      </c>
      <c r="Z65" s="1">
        <f ca="1">IFERROR(__xludf.DUMMYFUNCTION("""COMPUTED_VALUE"""),434)</f>
        <v>434</v>
      </c>
      <c r="AA65" s="1">
        <f ca="1">IFERROR(__xludf.DUMMYFUNCTION("""COMPUTED_VALUE"""),1336)</f>
        <v>1336</v>
      </c>
      <c r="AB65" s="1">
        <f ca="1">IFERROR(__xludf.DUMMYFUNCTION("""COMPUTED_VALUE"""),362)</f>
        <v>362</v>
      </c>
      <c r="AC65" s="1">
        <f ca="1">IFERROR(__xludf.DUMMYFUNCTION("""COMPUTED_VALUE"""),216)</f>
        <v>216</v>
      </c>
      <c r="AD65" s="1">
        <f ca="1">IFERROR(__xludf.DUMMYFUNCTION("""COMPUTED_VALUE"""),96)</f>
        <v>96</v>
      </c>
      <c r="AE65" s="1">
        <f ca="1">IFERROR(__xludf.DUMMYFUNCTION("""COMPUTED_VALUE"""),473)</f>
        <v>473</v>
      </c>
      <c r="AF65" s="1">
        <f ca="1">IFERROR(__xludf.DUMMYFUNCTION("""COMPUTED_VALUE"""),668)</f>
        <v>668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IFERROR(__xludf.DUMMYFUNCTION("""COMPUTED_VALUE"""),"Colgate")</f>
        <v>Colgate</v>
      </c>
      <c r="B68" s="1">
        <f ca="1">IFERROR(__xludf.DUMMYFUNCTION("""COMPUTED_VALUE"""),31)</f>
        <v>31</v>
      </c>
      <c r="C68" s="1">
        <f ca="1">IFERROR(__xludf.DUMMYFUNCTION("""COMPUTED_VALUE"""),13)</f>
        <v>13</v>
      </c>
      <c r="D68" s="1">
        <f ca="1">IFERROR(__xludf.DUMMYFUNCTION("""COMPUTED_VALUE"""),18)</f>
        <v>18</v>
      </c>
      <c r="E68" s="1">
        <f ca="1">IFERROR(__xludf.DUMMYFUNCTION("""COMPUTED_VALUE"""),0.419)</f>
        <v>0.41899999999999998</v>
      </c>
      <c r="F68" s="1">
        <f ca="1">IFERROR(__xludf.DUMMYFUNCTION("""COMPUTED_VALUE"""),-2.51)</f>
        <v>-2.5099999999999998</v>
      </c>
      <c r="G68" s="1">
        <f ca="1">IFERROR(__xludf.DUMMYFUNCTION("""COMPUTED_VALUE"""),-4.08)</f>
        <v>-4.08</v>
      </c>
      <c r="H68" s="1">
        <f ca="1">IFERROR(__xludf.DUMMYFUNCTION("""COMPUTED_VALUE"""),6)</f>
        <v>6</v>
      </c>
      <c r="I68" s="1">
        <f ca="1">IFERROR(__xludf.DUMMYFUNCTION("""COMPUTED_VALUE"""),12)</f>
        <v>12</v>
      </c>
      <c r="J68" s="1">
        <f ca="1">IFERROR(__xludf.DUMMYFUNCTION("""COMPUTED_VALUE"""),7)</f>
        <v>7</v>
      </c>
      <c r="K68" s="1">
        <f ca="1">IFERROR(__xludf.DUMMYFUNCTION("""COMPUTED_VALUE"""),8)</f>
        <v>8</v>
      </c>
      <c r="L68" s="1">
        <f ca="1">IFERROR(__xludf.DUMMYFUNCTION("""COMPUTED_VALUE"""),6)</f>
        <v>6</v>
      </c>
      <c r="M68" s="1">
        <f ca="1">IFERROR(__xludf.DUMMYFUNCTION("""COMPUTED_VALUE"""),10)</f>
        <v>10</v>
      </c>
      <c r="N68" s="1">
        <f ca="1">IFERROR(__xludf.DUMMYFUNCTION("""COMPUTED_VALUE"""),2158)</f>
        <v>2158</v>
      </c>
      <c r="O68" s="1">
        <f ca="1">IFERROR(__xludf.DUMMYFUNCTION("""COMPUTED_VALUE"""),2083)</f>
        <v>2083</v>
      </c>
      <c r="P68" s="1">
        <f ca="1">IFERROR(__xludf.DUMMYFUNCTION("""COMPUTED_VALUE"""),1260)</f>
        <v>1260</v>
      </c>
      <c r="Q68" s="1">
        <f ca="1">IFERROR(__xludf.DUMMYFUNCTION("""COMPUTED_VALUE"""),785)</f>
        <v>785</v>
      </c>
      <c r="R68" s="1">
        <f ca="1">IFERROR(__xludf.DUMMYFUNCTION("""COMPUTED_VALUE"""),1622)</f>
        <v>1622</v>
      </c>
      <c r="S68" s="1">
        <f ca="1">IFERROR(__xludf.DUMMYFUNCTION("""COMPUTED_VALUE"""),0.484)</f>
        <v>0.48399999999999999</v>
      </c>
      <c r="T68" s="1">
        <f ca="1">IFERROR(__xludf.DUMMYFUNCTION("""COMPUTED_VALUE"""),260)</f>
        <v>260</v>
      </c>
      <c r="U68" s="1">
        <f ca="1">IFERROR(__xludf.DUMMYFUNCTION("""COMPUTED_VALUE"""),657)</f>
        <v>657</v>
      </c>
      <c r="V68" s="1">
        <f ca="1">IFERROR(__xludf.DUMMYFUNCTION("""COMPUTED_VALUE"""),0.396)</f>
        <v>0.39600000000000002</v>
      </c>
      <c r="W68" s="1">
        <f ca="1">IFERROR(__xludf.DUMMYFUNCTION("""COMPUTED_VALUE"""),328)</f>
        <v>328</v>
      </c>
      <c r="X68" s="1">
        <f ca="1">IFERROR(__xludf.DUMMYFUNCTION("""COMPUTED_VALUE"""),459)</f>
        <v>459</v>
      </c>
      <c r="Y68" s="1">
        <f ca="1">IFERROR(__xludf.DUMMYFUNCTION("""COMPUTED_VALUE"""),0.715)</f>
        <v>0.71499999999999997</v>
      </c>
      <c r="Z68" s="1">
        <f ca="1">IFERROR(__xludf.DUMMYFUNCTION("""COMPUTED_VALUE"""),220)</f>
        <v>220</v>
      </c>
      <c r="AA68" s="1">
        <f ca="1">IFERROR(__xludf.DUMMYFUNCTION("""COMPUTED_VALUE"""),954)</f>
        <v>954</v>
      </c>
      <c r="AB68" s="1">
        <f ca="1">IFERROR(__xludf.DUMMYFUNCTION("""COMPUTED_VALUE"""),440)</f>
        <v>440</v>
      </c>
      <c r="AC68" s="1">
        <f ca="1">IFERROR(__xludf.DUMMYFUNCTION("""COMPUTED_VALUE"""),143)</f>
        <v>143</v>
      </c>
      <c r="AD68" s="1">
        <f ca="1">IFERROR(__xludf.DUMMYFUNCTION("""COMPUTED_VALUE"""),70)</f>
        <v>70</v>
      </c>
      <c r="AE68" s="1">
        <f ca="1">IFERROR(__xludf.DUMMYFUNCTION("""COMPUTED_VALUE"""),355)</f>
        <v>355</v>
      </c>
      <c r="AF68" s="1">
        <f ca="1">IFERROR(__xludf.DUMMYFUNCTION("""COMPUTED_VALUE"""),529)</f>
        <v>529</v>
      </c>
    </row>
    <row r="69" spans="1:32" ht="12.5" x14ac:dyDescent="0.25">
      <c r="A69" s="1" t="str">
        <f ca="1">IFERROR(__xludf.DUMMYFUNCTION("""COMPUTED_VALUE"""),"College of Charleston")</f>
        <v>College of Charleston</v>
      </c>
      <c r="B69" s="1">
        <f ca="1">IFERROR(__xludf.DUMMYFUNCTION("""COMPUTED_VALUE"""),32)</f>
        <v>32</v>
      </c>
      <c r="C69" s="1">
        <f ca="1">IFERROR(__xludf.DUMMYFUNCTION("""COMPUTED_VALUE"""),14)</f>
        <v>14</v>
      </c>
      <c r="D69" s="1">
        <f ca="1">IFERROR(__xludf.DUMMYFUNCTION("""COMPUTED_VALUE"""),18)</f>
        <v>18</v>
      </c>
      <c r="E69" s="1">
        <f ca="1">IFERROR(__xludf.DUMMYFUNCTION("""COMPUTED_VALUE"""),0.438)</f>
        <v>0.438</v>
      </c>
      <c r="F69" s="1">
        <f ca="1">IFERROR(__xludf.DUMMYFUNCTION("""COMPUTED_VALUE"""),-2.02)</f>
        <v>-2.02</v>
      </c>
      <c r="G69" s="1">
        <f ca="1">IFERROR(__xludf.DUMMYFUNCTION("""COMPUTED_VALUE"""),-1.89)</f>
        <v>-1.89</v>
      </c>
      <c r="H69" s="1">
        <f ca="1">IFERROR(__xludf.DUMMYFUNCTION("""COMPUTED_VALUE"""),6)</f>
        <v>6</v>
      </c>
      <c r="I69" s="1">
        <f ca="1">IFERROR(__xludf.DUMMYFUNCTION("""COMPUTED_VALUE"""),10)</f>
        <v>10</v>
      </c>
      <c r="J69" s="1">
        <f ca="1">IFERROR(__xludf.DUMMYFUNCTION("""COMPUTED_VALUE"""),9)</f>
        <v>9</v>
      </c>
      <c r="K69" s="1">
        <f ca="1">IFERROR(__xludf.DUMMYFUNCTION("""COMPUTED_VALUE"""),7)</f>
        <v>7</v>
      </c>
      <c r="L69" s="1">
        <f ca="1">IFERROR(__xludf.DUMMYFUNCTION("""COMPUTED_VALUE"""),4)</f>
        <v>4</v>
      </c>
      <c r="M69" s="1">
        <f ca="1">IFERROR(__xludf.DUMMYFUNCTION("""COMPUTED_VALUE"""),8)</f>
        <v>8</v>
      </c>
      <c r="N69" s="1">
        <f ca="1">IFERROR(__xludf.DUMMYFUNCTION("""COMPUTED_VALUE"""),2016)</f>
        <v>2016</v>
      </c>
      <c r="O69" s="1">
        <f ca="1">IFERROR(__xludf.DUMMYFUNCTION("""COMPUTED_VALUE"""),2006)</f>
        <v>2006</v>
      </c>
      <c r="P69" s="1">
        <f ca="1">IFERROR(__xludf.DUMMYFUNCTION("""COMPUTED_VALUE"""),1300)</f>
        <v>1300</v>
      </c>
      <c r="Q69" s="1">
        <f ca="1">IFERROR(__xludf.DUMMYFUNCTION("""COMPUTED_VALUE"""),709)</f>
        <v>709</v>
      </c>
      <c r="R69" s="1">
        <f ca="1">IFERROR(__xludf.DUMMYFUNCTION("""COMPUTED_VALUE"""),1719)</f>
        <v>1719</v>
      </c>
      <c r="S69" s="1">
        <f ca="1">IFERROR(__xludf.DUMMYFUNCTION("""COMPUTED_VALUE"""),0.412)</f>
        <v>0.41199999999999998</v>
      </c>
      <c r="T69" s="1">
        <f ca="1">IFERROR(__xludf.DUMMYFUNCTION("""COMPUTED_VALUE"""),209)</f>
        <v>209</v>
      </c>
      <c r="U69" s="1">
        <f ca="1">IFERROR(__xludf.DUMMYFUNCTION("""COMPUTED_VALUE"""),613)</f>
        <v>613</v>
      </c>
      <c r="V69" s="1">
        <f ca="1">IFERROR(__xludf.DUMMYFUNCTION("""COMPUTED_VALUE"""),0.341)</f>
        <v>0.34100000000000003</v>
      </c>
      <c r="W69" s="1">
        <f ca="1">IFERROR(__xludf.DUMMYFUNCTION("""COMPUTED_VALUE"""),389)</f>
        <v>389</v>
      </c>
      <c r="X69" s="1">
        <f ca="1">IFERROR(__xludf.DUMMYFUNCTION("""COMPUTED_VALUE"""),593)</f>
        <v>593</v>
      </c>
      <c r="Y69" s="1">
        <f ca="1">IFERROR(__xludf.DUMMYFUNCTION("""COMPUTED_VALUE"""),0.656)</f>
        <v>0.65600000000000003</v>
      </c>
      <c r="Z69" s="1">
        <f ca="1">IFERROR(__xludf.DUMMYFUNCTION("""COMPUTED_VALUE"""),393)</f>
        <v>393</v>
      </c>
      <c r="AA69" s="1">
        <f ca="1">IFERROR(__xludf.DUMMYFUNCTION("""COMPUTED_VALUE"""),1213)</f>
        <v>1213</v>
      </c>
      <c r="AB69" s="1">
        <f ca="1">IFERROR(__xludf.DUMMYFUNCTION("""COMPUTED_VALUE"""),324)</f>
        <v>324</v>
      </c>
      <c r="AC69" s="1">
        <f ca="1">IFERROR(__xludf.DUMMYFUNCTION("""COMPUTED_VALUE"""),149)</f>
        <v>149</v>
      </c>
      <c r="AD69" s="1">
        <f ca="1">IFERROR(__xludf.DUMMYFUNCTION("""COMPUTED_VALUE"""),132)</f>
        <v>132</v>
      </c>
      <c r="AE69" s="1">
        <f ca="1">IFERROR(__xludf.DUMMYFUNCTION("""COMPUTED_VALUE"""),409)</f>
        <v>409</v>
      </c>
      <c r="AF69" s="1">
        <f ca="1">IFERROR(__xludf.DUMMYFUNCTION("""COMPUTED_VALUE"""),595)</f>
        <v>595</v>
      </c>
    </row>
    <row r="70" spans="1:32" ht="12.5" x14ac:dyDescent="0.25">
      <c r="A70" s="1" t="str">
        <f ca="1">IFERROR(__xludf.DUMMYFUNCTION("""COMPUTED_VALUE"""),"Colorado State")</f>
        <v>Colorado State</v>
      </c>
      <c r="B70" s="1">
        <f ca="1">IFERROR(__xludf.DUMMYFUNCTION("""COMPUTED_VALUE"""),32)</f>
        <v>32</v>
      </c>
      <c r="C70" s="1">
        <f ca="1">IFERROR(__xludf.DUMMYFUNCTION("""COMPUTED_VALUE"""),16)</f>
        <v>16</v>
      </c>
      <c r="D70" s="1">
        <f ca="1">IFERROR(__xludf.DUMMYFUNCTION("""COMPUTED_VALUE"""),16)</f>
        <v>16</v>
      </c>
      <c r="E70" s="1">
        <f ca="1">IFERROR(__xludf.DUMMYFUNCTION("""COMPUTED_VALUE"""),0.5)</f>
        <v>0.5</v>
      </c>
      <c r="F70" s="1">
        <f ca="1">IFERROR(__xludf.DUMMYFUNCTION("""COMPUTED_VALUE"""),3.29)</f>
        <v>3.29</v>
      </c>
      <c r="G70" s="1">
        <f ca="1">IFERROR(__xludf.DUMMYFUNCTION("""COMPUTED_VALUE"""),2.16)</f>
        <v>2.16</v>
      </c>
      <c r="H70" s="1">
        <f ca="1">IFERROR(__xludf.DUMMYFUNCTION("""COMPUTED_VALUE"""),7)</f>
        <v>7</v>
      </c>
      <c r="I70" s="1">
        <f ca="1">IFERROR(__xludf.DUMMYFUNCTION("""COMPUTED_VALUE"""),11)</f>
        <v>11</v>
      </c>
      <c r="J70" s="1">
        <f ca="1">IFERROR(__xludf.DUMMYFUNCTION("""COMPUTED_VALUE"""),14)</f>
        <v>14</v>
      </c>
      <c r="K70" s="1">
        <f ca="1">IFERROR(__xludf.DUMMYFUNCTION("""COMPUTED_VALUE"""),6)</f>
        <v>6</v>
      </c>
      <c r="L70" s="1">
        <f ca="1">IFERROR(__xludf.DUMMYFUNCTION("""COMPUTED_VALUE"""),2)</f>
        <v>2</v>
      </c>
      <c r="M70" s="1">
        <f ca="1">IFERROR(__xludf.DUMMYFUNCTION("""COMPUTED_VALUE"""),9)</f>
        <v>9</v>
      </c>
      <c r="N70" s="1">
        <f ca="1">IFERROR(__xludf.DUMMYFUNCTION("""COMPUTED_VALUE"""),2347)</f>
        <v>2347</v>
      </c>
      <c r="O70" s="1">
        <f ca="1">IFERROR(__xludf.DUMMYFUNCTION("""COMPUTED_VALUE"""),2230)</f>
        <v>2230</v>
      </c>
      <c r="P70" s="1">
        <f ca="1">IFERROR(__xludf.DUMMYFUNCTION("""COMPUTED_VALUE"""),1280)</f>
        <v>1280</v>
      </c>
      <c r="Q70" s="1">
        <f ca="1">IFERROR(__xludf.DUMMYFUNCTION("""COMPUTED_VALUE"""),770)</f>
        <v>770</v>
      </c>
      <c r="R70" s="1">
        <f ca="1">IFERROR(__xludf.DUMMYFUNCTION("""COMPUTED_VALUE"""),1798)</f>
        <v>1798</v>
      </c>
      <c r="S70" s="1">
        <f ca="1">IFERROR(__xludf.DUMMYFUNCTION("""COMPUTED_VALUE"""),0.428)</f>
        <v>0.42799999999999999</v>
      </c>
      <c r="T70" s="1">
        <f ca="1">IFERROR(__xludf.DUMMYFUNCTION("""COMPUTED_VALUE"""),170)</f>
        <v>170</v>
      </c>
      <c r="U70" s="1">
        <f ca="1">IFERROR(__xludf.DUMMYFUNCTION("""COMPUTED_VALUE"""),522)</f>
        <v>522</v>
      </c>
      <c r="V70" s="1">
        <f ca="1">IFERROR(__xludf.DUMMYFUNCTION("""COMPUTED_VALUE"""),0.326)</f>
        <v>0.32600000000000001</v>
      </c>
      <c r="W70" s="1">
        <f ca="1">IFERROR(__xludf.DUMMYFUNCTION("""COMPUTED_VALUE"""),637)</f>
        <v>637</v>
      </c>
      <c r="X70" s="1">
        <f ca="1">IFERROR(__xludf.DUMMYFUNCTION("""COMPUTED_VALUE"""),877)</f>
        <v>877</v>
      </c>
      <c r="Y70" s="1">
        <f ca="1">IFERROR(__xludf.DUMMYFUNCTION("""COMPUTED_VALUE"""),0.726)</f>
        <v>0.72599999999999998</v>
      </c>
      <c r="Z70" s="1">
        <f ca="1">IFERROR(__xludf.DUMMYFUNCTION("""COMPUTED_VALUE"""),405)</f>
        <v>405</v>
      </c>
      <c r="AA70" s="1">
        <f ca="1">IFERROR(__xludf.DUMMYFUNCTION("""COMPUTED_VALUE"""),1202)</f>
        <v>1202</v>
      </c>
      <c r="AB70" s="1">
        <f ca="1">IFERROR(__xludf.DUMMYFUNCTION("""COMPUTED_VALUE"""),405)</f>
        <v>405</v>
      </c>
      <c r="AC70" s="1">
        <f ca="1">IFERROR(__xludf.DUMMYFUNCTION("""COMPUTED_VALUE"""),159)</f>
        <v>159</v>
      </c>
      <c r="AD70" s="1">
        <f ca="1">IFERROR(__xludf.DUMMYFUNCTION("""COMPUTED_VALUE"""),103)</f>
        <v>103</v>
      </c>
      <c r="AE70" s="1">
        <f ca="1">IFERROR(__xludf.DUMMYFUNCTION("""COMPUTED_VALUE"""),293)</f>
        <v>293</v>
      </c>
      <c r="AF70" s="1">
        <f ca="1">IFERROR(__xludf.DUMMYFUNCTION("""COMPUTED_VALUE"""),591)</f>
        <v>591</v>
      </c>
    </row>
    <row r="71" spans="1:32" ht="12.5" x14ac:dyDescent="0.25">
      <c r="A71" s="1" t="str">
        <f ca="1">IFERROR(__xludf.DUMMYFUNCTION("""COMPUTED_VALUE"""),"ColoradoNCAA")</f>
        <v>ColoradoNCAA</v>
      </c>
      <c r="B71" s="1">
        <f ca="1">IFERROR(__xludf.DUMMYFUNCTION("""COMPUTED_VALUE"""),35)</f>
        <v>35</v>
      </c>
      <c r="C71" s="1">
        <f ca="1">IFERROR(__xludf.DUMMYFUNCTION("""COMPUTED_VALUE"""),23)</f>
        <v>23</v>
      </c>
      <c r="D71" s="1">
        <f ca="1">IFERROR(__xludf.DUMMYFUNCTION("""COMPUTED_VALUE"""),12)</f>
        <v>12</v>
      </c>
      <c r="E71" s="1">
        <f ca="1">IFERROR(__xludf.DUMMYFUNCTION("""COMPUTED_VALUE"""),0.657)</f>
        <v>0.65700000000000003</v>
      </c>
      <c r="F71" s="1">
        <f ca="1">IFERROR(__xludf.DUMMYFUNCTION("""COMPUTED_VALUE"""),10.8)</f>
        <v>10.8</v>
      </c>
      <c r="G71" s="1">
        <f ca="1">IFERROR(__xludf.DUMMYFUNCTION("""COMPUTED_VALUE"""),8.8)</f>
        <v>8.8000000000000007</v>
      </c>
      <c r="H71" s="1">
        <f ca="1">IFERROR(__xludf.DUMMYFUNCTION("""COMPUTED_VALUE"""),10)</f>
        <v>10</v>
      </c>
      <c r="I71" s="1">
        <f ca="1">IFERROR(__xludf.DUMMYFUNCTION("""COMPUTED_VALUE"""),8)</f>
        <v>8</v>
      </c>
      <c r="J71" s="1">
        <f ca="1">IFERROR(__xludf.DUMMYFUNCTION("""COMPUTED_VALUE"""),16)</f>
        <v>16</v>
      </c>
      <c r="K71" s="1">
        <f ca="1">IFERROR(__xludf.DUMMYFUNCTION("""COMPUTED_VALUE"""),2)</f>
        <v>2</v>
      </c>
      <c r="L71" s="1">
        <f ca="1">IFERROR(__xludf.DUMMYFUNCTION("""COMPUTED_VALUE"""),5)</f>
        <v>5</v>
      </c>
      <c r="M71" s="1">
        <f ca="1">IFERROR(__xludf.DUMMYFUNCTION("""COMPUTED_VALUE"""),6)</f>
        <v>6</v>
      </c>
      <c r="N71" s="1">
        <f ca="1">IFERROR(__xludf.DUMMYFUNCTION("""COMPUTED_VALUE"""),2457)</f>
        <v>2457</v>
      </c>
      <c r="O71" s="1">
        <f ca="1">IFERROR(__xludf.DUMMYFUNCTION("""COMPUTED_VALUE"""),2387)</f>
        <v>2387</v>
      </c>
      <c r="P71" s="1">
        <f ca="1">IFERROR(__xludf.DUMMYFUNCTION("""COMPUTED_VALUE"""),1415)</f>
        <v>1415</v>
      </c>
      <c r="Q71" s="1">
        <f ca="1">IFERROR(__xludf.DUMMYFUNCTION("""COMPUTED_VALUE"""),814)</f>
        <v>814</v>
      </c>
      <c r="R71" s="1">
        <f ca="1">IFERROR(__xludf.DUMMYFUNCTION("""COMPUTED_VALUE"""),1871)</f>
        <v>1871</v>
      </c>
      <c r="S71" s="1">
        <f ca="1">IFERROR(__xludf.DUMMYFUNCTION("""COMPUTED_VALUE"""),0.435)</f>
        <v>0.435</v>
      </c>
      <c r="T71" s="1">
        <f ca="1">IFERROR(__xludf.DUMMYFUNCTION("""COMPUTED_VALUE"""),181)</f>
        <v>181</v>
      </c>
      <c r="U71" s="1">
        <f ca="1">IFERROR(__xludf.DUMMYFUNCTION("""COMPUTED_VALUE"""),569)</f>
        <v>569</v>
      </c>
      <c r="V71" s="1">
        <f ca="1">IFERROR(__xludf.DUMMYFUNCTION("""COMPUTED_VALUE"""),0.318)</f>
        <v>0.318</v>
      </c>
      <c r="W71" s="1">
        <f ca="1">IFERROR(__xludf.DUMMYFUNCTION("""COMPUTED_VALUE"""),648)</f>
        <v>648</v>
      </c>
      <c r="X71" s="1">
        <f ca="1">IFERROR(__xludf.DUMMYFUNCTION("""COMPUTED_VALUE"""),903)</f>
        <v>903</v>
      </c>
      <c r="Y71" s="1">
        <f ca="1">IFERROR(__xludf.DUMMYFUNCTION("""COMPUTED_VALUE"""),0.718)</f>
        <v>0.71799999999999997</v>
      </c>
      <c r="Z71" s="1">
        <f ca="1">IFERROR(__xludf.DUMMYFUNCTION("""COMPUTED_VALUE"""),401)</f>
        <v>401</v>
      </c>
      <c r="AA71" s="1">
        <f ca="1">IFERROR(__xludf.DUMMYFUNCTION("""COMPUTED_VALUE"""),1305)</f>
        <v>1305</v>
      </c>
      <c r="AB71" s="1">
        <f ca="1">IFERROR(__xludf.DUMMYFUNCTION("""COMPUTED_VALUE"""),397)</f>
        <v>397</v>
      </c>
      <c r="AC71" s="1">
        <f ca="1">IFERROR(__xludf.DUMMYFUNCTION("""COMPUTED_VALUE"""),207)</f>
        <v>207</v>
      </c>
      <c r="AD71" s="1">
        <f ca="1">IFERROR(__xludf.DUMMYFUNCTION("""COMPUTED_VALUE"""),115)</f>
        <v>115</v>
      </c>
      <c r="AE71" s="1">
        <f ca="1">IFERROR(__xludf.DUMMYFUNCTION("""COMPUTED_VALUE"""),466)</f>
        <v>466</v>
      </c>
      <c r="AF71" s="1">
        <f ca="1">IFERROR(__xludf.DUMMYFUNCTION("""COMPUTED_VALUE"""),576)</f>
        <v>576</v>
      </c>
    </row>
    <row r="72" spans="1:32" ht="12.5" x14ac:dyDescent="0.25">
      <c r="A72" s="1" t="str">
        <f ca="1">IFERROR(__xludf.DUMMYFUNCTION("""COMPUTED_VALUE"""),"Columbia")</f>
        <v>Columbia</v>
      </c>
      <c r="B72" s="1">
        <f ca="1">IFERROR(__xludf.DUMMYFUNCTION("""COMPUTED_VALUE"""),34)</f>
        <v>34</v>
      </c>
      <c r="C72" s="1">
        <f ca="1">IFERROR(__xludf.DUMMYFUNCTION("""COMPUTED_VALUE"""),21)</f>
        <v>21</v>
      </c>
      <c r="D72" s="1">
        <f ca="1">IFERROR(__xludf.DUMMYFUNCTION("""COMPUTED_VALUE"""),13)</f>
        <v>13</v>
      </c>
      <c r="E72" s="1">
        <f ca="1">IFERROR(__xludf.DUMMYFUNCTION("""COMPUTED_VALUE"""),0.618)</f>
        <v>0.61799999999999999</v>
      </c>
      <c r="F72" s="1">
        <f ca="1">IFERROR(__xludf.DUMMYFUNCTION("""COMPUTED_VALUE"""),2.21)</f>
        <v>2.21</v>
      </c>
      <c r="G72" s="1">
        <f ca="1">IFERROR(__xludf.DUMMYFUNCTION("""COMPUTED_VALUE"""),-1.92)</f>
        <v>-1.92</v>
      </c>
      <c r="H72" s="1">
        <f ca="1">IFERROR(__xludf.DUMMYFUNCTION("""COMPUTED_VALUE"""),8)</f>
        <v>8</v>
      </c>
      <c r="I72" s="1">
        <f ca="1">IFERROR(__xludf.DUMMYFUNCTION("""COMPUTED_VALUE"""),6)</f>
        <v>6</v>
      </c>
      <c r="J72" s="1">
        <f ca="1">IFERROR(__xludf.DUMMYFUNCTION("""COMPUTED_VALUE"""),14)</f>
        <v>14</v>
      </c>
      <c r="K72" s="1">
        <f ca="1">IFERROR(__xludf.DUMMYFUNCTION("""COMPUTED_VALUE"""),4)</f>
        <v>4</v>
      </c>
      <c r="L72" s="1">
        <f ca="1">IFERROR(__xludf.DUMMYFUNCTION("""COMPUTED_VALUE"""),5)</f>
        <v>5</v>
      </c>
      <c r="M72" s="1">
        <f ca="1">IFERROR(__xludf.DUMMYFUNCTION("""COMPUTED_VALUE"""),8)</f>
        <v>8</v>
      </c>
      <c r="N72" s="1">
        <f ca="1">IFERROR(__xludf.DUMMYFUNCTION("""COMPUTED_VALUE"""),2313)</f>
        <v>2313</v>
      </c>
      <c r="O72" s="1">
        <f ca="1">IFERROR(__xludf.DUMMYFUNCTION("""COMPUTED_VALUE"""),2151)</f>
        <v>2151</v>
      </c>
      <c r="P72" s="1">
        <f ca="1">IFERROR(__xludf.DUMMYFUNCTION("""COMPUTED_VALUE"""),1384)</f>
        <v>1384</v>
      </c>
      <c r="Q72" s="1">
        <f ca="1">IFERROR(__xludf.DUMMYFUNCTION("""COMPUTED_VALUE"""),742)</f>
        <v>742</v>
      </c>
      <c r="R72" s="1">
        <f ca="1">IFERROR(__xludf.DUMMYFUNCTION("""COMPUTED_VALUE"""),1662)</f>
        <v>1662</v>
      </c>
      <c r="S72" s="1">
        <f ca="1">IFERROR(__xludf.DUMMYFUNCTION("""COMPUTED_VALUE"""),0.446)</f>
        <v>0.44600000000000001</v>
      </c>
      <c r="T72" s="1">
        <f ca="1">IFERROR(__xludf.DUMMYFUNCTION("""COMPUTED_VALUE"""),278)</f>
        <v>278</v>
      </c>
      <c r="U72" s="1">
        <f ca="1">IFERROR(__xludf.DUMMYFUNCTION("""COMPUTED_VALUE"""),717)</f>
        <v>717</v>
      </c>
      <c r="V72" s="1">
        <f ca="1">IFERROR(__xludf.DUMMYFUNCTION("""COMPUTED_VALUE"""),0.388)</f>
        <v>0.38800000000000001</v>
      </c>
      <c r="W72" s="1">
        <f ca="1">IFERROR(__xludf.DUMMYFUNCTION("""COMPUTED_VALUE"""),551)</f>
        <v>551</v>
      </c>
      <c r="X72" s="1">
        <f ca="1">IFERROR(__xludf.DUMMYFUNCTION("""COMPUTED_VALUE"""),711)</f>
        <v>711</v>
      </c>
      <c r="Y72" s="1">
        <f ca="1">IFERROR(__xludf.DUMMYFUNCTION("""COMPUTED_VALUE"""),0.775)</f>
        <v>0.77500000000000002</v>
      </c>
      <c r="Z72" s="1">
        <f ca="1">IFERROR(__xludf.DUMMYFUNCTION("""COMPUTED_VALUE"""),284)</f>
        <v>284</v>
      </c>
      <c r="AA72" s="1">
        <f ca="1">IFERROR(__xludf.DUMMYFUNCTION("""COMPUTED_VALUE"""),1111)</f>
        <v>1111</v>
      </c>
      <c r="AB72" s="1">
        <f ca="1">IFERROR(__xludf.DUMMYFUNCTION("""COMPUTED_VALUE"""),419)</f>
        <v>419</v>
      </c>
      <c r="AC72" s="1">
        <f ca="1">IFERROR(__xludf.DUMMYFUNCTION("""COMPUTED_VALUE"""),173)</f>
        <v>173</v>
      </c>
      <c r="AD72" s="1">
        <f ca="1">IFERROR(__xludf.DUMMYFUNCTION("""COMPUTED_VALUE"""),95)</f>
        <v>95</v>
      </c>
      <c r="AE72" s="1">
        <f ca="1">IFERROR(__xludf.DUMMYFUNCTION("""COMPUTED_VALUE"""),412)</f>
        <v>412</v>
      </c>
      <c r="AF72" s="1">
        <f ca="1">IFERROR(__xludf.DUMMYFUNCTION("""COMPUTED_VALUE"""),626)</f>
        <v>626</v>
      </c>
    </row>
    <row r="73" spans="1:32" ht="12.5" x14ac:dyDescent="0.25">
      <c r="A73" s="1" t="str">
        <f ca="1">IFERROR(__xludf.DUMMYFUNCTION("""COMPUTED_VALUE"""),"ConnecticutNCAA")</f>
        <v>ConnecticutNCAA</v>
      </c>
      <c r="B73" s="1">
        <f ca="1">IFERROR(__xludf.DUMMYFUNCTION("""COMPUTED_VALUE"""),40)</f>
        <v>40</v>
      </c>
      <c r="C73" s="1">
        <f ca="1">IFERROR(__xludf.DUMMYFUNCTION("""COMPUTED_VALUE"""),32)</f>
        <v>32</v>
      </c>
      <c r="D73" s="1">
        <f ca="1">IFERROR(__xludf.DUMMYFUNCTION("""COMPUTED_VALUE"""),8)</f>
        <v>8</v>
      </c>
      <c r="E73" s="1">
        <f ca="1">IFERROR(__xludf.DUMMYFUNCTION("""COMPUTED_VALUE"""),0.8)</f>
        <v>0.8</v>
      </c>
      <c r="F73" s="1">
        <f ca="1">IFERROR(__xludf.DUMMYFUNCTION("""COMPUTED_VALUE"""),17.23)</f>
        <v>17.23</v>
      </c>
      <c r="G73" s="1">
        <f ca="1">IFERROR(__xludf.DUMMYFUNCTION("""COMPUTED_VALUE"""),8.63)</f>
        <v>8.6300000000000008</v>
      </c>
      <c r="H73" s="1">
        <f ca="1">IFERROR(__xludf.DUMMYFUNCTION("""COMPUTED_VALUE"""),12)</f>
        <v>12</v>
      </c>
      <c r="I73" s="1">
        <f ca="1">IFERROR(__xludf.DUMMYFUNCTION("""COMPUTED_VALUE"""),6)</f>
        <v>6</v>
      </c>
      <c r="J73" s="1">
        <f ca="1">IFERROR(__xludf.DUMMYFUNCTION("""COMPUTED_VALUE"""),14)</f>
        <v>14</v>
      </c>
      <c r="K73" s="1">
        <f ca="1">IFERROR(__xludf.DUMMYFUNCTION("""COMPUTED_VALUE"""),3)</f>
        <v>3</v>
      </c>
      <c r="L73" s="1">
        <f ca="1">IFERROR(__xludf.DUMMYFUNCTION("""COMPUTED_VALUE"""),6)</f>
        <v>6</v>
      </c>
      <c r="M73" s="1">
        <f ca="1">IFERROR(__xludf.DUMMYFUNCTION("""COMPUTED_VALUE"""),4)</f>
        <v>4</v>
      </c>
      <c r="N73" s="1">
        <f ca="1">IFERROR(__xludf.DUMMYFUNCTION("""COMPUTED_VALUE"""),2873)</f>
        <v>2873</v>
      </c>
      <c r="O73" s="1">
        <f ca="1">IFERROR(__xludf.DUMMYFUNCTION("""COMPUTED_VALUE"""),2529)</f>
        <v>2529</v>
      </c>
      <c r="P73" s="1">
        <f ca="1">IFERROR(__xludf.DUMMYFUNCTION("""COMPUTED_VALUE"""),1610)</f>
        <v>1610</v>
      </c>
      <c r="Q73" s="1">
        <f ca="1">IFERROR(__xludf.DUMMYFUNCTION("""COMPUTED_VALUE"""),971)</f>
        <v>971</v>
      </c>
      <c r="R73" s="1">
        <f ca="1">IFERROR(__xludf.DUMMYFUNCTION("""COMPUTED_VALUE"""),2163)</f>
        <v>2163</v>
      </c>
      <c r="S73" s="1">
        <f ca="1">IFERROR(__xludf.DUMMYFUNCTION("""COMPUTED_VALUE"""),0.449)</f>
        <v>0.44900000000000001</v>
      </c>
      <c r="T73" s="1">
        <f ca="1">IFERROR(__xludf.DUMMYFUNCTION("""COMPUTED_VALUE"""),287)</f>
        <v>287</v>
      </c>
      <c r="U73" s="1">
        <f ca="1">IFERROR(__xludf.DUMMYFUNCTION("""COMPUTED_VALUE"""),741)</f>
        <v>741</v>
      </c>
      <c r="V73" s="1">
        <f ca="1">IFERROR(__xludf.DUMMYFUNCTION("""COMPUTED_VALUE"""),0.387)</f>
        <v>0.38700000000000001</v>
      </c>
      <c r="W73" s="1">
        <f ca="1">IFERROR(__xludf.DUMMYFUNCTION("""COMPUTED_VALUE"""),644)</f>
        <v>644</v>
      </c>
      <c r="X73" s="1">
        <f ca="1">IFERROR(__xludf.DUMMYFUNCTION("""COMPUTED_VALUE"""),829)</f>
        <v>829</v>
      </c>
      <c r="Y73" s="1">
        <f ca="1">IFERROR(__xludf.DUMMYFUNCTION("""COMPUTED_VALUE"""),0.777)</f>
        <v>0.77700000000000002</v>
      </c>
      <c r="Z73" s="1">
        <f ca="1">IFERROR(__xludf.DUMMYFUNCTION("""COMPUTED_VALUE"""),387)</f>
        <v>387</v>
      </c>
      <c r="AA73" s="1">
        <f ca="1">IFERROR(__xludf.DUMMYFUNCTION("""COMPUTED_VALUE"""),1389)</f>
        <v>1389</v>
      </c>
      <c r="AB73" s="1">
        <f ca="1">IFERROR(__xludf.DUMMYFUNCTION("""COMPUTED_VALUE"""),488)</f>
        <v>488</v>
      </c>
      <c r="AC73" s="1">
        <f ca="1">IFERROR(__xludf.DUMMYFUNCTION("""COMPUTED_VALUE"""),281)</f>
        <v>281</v>
      </c>
      <c r="AD73" s="1">
        <f ca="1">IFERROR(__xludf.DUMMYFUNCTION("""COMPUTED_VALUE"""),230)</f>
        <v>230</v>
      </c>
      <c r="AE73" s="1">
        <f ca="1">IFERROR(__xludf.DUMMYFUNCTION("""COMPUTED_VALUE"""),457)</f>
        <v>457</v>
      </c>
      <c r="AF73" s="1">
        <f ca="1">IFERROR(__xludf.DUMMYFUNCTION("""COMPUTED_VALUE"""),719)</f>
        <v>719</v>
      </c>
    </row>
    <row r="74" spans="1:32" ht="12.5" x14ac:dyDescent="0.25">
      <c r="A74" s="1" t="str">
        <f ca="1">IFERROR(__xludf.DUMMYFUNCTION("""COMPUTED_VALUE"""),"Coppin State")</f>
        <v>Coppin State</v>
      </c>
      <c r="B74" s="1">
        <f ca="1">IFERROR(__xludf.DUMMYFUNCTION("""COMPUTED_VALUE"""),32)</f>
        <v>32</v>
      </c>
      <c r="C74" s="1">
        <f ca="1">IFERROR(__xludf.DUMMYFUNCTION("""COMPUTED_VALUE"""),12)</f>
        <v>12</v>
      </c>
      <c r="D74" s="1">
        <f ca="1">IFERROR(__xludf.DUMMYFUNCTION("""COMPUTED_VALUE"""),20)</f>
        <v>20</v>
      </c>
      <c r="E74" s="1">
        <f ca="1">IFERROR(__xludf.DUMMYFUNCTION("""COMPUTED_VALUE"""),0.375)</f>
        <v>0.375</v>
      </c>
      <c r="F74" s="1">
        <f ca="1">IFERROR(__xludf.DUMMYFUNCTION("""COMPUTED_VALUE"""),-11.09)</f>
        <v>-11.09</v>
      </c>
      <c r="G74" s="1">
        <f ca="1">IFERROR(__xludf.DUMMYFUNCTION("""COMPUTED_VALUE"""),-4.99)</f>
        <v>-4.99</v>
      </c>
      <c r="H74" s="1">
        <f ca="1">IFERROR(__xludf.DUMMYFUNCTION("""COMPUTED_VALUE"""),7)</f>
        <v>7</v>
      </c>
      <c r="I74" s="1">
        <f ca="1">IFERROR(__xludf.DUMMYFUNCTION("""COMPUTED_VALUE"""),9)</f>
        <v>9</v>
      </c>
      <c r="J74" s="1">
        <f ca="1">IFERROR(__xludf.DUMMYFUNCTION("""COMPUTED_VALUE"""),5)</f>
        <v>5</v>
      </c>
      <c r="K74" s="1">
        <f ca="1">IFERROR(__xludf.DUMMYFUNCTION("""COMPUTED_VALUE"""),7)</f>
        <v>7</v>
      </c>
      <c r="L74" s="1">
        <f ca="1">IFERROR(__xludf.DUMMYFUNCTION("""COMPUTED_VALUE"""),5)</f>
        <v>5</v>
      </c>
      <c r="M74" s="1">
        <f ca="1">IFERROR(__xludf.DUMMYFUNCTION("""COMPUTED_VALUE"""),10)</f>
        <v>10</v>
      </c>
      <c r="N74" s="1">
        <f ca="1">IFERROR(__xludf.DUMMYFUNCTION("""COMPUTED_VALUE"""),2231)</f>
        <v>2231</v>
      </c>
      <c r="O74" s="1">
        <f ca="1">IFERROR(__xludf.DUMMYFUNCTION("""COMPUTED_VALUE"""),2403)</f>
        <v>2403</v>
      </c>
      <c r="P74" s="1">
        <f ca="1">IFERROR(__xludf.DUMMYFUNCTION("""COMPUTED_VALUE"""),1285)</f>
        <v>1285</v>
      </c>
      <c r="Q74" s="1">
        <f ca="1">IFERROR(__xludf.DUMMYFUNCTION("""COMPUTED_VALUE"""),722)</f>
        <v>722</v>
      </c>
      <c r="R74" s="1">
        <f ca="1">IFERROR(__xludf.DUMMYFUNCTION("""COMPUTED_VALUE"""),1840)</f>
        <v>1840</v>
      </c>
      <c r="S74" s="1">
        <f ca="1">IFERROR(__xludf.DUMMYFUNCTION("""COMPUTED_VALUE"""),0.392)</f>
        <v>0.39200000000000002</v>
      </c>
      <c r="T74" s="1">
        <f ca="1">IFERROR(__xludf.DUMMYFUNCTION("""COMPUTED_VALUE"""),235)</f>
        <v>235</v>
      </c>
      <c r="U74" s="1">
        <f ca="1">IFERROR(__xludf.DUMMYFUNCTION("""COMPUTED_VALUE"""),725)</f>
        <v>725</v>
      </c>
      <c r="V74" s="1">
        <f ca="1">IFERROR(__xludf.DUMMYFUNCTION("""COMPUTED_VALUE"""),0.324)</f>
        <v>0.32400000000000001</v>
      </c>
      <c r="W74" s="1">
        <f ca="1">IFERROR(__xludf.DUMMYFUNCTION("""COMPUTED_VALUE"""),552)</f>
        <v>552</v>
      </c>
      <c r="X74" s="1">
        <f ca="1">IFERROR(__xludf.DUMMYFUNCTION("""COMPUTED_VALUE"""),756)</f>
        <v>756</v>
      </c>
      <c r="Y74" s="1">
        <f ca="1">IFERROR(__xludf.DUMMYFUNCTION("""COMPUTED_VALUE"""),0.73)</f>
        <v>0.73</v>
      </c>
      <c r="Z74" s="1">
        <f ca="1">IFERROR(__xludf.DUMMYFUNCTION("""COMPUTED_VALUE"""),370)</f>
        <v>370</v>
      </c>
      <c r="AA74" s="1">
        <f ca="1">IFERROR(__xludf.DUMMYFUNCTION("""COMPUTED_VALUE"""),1075)</f>
        <v>1075</v>
      </c>
      <c r="AB74" s="1">
        <f ca="1">IFERROR(__xludf.DUMMYFUNCTION("""COMPUTED_VALUE"""),369)</f>
        <v>369</v>
      </c>
      <c r="AC74" s="1">
        <f ca="1">IFERROR(__xludf.DUMMYFUNCTION("""COMPUTED_VALUE"""),192)</f>
        <v>192</v>
      </c>
      <c r="AD74" s="1">
        <f ca="1">IFERROR(__xludf.DUMMYFUNCTION("""COMPUTED_VALUE"""),69)</f>
        <v>69</v>
      </c>
      <c r="AE74" s="1">
        <f ca="1">IFERROR(__xludf.DUMMYFUNCTION("""COMPUTED_VALUE"""),380)</f>
        <v>380</v>
      </c>
      <c r="AF74" s="1">
        <f ca="1">IFERROR(__xludf.DUMMYFUNCTION("""COMPUTED_VALUE"""),545)</f>
        <v>545</v>
      </c>
    </row>
    <row r="75" spans="1:32" ht="12.5" x14ac:dyDescent="0.25">
      <c r="A75" s="1" t="str">
        <f ca="1">IFERROR(__xludf.DUMMYFUNCTION("""COMPUTED_VALUE"""),"Cornell")</f>
        <v>Cornell</v>
      </c>
      <c r="B75" s="1">
        <f ca="1">IFERROR(__xludf.DUMMYFUNCTION("""COMPUTED_VALUE"""),28)</f>
        <v>28</v>
      </c>
      <c r="C75" s="1">
        <f ca="1">IFERROR(__xludf.DUMMYFUNCTION("""COMPUTED_VALUE"""),2)</f>
        <v>2</v>
      </c>
      <c r="D75" s="1">
        <f ca="1">IFERROR(__xludf.DUMMYFUNCTION("""COMPUTED_VALUE"""),26)</f>
        <v>26</v>
      </c>
      <c r="E75" s="1">
        <f ca="1">IFERROR(__xludf.DUMMYFUNCTION("""COMPUTED_VALUE"""),0.071)</f>
        <v>7.0999999999999994E-2</v>
      </c>
      <c r="F75" s="1">
        <f ca="1">IFERROR(__xludf.DUMMYFUNCTION("""COMPUTED_VALUE"""),-15.6)</f>
        <v>-15.6</v>
      </c>
      <c r="G75" s="1">
        <f ca="1">IFERROR(__xludf.DUMMYFUNCTION("""COMPUTED_VALUE"""),0.03)</f>
        <v>0.03</v>
      </c>
      <c r="H75" s="1">
        <f ca="1">IFERROR(__xludf.DUMMYFUNCTION("""COMPUTED_VALUE"""),1)</f>
        <v>1</v>
      </c>
      <c r="I75" s="1">
        <f ca="1">IFERROR(__xludf.DUMMYFUNCTION("""COMPUTED_VALUE"""),13)</f>
        <v>13</v>
      </c>
      <c r="J75" s="1">
        <f ca="1">IFERROR(__xludf.DUMMYFUNCTION("""COMPUTED_VALUE"""),2)</f>
        <v>2</v>
      </c>
      <c r="K75" s="1">
        <f ca="1">IFERROR(__xludf.DUMMYFUNCTION("""COMPUTED_VALUE"""),11)</f>
        <v>11</v>
      </c>
      <c r="L75" s="1">
        <f ca="1">IFERROR(__xludf.DUMMYFUNCTION("""COMPUTED_VALUE"""),0)</f>
        <v>0</v>
      </c>
      <c r="M75" s="1">
        <f ca="1">IFERROR(__xludf.DUMMYFUNCTION("""COMPUTED_VALUE"""),15)</f>
        <v>15</v>
      </c>
      <c r="N75" s="1">
        <f ca="1">IFERROR(__xludf.DUMMYFUNCTION("""COMPUTED_VALUE"""),1795)</f>
        <v>1795</v>
      </c>
      <c r="O75" s="1">
        <f ca="1">IFERROR(__xludf.DUMMYFUNCTION("""COMPUTED_VALUE"""),2195)</f>
        <v>2195</v>
      </c>
      <c r="P75" s="1">
        <f ca="1">IFERROR(__xludf.DUMMYFUNCTION("""COMPUTED_VALUE"""),1130)</f>
        <v>1130</v>
      </c>
      <c r="Q75" s="1">
        <f ca="1">IFERROR(__xludf.DUMMYFUNCTION("""COMPUTED_VALUE"""),652)</f>
        <v>652</v>
      </c>
      <c r="R75" s="1">
        <f ca="1">IFERROR(__xludf.DUMMYFUNCTION("""COMPUTED_VALUE"""),1589)</f>
        <v>1589</v>
      </c>
      <c r="S75" s="1">
        <f ca="1">IFERROR(__xludf.DUMMYFUNCTION("""COMPUTED_VALUE"""),0.41)</f>
        <v>0.41</v>
      </c>
      <c r="T75" s="1">
        <f ca="1">IFERROR(__xludf.DUMMYFUNCTION("""COMPUTED_VALUE"""),192)</f>
        <v>192</v>
      </c>
      <c r="U75" s="1">
        <f ca="1">IFERROR(__xludf.DUMMYFUNCTION("""COMPUTED_VALUE"""),603)</f>
        <v>603</v>
      </c>
      <c r="V75" s="1">
        <f ca="1">IFERROR(__xludf.DUMMYFUNCTION("""COMPUTED_VALUE"""),0.318)</f>
        <v>0.318</v>
      </c>
      <c r="W75" s="1">
        <f ca="1">IFERROR(__xludf.DUMMYFUNCTION("""COMPUTED_VALUE"""),299)</f>
        <v>299</v>
      </c>
      <c r="X75" s="1">
        <f ca="1">IFERROR(__xludf.DUMMYFUNCTION("""COMPUTED_VALUE"""),450)</f>
        <v>450</v>
      </c>
      <c r="Y75" s="1">
        <f ca="1">IFERROR(__xludf.DUMMYFUNCTION("""COMPUTED_VALUE"""),0.664)</f>
        <v>0.66400000000000003</v>
      </c>
      <c r="Z75" s="1">
        <f ca="1">IFERROR(__xludf.DUMMYFUNCTION("""COMPUTED_VALUE"""),292)</f>
        <v>292</v>
      </c>
      <c r="AA75" s="1">
        <f ca="1">IFERROR(__xludf.DUMMYFUNCTION("""COMPUTED_VALUE"""),880)</f>
        <v>880</v>
      </c>
      <c r="AB75" s="1">
        <f ca="1">IFERROR(__xludf.DUMMYFUNCTION("""COMPUTED_VALUE"""),300)</f>
        <v>300</v>
      </c>
      <c r="AC75" s="1">
        <f ca="1">IFERROR(__xludf.DUMMYFUNCTION("""COMPUTED_VALUE"""),117)</f>
        <v>117</v>
      </c>
      <c r="AD75" s="1">
        <f ca="1">IFERROR(__xludf.DUMMYFUNCTION("""COMPUTED_VALUE"""),78)</f>
        <v>78</v>
      </c>
      <c r="AE75" s="1">
        <f ca="1">IFERROR(__xludf.DUMMYFUNCTION("""COMPUTED_VALUE"""),337)</f>
        <v>337</v>
      </c>
      <c r="AF75" s="1">
        <f ca="1">IFERROR(__xludf.DUMMYFUNCTION("""COMPUTED_VALUE"""),581)</f>
        <v>581</v>
      </c>
    </row>
    <row r="76" spans="1:32" ht="12.5" x14ac:dyDescent="0.25">
      <c r="A76" s="1" t="str">
        <f ca="1">IFERROR(__xludf.DUMMYFUNCTION("""COMPUTED_VALUE"""),"CreightonNCAA")</f>
        <v>CreightonNCAA</v>
      </c>
      <c r="B76" s="1">
        <f ca="1">IFERROR(__xludf.DUMMYFUNCTION("""COMPUTED_VALUE"""),35)</f>
        <v>35</v>
      </c>
      <c r="C76" s="1">
        <f ca="1">IFERROR(__xludf.DUMMYFUNCTION("""COMPUTED_VALUE"""),27)</f>
        <v>27</v>
      </c>
      <c r="D76" s="1">
        <f ca="1">IFERROR(__xludf.DUMMYFUNCTION("""COMPUTED_VALUE"""),8)</f>
        <v>8</v>
      </c>
      <c r="E76" s="1">
        <f ca="1">IFERROR(__xludf.DUMMYFUNCTION("""COMPUTED_VALUE"""),0.771)</f>
        <v>0.77100000000000002</v>
      </c>
      <c r="F76" s="1">
        <f ca="1">IFERROR(__xludf.DUMMYFUNCTION("""COMPUTED_VALUE"""),18.03)</f>
        <v>18.03</v>
      </c>
      <c r="G76" s="1">
        <f ca="1">IFERROR(__xludf.DUMMYFUNCTION("""COMPUTED_VALUE"""),7.17)</f>
        <v>7.17</v>
      </c>
      <c r="H76" s="1">
        <f ca="1">IFERROR(__xludf.DUMMYFUNCTION("""COMPUTED_VALUE"""),14)</f>
        <v>14</v>
      </c>
      <c r="I76" s="1">
        <f ca="1">IFERROR(__xludf.DUMMYFUNCTION("""COMPUTED_VALUE"""),4)</f>
        <v>4</v>
      </c>
      <c r="J76" s="1">
        <f ca="1">IFERROR(__xludf.DUMMYFUNCTION("""COMPUTED_VALUE"""),16)</f>
        <v>16</v>
      </c>
      <c r="K76" s="1">
        <f ca="1">IFERROR(__xludf.DUMMYFUNCTION("""COMPUTED_VALUE"""),0)</f>
        <v>0</v>
      </c>
      <c r="L76" s="1">
        <f ca="1">IFERROR(__xludf.DUMMYFUNCTION("""COMPUTED_VALUE"""),7)</f>
        <v>7</v>
      </c>
      <c r="M76" s="1">
        <f ca="1">IFERROR(__xludf.DUMMYFUNCTION("""COMPUTED_VALUE"""),4)</f>
        <v>4</v>
      </c>
      <c r="N76" s="1">
        <f ca="1">IFERROR(__xludf.DUMMYFUNCTION("""COMPUTED_VALUE"""),2756)</f>
        <v>2756</v>
      </c>
      <c r="O76" s="1">
        <f ca="1">IFERROR(__xludf.DUMMYFUNCTION("""COMPUTED_VALUE"""),2376)</f>
        <v>2376</v>
      </c>
      <c r="P76" s="1">
        <f ca="1">IFERROR(__xludf.DUMMYFUNCTION("""COMPUTED_VALUE"""),1400)</f>
        <v>1400</v>
      </c>
      <c r="Q76" s="1">
        <f ca="1">IFERROR(__xludf.DUMMYFUNCTION("""COMPUTED_VALUE"""),957)</f>
        <v>957</v>
      </c>
      <c r="R76" s="1">
        <f ca="1">IFERROR(__xludf.DUMMYFUNCTION("""COMPUTED_VALUE"""),1927)</f>
        <v>1927</v>
      </c>
      <c r="S76" s="1">
        <f ca="1">IFERROR(__xludf.DUMMYFUNCTION("""COMPUTED_VALUE"""),0.497)</f>
        <v>0.497</v>
      </c>
      <c r="T76" s="1">
        <f ca="1">IFERROR(__xludf.DUMMYFUNCTION("""COMPUTED_VALUE"""),356)</f>
        <v>356</v>
      </c>
      <c r="U76" s="1">
        <f ca="1">IFERROR(__xludf.DUMMYFUNCTION("""COMPUTED_VALUE"""),859)</f>
        <v>859</v>
      </c>
      <c r="V76" s="1">
        <f ca="1">IFERROR(__xludf.DUMMYFUNCTION("""COMPUTED_VALUE"""),0.414)</f>
        <v>0.41399999999999998</v>
      </c>
      <c r="W76" s="1">
        <f ca="1">IFERROR(__xludf.DUMMYFUNCTION("""COMPUTED_VALUE"""),486)</f>
        <v>486</v>
      </c>
      <c r="X76" s="1">
        <f ca="1">IFERROR(__xludf.DUMMYFUNCTION("""COMPUTED_VALUE"""),654)</f>
        <v>654</v>
      </c>
      <c r="Y76" s="1">
        <f ca="1">IFERROR(__xludf.DUMMYFUNCTION("""COMPUTED_VALUE"""),0.743)</f>
        <v>0.74299999999999999</v>
      </c>
      <c r="Z76" s="1">
        <f ca="1">IFERROR(__xludf.DUMMYFUNCTION("""COMPUTED_VALUE"""),293)</f>
        <v>293</v>
      </c>
      <c r="AA76" s="1">
        <f ca="1">IFERROR(__xludf.DUMMYFUNCTION("""COMPUTED_VALUE"""),1192)</f>
        <v>1192</v>
      </c>
      <c r="AB76" s="1">
        <f ca="1">IFERROR(__xludf.DUMMYFUNCTION("""COMPUTED_VALUE"""),614)</f>
        <v>614</v>
      </c>
      <c r="AC76" s="1">
        <f ca="1">IFERROR(__xludf.DUMMYFUNCTION("""COMPUTED_VALUE"""),139)</f>
        <v>139</v>
      </c>
      <c r="AD76" s="1">
        <f ca="1">IFERROR(__xludf.DUMMYFUNCTION("""COMPUTED_VALUE"""),49)</f>
        <v>49</v>
      </c>
      <c r="AE76" s="1">
        <f ca="1">IFERROR(__xludf.DUMMYFUNCTION("""COMPUTED_VALUE"""),342)</f>
        <v>342</v>
      </c>
      <c r="AF76" s="1">
        <f ca="1">IFERROR(__xludf.DUMMYFUNCTION("""COMPUTED_VALUE"""),618)</f>
        <v>618</v>
      </c>
    </row>
    <row r="77" spans="1:32" ht="12.5" x14ac:dyDescent="0.25">
      <c r="A77" s="1" t="str">
        <f ca="1">IFERROR(__xludf.DUMMYFUNCTION("""COMPUTED_VALUE"""),"Dartmouth")</f>
        <v>Dartmouth</v>
      </c>
      <c r="B77" s="1">
        <f ca="1">IFERROR(__xludf.DUMMYFUNCTION("""COMPUTED_VALUE"""),28)</f>
        <v>28</v>
      </c>
      <c r="C77" s="1">
        <f ca="1">IFERROR(__xludf.DUMMYFUNCTION("""COMPUTED_VALUE"""),12)</f>
        <v>12</v>
      </c>
      <c r="D77" s="1">
        <f ca="1">IFERROR(__xludf.DUMMYFUNCTION("""COMPUTED_VALUE"""),16)</f>
        <v>16</v>
      </c>
      <c r="E77" s="1">
        <f ca="1">IFERROR(__xludf.DUMMYFUNCTION("""COMPUTED_VALUE"""),0.429)</f>
        <v>0.42899999999999999</v>
      </c>
      <c r="F77" s="1">
        <f ca="1">IFERROR(__xludf.DUMMYFUNCTION("""COMPUTED_VALUE"""),-4.85)</f>
        <v>-4.8499999999999996</v>
      </c>
      <c r="G77" s="1">
        <f ca="1">IFERROR(__xludf.DUMMYFUNCTION("""COMPUTED_VALUE"""),-3.24)</f>
        <v>-3.24</v>
      </c>
      <c r="H77" s="1">
        <f ca="1">IFERROR(__xludf.DUMMYFUNCTION("""COMPUTED_VALUE"""),5)</f>
        <v>5</v>
      </c>
      <c r="I77" s="1">
        <f ca="1">IFERROR(__xludf.DUMMYFUNCTION("""COMPUTED_VALUE"""),9)</f>
        <v>9</v>
      </c>
      <c r="J77" s="1">
        <f ca="1">IFERROR(__xludf.DUMMYFUNCTION("""COMPUTED_VALUE"""),8)</f>
        <v>8</v>
      </c>
      <c r="K77" s="1">
        <f ca="1">IFERROR(__xludf.DUMMYFUNCTION("""COMPUTED_VALUE"""),7)</f>
        <v>7</v>
      </c>
      <c r="L77" s="1">
        <f ca="1">IFERROR(__xludf.DUMMYFUNCTION("""COMPUTED_VALUE"""),4)</f>
        <v>4</v>
      </c>
      <c r="M77" s="1">
        <f ca="1">IFERROR(__xludf.DUMMYFUNCTION("""COMPUTED_VALUE"""),9)</f>
        <v>9</v>
      </c>
      <c r="N77" s="1">
        <f ca="1">IFERROR(__xludf.DUMMYFUNCTION("""COMPUTED_VALUE"""),1905)</f>
        <v>1905</v>
      </c>
      <c r="O77" s="1">
        <f ca="1">IFERROR(__xludf.DUMMYFUNCTION("""COMPUTED_VALUE"""),1864)</f>
        <v>1864</v>
      </c>
      <c r="P77" s="1">
        <f ca="1">IFERROR(__xludf.DUMMYFUNCTION("""COMPUTED_VALUE"""),1125)</f>
        <v>1125</v>
      </c>
      <c r="Q77" s="1">
        <f ca="1">IFERROR(__xludf.DUMMYFUNCTION("""COMPUTED_VALUE"""),673)</f>
        <v>673</v>
      </c>
      <c r="R77" s="1">
        <f ca="1">IFERROR(__xludf.DUMMYFUNCTION("""COMPUTED_VALUE"""),1516)</f>
        <v>1516</v>
      </c>
      <c r="S77" s="1">
        <f ca="1">IFERROR(__xludf.DUMMYFUNCTION("""COMPUTED_VALUE"""),0.444)</f>
        <v>0.44400000000000001</v>
      </c>
      <c r="T77" s="1">
        <f ca="1">IFERROR(__xludf.DUMMYFUNCTION("""COMPUTED_VALUE"""),174)</f>
        <v>174</v>
      </c>
      <c r="U77" s="1">
        <f ca="1">IFERROR(__xludf.DUMMYFUNCTION("""COMPUTED_VALUE"""),459)</f>
        <v>459</v>
      </c>
      <c r="V77" s="1">
        <f ca="1">IFERROR(__xludf.DUMMYFUNCTION("""COMPUTED_VALUE"""),0.379)</f>
        <v>0.379</v>
      </c>
      <c r="W77" s="1">
        <f ca="1">IFERROR(__xludf.DUMMYFUNCTION("""COMPUTED_VALUE"""),385)</f>
        <v>385</v>
      </c>
      <c r="X77" s="1">
        <f ca="1">IFERROR(__xludf.DUMMYFUNCTION("""COMPUTED_VALUE"""),561)</f>
        <v>561</v>
      </c>
      <c r="Y77" s="1">
        <f ca="1">IFERROR(__xludf.DUMMYFUNCTION("""COMPUTED_VALUE"""),0.686)</f>
        <v>0.68600000000000005</v>
      </c>
      <c r="Z77" s="1">
        <f ca="1">IFERROR(__xludf.DUMMYFUNCTION("""COMPUTED_VALUE"""),301)</f>
        <v>301</v>
      </c>
      <c r="AA77" s="1">
        <f ca="1">IFERROR(__xludf.DUMMYFUNCTION("""COMPUTED_VALUE"""),927)</f>
        <v>927</v>
      </c>
      <c r="AB77" s="1">
        <f ca="1">IFERROR(__xludf.DUMMYFUNCTION("""COMPUTED_VALUE"""),352)</f>
        <v>352</v>
      </c>
      <c r="AC77" s="1">
        <f ca="1">IFERROR(__xludf.DUMMYFUNCTION("""COMPUTED_VALUE"""),166)</f>
        <v>166</v>
      </c>
      <c r="AD77" s="1">
        <f ca="1">IFERROR(__xludf.DUMMYFUNCTION("""COMPUTED_VALUE"""),86)</f>
        <v>86</v>
      </c>
      <c r="AE77" s="1">
        <f ca="1">IFERROR(__xludf.DUMMYFUNCTION("""COMPUTED_VALUE"""),336)</f>
        <v>336</v>
      </c>
      <c r="AF77" s="1">
        <f ca="1">IFERROR(__xludf.DUMMYFUNCTION("""COMPUTED_VALUE"""),561)</f>
        <v>561</v>
      </c>
    </row>
    <row r="78" spans="1:32" ht="12.5" x14ac:dyDescent="0.25">
      <c r="A78" s="1" t="str">
        <f ca="1">IFERROR(__xludf.DUMMYFUNCTION("""COMPUTED_VALUE"""),"Davidson")</f>
        <v>Davidson</v>
      </c>
      <c r="B78" s="1">
        <f ca="1">IFERROR(__xludf.DUMMYFUNCTION("""COMPUTED_VALUE"""),33)</f>
        <v>33</v>
      </c>
      <c r="C78" s="1">
        <f ca="1">IFERROR(__xludf.DUMMYFUNCTION("""COMPUTED_VALUE"""),20)</f>
        <v>20</v>
      </c>
      <c r="D78" s="1">
        <f ca="1">IFERROR(__xludf.DUMMYFUNCTION("""COMPUTED_VALUE"""),13)</f>
        <v>13</v>
      </c>
      <c r="E78" s="1">
        <f ca="1">IFERROR(__xludf.DUMMYFUNCTION("""COMPUTED_VALUE"""),0.606)</f>
        <v>0.60599999999999998</v>
      </c>
      <c r="F78" s="1">
        <f ca="1">IFERROR(__xludf.DUMMYFUNCTION("""COMPUTED_VALUE"""),0.81)</f>
        <v>0.81</v>
      </c>
      <c r="G78" s="1">
        <f ca="1">IFERROR(__xludf.DUMMYFUNCTION("""COMPUTED_VALUE"""),-3.73)</f>
        <v>-3.73</v>
      </c>
      <c r="H78" s="1">
        <f ca="1">IFERROR(__xludf.DUMMYFUNCTION("""COMPUTED_VALUE"""),15)</f>
        <v>15</v>
      </c>
      <c r="I78" s="1">
        <f ca="1">IFERROR(__xludf.DUMMYFUNCTION("""COMPUTED_VALUE"""),1)</f>
        <v>1</v>
      </c>
      <c r="J78" s="1">
        <f ca="1">IFERROR(__xludf.DUMMYFUNCTION("""COMPUTED_VALUE"""),8)</f>
        <v>8</v>
      </c>
      <c r="K78" s="1">
        <f ca="1">IFERROR(__xludf.DUMMYFUNCTION("""COMPUTED_VALUE"""),4)</f>
        <v>4</v>
      </c>
      <c r="L78" s="1">
        <f ca="1">IFERROR(__xludf.DUMMYFUNCTION("""COMPUTED_VALUE"""),10)</f>
        <v>10</v>
      </c>
      <c r="M78" s="1">
        <f ca="1">IFERROR(__xludf.DUMMYFUNCTION("""COMPUTED_VALUE"""),4)</f>
        <v>4</v>
      </c>
      <c r="N78" s="1">
        <f ca="1">IFERROR(__xludf.DUMMYFUNCTION("""COMPUTED_VALUE"""),2591)</f>
        <v>2591</v>
      </c>
      <c r="O78" s="1">
        <f ca="1">IFERROR(__xludf.DUMMYFUNCTION("""COMPUTED_VALUE"""),2404)</f>
        <v>2404</v>
      </c>
      <c r="P78" s="1">
        <f ca="1">IFERROR(__xludf.DUMMYFUNCTION("""COMPUTED_VALUE"""),1340)</f>
        <v>1340</v>
      </c>
      <c r="Q78" s="1">
        <f ca="1">IFERROR(__xludf.DUMMYFUNCTION("""COMPUTED_VALUE"""),896)</f>
        <v>896</v>
      </c>
      <c r="R78" s="1">
        <f ca="1">IFERROR(__xludf.DUMMYFUNCTION("""COMPUTED_VALUE"""),1877)</f>
        <v>1877</v>
      </c>
      <c r="S78" s="1">
        <f ca="1">IFERROR(__xludf.DUMMYFUNCTION("""COMPUTED_VALUE"""),0.477)</f>
        <v>0.47699999999999998</v>
      </c>
      <c r="T78" s="1">
        <f ca="1">IFERROR(__xludf.DUMMYFUNCTION("""COMPUTED_VALUE"""),273)</f>
        <v>273</v>
      </c>
      <c r="U78" s="1">
        <f ca="1">IFERROR(__xludf.DUMMYFUNCTION("""COMPUTED_VALUE"""),726)</f>
        <v>726</v>
      </c>
      <c r="V78" s="1">
        <f ca="1">IFERROR(__xludf.DUMMYFUNCTION("""COMPUTED_VALUE"""),0.376)</f>
        <v>0.376</v>
      </c>
      <c r="W78" s="1">
        <f ca="1">IFERROR(__xludf.DUMMYFUNCTION("""COMPUTED_VALUE"""),526)</f>
        <v>526</v>
      </c>
      <c r="X78" s="1">
        <f ca="1">IFERROR(__xludf.DUMMYFUNCTION("""COMPUTED_VALUE"""),735)</f>
        <v>735</v>
      </c>
      <c r="Y78" s="1">
        <f ca="1">IFERROR(__xludf.DUMMYFUNCTION("""COMPUTED_VALUE"""),0.716)</f>
        <v>0.71599999999999997</v>
      </c>
      <c r="Z78" s="1">
        <f ca="1">IFERROR(__xludf.DUMMYFUNCTION("""COMPUTED_VALUE"""),324)</f>
        <v>324</v>
      </c>
      <c r="AA78" s="1">
        <f ca="1">IFERROR(__xludf.DUMMYFUNCTION("""COMPUTED_VALUE"""),1087)</f>
        <v>1087</v>
      </c>
      <c r="AB78" s="1">
        <f ca="1">IFERROR(__xludf.DUMMYFUNCTION("""COMPUTED_VALUE"""),451)</f>
        <v>451</v>
      </c>
      <c r="AC78" s="1">
        <f ca="1">IFERROR(__xludf.DUMMYFUNCTION("""COMPUTED_VALUE"""),179)</f>
        <v>179</v>
      </c>
      <c r="AD78" s="1">
        <f ca="1">IFERROR(__xludf.DUMMYFUNCTION("""COMPUTED_VALUE"""),58)</f>
        <v>58</v>
      </c>
      <c r="AE78" s="1">
        <f ca="1">IFERROR(__xludf.DUMMYFUNCTION("""COMPUTED_VALUE"""),378)</f>
        <v>378</v>
      </c>
      <c r="AF78" s="1">
        <f ca="1">IFERROR(__xludf.DUMMYFUNCTION("""COMPUTED_VALUE"""),665)</f>
        <v>665</v>
      </c>
    </row>
    <row r="79" spans="1:32" ht="12.5" x14ac:dyDescent="0.25">
      <c r="A79" s="1" t="str">
        <f ca="1">IFERROR(__xludf.DUMMYFUNCTION("""COMPUTED_VALUE"""),"DaytonNCAA")</f>
        <v>DaytonNCAA</v>
      </c>
      <c r="B79" s="1">
        <f ca="1">IFERROR(__xludf.DUMMYFUNCTION("""COMPUTED_VALUE"""),37)</f>
        <v>37</v>
      </c>
      <c r="C79" s="1">
        <f ca="1">IFERROR(__xludf.DUMMYFUNCTION("""COMPUTED_VALUE"""),26)</f>
        <v>26</v>
      </c>
      <c r="D79" s="1">
        <f ca="1">IFERROR(__xludf.DUMMYFUNCTION("""COMPUTED_VALUE"""),11)</f>
        <v>11</v>
      </c>
      <c r="E79" s="1">
        <f ca="1">IFERROR(__xludf.DUMMYFUNCTION("""COMPUTED_VALUE"""),0.703)</f>
        <v>0.70299999999999996</v>
      </c>
      <c r="F79" s="1">
        <f ca="1">IFERROR(__xludf.DUMMYFUNCTION("""COMPUTED_VALUE"""),10.55)</f>
        <v>10.55</v>
      </c>
      <c r="G79" s="1">
        <f ca="1">IFERROR(__xludf.DUMMYFUNCTION("""COMPUTED_VALUE"""),5.34)</f>
        <v>5.34</v>
      </c>
      <c r="H79" s="1">
        <f ca="1">IFERROR(__xludf.DUMMYFUNCTION("""COMPUTED_VALUE"""),10)</f>
        <v>10</v>
      </c>
      <c r="I79" s="1">
        <f ca="1">IFERROR(__xludf.DUMMYFUNCTION("""COMPUTED_VALUE"""),6)</f>
        <v>6</v>
      </c>
      <c r="J79" s="1">
        <f ca="1">IFERROR(__xludf.DUMMYFUNCTION("""COMPUTED_VALUE"""),13)</f>
        <v>13</v>
      </c>
      <c r="K79" s="1">
        <f ca="1">IFERROR(__xludf.DUMMYFUNCTION("""COMPUTED_VALUE"""),4)</f>
        <v>4</v>
      </c>
      <c r="L79" s="1">
        <f ca="1">IFERROR(__xludf.DUMMYFUNCTION("""COMPUTED_VALUE"""),7)</f>
        <v>7</v>
      </c>
      <c r="M79" s="1">
        <f ca="1">IFERROR(__xludf.DUMMYFUNCTION("""COMPUTED_VALUE"""),4)</f>
        <v>4</v>
      </c>
      <c r="N79" s="1">
        <f ca="1">IFERROR(__xludf.DUMMYFUNCTION("""COMPUTED_VALUE"""),2671)</f>
        <v>2671</v>
      </c>
      <c r="O79" s="1">
        <f ca="1">IFERROR(__xludf.DUMMYFUNCTION("""COMPUTED_VALUE"""),2478)</f>
        <v>2478</v>
      </c>
      <c r="P79" s="1">
        <f ca="1">IFERROR(__xludf.DUMMYFUNCTION("""COMPUTED_VALUE"""),1490)</f>
        <v>1490</v>
      </c>
      <c r="Q79" s="1">
        <f ca="1">IFERROR(__xludf.DUMMYFUNCTION("""COMPUTED_VALUE"""),935)</f>
        <v>935</v>
      </c>
      <c r="R79" s="1">
        <f ca="1">IFERROR(__xludf.DUMMYFUNCTION("""COMPUTED_VALUE"""),2018)</f>
        <v>2018</v>
      </c>
      <c r="S79" s="1">
        <f ca="1">IFERROR(__xludf.DUMMYFUNCTION("""COMPUTED_VALUE"""),0.463)</f>
        <v>0.46300000000000002</v>
      </c>
      <c r="T79" s="1">
        <f ca="1">IFERROR(__xludf.DUMMYFUNCTION("""COMPUTED_VALUE"""),243)</f>
        <v>243</v>
      </c>
      <c r="U79" s="1">
        <f ca="1">IFERROR(__xludf.DUMMYFUNCTION("""COMPUTED_VALUE"""),644)</f>
        <v>644</v>
      </c>
      <c r="V79" s="1">
        <f ca="1">IFERROR(__xludf.DUMMYFUNCTION("""COMPUTED_VALUE"""),0.377)</f>
        <v>0.377</v>
      </c>
      <c r="W79" s="1">
        <f ca="1">IFERROR(__xludf.DUMMYFUNCTION("""COMPUTED_VALUE"""),558)</f>
        <v>558</v>
      </c>
      <c r="X79" s="1">
        <f ca="1">IFERROR(__xludf.DUMMYFUNCTION("""COMPUTED_VALUE"""),819)</f>
        <v>819</v>
      </c>
      <c r="Y79" s="1">
        <f ca="1">IFERROR(__xludf.DUMMYFUNCTION("""COMPUTED_VALUE"""),0.681)</f>
        <v>0.68100000000000005</v>
      </c>
      <c r="Z79" s="1">
        <f ca="1">IFERROR(__xludf.DUMMYFUNCTION("""COMPUTED_VALUE"""),414)</f>
        <v>414</v>
      </c>
      <c r="AA79" s="1">
        <f ca="1">IFERROR(__xludf.DUMMYFUNCTION("""COMPUTED_VALUE"""),1289)</f>
        <v>1289</v>
      </c>
      <c r="AB79" s="1">
        <f ca="1">IFERROR(__xludf.DUMMYFUNCTION("""COMPUTED_VALUE"""),485)</f>
        <v>485</v>
      </c>
      <c r="AC79" s="1">
        <f ca="1">IFERROR(__xludf.DUMMYFUNCTION("""COMPUTED_VALUE"""),222)</f>
        <v>222</v>
      </c>
      <c r="AD79" s="1">
        <f ca="1">IFERROR(__xludf.DUMMYFUNCTION("""COMPUTED_VALUE"""),96)</f>
        <v>96</v>
      </c>
      <c r="AE79" s="1">
        <f ca="1">IFERROR(__xludf.DUMMYFUNCTION("""COMPUTED_VALUE"""),442)</f>
        <v>442</v>
      </c>
      <c r="AF79" s="1">
        <f ca="1">IFERROR(__xludf.DUMMYFUNCTION("""COMPUTED_VALUE"""),736)</f>
        <v>736</v>
      </c>
    </row>
    <row r="80" spans="1:32" ht="12.5" x14ac:dyDescent="0.25">
      <c r="A80" s="1" t="str">
        <f ca="1">IFERROR(__xludf.DUMMYFUNCTION("""COMPUTED_VALUE"""),"Delaware State")</f>
        <v>Delaware State</v>
      </c>
      <c r="B80" s="1">
        <f ca="1">IFERROR(__xludf.DUMMYFUNCTION("""COMPUTED_VALUE"""),30)</f>
        <v>30</v>
      </c>
      <c r="C80" s="1">
        <f ca="1">IFERROR(__xludf.DUMMYFUNCTION("""COMPUTED_VALUE"""),9)</f>
        <v>9</v>
      </c>
      <c r="D80" s="1">
        <f ca="1">IFERROR(__xludf.DUMMYFUNCTION("""COMPUTED_VALUE"""),21)</f>
        <v>21</v>
      </c>
      <c r="E80" s="1">
        <f ca="1">IFERROR(__xludf.DUMMYFUNCTION("""COMPUTED_VALUE"""),0.3)</f>
        <v>0.3</v>
      </c>
      <c r="F80" s="1">
        <f ca="1">IFERROR(__xludf.DUMMYFUNCTION("""COMPUTED_VALUE"""),-12.64)</f>
        <v>-12.64</v>
      </c>
      <c r="G80" s="1">
        <f ca="1">IFERROR(__xludf.DUMMYFUNCTION("""COMPUTED_VALUE"""),-6.11)</f>
        <v>-6.11</v>
      </c>
      <c r="H80" s="1">
        <f ca="1">IFERROR(__xludf.DUMMYFUNCTION("""COMPUTED_VALUE"""),5)</f>
        <v>5</v>
      </c>
      <c r="I80" s="1">
        <f ca="1">IFERROR(__xludf.DUMMYFUNCTION("""COMPUTED_VALUE"""),11)</f>
        <v>11</v>
      </c>
      <c r="J80" s="1">
        <f ca="1">IFERROR(__xludf.DUMMYFUNCTION("""COMPUTED_VALUE"""),7)</f>
        <v>7</v>
      </c>
      <c r="K80" s="1">
        <f ca="1">IFERROR(__xludf.DUMMYFUNCTION("""COMPUTED_VALUE"""),7)</f>
        <v>7</v>
      </c>
      <c r="L80" s="1">
        <f ca="1">IFERROR(__xludf.DUMMYFUNCTION("""COMPUTED_VALUE"""),2)</f>
        <v>2</v>
      </c>
      <c r="M80" s="1">
        <f ca="1">IFERROR(__xludf.DUMMYFUNCTION("""COMPUTED_VALUE"""),12)</f>
        <v>12</v>
      </c>
      <c r="N80" s="1">
        <f ca="1">IFERROR(__xludf.DUMMYFUNCTION("""COMPUTED_VALUE"""),1847)</f>
        <v>1847</v>
      </c>
      <c r="O80" s="1">
        <f ca="1">IFERROR(__xludf.DUMMYFUNCTION("""COMPUTED_VALUE"""),1946)</f>
        <v>1946</v>
      </c>
      <c r="P80" s="1">
        <f ca="1">IFERROR(__xludf.DUMMYFUNCTION("""COMPUTED_VALUE"""),1215)</f>
        <v>1215</v>
      </c>
      <c r="Q80" s="1">
        <f ca="1">IFERROR(__xludf.DUMMYFUNCTION("""COMPUTED_VALUE"""),646)</f>
        <v>646</v>
      </c>
      <c r="R80" s="1">
        <f ca="1">IFERROR(__xludf.DUMMYFUNCTION("""COMPUTED_VALUE"""),1529)</f>
        <v>1529</v>
      </c>
      <c r="S80" s="1">
        <f ca="1">IFERROR(__xludf.DUMMYFUNCTION("""COMPUTED_VALUE"""),0.422)</f>
        <v>0.42199999999999999</v>
      </c>
      <c r="T80" s="1">
        <f ca="1">IFERROR(__xludf.DUMMYFUNCTION("""COMPUTED_VALUE"""),156)</f>
        <v>156</v>
      </c>
      <c r="U80" s="1">
        <f ca="1">IFERROR(__xludf.DUMMYFUNCTION("""COMPUTED_VALUE"""),485)</f>
        <v>485</v>
      </c>
      <c r="V80" s="1">
        <f ca="1">IFERROR(__xludf.DUMMYFUNCTION("""COMPUTED_VALUE"""),0.322)</f>
        <v>0.32200000000000001</v>
      </c>
      <c r="W80" s="1">
        <f ca="1">IFERROR(__xludf.DUMMYFUNCTION("""COMPUTED_VALUE"""),399)</f>
        <v>399</v>
      </c>
      <c r="X80" s="1">
        <f ca="1">IFERROR(__xludf.DUMMYFUNCTION("""COMPUTED_VALUE"""),579)</f>
        <v>579</v>
      </c>
      <c r="Y80" s="1">
        <f ca="1">IFERROR(__xludf.DUMMYFUNCTION("""COMPUTED_VALUE"""),0.689)</f>
        <v>0.68899999999999995</v>
      </c>
      <c r="Z80" s="1">
        <f ca="1">IFERROR(__xludf.DUMMYFUNCTION("""COMPUTED_VALUE"""),277)</f>
        <v>277</v>
      </c>
      <c r="AA80" s="1">
        <f ca="1">IFERROR(__xludf.DUMMYFUNCTION("""COMPUTED_VALUE"""),942)</f>
        <v>942</v>
      </c>
      <c r="AB80" s="1">
        <f ca="1">IFERROR(__xludf.DUMMYFUNCTION("""COMPUTED_VALUE"""),367)</f>
        <v>367</v>
      </c>
      <c r="AC80" s="1">
        <f ca="1">IFERROR(__xludf.DUMMYFUNCTION("""COMPUTED_VALUE"""),152)</f>
        <v>152</v>
      </c>
      <c r="AD80" s="1">
        <f ca="1">IFERROR(__xludf.DUMMYFUNCTION("""COMPUTED_VALUE"""),106)</f>
        <v>106</v>
      </c>
      <c r="AE80" s="1">
        <f ca="1">IFERROR(__xludf.DUMMYFUNCTION("""COMPUTED_VALUE"""),341)</f>
        <v>341</v>
      </c>
      <c r="AF80" s="1">
        <f ca="1">IFERROR(__xludf.DUMMYFUNCTION("""COMPUTED_VALUE"""),542)</f>
        <v>542</v>
      </c>
    </row>
    <row r="81" spans="1:32" ht="12.5" x14ac:dyDescent="0.25">
      <c r="A81" s="1" t="str">
        <f ca="1">IFERROR(__xludf.DUMMYFUNCTION("""COMPUTED_VALUE"""),"DelawareNCAA")</f>
        <v>DelawareNCAA</v>
      </c>
      <c r="B81" s="1">
        <f ca="1">IFERROR(__xludf.DUMMYFUNCTION("""COMPUTED_VALUE"""),35)</f>
        <v>35</v>
      </c>
      <c r="C81" s="1">
        <f ca="1">IFERROR(__xludf.DUMMYFUNCTION("""COMPUTED_VALUE"""),25)</f>
        <v>25</v>
      </c>
      <c r="D81" s="1">
        <f ca="1">IFERROR(__xludf.DUMMYFUNCTION("""COMPUTED_VALUE"""),10)</f>
        <v>10</v>
      </c>
      <c r="E81" s="1">
        <f ca="1">IFERROR(__xludf.DUMMYFUNCTION("""COMPUTED_VALUE"""),0.714)</f>
        <v>0.71399999999999997</v>
      </c>
      <c r="F81" s="1">
        <f ca="1">IFERROR(__xludf.DUMMYFUNCTION("""COMPUTED_VALUE"""),2.73)</f>
        <v>2.73</v>
      </c>
      <c r="G81" s="1">
        <f ca="1">IFERROR(__xludf.DUMMYFUNCTION("""COMPUTED_VALUE"""),-1.1)</f>
        <v>-1.1000000000000001</v>
      </c>
      <c r="H81" s="1">
        <f ca="1">IFERROR(__xludf.DUMMYFUNCTION("""COMPUTED_VALUE"""),14)</f>
        <v>14</v>
      </c>
      <c r="I81" s="1">
        <f ca="1">IFERROR(__xludf.DUMMYFUNCTION("""COMPUTED_VALUE"""),2)</f>
        <v>2</v>
      </c>
      <c r="J81" s="1">
        <f ca="1">IFERROR(__xludf.DUMMYFUNCTION("""COMPUTED_VALUE"""),10)</f>
        <v>10</v>
      </c>
      <c r="K81" s="1">
        <f ca="1">IFERROR(__xludf.DUMMYFUNCTION("""COMPUTED_VALUE"""),2)</f>
        <v>2</v>
      </c>
      <c r="L81" s="1">
        <f ca="1">IFERROR(__xludf.DUMMYFUNCTION("""COMPUTED_VALUE"""),11)</f>
        <v>11</v>
      </c>
      <c r="M81" s="1">
        <f ca="1">IFERROR(__xludf.DUMMYFUNCTION("""COMPUTED_VALUE"""),7)</f>
        <v>7</v>
      </c>
      <c r="N81" s="1">
        <f ca="1">IFERROR(__xludf.DUMMYFUNCTION("""COMPUTED_VALUE"""),2782)</f>
        <v>2782</v>
      </c>
      <c r="O81" s="1">
        <f ca="1">IFERROR(__xludf.DUMMYFUNCTION("""COMPUTED_VALUE"""),2648)</f>
        <v>2648</v>
      </c>
      <c r="P81" s="1">
        <f ca="1">IFERROR(__xludf.DUMMYFUNCTION("""COMPUTED_VALUE"""),1405)</f>
        <v>1405</v>
      </c>
      <c r="Q81" s="1">
        <f ca="1">IFERROR(__xludf.DUMMYFUNCTION("""COMPUTED_VALUE"""),936)</f>
        <v>936</v>
      </c>
      <c r="R81" s="1">
        <f ca="1">IFERROR(__xludf.DUMMYFUNCTION("""COMPUTED_VALUE"""),2108)</f>
        <v>2108</v>
      </c>
      <c r="S81" s="1">
        <f ca="1">IFERROR(__xludf.DUMMYFUNCTION("""COMPUTED_VALUE"""),0.444)</f>
        <v>0.44400000000000001</v>
      </c>
      <c r="T81" s="1">
        <f ca="1">IFERROR(__xludf.DUMMYFUNCTION("""COMPUTED_VALUE"""),252)</f>
        <v>252</v>
      </c>
      <c r="U81" s="1">
        <f ca="1">IFERROR(__xludf.DUMMYFUNCTION("""COMPUTED_VALUE"""),727)</f>
        <v>727</v>
      </c>
      <c r="V81" s="1">
        <f ca="1">IFERROR(__xludf.DUMMYFUNCTION("""COMPUTED_VALUE"""),0.347)</f>
        <v>0.34699999999999998</v>
      </c>
      <c r="W81" s="1">
        <f ca="1">IFERROR(__xludf.DUMMYFUNCTION("""COMPUTED_VALUE"""),658)</f>
        <v>658</v>
      </c>
      <c r="X81" s="1">
        <f ca="1">IFERROR(__xludf.DUMMYFUNCTION("""COMPUTED_VALUE"""),925)</f>
        <v>925</v>
      </c>
      <c r="Y81" s="1">
        <f ca="1">IFERROR(__xludf.DUMMYFUNCTION("""COMPUTED_VALUE"""),0.711)</f>
        <v>0.71099999999999997</v>
      </c>
      <c r="Z81" s="1">
        <f ca="1">IFERROR(__xludf.DUMMYFUNCTION("""COMPUTED_VALUE"""),385)</f>
        <v>385</v>
      </c>
      <c r="AA81" s="1">
        <f ca="1">IFERROR(__xludf.DUMMYFUNCTION("""COMPUTED_VALUE"""),1264)</f>
        <v>1264</v>
      </c>
      <c r="AB81" s="1">
        <f ca="1">IFERROR(__xludf.DUMMYFUNCTION("""COMPUTED_VALUE"""),377)</f>
        <v>377</v>
      </c>
      <c r="AC81" s="1">
        <f ca="1">IFERROR(__xludf.DUMMYFUNCTION("""COMPUTED_VALUE"""),208)</f>
        <v>208</v>
      </c>
      <c r="AD81" s="1">
        <f ca="1">IFERROR(__xludf.DUMMYFUNCTION("""COMPUTED_VALUE"""),123)</f>
        <v>123</v>
      </c>
      <c r="AE81" s="1">
        <f ca="1">IFERROR(__xludf.DUMMYFUNCTION("""COMPUTED_VALUE"""),334)</f>
        <v>334</v>
      </c>
      <c r="AF81" s="1">
        <f ca="1">IFERROR(__xludf.DUMMYFUNCTION("""COMPUTED_VALUE"""),660)</f>
        <v>660</v>
      </c>
    </row>
    <row r="82" spans="1:32" ht="12.5" x14ac:dyDescent="0.25">
      <c r="A82" s="1" t="str">
        <f ca="1">IFERROR(__xludf.DUMMYFUNCTION("""COMPUTED_VALUE"""),"Denver")</f>
        <v>Denver</v>
      </c>
      <c r="B82" s="1">
        <f ca="1">IFERROR(__xludf.DUMMYFUNCTION("""COMPUTED_VALUE"""),31)</f>
        <v>31</v>
      </c>
      <c r="C82" s="1">
        <f ca="1">IFERROR(__xludf.DUMMYFUNCTION("""COMPUTED_VALUE"""),16)</f>
        <v>16</v>
      </c>
      <c r="D82" s="1">
        <f ca="1">IFERROR(__xludf.DUMMYFUNCTION("""COMPUTED_VALUE"""),15)</f>
        <v>15</v>
      </c>
      <c r="E82" s="1">
        <f ca="1">IFERROR(__xludf.DUMMYFUNCTION("""COMPUTED_VALUE"""),0.516)</f>
        <v>0.51600000000000001</v>
      </c>
      <c r="F82" s="1">
        <f ca="1">IFERROR(__xludf.DUMMYFUNCTION("""COMPUTED_VALUE"""),0.84)</f>
        <v>0.84</v>
      </c>
      <c r="G82" s="1">
        <f ca="1">IFERROR(__xludf.DUMMYFUNCTION("""COMPUTED_VALUE"""),-0.42)</f>
        <v>-0.42</v>
      </c>
      <c r="H82" s="1">
        <f ca="1">IFERROR(__xludf.DUMMYFUNCTION("""COMPUTED_VALUE"""),8)</f>
        <v>8</v>
      </c>
      <c r="I82" s="1">
        <f ca="1">IFERROR(__xludf.DUMMYFUNCTION("""COMPUTED_VALUE"""),6)</f>
        <v>6</v>
      </c>
      <c r="J82" s="1">
        <f ca="1">IFERROR(__xludf.DUMMYFUNCTION("""COMPUTED_VALUE"""),9)</f>
        <v>9</v>
      </c>
      <c r="K82" s="1">
        <f ca="1">IFERROR(__xludf.DUMMYFUNCTION("""COMPUTED_VALUE"""),4)</f>
        <v>4</v>
      </c>
      <c r="L82" s="1">
        <f ca="1">IFERROR(__xludf.DUMMYFUNCTION("""COMPUTED_VALUE"""),5)</f>
        <v>5</v>
      </c>
      <c r="M82" s="1">
        <f ca="1">IFERROR(__xludf.DUMMYFUNCTION("""COMPUTED_VALUE"""),8)</f>
        <v>8</v>
      </c>
      <c r="N82" s="1">
        <f ca="1">IFERROR(__xludf.DUMMYFUNCTION("""COMPUTED_VALUE"""),2044)</f>
        <v>2044</v>
      </c>
      <c r="O82" s="1">
        <f ca="1">IFERROR(__xludf.DUMMYFUNCTION("""COMPUTED_VALUE"""),1999)</f>
        <v>1999</v>
      </c>
      <c r="P82" s="1">
        <f ca="1">IFERROR(__xludf.DUMMYFUNCTION("""COMPUTED_VALUE"""),1260)</f>
        <v>1260</v>
      </c>
      <c r="Q82" s="1">
        <f ca="1">IFERROR(__xludf.DUMMYFUNCTION("""COMPUTED_VALUE"""),711)</f>
        <v>711</v>
      </c>
      <c r="R82" s="1">
        <f ca="1">IFERROR(__xludf.DUMMYFUNCTION("""COMPUTED_VALUE"""),1535)</f>
        <v>1535</v>
      </c>
      <c r="S82" s="1">
        <f ca="1">IFERROR(__xludf.DUMMYFUNCTION("""COMPUTED_VALUE"""),0.463)</f>
        <v>0.46300000000000002</v>
      </c>
      <c r="T82" s="1">
        <f ca="1">IFERROR(__xludf.DUMMYFUNCTION("""COMPUTED_VALUE"""),253)</f>
        <v>253</v>
      </c>
      <c r="U82" s="1">
        <f ca="1">IFERROR(__xludf.DUMMYFUNCTION("""COMPUTED_VALUE"""),654)</f>
        <v>654</v>
      </c>
      <c r="V82" s="1">
        <f ca="1">IFERROR(__xludf.DUMMYFUNCTION("""COMPUTED_VALUE"""),0.387)</f>
        <v>0.38700000000000001</v>
      </c>
      <c r="W82" s="1">
        <f ca="1">IFERROR(__xludf.DUMMYFUNCTION("""COMPUTED_VALUE"""),369)</f>
        <v>369</v>
      </c>
      <c r="X82" s="1">
        <f ca="1">IFERROR(__xludf.DUMMYFUNCTION("""COMPUTED_VALUE"""),520)</f>
        <v>520</v>
      </c>
      <c r="Y82" s="1">
        <f ca="1">IFERROR(__xludf.DUMMYFUNCTION("""COMPUTED_VALUE"""),0.71)</f>
        <v>0.71</v>
      </c>
      <c r="Z82" s="1">
        <f ca="1">IFERROR(__xludf.DUMMYFUNCTION("""COMPUTED_VALUE"""),226)</f>
        <v>226</v>
      </c>
      <c r="AA82" s="1">
        <f ca="1">IFERROR(__xludf.DUMMYFUNCTION("""COMPUTED_VALUE"""),808)</f>
        <v>808</v>
      </c>
      <c r="AB82" s="1">
        <f ca="1">IFERROR(__xludf.DUMMYFUNCTION("""COMPUTED_VALUE"""),466)</f>
        <v>466</v>
      </c>
      <c r="AC82" s="1">
        <f ca="1">IFERROR(__xludf.DUMMYFUNCTION("""COMPUTED_VALUE"""),217)</f>
        <v>217</v>
      </c>
      <c r="AD82" s="1">
        <f ca="1">IFERROR(__xludf.DUMMYFUNCTION("""COMPUTED_VALUE"""),102)</f>
        <v>102</v>
      </c>
      <c r="AE82" s="1">
        <f ca="1">IFERROR(__xludf.DUMMYFUNCTION("""COMPUTED_VALUE"""),307)</f>
        <v>307</v>
      </c>
      <c r="AF82" s="1">
        <f ca="1">IFERROR(__xludf.DUMMYFUNCTION("""COMPUTED_VALUE"""),620)</f>
        <v>620</v>
      </c>
    </row>
    <row r="83" spans="1:32" ht="12.5" x14ac:dyDescent="0.25">
      <c r="A83" s="1" t="str">
        <f ca="1">IFERROR(__xludf.DUMMYFUNCTION("""COMPUTED_VALUE"""),"DePaul")</f>
        <v>DePaul</v>
      </c>
      <c r="B83" s="1">
        <f ca="1">IFERROR(__xludf.DUMMYFUNCTION("""COMPUTED_VALUE"""),33)</f>
        <v>33</v>
      </c>
      <c r="C83" s="1">
        <f ca="1">IFERROR(__xludf.DUMMYFUNCTION("""COMPUTED_VALUE"""),12)</f>
        <v>12</v>
      </c>
      <c r="D83" s="1">
        <f ca="1">IFERROR(__xludf.DUMMYFUNCTION("""COMPUTED_VALUE"""),21)</f>
        <v>21</v>
      </c>
      <c r="E83" s="1">
        <f ca="1">IFERROR(__xludf.DUMMYFUNCTION("""COMPUTED_VALUE"""),0.364)</f>
        <v>0.36399999999999999</v>
      </c>
      <c r="F83" s="1">
        <f ca="1">IFERROR(__xludf.DUMMYFUNCTION("""COMPUTED_VALUE"""),1.5)</f>
        <v>1.5</v>
      </c>
      <c r="G83" s="1">
        <f ca="1">IFERROR(__xludf.DUMMYFUNCTION("""COMPUTED_VALUE"""),7.47)</f>
        <v>7.47</v>
      </c>
      <c r="H83" s="1">
        <f ca="1">IFERROR(__xludf.DUMMYFUNCTION("""COMPUTED_VALUE"""),3)</f>
        <v>3</v>
      </c>
      <c r="I83" s="1">
        <f ca="1">IFERROR(__xludf.DUMMYFUNCTION("""COMPUTED_VALUE"""),15)</f>
        <v>15</v>
      </c>
      <c r="J83" s="1">
        <f ca="1">IFERROR(__xludf.DUMMYFUNCTION("""COMPUTED_VALUE"""),8)</f>
        <v>8</v>
      </c>
      <c r="K83" s="1">
        <f ca="1">IFERROR(__xludf.DUMMYFUNCTION("""COMPUTED_VALUE"""),9)</f>
        <v>9</v>
      </c>
      <c r="L83" s="1">
        <f ca="1">IFERROR(__xludf.DUMMYFUNCTION("""COMPUTED_VALUE"""),3)</f>
        <v>3</v>
      </c>
      <c r="M83" s="1">
        <f ca="1">IFERROR(__xludf.DUMMYFUNCTION("""COMPUTED_VALUE"""),9)</f>
        <v>9</v>
      </c>
      <c r="N83" s="1">
        <f ca="1">IFERROR(__xludf.DUMMYFUNCTION("""COMPUTED_VALUE"""),2290)</f>
        <v>2290</v>
      </c>
      <c r="O83" s="1">
        <f ca="1">IFERROR(__xludf.DUMMYFUNCTION("""COMPUTED_VALUE"""),2487)</f>
        <v>2487</v>
      </c>
      <c r="P83" s="1">
        <f ca="1">IFERROR(__xludf.DUMMYFUNCTION("""COMPUTED_VALUE"""),1340)</f>
        <v>1340</v>
      </c>
      <c r="Q83" s="1">
        <f ca="1">IFERROR(__xludf.DUMMYFUNCTION("""COMPUTED_VALUE"""),782)</f>
        <v>782</v>
      </c>
      <c r="R83" s="1">
        <f ca="1">IFERROR(__xludf.DUMMYFUNCTION("""COMPUTED_VALUE"""),1848)</f>
        <v>1848</v>
      </c>
      <c r="S83" s="1">
        <f ca="1">IFERROR(__xludf.DUMMYFUNCTION("""COMPUTED_VALUE"""),0.423)</f>
        <v>0.42299999999999999</v>
      </c>
      <c r="T83" s="1">
        <f ca="1">IFERROR(__xludf.DUMMYFUNCTION("""COMPUTED_VALUE"""),195)</f>
        <v>195</v>
      </c>
      <c r="U83" s="1">
        <f ca="1">IFERROR(__xludf.DUMMYFUNCTION("""COMPUTED_VALUE"""),580)</f>
        <v>580</v>
      </c>
      <c r="V83" s="1">
        <f ca="1">IFERROR(__xludf.DUMMYFUNCTION("""COMPUTED_VALUE"""),0.336)</f>
        <v>0.33600000000000002</v>
      </c>
      <c r="W83" s="1">
        <f ca="1">IFERROR(__xludf.DUMMYFUNCTION("""COMPUTED_VALUE"""),531)</f>
        <v>531</v>
      </c>
      <c r="X83" s="1">
        <f ca="1">IFERROR(__xludf.DUMMYFUNCTION("""COMPUTED_VALUE"""),776)</f>
        <v>776</v>
      </c>
      <c r="Y83" s="1">
        <f ca="1">IFERROR(__xludf.DUMMYFUNCTION("""COMPUTED_VALUE"""),0.684)</f>
        <v>0.68400000000000005</v>
      </c>
      <c r="Z83" s="1">
        <f ca="1">IFERROR(__xludf.DUMMYFUNCTION("""COMPUTED_VALUE"""),406)</f>
        <v>406</v>
      </c>
      <c r="AA83" s="1">
        <f ca="1">IFERROR(__xludf.DUMMYFUNCTION("""COMPUTED_VALUE"""),1119)</f>
        <v>1119</v>
      </c>
      <c r="AB83" s="1">
        <f ca="1">IFERROR(__xludf.DUMMYFUNCTION("""COMPUTED_VALUE"""),359)</f>
        <v>359</v>
      </c>
      <c r="AC83" s="1">
        <f ca="1">IFERROR(__xludf.DUMMYFUNCTION("""COMPUTED_VALUE"""),221)</f>
        <v>221</v>
      </c>
      <c r="AD83" s="1">
        <f ca="1">IFERROR(__xludf.DUMMYFUNCTION("""COMPUTED_VALUE"""),139)</f>
        <v>139</v>
      </c>
      <c r="AE83" s="1">
        <f ca="1">IFERROR(__xludf.DUMMYFUNCTION("""COMPUTED_VALUE"""),444)</f>
        <v>444</v>
      </c>
      <c r="AF83" s="1">
        <f ca="1">IFERROR(__xludf.DUMMYFUNCTION("""COMPUTED_VALUE"""),713)</f>
        <v>713</v>
      </c>
    </row>
    <row r="84" spans="1:32" ht="12.5" x14ac:dyDescent="0.25">
      <c r="A84" s="1" t="str">
        <f ca="1">IFERROR(__xludf.DUMMYFUNCTION("""COMPUTED_VALUE"""),"Detroit Mercy")</f>
        <v>Detroit Mercy</v>
      </c>
      <c r="B84" s="1">
        <f ca="1">IFERROR(__xludf.DUMMYFUNCTION("""COMPUTED_VALUE"""),32)</f>
        <v>32</v>
      </c>
      <c r="C84" s="1">
        <f ca="1">IFERROR(__xludf.DUMMYFUNCTION("""COMPUTED_VALUE"""),13)</f>
        <v>13</v>
      </c>
      <c r="D84" s="1">
        <f ca="1">IFERROR(__xludf.DUMMYFUNCTION("""COMPUTED_VALUE"""),19)</f>
        <v>19</v>
      </c>
      <c r="E84" s="1">
        <f ca="1">IFERROR(__xludf.DUMMYFUNCTION("""COMPUTED_VALUE"""),0.406)</f>
        <v>0.40600000000000003</v>
      </c>
      <c r="F84" s="1">
        <f ca="1">IFERROR(__xludf.DUMMYFUNCTION("""COMPUTED_VALUE"""),-3.25)</f>
        <v>-3.25</v>
      </c>
      <c r="G84" s="1">
        <f ca="1">IFERROR(__xludf.DUMMYFUNCTION("""COMPUTED_VALUE"""),-0.25)</f>
        <v>-0.25</v>
      </c>
      <c r="H84" s="1">
        <f ca="1">IFERROR(__xludf.DUMMYFUNCTION("""COMPUTED_VALUE"""),6)</f>
        <v>6</v>
      </c>
      <c r="I84" s="1">
        <f ca="1">IFERROR(__xludf.DUMMYFUNCTION("""COMPUTED_VALUE"""),10)</f>
        <v>10</v>
      </c>
      <c r="J84" s="1">
        <f ca="1">IFERROR(__xludf.DUMMYFUNCTION("""COMPUTED_VALUE"""),8)</f>
        <v>8</v>
      </c>
      <c r="K84" s="1">
        <f ca="1">IFERROR(__xludf.DUMMYFUNCTION("""COMPUTED_VALUE"""),7)</f>
        <v>7</v>
      </c>
      <c r="L84" s="1">
        <f ca="1">IFERROR(__xludf.DUMMYFUNCTION("""COMPUTED_VALUE"""),5)</f>
        <v>5</v>
      </c>
      <c r="M84" s="1">
        <f ca="1">IFERROR(__xludf.DUMMYFUNCTION("""COMPUTED_VALUE"""),12)</f>
        <v>12</v>
      </c>
      <c r="N84" s="1">
        <f ca="1">IFERROR(__xludf.DUMMYFUNCTION("""COMPUTED_VALUE"""),2275)</f>
        <v>2275</v>
      </c>
      <c r="O84" s="1">
        <f ca="1">IFERROR(__xludf.DUMMYFUNCTION("""COMPUTED_VALUE"""),2267)</f>
        <v>2267</v>
      </c>
      <c r="P84" s="1">
        <f ca="1">IFERROR(__xludf.DUMMYFUNCTION("""COMPUTED_VALUE"""),1305)</f>
        <v>1305</v>
      </c>
      <c r="Q84" s="1">
        <f ca="1">IFERROR(__xludf.DUMMYFUNCTION("""COMPUTED_VALUE"""),778)</f>
        <v>778</v>
      </c>
      <c r="R84" s="1">
        <f ca="1">IFERROR(__xludf.DUMMYFUNCTION("""COMPUTED_VALUE"""),1863)</f>
        <v>1863</v>
      </c>
      <c r="S84" s="1">
        <f ca="1">IFERROR(__xludf.DUMMYFUNCTION("""COMPUTED_VALUE"""),0.418)</f>
        <v>0.41799999999999998</v>
      </c>
      <c r="T84" s="1">
        <f ca="1">IFERROR(__xludf.DUMMYFUNCTION("""COMPUTED_VALUE"""),191)</f>
        <v>191</v>
      </c>
      <c r="U84" s="1">
        <f ca="1">IFERROR(__xludf.DUMMYFUNCTION("""COMPUTED_VALUE"""),595)</f>
        <v>595</v>
      </c>
      <c r="V84" s="1">
        <f ca="1">IFERROR(__xludf.DUMMYFUNCTION("""COMPUTED_VALUE"""),0.321)</f>
        <v>0.32100000000000001</v>
      </c>
      <c r="W84" s="1">
        <f ca="1">IFERROR(__xludf.DUMMYFUNCTION("""COMPUTED_VALUE"""),528)</f>
        <v>528</v>
      </c>
      <c r="X84" s="1">
        <f ca="1">IFERROR(__xludf.DUMMYFUNCTION("""COMPUTED_VALUE"""),724)</f>
        <v>724</v>
      </c>
      <c r="Y84" s="1">
        <f ca="1">IFERROR(__xludf.DUMMYFUNCTION("""COMPUTED_VALUE"""),0.729)</f>
        <v>0.72899999999999998</v>
      </c>
      <c r="Z84" s="1">
        <f ca="1">IFERROR(__xludf.DUMMYFUNCTION("""COMPUTED_VALUE"""),399)</f>
        <v>399</v>
      </c>
      <c r="AA84" s="1">
        <f ca="1">IFERROR(__xludf.DUMMYFUNCTION("""COMPUTED_VALUE"""),1174)</f>
        <v>1174</v>
      </c>
      <c r="AB84" s="1">
        <f ca="1">IFERROR(__xludf.DUMMYFUNCTION("""COMPUTED_VALUE"""),370)</f>
        <v>370</v>
      </c>
      <c r="AC84" s="1">
        <f ca="1">IFERROR(__xludf.DUMMYFUNCTION("""COMPUTED_VALUE"""),235)</f>
        <v>235</v>
      </c>
      <c r="AD84" s="1">
        <f ca="1">IFERROR(__xludf.DUMMYFUNCTION("""COMPUTED_VALUE"""),146)</f>
        <v>146</v>
      </c>
      <c r="AE84" s="1">
        <f ca="1">IFERROR(__xludf.DUMMYFUNCTION("""COMPUTED_VALUE"""),408)</f>
        <v>408</v>
      </c>
      <c r="AF84" s="1">
        <f ca="1">IFERROR(__xludf.DUMMYFUNCTION("""COMPUTED_VALUE"""),681)</f>
        <v>681</v>
      </c>
    </row>
    <row r="85" spans="1:32" ht="12.5" x14ac:dyDescent="0.25">
      <c r="A85" s="1" t="str">
        <f ca="1">IFERROR(__xludf.DUMMYFUNCTION("""COMPUTED_VALUE"""),"Drake")</f>
        <v>Drake</v>
      </c>
      <c r="B85" s="1">
        <f ca="1">IFERROR(__xludf.DUMMYFUNCTION("""COMPUTED_VALUE"""),31)</f>
        <v>31</v>
      </c>
      <c r="C85" s="1">
        <f ca="1">IFERROR(__xludf.DUMMYFUNCTION("""COMPUTED_VALUE"""),15)</f>
        <v>15</v>
      </c>
      <c r="D85" s="1">
        <f ca="1">IFERROR(__xludf.DUMMYFUNCTION("""COMPUTED_VALUE"""),16)</f>
        <v>16</v>
      </c>
      <c r="E85" s="1">
        <f ca="1">IFERROR(__xludf.DUMMYFUNCTION("""COMPUTED_VALUE"""),0.484)</f>
        <v>0.48399999999999999</v>
      </c>
      <c r="F85" s="1">
        <f ca="1">IFERROR(__xludf.DUMMYFUNCTION("""COMPUTED_VALUE"""),-0.77)</f>
        <v>-0.77</v>
      </c>
      <c r="G85" s="1">
        <f ca="1">IFERROR(__xludf.DUMMYFUNCTION("""COMPUTED_VALUE"""),1.03)</f>
        <v>1.03</v>
      </c>
      <c r="H85" s="1">
        <f ca="1">IFERROR(__xludf.DUMMYFUNCTION("""COMPUTED_VALUE"""),6)</f>
        <v>6</v>
      </c>
      <c r="I85" s="1">
        <f ca="1">IFERROR(__xludf.DUMMYFUNCTION("""COMPUTED_VALUE"""),12)</f>
        <v>12</v>
      </c>
      <c r="J85" s="1">
        <f ca="1">IFERROR(__xludf.DUMMYFUNCTION("""COMPUTED_VALUE"""),9)</f>
        <v>9</v>
      </c>
      <c r="K85" s="1">
        <f ca="1">IFERROR(__xludf.DUMMYFUNCTION("""COMPUTED_VALUE"""),5)</f>
        <v>5</v>
      </c>
      <c r="L85" s="1">
        <f ca="1">IFERROR(__xludf.DUMMYFUNCTION("""COMPUTED_VALUE"""),4)</f>
        <v>4</v>
      </c>
      <c r="M85" s="1">
        <f ca="1">IFERROR(__xludf.DUMMYFUNCTION("""COMPUTED_VALUE"""),9)</f>
        <v>9</v>
      </c>
      <c r="N85" s="1">
        <f ca="1">IFERROR(__xludf.DUMMYFUNCTION("""COMPUTED_VALUE"""),2116)</f>
        <v>2116</v>
      </c>
      <c r="O85" s="1">
        <f ca="1">IFERROR(__xludf.DUMMYFUNCTION("""COMPUTED_VALUE"""),2115)</f>
        <v>2115</v>
      </c>
      <c r="P85" s="1">
        <f ca="1">IFERROR(__xludf.DUMMYFUNCTION("""COMPUTED_VALUE"""),1245)</f>
        <v>1245</v>
      </c>
      <c r="Q85" s="1">
        <f ca="1">IFERROR(__xludf.DUMMYFUNCTION("""COMPUTED_VALUE"""),720)</f>
        <v>720</v>
      </c>
      <c r="R85" s="1">
        <f ca="1">IFERROR(__xludf.DUMMYFUNCTION("""COMPUTED_VALUE"""),1592)</f>
        <v>1592</v>
      </c>
      <c r="S85" s="1">
        <f ca="1">IFERROR(__xludf.DUMMYFUNCTION("""COMPUTED_VALUE"""),0.452)</f>
        <v>0.45200000000000001</v>
      </c>
      <c r="T85" s="1">
        <f ca="1">IFERROR(__xludf.DUMMYFUNCTION("""COMPUTED_VALUE"""),239)</f>
        <v>239</v>
      </c>
      <c r="U85" s="1">
        <f ca="1">IFERROR(__xludf.DUMMYFUNCTION("""COMPUTED_VALUE"""),603)</f>
        <v>603</v>
      </c>
      <c r="V85" s="1">
        <f ca="1">IFERROR(__xludf.DUMMYFUNCTION("""COMPUTED_VALUE"""),0.396)</f>
        <v>0.39600000000000002</v>
      </c>
      <c r="W85" s="1">
        <f ca="1">IFERROR(__xludf.DUMMYFUNCTION("""COMPUTED_VALUE"""),437)</f>
        <v>437</v>
      </c>
      <c r="X85" s="1">
        <f ca="1">IFERROR(__xludf.DUMMYFUNCTION("""COMPUTED_VALUE"""),612)</f>
        <v>612</v>
      </c>
      <c r="Y85" s="1">
        <f ca="1">IFERROR(__xludf.DUMMYFUNCTION("""COMPUTED_VALUE"""),0.714)</f>
        <v>0.71399999999999997</v>
      </c>
      <c r="Z85" s="1">
        <f ca="1">IFERROR(__xludf.DUMMYFUNCTION("""COMPUTED_VALUE"""),263)</f>
        <v>263</v>
      </c>
      <c r="AA85" s="1">
        <f ca="1">IFERROR(__xludf.DUMMYFUNCTION("""COMPUTED_VALUE"""),1009)</f>
        <v>1009</v>
      </c>
      <c r="AB85" s="1">
        <f ca="1">IFERROR(__xludf.DUMMYFUNCTION("""COMPUTED_VALUE"""),395)</f>
        <v>395</v>
      </c>
      <c r="AC85" s="1">
        <f ca="1">IFERROR(__xludf.DUMMYFUNCTION("""COMPUTED_VALUE"""),171)</f>
        <v>171</v>
      </c>
      <c r="AD85" s="1">
        <f ca="1">IFERROR(__xludf.DUMMYFUNCTION("""COMPUTED_VALUE"""),67)</f>
        <v>67</v>
      </c>
      <c r="AE85" s="1">
        <f ca="1">IFERROR(__xludf.DUMMYFUNCTION("""COMPUTED_VALUE"""),370)</f>
        <v>370</v>
      </c>
      <c r="AF85" s="1">
        <f ca="1">IFERROR(__xludf.DUMMYFUNCTION("""COMPUTED_VALUE"""),571)</f>
        <v>571</v>
      </c>
    </row>
    <row r="86" spans="1:32" ht="12.5" x14ac:dyDescent="0.25">
      <c r="A86" s="1" t="str">
        <f ca="1">IFERROR(__xludf.DUMMYFUNCTION("""COMPUTED_VALUE"""),"Drexel")</f>
        <v>Drexel</v>
      </c>
      <c r="B86" s="1">
        <f ca="1">IFERROR(__xludf.DUMMYFUNCTION("""COMPUTED_VALUE"""),30)</f>
        <v>30</v>
      </c>
      <c r="C86" s="1">
        <f ca="1">IFERROR(__xludf.DUMMYFUNCTION("""COMPUTED_VALUE"""),16)</f>
        <v>16</v>
      </c>
      <c r="D86" s="1">
        <f ca="1">IFERROR(__xludf.DUMMYFUNCTION("""COMPUTED_VALUE"""),14)</f>
        <v>14</v>
      </c>
      <c r="E86" s="1">
        <f ca="1">IFERROR(__xludf.DUMMYFUNCTION("""COMPUTED_VALUE"""),0.533)</f>
        <v>0.53300000000000003</v>
      </c>
      <c r="F86" s="1">
        <f ca="1">IFERROR(__xludf.DUMMYFUNCTION("""COMPUTED_VALUE"""),1.23)</f>
        <v>1.23</v>
      </c>
      <c r="G86" s="1">
        <f ca="1">IFERROR(__xludf.DUMMYFUNCTION("""COMPUTED_VALUE"""),-0.24)</f>
        <v>-0.24</v>
      </c>
      <c r="H86" s="1">
        <f ca="1">IFERROR(__xludf.DUMMYFUNCTION("""COMPUTED_VALUE"""),8)</f>
        <v>8</v>
      </c>
      <c r="I86" s="1">
        <f ca="1">IFERROR(__xludf.DUMMYFUNCTION("""COMPUTED_VALUE"""),8)</f>
        <v>8</v>
      </c>
      <c r="J86" s="1">
        <f ca="1">IFERROR(__xludf.DUMMYFUNCTION("""COMPUTED_VALUE"""),8)</f>
        <v>8</v>
      </c>
      <c r="K86" s="1">
        <f ca="1">IFERROR(__xludf.DUMMYFUNCTION("""COMPUTED_VALUE"""),4)</f>
        <v>4</v>
      </c>
      <c r="L86" s="1">
        <f ca="1">IFERROR(__xludf.DUMMYFUNCTION("""COMPUTED_VALUE"""),6)</f>
        <v>6</v>
      </c>
      <c r="M86" s="1">
        <f ca="1">IFERROR(__xludf.DUMMYFUNCTION("""COMPUTED_VALUE"""),8)</f>
        <v>8</v>
      </c>
      <c r="N86" s="1">
        <f ca="1">IFERROR(__xludf.DUMMYFUNCTION("""COMPUTED_VALUE"""),2064)</f>
        <v>2064</v>
      </c>
      <c r="O86" s="1">
        <f ca="1">IFERROR(__xludf.DUMMYFUNCTION("""COMPUTED_VALUE"""),2020)</f>
        <v>2020</v>
      </c>
      <c r="P86" s="1">
        <f ca="1">IFERROR(__xludf.DUMMYFUNCTION("""COMPUTED_VALUE"""),1245)</f>
        <v>1245</v>
      </c>
      <c r="Q86" s="1">
        <f ca="1">IFERROR(__xludf.DUMMYFUNCTION("""COMPUTED_VALUE"""),718)</f>
        <v>718</v>
      </c>
      <c r="R86" s="1">
        <f ca="1">IFERROR(__xludf.DUMMYFUNCTION("""COMPUTED_VALUE"""),1707)</f>
        <v>1707</v>
      </c>
      <c r="S86" s="1">
        <f ca="1">IFERROR(__xludf.DUMMYFUNCTION("""COMPUTED_VALUE"""),0.421)</f>
        <v>0.42099999999999999</v>
      </c>
      <c r="T86" s="1">
        <f ca="1">IFERROR(__xludf.DUMMYFUNCTION("""COMPUTED_VALUE"""),154)</f>
        <v>154</v>
      </c>
      <c r="U86" s="1">
        <f ca="1">IFERROR(__xludf.DUMMYFUNCTION("""COMPUTED_VALUE"""),491)</f>
        <v>491</v>
      </c>
      <c r="V86" s="1">
        <f ca="1">IFERROR(__xludf.DUMMYFUNCTION("""COMPUTED_VALUE"""),0.314)</f>
        <v>0.314</v>
      </c>
      <c r="W86" s="1">
        <f ca="1">IFERROR(__xludf.DUMMYFUNCTION("""COMPUTED_VALUE"""),474)</f>
        <v>474</v>
      </c>
      <c r="X86" s="1">
        <f ca="1">IFERROR(__xludf.DUMMYFUNCTION("""COMPUTED_VALUE"""),669)</f>
        <v>669</v>
      </c>
      <c r="Y86" s="1">
        <f ca="1">IFERROR(__xludf.DUMMYFUNCTION("""COMPUTED_VALUE"""),0.709)</f>
        <v>0.70899999999999996</v>
      </c>
      <c r="Z86" s="1">
        <f ca="1">IFERROR(__xludf.DUMMYFUNCTION("""COMPUTED_VALUE"""),315)</f>
        <v>315</v>
      </c>
      <c r="AA86" s="1">
        <f ca="1">IFERROR(__xludf.DUMMYFUNCTION("""COMPUTED_VALUE"""),1071)</f>
        <v>1071</v>
      </c>
      <c r="AB86" s="1">
        <f ca="1">IFERROR(__xludf.DUMMYFUNCTION("""COMPUTED_VALUE"""),353)</f>
        <v>353</v>
      </c>
      <c r="AC86" s="1">
        <f ca="1">IFERROR(__xludf.DUMMYFUNCTION("""COMPUTED_VALUE"""),137)</f>
        <v>137</v>
      </c>
      <c r="AD86" s="1">
        <f ca="1">IFERROR(__xludf.DUMMYFUNCTION("""COMPUTED_VALUE"""),117)</f>
        <v>117</v>
      </c>
      <c r="AE86" s="1">
        <f ca="1">IFERROR(__xludf.DUMMYFUNCTION("""COMPUTED_VALUE"""),255)</f>
        <v>255</v>
      </c>
      <c r="AF86" s="1">
        <f ca="1">IFERROR(__xludf.DUMMYFUNCTION("""COMPUTED_VALUE"""),638)</f>
        <v>638</v>
      </c>
    </row>
    <row r="87" spans="1:32" ht="12.5" x14ac:dyDescent="0.25">
      <c r="A87" s="1" t="str">
        <f ca="1">IFERROR(__xludf.DUMMYFUNCTION("""COMPUTED_VALUE"""),"DukeNCAA")</f>
        <v>DukeNCAA</v>
      </c>
      <c r="B87" s="1">
        <f ca="1">IFERROR(__xludf.DUMMYFUNCTION("""COMPUTED_VALUE"""),35)</f>
        <v>35</v>
      </c>
      <c r="C87" s="1">
        <f ca="1">IFERROR(__xludf.DUMMYFUNCTION("""COMPUTED_VALUE"""),26)</f>
        <v>26</v>
      </c>
      <c r="D87" s="1">
        <f ca="1">IFERROR(__xludf.DUMMYFUNCTION("""COMPUTED_VALUE"""),9)</f>
        <v>9</v>
      </c>
      <c r="E87" s="1">
        <f ca="1">IFERROR(__xludf.DUMMYFUNCTION("""COMPUTED_VALUE"""),0.743)</f>
        <v>0.74299999999999999</v>
      </c>
      <c r="F87" s="1">
        <f ca="1">IFERROR(__xludf.DUMMYFUNCTION("""COMPUTED_VALUE"""),19.51)</f>
        <v>19.510000000000002</v>
      </c>
      <c r="G87" s="1">
        <f ca="1">IFERROR(__xludf.DUMMYFUNCTION("""COMPUTED_VALUE"""),8.48)</f>
        <v>8.48</v>
      </c>
      <c r="H87" s="1">
        <f ca="1">IFERROR(__xludf.DUMMYFUNCTION("""COMPUTED_VALUE"""),13)</f>
        <v>13</v>
      </c>
      <c r="I87" s="1">
        <f ca="1">IFERROR(__xludf.DUMMYFUNCTION("""COMPUTED_VALUE"""),5)</f>
        <v>5</v>
      </c>
      <c r="J87" s="1">
        <f ca="1">IFERROR(__xludf.DUMMYFUNCTION("""COMPUTED_VALUE"""),17)</f>
        <v>17</v>
      </c>
      <c r="K87" s="1">
        <f ca="1">IFERROR(__xludf.DUMMYFUNCTION("""COMPUTED_VALUE"""),0)</f>
        <v>0</v>
      </c>
      <c r="L87" s="1">
        <f ca="1">IFERROR(__xludf.DUMMYFUNCTION("""COMPUTED_VALUE"""),4)</f>
        <v>4</v>
      </c>
      <c r="M87" s="1">
        <f ca="1">IFERROR(__xludf.DUMMYFUNCTION("""COMPUTED_VALUE"""),5)</f>
        <v>5</v>
      </c>
      <c r="N87" s="1">
        <f ca="1">IFERROR(__xludf.DUMMYFUNCTION("""COMPUTED_VALUE"""),2745)</f>
        <v>2745</v>
      </c>
      <c r="O87" s="1">
        <f ca="1">IFERROR(__xludf.DUMMYFUNCTION("""COMPUTED_VALUE"""),2359)</f>
        <v>2359</v>
      </c>
      <c r="P87" s="1">
        <f ca="1">IFERROR(__xludf.DUMMYFUNCTION("""COMPUTED_VALUE"""),1405)</f>
        <v>1405</v>
      </c>
      <c r="Q87" s="1">
        <f ca="1">IFERROR(__xludf.DUMMYFUNCTION("""COMPUTED_VALUE"""),929)</f>
        <v>929</v>
      </c>
      <c r="R87" s="1">
        <f ca="1">IFERROR(__xludf.DUMMYFUNCTION("""COMPUTED_VALUE"""),2020)</f>
        <v>2020</v>
      </c>
      <c r="S87" s="1">
        <f ca="1">IFERROR(__xludf.DUMMYFUNCTION("""COMPUTED_VALUE"""),0.46)</f>
        <v>0.46</v>
      </c>
      <c r="T87" s="1">
        <f ca="1">IFERROR(__xludf.DUMMYFUNCTION("""COMPUTED_VALUE"""),316)</f>
        <v>316</v>
      </c>
      <c r="U87" s="1">
        <f ca="1">IFERROR(__xludf.DUMMYFUNCTION("""COMPUTED_VALUE"""),801)</f>
        <v>801</v>
      </c>
      <c r="V87" s="1">
        <f ca="1">IFERROR(__xludf.DUMMYFUNCTION("""COMPUTED_VALUE"""),0.395)</f>
        <v>0.39500000000000002</v>
      </c>
      <c r="W87" s="1">
        <f ca="1">IFERROR(__xludf.DUMMYFUNCTION("""COMPUTED_VALUE"""),571)</f>
        <v>571</v>
      </c>
      <c r="X87" s="1">
        <f ca="1">IFERROR(__xludf.DUMMYFUNCTION("""COMPUTED_VALUE"""),783)</f>
        <v>783</v>
      </c>
      <c r="Y87" s="1">
        <f ca="1">IFERROR(__xludf.DUMMYFUNCTION("""COMPUTED_VALUE"""),0.729)</f>
        <v>0.72899999999999998</v>
      </c>
      <c r="Z87" s="1">
        <f ca="1">IFERROR(__xludf.DUMMYFUNCTION("""COMPUTED_VALUE"""),410)</f>
        <v>410</v>
      </c>
      <c r="AA87" s="1">
        <f ca="1">IFERROR(__xludf.DUMMYFUNCTION("""COMPUTED_VALUE"""),1207)</f>
        <v>1207</v>
      </c>
      <c r="AB87" s="1">
        <f ca="1">IFERROR(__xludf.DUMMYFUNCTION("""COMPUTED_VALUE"""),509)</f>
        <v>509</v>
      </c>
      <c r="AC87" s="1">
        <f ca="1">IFERROR(__xludf.DUMMYFUNCTION("""COMPUTED_VALUE"""),244)</f>
        <v>244</v>
      </c>
      <c r="AD87" s="1">
        <f ca="1">IFERROR(__xludf.DUMMYFUNCTION("""COMPUTED_VALUE"""),105)</f>
        <v>105</v>
      </c>
      <c r="AE87" s="1">
        <f ca="1">IFERROR(__xludf.DUMMYFUNCTION("""COMPUTED_VALUE"""),328)</f>
        <v>328</v>
      </c>
      <c r="AF87" s="1">
        <f ca="1">IFERROR(__xludf.DUMMYFUNCTION("""COMPUTED_VALUE"""),681)</f>
        <v>681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IFERROR(__xludf.DUMMYFUNCTION("""COMPUTED_VALUE"""),"Duquesne")</f>
        <v>Duquesne</v>
      </c>
      <c r="B90" s="1">
        <f ca="1">IFERROR(__xludf.DUMMYFUNCTION("""COMPUTED_VALUE"""),30)</f>
        <v>30</v>
      </c>
      <c r="C90" s="1">
        <f ca="1">IFERROR(__xludf.DUMMYFUNCTION("""COMPUTED_VALUE"""),13)</f>
        <v>13</v>
      </c>
      <c r="D90" s="1">
        <f ca="1">IFERROR(__xludf.DUMMYFUNCTION("""COMPUTED_VALUE"""),17)</f>
        <v>17</v>
      </c>
      <c r="E90" s="1">
        <f ca="1">IFERROR(__xludf.DUMMYFUNCTION("""COMPUTED_VALUE"""),0.433)</f>
        <v>0.433</v>
      </c>
      <c r="F90" s="1">
        <f ca="1">IFERROR(__xludf.DUMMYFUNCTION("""COMPUTED_VALUE"""),0.66)</f>
        <v>0.66</v>
      </c>
      <c r="G90" s="1">
        <f ca="1">IFERROR(__xludf.DUMMYFUNCTION("""COMPUTED_VALUE"""),1.03)</f>
        <v>1.03</v>
      </c>
      <c r="H90" s="1">
        <f ca="1">IFERROR(__xludf.DUMMYFUNCTION("""COMPUTED_VALUE"""),5)</f>
        <v>5</v>
      </c>
      <c r="I90" s="1">
        <f ca="1">IFERROR(__xludf.DUMMYFUNCTION("""COMPUTED_VALUE"""),11)</f>
        <v>11</v>
      </c>
      <c r="J90" s="1">
        <f ca="1">IFERROR(__xludf.DUMMYFUNCTION("""COMPUTED_VALUE"""),6)</f>
        <v>6</v>
      </c>
      <c r="K90" s="1">
        <f ca="1">IFERROR(__xludf.DUMMYFUNCTION("""COMPUTED_VALUE"""),8)</f>
        <v>8</v>
      </c>
      <c r="L90" s="1">
        <f ca="1">IFERROR(__xludf.DUMMYFUNCTION("""COMPUTED_VALUE"""),7)</f>
        <v>7</v>
      </c>
      <c r="M90" s="1">
        <f ca="1">IFERROR(__xludf.DUMMYFUNCTION("""COMPUTED_VALUE"""),6)</f>
        <v>6</v>
      </c>
      <c r="N90" s="1">
        <f ca="1">IFERROR(__xludf.DUMMYFUNCTION("""COMPUTED_VALUE"""),2200)</f>
        <v>2200</v>
      </c>
      <c r="O90" s="1">
        <f ca="1">IFERROR(__xludf.DUMMYFUNCTION("""COMPUTED_VALUE"""),2211)</f>
        <v>2211</v>
      </c>
      <c r="P90" s="1">
        <f ca="1">IFERROR(__xludf.DUMMYFUNCTION("""COMPUTED_VALUE"""),1200)</f>
        <v>1200</v>
      </c>
      <c r="Q90" s="1">
        <f ca="1">IFERROR(__xludf.DUMMYFUNCTION("""COMPUTED_VALUE"""),751)</f>
        <v>751</v>
      </c>
      <c r="R90" s="1">
        <f ca="1">IFERROR(__xludf.DUMMYFUNCTION("""COMPUTED_VALUE"""),1699)</f>
        <v>1699</v>
      </c>
      <c r="S90" s="1">
        <f ca="1">IFERROR(__xludf.DUMMYFUNCTION("""COMPUTED_VALUE"""),0.442)</f>
        <v>0.442</v>
      </c>
      <c r="T90" s="1">
        <f ca="1">IFERROR(__xludf.DUMMYFUNCTION("""COMPUTED_VALUE"""),218)</f>
        <v>218</v>
      </c>
      <c r="U90" s="1">
        <f ca="1">IFERROR(__xludf.DUMMYFUNCTION("""COMPUTED_VALUE"""),600)</f>
        <v>600</v>
      </c>
      <c r="V90" s="1">
        <f ca="1">IFERROR(__xludf.DUMMYFUNCTION("""COMPUTED_VALUE"""),0.363)</f>
        <v>0.36299999999999999</v>
      </c>
      <c r="W90" s="1">
        <f ca="1">IFERROR(__xludf.DUMMYFUNCTION("""COMPUTED_VALUE"""),480)</f>
        <v>480</v>
      </c>
      <c r="X90" s="1">
        <f ca="1">IFERROR(__xludf.DUMMYFUNCTION("""COMPUTED_VALUE"""),717)</f>
        <v>717</v>
      </c>
      <c r="Y90" s="1">
        <f ca="1">IFERROR(__xludf.DUMMYFUNCTION("""COMPUTED_VALUE"""),0.669)</f>
        <v>0.66900000000000004</v>
      </c>
      <c r="Z90" s="1">
        <f ca="1">IFERROR(__xludf.DUMMYFUNCTION("""COMPUTED_VALUE"""),323)</f>
        <v>323</v>
      </c>
      <c r="AA90" s="1">
        <f ca="1">IFERROR(__xludf.DUMMYFUNCTION("""COMPUTED_VALUE"""),1060)</f>
        <v>1060</v>
      </c>
      <c r="AB90" s="1">
        <f ca="1">IFERROR(__xludf.DUMMYFUNCTION("""COMPUTED_VALUE"""),457)</f>
        <v>457</v>
      </c>
      <c r="AC90" s="1">
        <f ca="1">IFERROR(__xludf.DUMMYFUNCTION("""COMPUTED_VALUE"""),175)</f>
        <v>175</v>
      </c>
      <c r="AD90" s="1">
        <f ca="1">IFERROR(__xludf.DUMMYFUNCTION("""COMPUTED_VALUE"""),83)</f>
        <v>83</v>
      </c>
      <c r="AE90" s="1">
        <f ca="1">IFERROR(__xludf.DUMMYFUNCTION("""COMPUTED_VALUE"""),331)</f>
        <v>331</v>
      </c>
      <c r="AF90" s="1">
        <f ca="1">IFERROR(__xludf.DUMMYFUNCTION("""COMPUTED_VALUE"""),540)</f>
        <v>540</v>
      </c>
    </row>
    <row r="91" spans="1:32" ht="12.5" x14ac:dyDescent="0.25">
      <c r="A91" s="1" t="str">
        <f ca="1">IFERROR(__xludf.DUMMYFUNCTION("""COMPUTED_VALUE"""),"East Carolina")</f>
        <v>East Carolina</v>
      </c>
      <c r="B91" s="1">
        <f ca="1">IFERROR(__xludf.DUMMYFUNCTION("""COMPUTED_VALUE"""),34)</f>
        <v>34</v>
      </c>
      <c r="C91" s="1">
        <f ca="1">IFERROR(__xludf.DUMMYFUNCTION("""COMPUTED_VALUE"""),17)</f>
        <v>17</v>
      </c>
      <c r="D91" s="1">
        <f ca="1">IFERROR(__xludf.DUMMYFUNCTION("""COMPUTED_VALUE"""),17)</f>
        <v>17</v>
      </c>
      <c r="E91" s="1">
        <f ca="1">IFERROR(__xludf.DUMMYFUNCTION("""COMPUTED_VALUE"""),0.5)</f>
        <v>0.5</v>
      </c>
      <c r="F91" s="1">
        <f ca="1">IFERROR(__xludf.DUMMYFUNCTION("""COMPUTED_VALUE"""),-4.08)</f>
        <v>-4.08</v>
      </c>
      <c r="G91" s="1">
        <f ca="1">IFERROR(__xludf.DUMMYFUNCTION("""COMPUTED_VALUE"""),-2.41)</f>
        <v>-2.41</v>
      </c>
      <c r="H91" s="1">
        <f ca="1">IFERROR(__xludf.DUMMYFUNCTION("""COMPUTED_VALUE"""),5)</f>
        <v>5</v>
      </c>
      <c r="I91" s="1">
        <f ca="1">IFERROR(__xludf.DUMMYFUNCTION("""COMPUTED_VALUE"""),11)</f>
        <v>11</v>
      </c>
      <c r="J91" s="1">
        <f ca="1">IFERROR(__xludf.DUMMYFUNCTION("""COMPUTED_VALUE"""),10)</f>
        <v>10</v>
      </c>
      <c r="K91" s="1">
        <f ca="1">IFERROR(__xludf.DUMMYFUNCTION("""COMPUTED_VALUE"""),7)</f>
        <v>7</v>
      </c>
      <c r="L91" s="1">
        <f ca="1">IFERROR(__xludf.DUMMYFUNCTION("""COMPUTED_VALUE"""),3)</f>
        <v>3</v>
      </c>
      <c r="M91" s="1">
        <f ca="1">IFERROR(__xludf.DUMMYFUNCTION("""COMPUTED_VALUE"""),10)</f>
        <v>10</v>
      </c>
      <c r="N91" s="1">
        <f ca="1">IFERROR(__xludf.DUMMYFUNCTION("""COMPUTED_VALUE"""),2477)</f>
        <v>2477</v>
      </c>
      <c r="O91" s="1">
        <f ca="1">IFERROR(__xludf.DUMMYFUNCTION("""COMPUTED_VALUE"""),2411)</f>
        <v>2411</v>
      </c>
      <c r="P91" s="1">
        <f ca="1">IFERROR(__xludf.DUMMYFUNCTION("""COMPUTED_VALUE"""),1360)</f>
        <v>1360</v>
      </c>
      <c r="Q91" s="1">
        <f ca="1">IFERROR(__xludf.DUMMYFUNCTION("""COMPUTED_VALUE"""),809)</f>
        <v>809</v>
      </c>
      <c r="R91" s="1">
        <f ca="1">IFERROR(__xludf.DUMMYFUNCTION("""COMPUTED_VALUE"""),1833)</f>
        <v>1833</v>
      </c>
      <c r="S91" s="1">
        <f ca="1">IFERROR(__xludf.DUMMYFUNCTION("""COMPUTED_VALUE"""),0.441)</f>
        <v>0.441</v>
      </c>
      <c r="T91" s="1">
        <f ca="1">IFERROR(__xludf.DUMMYFUNCTION("""COMPUTED_VALUE"""),289)</f>
        <v>289</v>
      </c>
      <c r="U91" s="1">
        <f ca="1">IFERROR(__xludf.DUMMYFUNCTION("""COMPUTED_VALUE"""),786)</f>
        <v>786</v>
      </c>
      <c r="V91" s="1">
        <f ca="1">IFERROR(__xludf.DUMMYFUNCTION("""COMPUTED_VALUE"""),0.368)</f>
        <v>0.36799999999999999</v>
      </c>
      <c r="W91" s="1">
        <f ca="1">IFERROR(__xludf.DUMMYFUNCTION("""COMPUTED_VALUE"""),570)</f>
        <v>570</v>
      </c>
      <c r="X91" s="1">
        <f ca="1">IFERROR(__xludf.DUMMYFUNCTION("""COMPUTED_VALUE"""),799)</f>
        <v>799</v>
      </c>
      <c r="Y91" s="1">
        <f ca="1">IFERROR(__xludf.DUMMYFUNCTION("""COMPUTED_VALUE"""),0.713)</f>
        <v>0.71299999999999997</v>
      </c>
      <c r="Z91" s="1">
        <f ca="1">IFERROR(__xludf.DUMMYFUNCTION("""COMPUTED_VALUE"""),354)</f>
        <v>354</v>
      </c>
      <c r="AA91" s="1">
        <f ca="1">IFERROR(__xludf.DUMMYFUNCTION("""COMPUTED_VALUE"""),1145)</f>
        <v>1145</v>
      </c>
      <c r="AB91" s="1">
        <f ca="1">IFERROR(__xludf.DUMMYFUNCTION("""COMPUTED_VALUE"""),458)</f>
        <v>458</v>
      </c>
      <c r="AC91" s="1">
        <f ca="1">IFERROR(__xludf.DUMMYFUNCTION("""COMPUTED_VALUE"""),215)</f>
        <v>215</v>
      </c>
      <c r="AD91" s="1">
        <f ca="1">IFERROR(__xludf.DUMMYFUNCTION("""COMPUTED_VALUE"""),107)</f>
        <v>107</v>
      </c>
      <c r="AE91" s="1">
        <f ca="1">IFERROR(__xludf.DUMMYFUNCTION("""COMPUTED_VALUE"""),398)</f>
        <v>398</v>
      </c>
      <c r="AF91" s="1">
        <f ca="1">IFERROR(__xludf.DUMMYFUNCTION("""COMPUTED_VALUE"""),589)</f>
        <v>589</v>
      </c>
    </row>
    <row r="92" spans="1:32" ht="12.5" x14ac:dyDescent="0.25">
      <c r="A92" s="1" t="str">
        <f ca="1">IFERROR(__xludf.DUMMYFUNCTION("""COMPUTED_VALUE"""),"East Tennessee State")</f>
        <v>East Tennessee State</v>
      </c>
      <c r="B92" s="1">
        <f ca="1">IFERROR(__xludf.DUMMYFUNCTION("""COMPUTED_VALUE"""),35)</f>
        <v>35</v>
      </c>
      <c r="C92" s="1">
        <f ca="1">IFERROR(__xludf.DUMMYFUNCTION("""COMPUTED_VALUE"""),19)</f>
        <v>19</v>
      </c>
      <c r="D92" s="1">
        <f ca="1">IFERROR(__xludf.DUMMYFUNCTION("""COMPUTED_VALUE"""),16)</f>
        <v>16</v>
      </c>
      <c r="E92" s="1">
        <f ca="1">IFERROR(__xludf.DUMMYFUNCTION("""COMPUTED_VALUE"""),0.543)</f>
        <v>0.54300000000000004</v>
      </c>
      <c r="F92" s="1">
        <f ca="1">IFERROR(__xludf.DUMMYFUNCTION("""COMPUTED_VALUE"""),-5.93)</f>
        <v>-5.93</v>
      </c>
      <c r="G92" s="1">
        <f ca="1">IFERROR(__xludf.DUMMYFUNCTION("""COMPUTED_VALUE"""),-6.08)</f>
        <v>-6.08</v>
      </c>
      <c r="H92" s="1">
        <f ca="1">IFERROR(__xludf.DUMMYFUNCTION("""COMPUTED_VALUE"""),10)</f>
        <v>10</v>
      </c>
      <c r="I92" s="1">
        <f ca="1">IFERROR(__xludf.DUMMYFUNCTION("""COMPUTED_VALUE"""),8)</f>
        <v>8</v>
      </c>
      <c r="J92" s="1">
        <f ca="1">IFERROR(__xludf.DUMMYFUNCTION("""COMPUTED_VALUE"""),14)</f>
        <v>14</v>
      </c>
      <c r="K92" s="1">
        <f ca="1">IFERROR(__xludf.DUMMYFUNCTION("""COMPUTED_VALUE"""),6)</f>
        <v>6</v>
      </c>
      <c r="L92" s="1">
        <f ca="1">IFERROR(__xludf.DUMMYFUNCTION("""COMPUTED_VALUE"""),5)</f>
        <v>5</v>
      </c>
      <c r="M92" s="1">
        <f ca="1">IFERROR(__xludf.DUMMYFUNCTION("""COMPUTED_VALUE"""),10)</f>
        <v>10</v>
      </c>
      <c r="N92" s="1">
        <f ca="1">IFERROR(__xludf.DUMMYFUNCTION("""COMPUTED_VALUE"""),2689)</f>
        <v>2689</v>
      </c>
      <c r="O92" s="1">
        <f ca="1">IFERROR(__xludf.DUMMYFUNCTION("""COMPUTED_VALUE"""),2663)</f>
        <v>2663</v>
      </c>
      <c r="P92" s="1">
        <f ca="1">IFERROR(__xludf.DUMMYFUNCTION("""COMPUTED_VALUE"""),1410)</f>
        <v>1410</v>
      </c>
      <c r="Q92" s="1">
        <f ca="1">IFERROR(__xludf.DUMMYFUNCTION("""COMPUTED_VALUE"""),879)</f>
        <v>879</v>
      </c>
      <c r="R92" s="1">
        <f ca="1">IFERROR(__xludf.DUMMYFUNCTION("""COMPUTED_VALUE"""),2045)</f>
        <v>2045</v>
      </c>
      <c r="S92" s="1">
        <f ca="1">IFERROR(__xludf.DUMMYFUNCTION("""COMPUTED_VALUE"""),0.43)</f>
        <v>0.43</v>
      </c>
      <c r="T92" s="1">
        <f ca="1">IFERROR(__xludf.DUMMYFUNCTION("""COMPUTED_VALUE"""),275)</f>
        <v>275</v>
      </c>
      <c r="U92" s="1">
        <f ca="1">IFERROR(__xludf.DUMMYFUNCTION("""COMPUTED_VALUE"""),758)</f>
        <v>758</v>
      </c>
      <c r="V92" s="1">
        <f ca="1">IFERROR(__xludf.DUMMYFUNCTION("""COMPUTED_VALUE"""),0.363)</f>
        <v>0.36299999999999999</v>
      </c>
      <c r="W92" s="1">
        <f ca="1">IFERROR(__xludf.DUMMYFUNCTION("""COMPUTED_VALUE"""),656)</f>
        <v>656</v>
      </c>
      <c r="X92" s="1">
        <f ca="1">IFERROR(__xludf.DUMMYFUNCTION("""COMPUTED_VALUE"""),877)</f>
        <v>877</v>
      </c>
      <c r="Y92" s="1">
        <f ca="1">IFERROR(__xludf.DUMMYFUNCTION("""COMPUTED_VALUE"""),0.748)</f>
        <v>0.748</v>
      </c>
      <c r="Z92" s="1">
        <f ca="1">IFERROR(__xludf.DUMMYFUNCTION("""COMPUTED_VALUE"""),368)</f>
        <v>368</v>
      </c>
      <c r="AA92" s="1">
        <f ca="1">IFERROR(__xludf.DUMMYFUNCTION("""COMPUTED_VALUE"""),1227)</f>
        <v>1227</v>
      </c>
      <c r="AB92" s="1">
        <f ca="1">IFERROR(__xludf.DUMMYFUNCTION("""COMPUTED_VALUE"""),429)</f>
        <v>429</v>
      </c>
      <c r="AC92" s="1">
        <f ca="1">IFERROR(__xludf.DUMMYFUNCTION("""COMPUTED_VALUE"""),269)</f>
        <v>269</v>
      </c>
      <c r="AD92" s="1">
        <f ca="1">IFERROR(__xludf.DUMMYFUNCTION("""COMPUTED_VALUE"""),108)</f>
        <v>108</v>
      </c>
      <c r="AE92" s="1">
        <f ca="1">IFERROR(__xludf.DUMMYFUNCTION("""COMPUTED_VALUE"""),408)</f>
        <v>408</v>
      </c>
      <c r="AF92" s="1">
        <f ca="1">IFERROR(__xludf.DUMMYFUNCTION("""COMPUTED_VALUE"""),700)</f>
        <v>700</v>
      </c>
    </row>
    <row r="93" spans="1:32" ht="12.5" x14ac:dyDescent="0.25">
      <c r="A93" s="1" t="str">
        <f ca="1">IFERROR(__xludf.DUMMYFUNCTION("""COMPUTED_VALUE"""),"Eastern Illinois")</f>
        <v>Eastern Illinois</v>
      </c>
      <c r="B93" s="1">
        <f ca="1">IFERROR(__xludf.DUMMYFUNCTION("""COMPUTED_VALUE"""),30)</f>
        <v>30</v>
      </c>
      <c r="C93" s="1">
        <f ca="1">IFERROR(__xludf.DUMMYFUNCTION("""COMPUTED_VALUE"""),11)</f>
        <v>11</v>
      </c>
      <c r="D93" s="1">
        <f ca="1">IFERROR(__xludf.DUMMYFUNCTION("""COMPUTED_VALUE"""),19)</f>
        <v>19</v>
      </c>
      <c r="E93" s="1">
        <f ca="1">IFERROR(__xludf.DUMMYFUNCTION("""COMPUTED_VALUE"""),0.367)</f>
        <v>0.36699999999999999</v>
      </c>
      <c r="F93" s="1">
        <f ca="1">IFERROR(__xludf.DUMMYFUNCTION("""COMPUTED_VALUE"""),-11.53)</f>
        <v>-11.53</v>
      </c>
      <c r="G93" s="1">
        <f ca="1">IFERROR(__xludf.DUMMYFUNCTION("""COMPUTED_VALUE"""),-4.21)</f>
        <v>-4.21</v>
      </c>
      <c r="H93" s="1">
        <f ca="1">IFERROR(__xludf.DUMMYFUNCTION("""COMPUTED_VALUE"""),7)</f>
        <v>7</v>
      </c>
      <c r="I93" s="1">
        <f ca="1">IFERROR(__xludf.DUMMYFUNCTION("""COMPUTED_VALUE"""),9)</f>
        <v>9</v>
      </c>
      <c r="J93" s="1">
        <f ca="1">IFERROR(__xludf.DUMMYFUNCTION("""COMPUTED_VALUE"""),7)</f>
        <v>7</v>
      </c>
      <c r="K93" s="1">
        <f ca="1">IFERROR(__xludf.DUMMYFUNCTION("""COMPUTED_VALUE"""),7)</f>
        <v>7</v>
      </c>
      <c r="L93" s="1">
        <f ca="1">IFERROR(__xludf.DUMMYFUNCTION("""COMPUTED_VALUE"""),4)</f>
        <v>4</v>
      </c>
      <c r="M93" s="1">
        <f ca="1">IFERROR(__xludf.DUMMYFUNCTION("""COMPUTED_VALUE"""),11)</f>
        <v>11</v>
      </c>
      <c r="N93" s="1">
        <f ca="1">IFERROR(__xludf.DUMMYFUNCTION("""COMPUTED_VALUE"""),2030)</f>
        <v>2030</v>
      </c>
      <c r="O93" s="1">
        <f ca="1">IFERROR(__xludf.DUMMYFUNCTION("""COMPUTED_VALUE"""),2206)</f>
        <v>2206</v>
      </c>
      <c r="P93" s="1">
        <f ca="1">IFERROR(__xludf.DUMMYFUNCTION("""COMPUTED_VALUE"""),1200)</f>
        <v>1200</v>
      </c>
      <c r="Q93" s="1">
        <f ca="1">IFERROR(__xludf.DUMMYFUNCTION("""COMPUTED_VALUE"""),703)</f>
        <v>703</v>
      </c>
      <c r="R93" s="1">
        <f ca="1">IFERROR(__xludf.DUMMYFUNCTION("""COMPUTED_VALUE"""),1598)</f>
        <v>1598</v>
      </c>
      <c r="S93" s="1">
        <f ca="1">IFERROR(__xludf.DUMMYFUNCTION("""COMPUTED_VALUE"""),0.44)</f>
        <v>0.44</v>
      </c>
      <c r="T93" s="1">
        <f ca="1">IFERROR(__xludf.DUMMYFUNCTION("""COMPUTED_VALUE"""),152)</f>
        <v>152</v>
      </c>
      <c r="U93" s="1">
        <f ca="1">IFERROR(__xludf.DUMMYFUNCTION("""COMPUTED_VALUE"""),476)</f>
        <v>476</v>
      </c>
      <c r="V93" s="1">
        <f ca="1">IFERROR(__xludf.DUMMYFUNCTION("""COMPUTED_VALUE"""),0.319)</f>
        <v>0.31900000000000001</v>
      </c>
      <c r="W93" s="1">
        <f ca="1">IFERROR(__xludf.DUMMYFUNCTION("""COMPUTED_VALUE"""),472)</f>
        <v>472</v>
      </c>
      <c r="X93" s="1">
        <f ca="1">IFERROR(__xludf.DUMMYFUNCTION("""COMPUTED_VALUE"""),660)</f>
        <v>660</v>
      </c>
      <c r="Y93" s="1">
        <f ca="1">IFERROR(__xludf.DUMMYFUNCTION("""COMPUTED_VALUE"""),0.715)</f>
        <v>0.71499999999999997</v>
      </c>
      <c r="Z93" s="1">
        <f ca="1">IFERROR(__xludf.DUMMYFUNCTION("""COMPUTED_VALUE"""),315)</f>
        <v>315</v>
      </c>
      <c r="AA93" s="1">
        <f ca="1">IFERROR(__xludf.DUMMYFUNCTION("""COMPUTED_VALUE"""),971)</f>
        <v>971</v>
      </c>
      <c r="AB93" s="1">
        <f ca="1">IFERROR(__xludf.DUMMYFUNCTION("""COMPUTED_VALUE"""),359)</f>
        <v>359</v>
      </c>
      <c r="AC93" s="1">
        <f ca="1">IFERROR(__xludf.DUMMYFUNCTION("""COMPUTED_VALUE"""),171)</f>
        <v>171</v>
      </c>
      <c r="AD93" s="1">
        <f ca="1">IFERROR(__xludf.DUMMYFUNCTION("""COMPUTED_VALUE"""),144)</f>
        <v>144</v>
      </c>
      <c r="AE93" s="1">
        <f ca="1">IFERROR(__xludf.DUMMYFUNCTION("""COMPUTED_VALUE"""),399)</f>
        <v>399</v>
      </c>
      <c r="AF93" s="1">
        <f ca="1">IFERROR(__xludf.DUMMYFUNCTION("""COMPUTED_VALUE"""),576)</f>
        <v>576</v>
      </c>
    </row>
    <row r="94" spans="1:32" ht="12.5" x14ac:dyDescent="0.25">
      <c r="A94" s="1" t="str">
        <f ca="1">IFERROR(__xludf.DUMMYFUNCTION("""COMPUTED_VALUE"""),"Eastern KentuckyNCAA")</f>
        <v>Eastern KentuckyNCAA</v>
      </c>
      <c r="B94" s="1">
        <f ca="1">IFERROR(__xludf.DUMMYFUNCTION("""COMPUTED_VALUE"""),34)</f>
        <v>34</v>
      </c>
      <c r="C94" s="1">
        <f ca="1">IFERROR(__xludf.DUMMYFUNCTION("""COMPUTED_VALUE"""),24)</f>
        <v>24</v>
      </c>
      <c r="D94" s="1">
        <f ca="1">IFERROR(__xludf.DUMMYFUNCTION("""COMPUTED_VALUE"""),10)</f>
        <v>10</v>
      </c>
      <c r="E94" s="1">
        <f ca="1">IFERROR(__xludf.DUMMYFUNCTION("""COMPUTED_VALUE"""),0.706)</f>
        <v>0.70599999999999996</v>
      </c>
      <c r="F94" s="1">
        <f ca="1">IFERROR(__xludf.DUMMYFUNCTION("""COMPUTED_VALUE"""),0.6)</f>
        <v>0.6</v>
      </c>
      <c r="G94" s="1">
        <f ca="1">IFERROR(__xludf.DUMMYFUNCTION("""COMPUTED_VALUE"""),-4.34)</f>
        <v>-4.34</v>
      </c>
      <c r="H94" s="1">
        <f ca="1">IFERROR(__xludf.DUMMYFUNCTION("""COMPUTED_VALUE"""),11)</f>
        <v>11</v>
      </c>
      <c r="I94" s="1">
        <f ca="1">IFERROR(__xludf.DUMMYFUNCTION("""COMPUTED_VALUE"""),5)</f>
        <v>5</v>
      </c>
      <c r="J94" s="1">
        <f ca="1">IFERROR(__xludf.DUMMYFUNCTION("""COMPUTED_VALUE"""),12)</f>
        <v>12</v>
      </c>
      <c r="K94" s="1">
        <f ca="1">IFERROR(__xludf.DUMMYFUNCTION("""COMPUTED_VALUE"""),2)</f>
        <v>2</v>
      </c>
      <c r="L94" s="1">
        <f ca="1">IFERROR(__xludf.DUMMYFUNCTION("""COMPUTED_VALUE"""),8)</f>
        <v>8</v>
      </c>
      <c r="M94" s="1">
        <f ca="1">IFERROR(__xludf.DUMMYFUNCTION("""COMPUTED_VALUE"""),6)</f>
        <v>6</v>
      </c>
      <c r="N94" s="1">
        <f ca="1">IFERROR(__xludf.DUMMYFUNCTION("""COMPUTED_VALUE"""),2677)</f>
        <v>2677</v>
      </c>
      <c r="O94" s="1">
        <f ca="1">IFERROR(__xludf.DUMMYFUNCTION("""COMPUTED_VALUE"""),2411)</f>
        <v>2411</v>
      </c>
      <c r="P94" s="1">
        <f ca="1">IFERROR(__xludf.DUMMYFUNCTION("""COMPUTED_VALUE"""),1365)</f>
        <v>1365</v>
      </c>
      <c r="Q94" s="1">
        <f ca="1">IFERROR(__xludf.DUMMYFUNCTION("""COMPUTED_VALUE"""),881)</f>
        <v>881</v>
      </c>
      <c r="R94" s="1">
        <f ca="1">IFERROR(__xludf.DUMMYFUNCTION("""COMPUTED_VALUE"""),1810)</f>
        <v>1810</v>
      </c>
      <c r="S94" s="1">
        <f ca="1">IFERROR(__xludf.DUMMYFUNCTION("""COMPUTED_VALUE"""),0.487)</f>
        <v>0.48699999999999999</v>
      </c>
      <c r="T94" s="1">
        <f ca="1">IFERROR(__xludf.DUMMYFUNCTION("""COMPUTED_VALUE"""),315)</f>
        <v>315</v>
      </c>
      <c r="U94" s="1">
        <f ca="1">IFERROR(__xludf.DUMMYFUNCTION("""COMPUTED_VALUE"""),807)</f>
        <v>807</v>
      </c>
      <c r="V94" s="1">
        <f ca="1">IFERROR(__xludf.DUMMYFUNCTION("""COMPUTED_VALUE"""),0.39)</f>
        <v>0.39</v>
      </c>
      <c r="W94" s="1">
        <f ca="1">IFERROR(__xludf.DUMMYFUNCTION("""COMPUTED_VALUE"""),600)</f>
        <v>600</v>
      </c>
      <c r="X94" s="1">
        <f ca="1">IFERROR(__xludf.DUMMYFUNCTION("""COMPUTED_VALUE"""),798)</f>
        <v>798</v>
      </c>
      <c r="Y94" s="1">
        <f ca="1">IFERROR(__xludf.DUMMYFUNCTION("""COMPUTED_VALUE"""),0.752)</f>
        <v>0.752</v>
      </c>
      <c r="Z94" s="1">
        <f ca="1">IFERROR(__xludf.DUMMYFUNCTION("""COMPUTED_VALUE"""),243)</f>
        <v>243</v>
      </c>
      <c r="AA94" s="1">
        <f ca="1">IFERROR(__xludf.DUMMYFUNCTION("""COMPUTED_VALUE"""),884)</f>
        <v>884</v>
      </c>
      <c r="AB94" s="1">
        <f ca="1">IFERROR(__xludf.DUMMYFUNCTION("""COMPUTED_VALUE"""),498)</f>
        <v>498</v>
      </c>
      <c r="AC94" s="1">
        <f ca="1">IFERROR(__xludf.DUMMYFUNCTION("""COMPUTED_VALUE"""),299)</f>
        <v>299</v>
      </c>
      <c r="AD94" s="1">
        <f ca="1">IFERROR(__xludf.DUMMYFUNCTION("""COMPUTED_VALUE"""),67)</f>
        <v>67</v>
      </c>
      <c r="AE94" s="1">
        <f ca="1">IFERROR(__xludf.DUMMYFUNCTION("""COMPUTED_VALUE"""),359)</f>
        <v>359</v>
      </c>
      <c r="AF94" s="1">
        <f ca="1">IFERROR(__xludf.DUMMYFUNCTION("""COMPUTED_VALUE"""),707)</f>
        <v>707</v>
      </c>
    </row>
    <row r="95" spans="1:32" ht="12.5" x14ac:dyDescent="0.25">
      <c r="A95" s="1" t="str">
        <f ca="1">IFERROR(__xludf.DUMMYFUNCTION("""COMPUTED_VALUE"""),"Eastern Michigan")</f>
        <v>Eastern Michigan</v>
      </c>
      <c r="B95" s="1">
        <f ca="1">IFERROR(__xludf.DUMMYFUNCTION("""COMPUTED_VALUE"""),37)</f>
        <v>37</v>
      </c>
      <c r="C95" s="1">
        <f ca="1">IFERROR(__xludf.DUMMYFUNCTION("""COMPUTED_VALUE"""),22)</f>
        <v>22</v>
      </c>
      <c r="D95" s="1">
        <f ca="1">IFERROR(__xludf.DUMMYFUNCTION("""COMPUTED_VALUE"""),15)</f>
        <v>15</v>
      </c>
      <c r="E95" s="1">
        <f ca="1">IFERROR(__xludf.DUMMYFUNCTION("""COMPUTED_VALUE"""),0.595)</f>
        <v>0.59499999999999997</v>
      </c>
      <c r="F95" s="1">
        <f ca="1">IFERROR(__xludf.DUMMYFUNCTION("""COMPUTED_VALUE"""),1.79)</f>
        <v>1.79</v>
      </c>
      <c r="G95" s="1">
        <f ca="1">IFERROR(__xludf.DUMMYFUNCTION("""COMPUTED_VALUE"""),0.67)</f>
        <v>0.67</v>
      </c>
      <c r="H95" s="1">
        <f ca="1">IFERROR(__xludf.DUMMYFUNCTION("""COMPUTED_VALUE"""),10)</f>
        <v>10</v>
      </c>
      <c r="I95" s="1">
        <f ca="1">IFERROR(__xludf.DUMMYFUNCTION("""COMPUTED_VALUE"""),8)</f>
        <v>8</v>
      </c>
      <c r="J95" s="1">
        <f ca="1">IFERROR(__xludf.DUMMYFUNCTION("""COMPUTED_VALUE"""),16)</f>
        <v>16</v>
      </c>
      <c r="K95" s="1">
        <f ca="1">IFERROR(__xludf.DUMMYFUNCTION("""COMPUTED_VALUE"""),3)</f>
        <v>3</v>
      </c>
      <c r="L95" s="1">
        <f ca="1">IFERROR(__xludf.DUMMYFUNCTION("""COMPUTED_VALUE"""),4)</f>
        <v>4</v>
      </c>
      <c r="M95" s="1">
        <f ca="1">IFERROR(__xludf.DUMMYFUNCTION("""COMPUTED_VALUE"""),11)</f>
        <v>11</v>
      </c>
      <c r="N95" s="1">
        <f ca="1">IFERROR(__xludf.DUMMYFUNCTION("""COMPUTED_VALUE"""),2423)</f>
        <v>2423</v>
      </c>
      <c r="O95" s="1">
        <f ca="1">IFERROR(__xludf.DUMMYFUNCTION("""COMPUTED_VALUE"""),2270)</f>
        <v>2270</v>
      </c>
      <c r="P95" s="1">
        <f ca="1">IFERROR(__xludf.DUMMYFUNCTION("""COMPUTED_VALUE"""),1495)</f>
        <v>1495</v>
      </c>
      <c r="Q95" s="1">
        <f ca="1">IFERROR(__xludf.DUMMYFUNCTION("""COMPUTED_VALUE"""),820)</f>
        <v>820</v>
      </c>
      <c r="R95" s="1">
        <f ca="1">IFERROR(__xludf.DUMMYFUNCTION("""COMPUTED_VALUE"""),2004)</f>
        <v>2004</v>
      </c>
      <c r="S95" s="1">
        <f ca="1">IFERROR(__xludf.DUMMYFUNCTION("""COMPUTED_VALUE"""),0.409)</f>
        <v>0.40899999999999997</v>
      </c>
      <c r="T95" s="1">
        <f ca="1">IFERROR(__xludf.DUMMYFUNCTION("""COMPUTED_VALUE"""),187)</f>
        <v>187</v>
      </c>
      <c r="U95" s="1">
        <f ca="1">IFERROR(__xludf.DUMMYFUNCTION("""COMPUTED_VALUE"""),605)</f>
        <v>605</v>
      </c>
      <c r="V95" s="1">
        <f ca="1">IFERROR(__xludf.DUMMYFUNCTION("""COMPUTED_VALUE"""),0.309)</f>
        <v>0.309</v>
      </c>
      <c r="W95" s="1">
        <f ca="1">IFERROR(__xludf.DUMMYFUNCTION("""COMPUTED_VALUE"""),594)</f>
        <v>594</v>
      </c>
      <c r="X95" s="1">
        <f ca="1">IFERROR(__xludf.DUMMYFUNCTION("""COMPUTED_VALUE"""),876)</f>
        <v>876</v>
      </c>
      <c r="Y95" s="1">
        <f ca="1">IFERROR(__xludf.DUMMYFUNCTION("""COMPUTED_VALUE"""),0.678)</f>
        <v>0.67800000000000005</v>
      </c>
      <c r="Z95" s="1">
        <f ca="1">IFERROR(__xludf.DUMMYFUNCTION("""COMPUTED_VALUE"""),409)</f>
        <v>409</v>
      </c>
      <c r="AA95" s="1">
        <f ca="1">IFERROR(__xludf.DUMMYFUNCTION("""COMPUTED_VALUE"""),1302)</f>
        <v>1302</v>
      </c>
      <c r="AB95" s="1">
        <f ca="1">IFERROR(__xludf.DUMMYFUNCTION("""COMPUTED_VALUE"""),393)</f>
        <v>393</v>
      </c>
      <c r="AC95" s="1">
        <f ca="1">IFERROR(__xludf.DUMMYFUNCTION("""COMPUTED_VALUE"""),306)</f>
        <v>306</v>
      </c>
      <c r="AD95" s="1">
        <f ca="1">IFERROR(__xludf.DUMMYFUNCTION("""COMPUTED_VALUE"""),221)</f>
        <v>221</v>
      </c>
      <c r="AE95" s="1">
        <f ca="1">IFERROR(__xludf.DUMMYFUNCTION("""COMPUTED_VALUE"""),419)</f>
        <v>419</v>
      </c>
      <c r="AF95" s="1">
        <f ca="1">IFERROR(__xludf.DUMMYFUNCTION("""COMPUTED_VALUE"""),677)</f>
        <v>677</v>
      </c>
    </row>
    <row r="96" spans="1:32" ht="12.5" x14ac:dyDescent="0.25">
      <c r="A96" s="1" t="str">
        <f ca="1">IFERROR(__xludf.DUMMYFUNCTION("""COMPUTED_VALUE"""),"Eastern Washington")</f>
        <v>Eastern Washington</v>
      </c>
      <c r="B96" s="1">
        <f ca="1">IFERROR(__xludf.DUMMYFUNCTION("""COMPUTED_VALUE"""),31)</f>
        <v>31</v>
      </c>
      <c r="C96" s="1">
        <f ca="1">IFERROR(__xludf.DUMMYFUNCTION("""COMPUTED_VALUE"""),15)</f>
        <v>15</v>
      </c>
      <c r="D96" s="1">
        <f ca="1">IFERROR(__xludf.DUMMYFUNCTION("""COMPUTED_VALUE"""),16)</f>
        <v>16</v>
      </c>
      <c r="E96" s="1">
        <f ca="1">IFERROR(__xludf.DUMMYFUNCTION("""COMPUTED_VALUE"""),0.484)</f>
        <v>0.48399999999999999</v>
      </c>
      <c r="F96" s="1">
        <f ca="1">IFERROR(__xludf.DUMMYFUNCTION("""COMPUTED_VALUE"""),-5.32)</f>
        <v>-5.32</v>
      </c>
      <c r="G96" s="1">
        <f ca="1">IFERROR(__xludf.DUMMYFUNCTION("""COMPUTED_VALUE"""),-4.15)</f>
        <v>-4.1500000000000004</v>
      </c>
      <c r="H96" s="1">
        <f ca="1">IFERROR(__xludf.DUMMYFUNCTION("""COMPUTED_VALUE"""),10)</f>
        <v>10</v>
      </c>
      <c r="I96" s="1">
        <f ca="1">IFERROR(__xludf.DUMMYFUNCTION("""COMPUTED_VALUE"""),10)</f>
        <v>10</v>
      </c>
      <c r="J96" s="1">
        <f ca="1">IFERROR(__xludf.DUMMYFUNCTION("""COMPUTED_VALUE"""),10)</f>
        <v>10</v>
      </c>
      <c r="K96" s="1">
        <f ca="1">IFERROR(__xludf.DUMMYFUNCTION("""COMPUTED_VALUE"""),4)</f>
        <v>4</v>
      </c>
      <c r="L96" s="1">
        <f ca="1">IFERROR(__xludf.DUMMYFUNCTION("""COMPUTED_VALUE"""),3)</f>
        <v>3</v>
      </c>
      <c r="M96" s="1">
        <f ca="1">IFERROR(__xludf.DUMMYFUNCTION("""COMPUTED_VALUE"""),11)</f>
        <v>11</v>
      </c>
      <c r="N96" s="1">
        <f ca="1">IFERROR(__xludf.DUMMYFUNCTION("""COMPUTED_VALUE"""),2362)</f>
        <v>2362</v>
      </c>
      <c r="O96" s="1">
        <f ca="1">IFERROR(__xludf.DUMMYFUNCTION("""COMPUTED_VALUE"""),2329)</f>
        <v>2329</v>
      </c>
      <c r="P96" s="1">
        <f ca="1">IFERROR(__xludf.DUMMYFUNCTION("""COMPUTED_VALUE"""),1245)</f>
        <v>1245</v>
      </c>
      <c r="Q96" s="1">
        <f ca="1">IFERROR(__xludf.DUMMYFUNCTION("""COMPUTED_VALUE"""),813)</f>
        <v>813</v>
      </c>
      <c r="R96" s="1">
        <f ca="1">IFERROR(__xludf.DUMMYFUNCTION("""COMPUTED_VALUE"""),1791)</f>
        <v>1791</v>
      </c>
      <c r="S96" s="1">
        <f ca="1">IFERROR(__xludf.DUMMYFUNCTION("""COMPUTED_VALUE"""),0.454)</f>
        <v>0.45400000000000001</v>
      </c>
      <c r="T96" s="1">
        <f ca="1">IFERROR(__xludf.DUMMYFUNCTION("""COMPUTED_VALUE"""),251)</f>
        <v>251</v>
      </c>
      <c r="U96" s="1">
        <f ca="1">IFERROR(__xludf.DUMMYFUNCTION("""COMPUTED_VALUE"""),677)</f>
        <v>677</v>
      </c>
      <c r="V96" s="1">
        <f ca="1">IFERROR(__xludf.DUMMYFUNCTION("""COMPUTED_VALUE"""),0.371)</f>
        <v>0.371</v>
      </c>
      <c r="W96" s="1">
        <f ca="1">IFERROR(__xludf.DUMMYFUNCTION("""COMPUTED_VALUE"""),485)</f>
        <v>485</v>
      </c>
      <c r="X96" s="1">
        <f ca="1">IFERROR(__xludf.DUMMYFUNCTION("""COMPUTED_VALUE"""),700)</f>
        <v>700</v>
      </c>
      <c r="Y96" s="1">
        <f ca="1">IFERROR(__xludf.DUMMYFUNCTION("""COMPUTED_VALUE"""),0.693)</f>
        <v>0.69299999999999995</v>
      </c>
      <c r="Z96" s="1">
        <f ca="1">IFERROR(__xludf.DUMMYFUNCTION("""COMPUTED_VALUE"""),329)</f>
        <v>329</v>
      </c>
      <c r="AA96" s="1">
        <f ca="1">IFERROR(__xludf.DUMMYFUNCTION("""COMPUTED_VALUE"""),1133)</f>
        <v>1133</v>
      </c>
      <c r="AB96" s="1">
        <f ca="1">IFERROR(__xludf.DUMMYFUNCTION("""COMPUTED_VALUE"""),417)</f>
        <v>417</v>
      </c>
      <c r="AC96" s="1">
        <f ca="1">IFERROR(__xludf.DUMMYFUNCTION("""COMPUTED_VALUE"""),147)</f>
        <v>147</v>
      </c>
      <c r="AD96" s="1">
        <f ca="1">IFERROR(__xludf.DUMMYFUNCTION("""COMPUTED_VALUE"""),133)</f>
        <v>133</v>
      </c>
      <c r="AE96" s="1">
        <f ca="1">IFERROR(__xludf.DUMMYFUNCTION("""COMPUTED_VALUE"""),373)</f>
        <v>373</v>
      </c>
      <c r="AF96" s="1">
        <f ca="1">IFERROR(__xludf.DUMMYFUNCTION("""COMPUTED_VALUE"""),603)</f>
        <v>603</v>
      </c>
    </row>
    <row r="97" spans="1:32" ht="12.5" x14ac:dyDescent="0.25">
      <c r="A97" s="1" t="str">
        <f ca="1">IFERROR(__xludf.DUMMYFUNCTION("""COMPUTED_VALUE"""),"Elon")</f>
        <v>Elon</v>
      </c>
      <c r="B97" s="1">
        <f ca="1">IFERROR(__xludf.DUMMYFUNCTION("""COMPUTED_VALUE"""),32)</f>
        <v>32</v>
      </c>
      <c r="C97" s="1">
        <f ca="1">IFERROR(__xludf.DUMMYFUNCTION("""COMPUTED_VALUE"""),18)</f>
        <v>18</v>
      </c>
      <c r="D97" s="1">
        <f ca="1">IFERROR(__xludf.DUMMYFUNCTION("""COMPUTED_VALUE"""),14)</f>
        <v>14</v>
      </c>
      <c r="E97" s="1">
        <f ca="1">IFERROR(__xludf.DUMMYFUNCTION("""COMPUTED_VALUE"""),0.563)</f>
        <v>0.56299999999999994</v>
      </c>
      <c r="F97" s="1">
        <f ca="1">IFERROR(__xludf.DUMMYFUNCTION("""COMPUTED_VALUE"""),-4.02)</f>
        <v>-4.0199999999999996</v>
      </c>
      <c r="G97" s="1">
        <f ca="1">IFERROR(__xludf.DUMMYFUNCTION("""COMPUTED_VALUE"""),-4.5)</f>
        <v>-4.5</v>
      </c>
      <c r="H97" s="1">
        <f ca="1">IFERROR(__xludf.DUMMYFUNCTION("""COMPUTED_VALUE"""),11)</f>
        <v>11</v>
      </c>
      <c r="I97" s="1">
        <f ca="1">IFERROR(__xludf.DUMMYFUNCTION("""COMPUTED_VALUE"""),5)</f>
        <v>5</v>
      </c>
      <c r="J97" s="1">
        <f ca="1">IFERROR(__xludf.DUMMYFUNCTION("""COMPUTED_VALUE"""),11)</f>
        <v>11</v>
      </c>
      <c r="K97" s="1">
        <f ca="1">IFERROR(__xludf.DUMMYFUNCTION("""COMPUTED_VALUE"""),4)</f>
        <v>4</v>
      </c>
      <c r="L97" s="1">
        <f ca="1">IFERROR(__xludf.DUMMYFUNCTION("""COMPUTED_VALUE"""),7)</f>
        <v>7</v>
      </c>
      <c r="M97" s="1">
        <f ca="1">IFERROR(__xludf.DUMMYFUNCTION("""COMPUTED_VALUE"""),6)</f>
        <v>6</v>
      </c>
      <c r="N97" s="1">
        <f ca="1">IFERROR(__xludf.DUMMYFUNCTION("""COMPUTED_VALUE"""),2392)</f>
        <v>2392</v>
      </c>
      <c r="O97" s="1">
        <f ca="1">IFERROR(__xludf.DUMMYFUNCTION("""COMPUTED_VALUE"""),2281)</f>
        <v>2281</v>
      </c>
      <c r="P97" s="1">
        <f ca="1">IFERROR(__xludf.DUMMYFUNCTION("""COMPUTED_VALUE"""),1290)</f>
        <v>1290</v>
      </c>
      <c r="Q97" s="1">
        <f ca="1">IFERROR(__xludf.DUMMYFUNCTION("""COMPUTED_VALUE"""),837)</f>
        <v>837</v>
      </c>
      <c r="R97" s="1">
        <f ca="1">IFERROR(__xludf.DUMMYFUNCTION("""COMPUTED_VALUE"""),1789)</f>
        <v>1789</v>
      </c>
      <c r="S97" s="1">
        <f ca="1">IFERROR(__xludf.DUMMYFUNCTION("""COMPUTED_VALUE"""),0.468)</f>
        <v>0.46800000000000003</v>
      </c>
      <c r="T97" s="1">
        <f ca="1">IFERROR(__xludf.DUMMYFUNCTION("""COMPUTED_VALUE"""),256)</f>
        <v>256</v>
      </c>
      <c r="U97" s="1">
        <f ca="1">IFERROR(__xludf.DUMMYFUNCTION("""COMPUTED_VALUE"""),683)</f>
        <v>683</v>
      </c>
      <c r="V97" s="1">
        <f ca="1">IFERROR(__xludf.DUMMYFUNCTION("""COMPUTED_VALUE"""),0.375)</f>
        <v>0.375</v>
      </c>
      <c r="W97" s="1">
        <f ca="1">IFERROR(__xludf.DUMMYFUNCTION("""COMPUTED_VALUE"""),462)</f>
        <v>462</v>
      </c>
      <c r="X97" s="1">
        <f ca="1">IFERROR(__xludf.DUMMYFUNCTION("""COMPUTED_VALUE"""),639)</f>
        <v>639</v>
      </c>
      <c r="Y97" s="1">
        <f ca="1">IFERROR(__xludf.DUMMYFUNCTION("""COMPUTED_VALUE"""),0.723)</f>
        <v>0.72299999999999998</v>
      </c>
      <c r="Z97" s="1">
        <f ca="1">IFERROR(__xludf.DUMMYFUNCTION("""COMPUTED_VALUE"""),290)</f>
        <v>290</v>
      </c>
      <c r="AA97" s="1">
        <f ca="1">IFERROR(__xludf.DUMMYFUNCTION("""COMPUTED_VALUE"""),1086)</f>
        <v>1086</v>
      </c>
      <c r="AB97" s="1">
        <f ca="1">IFERROR(__xludf.DUMMYFUNCTION("""COMPUTED_VALUE"""),442)</f>
        <v>442</v>
      </c>
      <c r="AC97" s="1">
        <f ca="1">IFERROR(__xludf.DUMMYFUNCTION("""COMPUTED_VALUE"""),161)</f>
        <v>161</v>
      </c>
      <c r="AD97" s="1">
        <f ca="1">IFERROR(__xludf.DUMMYFUNCTION("""COMPUTED_VALUE"""),93)</f>
        <v>93</v>
      </c>
      <c r="AE97" s="1">
        <f ca="1">IFERROR(__xludf.DUMMYFUNCTION("""COMPUTED_VALUE"""),386)</f>
        <v>386</v>
      </c>
      <c r="AF97" s="1">
        <f ca="1">IFERROR(__xludf.DUMMYFUNCTION("""COMPUTED_VALUE"""),576)</f>
        <v>576</v>
      </c>
    </row>
    <row r="98" spans="1:32" ht="12.5" x14ac:dyDescent="0.25">
      <c r="A98" s="1" t="str">
        <f ca="1">IFERROR(__xludf.DUMMYFUNCTION("""COMPUTED_VALUE"""),"Evansville")</f>
        <v>Evansville</v>
      </c>
      <c r="B98" s="1">
        <f ca="1">IFERROR(__xludf.DUMMYFUNCTION("""COMPUTED_VALUE"""),33)</f>
        <v>33</v>
      </c>
      <c r="C98" s="1">
        <f ca="1">IFERROR(__xludf.DUMMYFUNCTION("""COMPUTED_VALUE"""),14)</f>
        <v>14</v>
      </c>
      <c r="D98" s="1">
        <f ca="1">IFERROR(__xludf.DUMMYFUNCTION("""COMPUTED_VALUE"""),19)</f>
        <v>19</v>
      </c>
      <c r="E98" s="1">
        <f ca="1">IFERROR(__xludf.DUMMYFUNCTION("""COMPUTED_VALUE"""),0.424)</f>
        <v>0.42399999999999999</v>
      </c>
      <c r="F98" s="1">
        <f ca="1">IFERROR(__xludf.DUMMYFUNCTION("""COMPUTED_VALUE"""),-3.12)</f>
        <v>-3.12</v>
      </c>
      <c r="G98" s="1">
        <f ca="1">IFERROR(__xludf.DUMMYFUNCTION("""COMPUTED_VALUE"""),1.2)</f>
        <v>1.2</v>
      </c>
      <c r="H98" s="1">
        <f ca="1">IFERROR(__xludf.DUMMYFUNCTION("""COMPUTED_VALUE"""),6)</f>
        <v>6</v>
      </c>
      <c r="I98" s="1">
        <f ca="1">IFERROR(__xludf.DUMMYFUNCTION("""COMPUTED_VALUE"""),12)</f>
        <v>12</v>
      </c>
      <c r="J98" s="1">
        <f ca="1">IFERROR(__xludf.DUMMYFUNCTION("""COMPUTED_VALUE"""),10)</f>
        <v>10</v>
      </c>
      <c r="K98" s="1">
        <f ca="1">IFERROR(__xludf.DUMMYFUNCTION("""COMPUTED_VALUE"""),7)</f>
        <v>7</v>
      </c>
      <c r="L98" s="1">
        <f ca="1">IFERROR(__xludf.DUMMYFUNCTION("""COMPUTED_VALUE"""),3)</f>
        <v>3</v>
      </c>
      <c r="M98" s="1">
        <f ca="1">IFERROR(__xludf.DUMMYFUNCTION("""COMPUTED_VALUE"""),11)</f>
        <v>11</v>
      </c>
      <c r="N98" s="1">
        <f ca="1">IFERROR(__xludf.DUMMYFUNCTION("""COMPUTED_VALUE"""),2290)</f>
        <v>2290</v>
      </c>
      <c r="O98" s="1">
        <f ca="1">IFERROR(__xludf.DUMMYFUNCTION("""COMPUTED_VALUE"""),2383)</f>
        <v>2383</v>
      </c>
      <c r="P98" s="1">
        <f ca="1">IFERROR(__xludf.DUMMYFUNCTION("""COMPUTED_VALUE"""),1330)</f>
        <v>1330</v>
      </c>
      <c r="Q98" s="1">
        <f ca="1">IFERROR(__xludf.DUMMYFUNCTION("""COMPUTED_VALUE"""),775)</f>
        <v>775</v>
      </c>
      <c r="R98" s="1">
        <f ca="1">IFERROR(__xludf.DUMMYFUNCTION("""COMPUTED_VALUE"""),1672)</f>
        <v>1672</v>
      </c>
      <c r="S98" s="1">
        <f ca="1">IFERROR(__xludf.DUMMYFUNCTION("""COMPUTED_VALUE"""),0.464)</f>
        <v>0.46400000000000002</v>
      </c>
      <c r="T98" s="1">
        <f ca="1">IFERROR(__xludf.DUMMYFUNCTION("""COMPUTED_VALUE"""),144)</f>
        <v>144</v>
      </c>
      <c r="U98" s="1">
        <f ca="1">IFERROR(__xludf.DUMMYFUNCTION("""COMPUTED_VALUE"""),398)</f>
        <v>398</v>
      </c>
      <c r="V98" s="1">
        <f ca="1">IFERROR(__xludf.DUMMYFUNCTION("""COMPUTED_VALUE"""),0.362)</f>
        <v>0.36199999999999999</v>
      </c>
      <c r="W98" s="1">
        <f ca="1">IFERROR(__xludf.DUMMYFUNCTION("""COMPUTED_VALUE"""),596)</f>
        <v>596</v>
      </c>
      <c r="X98" s="1">
        <f ca="1">IFERROR(__xludf.DUMMYFUNCTION("""COMPUTED_VALUE"""),830)</f>
        <v>830</v>
      </c>
      <c r="Y98" s="1">
        <f ca="1">IFERROR(__xludf.DUMMYFUNCTION("""COMPUTED_VALUE"""),0.718)</f>
        <v>0.71799999999999997</v>
      </c>
      <c r="Z98" s="1">
        <f ca="1">IFERROR(__xludf.DUMMYFUNCTION("""COMPUTED_VALUE"""),276)</f>
        <v>276</v>
      </c>
      <c r="AA98" s="1">
        <f ca="1">IFERROR(__xludf.DUMMYFUNCTION("""COMPUTED_VALUE"""),1057)</f>
        <v>1057</v>
      </c>
      <c r="AB98" s="1">
        <f ca="1">IFERROR(__xludf.DUMMYFUNCTION("""COMPUTED_VALUE"""),485)</f>
        <v>485</v>
      </c>
      <c r="AC98" s="1">
        <f ca="1">IFERROR(__xludf.DUMMYFUNCTION("""COMPUTED_VALUE"""),166)</f>
        <v>166</v>
      </c>
      <c r="AD98" s="1">
        <f ca="1">IFERROR(__xludf.DUMMYFUNCTION("""COMPUTED_VALUE"""),124)</f>
        <v>124</v>
      </c>
      <c r="AE98" s="1">
        <f ca="1">IFERROR(__xludf.DUMMYFUNCTION("""COMPUTED_VALUE"""),422)</f>
        <v>422</v>
      </c>
      <c r="AF98" s="1">
        <f ca="1">IFERROR(__xludf.DUMMYFUNCTION("""COMPUTED_VALUE"""),623)</f>
        <v>623</v>
      </c>
    </row>
    <row r="99" spans="1:32" ht="12.5" x14ac:dyDescent="0.25">
      <c r="A99" s="1" t="str">
        <f ca="1">IFERROR(__xludf.DUMMYFUNCTION("""COMPUTED_VALUE"""),"Fairfield")</f>
        <v>Fairfield</v>
      </c>
      <c r="B99" s="1">
        <f ca="1">IFERROR(__xludf.DUMMYFUNCTION("""COMPUTED_VALUE"""),32)</f>
        <v>32</v>
      </c>
      <c r="C99" s="1">
        <f ca="1">IFERROR(__xludf.DUMMYFUNCTION("""COMPUTED_VALUE"""),7)</f>
        <v>7</v>
      </c>
      <c r="D99" s="1">
        <f ca="1">IFERROR(__xludf.DUMMYFUNCTION("""COMPUTED_VALUE"""),25)</f>
        <v>25</v>
      </c>
      <c r="E99" s="1">
        <f ca="1">IFERROR(__xludf.DUMMYFUNCTION("""COMPUTED_VALUE"""),0.219)</f>
        <v>0.219</v>
      </c>
      <c r="F99" s="1">
        <f ca="1">IFERROR(__xludf.DUMMYFUNCTION("""COMPUTED_VALUE"""),-7.37)</f>
        <v>-7.37</v>
      </c>
      <c r="G99" s="1">
        <f ca="1">IFERROR(__xludf.DUMMYFUNCTION("""COMPUTED_VALUE"""),-0.81)</f>
        <v>-0.81</v>
      </c>
      <c r="H99" s="1">
        <f ca="1">IFERROR(__xludf.DUMMYFUNCTION("""COMPUTED_VALUE"""),4)</f>
        <v>4</v>
      </c>
      <c r="I99" s="1">
        <f ca="1">IFERROR(__xludf.DUMMYFUNCTION("""COMPUTED_VALUE"""),16)</f>
        <v>16</v>
      </c>
      <c r="J99" s="1">
        <f ca="1">IFERROR(__xludf.DUMMYFUNCTION("""COMPUTED_VALUE"""),4)</f>
        <v>4</v>
      </c>
      <c r="K99" s="1">
        <f ca="1">IFERROR(__xludf.DUMMYFUNCTION("""COMPUTED_VALUE"""),9)</f>
        <v>9</v>
      </c>
      <c r="L99" s="1">
        <f ca="1">IFERROR(__xludf.DUMMYFUNCTION("""COMPUTED_VALUE"""),2)</f>
        <v>2</v>
      </c>
      <c r="M99" s="1">
        <f ca="1">IFERROR(__xludf.DUMMYFUNCTION("""COMPUTED_VALUE"""),13)</f>
        <v>13</v>
      </c>
      <c r="N99" s="1">
        <f ca="1">IFERROR(__xludf.DUMMYFUNCTION("""COMPUTED_VALUE"""),2030)</f>
        <v>2030</v>
      </c>
      <c r="O99" s="1">
        <f ca="1">IFERROR(__xludf.DUMMYFUNCTION("""COMPUTED_VALUE"""),2240)</f>
        <v>2240</v>
      </c>
      <c r="P99" s="1">
        <f ca="1">IFERROR(__xludf.DUMMYFUNCTION("""COMPUTED_VALUE"""),1285)</f>
        <v>1285</v>
      </c>
      <c r="Q99" s="1">
        <f ca="1">IFERROR(__xludf.DUMMYFUNCTION("""COMPUTED_VALUE"""),697)</f>
        <v>697</v>
      </c>
      <c r="R99" s="1">
        <f ca="1">IFERROR(__xludf.DUMMYFUNCTION("""COMPUTED_VALUE"""),1753)</f>
        <v>1753</v>
      </c>
      <c r="S99" s="1">
        <f ca="1">IFERROR(__xludf.DUMMYFUNCTION("""COMPUTED_VALUE"""),0.398)</f>
        <v>0.39800000000000002</v>
      </c>
      <c r="T99" s="1">
        <f ca="1">IFERROR(__xludf.DUMMYFUNCTION("""COMPUTED_VALUE"""),220)</f>
        <v>220</v>
      </c>
      <c r="U99" s="1">
        <f ca="1">IFERROR(__xludf.DUMMYFUNCTION("""COMPUTED_VALUE"""),660)</f>
        <v>660</v>
      </c>
      <c r="V99" s="1">
        <f ca="1">IFERROR(__xludf.DUMMYFUNCTION("""COMPUTED_VALUE"""),0.333)</f>
        <v>0.33300000000000002</v>
      </c>
      <c r="W99" s="1">
        <f ca="1">IFERROR(__xludf.DUMMYFUNCTION("""COMPUTED_VALUE"""),416)</f>
        <v>416</v>
      </c>
      <c r="X99" s="1">
        <f ca="1">IFERROR(__xludf.DUMMYFUNCTION("""COMPUTED_VALUE"""),607)</f>
        <v>607</v>
      </c>
      <c r="Y99" s="1">
        <f ca="1">IFERROR(__xludf.DUMMYFUNCTION("""COMPUTED_VALUE"""),0.685)</f>
        <v>0.68500000000000005</v>
      </c>
      <c r="Z99" s="1">
        <f ca="1">IFERROR(__xludf.DUMMYFUNCTION("""COMPUTED_VALUE"""),356)</f>
        <v>356</v>
      </c>
      <c r="AA99" s="1">
        <f ca="1">IFERROR(__xludf.DUMMYFUNCTION("""COMPUTED_VALUE"""),1134)</f>
        <v>1134</v>
      </c>
      <c r="AB99" s="1">
        <f ca="1">IFERROR(__xludf.DUMMYFUNCTION("""COMPUTED_VALUE"""),360)</f>
        <v>360</v>
      </c>
      <c r="AC99" s="1">
        <f ca="1">IFERROR(__xludf.DUMMYFUNCTION("""COMPUTED_VALUE"""),141)</f>
        <v>141</v>
      </c>
      <c r="AD99" s="1">
        <f ca="1">IFERROR(__xludf.DUMMYFUNCTION("""COMPUTED_VALUE"""),117)</f>
        <v>117</v>
      </c>
      <c r="AE99" s="1">
        <f ca="1">IFERROR(__xludf.DUMMYFUNCTION("""COMPUTED_VALUE"""),469)</f>
        <v>469</v>
      </c>
      <c r="AF99" s="1">
        <f ca="1">IFERROR(__xludf.DUMMYFUNCTION("""COMPUTED_VALUE"""),734)</f>
        <v>734</v>
      </c>
    </row>
    <row r="100" spans="1:32" ht="12.5" x14ac:dyDescent="0.25">
      <c r="A100" s="1" t="str">
        <f ca="1">IFERROR(__xludf.DUMMYFUNCTION("""COMPUTED_VALUE"""),"Fairleigh Dickinson")</f>
        <v>Fairleigh Dickinson</v>
      </c>
      <c r="B100" s="1">
        <f ca="1">IFERROR(__xludf.DUMMYFUNCTION("""COMPUTED_VALUE"""),31)</f>
        <v>31</v>
      </c>
      <c r="C100" s="1">
        <f ca="1">IFERROR(__xludf.DUMMYFUNCTION("""COMPUTED_VALUE"""),10)</f>
        <v>10</v>
      </c>
      <c r="D100" s="1">
        <f ca="1">IFERROR(__xludf.DUMMYFUNCTION("""COMPUTED_VALUE"""),21)</f>
        <v>21</v>
      </c>
      <c r="E100" s="1">
        <f ca="1">IFERROR(__xludf.DUMMYFUNCTION("""COMPUTED_VALUE"""),0.323)</f>
        <v>0.32300000000000001</v>
      </c>
      <c r="F100" s="1">
        <f ca="1">IFERROR(__xludf.DUMMYFUNCTION("""COMPUTED_VALUE"""),-11.24)</f>
        <v>-11.24</v>
      </c>
      <c r="G100" s="1">
        <f ca="1">IFERROR(__xludf.DUMMYFUNCTION("""COMPUTED_VALUE"""),-4.07)</f>
        <v>-4.07</v>
      </c>
      <c r="H100" s="1">
        <f ca="1">IFERROR(__xludf.DUMMYFUNCTION("""COMPUTED_VALUE"""),6)</f>
        <v>6</v>
      </c>
      <c r="I100" s="1">
        <f ca="1">IFERROR(__xludf.DUMMYFUNCTION("""COMPUTED_VALUE"""),10)</f>
        <v>10</v>
      </c>
      <c r="J100" s="1">
        <f ca="1">IFERROR(__xludf.DUMMYFUNCTION("""COMPUTED_VALUE"""),6)</f>
        <v>6</v>
      </c>
      <c r="K100" s="1">
        <f ca="1">IFERROR(__xludf.DUMMYFUNCTION("""COMPUTED_VALUE"""),6)</f>
        <v>6</v>
      </c>
      <c r="L100" s="1">
        <f ca="1">IFERROR(__xludf.DUMMYFUNCTION("""COMPUTED_VALUE"""),4)</f>
        <v>4</v>
      </c>
      <c r="M100" s="1">
        <f ca="1">IFERROR(__xludf.DUMMYFUNCTION("""COMPUTED_VALUE"""),14)</f>
        <v>14</v>
      </c>
      <c r="N100" s="1">
        <f ca="1">IFERROR(__xludf.DUMMYFUNCTION("""COMPUTED_VALUE"""),2157)</f>
        <v>2157</v>
      </c>
      <c r="O100" s="1">
        <f ca="1">IFERROR(__xludf.DUMMYFUNCTION("""COMPUTED_VALUE"""),2358)</f>
        <v>2358</v>
      </c>
      <c r="P100" s="1">
        <f ca="1">IFERROR(__xludf.DUMMYFUNCTION("""COMPUTED_VALUE"""),1250)</f>
        <v>1250</v>
      </c>
      <c r="Q100" s="1">
        <f ca="1">IFERROR(__xludf.DUMMYFUNCTION("""COMPUTED_VALUE"""),742)</f>
        <v>742</v>
      </c>
      <c r="R100" s="1">
        <f ca="1">IFERROR(__xludf.DUMMYFUNCTION("""COMPUTED_VALUE"""),1766)</f>
        <v>1766</v>
      </c>
      <c r="S100" s="1">
        <f ca="1">IFERROR(__xludf.DUMMYFUNCTION("""COMPUTED_VALUE"""),0.42)</f>
        <v>0.42</v>
      </c>
      <c r="T100" s="1">
        <f ca="1">IFERROR(__xludf.DUMMYFUNCTION("""COMPUTED_VALUE"""),226)</f>
        <v>226</v>
      </c>
      <c r="U100" s="1">
        <f ca="1">IFERROR(__xludf.DUMMYFUNCTION("""COMPUTED_VALUE"""),636)</f>
        <v>636</v>
      </c>
      <c r="V100" s="1">
        <f ca="1">IFERROR(__xludf.DUMMYFUNCTION("""COMPUTED_VALUE"""),0.355)</f>
        <v>0.35499999999999998</v>
      </c>
      <c r="W100" s="1">
        <f ca="1">IFERROR(__xludf.DUMMYFUNCTION("""COMPUTED_VALUE"""),447)</f>
        <v>447</v>
      </c>
      <c r="X100" s="1">
        <f ca="1">IFERROR(__xludf.DUMMYFUNCTION("""COMPUTED_VALUE"""),621)</f>
        <v>621</v>
      </c>
      <c r="Y100" s="1">
        <f ca="1">IFERROR(__xludf.DUMMYFUNCTION("""COMPUTED_VALUE"""),0.72)</f>
        <v>0.72</v>
      </c>
      <c r="Z100" s="1">
        <f ca="1">IFERROR(__xludf.DUMMYFUNCTION("""COMPUTED_VALUE"""),328)</f>
        <v>328</v>
      </c>
      <c r="AA100" s="1">
        <f ca="1">IFERROR(__xludf.DUMMYFUNCTION("""COMPUTED_VALUE"""),980)</f>
        <v>980</v>
      </c>
      <c r="AB100" s="1">
        <f ca="1">IFERROR(__xludf.DUMMYFUNCTION("""COMPUTED_VALUE"""),339)</f>
        <v>339</v>
      </c>
      <c r="AC100" s="1">
        <f ca="1">IFERROR(__xludf.DUMMYFUNCTION("""COMPUTED_VALUE"""),209)</f>
        <v>209</v>
      </c>
      <c r="AD100" s="1">
        <f ca="1">IFERROR(__xludf.DUMMYFUNCTION("""COMPUTED_VALUE"""),122)</f>
        <v>122</v>
      </c>
      <c r="AE100" s="1">
        <f ca="1">IFERROR(__xludf.DUMMYFUNCTION("""COMPUTED_VALUE"""),364)</f>
        <v>364</v>
      </c>
      <c r="AF100" s="1">
        <f ca="1">IFERROR(__xludf.DUMMYFUNCTION("""COMPUTED_VALUE"""),660)</f>
        <v>660</v>
      </c>
    </row>
    <row r="101" spans="1:32" ht="12.5" x14ac:dyDescent="0.25">
      <c r="A101" s="1" t="str">
        <f ca="1">IFERROR(__xludf.DUMMYFUNCTION("""COMPUTED_VALUE"""),"Florida A&amp;M")</f>
        <v>Florida A&amp;M</v>
      </c>
      <c r="B101" s="1">
        <f ca="1">IFERROR(__xludf.DUMMYFUNCTION("""COMPUTED_VALUE"""),32)</f>
        <v>32</v>
      </c>
      <c r="C101" s="1">
        <f ca="1">IFERROR(__xludf.DUMMYFUNCTION("""COMPUTED_VALUE"""),14)</f>
        <v>14</v>
      </c>
      <c r="D101" s="1">
        <f ca="1">IFERROR(__xludf.DUMMYFUNCTION("""COMPUTED_VALUE"""),18)</f>
        <v>18</v>
      </c>
      <c r="E101" s="1">
        <f ca="1">IFERROR(__xludf.DUMMYFUNCTION("""COMPUTED_VALUE"""),0.438)</f>
        <v>0.438</v>
      </c>
      <c r="F101" s="1">
        <f ca="1">IFERROR(__xludf.DUMMYFUNCTION("""COMPUTED_VALUE"""),-12.31)</f>
        <v>-12.31</v>
      </c>
      <c r="G101" s="1">
        <f ca="1">IFERROR(__xludf.DUMMYFUNCTION("""COMPUTED_VALUE"""),-7.58)</f>
        <v>-7.58</v>
      </c>
      <c r="H101" s="1">
        <f ca="1">IFERROR(__xludf.DUMMYFUNCTION("""COMPUTED_VALUE"""),8)</f>
        <v>8</v>
      </c>
      <c r="I101" s="1">
        <f ca="1">IFERROR(__xludf.DUMMYFUNCTION("""COMPUTED_VALUE"""),8)</f>
        <v>8</v>
      </c>
      <c r="J101" s="1">
        <f ca="1">IFERROR(__xludf.DUMMYFUNCTION("""COMPUTED_VALUE"""),9)</f>
        <v>9</v>
      </c>
      <c r="K101" s="1">
        <f ca="1">IFERROR(__xludf.DUMMYFUNCTION("""COMPUTED_VALUE"""),3)</f>
        <v>3</v>
      </c>
      <c r="L101" s="1">
        <f ca="1">IFERROR(__xludf.DUMMYFUNCTION("""COMPUTED_VALUE"""),3)</f>
        <v>3</v>
      </c>
      <c r="M101" s="1">
        <f ca="1">IFERROR(__xludf.DUMMYFUNCTION("""COMPUTED_VALUE"""),14)</f>
        <v>14</v>
      </c>
      <c r="N101" s="1">
        <f ca="1">IFERROR(__xludf.DUMMYFUNCTION("""COMPUTED_VALUE"""),2281)</f>
        <v>2281</v>
      </c>
      <c r="O101" s="1">
        <f ca="1">IFERROR(__xludf.DUMMYFUNCTION("""COMPUTED_VALUE"""),2370)</f>
        <v>2370</v>
      </c>
      <c r="P101" s="1">
        <f ca="1">IFERROR(__xludf.DUMMYFUNCTION("""COMPUTED_VALUE"""),1290)</f>
        <v>1290</v>
      </c>
      <c r="Q101" s="1">
        <f ca="1">IFERROR(__xludf.DUMMYFUNCTION("""COMPUTED_VALUE"""),809)</f>
        <v>809</v>
      </c>
      <c r="R101" s="1">
        <f ca="1">IFERROR(__xludf.DUMMYFUNCTION("""COMPUTED_VALUE"""),2010)</f>
        <v>2010</v>
      </c>
      <c r="S101" s="1">
        <f ca="1">IFERROR(__xludf.DUMMYFUNCTION("""COMPUTED_VALUE"""),0.402)</f>
        <v>0.40200000000000002</v>
      </c>
      <c r="T101" s="1">
        <f ca="1">IFERROR(__xludf.DUMMYFUNCTION("""COMPUTED_VALUE"""),213)</f>
        <v>213</v>
      </c>
      <c r="U101" s="1">
        <f ca="1">IFERROR(__xludf.DUMMYFUNCTION("""COMPUTED_VALUE"""),637)</f>
        <v>637</v>
      </c>
      <c r="V101" s="1">
        <f ca="1">IFERROR(__xludf.DUMMYFUNCTION("""COMPUTED_VALUE"""),0.334)</f>
        <v>0.33400000000000002</v>
      </c>
      <c r="W101" s="1">
        <f ca="1">IFERROR(__xludf.DUMMYFUNCTION("""COMPUTED_VALUE"""),450)</f>
        <v>450</v>
      </c>
      <c r="X101" s="1">
        <f ca="1">IFERROR(__xludf.DUMMYFUNCTION("""COMPUTED_VALUE"""),688)</f>
        <v>688</v>
      </c>
      <c r="Y101" s="1">
        <f ca="1">IFERROR(__xludf.DUMMYFUNCTION("""COMPUTED_VALUE"""),0.654)</f>
        <v>0.65400000000000003</v>
      </c>
      <c r="Z101" s="1">
        <f ca="1">IFERROR(__xludf.DUMMYFUNCTION("""COMPUTED_VALUE"""),475)</f>
        <v>475</v>
      </c>
      <c r="AA101" s="1">
        <f ca="1">IFERROR(__xludf.DUMMYFUNCTION("""COMPUTED_VALUE"""),1253)</f>
        <v>1253</v>
      </c>
      <c r="AB101" s="1">
        <f ca="1">IFERROR(__xludf.DUMMYFUNCTION("""COMPUTED_VALUE"""),360)</f>
        <v>360</v>
      </c>
      <c r="AC101" s="1">
        <f ca="1">IFERROR(__xludf.DUMMYFUNCTION("""COMPUTED_VALUE"""),237)</f>
        <v>237</v>
      </c>
      <c r="AD101" s="1">
        <f ca="1">IFERROR(__xludf.DUMMYFUNCTION("""COMPUTED_VALUE"""),132)</f>
        <v>132</v>
      </c>
      <c r="AE101" s="1">
        <f ca="1">IFERROR(__xludf.DUMMYFUNCTION("""COMPUTED_VALUE"""),466)</f>
        <v>466</v>
      </c>
      <c r="AF101" s="1">
        <f ca="1">IFERROR(__xludf.DUMMYFUNCTION("""COMPUTED_VALUE"""),768)</f>
        <v>768</v>
      </c>
    </row>
    <row r="102" spans="1:32" ht="12.5" x14ac:dyDescent="0.25">
      <c r="A102" s="1" t="str">
        <f ca="1">IFERROR(__xludf.DUMMYFUNCTION("""COMPUTED_VALUE"""),"Florida Atlantic")</f>
        <v>Florida Atlantic</v>
      </c>
      <c r="B102" s="1">
        <f ca="1">IFERROR(__xludf.DUMMYFUNCTION("""COMPUTED_VALUE"""),32)</f>
        <v>32</v>
      </c>
      <c r="C102" s="1">
        <f ca="1">IFERROR(__xludf.DUMMYFUNCTION("""COMPUTED_VALUE"""),10)</f>
        <v>10</v>
      </c>
      <c r="D102" s="1">
        <f ca="1">IFERROR(__xludf.DUMMYFUNCTION("""COMPUTED_VALUE"""),22)</f>
        <v>22</v>
      </c>
      <c r="E102" s="1">
        <f ca="1">IFERROR(__xludf.DUMMYFUNCTION("""COMPUTED_VALUE"""),0.313)</f>
        <v>0.313</v>
      </c>
      <c r="F102" s="1">
        <f ca="1">IFERROR(__xludf.DUMMYFUNCTION("""COMPUTED_VALUE"""),-5.12)</f>
        <v>-5.12</v>
      </c>
      <c r="G102" s="1">
        <f ca="1">IFERROR(__xludf.DUMMYFUNCTION("""COMPUTED_VALUE"""),-0.42)</f>
        <v>-0.42</v>
      </c>
      <c r="H102" s="1">
        <f ca="1">IFERROR(__xludf.DUMMYFUNCTION("""COMPUTED_VALUE"""),5)</f>
        <v>5</v>
      </c>
      <c r="I102" s="1">
        <f ca="1">IFERROR(__xludf.DUMMYFUNCTION("""COMPUTED_VALUE"""),11)</f>
        <v>11</v>
      </c>
      <c r="J102" s="1">
        <f ca="1">IFERROR(__xludf.DUMMYFUNCTION("""COMPUTED_VALUE"""),7)</f>
        <v>7</v>
      </c>
      <c r="K102" s="1">
        <f ca="1">IFERROR(__xludf.DUMMYFUNCTION("""COMPUTED_VALUE"""),8)</f>
        <v>8</v>
      </c>
      <c r="L102" s="1">
        <f ca="1">IFERROR(__xludf.DUMMYFUNCTION("""COMPUTED_VALUE"""),3)</f>
        <v>3</v>
      </c>
      <c r="M102" s="1">
        <f ca="1">IFERROR(__xludf.DUMMYFUNCTION("""COMPUTED_VALUE"""),11)</f>
        <v>11</v>
      </c>
      <c r="N102" s="1">
        <f ca="1">IFERROR(__xludf.DUMMYFUNCTION("""COMPUTED_VALUE"""),2120)</f>
        <v>2120</v>
      </c>
      <c r="O102" s="1">
        <f ca="1">IFERROR(__xludf.DUMMYFUNCTION("""COMPUTED_VALUE"""),2192)</f>
        <v>2192</v>
      </c>
      <c r="P102" s="1">
        <f ca="1">IFERROR(__xludf.DUMMYFUNCTION("""COMPUTED_VALUE"""),1280)</f>
        <v>1280</v>
      </c>
      <c r="Q102" s="1">
        <f ca="1">IFERROR(__xludf.DUMMYFUNCTION("""COMPUTED_VALUE"""),747)</f>
        <v>747</v>
      </c>
      <c r="R102" s="1">
        <f ca="1">IFERROR(__xludf.DUMMYFUNCTION("""COMPUTED_VALUE"""),1760)</f>
        <v>1760</v>
      </c>
      <c r="S102" s="1">
        <f ca="1">IFERROR(__xludf.DUMMYFUNCTION("""COMPUTED_VALUE"""),0.424)</f>
        <v>0.42399999999999999</v>
      </c>
      <c r="T102" s="1">
        <f ca="1">IFERROR(__xludf.DUMMYFUNCTION("""COMPUTED_VALUE"""),210)</f>
        <v>210</v>
      </c>
      <c r="U102" s="1">
        <f ca="1">IFERROR(__xludf.DUMMYFUNCTION("""COMPUTED_VALUE"""),629)</f>
        <v>629</v>
      </c>
      <c r="V102" s="1">
        <f ca="1">IFERROR(__xludf.DUMMYFUNCTION("""COMPUTED_VALUE"""),0.334)</f>
        <v>0.33400000000000002</v>
      </c>
      <c r="W102" s="1">
        <f ca="1">IFERROR(__xludf.DUMMYFUNCTION("""COMPUTED_VALUE"""),416)</f>
        <v>416</v>
      </c>
      <c r="X102" s="1">
        <f ca="1">IFERROR(__xludf.DUMMYFUNCTION("""COMPUTED_VALUE"""),647)</f>
        <v>647</v>
      </c>
      <c r="Y102" s="1">
        <f ca="1">IFERROR(__xludf.DUMMYFUNCTION("""COMPUTED_VALUE"""),0.643)</f>
        <v>0.64300000000000002</v>
      </c>
      <c r="Z102" s="1">
        <f ca="1">IFERROR(__xludf.DUMMYFUNCTION("""COMPUTED_VALUE"""),396)</f>
        <v>396</v>
      </c>
      <c r="AA102" s="1">
        <f ca="1">IFERROR(__xludf.DUMMYFUNCTION("""COMPUTED_VALUE"""),1180)</f>
        <v>1180</v>
      </c>
      <c r="AB102" s="1">
        <f ca="1">IFERROR(__xludf.DUMMYFUNCTION("""COMPUTED_VALUE"""),380)</f>
        <v>380</v>
      </c>
      <c r="AC102" s="1">
        <f ca="1">IFERROR(__xludf.DUMMYFUNCTION("""COMPUTED_VALUE"""),151)</f>
        <v>151</v>
      </c>
      <c r="AD102" s="1">
        <f ca="1">IFERROR(__xludf.DUMMYFUNCTION("""COMPUTED_VALUE"""),147)</f>
        <v>147</v>
      </c>
      <c r="AE102" s="1">
        <f ca="1">IFERROR(__xludf.DUMMYFUNCTION("""COMPUTED_VALUE"""),417)</f>
        <v>417</v>
      </c>
      <c r="AF102" s="1">
        <f ca="1">IFERROR(__xludf.DUMMYFUNCTION("""COMPUTED_VALUE"""),600)</f>
        <v>600</v>
      </c>
    </row>
    <row r="103" spans="1:32" ht="12.5" x14ac:dyDescent="0.25">
      <c r="A103" s="1" t="str">
        <f ca="1">IFERROR(__xludf.DUMMYFUNCTION("""COMPUTED_VALUE"""),"Florida Gulf Coast")</f>
        <v>Florida Gulf Coast</v>
      </c>
      <c r="B103" s="1">
        <f ca="1">IFERROR(__xludf.DUMMYFUNCTION("""COMPUTED_VALUE"""),35)</f>
        <v>35</v>
      </c>
      <c r="C103" s="1">
        <f ca="1">IFERROR(__xludf.DUMMYFUNCTION("""COMPUTED_VALUE"""),22)</f>
        <v>22</v>
      </c>
      <c r="D103" s="1">
        <f ca="1">IFERROR(__xludf.DUMMYFUNCTION("""COMPUTED_VALUE"""),13)</f>
        <v>13</v>
      </c>
      <c r="E103" s="1">
        <f ca="1">IFERROR(__xludf.DUMMYFUNCTION("""COMPUTED_VALUE"""),0.629)</f>
        <v>0.629</v>
      </c>
      <c r="F103" s="1">
        <f ca="1">IFERROR(__xludf.DUMMYFUNCTION("""COMPUTED_VALUE"""),-1.97)</f>
        <v>-1.97</v>
      </c>
      <c r="G103" s="1">
        <f ca="1">IFERROR(__xludf.DUMMYFUNCTION("""COMPUTED_VALUE"""),-5.76)</f>
        <v>-5.76</v>
      </c>
      <c r="H103" s="1">
        <f ca="1">IFERROR(__xludf.DUMMYFUNCTION("""COMPUTED_VALUE"""),14)</f>
        <v>14</v>
      </c>
      <c r="I103" s="1">
        <f ca="1">IFERROR(__xludf.DUMMYFUNCTION("""COMPUTED_VALUE"""),4)</f>
        <v>4</v>
      </c>
      <c r="J103" s="1">
        <f ca="1">IFERROR(__xludf.DUMMYFUNCTION("""COMPUTED_VALUE"""),16)</f>
        <v>16</v>
      </c>
      <c r="K103" s="1">
        <f ca="1">IFERROR(__xludf.DUMMYFUNCTION("""COMPUTED_VALUE"""),2)</f>
        <v>2</v>
      </c>
      <c r="L103" s="1">
        <f ca="1">IFERROR(__xludf.DUMMYFUNCTION("""COMPUTED_VALUE"""),6)</f>
        <v>6</v>
      </c>
      <c r="M103" s="1">
        <f ca="1">IFERROR(__xludf.DUMMYFUNCTION("""COMPUTED_VALUE"""),10)</f>
        <v>10</v>
      </c>
      <c r="N103" s="1">
        <f ca="1">IFERROR(__xludf.DUMMYFUNCTION("""COMPUTED_VALUE"""),2504)</f>
        <v>2504</v>
      </c>
      <c r="O103" s="1">
        <f ca="1">IFERROR(__xludf.DUMMYFUNCTION("""COMPUTED_VALUE"""),2339)</f>
        <v>2339</v>
      </c>
      <c r="P103" s="1">
        <f ca="1">IFERROR(__xludf.DUMMYFUNCTION("""COMPUTED_VALUE"""),1409)</f>
        <v>1409</v>
      </c>
      <c r="Q103" s="1">
        <f ca="1">IFERROR(__xludf.DUMMYFUNCTION("""COMPUTED_VALUE"""),914)</f>
        <v>914</v>
      </c>
      <c r="R103" s="1">
        <f ca="1">IFERROR(__xludf.DUMMYFUNCTION("""COMPUTED_VALUE"""),1958)</f>
        <v>1958</v>
      </c>
      <c r="S103" s="1">
        <f ca="1">IFERROR(__xludf.DUMMYFUNCTION("""COMPUTED_VALUE"""),0.467)</f>
        <v>0.46700000000000003</v>
      </c>
      <c r="T103" s="1">
        <f ca="1">IFERROR(__xludf.DUMMYFUNCTION("""COMPUTED_VALUE"""),200)</f>
        <v>200</v>
      </c>
      <c r="U103" s="1">
        <f ca="1">IFERROR(__xludf.DUMMYFUNCTION("""COMPUTED_VALUE"""),608)</f>
        <v>608</v>
      </c>
      <c r="V103" s="1">
        <f ca="1">IFERROR(__xludf.DUMMYFUNCTION("""COMPUTED_VALUE"""),0.329)</f>
        <v>0.32900000000000001</v>
      </c>
      <c r="W103" s="1">
        <f ca="1">IFERROR(__xludf.DUMMYFUNCTION("""COMPUTED_VALUE"""),476)</f>
        <v>476</v>
      </c>
      <c r="X103" s="1">
        <f ca="1">IFERROR(__xludf.DUMMYFUNCTION("""COMPUTED_VALUE"""),706)</f>
        <v>706</v>
      </c>
      <c r="Y103" s="1">
        <f ca="1">IFERROR(__xludf.DUMMYFUNCTION("""COMPUTED_VALUE"""),0.674)</f>
        <v>0.67400000000000004</v>
      </c>
      <c r="Z103" s="1">
        <f ca="1">IFERROR(__xludf.DUMMYFUNCTION("""COMPUTED_VALUE"""),348)</f>
        <v>348</v>
      </c>
      <c r="AA103" s="1">
        <f ca="1">IFERROR(__xludf.DUMMYFUNCTION("""COMPUTED_VALUE"""),1282)</f>
        <v>1282</v>
      </c>
      <c r="AB103" s="1">
        <f ca="1">IFERROR(__xludf.DUMMYFUNCTION("""COMPUTED_VALUE"""),447)</f>
        <v>447</v>
      </c>
      <c r="AC103" s="1">
        <f ca="1">IFERROR(__xludf.DUMMYFUNCTION("""COMPUTED_VALUE"""),200)</f>
        <v>200</v>
      </c>
      <c r="AD103" s="1">
        <f ca="1">IFERROR(__xludf.DUMMYFUNCTION("""COMPUTED_VALUE"""),125)</f>
        <v>125</v>
      </c>
      <c r="AE103" s="1">
        <f ca="1">IFERROR(__xludf.DUMMYFUNCTION("""COMPUTED_VALUE"""),460)</f>
        <v>460</v>
      </c>
      <c r="AF103" s="1">
        <f ca="1">IFERROR(__xludf.DUMMYFUNCTION("""COMPUTED_VALUE"""),637)</f>
        <v>637</v>
      </c>
    </row>
    <row r="104" spans="1:32" ht="12.5" x14ac:dyDescent="0.25">
      <c r="A104" s="1" t="str">
        <f ca="1">IFERROR(__xludf.DUMMYFUNCTION("""COMPUTED_VALUE"""),"Florida International")</f>
        <v>Florida International</v>
      </c>
      <c r="B104" s="1">
        <f ca="1">IFERROR(__xludf.DUMMYFUNCTION("""COMPUTED_VALUE"""),31)</f>
        <v>31</v>
      </c>
      <c r="C104" s="1">
        <f ca="1">IFERROR(__xludf.DUMMYFUNCTION("""COMPUTED_VALUE"""),15)</f>
        <v>15</v>
      </c>
      <c r="D104" s="1">
        <f ca="1">IFERROR(__xludf.DUMMYFUNCTION("""COMPUTED_VALUE"""),16)</f>
        <v>16</v>
      </c>
      <c r="E104" s="1">
        <f ca="1">IFERROR(__xludf.DUMMYFUNCTION("""COMPUTED_VALUE"""),0.484)</f>
        <v>0.48399999999999999</v>
      </c>
      <c r="F104" s="1">
        <f ca="1">IFERROR(__xludf.DUMMYFUNCTION("""COMPUTED_VALUE"""),-5.4)</f>
        <v>-5.4</v>
      </c>
      <c r="G104" s="1">
        <f ca="1">IFERROR(__xludf.DUMMYFUNCTION("""COMPUTED_VALUE"""),-1.58)</f>
        <v>-1.58</v>
      </c>
      <c r="H104" s="1">
        <f ca="1">IFERROR(__xludf.DUMMYFUNCTION("""COMPUTED_VALUE"""),7)</f>
        <v>7</v>
      </c>
      <c r="I104" s="1">
        <f ca="1">IFERROR(__xludf.DUMMYFUNCTION("""COMPUTED_VALUE"""),9)</f>
        <v>9</v>
      </c>
      <c r="J104" s="1">
        <f ca="1">IFERROR(__xludf.DUMMYFUNCTION("""COMPUTED_VALUE"""),9)</f>
        <v>9</v>
      </c>
      <c r="K104" s="1">
        <f ca="1">IFERROR(__xludf.DUMMYFUNCTION("""COMPUTED_VALUE"""),6)</f>
        <v>6</v>
      </c>
      <c r="L104" s="1">
        <f ca="1">IFERROR(__xludf.DUMMYFUNCTION("""COMPUTED_VALUE"""),5)</f>
        <v>5</v>
      </c>
      <c r="M104" s="1">
        <f ca="1">IFERROR(__xludf.DUMMYFUNCTION("""COMPUTED_VALUE"""),8)</f>
        <v>8</v>
      </c>
      <c r="N104" s="1">
        <f ca="1">IFERROR(__xludf.DUMMYFUNCTION("""COMPUTED_VALUE"""),2128)</f>
        <v>2128</v>
      </c>
      <c r="O104" s="1">
        <f ca="1">IFERROR(__xludf.DUMMYFUNCTION("""COMPUTED_VALUE"""),2170)</f>
        <v>2170</v>
      </c>
      <c r="P104" s="1">
        <f ca="1">IFERROR(__xludf.DUMMYFUNCTION("""COMPUTED_VALUE"""),1250)</f>
        <v>1250</v>
      </c>
      <c r="Q104" s="1">
        <f ca="1">IFERROR(__xludf.DUMMYFUNCTION("""COMPUTED_VALUE"""),754)</f>
        <v>754</v>
      </c>
      <c r="R104" s="1">
        <f ca="1">IFERROR(__xludf.DUMMYFUNCTION("""COMPUTED_VALUE"""),1681)</f>
        <v>1681</v>
      </c>
      <c r="S104" s="1">
        <f ca="1">IFERROR(__xludf.DUMMYFUNCTION("""COMPUTED_VALUE"""),0.449)</f>
        <v>0.44900000000000001</v>
      </c>
      <c r="T104" s="1">
        <f ca="1">IFERROR(__xludf.DUMMYFUNCTION("""COMPUTED_VALUE"""),152)</f>
        <v>152</v>
      </c>
      <c r="U104" s="1">
        <f ca="1">IFERROR(__xludf.DUMMYFUNCTION("""COMPUTED_VALUE"""),481)</f>
        <v>481</v>
      </c>
      <c r="V104" s="1">
        <f ca="1">IFERROR(__xludf.DUMMYFUNCTION("""COMPUTED_VALUE"""),0.316)</f>
        <v>0.316</v>
      </c>
      <c r="W104" s="1">
        <f ca="1">IFERROR(__xludf.DUMMYFUNCTION("""COMPUTED_VALUE"""),468)</f>
        <v>468</v>
      </c>
      <c r="X104" s="1">
        <f ca="1">IFERROR(__xludf.DUMMYFUNCTION("""COMPUTED_VALUE"""),698)</f>
        <v>698</v>
      </c>
      <c r="Y104" s="1">
        <f ca="1">IFERROR(__xludf.DUMMYFUNCTION("""COMPUTED_VALUE"""),0.67)</f>
        <v>0.67</v>
      </c>
      <c r="Z104" s="1">
        <f ca="1">IFERROR(__xludf.DUMMYFUNCTION("""COMPUTED_VALUE"""),358)</f>
        <v>358</v>
      </c>
      <c r="AA104" s="1">
        <f ca="1">IFERROR(__xludf.DUMMYFUNCTION("""COMPUTED_VALUE"""),1118)</f>
        <v>1118</v>
      </c>
      <c r="AB104" s="1">
        <f ca="1">IFERROR(__xludf.DUMMYFUNCTION("""COMPUTED_VALUE"""),336)</f>
        <v>336</v>
      </c>
      <c r="AC104" s="1">
        <f ca="1">IFERROR(__xludf.DUMMYFUNCTION("""COMPUTED_VALUE"""),221)</f>
        <v>221</v>
      </c>
      <c r="AD104" s="1">
        <f ca="1">IFERROR(__xludf.DUMMYFUNCTION("""COMPUTED_VALUE"""),130)</f>
        <v>130</v>
      </c>
      <c r="AE104" s="1">
        <f ca="1">IFERROR(__xludf.DUMMYFUNCTION("""COMPUTED_VALUE"""),436)</f>
        <v>436</v>
      </c>
      <c r="AF104" s="1">
        <f ca="1">IFERROR(__xludf.DUMMYFUNCTION("""COMPUTED_VALUE"""),560)</f>
        <v>560</v>
      </c>
    </row>
    <row r="105" spans="1:32" ht="12.5" x14ac:dyDescent="0.25">
      <c r="A105" s="1" t="str">
        <f ca="1">IFERROR(__xludf.DUMMYFUNCTION("""COMPUTED_VALUE"""),"Florida State")</f>
        <v>Florida State</v>
      </c>
      <c r="B105" s="1">
        <f ca="1">IFERROR(__xludf.DUMMYFUNCTION("""COMPUTED_VALUE"""),36)</f>
        <v>36</v>
      </c>
      <c r="C105" s="1">
        <f ca="1">IFERROR(__xludf.DUMMYFUNCTION("""COMPUTED_VALUE"""),22)</f>
        <v>22</v>
      </c>
      <c r="D105" s="1">
        <f ca="1">IFERROR(__xludf.DUMMYFUNCTION("""COMPUTED_VALUE"""),14)</f>
        <v>14</v>
      </c>
      <c r="E105" s="1">
        <f ca="1">IFERROR(__xludf.DUMMYFUNCTION("""COMPUTED_VALUE"""),0.611)</f>
        <v>0.61099999999999999</v>
      </c>
      <c r="F105" s="1">
        <f ca="1">IFERROR(__xludf.DUMMYFUNCTION("""COMPUTED_VALUE"""),12.63)</f>
        <v>12.63</v>
      </c>
      <c r="G105" s="1">
        <f ca="1">IFERROR(__xludf.DUMMYFUNCTION("""COMPUTED_VALUE"""),8.13)</f>
        <v>8.1300000000000008</v>
      </c>
      <c r="H105" s="1">
        <f ca="1">IFERROR(__xludf.DUMMYFUNCTION("""COMPUTED_VALUE"""),9)</f>
        <v>9</v>
      </c>
      <c r="I105" s="1">
        <f ca="1">IFERROR(__xludf.DUMMYFUNCTION("""COMPUTED_VALUE"""),9)</f>
        <v>9</v>
      </c>
      <c r="J105" s="1">
        <f ca="1">IFERROR(__xludf.DUMMYFUNCTION("""COMPUTED_VALUE"""),12)</f>
        <v>12</v>
      </c>
      <c r="K105" s="1">
        <f ca="1">IFERROR(__xludf.DUMMYFUNCTION("""COMPUTED_VALUE"""),5)</f>
        <v>5</v>
      </c>
      <c r="L105" s="1">
        <f ca="1">IFERROR(__xludf.DUMMYFUNCTION("""COMPUTED_VALUE"""),6)</f>
        <v>6</v>
      </c>
      <c r="M105" s="1">
        <f ca="1">IFERROR(__xludf.DUMMYFUNCTION("""COMPUTED_VALUE"""),6)</f>
        <v>6</v>
      </c>
      <c r="N105" s="1">
        <f ca="1">IFERROR(__xludf.DUMMYFUNCTION("""COMPUTED_VALUE"""),2554)</f>
        <v>2554</v>
      </c>
      <c r="O105" s="1">
        <f ca="1">IFERROR(__xludf.DUMMYFUNCTION("""COMPUTED_VALUE"""),2392)</f>
        <v>2392</v>
      </c>
      <c r="P105" s="1">
        <f ca="1">IFERROR(__xludf.DUMMYFUNCTION("""COMPUTED_VALUE"""),1450)</f>
        <v>1450</v>
      </c>
      <c r="Q105" s="1">
        <f ca="1">IFERROR(__xludf.DUMMYFUNCTION("""COMPUTED_VALUE"""),873)</f>
        <v>873</v>
      </c>
      <c r="R105" s="1">
        <f ca="1">IFERROR(__xludf.DUMMYFUNCTION("""COMPUTED_VALUE"""),1873)</f>
        <v>1873</v>
      </c>
      <c r="S105" s="1">
        <f ca="1">IFERROR(__xludf.DUMMYFUNCTION("""COMPUTED_VALUE"""),0.466)</f>
        <v>0.46600000000000003</v>
      </c>
      <c r="T105" s="1">
        <f ca="1">IFERROR(__xludf.DUMMYFUNCTION("""COMPUTED_VALUE"""),191)</f>
        <v>191</v>
      </c>
      <c r="U105" s="1">
        <f ca="1">IFERROR(__xludf.DUMMYFUNCTION("""COMPUTED_VALUE"""),502)</f>
        <v>502</v>
      </c>
      <c r="V105" s="1">
        <f ca="1">IFERROR(__xludf.DUMMYFUNCTION("""COMPUTED_VALUE"""),0.38)</f>
        <v>0.38</v>
      </c>
      <c r="W105" s="1">
        <f ca="1">IFERROR(__xludf.DUMMYFUNCTION("""COMPUTED_VALUE"""),617)</f>
        <v>617</v>
      </c>
      <c r="X105" s="1">
        <f ca="1">IFERROR(__xludf.DUMMYFUNCTION("""COMPUTED_VALUE"""),855)</f>
        <v>855</v>
      </c>
      <c r="Y105" s="1">
        <f ca="1">IFERROR(__xludf.DUMMYFUNCTION("""COMPUTED_VALUE"""),0.722)</f>
        <v>0.72199999999999998</v>
      </c>
      <c r="Z105" s="1">
        <f ca="1">IFERROR(__xludf.DUMMYFUNCTION("""COMPUTED_VALUE"""),392)</f>
        <v>392</v>
      </c>
      <c r="AA105" s="1">
        <f ca="1">IFERROR(__xludf.DUMMYFUNCTION("""COMPUTED_VALUE"""),1256)</f>
        <v>1256</v>
      </c>
      <c r="AB105" s="1">
        <f ca="1">IFERROR(__xludf.DUMMYFUNCTION("""COMPUTED_VALUE"""),385)</f>
        <v>385</v>
      </c>
      <c r="AC105" s="1">
        <f ca="1">IFERROR(__xludf.DUMMYFUNCTION("""COMPUTED_VALUE"""),213)</f>
        <v>213</v>
      </c>
      <c r="AD105" s="1">
        <f ca="1">IFERROR(__xludf.DUMMYFUNCTION("""COMPUTED_VALUE"""),191)</f>
        <v>191</v>
      </c>
      <c r="AE105" s="1">
        <f ca="1">IFERROR(__xludf.DUMMYFUNCTION("""COMPUTED_VALUE"""),512)</f>
        <v>512</v>
      </c>
      <c r="AF105" s="1">
        <f ca="1">IFERROR(__xludf.DUMMYFUNCTION("""COMPUTED_VALUE"""),650)</f>
        <v>650</v>
      </c>
    </row>
    <row r="106" spans="1:32" ht="12.5" x14ac:dyDescent="0.25">
      <c r="A106" s="1" t="str">
        <f ca="1">IFERROR(__xludf.DUMMYFUNCTION("""COMPUTED_VALUE"""),"FloridaNCAA")</f>
        <v>FloridaNCAA</v>
      </c>
      <c r="B106" s="1">
        <f ca="1">IFERROR(__xludf.DUMMYFUNCTION("""COMPUTED_VALUE"""),39)</f>
        <v>39</v>
      </c>
      <c r="C106" s="1">
        <f ca="1">IFERROR(__xludf.DUMMYFUNCTION("""COMPUTED_VALUE"""),36)</f>
        <v>36</v>
      </c>
      <c r="D106" s="1">
        <f ca="1">IFERROR(__xludf.DUMMYFUNCTION("""COMPUTED_VALUE"""),3)</f>
        <v>3</v>
      </c>
      <c r="E106" s="1">
        <f ca="1">IFERROR(__xludf.DUMMYFUNCTION("""COMPUTED_VALUE"""),0.923)</f>
        <v>0.92300000000000004</v>
      </c>
      <c r="F106" s="1">
        <f ca="1">IFERROR(__xludf.DUMMYFUNCTION("""COMPUTED_VALUE"""),20.69)</f>
        <v>20.69</v>
      </c>
      <c r="G106" s="1">
        <f ca="1">IFERROR(__xludf.DUMMYFUNCTION("""COMPUTED_VALUE"""),8.54)</f>
        <v>8.5399999999999991</v>
      </c>
      <c r="H106" s="1">
        <f ca="1">IFERROR(__xludf.DUMMYFUNCTION("""COMPUTED_VALUE"""),18)</f>
        <v>18</v>
      </c>
      <c r="I106" s="1">
        <f ca="1">IFERROR(__xludf.DUMMYFUNCTION("""COMPUTED_VALUE"""),0)</f>
        <v>0</v>
      </c>
      <c r="J106" s="1">
        <f ca="1">IFERROR(__xludf.DUMMYFUNCTION("""COMPUTED_VALUE"""),17)</f>
        <v>17</v>
      </c>
      <c r="K106" s="1">
        <f ca="1">IFERROR(__xludf.DUMMYFUNCTION("""COMPUTED_VALUE"""),0)</f>
        <v>0</v>
      </c>
      <c r="L106" s="1">
        <f ca="1">IFERROR(__xludf.DUMMYFUNCTION("""COMPUTED_VALUE"""),10)</f>
        <v>10</v>
      </c>
      <c r="M106" s="1">
        <f ca="1">IFERROR(__xludf.DUMMYFUNCTION("""COMPUTED_VALUE"""),2)</f>
        <v>2</v>
      </c>
      <c r="N106" s="1">
        <f ca="1">IFERROR(__xludf.DUMMYFUNCTION("""COMPUTED_VALUE"""),2727)</f>
        <v>2727</v>
      </c>
      <c r="O106" s="1">
        <f ca="1">IFERROR(__xludf.DUMMYFUNCTION("""COMPUTED_VALUE"""),2253)</f>
        <v>2253</v>
      </c>
      <c r="P106" s="1">
        <f ca="1">IFERROR(__xludf.DUMMYFUNCTION("""COMPUTED_VALUE"""),1560)</f>
        <v>1560</v>
      </c>
      <c r="Q106" s="1">
        <f ca="1">IFERROR(__xludf.DUMMYFUNCTION("""COMPUTED_VALUE"""),945)</f>
        <v>945</v>
      </c>
      <c r="R106" s="1">
        <f ca="1">IFERROR(__xludf.DUMMYFUNCTION("""COMPUTED_VALUE"""),2056)</f>
        <v>2056</v>
      </c>
      <c r="S106" s="1">
        <f ca="1">IFERROR(__xludf.DUMMYFUNCTION("""COMPUTED_VALUE"""),0.46)</f>
        <v>0.46</v>
      </c>
      <c r="T106" s="1">
        <f ca="1">IFERROR(__xludf.DUMMYFUNCTION("""COMPUTED_VALUE"""),255)</f>
        <v>255</v>
      </c>
      <c r="U106" s="1">
        <f ca="1">IFERROR(__xludf.DUMMYFUNCTION("""COMPUTED_VALUE"""),711)</f>
        <v>711</v>
      </c>
      <c r="V106" s="1">
        <f ca="1">IFERROR(__xludf.DUMMYFUNCTION("""COMPUTED_VALUE"""),0.359)</f>
        <v>0.35899999999999999</v>
      </c>
      <c r="W106" s="1">
        <f ca="1">IFERROR(__xludf.DUMMYFUNCTION("""COMPUTED_VALUE"""),582)</f>
        <v>582</v>
      </c>
      <c r="X106" s="1">
        <f ca="1">IFERROR(__xludf.DUMMYFUNCTION("""COMPUTED_VALUE"""),871)</f>
        <v>871</v>
      </c>
      <c r="Y106" s="1">
        <f ca="1">IFERROR(__xludf.DUMMYFUNCTION("""COMPUTED_VALUE"""),0.668)</f>
        <v>0.66800000000000004</v>
      </c>
      <c r="Z106" s="1">
        <f ca="1">IFERROR(__xludf.DUMMYFUNCTION("""COMPUTED_VALUE"""),437)</f>
        <v>437</v>
      </c>
      <c r="AA106" s="1">
        <f ca="1">IFERROR(__xludf.DUMMYFUNCTION("""COMPUTED_VALUE"""),1385)</f>
        <v>1385</v>
      </c>
      <c r="AB106" s="1">
        <f ca="1">IFERROR(__xludf.DUMMYFUNCTION("""COMPUTED_VALUE"""),509)</f>
        <v>509</v>
      </c>
      <c r="AC106" s="1">
        <f ca="1">IFERROR(__xludf.DUMMYFUNCTION("""COMPUTED_VALUE"""),274)</f>
        <v>274</v>
      </c>
      <c r="AD106" s="1">
        <f ca="1">IFERROR(__xludf.DUMMYFUNCTION("""COMPUTED_VALUE"""),118)</f>
        <v>118</v>
      </c>
      <c r="AE106" s="1">
        <f ca="1">IFERROR(__xludf.DUMMYFUNCTION("""COMPUTED_VALUE"""),418)</f>
        <v>418</v>
      </c>
      <c r="AF106" s="1">
        <f ca="1">IFERROR(__xludf.DUMMYFUNCTION("""COMPUTED_VALUE"""),611)</f>
        <v>611</v>
      </c>
    </row>
    <row r="107" spans="1:32" ht="12.5" x14ac:dyDescent="0.25">
      <c r="A107" s="1" t="str">
        <f ca="1">IFERROR(__xludf.DUMMYFUNCTION("""COMPUTED_VALUE"""),"Fordham")</f>
        <v>Fordham</v>
      </c>
      <c r="B107" s="1">
        <f ca="1">IFERROR(__xludf.DUMMYFUNCTION("""COMPUTED_VALUE"""),31)</f>
        <v>31</v>
      </c>
      <c r="C107" s="1">
        <f ca="1">IFERROR(__xludf.DUMMYFUNCTION("""COMPUTED_VALUE"""),10)</f>
        <v>10</v>
      </c>
      <c r="D107" s="1">
        <f ca="1">IFERROR(__xludf.DUMMYFUNCTION("""COMPUTED_VALUE"""),21)</f>
        <v>21</v>
      </c>
      <c r="E107" s="1">
        <f ca="1">IFERROR(__xludf.DUMMYFUNCTION("""COMPUTED_VALUE"""),0.323)</f>
        <v>0.32300000000000001</v>
      </c>
      <c r="F107" s="1">
        <f ca="1">IFERROR(__xludf.DUMMYFUNCTION("""COMPUTED_VALUE"""),-3.16)</f>
        <v>-3.16</v>
      </c>
      <c r="G107" s="1">
        <f ca="1">IFERROR(__xludf.DUMMYFUNCTION("""COMPUTED_VALUE"""),3.14)</f>
        <v>3.14</v>
      </c>
      <c r="H107" s="1">
        <f ca="1">IFERROR(__xludf.DUMMYFUNCTION("""COMPUTED_VALUE"""),2)</f>
        <v>2</v>
      </c>
      <c r="I107" s="1">
        <f ca="1">IFERROR(__xludf.DUMMYFUNCTION("""COMPUTED_VALUE"""),14)</f>
        <v>14</v>
      </c>
      <c r="J107" s="1">
        <f ca="1">IFERROR(__xludf.DUMMYFUNCTION("""COMPUTED_VALUE"""),7)</f>
        <v>7</v>
      </c>
      <c r="K107" s="1">
        <f ca="1">IFERROR(__xludf.DUMMYFUNCTION("""COMPUTED_VALUE"""),8)</f>
        <v>8</v>
      </c>
      <c r="L107" s="1">
        <f ca="1">IFERROR(__xludf.DUMMYFUNCTION("""COMPUTED_VALUE"""),2)</f>
        <v>2</v>
      </c>
      <c r="M107" s="1">
        <f ca="1">IFERROR(__xludf.DUMMYFUNCTION("""COMPUTED_VALUE"""),12)</f>
        <v>12</v>
      </c>
      <c r="N107" s="1">
        <f ca="1">IFERROR(__xludf.DUMMYFUNCTION("""COMPUTED_VALUE"""),2224)</f>
        <v>2224</v>
      </c>
      <c r="O107" s="1">
        <f ca="1">IFERROR(__xludf.DUMMYFUNCTION("""COMPUTED_VALUE"""),2419)</f>
        <v>2419</v>
      </c>
      <c r="P107" s="1">
        <f ca="1">IFERROR(__xludf.DUMMYFUNCTION("""COMPUTED_VALUE"""),1245)</f>
        <v>1245</v>
      </c>
      <c r="Q107" s="1">
        <f ca="1">IFERROR(__xludf.DUMMYFUNCTION("""COMPUTED_VALUE"""),764)</f>
        <v>764</v>
      </c>
      <c r="R107" s="1">
        <f ca="1">IFERROR(__xludf.DUMMYFUNCTION("""COMPUTED_VALUE"""),1942)</f>
        <v>1942</v>
      </c>
      <c r="S107" s="1">
        <f ca="1">IFERROR(__xludf.DUMMYFUNCTION("""COMPUTED_VALUE"""),0.393)</f>
        <v>0.39300000000000002</v>
      </c>
      <c r="T107" s="1">
        <f ca="1">IFERROR(__xludf.DUMMYFUNCTION("""COMPUTED_VALUE"""),220)</f>
        <v>220</v>
      </c>
      <c r="U107" s="1">
        <f ca="1">IFERROR(__xludf.DUMMYFUNCTION("""COMPUTED_VALUE"""),719)</f>
        <v>719</v>
      </c>
      <c r="V107" s="1">
        <f ca="1">IFERROR(__xludf.DUMMYFUNCTION("""COMPUTED_VALUE"""),0.306)</f>
        <v>0.30599999999999999</v>
      </c>
      <c r="W107" s="1">
        <f ca="1">IFERROR(__xludf.DUMMYFUNCTION("""COMPUTED_VALUE"""),476)</f>
        <v>476</v>
      </c>
      <c r="X107" s="1">
        <f ca="1">IFERROR(__xludf.DUMMYFUNCTION("""COMPUTED_VALUE"""),649)</f>
        <v>649</v>
      </c>
      <c r="Y107" s="1">
        <f ca="1">IFERROR(__xludf.DUMMYFUNCTION("""COMPUTED_VALUE"""),0.733)</f>
        <v>0.73299999999999998</v>
      </c>
      <c r="Z107" s="1">
        <f ca="1">IFERROR(__xludf.DUMMYFUNCTION("""COMPUTED_VALUE"""),448)</f>
        <v>448</v>
      </c>
      <c r="AA107" s="1">
        <f ca="1">IFERROR(__xludf.DUMMYFUNCTION("""COMPUTED_VALUE"""),1152)</f>
        <v>1152</v>
      </c>
      <c r="AB107" s="1">
        <f ca="1">IFERROR(__xludf.DUMMYFUNCTION("""COMPUTED_VALUE"""),379)</f>
        <v>379</v>
      </c>
      <c r="AC107" s="1">
        <f ca="1">IFERROR(__xludf.DUMMYFUNCTION("""COMPUTED_VALUE"""),207)</f>
        <v>207</v>
      </c>
      <c r="AD107" s="1">
        <f ca="1">IFERROR(__xludf.DUMMYFUNCTION("""COMPUTED_VALUE"""),126)</f>
        <v>126</v>
      </c>
      <c r="AE107" s="1">
        <f ca="1">IFERROR(__xludf.DUMMYFUNCTION("""COMPUTED_VALUE"""),353)</f>
        <v>353</v>
      </c>
      <c r="AF107" s="1">
        <f ca="1">IFERROR(__xludf.DUMMYFUNCTION("""COMPUTED_VALUE"""),616)</f>
        <v>616</v>
      </c>
    </row>
    <row r="108" spans="1:32" ht="12.5" x14ac:dyDescent="0.25">
      <c r="A108" s="1" t="str">
        <f ca="1">IFERROR(__xludf.DUMMYFUNCTION("""COMPUTED_VALUE"""),"Fresno State")</f>
        <v>Fresno State</v>
      </c>
      <c r="B108" s="1">
        <f ca="1">IFERROR(__xludf.DUMMYFUNCTION("""COMPUTED_VALUE"""),39)</f>
        <v>39</v>
      </c>
      <c r="C108" s="1">
        <f ca="1">IFERROR(__xludf.DUMMYFUNCTION("""COMPUTED_VALUE"""),21)</f>
        <v>21</v>
      </c>
      <c r="D108" s="1">
        <f ca="1">IFERROR(__xludf.DUMMYFUNCTION("""COMPUTED_VALUE"""),18)</f>
        <v>18</v>
      </c>
      <c r="E108" s="1">
        <f ca="1">IFERROR(__xludf.DUMMYFUNCTION("""COMPUTED_VALUE"""),0.538)</f>
        <v>0.53800000000000003</v>
      </c>
      <c r="F108" s="1">
        <f ca="1">IFERROR(__xludf.DUMMYFUNCTION("""COMPUTED_VALUE"""),3.59)</f>
        <v>3.59</v>
      </c>
      <c r="G108" s="1">
        <f ca="1">IFERROR(__xludf.DUMMYFUNCTION("""COMPUTED_VALUE"""),3.75)</f>
        <v>3.75</v>
      </c>
      <c r="H108" s="1">
        <f ca="1">IFERROR(__xludf.DUMMYFUNCTION("""COMPUTED_VALUE"""),9)</f>
        <v>9</v>
      </c>
      <c r="I108" s="1">
        <f ca="1">IFERROR(__xludf.DUMMYFUNCTION("""COMPUTED_VALUE"""),9)</f>
        <v>9</v>
      </c>
      <c r="J108" s="1">
        <f ca="1">IFERROR(__xludf.DUMMYFUNCTION("""COMPUTED_VALUE"""),13)</f>
        <v>13</v>
      </c>
      <c r="K108" s="1">
        <f ca="1">IFERROR(__xludf.DUMMYFUNCTION("""COMPUTED_VALUE"""),6)</f>
        <v>6</v>
      </c>
      <c r="L108" s="1">
        <f ca="1">IFERROR(__xludf.DUMMYFUNCTION("""COMPUTED_VALUE"""),7)</f>
        <v>7</v>
      </c>
      <c r="M108" s="1">
        <f ca="1">IFERROR(__xludf.DUMMYFUNCTION("""COMPUTED_VALUE"""),10)</f>
        <v>10</v>
      </c>
      <c r="N108" s="1">
        <f ca="1">IFERROR(__xludf.DUMMYFUNCTION("""COMPUTED_VALUE"""),2837)</f>
        <v>2837</v>
      </c>
      <c r="O108" s="1">
        <f ca="1">IFERROR(__xludf.DUMMYFUNCTION("""COMPUTED_VALUE"""),2749)</f>
        <v>2749</v>
      </c>
      <c r="P108" s="1">
        <f ca="1">IFERROR(__xludf.DUMMYFUNCTION("""COMPUTED_VALUE"""),1590)</f>
        <v>1590</v>
      </c>
      <c r="Q108" s="1">
        <f ca="1">IFERROR(__xludf.DUMMYFUNCTION("""COMPUTED_VALUE"""),950)</f>
        <v>950</v>
      </c>
      <c r="R108" s="1">
        <f ca="1">IFERROR(__xludf.DUMMYFUNCTION("""COMPUTED_VALUE"""),2170)</f>
        <v>2170</v>
      </c>
      <c r="S108" s="1">
        <f ca="1">IFERROR(__xludf.DUMMYFUNCTION("""COMPUTED_VALUE"""),0.438)</f>
        <v>0.438</v>
      </c>
      <c r="T108" s="1">
        <f ca="1">IFERROR(__xludf.DUMMYFUNCTION("""COMPUTED_VALUE"""),291)</f>
        <v>291</v>
      </c>
      <c r="U108" s="1">
        <f ca="1">IFERROR(__xludf.DUMMYFUNCTION("""COMPUTED_VALUE"""),815)</f>
        <v>815</v>
      </c>
      <c r="V108" s="1">
        <f ca="1">IFERROR(__xludf.DUMMYFUNCTION("""COMPUTED_VALUE"""),0.357)</f>
        <v>0.35699999999999998</v>
      </c>
      <c r="W108" s="1">
        <f ca="1">IFERROR(__xludf.DUMMYFUNCTION("""COMPUTED_VALUE"""),646)</f>
        <v>646</v>
      </c>
      <c r="X108" s="1">
        <f ca="1">IFERROR(__xludf.DUMMYFUNCTION("""COMPUTED_VALUE"""),884)</f>
        <v>884</v>
      </c>
      <c r="Y108" s="1">
        <f ca="1">IFERROR(__xludf.DUMMYFUNCTION("""COMPUTED_VALUE"""),0.731)</f>
        <v>0.73099999999999998</v>
      </c>
      <c r="Z108" s="1">
        <f ca="1">IFERROR(__xludf.DUMMYFUNCTION("""COMPUTED_VALUE"""),359)</f>
        <v>359</v>
      </c>
      <c r="AA108" s="1">
        <f ca="1">IFERROR(__xludf.DUMMYFUNCTION("""COMPUTED_VALUE"""),1320)</f>
        <v>1320</v>
      </c>
      <c r="AB108" s="1">
        <f ca="1">IFERROR(__xludf.DUMMYFUNCTION("""COMPUTED_VALUE"""),470)</f>
        <v>470</v>
      </c>
      <c r="AC108" s="1">
        <f ca="1">IFERROR(__xludf.DUMMYFUNCTION("""COMPUTED_VALUE"""),253)</f>
        <v>253</v>
      </c>
      <c r="AD108" s="1">
        <f ca="1">IFERROR(__xludf.DUMMYFUNCTION("""COMPUTED_VALUE"""),177)</f>
        <v>177</v>
      </c>
      <c r="AE108" s="1">
        <f ca="1">IFERROR(__xludf.DUMMYFUNCTION("""COMPUTED_VALUE"""),394)</f>
        <v>394</v>
      </c>
      <c r="AF108" s="1">
        <f ca="1">IFERROR(__xludf.DUMMYFUNCTION("""COMPUTED_VALUE"""),751)</f>
        <v>751</v>
      </c>
    </row>
    <row r="109" spans="1:32" ht="12.5" x14ac:dyDescent="0.25">
      <c r="A109" s="1" t="str">
        <f ca="1">IFERROR(__xludf.DUMMYFUNCTION("""COMPUTED_VALUE"""),"Furman")</f>
        <v>Furman</v>
      </c>
      <c r="B109" s="1">
        <f ca="1">IFERROR(__xludf.DUMMYFUNCTION("""COMPUTED_VALUE"""),30)</f>
        <v>30</v>
      </c>
      <c r="C109" s="1">
        <f ca="1">IFERROR(__xludf.DUMMYFUNCTION("""COMPUTED_VALUE"""),9)</f>
        <v>9</v>
      </c>
      <c r="D109" s="1">
        <f ca="1">IFERROR(__xludf.DUMMYFUNCTION("""COMPUTED_VALUE"""),21)</f>
        <v>21</v>
      </c>
      <c r="E109" s="1">
        <f ca="1">IFERROR(__xludf.DUMMYFUNCTION("""COMPUTED_VALUE"""),0.3)</f>
        <v>0.3</v>
      </c>
      <c r="F109" s="1">
        <f ca="1">IFERROR(__xludf.DUMMYFUNCTION("""COMPUTED_VALUE"""),-17.44)</f>
        <v>-17.440000000000001</v>
      </c>
      <c r="G109" s="1">
        <f ca="1">IFERROR(__xludf.DUMMYFUNCTION("""COMPUTED_VALUE"""),-7.4)</f>
        <v>-7.4</v>
      </c>
      <c r="H109" s="1">
        <f ca="1">IFERROR(__xludf.DUMMYFUNCTION("""COMPUTED_VALUE"""),3)</f>
        <v>3</v>
      </c>
      <c r="I109" s="1">
        <f ca="1">IFERROR(__xludf.DUMMYFUNCTION("""COMPUTED_VALUE"""),13)</f>
        <v>13</v>
      </c>
      <c r="J109" s="1">
        <f ca="1">IFERROR(__xludf.DUMMYFUNCTION("""COMPUTED_VALUE"""),6)</f>
        <v>6</v>
      </c>
      <c r="K109" s="1">
        <f ca="1">IFERROR(__xludf.DUMMYFUNCTION("""COMPUTED_VALUE"""),8)</f>
        <v>8</v>
      </c>
      <c r="L109" s="1">
        <f ca="1">IFERROR(__xludf.DUMMYFUNCTION("""COMPUTED_VALUE"""),3)</f>
        <v>3</v>
      </c>
      <c r="M109" s="1">
        <f ca="1">IFERROR(__xludf.DUMMYFUNCTION("""COMPUTED_VALUE"""),12)</f>
        <v>12</v>
      </c>
      <c r="N109" s="1">
        <f ca="1">IFERROR(__xludf.DUMMYFUNCTION("""COMPUTED_VALUE"""),1955)</f>
        <v>1955</v>
      </c>
      <c r="O109" s="1">
        <f ca="1">IFERROR(__xludf.DUMMYFUNCTION("""COMPUTED_VALUE"""),2196)</f>
        <v>2196</v>
      </c>
      <c r="P109" s="1">
        <f ca="1">IFERROR(__xludf.DUMMYFUNCTION("""COMPUTED_VALUE"""),1205)</f>
        <v>1205</v>
      </c>
      <c r="Q109" s="1">
        <f ca="1">IFERROR(__xludf.DUMMYFUNCTION("""COMPUTED_VALUE"""),680)</f>
        <v>680</v>
      </c>
      <c r="R109" s="1">
        <f ca="1">IFERROR(__xludf.DUMMYFUNCTION("""COMPUTED_VALUE"""),1540)</f>
        <v>1540</v>
      </c>
      <c r="S109" s="1">
        <f ca="1">IFERROR(__xludf.DUMMYFUNCTION("""COMPUTED_VALUE"""),0.442)</f>
        <v>0.442</v>
      </c>
      <c r="T109" s="1">
        <f ca="1">IFERROR(__xludf.DUMMYFUNCTION("""COMPUTED_VALUE"""),164)</f>
        <v>164</v>
      </c>
      <c r="U109" s="1">
        <f ca="1">IFERROR(__xludf.DUMMYFUNCTION("""COMPUTED_VALUE"""),492)</f>
        <v>492</v>
      </c>
      <c r="V109" s="1">
        <f ca="1">IFERROR(__xludf.DUMMYFUNCTION("""COMPUTED_VALUE"""),0.333)</f>
        <v>0.33300000000000002</v>
      </c>
      <c r="W109" s="1">
        <f ca="1">IFERROR(__xludf.DUMMYFUNCTION("""COMPUTED_VALUE"""),431)</f>
        <v>431</v>
      </c>
      <c r="X109" s="1">
        <f ca="1">IFERROR(__xludf.DUMMYFUNCTION("""COMPUTED_VALUE"""),633)</f>
        <v>633</v>
      </c>
      <c r="Y109" s="1">
        <f ca="1">IFERROR(__xludf.DUMMYFUNCTION("""COMPUTED_VALUE"""),0.681)</f>
        <v>0.68100000000000005</v>
      </c>
      <c r="Z109" s="1">
        <f ca="1">IFERROR(__xludf.DUMMYFUNCTION("""COMPUTED_VALUE"""),269)</f>
        <v>269</v>
      </c>
      <c r="AA109" s="1">
        <f ca="1">IFERROR(__xludf.DUMMYFUNCTION("""COMPUTED_VALUE"""),940)</f>
        <v>940</v>
      </c>
      <c r="AB109" s="1">
        <f ca="1">IFERROR(__xludf.DUMMYFUNCTION("""COMPUTED_VALUE"""),288)</f>
        <v>288</v>
      </c>
      <c r="AC109" s="1">
        <f ca="1">IFERROR(__xludf.DUMMYFUNCTION("""COMPUTED_VALUE"""),147)</f>
        <v>147</v>
      </c>
      <c r="AD109" s="1">
        <f ca="1">IFERROR(__xludf.DUMMYFUNCTION("""COMPUTED_VALUE"""),85)</f>
        <v>85</v>
      </c>
      <c r="AE109" s="1">
        <f ca="1">IFERROR(__xludf.DUMMYFUNCTION("""COMPUTED_VALUE"""),407)</f>
        <v>407</v>
      </c>
      <c r="AF109" s="1">
        <f ca="1">IFERROR(__xludf.DUMMYFUNCTION("""COMPUTED_VALUE"""),509)</f>
        <v>509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IFERROR(__xludf.DUMMYFUNCTION("""COMPUTED_VALUE"""),"Gardner-Webb")</f>
        <v>Gardner-Webb</v>
      </c>
      <c r="B112" s="1">
        <f ca="1">IFERROR(__xludf.DUMMYFUNCTION("""COMPUTED_VALUE"""),33)</f>
        <v>33</v>
      </c>
      <c r="C112" s="1">
        <f ca="1">IFERROR(__xludf.DUMMYFUNCTION("""COMPUTED_VALUE"""),18)</f>
        <v>18</v>
      </c>
      <c r="D112" s="1">
        <f ca="1">IFERROR(__xludf.DUMMYFUNCTION("""COMPUTED_VALUE"""),15)</f>
        <v>15</v>
      </c>
      <c r="E112" s="1">
        <f ca="1">IFERROR(__xludf.DUMMYFUNCTION("""COMPUTED_VALUE"""),0.545)</f>
        <v>0.54500000000000004</v>
      </c>
      <c r="F112" s="1">
        <f ca="1">IFERROR(__xludf.DUMMYFUNCTION("""COMPUTED_VALUE"""),-7.33)</f>
        <v>-7.33</v>
      </c>
      <c r="G112" s="1">
        <f ca="1">IFERROR(__xludf.DUMMYFUNCTION("""COMPUTED_VALUE"""),-6.9)</f>
        <v>-6.9</v>
      </c>
      <c r="H112" s="1">
        <f ca="1">IFERROR(__xludf.DUMMYFUNCTION("""COMPUTED_VALUE"""),10)</f>
        <v>10</v>
      </c>
      <c r="I112" s="1">
        <f ca="1">IFERROR(__xludf.DUMMYFUNCTION("""COMPUTED_VALUE"""),6)</f>
        <v>6</v>
      </c>
      <c r="J112" s="1">
        <f ca="1">IFERROR(__xludf.DUMMYFUNCTION("""COMPUTED_VALUE"""),8)</f>
        <v>8</v>
      </c>
      <c r="K112" s="1">
        <f ca="1">IFERROR(__xludf.DUMMYFUNCTION("""COMPUTED_VALUE"""),5)</f>
        <v>5</v>
      </c>
      <c r="L112" s="1">
        <f ca="1">IFERROR(__xludf.DUMMYFUNCTION("""COMPUTED_VALUE"""),7)</f>
        <v>7</v>
      </c>
      <c r="M112" s="1">
        <f ca="1">IFERROR(__xludf.DUMMYFUNCTION("""COMPUTED_VALUE"""),9)</f>
        <v>9</v>
      </c>
      <c r="N112" s="1">
        <f ca="1">IFERROR(__xludf.DUMMYFUNCTION("""COMPUTED_VALUE"""),2425)</f>
        <v>2425</v>
      </c>
      <c r="O112" s="1">
        <f ca="1">IFERROR(__xludf.DUMMYFUNCTION("""COMPUTED_VALUE"""),2309)</f>
        <v>2309</v>
      </c>
      <c r="P112" s="1">
        <f ca="1">IFERROR(__xludf.DUMMYFUNCTION("""COMPUTED_VALUE"""),1360)</f>
        <v>1360</v>
      </c>
      <c r="Q112" s="1">
        <f ca="1">IFERROR(__xludf.DUMMYFUNCTION("""COMPUTED_VALUE"""),848)</f>
        <v>848</v>
      </c>
      <c r="R112" s="1">
        <f ca="1">IFERROR(__xludf.DUMMYFUNCTION("""COMPUTED_VALUE"""),1895)</f>
        <v>1895</v>
      </c>
      <c r="S112" s="1">
        <f ca="1">IFERROR(__xludf.DUMMYFUNCTION("""COMPUTED_VALUE"""),0.447)</f>
        <v>0.44700000000000001</v>
      </c>
      <c r="T112" s="1">
        <f ca="1">IFERROR(__xludf.DUMMYFUNCTION("""COMPUTED_VALUE"""),175)</f>
        <v>175</v>
      </c>
      <c r="U112" s="1">
        <f ca="1">IFERROR(__xludf.DUMMYFUNCTION("""COMPUTED_VALUE"""),516)</f>
        <v>516</v>
      </c>
      <c r="V112" s="1">
        <f ca="1">IFERROR(__xludf.DUMMYFUNCTION("""COMPUTED_VALUE"""),0.339)</f>
        <v>0.33900000000000002</v>
      </c>
      <c r="W112" s="1">
        <f ca="1">IFERROR(__xludf.DUMMYFUNCTION("""COMPUTED_VALUE"""),554)</f>
        <v>554</v>
      </c>
      <c r="X112" s="1">
        <f ca="1">IFERROR(__xludf.DUMMYFUNCTION("""COMPUTED_VALUE"""),807)</f>
        <v>807</v>
      </c>
      <c r="Y112" s="1">
        <f ca="1">IFERROR(__xludf.DUMMYFUNCTION("""COMPUTED_VALUE"""),0.686)</f>
        <v>0.68600000000000005</v>
      </c>
      <c r="Z112" s="1">
        <f ca="1">IFERROR(__xludf.DUMMYFUNCTION("""COMPUTED_VALUE"""),401)</f>
        <v>401</v>
      </c>
      <c r="AA112" s="1">
        <f ca="1">IFERROR(__xludf.DUMMYFUNCTION("""COMPUTED_VALUE"""),1182)</f>
        <v>1182</v>
      </c>
      <c r="AB112" s="1">
        <f ca="1">IFERROR(__xludf.DUMMYFUNCTION("""COMPUTED_VALUE"""),498)</f>
        <v>498</v>
      </c>
      <c r="AC112" s="1">
        <f ca="1">IFERROR(__xludf.DUMMYFUNCTION("""COMPUTED_VALUE"""),252)</f>
        <v>252</v>
      </c>
      <c r="AD112" s="1">
        <f ca="1">IFERROR(__xludf.DUMMYFUNCTION("""COMPUTED_VALUE"""),104)</f>
        <v>104</v>
      </c>
      <c r="AE112" s="1">
        <f ca="1">IFERROR(__xludf.DUMMYFUNCTION("""COMPUTED_VALUE"""),405)</f>
        <v>405</v>
      </c>
      <c r="AF112" s="1">
        <f ca="1">IFERROR(__xludf.DUMMYFUNCTION("""COMPUTED_VALUE"""),607)</f>
        <v>607</v>
      </c>
    </row>
    <row r="113" spans="1:32" ht="12.5" x14ac:dyDescent="0.25">
      <c r="A113" s="1" t="str">
        <f ca="1">IFERROR(__xludf.DUMMYFUNCTION("""COMPUTED_VALUE"""),"George Mason")</f>
        <v>George Mason</v>
      </c>
      <c r="B113" s="1">
        <f ca="1">IFERROR(__xludf.DUMMYFUNCTION("""COMPUTED_VALUE"""),31)</f>
        <v>31</v>
      </c>
      <c r="C113" s="1">
        <f ca="1">IFERROR(__xludf.DUMMYFUNCTION("""COMPUTED_VALUE"""),11)</f>
        <v>11</v>
      </c>
      <c r="D113" s="1">
        <f ca="1">IFERROR(__xludf.DUMMYFUNCTION("""COMPUTED_VALUE"""),20)</f>
        <v>20</v>
      </c>
      <c r="E113" s="1">
        <f ca="1">IFERROR(__xludf.DUMMYFUNCTION("""COMPUTED_VALUE"""),0.355)</f>
        <v>0.35499999999999998</v>
      </c>
      <c r="F113" s="1">
        <f ca="1">IFERROR(__xludf.DUMMYFUNCTION("""COMPUTED_VALUE"""),2.03)</f>
        <v>2.0299999999999998</v>
      </c>
      <c r="G113" s="1">
        <f ca="1">IFERROR(__xludf.DUMMYFUNCTION("""COMPUTED_VALUE"""),4.58)</f>
        <v>4.58</v>
      </c>
      <c r="H113" s="1">
        <f ca="1">IFERROR(__xludf.DUMMYFUNCTION("""COMPUTED_VALUE"""),5)</f>
        <v>5</v>
      </c>
      <c r="I113" s="1">
        <f ca="1">IFERROR(__xludf.DUMMYFUNCTION("""COMPUTED_VALUE"""),12)</f>
        <v>12</v>
      </c>
      <c r="J113" s="1">
        <f ca="1">IFERROR(__xludf.DUMMYFUNCTION("""COMPUTED_VALUE"""),6)</f>
        <v>6</v>
      </c>
      <c r="K113" s="1">
        <f ca="1">IFERROR(__xludf.DUMMYFUNCTION("""COMPUTED_VALUE"""),8)</f>
        <v>8</v>
      </c>
      <c r="L113" s="1">
        <f ca="1">IFERROR(__xludf.DUMMYFUNCTION("""COMPUTED_VALUE"""),4)</f>
        <v>4</v>
      </c>
      <c r="M113" s="1">
        <f ca="1">IFERROR(__xludf.DUMMYFUNCTION("""COMPUTED_VALUE"""),8)</f>
        <v>8</v>
      </c>
      <c r="N113" s="1">
        <f ca="1">IFERROR(__xludf.DUMMYFUNCTION("""COMPUTED_VALUE"""),2154)</f>
        <v>2154</v>
      </c>
      <c r="O113" s="1">
        <f ca="1">IFERROR(__xludf.DUMMYFUNCTION("""COMPUTED_VALUE"""),2233)</f>
        <v>2233</v>
      </c>
      <c r="P113" s="1">
        <f ca="1">IFERROR(__xludf.DUMMYFUNCTION("""COMPUTED_VALUE"""),1255)</f>
        <v>1255</v>
      </c>
      <c r="Q113" s="1">
        <f ca="1">IFERROR(__xludf.DUMMYFUNCTION("""COMPUTED_VALUE"""),756)</f>
        <v>756</v>
      </c>
      <c r="R113" s="1">
        <f ca="1">IFERROR(__xludf.DUMMYFUNCTION("""COMPUTED_VALUE"""),1719)</f>
        <v>1719</v>
      </c>
      <c r="S113" s="1">
        <f ca="1">IFERROR(__xludf.DUMMYFUNCTION("""COMPUTED_VALUE"""),0.44)</f>
        <v>0.44</v>
      </c>
      <c r="T113" s="1">
        <f ca="1">IFERROR(__xludf.DUMMYFUNCTION("""COMPUTED_VALUE"""),153)</f>
        <v>153</v>
      </c>
      <c r="U113" s="1">
        <f ca="1">IFERROR(__xludf.DUMMYFUNCTION("""COMPUTED_VALUE"""),435)</f>
        <v>435</v>
      </c>
      <c r="V113" s="1">
        <f ca="1">IFERROR(__xludf.DUMMYFUNCTION("""COMPUTED_VALUE"""),0.352)</f>
        <v>0.35199999999999998</v>
      </c>
      <c r="W113" s="1">
        <f ca="1">IFERROR(__xludf.DUMMYFUNCTION("""COMPUTED_VALUE"""),489)</f>
        <v>489</v>
      </c>
      <c r="X113" s="1">
        <f ca="1">IFERROR(__xludf.DUMMYFUNCTION("""COMPUTED_VALUE"""),690)</f>
        <v>690</v>
      </c>
      <c r="Y113" s="1">
        <f ca="1">IFERROR(__xludf.DUMMYFUNCTION("""COMPUTED_VALUE"""),0.709)</f>
        <v>0.70899999999999996</v>
      </c>
      <c r="Z113" s="1">
        <f ca="1">IFERROR(__xludf.DUMMYFUNCTION("""COMPUTED_VALUE"""),340)</f>
        <v>340</v>
      </c>
      <c r="AA113" s="1">
        <f ca="1">IFERROR(__xludf.DUMMYFUNCTION("""COMPUTED_VALUE"""),1074)</f>
        <v>1074</v>
      </c>
      <c r="AB113" s="1">
        <f ca="1">IFERROR(__xludf.DUMMYFUNCTION("""COMPUTED_VALUE"""),339)</f>
        <v>339</v>
      </c>
      <c r="AC113" s="1">
        <f ca="1">IFERROR(__xludf.DUMMYFUNCTION("""COMPUTED_VALUE"""),163)</f>
        <v>163</v>
      </c>
      <c r="AD113" s="1">
        <f ca="1">IFERROR(__xludf.DUMMYFUNCTION("""COMPUTED_VALUE"""),108)</f>
        <v>108</v>
      </c>
      <c r="AE113" s="1">
        <f ca="1">IFERROR(__xludf.DUMMYFUNCTION("""COMPUTED_VALUE"""),421)</f>
        <v>421</v>
      </c>
      <c r="AF113" s="1">
        <f ca="1">IFERROR(__xludf.DUMMYFUNCTION("""COMPUTED_VALUE"""),649)</f>
        <v>649</v>
      </c>
    </row>
    <row r="114" spans="1:32" ht="12.5" x14ac:dyDescent="0.25">
      <c r="A114" s="1" t="str">
        <f ca="1">IFERROR(__xludf.DUMMYFUNCTION("""COMPUTED_VALUE"""),"George WashingtonNCAA")</f>
        <v>George WashingtonNCAA</v>
      </c>
      <c r="B114" s="1">
        <f ca="1">IFERROR(__xludf.DUMMYFUNCTION("""COMPUTED_VALUE"""),33)</f>
        <v>33</v>
      </c>
      <c r="C114" s="1">
        <f ca="1">IFERROR(__xludf.DUMMYFUNCTION("""COMPUTED_VALUE"""),24)</f>
        <v>24</v>
      </c>
      <c r="D114" s="1">
        <f ca="1">IFERROR(__xludf.DUMMYFUNCTION("""COMPUTED_VALUE"""),9)</f>
        <v>9</v>
      </c>
      <c r="E114" s="1">
        <f ca="1">IFERROR(__xludf.DUMMYFUNCTION("""COMPUTED_VALUE"""),0.727)</f>
        <v>0.72699999999999998</v>
      </c>
      <c r="F114" s="1">
        <f ca="1">IFERROR(__xludf.DUMMYFUNCTION("""COMPUTED_VALUE"""),10.6)</f>
        <v>10.6</v>
      </c>
      <c r="G114" s="1">
        <f ca="1">IFERROR(__xludf.DUMMYFUNCTION("""COMPUTED_VALUE"""),4.42)</f>
        <v>4.42</v>
      </c>
      <c r="H114" s="1">
        <f ca="1">IFERROR(__xludf.DUMMYFUNCTION("""COMPUTED_VALUE"""),11)</f>
        <v>11</v>
      </c>
      <c r="I114" s="1">
        <f ca="1">IFERROR(__xludf.DUMMYFUNCTION("""COMPUTED_VALUE"""),5)</f>
        <v>5</v>
      </c>
      <c r="J114" s="1">
        <f ca="1">IFERROR(__xludf.DUMMYFUNCTION("""COMPUTED_VALUE"""),14)</f>
        <v>14</v>
      </c>
      <c r="K114" s="1">
        <f ca="1">IFERROR(__xludf.DUMMYFUNCTION("""COMPUTED_VALUE"""),1)</f>
        <v>1</v>
      </c>
      <c r="L114" s="1">
        <f ca="1">IFERROR(__xludf.DUMMYFUNCTION("""COMPUTED_VALUE"""),6)</f>
        <v>6</v>
      </c>
      <c r="M114" s="1">
        <f ca="1">IFERROR(__xludf.DUMMYFUNCTION("""COMPUTED_VALUE"""),5)</f>
        <v>5</v>
      </c>
      <c r="N114" s="1">
        <f ca="1">IFERROR(__xludf.DUMMYFUNCTION("""COMPUTED_VALUE"""),2415)</f>
        <v>2415</v>
      </c>
      <c r="O114" s="1">
        <f ca="1">IFERROR(__xludf.DUMMYFUNCTION("""COMPUTED_VALUE"""),2211)</f>
        <v>2211</v>
      </c>
      <c r="P114" s="1">
        <f ca="1">IFERROR(__xludf.DUMMYFUNCTION("""COMPUTED_VALUE"""),1324)</f>
        <v>1324</v>
      </c>
      <c r="Q114" s="1">
        <f ca="1">IFERROR(__xludf.DUMMYFUNCTION("""COMPUTED_VALUE"""),839)</f>
        <v>839</v>
      </c>
      <c r="R114" s="1">
        <f ca="1">IFERROR(__xludf.DUMMYFUNCTION("""COMPUTED_VALUE"""),1812)</f>
        <v>1812</v>
      </c>
      <c r="S114" s="1">
        <f ca="1">IFERROR(__xludf.DUMMYFUNCTION("""COMPUTED_VALUE"""),0.463)</f>
        <v>0.46300000000000002</v>
      </c>
      <c r="T114" s="1">
        <f ca="1">IFERROR(__xludf.DUMMYFUNCTION("""COMPUTED_VALUE"""),187)</f>
        <v>187</v>
      </c>
      <c r="U114" s="1">
        <f ca="1">IFERROR(__xludf.DUMMYFUNCTION("""COMPUTED_VALUE"""),514)</f>
        <v>514</v>
      </c>
      <c r="V114" s="1">
        <f ca="1">IFERROR(__xludf.DUMMYFUNCTION("""COMPUTED_VALUE"""),0.364)</f>
        <v>0.36399999999999999</v>
      </c>
      <c r="W114" s="1">
        <f ca="1">IFERROR(__xludf.DUMMYFUNCTION("""COMPUTED_VALUE"""),550)</f>
        <v>550</v>
      </c>
      <c r="X114" s="1">
        <f ca="1">IFERROR(__xludf.DUMMYFUNCTION("""COMPUTED_VALUE"""),845)</f>
        <v>845</v>
      </c>
      <c r="Y114" s="1">
        <f ca="1">IFERROR(__xludf.DUMMYFUNCTION("""COMPUTED_VALUE"""),0.651)</f>
        <v>0.65100000000000002</v>
      </c>
      <c r="Z114" s="1">
        <f ca="1">IFERROR(__xludf.DUMMYFUNCTION("""COMPUTED_VALUE"""),394)</f>
        <v>394</v>
      </c>
      <c r="AA114" s="1">
        <f ca="1">IFERROR(__xludf.DUMMYFUNCTION("""COMPUTED_VALUE"""),1229)</f>
        <v>1229</v>
      </c>
      <c r="AB114" s="1">
        <f ca="1">IFERROR(__xludf.DUMMYFUNCTION("""COMPUTED_VALUE"""),461)</f>
        <v>461</v>
      </c>
      <c r="AC114" s="1">
        <f ca="1">IFERROR(__xludf.DUMMYFUNCTION("""COMPUTED_VALUE"""),235)</f>
        <v>235</v>
      </c>
      <c r="AD114" s="1">
        <f ca="1">IFERROR(__xludf.DUMMYFUNCTION("""COMPUTED_VALUE"""),135)</f>
        <v>135</v>
      </c>
      <c r="AE114" s="1">
        <f ca="1">IFERROR(__xludf.DUMMYFUNCTION("""COMPUTED_VALUE"""),428)</f>
        <v>428</v>
      </c>
      <c r="AF114" s="1">
        <f ca="1">IFERROR(__xludf.DUMMYFUNCTION("""COMPUTED_VALUE"""),595)</f>
        <v>595</v>
      </c>
    </row>
    <row r="115" spans="1:32" ht="12.5" x14ac:dyDescent="0.25">
      <c r="A115" s="1" t="str">
        <f ca="1">IFERROR(__xludf.DUMMYFUNCTION("""COMPUTED_VALUE"""),"Georgetown")</f>
        <v>Georgetown</v>
      </c>
      <c r="B115" s="1">
        <f ca="1">IFERROR(__xludf.DUMMYFUNCTION("""COMPUTED_VALUE"""),33)</f>
        <v>33</v>
      </c>
      <c r="C115" s="1">
        <f ca="1">IFERROR(__xludf.DUMMYFUNCTION("""COMPUTED_VALUE"""),18)</f>
        <v>18</v>
      </c>
      <c r="D115" s="1">
        <f ca="1">IFERROR(__xludf.DUMMYFUNCTION("""COMPUTED_VALUE"""),15)</f>
        <v>15</v>
      </c>
      <c r="E115" s="1">
        <f ca="1">IFERROR(__xludf.DUMMYFUNCTION("""COMPUTED_VALUE"""),0.545)</f>
        <v>0.54500000000000004</v>
      </c>
      <c r="F115" s="1">
        <f ca="1">IFERROR(__xludf.DUMMYFUNCTION("""COMPUTED_VALUE"""),10.96)</f>
        <v>10.96</v>
      </c>
      <c r="G115" s="1">
        <f ca="1">IFERROR(__xludf.DUMMYFUNCTION("""COMPUTED_VALUE"""),8.27)</f>
        <v>8.27</v>
      </c>
      <c r="H115" s="1">
        <f ca="1">IFERROR(__xludf.DUMMYFUNCTION("""COMPUTED_VALUE"""),8)</f>
        <v>8</v>
      </c>
      <c r="I115" s="1">
        <f ca="1">IFERROR(__xludf.DUMMYFUNCTION("""COMPUTED_VALUE"""),10)</f>
        <v>10</v>
      </c>
      <c r="J115" s="1">
        <f ca="1">IFERROR(__xludf.DUMMYFUNCTION("""COMPUTED_VALUE"""),13)</f>
        <v>13</v>
      </c>
      <c r="K115" s="1">
        <f ca="1">IFERROR(__xludf.DUMMYFUNCTION("""COMPUTED_VALUE"""),3)</f>
        <v>3</v>
      </c>
      <c r="L115" s="1">
        <f ca="1">IFERROR(__xludf.DUMMYFUNCTION("""COMPUTED_VALUE"""),2)</f>
        <v>2</v>
      </c>
      <c r="M115" s="1">
        <f ca="1">IFERROR(__xludf.DUMMYFUNCTION("""COMPUTED_VALUE"""),9)</f>
        <v>9</v>
      </c>
      <c r="N115" s="1">
        <f ca="1">IFERROR(__xludf.DUMMYFUNCTION("""COMPUTED_VALUE"""),2344)</f>
        <v>2344</v>
      </c>
      <c r="O115" s="1">
        <f ca="1">IFERROR(__xludf.DUMMYFUNCTION("""COMPUTED_VALUE"""),2255)</f>
        <v>2255</v>
      </c>
      <c r="P115" s="1">
        <f ca="1">IFERROR(__xludf.DUMMYFUNCTION("""COMPUTED_VALUE"""),1330)</f>
        <v>1330</v>
      </c>
      <c r="Q115" s="1">
        <f ca="1">IFERROR(__xludf.DUMMYFUNCTION("""COMPUTED_VALUE"""),801)</f>
        <v>801</v>
      </c>
      <c r="R115" s="1">
        <f ca="1">IFERROR(__xludf.DUMMYFUNCTION("""COMPUTED_VALUE"""),1743)</f>
        <v>1743</v>
      </c>
      <c r="S115" s="1">
        <f ca="1">IFERROR(__xludf.DUMMYFUNCTION("""COMPUTED_VALUE"""),0.46)</f>
        <v>0.46</v>
      </c>
      <c r="T115" s="1">
        <f ca="1">IFERROR(__xludf.DUMMYFUNCTION("""COMPUTED_VALUE"""),180)</f>
        <v>180</v>
      </c>
      <c r="U115" s="1">
        <f ca="1">IFERROR(__xludf.DUMMYFUNCTION("""COMPUTED_VALUE"""),543)</f>
        <v>543</v>
      </c>
      <c r="V115" s="1">
        <f ca="1">IFERROR(__xludf.DUMMYFUNCTION("""COMPUTED_VALUE"""),0.331)</f>
        <v>0.33100000000000002</v>
      </c>
      <c r="W115" s="1">
        <f ca="1">IFERROR(__xludf.DUMMYFUNCTION("""COMPUTED_VALUE"""),562)</f>
        <v>562</v>
      </c>
      <c r="X115" s="1">
        <f ca="1">IFERROR(__xludf.DUMMYFUNCTION("""COMPUTED_VALUE"""),780)</f>
        <v>780</v>
      </c>
      <c r="Y115" s="1">
        <f ca="1">IFERROR(__xludf.DUMMYFUNCTION("""COMPUTED_VALUE"""),0.721)</f>
        <v>0.72099999999999997</v>
      </c>
      <c r="Z115" s="1">
        <f ca="1">IFERROR(__xludf.DUMMYFUNCTION("""COMPUTED_VALUE"""),336)</f>
        <v>336</v>
      </c>
      <c r="AA115" s="1">
        <f ca="1">IFERROR(__xludf.DUMMYFUNCTION("""COMPUTED_VALUE"""),1101)</f>
        <v>1101</v>
      </c>
      <c r="AB115" s="1">
        <f ca="1">IFERROR(__xludf.DUMMYFUNCTION("""COMPUTED_VALUE"""),431)</f>
        <v>431</v>
      </c>
      <c r="AC115" s="1">
        <f ca="1">IFERROR(__xludf.DUMMYFUNCTION("""COMPUTED_VALUE"""),200)</f>
        <v>200</v>
      </c>
      <c r="AD115" s="1">
        <f ca="1">IFERROR(__xludf.DUMMYFUNCTION("""COMPUTED_VALUE"""),141)</f>
        <v>141</v>
      </c>
      <c r="AE115" s="1">
        <f ca="1">IFERROR(__xludf.DUMMYFUNCTION("""COMPUTED_VALUE"""),387)</f>
        <v>387</v>
      </c>
      <c r="AF115" s="1">
        <f ca="1">IFERROR(__xludf.DUMMYFUNCTION("""COMPUTED_VALUE"""),728)</f>
        <v>728</v>
      </c>
    </row>
    <row r="116" spans="1:32" ht="12.5" x14ac:dyDescent="0.25">
      <c r="A116" s="1" t="str">
        <f ca="1">IFERROR(__xludf.DUMMYFUNCTION("""COMPUTED_VALUE"""),"Georgia Southern")</f>
        <v>Georgia Southern</v>
      </c>
      <c r="B116" s="1">
        <f ca="1">IFERROR(__xludf.DUMMYFUNCTION("""COMPUTED_VALUE"""),34)</f>
        <v>34</v>
      </c>
      <c r="C116" s="1">
        <f ca="1">IFERROR(__xludf.DUMMYFUNCTION("""COMPUTED_VALUE"""),15)</f>
        <v>15</v>
      </c>
      <c r="D116" s="1">
        <f ca="1">IFERROR(__xludf.DUMMYFUNCTION("""COMPUTED_VALUE"""),19)</f>
        <v>19</v>
      </c>
      <c r="E116" s="1">
        <f ca="1">IFERROR(__xludf.DUMMYFUNCTION("""COMPUTED_VALUE"""),0.441)</f>
        <v>0.441</v>
      </c>
      <c r="F116" s="1">
        <f ca="1">IFERROR(__xludf.DUMMYFUNCTION("""COMPUTED_VALUE"""),-11.44)</f>
        <v>-11.44</v>
      </c>
      <c r="G116" s="1">
        <f ca="1">IFERROR(__xludf.DUMMYFUNCTION("""COMPUTED_VALUE"""),-8.6)</f>
        <v>-8.6</v>
      </c>
      <c r="H116" s="1">
        <f ca="1">IFERROR(__xludf.DUMMYFUNCTION("""COMPUTED_VALUE"""),6)</f>
        <v>6</v>
      </c>
      <c r="I116" s="1">
        <f ca="1">IFERROR(__xludf.DUMMYFUNCTION("""COMPUTED_VALUE"""),10)</f>
        <v>10</v>
      </c>
      <c r="J116" s="1">
        <f ca="1">IFERROR(__xludf.DUMMYFUNCTION("""COMPUTED_VALUE"""),7)</f>
        <v>7</v>
      </c>
      <c r="K116" s="1">
        <f ca="1">IFERROR(__xludf.DUMMYFUNCTION("""COMPUTED_VALUE"""),6)</f>
        <v>6</v>
      </c>
      <c r="L116" s="1">
        <f ca="1">IFERROR(__xludf.DUMMYFUNCTION("""COMPUTED_VALUE"""),5)</f>
        <v>5</v>
      </c>
      <c r="M116" s="1">
        <f ca="1">IFERROR(__xludf.DUMMYFUNCTION("""COMPUTED_VALUE"""),11)</f>
        <v>11</v>
      </c>
      <c r="N116" s="1">
        <f ca="1">IFERROR(__xludf.DUMMYFUNCTION("""COMPUTED_VALUE"""),2406)</f>
        <v>2406</v>
      </c>
      <c r="O116" s="1">
        <f ca="1">IFERROR(__xludf.DUMMYFUNCTION("""COMPUTED_VALUE"""),2395)</f>
        <v>2395</v>
      </c>
      <c r="P116" s="1">
        <f ca="1">IFERROR(__xludf.DUMMYFUNCTION("""COMPUTED_VALUE"""),1375)</f>
        <v>1375</v>
      </c>
      <c r="Q116" s="1">
        <f ca="1">IFERROR(__xludf.DUMMYFUNCTION("""COMPUTED_VALUE"""),840)</f>
        <v>840</v>
      </c>
      <c r="R116" s="1">
        <f ca="1">IFERROR(__xludf.DUMMYFUNCTION("""COMPUTED_VALUE"""),1927)</f>
        <v>1927</v>
      </c>
      <c r="S116" s="1">
        <f ca="1">IFERROR(__xludf.DUMMYFUNCTION("""COMPUTED_VALUE"""),0.436)</f>
        <v>0.436</v>
      </c>
      <c r="T116" s="1">
        <f ca="1">IFERROR(__xludf.DUMMYFUNCTION("""COMPUTED_VALUE"""),242)</f>
        <v>242</v>
      </c>
      <c r="U116" s="1">
        <f ca="1">IFERROR(__xludf.DUMMYFUNCTION("""COMPUTED_VALUE"""),716)</f>
        <v>716</v>
      </c>
      <c r="V116" s="1">
        <f ca="1">IFERROR(__xludf.DUMMYFUNCTION("""COMPUTED_VALUE"""),0.338)</f>
        <v>0.33800000000000002</v>
      </c>
      <c r="W116" s="1">
        <f ca="1">IFERROR(__xludf.DUMMYFUNCTION("""COMPUTED_VALUE"""),484)</f>
        <v>484</v>
      </c>
      <c r="X116" s="1">
        <f ca="1">IFERROR(__xludf.DUMMYFUNCTION("""COMPUTED_VALUE"""),731)</f>
        <v>731</v>
      </c>
      <c r="Y116" s="1">
        <f ca="1">IFERROR(__xludf.DUMMYFUNCTION("""COMPUTED_VALUE"""),0.662)</f>
        <v>0.66200000000000003</v>
      </c>
      <c r="Z116" s="1">
        <f ca="1">IFERROR(__xludf.DUMMYFUNCTION("""COMPUTED_VALUE"""),372)</f>
        <v>372</v>
      </c>
      <c r="AA116" s="1">
        <f ca="1">IFERROR(__xludf.DUMMYFUNCTION("""COMPUTED_VALUE"""),1197)</f>
        <v>1197</v>
      </c>
      <c r="AB116" s="1">
        <f ca="1">IFERROR(__xludf.DUMMYFUNCTION("""COMPUTED_VALUE"""),327)</f>
        <v>327</v>
      </c>
      <c r="AC116" s="1">
        <f ca="1">IFERROR(__xludf.DUMMYFUNCTION("""COMPUTED_VALUE"""),233)</f>
        <v>233</v>
      </c>
      <c r="AD116" s="1">
        <f ca="1">IFERROR(__xludf.DUMMYFUNCTION("""COMPUTED_VALUE"""),56)</f>
        <v>56</v>
      </c>
      <c r="AE116" s="1">
        <f ca="1">IFERROR(__xludf.DUMMYFUNCTION("""COMPUTED_VALUE"""),405)</f>
        <v>405</v>
      </c>
      <c r="AF116" s="1">
        <f ca="1">IFERROR(__xludf.DUMMYFUNCTION("""COMPUTED_VALUE"""),589)</f>
        <v>589</v>
      </c>
    </row>
    <row r="117" spans="1:32" ht="12.5" x14ac:dyDescent="0.25">
      <c r="A117" s="1" t="str">
        <f ca="1">IFERROR(__xludf.DUMMYFUNCTION("""COMPUTED_VALUE"""),"Georgia State")</f>
        <v>Georgia State</v>
      </c>
      <c r="B117" s="1">
        <f ca="1">IFERROR(__xludf.DUMMYFUNCTION("""COMPUTED_VALUE"""),34)</f>
        <v>34</v>
      </c>
      <c r="C117" s="1">
        <f ca="1">IFERROR(__xludf.DUMMYFUNCTION("""COMPUTED_VALUE"""),25)</f>
        <v>25</v>
      </c>
      <c r="D117" s="1">
        <f ca="1">IFERROR(__xludf.DUMMYFUNCTION("""COMPUTED_VALUE"""),9)</f>
        <v>9</v>
      </c>
      <c r="E117" s="1">
        <f ca="1">IFERROR(__xludf.DUMMYFUNCTION("""COMPUTED_VALUE"""),0.735)</f>
        <v>0.73499999999999999</v>
      </c>
      <c r="F117" s="1">
        <f ca="1">IFERROR(__xludf.DUMMYFUNCTION("""COMPUTED_VALUE"""),6.04)</f>
        <v>6.04</v>
      </c>
      <c r="G117" s="1">
        <f ca="1">IFERROR(__xludf.DUMMYFUNCTION("""COMPUTED_VALUE"""),-2.56)</f>
        <v>-2.56</v>
      </c>
      <c r="H117" s="1">
        <f ca="1">IFERROR(__xludf.DUMMYFUNCTION("""COMPUTED_VALUE"""),17)</f>
        <v>17</v>
      </c>
      <c r="I117" s="1">
        <f ca="1">IFERROR(__xludf.DUMMYFUNCTION("""COMPUTED_VALUE"""),1)</f>
        <v>1</v>
      </c>
      <c r="J117" s="1">
        <f ca="1">IFERROR(__xludf.DUMMYFUNCTION("""COMPUTED_VALUE"""),13)</f>
        <v>13</v>
      </c>
      <c r="K117" s="1">
        <f ca="1">IFERROR(__xludf.DUMMYFUNCTION("""COMPUTED_VALUE"""),0)</f>
        <v>0</v>
      </c>
      <c r="L117" s="1">
        <f ca="1">IFERROR(__xludf.DUMMYFUNCTION("""COMPUTED_VALUE"""),10)</f>
        <v>10</v>
      </c>
      <c r="M117" s="1">
        <f ca="1">IFERROR(__xludf.DUMMYFUNCTION("""COMPUTED_VALUE"""),7)</f>
        <v>7</v>
      </c>
      <c r="N117" s="1">
        <f ca="1">IFERROR(__xludf.DUMMYFUNCTION("""COMPUTED_VALUE"""),2641)</f>
        <v>2641</v>
      </c>
      <c r="O117" s="1">
        <f ca="1">IFERROR(__xludf.DUMMYFUNCTION("""COMPUTED_VALUE"""),2330)</f>
        <v>2330</v>
      </c>
      <c r="P117" s="1">
        <f ca="1">IFERROR(__xludf.DUMMYFUNCTION("""COMPUTED_VALUE"""),1380)</f>
        <v>1380</v>
      </c>
      <c r="Q117" s="1">
        <f ca="1">IFERROR(__xludf.DUMMYFUNCTION("""COMPUTED_VALUE"""),900)</f>
        <v>900</v>
      </c>
      <c r="R117" s="1">
        <f ca="1">IFERROR(__xludf.DUMMYFUNCTION("""COMPUTED_VALUE"""),1923)</f>
        <v>1923</v>
      </c>
      <c r="S117" s="1">
        <f ca="1">IFERROR(__xludf.DUMMYFUNCTION("""COMPUTED_VALUE"""),0.468)</f>
        <v>0.46800000000000003</v>
      </c>
      <c r="T117" s="1">
        <f ca="1">IFERROR(__xludf.DUMMYFUNCTION("""COMPUTED_VALUE"""),252)</f>
        <v>252</v>
      </c>
      <c r="U117" s="1">
        <f ca="1">IFERROR(__xludf.DUMMYFUNCTION("""COMPUTED_VALUE"""),672)</f>
        <v>672</v>
      </c>
      <c r="V117" s="1">
        <f ca="1">IFERROR(__xludf.DUMMYFUNCTION("""COMPUTED_VALUE"""),0.375)</f>
        <v>0.375</v>
      </c>
      <c r="W117" s="1">
        <f ca="1">IFERROR(__xludf.DUMMYFUNCTION("""COMPUTED_VALUE"""),589)</f>
        <v>589</v>
      </c>
      <c r="X117" s="1">
        <f ca="1">IFERROR(__xludf.DUMMYFUNCTION("""COMPUTED_VALUE"""),757)</f>
        <v>757</v>
      </c>
      <c r="Y117" s="1">
        <f ca="1">IFERROR(__xludf.DUMMYFUNCTION("""COMPUTED_VALUE"""),0.778)</f>
        <v>0.77800000000000002</v>
      </c>
      <c r="Z117" s="1">
        <f ca="1">IFERROR(__xludf.DUMMYFUNCTION("""COMPUTED_VALUE"""),276)</f>
        <v>276</v>
      </c>
      <c r="AA117" s="1">
        <f ca="1">IFERROR(__xludf.DUMMYFUNCTION("""COMPUTED_VALUE"""),1074)</f>
        <v>1074</v>
      </c>
      <c r="AB117" s="1">
        <f ca="1">IFERROR(__xludf.DUMMYFUNCTION("""COMPUTED_VALUE"""),451)</f>
        <v>451</v>
      </c>
      <c r="AC117" s="1">
        <f ca="1">IFERROR(__xludf.DUMMYFUNCTION("""COMPUTED_VALUE"""),260)</f>
        <v>260</v>
      </c>
      <c r="AD117" s="1">
        <f ca="1">IFERROR(__xludf.DUMMYFUNCTION("""COMPUTED_VALUE"""),167)</f>
        <v>167</v>
      </c>
      <c r="AE117" s="1">
        <f ca="1">IFERROR(__xludf.DUMMYFUNCTION("""COMPUTED_VALUE"""),268)</f>
        <v>268</v>
      </c>
      <c r="AF117" s="1">
        <f ca="1">IFERROR(__xludf.DUMMYFUNCTION("""COMPUTED_VALUE"""),588)</f>
        <v>588</v>
      </c>
    </row>
    <row r="118" spans="1:32" ht="12.5" x14ac:dyDescent="0.25">
      <c r="A118" s="1" t="str">
        <f ca="1">IFERROR(__xludf.DUMMYFUNCTION("""COMPUTED_VALUE"""),"Georgia Tech")</f>
        <v>Georgia Tech</v>
      </c>
      <c r="B118" s="1">
        <f ca="1">IFERROR(__xludf.DUMMYFUNCTION("""COMPUTED_VALUE"""),33)</f>
        <v>33</v>
      </c>
      <c r="C118" s="1">
        <f ca="1">IFERROR(__xludf.DUMMYFUNCTION("""COMPUTED_VALUE"""),16)</f>
        <v>16</v>
      </c>
      <c r="D118" s="1">
        <f ca="1">IFERROR(__xludf.DUMMYFUNCTION("""COMPUTED_VALUE"""),17)</f>
        <v>17</v>
      </c>
      <c r="E118" s="1">
        <f ca="1">IFERROR(__xludf.DUMMYFUNCTION("""COMPUTED_VALUE"""),0.485)</f>
        <v>0.48499999999999999</v>
      </c>
      <c r="F118" s="1">
        <f ca="1">IFERROR(__xludf.DUMMYFUNCTION("""COMPUTED_VALUE"""),5.12)</f>
        <v>5.12</v>
      </c>
      <c r="G118" s="1">
        <f ca="1">IFERROR(__xludf.DUMMYFUNCTION("""COMPUTED_VALUE"""),5.24)</f>
        <v>5.24</v>
      </c>
      <c r="H118" s="1">
        <f ca="1">IFERROR(__xludf.DUMMYFUNCTION("""COMPUTED_VALUE"""),6)</f>
        <v>6</v>
      </c>
      <c r="I118" s="1">
        <f ca="1">IFERROR(__xludf.DUMMYFUNCTION("""COMPUTED_VALUE"""),12)</f>
        <v>12</v>
      </c>
      <c r="J118" s="1">
        <f ca="1">IFERROR(__xludf.DUMMYFUNCTION("""COMPUTED_VALUE"""),10)</f>
        <v>10</v>
      </c>
      <c r="K118" s="1">
        <f ca="1">IFERROR(__xludf.DUMMYFUNCTION("""COMPUTED_VALUE"""),7)</f>
        <v>7</v>
      </c>
      <c r="L118" s="1">
        <f ca="1">IFERROR(__xludf.DUMMYFUNCTION("""COMPUTED_VALUE"""),5)</f>
        <v>5</v>
      </c>
      <c r="M118" s="1">
        <f ca="1">IFERROR(__xludf.DUMMYFUNCTION("""COMPUTED_VALUE"""),7)</f>
        <v>7</v>
      </c>
      <c r="N118" s="1">
        <f ca="1">IFERROR(__xludf.DUMMYFUNCTION("""COMPUTED_VALUE"""),2200)</f>
        <v>2200</v>
      </c>
      <c r="O118" s="1">
        <f ca="1">IFERROR(__xludf.DUMMYFUNCTION("""COMPUTED_VALUE"""),2204)</f>
        <v>2204</v>
      </c>
      <c r="P118" s="1">
        <f ca="1">IFERROR(__xludf.DUMMYFUNCTION("""COMPUTED_VALUE"""),1335)</f>
        <v>1335</v>
      </c>
      <c r="Q118" s="1">
        <f ca="1">IFERROR(__xludf.DUMMYFUNCTION("""COMPUTED_VALUE"""),796)</f>
        <v>796</v>
      </c>
      <c r="R118" s="1">
        <f ca="1">IFERROR(__xludf.DUMMYFUNCTION("""COMPUTED_VALUE"""),1847)</f>
        <v>1847</v>
      </c>
      <c r="S118" s="1">
        <f ca="1">IFERROR(__xludf.DUMMYFUNCTION("""COMPUTED_VALUE"""),0.431)</f>
        <v>0.43099999999999999</v>
      </c>
      <c r="T118" s="1">
        <f ca="1">IFERROR(__xludf.DUMMYFUNCTION("""COMPUTED_VALUE"""),173)</f>
        <v>173</v>
      </c>
      <c r="U118" s="1">
        <f ca="1">IFERROR(__xludf.DUMMYFUNCTION("""COMPUTED_VALUE"""),549)</f>
        <v>549</v>
      </c>
      <c r="V118" s="1">
        <f ca="1">IFERROR(__xludf.DUMMYFUNCTION("""COMPUTED_VALUE"""),0.315)</f>
        <v>0.315</v>
      </c>
      <c r="W118" s="1">
        <f ca="1">IFERROR(__xludf.DUMMYFUNCTION("""COMPUTED_VALUE"""),435)</f>
        <v>435</v>
      </c>
      <c r="X118" s="1">
        <f ca="1">IFERROR(__xludf.DUMMYFUNCTION("""COMPUTED_VALUE"""),636)</f>
        <v>636</v>
      </c>
      <c r="Y118" s="1">
        <f ca="1">IFERROR(__xludf.DUMMYFUNCTION("""COMPUTED_VALUE"""),0.684)</f>
        <v>0.68400000000000005</v>
      </c>
      <c r="Z118" s="1">
        <f ca="1">IFERROR(__xludf.DUMMYFUNCTION("""COMPUTED_VALUE"""),373)</f>
        <v>373</v>
      </c>
      <c r="AA118" s="1">
        <f ca="1">IFERROR(__xludf.DUMMYFUNCTION("""COMPUTED_VALUE"""),1187)</f>
        <v>1187</v>
      </c>
      <c r="AB118" s="1">
        <f ca="1">IFERROR(__xludf.DUMMYFUNCTION("""COMPUTED_VALUE"""),434)</f>
        <v>434</v>
      </c>
      <c r="AC118" s="1">
        <f ca="1">IFERROR(__xludf.DUMMYFUNCTION("""COMPUTED_VALUE"""),171)</f>
        <v>171</v>
      </c>
      <c r="AD118" s="1">
        <f ca="1">IFERROR(__xludf.DUMMYFUNCTION("""COMPUTED_VALUE"""),140)</f>
        <v>140</v>
      </c>
      <c r="AE118" s="1">
        <f ca="1">IFERROR(__xludf.DUMMYFUNCTION("""COMPUTED_VALUE"""),399)</f>
        <v>399</v>
      </c>
      <c r="AF118" s="1">
        <f ca="1">IFERROR(__xludf.DUMMYFUNCTION("""COMPUTED_VALUE"""),586)</f>
        <v>586</v>
      </c>
    </row>
    <row r="119" spans="1:32" ht="12.5" x14ac:dyDescent="0.25">
      <c r="A119" s="1" t="str">
        <f ca="1">IFERROR(__xludf.DUMMYFUNCTION("""COMPUTED_VALUE"""),"Georgia")</f>
        <v>Georgia</v>
      </c>
      <c r="B119" s="1">
        <f ca="1">IFERROR(__xludf.DUMMYFUNCTION("""COMPUTED_VALUE"""),34)</f>
        <v>34</v>
      </c>
      <c r="C119" s="1">
        <f ca="1">IFERROR(__xludf.DUMMYFUNCTION("""COMPUTED_VALUE"""),20)</f>
        <v>20</v>
      </c>
      <c r="D119" s="1">
        <f ca="1">IFERROR(__xludf.DUMMYFUNCTION("""COMPUTED_VALUE"""),14)</f>
        <v>14</v>
      </c>
      <c r="E119" s="1">
        <f ca="1">IFERROR(__xludf.DUMMYFUNCTION("""COMPUTED_VALUE"""),0.588)</f>
        <v>0.58799999999999997</v>
      </c>
      <c r="F119" s="1">
        <f ca="1">IFERROR(__xludf.DUMMYFUNCTION("""COMPUTED_VALUE"""),7.9)</f>
        <v>7.9</v>
      </c>
      <c r="G119" s="1">
        <f ca="1">IFERROR(__xludf.DUMMYFUNCTION("""COMPUTED_VALUE"""),5.78)</f>
        <v>5.78</v>
      </c>
      <c r="H119" s="1">
        <f ca="1">IFERROR(__xludf.DUMMYFUNCTION("""COMPUTED_VALUE"""),12)</f>
        <v>12</v>
      </c>
      <c r="I119" s="1">
        <f ca="1">IFERROR(__xludf.DUMMYFUNCTION("""COMPUTED_VALUE"""),6)</f>
        <v>6</v>
      </c>
      <c r="J119" s="1">
        <f ca="1">IFERROR(__xludf.DUMMYFUNCTION("""COMPUTED_VALUE"""),15)</f>
        <v>15</v>
      </c>
      <c r="K119" s="1">
        <f ca="1">IFERROR(__xludf.DUMMYFUNCTION("""COMPUTED_VALUE"""),3)</f>
        <v>3</v>
      </c>
      <c r="L119" s="1">
        <f ca="1">IFERROR(__xludf.DUMMYFUNCTION("""COMPUTED_VALUE"""),4)</f>
        <v>4</v>
      </c>
      <c r="M119" s="1">
        <f ca="1">IFERROR(__xludf.DUMMYFUNCTION("""COMPUTED_VALUE"""),7)</f>
        <v>7</v>
      </c>
      <c r="N119" s="1">
        <f ca="1">IFERROR(__xludf.DUMMYFUNCTION("""COMPUTED_VALUE"""),2343)</f>
        <v>2343</v>
      </c>
      <c r="O119" s="1">
        <f ca="1">IFERROR(__xludf.DUMMYFUNCTION("""COMPUTED_VALUE"""),2271)</f>
        <v>2271</v>
      </c>
      <c r="P119" s="1">
        <f ca="1">IFERROR(__xludf.DUMMYFUNCTION("""COMPUTED_VALUE"""),1369)</f>
        <v>1369</v>
      </c>
      <c r="Q119" s="1">
        <f ca="1">IFERROR(__xludf.DUMMYFUNCTION("""COMPUTED_VALUE"""),767)</f>
        <v>767</v>
      </c>
      <c r="R119" s="1">
        <f ca="1">IFERROR(__xludf.DUMMYFUNCTION("""COMPUTED_VALUE"""),1740)</f>
        <v>1740</v>
      </c>
      <c r="S119" s="1">
        <f ca="1">IFERROR(__xludf.DUMMYFUNCTION("""COMPUTED_VALUE"""),0.441)</f>
        <v>0.441</v>
      </c>
      <c r="T119" s="1">
        <f ca="1">IFERROR(__xludf.DUMMYFUNCTION("""COMPUTED_VALUE"""),167)</f>
        <v>167</v>
      </c>
      <c r="U119" s="1">
        <f ca="1">IFERROR(__xludf.DUMMYFUNCTION("""COMPUTED_VALUE"""),478)</f>
        <v>478</v>
      </c>
      <c r="V119" s="1">
        <f ca="1">IFERROR(__xludf.DUMMYFUNCTION("""COMPUTED_VALUE"""),0.349)</f>
        <v>0.34899999999999998</v>
      </c>
      <c r="W119" s="1">
        <f ca="1">IFERROR(__xludf.DUMMYFUNCTION("""COMPUTED_VALUE"""),642)</f>
        <v>642</v>
      </c>
      <c r="X119" s="1">
        <f ca="1">IFERROR(__xludf.DUMMYFUNCTION("""COMPUTED_VALUE"""),941)</f>
        <v>941</v>
      </c>
      <c r="Y119" s="1">
        <f ca="1">IFERROR(__xludf.DUMMYFUNCTION("""COMPUTED_VALUE"""),0.682)</f>
        <v>0.68200000000000005</v>
      </c>
      <c r="Z119" s="1">
        <f ca="1">IFERROR(__xludf.DUMMYFUNCTION("""COMPUTED_VALUE"""),401)</f>
        <v>401</v>
      </c>
      <c r="AA119" s="1">
        <f ca="1">IFERROR(__xludf.DUMMYFUNCTION("""COMPUTED_VALUE"""),1259)</f>
        <v>1259</v>
      </c>
      <c r="AB119" s="1">
        <f ca="1">IFERROR(__xludf.DUMMYFUNCTION("""COMPUTED_VALUE"""),341)</f>
        <v>341</v>
      </c>
      <c r="AC119" s="1">
        <f ca="1">IFERROR(__xludf.DUMMYFUNCTION("""COMPUTED_VALUE"""),173)</f>
        <v>173</v>
      </c>
      <c r="AD119" s="1">
        <f ca="1">IFERROR(__xludf.DUMMYFUNCTION("""COMPUTED_VALUE"""),158)</f>
        <v>158</v>
      </c>
      <c r="AE119" s="1">
        <f ca="1">IFERROR(__xludf.DUMMYFUNCTION("""COMPUTED_VALUE"""),446)</f>
        <v>446</v>
      </c>
      <c r="AF119" s="1">
        <f ca="1">IFERROR(__xludf.DUMMYFUNCTION("""COMPUTED_VALUE"""),640)</f>
        <v>640</v>
      </c>
    </row>
    <row r="120" spans="1:32" ht="12.5" x14ac:dyDescent="0.25">
      <c r="A120" s="1" t="str">
        <f ca="1">IFERROR(__xludf.DUMMYFUNCTION("""COMPUTED_VALUE"""),"GonzagaNCAA")</f>
        <v>GonzagaNCAA</v>
      </c>
      <c r="B120" s="1">
        <f ca="1">IFERROR(__xludf.DUMMYFUNCTION("""COMPUTED_VALUE"""),36)</f>
        <v>36</v>
      </c>
      <c r="C120" s="1">
        <f ca="1">IFERROR(__xludf.DUMMYFUNCTION("""COMPUTED_VALUE"""),29)</f>
        <v>29</v>
      </c>
      <c r="D120" s="1">
        <f ca="1">IFERROR(__xludf.DUMMYFUNCTION("""COMPUTED_VALUE"""),7)</f>
        <v>7</v>
      </c>
      <c r="E120" s="1">
        <f ca="1">IFERROR(__xludf.DUMMYFUNCTION("""COMPUTED_VALUE"""),0.806)</f>
        <v>0.80600000000000005</v>
      </c>
      <c r="F120" s="1">
        <f ca="1">IFERROR(__xludf.DUMMYFUNCTION("""COMPUTED_VALUE"""),15.56)</f>
        <v>15.56</v>
      </c>
      <c r="G120" s="1">
        <f ca="1">IFERROR(__xludf.DUMMYFUNCTION("""COMPUTED_VALUE"""),5.36)</f>
        <v>5.36</v>
      </c>
      <c r="H120" s="1">
        <f ca="1">IFERROR(__xludf.DUMMYFUNCTION("""COMPUTED_VALUE"""),15)</f>
        <v>15</v>
      </c>
      <c r="I120" s="1">
        <f ca="1">IFERROR(__xludf.DUMMYFUNCTION("""COMPUTED_VALUE"""),3)</f>
        <v>3</v>
      </c>
      <c r="J120" s="1">
        <f ca="1">IFERROR(__xludf.DUMMYFUNCTION("""COMPUTED_VALUE"""),15)</f>
        <v>15</v>
      </c>
      <c r="K120" s="1">
        <f ca="1">IFERROR(__xludf.DUMMYFUNCTION("""COMPUTED_VALUE"""),0)</f>
        <v>0</v>
      </c>
      <c r="L120" s="1">
        <f ca="1">IFERROR(__xludf.DUMMYFUNCTION("""COMPUTED_VALUE"""),8)</f>
        <v>8</v>
      </c>
      <c r="M120" s="1">
        <f ca="1">IFERROR(__xludf.DUMMYFUNCTION("""COMPUTED_VALUE"""),4)</f>
        <v>4</v>
      </c>
      <c r="N120" s="1">
        <f ca="1">IFERROR(__xludf.DUMMYFUNCTION("""COMPUTED_VALUE"""),2761)</f>
        <v>2761</v>
      </c>
      <c r="O120" s="1">
        <f ca="1">IFERROR(__xludf.DUMMYFUNCTION("""COMPUTED_VALUE"""),2372)</f>
        <v>2372</v>
      </c>
      <c r="P120" s="1">
        <f ca="1">IFERROR(__xludf.DUMMYFUNCTION("""COMPUTED_VALUE"""),1421)</f>
        <v>1421</v>
      </c>
      <c r="Q120" s="1">
        <f ca="1">IFERROR(__xludf.DUMMYFUNCTION("""COMPUTED_VALUE"""),972)</f>
        <v>972</v>
      </c>
      <c r="R120" s="1">
        <f ca="1">IFERROR(__xludf.DUMMYFUNCTION("""COMPUTED_VALUE"""),1963)</f>
        <v>1963</v>
      </c>
      <c r="S120" s="1">
        <f ca="1">IFERROR(__xludf.DUMMYFUNCTION("""COMPUTED_VALUE"""),0.495)</f>
        <v>0.495</v>
      </c>
      <c r="T120" s="1">
        <f ca="1">IFERROR(__xludf.DUMMYFUNCTION("""COMPUTED_VALUE"""),255)</f>
        <v>255</v>
      </c>
      <c r="U120" s="1">
        <f ca="1">IFERROR(__xludf.DUMMYFUNCTION("""COMPUTED_VALUE"""),643)</f>
        <v>643</v>
      </c>
      <c r="V120" s="1">
        <f ca="1">IFERROR(__xludf.DUMMYFUNCTION("""COMPUTED_VALUE"""),0.397)</f>
        <v>0.39700000000000002</v>
      </c>
      <c r="W120" s="1">
        <f ca="1">IFERROR(__xludf.DUMMYFUNCTION("""COMPUTED_VALUE"""),562)</f>
        <v>562</v>
      </c>
      <c r="X120" s="1">
        <f ca="1">IFERROR(__xludf.DUMMYFUNCTION("""COMPUTED_VALUE"""),793)</f>
        <v>793</v>
      </c>
      <c r="Y120" s="1">
        <f ca="1">IFERROR(__xludf.DUMMYFUNCTION("""COMPUTED_VALUE"""),0.709)</f>
        <v>0.70899999999999996</v>
      </c>
      <c r="Z120" s="1">
        <f ca="1">IFERROR(__xludf.DUMMYFUNCTION("""COMPUTED_VALUE"""),343)</f>
        <v>343</v>
      </c>
      <c r="AA120" s="1">
        <f ca="1">IFERROR(__xludf.DUMMYFUNCTION("""COMPUTED_VALUE"""),1291)</f>
        <v>1291</v>
      </c>
      <c r="AB120" s="1">
        <f ca="1">IFERROR(__xludf.DUMMYFUNCTION("""COMPUTED_VALUE"""),525)</f>
        <v>525</v>
      </c>
      <c r="AC120" s="1">
        <f ca="1">IFERROR(__xludf.DUMMYFUNCTION("""COMPUTED_VALUE"""),235)</f>
        <v>235</v>
      </c>
      <c r="AD120" s="1">
        <f ca="1">IFERROR(__xludf.DUMMYFUNCTION("""COMPUTED_VALUE"""),142)</f>
        <v>142</v>
      </c>
      <c r="AE120" s="1">
        <f ca="1">IFERROR(__xludf.DUMMYFUNCTION("""COMPUTED_VALUE"""),419)</f>
        <v>419</v>
      </c>
      <c r="AF120" s="1">
        <f ca="1">IFERROR(__xludf.DUMMYFUNCTION("""COMPUTED_VALUE"""),659)</f>
        <v>659</v>
      </c>
    </row>
    <row r="121" spans="1:32" ht="12.5" x14ac:dyDescent="0.25">
      <c r="A121" s="1" t="str">
        <f ca="1">IFERROR(__xludf.DUMMYFUNCTION("""COMPUTED_VALUE"""),"Grambling")</f>
        <v>Grambling</v>
      </c>
      <c r="B121" s="1">
        <f ca="1">IFERROR(__xludf.DUMMYFUNCTION("""COMPUTED_VALUE"""),29)</f>
        <v>29</v>
      </c>
      <c r="C121" s="1">
        <f ca="1">IFERROR(__xludf.DUMMYFUNCTION("""COMPUTED_VALUE"""),5)</f>
        <v>5</v>
      </c>
      <c r="D121" s="1">
        <f ca="1">IFERROR(__xludf.DUMMYFUNCTION("""COMPUTED_VALUE"""),24)</f>
        <v>24</v>
      </c>
      <c r="E121" s="1">
        <f ca="1">IFERROR(__xludf.DUMMYFUNCTION("""COMPUTED_VALUE"""),0.172)</f>
        <v>0.17199999999999999</v>
      </c>
      <c r="F121" s="1">
        <f ca="1">IFERROR(__xludf.DUMMYFUNCTION("""COMPUTED_VALUE"""),-24.61)</f>
        <v>-24.61</v>
      </c>
      <c r="G121" s="1">
        <f ca="1">IFERROR(__xludf.DUMMYFUNCTION("""COMPUTED_VALUE"""),-9.05)</f>
        <v>-9.0500000000000007</v>
      </c>
      <c r="H121" s="1">
        <f ca="1">IFERROR(__xludf.DUMMYFUNCTION("""COMPUTED_VALUE"""),3)</f>
        <v>3</v>
      </c>
      <c r="I121" s="1">
        <f ca="1">IFERROR(__xludf.DUMMYFUNCTION("""COMPUTED_VALUE"""),15)</f>
        <v>15</v>
      </c>
      <c r="J121" s="1">
        <f ca="1">IFERROR(__xludf.DUMMYFUNCTION("""COMPUTED_VALUE"""),3)</f>
        <v>3</v>
      </c>
      <c r="K121" s="1">
        <f ca="1">IFERROR(__xludf.DUMMYFUNCTION("""COMPUTED_VALUE"""),8)</f>
        <v>8</v>
      </c>
      <c r="L121" s="1">
        <f ca="1">IFERROR(__xludf.DUMMYFUNCTION("""COMPUTED_VALUE"""),1)</f>
        <v>1</v>
      </c>
      <c r="M121" s="1">
        <f ca="1">IFERROR(__xludf.DUMMYFUNCTION("""COMPUTED_VALUE"""),15)</f>
        <v>15</v>
      </c>
      <c r="N121" s="1">
        <f ca="1">IFERROR(__xludf.DUMMYFUNCTION("""COMPUTED_VALUE"""),1903)</f>
        <v>1903</v>
      </c>
      <c r="O121" s="1">
        <f ca="1">IFERROR(__xludf.DUMMYFUNCTION("""COMPUTED_VALUE"""),2316)</f>
        <v>2316</v>
      </c>
      <c r="P121" s="1">
        <f ca="1">IFERROR(__xludf.DUMMYFUNCTION("""COMPUTED_VALUE"""),1160)</f>
        <v>1160</v>
      </c>
      <c r="Q121" s="1">
        <f ca="1">IFERROR(__xludf.DUMMYFUNCTION("""COMPUTED_VALUE"""),647)</f>
        <v>647</v>
      </c>
      <c r="R121" s="1">
        <f ca="1">IFERROR(__xludf.DUMMYFUNCTION("""COMPUTED_VALUE"""),1576)</f>
        <v>1576</v>
      </c>
      <c r="S121" s="1">
        <f ca="1">IFERROR(__xludf.DUMMYFUNCTION("""COMPUTED_VALUE"""),0.411)</f>
        <v>0.41099999999999998</v>
      </c>
      <c r="T121" s="1">
        <f ca="1">IFERROR(__xludf.DUMMYFUNCTION("""COMPUTED_VALUE"""),179)</f>
        <v>179</v>
      </c>
      <c r="U121" s="1">
        <f ca="1">IFERROR(__xludf.DUMMYFUNCTION("""COMPUTED_VALUE"""),554)</f>
        <v>554</v>
      </c>
      <c r="V121" s="1">
        <f ca="1">IFERROR(__xludf.DUMMYFUNCTION("""COMPUTED_VALUE"""),0.323)</f>
        <v>0.32300000000000001</v>
      </c>
      <c r="W121" s="1">
        <f ca="1">IFERROR(__xludf.DUMMYFUNCTION("""COMPUTED_VALUE"""),430)</f>
        <v>430</v>
      </c>
      <c r="X121" s="1">
        <f ca="1">IFERROR(__xludf.DUMMYFUNCTION("""COMPUTED_VALUE"""),645)</f>
        <v>645</v>
      </c>
      <c r="Y121" s="1">
        <f ca="1">IFERROR(__xludf.DUMMYFUNCTION("""COMPUTED_VALUE"""),0.667)</f>
        <v>0.66700000000000004</v>
      </c>
      <c r="Z121" s="1">
        <f ca="1">IFERROR(__xludf.DUMMYFUNCTION("""COMPUTED_VALUE"""),318)</f>
        <v>318</v>
      </c>
      <c r="AA121" s="1">
        <f ca="1">IFERROR(__xludf.DUMMYFUNCTION("""COMPUTED_VALUE"""),904)</f>
        <v>904</v>
      </c>
      <c r="AB121" s="1">
        <f ca="1">IFERROR(__xludf.DUMMYFUNCTION("""COMPUTED_VALUE"""),301)</f>
        <v>301</v>
      </c>
      <c r="AC121" s="1">
        <f ca="1">IFERROR(__xludf.DUMMYFUNCTION("""COMPUTED_VALUE"""),177)</f>
        <v>177</v>
      </c>
      <c r="AD121" s="1">
        <f ca="1">IFERROR(__xludf.DUMMYFUNCTION("""COMPUTED_VALUE"""),60)</f>
        <v>60</v>
      </c>
      <c r="AE121" s="1">
        <f ca="1">IFERROR(__xludf.DUMMYFUNCTION("""COMPUTED_VALUE"""),432)</f>
        <v>432</v>
      </c>
      <c r="AF121" s="1">
        <f ca="1">IFERROR(__xludf.DUMMYFUNCTION("""COMPUTED_VALUE"""),557)</f>
        <v>557</v>
      </c>
    </row>
    <row r="122" spans="1:32" ht="12.5" x14ac:dyDescent="0.25">
      <c r="A122" s="1" t="str">
        <f ca="1">IFERROR(__xludf.DUMMYFUNCTION("""COMPUTED_VALUE"""),"Grand Canyon")</f>
        <v>Grand Canyon</v>
      </c>
      <c r="B122" s="1">
        <f ca="1">IFERROR(__xludf.DUMMYFUNCTION("""COMPUTED_VALUE"""),30)</f>
        <v>30</v>
      </c>
      <c r="C122" s="1">
        <f ca="1">IFERROR(__xludf.DUMMYFUNCTION("""COMPUTED_VALUE"""),15)</f>
        <v>15</v>
      </c>
      <c r="D122" s="1">
        <f ca="1">IFERROR(__xludf.DUMMYFUNCTION("""COMPUTED_VALUE"""),15)</f>
        <v>15</v>
      </c>
      <c r="E122" s="1">
        <f ca="1">IFERROR(__xludf.DUMMYFUNCTION("""COMPUTED_VALUE"""),0.5)</f>
        <v>0.5</v>
      </c>
      <c r="F122" s="1">
        <f ca="1">IFERROR(__xludf.DUMMYFUNCTION("""COMPUTED_VALUE"""),-6.4)</f>
        <v>-6.4</v>
      </c>
      <c r="G122" s="1">
        <f ca="1">IFERROR(__xludf.DUMMYFUNCTION("""COMPUTED_VALUE"""),-3.51)</f>
        <v>-3.51</v>
      </c>
      <c r="H122" s="1">
        <f ca="1">IFERROR(__xludf.DUMMYFUNCTION("""COMPUTED_VALUE"""),10)</f>
        <v>10</v>
      </c>
      <c r="I122" s="1">
        <f ca="1">IFERROR(__xludf.DUMMYFUNCTION("""COMPUTED_VALUE"""),6)</f>
        <v>6</v>
      </c>
      <c r="J122" s="1">
        <f ca="1">IFERROR(__xludf.DUMMYFUNCTION("""COMPUTED_VALUE"""),8)</f>
        <v>8</v>
      </c>
      <c r="K122" s="1">
        <f ca="1">IFERROR(__xludf.DUMMYFUNCTION("""COMPUTED_VALUE"""),4)</f>
        <v>4</v>
      </c>
      <c r="L122" s="1">
        <f ca="1">IFERROR(__xludf.DUMMYFUNCTION("""COMPUTED_VALUE"""),5)</f>
        <v>5</v>
      </c>
      <c r="M122" s="1">
        <f ca="1">IFERROR(__xludf.DUMMYFUNCTION("""COMPUTED_VALUE"""),9)</f>
        <v>9</v>
      </c>
      <c r="N122" s="1">
        <f ca="1">IFERROR(__xludf.DUMMYFUNCTION("""COMPUTED_VALUE"""),2163)</f>
        <v>2163</v>
      </c>
      <c r="O122" s="1">
        <f ca="1">IFERROR(__xludf.DUMMYFUNCTION("""COMPUTED_VALUE"""),2152)</f>
        <v>2152</v>
      </c>
      <c r="P122" s="1">
        <f ca="1">IFERROR(__xludf.DUMMYFUNCTION("""COMPUTED_VALUE"""),1205)</f>
        <v>1205</v>
      </c>
      <c r="Q122" s="1">
        <f ca="1">IFERROR(__xludf.DUMMYFUNCTION("""COMPUTED_VALUE"""),671)</f>
        <v>671</v>
      </c>
      <c r="R122" s="1">
        <f ca="1">IFERROR(__xludf.DUMMYFUNCTION("""COMPUTED_VALUE"""),1549)</f>
        <v>1549</v>
      </c>
      <c r="S122" s="1">
        <f ca="1">IFERROR(__xludf.DUMMYFUNCTION("""COMPUTED_VALUE"""),0.433)</f>
        <v>0.433</v>
      </c>
      <c r="T122" s="1">
        <f ca="1">IFERROR(__xludf.DUMMYFUNCTION("""COMPUTED_VALUE"""),206)</f>
        <v>206</v>
      </c>
      <c r="U122" s="1">
        <f ca="1">IFERROR(__xludf.DUMMYFUNCTION("""COMPUTED_VALUE"""),588)</f>
        <v>588</v>
      </c>
      <c r="V122" s="1">
        <f ca="1">IFERROR(__xludf.DUMMYFUNCTION("""COMPUTED_VALUE"""),0.35)</f>
        <v>0.35</v>
      </c>
      <c r="W122" s="1">
        <f ca="1">IFERROR(__xludf.DUMMYFUNCTION("""COMPUTED_VALUE"""),615)</f>
        <v>615</v>
      </c>
      <c r="X122" s="1">
        <f ca="1">IFERROR(__xludf.DUMMYFUNCTION("""COMPUTED_VALUE"""),831)</f>
        <v>831</v>
      </c>
      <c r="Y122" s="1">
        <f ca="1">IFERROR(__xludf.DUMMYFUNCTION("""COMPUTED_VALUE"""),0.74)</f>
        <v>0.74</v>
      </c>
      <c r="Z122" s="1">
        <f ca="1">IFERROR(__xludf.DUMMYFUNCTION("""COMPUTED_VALUE"""),284)</f>
        <v>284</v>
      </c>
      <c r="AA122" s="1">
        <f ca="1">IFERROR(__xludf.DUMMYFUNCTION("""COMPUTED_VALUE"""),1057)</f>
        <v>1057</v>
      </c>
      <c r="AB122" s="1">
        <f ca="1">IFERROR(__xludf.DUMMYFUNCTION("""COMPUTED_VALUE"""),386)</f>
        <v>386</v>
      </c>
      <c r="AC122" s="1">
        <f ca="1">IFERROR(__xludf.DUMMYFUNCTION("""COMPUTED_VALUE"""),121)</f>
        <v>121</v>
      </c>
      <c r="AD122" s="1">
        <f ca="1">IFERROR(__xludf.DUMMYFUNCTION("""COMPUTED_VALUE"""),81)</f>
        <v>81</v>
      </c>
      <c r="AE122" s="1">
        <f ca="1">IFERROR(__xludf.DUMMYFUNCTION("""COMPUTED_VALUE"""),381)</f>
        <v>381</v>
      </c>
      <c r="AF122" s="1">
        <f ca="1">IFERROR(__xludf.DUMMYFUNCTION("""COMPUTED_VALUE"""),604)</f>
        <v>604</v>
      </c>
    </row>
    <row r="123" spans="1:32" ht="12.5" x14ac:dyDescent="0.25">
      <c r="A123" s="1" t="str">
        <f ca="1">IFERROR(__xludf.DUMMYFUNCTION("""COMPUTED_VALUE"""),"Green Bay")</f>
        <v>Green Bay</v>
      </c>
      <c r="B123" s="1">
        <f ca="1">IFERROR(__xludf.DUMMYFUNCTION("""COMPUTED_VALUE"""),31)</f>
        <v>31</v>
      </c>
      <c r="C123" s="1">
        <f ca="1">IFERROR(__xludf.DUMMYFUNCTION("""COMPUTED_VALUE"""),24)</f>
        <v>24</v>
      </c>
      <c r="D123" s="1">
        <f ca="1">IFERROR(__xludf.DUMMYFUNCTION("""COMPUTED_VALUE"""),7)</f>
        <v>7</v>
      </c>
      <c r="E123" s="1">
        <f ca="1">IFERROR(__xludf.DUMMYFUNCTION("""COMPUTED_VALUE"""),0.774)</f>
        <v>0.77400000000000002</v>
      </c>
      <c r="F123" s="1">
        <f ca="1">IFERROR(__xludf.DUMMYFUNCTION("""COMPUTED_VALUE"""),7.18)</f>
        <v>7.18</v>
      </c>
      <c r="G123" s="1">
        <f ca="1">IFERROR(__xludf.DUMMYFUNCTION("""COMPUTED_VALUE"""),0.11)</f>
        <v>0.11</v>
      </c>
      <c r="H123" s="1">
        <f ca="1">IFERROR(__xludf.DUMMYFUNCTION("""COMPUTED_VALUE"""),14)</f>
        <v>14</v>
      </c>
      <c r="I123" s="1">
        <f ca="1">IFERROR(__xludf.DUMMYFUNCTION("""COMPUTED_VALUE"""),2)</f>
        <v>2</v>
      </c>
      <c r="J123" s="1">
        <f ca="1">IFERROR(__xludf.DUMMYFUNCTION("""COMPUTED_VALUE"""),13)</f>
        <v>13</v>
      </c>
      <c r="K123" s="1">
        <f ca="1">IFERROR(__xludf.DUMMYFUNCTION("""COMPUTED_VALUE"""),4)</f>
        <v>4</v>
      </c>
      <c r="L123" s="1">
        <f ca="1">IFERROR(__xludf.DUMMYFUNCTION("""COMPUTED_VALUE"""),9)</f>
        <v>9</v>
      </c>
      <c r="M123" s="1">
        <f ca="1">IFERROR(__xludf.DUMMYFUNCTION("""COMPUTED_VALUE"""),2)</f>
        <v>2</v>
      </c>
      <c r="N123" s="1">
        <f ca="1">IFERROR(__xludf.DUMMYFUNCTION("""COMPUTED_VALUE"""),2304)</f>
        <v>2304</v>
      </c>
      <c r="O123" s="1">
        <f ca="1">IFERROR(__xludf.DUMMYFUNCTION("""COMPUTED_VALUE"""),1999)</f>
        <v>1999</v>
      </c>
      <c r="P123" s="1">
        <f ca="1">IFERROR(__xludf.DUMMYFUNCTION("""COMPUTED_VALUE"""),1250)</f>
        <v>1250</v>
      </c>
      <c r="Q123" s="1">
        <f ca="1">IFERROR(__xludf.DUMMYFUNCTION("""COMPUTED_VALUE"""),813)</f>
        <v>813</v>
      </c>
      <c r="R123" s="1">
        <f ca="1">IFERROR(__xludf.DUMMYFUNCTION("""COMPUTED_VALUE"""),1715)</f>
        <v>1715</v>
      </c>
      <c r="S123" s="1">
        <f ca="1">IFERROR(__xludf.DUMMYFUNCTION("""COMPUTED_VALUE"""),0.474)</f>
        <v>0.47399999999999998</v>
      </c>
      <c r="T123" s="1">
        <f ca="1">IFERROR(__xludf.DUMMYFUNCTION("""COMPUTED_VALUE"""),150)</f>
        <v>150</v>
      </c>
      <c r="U123" s="1">
        <f ca="1">IFERROR(__xludf.DUMMYFUNCTION("""COMPUTED_VALUE"""),424)</f>
        <v>424</v>
      </c>
      <c r="V123" s="1">
        <f ca="1">IFERROR(__xludf.DUMMYFUNCTION("""COMPUTED_VALUE"""),0.354)</f>
        <v>0.35399999999999998</v>
      </c>
      <c r="W123" s="1">
        <f ca="1">IFERROR(__xludf.DUMMYFUNCTION("""COMPUTED_VALUE"""),528)</f>
        <v>528</v>
      </c>
      <c r="X123" s="1">
        <f ca="1">IFERROR(__xludf.DUMMYFUNCTION("""COMPUTED_VALUE"""),751)</f>
        <v>751</v>
      </c>
      <c r="Y123" s="1">
        <f ca="1">IFERROR(__xludf.DUMMYFUNCTION("""COMPUTED_VALUE"""),0.703)</f>
        <v>0.70299999999999996</v>
      </c>
      <c r="Z123" s="1">
        <f ca="1">IFERROR(__xludf.DUMMYFUNCTION("""COMPUTED_VALUE"""),346)</f>
        <v>346</v>
      </c>
      <c r="AA123" s="1">
        <f ca="1">IFERROR(__xludf.DUMMYFUNCTION("""COMPUTED_VALUE"""),1139)</f>
        <v>1139</v>
      </c>
      <c r="AB123" s="1">
        <f ca="1">IFERROR(__xludf.DUMMYFUNCTION("""COMPUTED_VALUE"""),473)</f>
        <v>473</v>
      </c>
      <c r="AC123" s="1">
        <f ca="1">IFERROR(__xludf.DUMMYFUNCTION("""COMPUTED_VALUE"""),222)</f>
        <v>222</v>
      </c>
      <c r="AD123" s="1">
        <f ca="1">IFERROR(__xludf.DUMMYFUNCTION("""COMPUTED_VALUE"""),223)</f>
        <v>223</v>
      </c>
      <c r="AE123" s="1">
        <f ca="1">IFERROR(__xludf.DUMMYFUNCTION("""COMPUTED_VALUE"""),393)</f>
        <v>393</v>
      </c>
      <c r="AF123" s="1">
        <f ca="1">IFERROR(__xludf.DUMMYFUNCTION("""COMPUTED_VALUE"""),520)</f>
        <v>520</v>
      </c>
    </row>
    <row r="124" spans="1:32" ht="12.5" x14ac:dyDescent="0.25">
      <c r="A124" s="1" t="str">
        <f ca="1">IFERROR(__xludf.DUMMYFUNCTION("""COMPUTED_VALUE"""),"Hampton")</f>
        <v>Hampton</v>
      </c>
      <c r="B124" s="1">
        <f ca="1">IFERROR(__xludf.DUMMYFUNCTION("""COMPUTED_VALUE"""),31)</f>
        <v>31</v>
      </c>
      <c r="C124" s="1">
        <f ca="1">IFERROR(__xludf.DUMMYFUNCTION("""COMPUTED_VALUE"""),18)</f>
        <v>18</v>
      </c>
      <c r="D124" s="1">
        <f ca="1">IFERROR(__xludf.DUMMYFUNCTION("""COMPUTED_VALUE"""),13)</f>
        <v>13</v>
      </c>
      <c r="E124" s="1">
        <f ca="1">IFERROR(__xludf.DUMMYFUNCTION("""COMPUTED_VALUE"""),0.581)</f>
        <v>0.58099999999999996</v>
      </c>
      <c r="F124" s="1">
        <f ca="1">IFERROR(__xludf.DUMMYFUNCTION("""COMPUTED_VALUE"""),-5.17)</f>
        <v>-5.17</v>
      </c>
      <c r="G124" s="1">
        <f ca="1">IFERROR(__xludf.DUMMYFUNCTION("""COMPUTED_VALUE"""),-7.91)</f>
        <v>-7.91</v>
      </c>
      <c r="H124" s="1">
        <f ca="1">IFERROR(__xludf.DUMMYFUNCTION("""COMPUTED_VALUE"""),13)</f>
        <v>13</v>
      </c>
      <c r="I124" s="1">
        <f ca="1">IFERROR(__xludf.DUMMYFUNCTION("""COMPUTED_VALUE"""),4)</f>
        <v>4</v>
      </c>
      <c r="J124" s="1">
        <f ca="1">IFERROR(__xludf.DUMMYFUNCTION("""COMPUTED_VALUE"""),9)</f>
        <v>9</v>
      </c>
      <c r="K124" s="1">
        <f ca="1">IFERROR(__xludf.DUMMYFUNCTION("""COMPUTED_VALUE"""),3)</f>
        <v>3</v>
      </c>
      <c r="L124" s="1">
        <f ca="1">IFERROR(__xludf.DUMMYFUNCTION("""COMPUTED_VALUE"""),8)</f>
        <v>8</v>
      </c>
      <c r="M124" s="1">
        <f ca="1">IFERROR(__xludf.DUMMYFUNCTION("""COMPUTED_VALUE"""),7)</f>
        <v>7</v>
      </c>
      <c r="N124" s="1">
        <f ca="1">IFERROR(__xludf.DUMMYFUNCTION("""COMPUTED_VALUE"""),2262)</f>
        <v>2262</v>
      </c>
      <c r="O124" s="1">
        <f ca="1">IFERROR(__xludf.DUMMYFUNCTION("""COMPUTED_VALUE"""),2177)</f>
        <v>2177</v>
      </c>
      <c r="P124" s="1">
        <f ca="1">IFERROR(__xludf.DUMMYFUNCTION("""COMPUTED_VALUE"""),1275)</f>
        <v>1275</v>
      </c>
      <c r="Q124" s="1">
        <f ca="1">IFERROR(__xludf.DUMMYFUNCTION("""COMPUTED_VALUE"""),747)</f>
        <v>747</v>
      </c>
      <c r="R124" s="1">
        <f ca="1">IFERROR(__xludf.DUMMYFUNCTION("""COMPUTED_VALUE"""),1781)</f>
        <v>1781</v>
      </c>
      <c r="S124" s="1">
        <f ca="1">IFERROR(__xludf.DUMMYFUNCTION("""COMPUTED_VALUE"""),0.419)</f>
        <v>0.41899999999999998</v>
      </c>
      <c r="T124" s="1">
        <f ca="1">IFERROR(__xludf.DUMMYFUNCTION("""COMPUTED_VALUE"""),171)</f>
        <v>171</v>
      </c>
      <c r="U124" s="1">
        <f ca="1">IFERROR(__xludf.DUMMYFUNCTION("""COMPUTED_VALUE"""),534)</f>
        <v>534</v>
      </c>
      <c r="V124" s="1">
        <f ca="1">IFERROR(__xludf.DUMMYFUNCTION("""COMPUTED_VALUE"""),0.32)</f>
        <v>0.32</v>
      </c>
      <c r="W124" s="1">
        <f ca="1">IFERROR(__xludf.DUMMYFUNCTION("""COMPUTED_VALUE"""),597)</f>
        <v>597</v>
      </c>
      <c r="X124" s="1">
        <f ca="1">IFERROR(__xludf.DUMMYFUNCTION("""COMPUTED_VALUE"""),909)</f>
        <v>909</v>
      </c>
      <c r="Y124" s="1">
        <f ca="1">IFERROR(__xludf.DUMMYFUNCTION("""COMPUTED_VALUE"""),0.657)</f>
        <v>0.65700000000000003</v>
      </c>
      <c r="Z124" s="1">
        <f ca="1">IFERROR(__xludf.DUMMYFUNCTION("""COMPUTED_VALUE"""),394)</f>
        <v>394</v>
      </c>
      <c r="AA124" s="1">
        <f ca="1">IFERROR(__xludf.DUMMYFUNCTION("""COMPUTED_VALUE"""),1173)</f>
        <v>1173</v>
      </c>
      <c r="AB124" s="1">
        <f ca="1">IFERROR(__xludf.DUMMYFUNCTION("""COMPUTED_VALUE"""),367)</f>
        <v>367</v>
      </c>
      <c r="AC124" s="1">
        <f ca="1">IFERROR(__xludf.DUMMYFUNCTION("""COMPUTED_VALUE"""),234)</f>
        <v>234</v>
      </c>
      <c r="AD124" s="1">
        <f ca="1">IFERROR(__xludf.DUMMYFUNCTION("""COMPUTED_VALUE"""),184)</f>
        <v>184</v>
      </c>
      <c r="AE124" s="1">
        <f ca="1">IFERROR(__xludf.DUMMYFUNCTION("""COMPUTED_VALUE"""),457)</f>
        <v>457</v>
      </c>
      <c r="AF124" s="1">
        <f ca="1">IFERROR(__xludf.DUMMYFUNCTION("""COMPUTED_VALUE"""),736)</f>
        <v>736</v>
      </c>
    </row>
    <row r="125" spans="1:32" ht="12.5" x14ac:dyDescent="0.25">
      <c r="A125" s="1" t="str">
        <f ca="1">IFERROR(__xludf.DUMMYFUNCTION("""COMPUTED_VALUE"""),"Hartford")</f>
        <v>Hartford</v>
      </c>
      <c r="B125" s="1">
        <f ca="1">IFERROR(__xludf.DUMMYFUNCTION("""COMPUTED_VALUE"""),33)</f>
        <v>33</v>
      </c>
      <c r="C125" s="1">
        <f ca="1">IFERROR(__xludf.DUMMYFUNCTION("""COMPUTED_VALUE"""),17)</f>
        <v>17</v>
      </c>
      <c r="D125" s="1">
        <f ca="1">IFERROR(__xludf.DUMMYFUNCTION("""COMPUTED_VALUE"""),16)</f>
        <v>16</v>
      </c>
      <c r="E125" s="1">
        <f ca="1">IFERROR(__xludf.DUMMYFUNCTION("""COMPUTED_VALUE"""),0.515)</f>
        <v>0.51500000000000001</v>
      </c>
      <c r="F125" s="1">
        <f ca="1">IFERROR(__xludf.DUMMYFUNCTION("""COMPUTED_VALUE"""),-6.63)</f>
        <v>-6.63</v>
      </c>
      <c r="G125" s="1">
        <f ca="1">IFERROR(__xludf.DUMMYFUNCTION("""COMPUTED_VALUE"""),-6.18)</f>
        <v>-6.18</v>
      </c>
      <c r="H125" s="1">
        <f ca="1">IFERROR(__xludf.DUMMYFUNCTION("""COMPUTED_VALUE"""),10)</f>
        <v>10</v>
      </c>
      <c r="I125" s="1">
        <f ca="1">IFERROR(__xludf.DUMMYFUNCTION("""COMPUTED_VALUE"""),6)</f>
        <v>6</v>
      </c>
      <c r="J125" s="1">
        <f ca="1">IFERROR(__xludf.DUMMYFUNCTION("""COMPUTED_VALUE"""),9)</f>
        <v>9</v>
      </c>
      <c r="K125" s="1">
        <f ca="1">IFERROR(__xludf.DUMMYFUNCTION("""COMPUTED_VALUE"""),3)</f>
        <v>3</v>
      </c>
      <c r="L125" s="1">
        <f ca="1">IFERROR(__xludf.DUMMYFUNCTION("""COMPUTED_VALUE"""),7)</f>
        <v>7</v>
      </c>
      <c r="M125" s="1">
        <f ca="1">IFERROR(__xludf.DUMMYFUNCTION("""COMPUTED_VALUE"""),9)</f>
        <v>9</v>
      </c>
      <c r="N125" s="1">
        <f ca="1">IFERROR(__xludf.DUMMYFUNCTION("""COMPUTED_VALUE"""),2162)</f>
        <v>2162</v>
      </c>
      <c r="O125" s="1">
        <f ca="1">IFERROR(__xludf.DUMMYFUNCTION("""COMPUTED_VALUE"""),2177)</f>
        <v>2177</v>
      </c>
      <c r="P125" s="1">
        <f ca="1">IFERROR(__xludf.DUMMYFUNCTION("""COMPUTED_VALUE"""),1325)</f>
        <v>1325</v>
      </c>
      <c r="Q125" s="1">
        <f ca="1">IFERROR(__xludf.DUMMYFUNCTION("""COMPUTED_VALUE"""),731)</f>
        <v>731</v>
      </c>
      <c r="R125" s="1">
        <f ca="1">IFERROR(__xludf.DUMMYFUNCTION("""COMPUTED_VALUE"""),1593)</f>
        <v>1593</v>
      </c>
      <c r="S125" s="1">
        <f ca="1">IFERROR(__xludf.DUMMYFUNCTION("""COMPUTED_VALUE"""),0.459)</f>
        <v>0.45900000000000002</v>
      </c>
      <c r="T125" s="1">
        <f ca="1">IFERROR(__xludf.DUMMYFUNCTION("""COMPUTED_VALUE"""),265)</f>
        <v>265</v>
      </c>
      <c r="U125" s="1">
        <f ca="1">IFERROR(__xludf.DUMMYFUNCTION("""COMPUTED_VALUE"""),704)</f>
        <v>704</v>
      </c>
      <c r="V125" s="1">
        <f ca="1">IFERROR(__xludf.DUMMYFUNCTION("""COMPUTED_VALUE"""),0.376)</f>
        <v>0.376</v>
      </c>
      <c r="W125" s="1">
        <f ca="1">IFERROR(__xludf.DUMMYFUNCTION("""COMPUTED_VALUE"""),435)</f>
        <v>435</v>
      </c>
      <c r="X125" s="1">
        <f ca="1">IFERROR(__xludf.DUMMYFUNCTION("""COMPUTED_VALUE"""),619)</f>
        <v>619</v>
      </c>
      <c r="Y125" s="1">
        <f ca="1">IFERROR(__xludf.DUMMYFUNCTION("""COMPUTED_VALUE"""),0.703)</f>
        <v>0.70299999999999996</v>
      </c>
      <c r="Z125" s="1">
        <f ca="1">IFERROR(__xludf.DUMMYFUNCTION("""COMPUTED_VALUE"""),230)</f>
        <v>230</v>
      </c>
      <c r="AA125" s="1">
        <f ca="1">IFERROR(__xludf.DUMMYFUNCTION("""COMPUTED_VALUE"""),909)</f>
        <v>909</v>
      </c>
      <c r="AB125" s="1">
        <f ca="1">IFERROR(__xludf.DUMMYFUNCTION("""COMPUTED_VALUE"""),402)</f>
        <v>402</v>
      </c>
      <c r="AC125" s="1">
        <f ca="1">IFERROR(__xludf.DUMMYFUNCTION("""COMPUTED_VALUE"""),185)</f>
        <v>185</v>
      </c>
      <c r="AD125" s="1">
        <f ca="1">IFERROR(__xludf.DUMMYFUNCTION("""COMPUTED_VALUE"""),68)</f>
        <v>68</v>
      </c>
      <c r="AE125" s="1">
        <f ca="1">IFERROR(__xludf.DUMMYFUNCTION("""COMPUTED_VALUE"""),458)</f>
        <v>458</v>
      </c>
      <c r="AF125" s="1">
        <f ca="1">IFERROR(__xludf.DUMMYFUNCTION("""COMPUTED_VALUE"""),632)</f>
        <v>632</v>
      </c>
    </row>
    <row r="126" spans="1:32" ht="12.5" x14ac:dyDescent="0.25">
      <c r="A126" s="1" t="str">
        <f ca="1">IFERROR(__xludf.DUMMYFUNCTION("""COMPUTED_VALUE"""),"HarvardNCAA")</f>
        <v>HarvardNCAA</v>
      </c>
      <c r="B126" s="1">
        <f ca="1">IFERROR(__xludf.DUMMYFUNCTION("""COMPUTED_VALUE"""),32)</f>
        <v>32</v>
      </c>
      <c r="C126" s="1">
        <f ca="1">IFERROR(__xludf.DUMMYFUNCTION("""COMPUTED_VALUE"""),27)</f>
        <v>27</v>
      </c>
      <c r="D126" s="1">
        <f ca="1">IFERROR(__xludf.DUMMYFUNCTION("""COMPUTED_VALUE"""),5)</f>
        <v>5</v>
      </c>
      <c r="E126" s="1">
        <f ca="1">IFERROR(__xludf.DUMMYFUNCTION("""COMPUTED_VALUE"""),0.844)</f>
        <v>0.84399999999999997</v>
      </c>
      <c r="F126" s="1">
        <f ca="1">IFERROR(__xludf.DUMMYFUNCTION("""COMPUTED_VALUE"""),10.79)</f>
        <v>10.79</v>
      </c>
      <c r="G126" s="1">
        <f ca="1">IFERROR(__xludf.DUMMYFUNCTION("""COMPUTED_VALUE"""),-0.47)</f>
        <v>-0.47</v>
      </c>
      <c r="H126" s="1">
        <f ca="1">IFERROR(__xludf.DUMMYFUNCTION("""COMPUTED_VALUE"""),13)</f>
        <v>13</v>
      </c>
      <c r="I126" s="1">
        <f ca="1">IFERROR(__xludf.DUMMYFUNCTION("""COMPUTED_VALUE"""),1)</f>
        <v>1</v>
      </c>
      <c r="J126" s="1">
        <f ca="1">IFERROR(__xludf.DUMMYFUNCTION("""COMPUTED_VALUE"""),11)</f>
        <v>11</v>
      </c>
      <c r="K126" s="1">
        <f ca="1">IFERROR(__xludf.DUMMYFUNCTION("""COMPUTED_VALUE"""),1)</f>
        <v>1</v>
      </c>
      <c r="L126" s="1">
        <f ca="1">IFERROR(__xludf.DUMMYFUNCTION("""COMPUTED_VALUE"""),11)</f>
        <v>11</v>
      </c>
      <c r="M126" s="1">
        <f ca="1">IFERROR(__xludf.DUMMYFUNCTION("""COMPUTED_VALUE"""),3)</f>
        <v>3</v>
      </c>
      <c r="N126" s="1">
        <f ca="1">IFERROR(__xludf.DUMMYFUNCTION("""COMPUTED_VALUE"""),2343)</f>
        <v>2343</v>
      </c>
      <c r="O126" s="1">
        <f ca="1">IFERROR(__xludf.DUMMYFUNCTION("""COMPUTED_VALUE"""),1952)</f>
        <v>1952</v>
      </c>
      <c r="P126" s="1">
        <f ca="1">IFERROR(__xludf.DUMMYFUNCTION("""COMPUTED_VALUE"""),1300)</f>
        <v>1300</v>
      </c>
      <c r="Q126" s="1">
        <f ca="1">IFERROR(__xludf.DUMMYFUNCTION("""COMPUTED_VALUE"""),786)</f>
        <v>786</v>
      </c>
      <c r="R126" s="1">
        <f ca="1">IFERROR(__xludf.DUMMYFUNCTION("""COMPUTED_VALUE"""),1691)</f>
        <v>1691</v>
      </c>
      <c r="S126" s="1">
        <f ca="1">IFERROR(__xludf.DUMMYFUNCTION("""COMPUTED_VALUE"""),0.465)</f>
        <v>0.46500000000000002</v>
      </c>
      <c r="T126" s="1">
        <f ca="1">IFERROR(__xludf.DUMMYFUNCTION("""COMPUTED_VALUE"""),184)</f>
        <v>184</v>
      </c>
      <c r="U126" s="1">
        <f ca="1">IFERROR(__xludf.DUMMYFUNCTION("""COMPUTED_VALUE"""),478)</f>
        <v>478</v>
      </c>
      <c r="V126" s="1">
        <f ca="1">IFERROR(__xludf.DUMMYFUNCTION("""COMPUTED_VALUE"""),0.385)</f>
        <v>0.38500000000000001</v>
      </c>
      <c r="W126" s="1">
        <f ca="1">IFERROR(__xludf.DUMMYFUNCTION("""COMPUTED_VALUE"""),587)</f>
        <v>587</v>
      </c>
      <c r="X126" s="1">
        <f ca="1">IFERROR(__xludf.DUMMYFUNCTION("""COMPUTED_VALUE"""),811)</f>
        <v>811</v>
      </c>
      <c r="Y126" s="1">
        <f ca="1">IFERROR(__xludf.DUMMYFUNCTION("""COMPUTED_VALUE"""),0.724)</f>
        <v>0.72399999999999998</v>
      </c>
      <c r="Z126" s="1">
        <f ca="1">IFERROR(__xludf.DUMMYFUNCTION("""COMPUTED_VALUE"""),335)</f>
        <v>335</v>
      </c>
      <c r="AA126" s="1">
        <f ca="1">IFERROR(__xludf.DUMMYFUNCTION("""COMPUTED_VALUE"""),1092)</f>
        <v>1092</v>
      </c>
      <c r="AB126" s="1">
        <f ca="1">IFERROR(__xludf.DUMMYFUNCTION("""COMPUTED_VALUE"""),449)</f>
        <v>449</v>
      </c>
      <c r="AC126" s="1">
        <f ca="1">IFERROR(__xludf.DUMMYFUNCTION("""COMPUTED_VALUE"""),243)</f>
        <v>243</v>
      </c>
      <c r="AD126" s="1">
        <f ca="1">IFERROR(__xludf.DUMMYFUNCTION("""COMPUTED_VALUE"""),155)</f>
        <v>155</v>
      </c>
      <c r="AE126" s="1">
        <f ca="1">IFERROR(__xludf.DUMMYFUNCTION("""COMPUTED_VALUE"""),365)</f>
        <v>365</v>
      </c>
      <c r="AF126" s="1">
        <f ca="1">IFERROR(__xludf.DUMMYFUNCTION("""COMPUTED_VALUE"""),566)</f>
        <v>566</v>
      </c>
    </row>
    <row r="127" spans="1:32" ht="12.5" x14ac:dyDescent="0.25">
      <c r="A127" s="1" t="str">
        <f ca="1">IFERROR(__xludf.DUMMYFUNCTION("""COMPUTED_VALUE"""),"Hawaii")</f>
        <v>Hawaii</v>
      </c>
      <c r="B127" s="1">
        <f ca="1">IFERROR(__xludf.DUMMYFUNCTION("""COMPUTED_VALUE"""),31)</f>
        <v>31</v>
      </c>
      <c r="C127" s="1">
        <f ca="1">IFERROR(__xludf.DUMMYFUNCTION("""COMPUTED_VALUE"""),20)</f>
        <v>20</v>
      </c>
      <c r="D127" s="1">
        <f ca="1">IFERROR(__xludf.DUMMYFUNCTION("""COMPUTED_VALUE"""),11)</f>
        <v>11</v>
      </c>
      <c r="E127" s="1">
        <f ca="1">IFERROR(__xludf.DUMMYFUNCTION("""COMPUTED_VALUE"""),0.645)</f>
        <v>0.64500000000000002</v>
      </c>
      <c r="F127" s="1">
        <f ca="1">IFERROR(__xludf.DUMMYFUNCTION("""COMPUTED_VALUE"""),3.43)</f>
        <v>3.43</v>
      </c>
      <c r="G127" s="1">
        <f ca="1">IFERROR(__xludf.DUMMYFUNCTION("""COMPUTED_VALUE"""),-1.68)</f>
        <v>-1.68</v>
      </c>
      <c r="H127" s="1">
        <f ca="1">IFERROR(__xludf.DUMMYFUNCTION("""COMPUTED_VALUE"""),9)</f>
        <v>9</v>
      </c>
      <c r="I127" s="1">
        <f ca="1">IFERROR(__xludf.DUMMYFUNCTION("""COMPUTED_VALUE"""),7)</f>
        <v>7</v>
      </c>
      <c r="J127" s="1">
        <f ca="1">IFERROR(__xludf.DUMMYFUNCTION("""COMPUTED_VALUE"""),14)</f>
        <v>14</v>
      </c>
      <c r="K127" s="1">
        <f ca="1">IFERROR(__xludf.DUMMYFUNCTION("""COMPUTED_VALUE"""),5)</f>
        <v>5</v>
      </c>
      <c r="L127" s="1">
        <f ca="1">IFERROR(__xludf.DUMMYFUNCTION("""COMPUTED_VALUE"""),6)</f>
        <v>6</v>
      </c>
      <c r="M127" s="1">
        <f ca="1">IFERROR(__xludf.DUMMYFUNCTION("""COMPUTED_VALUE"""),4)</f>
        <v>4</v>
      </c>
      <c r="N127" s="1">
        <f ca="1">IFERROR(__xludf.DUMMYFUNCTION("""COMPUTED_VALUE"""),2479)</f>
        <v>2479</v>
      </c>
      <c r="O127" s="1">
        <f ca="1">IFERROR(__xludf.DUMMYFUNCTION("""COMPUTED_VALUE"""),2270)</f>
        <v>2270</v>
      </c>
      <c r="P127" s="1">
        <f ca="1">IFERROR(__xludf.DUMMYFUNCTION("""COMPUTED_VALUE"""),1255)</f>
        <v>1255</v>
      </c>
      <c r="Q127" s="1">
        <f ca="1">IFERROR(__xludf.DUMMYFUNCTION("""COMPUTED_VALUE"""),866)</f>
        <v>866</v>
      </c>
      <c r="R127" s="1">
        <f ca="1">IFERROR(__xludf.DUMMYFUNCTION("""COMPUTED_VALUE"""),1829)</f>
        <v>1829</v>
      </c>
      <c r="S127" s="1">
        <f ca="1">IFERROR(__xludf.DUMMYFUNCTION("""COMPUTED_VALUE"""),0.473)</f>
        <v>0.47299999999999998</v>
      </c>
      <c r="T127" s="1">
        <f ca="1">IFERROR(__xludf.DUMMYFUNCTION("""COMPUTED_VALUE"""),177)</f>
        <v>177</v>
      </c>
      <c r="U127" s="1">
        <f ca="1">IFERROR(__xludf.DUMMYFUNCTION("""COMPUTED_VALUE"""),528)</f>
        <v>528</v>
      </c>
      <c r="V127" s="1">
        <f ca="1">IFERROR(__xludf.DUMMYFUNCTION("""COMPUTED_VALUE"""),0.335)</f>
        <v>0.33500000000000002</v>
      </c>
      <c r="W127" s="1">
        <f ca="1">IFERROR(__xludf.DUMMYFUNCTION("""COMPUTED_VALUE"""),570)</f>
        <v>570</v>
      </c>
      <c r="X127" s="1">
        <f ca="1">IFERROR(__xludf.DUMMYFUNCTION("""COMPUTED_VALUE"""),789)</f>
        <v>789</v>
      </c>
      <c r="Y127" s="1">
        <f ca="1">IFERROR(__xludf.DUMMYFUNCTION("""COMPUTED_VALUE"""),0.722)</f>
        <v>0.72199999999999998</v>
      </c>
      <c r="Z127" s="1">
        <f ca="1">IFERROR(__xludf.DUMMYFUNCTION("""COMPUTED_VALUE"""),395)</f>
        <v>395</v>
      </c>
      <c r="AA127" s="1">
        <f ca="1">IFERROR(__xludf.DUMMYFUNCTION("""COMPUTED_VALUE"""),1114)</f>
        <v>1114</v>
      </c>
      <c r="AB127" s="1">
        <f ca="1">IFERROR(__xludf.DUMMYFUNCTION("""COMPUTED_VALUE"""),437)</f>
        <v>437</v>
      </c>
      <c r="AC127" s="1">
        <f ca="1">IFERROR(__xludf.DUMMYFUNCTION("""COMPUTED_VALUE"""),190)</f>
        <v>190</v>
      </c>
      <c r="AD127" s="1">
        <f ca="1">IFERROR(__xludf.DUMMYFUNCTION("""COMPUTED_VALUE"""),110)</f>
        <v>110</v>
      </c>
      <c r="AE127" s="1">
        <f ca="1">IFERROR(__xludf.DUMMYFUNCTION("""COMPUTED_VALUE"""),366)</f>
        <v>366</v>
      </c>
      <c r="AF127" s="1">
        <f ca="1">IFERROR(__xludf.DUMMYFUNCTION("""COMPUTED_VALUE"""),604)</f>
        <v>604</v>
      </c>
    </row>
    <row r="128" spans="1:32" ht="12.5" x14ac:dyDescent="0.25">
      <c r="A128" s="1" t="str">
        <f ca="1">IFERROR(__xludf.DUMMYFUNCTION("""COMPUTED_VALUE"""),"High Point")</f>
        <v>High Point</v>
      </c>
      <c r="B128" s="1">
        <f ca="1">IFERROR(__xludf.DUMMYFUNCTION("""COMPUTED_VALUE"""),31)</f>
        <v>31</v>
      </c>
      <c r="C128" s="1">
        <f ca="1">IFERROR(__xludf.DUMMYFUNCTION("""COMPUTED_VALUE"""),16)</f>
        <v>16</v>
      </c>
      <c r="D128" s="1">
        <f ca="1">IFERROR(__xludf.DUMMYFUNCTION("""COMPUTED_VALUE"""),15)</f>
        <v>15</v>
      </c>
      <c r="E128" s="1">
        <f ca="1">IFERROR(__xludf.DUMMYFUNCTION("""COMPUTED_VALUE"""),0.516)</f>
        <v>0.51600000000000001</v>
      </c>
      <c r="F128" s="1">
        <f ca="1">IFERROR(__xludf.DUMMYFUNCTION("""COMPUTED_VALUE"""),-8.23)</f>
        <v>-8.23</v>
      </c>
      <c r="G128" s="1">
        <f ca="1">IFERROR(__xludf.DUMMYFUNCTION("""COMPUTED_VALUE"""),-5.23)</f>
        <v>-5.23</v>
      </c>
      <c r="H128" s="1">
        <f ca="1">IFERROR(__xludf.DUMMYFUNCTION("""COMPUTED_VALUE"""),12)</f>
        <v>12</v>
      </c>
      <c r="I128" s="1">
        <f ca="1">IFERROR(__xludf.DUMMYFUNCTION("""COMPUTED_VALUE"""),4)</f>
        <v>4</v>
      </c>
      <c r="J128" s="1">
        <f ca="1">IFERROR(__xludf.DUMMYFUNCTION("""COMPUTED_VALUE"""),10)</f>
        <v>10</v>
      </c>
      <c r="K128" s="1">
        <f ca="1">IFERROR(__xludf.DUMMYFUNCTION("""COMPUTED_VALUE"""),3)</f>
        <v>3</v>
      </c>
      <c r="L128" s="1">
        <f ca="1">IFERROR(__xludf.DUMMYFUNCTION("""COMPUTED_VALUE"""),6)</f>
        <v>6</v>
      </c>
      <c r="M128" s="1">
        <f ca="1">IFERROR(__xludf.DUMMYFUNCTION("""COMPUTED_VALUE"""),11)</f>
        <v>11</v>
      </c>
      <c r="N128" s="1">
        <f ca="1">IFERROR(__xludf.DUMMYFUNCTION("""COMPUTED_VALUE"""),2203)</f>
        <v>2203</v>
      </c>
      <c r="O128" s="1">
        <f ca="1">IFERROR(__xludf.DUMMYFUNCTION("""COMPUTED_VALUE"""),2253)</f>
        <v>2253</v>
      </c>
      <c r="P128" s="1">
        <f ca="1">IFERROR(__xludf.DUMMYFUNCTION("""COMPUTED_VALUE"""),1245)</f>
        <v>1245</v>
      </c>
      <c r="Q128" s="1">
        <f ca="1">IFERROR(__xludf.DUMMYFUNCTION("""COMPUTED_VALUE"""),801)</f>
        <v>801</v>
      </c>
      <c r="R128" s="1">
        <f ca="1">IFERROR(__xludf.DUMMYFUNCTION("""COMPUTED_VALUE"""),1698)</f>
        <v>1698</v>
      </c>
      <c r="S128" s="1">
        <f ca="1">IFERROR(__xludf.DUMMYFUNCTION("""COMPUTED_VALUE"""),0.472)</f>
        <v>0.47199999999999998</v>
      </c>
      <c r="T128" s="1">
        <f ca="1">IFERROR(__xludf.DUMMYFUNCTION("""COMPUTED_VALUE"""),187)</f>
        <v>187</v>
      </c>
      <c r="U128" s="1">
        <f ca="1">IFERROR(__xludf.DUMMYFUNCTION("""COMPUTED_VALUE"""),485)</f>
        <v>485</v>
      </c>
      <c r="V128" s="1">
        <f ca="1">IFERROR(__xludf.DUMMYFUNCTION("""COMPUTED_VALUE"""),0.386)</f>
        <v>0.38600000000000001</v>
      </c>
      <c r="W128" s="1">
        <f ca="1">IFERROR(__xludf.DUMMYFUNCTION("""COMPUTED_VALUE"""),414)</f>
        <v>414</v>
      </c>
      <c r="X128" s="1">
        <f ca="1">IFERROR(__xludf.DUMMYFUNCTION("""COMPUTED_VALUE"""),558)</f>
        <v>558</v>
      </c>
      <c r="Y128" s="1">
        <f ca="1">IFERROR(__xludf.DUMMYFUNCTION("""COMPUTED_VALUE"""),0.742)</f>
        <v>0.74199999999999999</v>
      </c>
      <c r="Z128" s="1">
        <f ca="1">IFERROR(__xludf.DUMMYFUNCTION("""COMPUTED_VALUE"""),299)</f>
        <v>299</v>
      </c>
      <c r="AA128" s="1">
        <f ca="1">IFERROR(__xludf.DUMMYFUNCTION("""COMPUTED_VALUE"""),985)</f>
        <v>985</v>
      </c>
      <c r="AB128" s="1">
        <f ca="1">IFERROR(__xludf.DUMMYFUNCTION("""COMPUTED_VALUE"""),455)</f>
        <v>455</v>
      </c>
      <c r="AC128" s="1">
        <f ca="1">IFERROR(__xludf.DUMMYFUNCTION("""COMPUTED_VALUE"""),184)</f>
        <v>184</v>
      </c>
      <c r="AD128" s="1">
        <f ca="1">IFERROR(__xludf.DUMMYFUNCTION("""COMPUTED_VALUE"""),108)</f>
        <v>108</v>
      </c>
      <c r="AE128" s="1">
        <f ca="1">IFERROR(__xludf.DUMMYFUNCTION("""COMPUTED_VALUE"""),373)</f>
        <v>373</v>
      </c>
      <c r="AF128" s="1">
        <f ca="1">IFERROR(__xludf.DUMMYFUNCTION("""COMPUTED_VALUE"""),532)</f>
        <v>532</v>
      </c>
    </row>
    <row r="129" spans="1:32" ht="12.5" x14ac:dyDescent="0.25">
      <c r="A129" s="1" t="str">
        <f ca="1">IFERROR(__xludf.DUMMYFUNCTION("""COMPUTED_VALUE"""),"Hofstra")</f>
        <v>Hofstra</v>
      </c>
      <c r="B129" s="1">
        <f ca="1">IFERROR(__xludf.DUMMYFUNCTION("""COMPUTED_VALUE"""),33)</f>
        <v>33</v>
      </c>
      <c r="C129" s="1">
        <f ca="1">IFERROR(__xludf.DUMMYFUNCTION("""COMPUTED_VALUE"""),10)</f>
        <v>10</v>
      </c>
      <c r="D129" s="1">
        <f ca="1">IFERROR(__xludf.DUMMYFUNCTION("""COMPUTED_VALUE"""),23)</f>
        <v>23</v>
      </c>
      <c r="E129" s="1">
        <f ca="1">IFERROR(__xludf.DUMMYFUNCTION("""COMPUTED_VALUE"""),0.303)</f>
        <v>0.30299999999999999</v>
      </c>
      <c r="F129" s="1">
        <f ca="1">IFERROR(__xludf.DUMMYFUNCTION("""COMPUTED_VALUE"""),-6.56)</f>
        <v>-6.56</v>
      </c>
      <c r="G129" s="1">
        <f ca="1">IFERROR(__xludf.DUMMYFUNCTION("""COMPUTED_VALUE"""),-1.89)</f>
        <v>-1.89</v>
      </c>
      <c r="H129" s="1">
        <f ca="1">IFERROR(__xludf.DUMMYFUNCTION("""COMPUTED_VALUE"""),5)</f>
        <v>5</v>
      </c>
      <c r="I129" s="1">
        <f ca="1">IFERROR(__xludf.DUMMYFUNCTION("""COMPUTED_VALUE"""),11)</f>
        <v>11</v>
      </c>
      <c r="J129" s="1">
        <f ca="1">IFERROR(__xludf.DUMMYFUNCTION("""COMPUTED_VALUE"""),7)</f>
        <v>7</v>
      </c>
      <c r="K129" s="1">
        <f ca="1">IFERROR(__xludf.DUMMYFUNCTION("""COMPUTED_VALUE"""),8)</f>
        <v>8</v>
      </c>
      <c r="L129" s="1">
        <f ca="1">IFERROR(__xludf.DUMMYFUNCTION("""COMPUTED_VALUE"""),1)</f>
        <v>1</v>
      </c>
      <c r="M129" s="1">
        <f ca="1">IFERROR(__xludf.DUMMYFUNCTION("""COMPUTED_VALUE"""),13)</f>
        <v>13</v>
      </c>
      <c r="N129" s="1">
        <f ca="1">IFERROR(__xludf.DUMMYFUNCTION("""COMPUTED_VALUE"""),2260)</f>
        <v>2260</v>
      </c>
      <c r="O129" s="1">
        <f ca="1">IFERROR(__xludf.DUMMYFUNCTION("""COMPUTED_VALUE"""),2414)</f>
        <v>2414</v>
      </c>
      <c r="P129" s="1">
        <f ca="1">IFERROR(__xludf.DUMMYFUNCTION("""COMPUTED_VALUE"""),1325)</f>
        <v>1325</v>
      </c>
      <c r="Q129" s="1">
        <f ca="1">IFERROR(__xludf.DUMMYFUNCTION("""COMPUTED_VALUE"""),750)</f>
        <v>750</v>
      </c>
      <c r="R129" s="1">
        <f ca="1">IFERROR(__xludf.DUMMYFUNCTION("""COMPUTED_VALUE"""),1788)</f>
        <v>1788</v>
      </c>
      <c r="S129" s="1">
        <f ca="1">IFERROR(__xludf.DUMMYFUNCTION("""COMPUTED_VALUE"""),0.419)</f>
        <v>0.41899999999999998</v>
      </c>
      <c r="T129" s="1">
        <f ca="1">IFERROR(__xludf.DUMMYFUNCTION("""COMPUTED_VALUE"""),229)</f>
        <v>229</v>
      </c>
      <c r="U129" s="1">
        <f ca="1">IFERROR(__xludf.DUMMYFUNCTION("""COMPUTED_VALUE"""),685)</f>
        <v>685</v>
      </c>
      <c r="V129" s="1">
        <f ca="1">IFERROR(__xludf.DUMMYFUNCTION("""COMPUTED_VALUE"""),0.334)</f>
        <v>0.33400000000000002</v>
      </c>
      <c r="W129" s="1">
        <f ca="1">IFERROR(__xludf.DUMMYFUNCTION("""COMPUTED_VALUE"""),531)</f>
        <v>531</v>
      </c>
      <c r="X129" s="1">
        <f ca="1">IFERROR(__xludf.DUMMYFUNCTION("""COMPUTED_VALUE"""),806)</f>
        <v>806</v>
      </c>
      <c r="Y129" s="1">
        <f ca="1">IFERROR(__xludf.DUMMYFUNCTION("""COMPUTED_VALUE"""),0.659)</f>
        <v>0.65900000000000003</v>
      </c>
      <c r="Z129" s="1">
        <f ca="1">IFERROR(__xludf.DUMMYFUNCTION("""COMPUTED_VALUE"""),419)</f>
        <v>419</v>
      </c>
      <c r="AA129" s="1">
        <f ca="1">IFERROR(__xludf.DUMMYFUNCTION("""COMPUTED_VALUE"""),1195)</f>
        <v>1195</v>
      </c>
      <c r="AB129" s="1">
        <f ca="1">IFERROR(__xludf.DUMMYFUNCTION("""COMPUTED_VALUE"""),355)</f>
        <v>355</v>
      </c>
      <c r="AC129" s="1">
        <f ca="1">IFERROR(__xludf.DUMMYFUNCTION("""COMPUTED_VALUE"""),159)</f>
        <v>159</v>
      </c>
      <c r="AD129" s="1">
        <f ca="1">IFERROR(__xludf.DUMMYFUNCTION("""COMPUTED_VALUE"""),106)</f>
        <v>106</v>
      </c>
      <c r="AE129" s="1">
        <f ca="1">IFERROR(__xludf.DUMMYFUNCTION("""COMPUTED_VALUE"""),406)</f>
        <v>406</v>
      </c>
      <c r="AF129" s="1">
        <f ca="1">IFERROR(__xludf.DUMMYFUNCTION("""COMPUTED_VALUE"""),646)</f>
        <v>646</v>
      </c>
    </row>
    <row r="130" spans="1:32" ht="12.5" x14ac:dyDescent="0.25">
      <c r="A130" s="1" t="str">
        <f ca="1">IFERROR(__xludf.DUMMYFUNCTION("""COMPUTED_VALUE"""),"Holy Cross")</f>
        <v>Holy Cross</v>
      </c>
      <c r="B130" s="1">
        <f ca="1">IFERROR(__xludf.DUMMYFUNCTION("""COMPUTED_VALUE"""),34)</f>
        <v>34</v>
      </c>
      <c r="C130" s="1">
        <f ca="1">IFERROR(__xludf.DUMMYFUNCTION("""COMPUTED_VALUE"""),20)</f>
        <v>20</v>
      </c>
      <c r="D130" s="1">
        <f ca="1">IFERROR(__xludf.DUMMYFUNCTION("""COMPUTED_VALUE"""),14)</f>
        <v>14</v>
      </c>
      <c r="E130" s="1">
        <f ca="1">IFERROR(__xludf.DUMMYFUNCTION("""COMPUTED_VALUE"""),0.588)</f>
        <v>0.58799999999999997</v>
      </c>
      <c r="F130" s="1">
        <f ca="1">IFERROR(__xludf.DUMMYFUNCTION("""COMPUTED_VALUE"""),-1.58)</f>
        <v>-1.58</v>
      </c>
      <c r="G130" s="1">
        <f ca="1">IFERROR(__xludf.DUMMYFUNCTION("""COMPUTED_VALUE"""),-3.28)</f>
        <v>-3.28</v>
      </c>
      <c r="H130" s="1">
        <f ca="1">IFERROR(__xludf.DUMMYFUNCTION("""COMPUTED_VALUE"""),12)</f>
        <v>12</v>
      </c>
      <c r="I130" s="1">
        <f ca="1">IFERROR(__xludf.DUMMYFUNCTION("""COMPUTED_VALUE"""),6)</f>
        <v>6</v>
      </c>
      <c r="J130" s="1">
        <f ca="1">IFERROR(__xludf.DUMMYFUNCTION("""COMPUTED_VALUE"""),8)</f>
        <v>8</v>
      </c>
      <c r="K130" s="1">
        <f ca="1">IFERROR(__xludf.DUMMYFUNCTION("""COMPUTED_VALUE"""),5)</f>
        <v>5</v>
      </c>
      <c r="L130" s="1">
        <f ca="1">IFERROR(__xludf.DUMMYFUNCTION("""COMPUTED_VALUE"""),10)</f>
        <v>10</v>
      </c>
      <c r="M130" s="1">
        <f ca="1">IFERROR(__xludf.DUMMYFUNCTION("""COMPUTED_VALUE"""),7)</f>
        <v>7</v>
      </c>
      <c r="N130" s="1">
        <f ca="1">IFERROR(__xludf.DUMMYFUNCTION("""COMPUTED_VALUE"""),2277)</f>
        <v>2277</v>
      </c>
      <c r="O130" s="1">
        <f ca="1">IFERROR(__xludf.DUMMYFUNCTION("""COMPUTED_VALUE"""),2219)</f>
        <v>2219</v>
      </c>
      <c r="P130" s="1">
        <f ca="1">IFERROR(__xludf.DUMMYFUNCTION("""COMPUTED_VALUE"""),1371)</f>
        <v>1371</v>
      </c>
      <c r="Q130" s="1">
        <f ca="1">IFERROR(__xludf.DUMMYFUNCTION("""COMPUTED_VALUE"""),771)</f>
        <v>771</v>
      </c>
      <c r="R130" s="1">
        <f ca="1">IFERROR(__xludf.DUMMYFUNCTION("""COMPUTED_VALUE"""),1795)</f>
        <v>1795</v>
      </c>
      <c r="S130" s="1">
        <f ca="1">IFERROR(__xludf.DUMMYFUNCTION("""COMPUTED_VALUE"""),0.43)</f>
        <v>0.43</v>
      </c>
      <c r="T130" s="1">
        <f ca="1">IFERROR(__xludf.DUMMYFUNCTION("""COMPUTED_VALUE"""),217)</f>
        <v>217</v>
      </c>
      <c r="U130" s="1">
        <f ca="1">IFERROR(__xludf.DUMMYFUNCTION("""COMPUTED_VALUE"""),615)</f>
        <v>615</v>
      </c>
      <c r="V130" s="1">
        <f ca="1">IFERROR(__xludf.DUMMYFUNCTION("""COMPUTED_VALUE"""),0.353)</f>
        <v>0.35299999999999998</v>
      </c>
      <c r="W130" s="1">
        <f ca="1">IFERROR(__xludf.DUMMYFUNCTION("""COMPUTED_VALUE"""),518)</f>
        <v>518</v>
      </c>
      <c r="X130" s="1">
        <f ca="1">IFERROR(__xludf.DUMMYFUNCTION("""COMPUTED_VALUE"""),708)</f>
        <v>708</v>
      </c>
      <c r="Y130" s="1">
        <f ca="1">IFERROR(__xludf.DUMMYFUNCTION("""COMPUTED_VALUE"""),0.732)</f>
        <v>0.73199999999999998</v>
      </c>
      <c r="Z130" s="1">
        <f ca="1">IFERROR(__xludf.DUMMYFUNCTION("""COMPUTED_VALUE"""),338)</f>
        <v>338</v>
      </c>
      <c r="AA130" s="1">
        <f ca="1">IFERROR(__xludf.DUMMYFUNCTION("""COMPUTED_VALUE"""),1120)</f>
        <v>1120</v>
      </c>
      <c r="AB130" s="1">
        <f ca="1">IFERROR(__xludf.DUMMYFUNCTION("""COMPUTED_VALUE"""),387)</f>
        <v>387</v>
      </c>
      <c r="AC130" s="1">
        <f ca="1">IFERROR(__xludf.DUMMYFUNCTION("""COMPUTED_VALUE"""),207)</f>
        <v>207</v>
      </c>
      <c r="AD130" s="1">
        <f ca="1">IFERROR(__xludf.DUMMYFUNCTION("""COMPUTED_VALUE"""),135)</f>
        <v>135</v>
      </c>
      <c r="AE130" s="1">
        <f ca="1">IFERROR(__xludf.DUMMYFUNCTION("""COMPUTED_VALUE"""),398)</f>
        <v>398</v>
      </c>
      <c r="AF130" s="1">
        <f ca="1">IFERROR(__xludf.DUMMYFUNCTION("""COMPUTED_VALUE"""),579)</f>
        <v>579</v>
      </c>
    </row>
    <row r="131" spans="1:32" ht="12.5" x14ac:dyDescent="0.25">
      <c r="A131" s="1" t="str">
        <f ca="1">IFERROR(__xludf.DUMMYFUNCTION("""COMPUTED_VALUE"""),"Houston Baptist")</f>
        <v>Houston Baptist</v>
      </c>
      <c r="B131" s="1">
        <f ca="1">IFERROR(__xludf.DUMMYFUNCTION("""COMPUTED_VALUE"""),31)</f>
        <v>31</v>
      </c>
      <c r="C131" s="1">
        <f ca="1">IFERROR(__xludf.DUMMYFUNCTION("""COMPUTED_VALUE"""),6)</f>
        <v>6</v>
      </c>
      <c r="D131" s="1">
        <f ca="1">IFERROR(__xludf.DUMMYFUNCTION("""COMPUTED_VALUE"""),25)</f>
        <v>25</v>
      </c>
      <c r="E131" s="1">
        <f ca="1">IFERROR(__xludf.DUMMYFUNCTION("""COMPUTED_VALUE"""),0.194)</f>
        <v>0.19400000000000001</v>
      </c>
      <c r="F131" s="1">
        <f ca="1">IFERROR(__xludf.DUMMYFUNCTION("""COMPUTED_VALUE"""),-17.39)</f>
        <v>-17.39</v>
      </c>
      <c r="G131" s="1">
        <f ca="1">IFERROR(__xludf.DUMMYFUNCTION("""COMPUTED_VALUE"""),-5.39)</f>
        <v>-5.39</v>
      </c>
      <c r="H131" s="1">
        <f ca="1">IFERROR(__xludf.DUMMYFUNCTION("""COMPUTED_VALUE"""),2)</f>
        <v>2</v>
      </c>
      <c r="I131" s="1">
        <f ca="1">IFERROR(__xludf.DUMMYFUNCTION("""COMPUTED_VALUE"""),16)</f>
        <v>16</v>
      </c>
      <c r="J131" s="1">
        <f ca="1">IFERROR(__xludf.DUMMYFUNCTION("""COMPUTED_VALUE"""),5)</f>
        <v>5</v>
      </c>
      <c r="K131" s="1">
        <f ca="1">IFERROR(__xludf.DUMMYFUNCTION("""COMPUTED_VALUE"""),8)</f>
        <v>8</v>
      </c>
      <c r="L131" s="1">
        <f ca="1">IFERROR(__xludf.DUMMYFUNCTION("""COMPUTED_VALUE"""),1)</f>
        <v>1</v>
      </c>
      <c r="M131" s="1">
        <f ca="1">IFERROR(__xludf.DUMMYFUNCTION("""COMPUTED_VALUE"""),15)</f>
        <v>15</v>
      </c>
      <c r="N131" s="1">
        <f ca="1">IFERROR(__xludf.DUMMYFUNCTION("""COMPUTED_VALUE"""),2091)</f>
        <v>2091</v>
      </c>
      <c r="O131" s="1">
        <f ca="1">IFERROR(__xludf.DUMMYFUNCTION("""COMPUTED_VALUE"""),2373)</f>
        <v>2373</v>
      </c>
      <c r="P131" s="1">
        <f ca="1">IFERROR(__xludf.DUMMYFUNCTION("""COMPUTED_VALUE"""),1250)</f>
        <v>1250</v>
      </c>
      <c r="Q131" s="1">
        <f ca="1">IFERROR(__xludf.DUMMYFUNCTION("""COMPUTED_VALUE"""),737)</f>
        <v>737</v>
      </c>
      <c r="R131" s="1">
        <f ca="1">IFERROR(__xludf.DUMMYFUNCTION("""COMPUTED_VALUE"""),1733)</f>
        <v>1733</v>
      </c>
      <c r="S131" s="1">
        <f ca="1">IFERROR(__xludf.DUMMYFUNCTION("""COMPUTED_VALUE"""),0.425)</f>
        <v>0.42499999999999999</v>
      </c>
      <c r="T131" s="1">
        <f ca="1">IFERROR(__xludf.DUMMYFUNCTION("""COMPUTED_VALUE"""),157)</f>
        <v>157</v>
      </c>
      <c r="U131" s="1">
        <f ca="1">IFERROR(__xludf.DUMMYFUNCTION("""COMPUTED_VALUE"""),456)</f>
        <v>456</v>
      </c>
      <c r="V131" s="1">
        <f ca="1">IFERROR(__xludf.DUMMYFUNCTION("""COMPUTED_VALUE"""),0.344)</f>
        <v>0.34399999999999997</v>
      </c>
      <c r="W131" s="1">
        <f ca="1">IFERROR(__xludf.DUMMYFUNCTION("""COMPUTED_VALUE"""),460)</f>
        <v>460</v>
      </c>
      <c r="X131" s="1">
        <f ca="1">IFERROR(__xludf.DUMMYFUNCTION("""COMPUTED_VALUE"""),674)</f>
        <v>674</v>
      </c>
      <c r="Y131" s="1">
        <f ca="1">IFERROR(__xludf.DUMMYFUNCTION("""COMPUTED_VALUE"""),0.682)</f>
        <v>0.68200000000000005</v>
      </c>
      <c r="Z131" s="1">
        <f ca="1">IFERROR(__xludf.DUMMYFUNCTION("""COMPUTED_VALUE"""),350)</f>
        <v>350</v>
      </c>
      <c r="AA131" s="1">
        <f ca="1">IFERROR(__xludf.DUMMYFUNCTION("""COMPUTED_VALUE"""),1111)</f>
        <v>1111</v>
      </c>
      <c r="AB131" s="1">
        <f ca="1">IFERROR(__xludf.DUMMYFUNCTION("""COMPUTED_VALUE"""),385)</f>
        <v>385</v>
      </c>
      <c r="AC131" s="1">
        <f ca="1">IFERROR(__xludf.DUMMYFUNCTION("""COMPUTED_VALUE"""),157)</f>
        <v>157</v>
      </c>
      <c r="AD131" s="1">
        <f ca="1">IFERROR(__xludf.DUMMYFUNCTION("""COMPUTED_VALUE"""),67)</f>
        <v>67</v>
      </c>
      <c r="AE131" s="1">
        <f ca="1">IFERROR(__xludf.DUMMYFUNCTION("""COMPUTED_VALUE"""),484)</f>
        <v>484</v>
      </c>
      <c r="AF131" s="1">
        <f ca="1">IFERROR(__xludf.DUMMYFUNCTION("""COMPUTED_VALUE"""),662)</f>
        <v>662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IFERROR(__xludf.DUMMYFUNCTION("""COMPUTED_VALUE"""),"Houston")</f>
        <v>Houston</v>
      </c>
      <c r="B134" s="1">
        <f ca="1">IFERROR(__xludf.DUMMYFUNCTION("""COMPUTED_VALUE"""),33)</f>
        <v>33</v>
      </c>
      <c r="C134" s="1">
        <f ca="1">IFERROR(__xludf.DUMMYFUNCTION("""COMPUTED_VALUE"""),17)</f>
        <v>17</v>
      </c>
      <c r="D134" s="1">
        <f ca="1">IFERROR(__xludf.DUMMYFUNCTION("""COMPUTED_VALUE"""),16)</f>
        <v>16</v>
      </c>
      <c r="E134" s="1">
        <f ca="1">IFERROR(__xludf.DUMMYFUNCTION("""COMPUTED_VALUE"""),0.515)</f>
        <v>0.51500000000000001</v>
      </c>
      <c r="F134" s="1">
        <f ca="1">IFERROR(__xludf.DUMMYFUNCTION("""COMPUTED_VALUE"""),2.68)</f>
        <v>2.68</v>
      </c>
      <c r="G134" s="1">
        <f ca="1">IFERROR(__xludf.DUMMYFUNCTION("""COMPUTED_VALUE"""),4.62)</f>
        <v>4.62</v>
      </c>
      <c r="H134" s="1">
        <f ca="1">IFERROR(__xludf.DUMMYFUNCTION("""COMPUTED_VALUE"""),8)</f>
        <v>8</v>
      </c>
      <c r="I134" s="1">
        <f ca="1">IFERROR(__xludf.DUMMYFUNCTION("""COMPUTED_VALUE"""),10)</f>
        <v>10</v>
      </c>
      <c r="J134" s="1">
        <f ca="1">IFERROR(__xludf.DUMMYFUNCTION("""COMPUTED_VALUE"""),12)</f>
        <v>12</v>
      </c>
      <c r="K134" s="1">
        <f ca="1">IFERROR(__xludf.DUMMYFUNCTION("""COMPUTED_VALUE"""),4)</f>
        <v>4</v>
      </c>
      <c r="L134" s="1">
        <f ca="1">IFERROR(__xludf.DUMMYFUNCTION("""COMPUTED_VALUE"""),3)</f>
        <v>3</v>
      </c>
      <c r="M134" s="1">
        <f ca="1">IFERROR(__xludf.DUMMYFUNCTION("""COMPUTED_VALUE"""),9)</f>
        <v>9</v>
      </c>
      <c r="N134" s="1">
        <f ca="1">IFERROR(__xludf.DUMMYFUNCTION("""COMPUTED_VALUE"""),2345)</f>
        <v>2345</v>
      </c>
      <c r="O134" s="1">
        <f ca="1">IFERROR(__xludf.DUMMYFUNCTION("""COMPUTED_VALUE"""),2409)</f>
        <v>2409</v>
      </c>
      <c r="P134" s="1">
        <f ca="1">IFERROR(__xludf.DUMMYFUNCTION("""COMPUTED_VALUE"""),1325)</f>
        <v>1325</v>
      </c>
      <c r="Q134" s="1">
        <f ca="1">IFERROR(__xludf.DUMMYFUNCTION("""COMPUTED_VALUE"""),833)</f>
        <v>833</v>
      </c>
      <c r="R134" s="1">
        <f ca="1">IFERROR(__xludf.DUMMYFUNCTION("""COMPUTED_VALUE"""),1833)</f>
        <v>1833</v>
      </c>
      <c r="S134" s="1">
        <f ca="1">IFERROR(__xludf.DUMMYFUNCTION("""COMPUTED_VALUE"""),0.454)</f>
        <v>0.45400000000000001</v>
      </c>
      <c r="T134" s="1">
        <f ca="1">IFERROR(__xludf.DUMMYFUNCTION("""COMPUTED_VALUE"""),212)</f>
        <v>212</v>
      </c>
      <c r="U134" s="1">
        <f ca="1">IFERROR(__xludf.DUMMYFUNCTION("""COMPUTED_VALUE"""),578)</f>
        <v>578</v>
      </c>
      <c r="V134" s="1">
        <f ca="1">IFERROR(__xludf.DUMMYFUNCTION("""COMPUTED_VALUE"""),0.367)</f>
        <v>0.36699999999999999</v>
      </c>
      <c r="W134" s="1">
        <f ca="1">IFERROR(__xludf.DUMMYFUNCTION("""COMPUTED_VALUE"""),467)</f>
        <v>467</v>
      </c>
      <c r="X134" s="1">
        <f ca="1">IFERROR(__xludf.DUMMYFUNCTION("""COMPUTED_VALUE"""),700)</f>
        <v>700</v>
      </c>
      <c r="Y134" s="1">
        <f ca="1">IFERROR(__xludf.DUMMYFUNCTION("""COMPUTED_VALUE"""),0.667)</f>
        <v>0.66700000000000004</v>
      </c>
      <c r="Z134" s="1">
        <f ca="1">IFERROR(__xludf.DUMMYFUNCTION("""COMPUTED_VALUE"""),359)</f>
        <v>359</v>
      </c>
      <c r="AA134" s="1">
        <f ca="1">IFERROR(__xludf.DUMMYFUNCTION("""COMPUTED_VALUE"""),1141)</f>
        <v>1141</v>
      </c>
      <c r="AB134" s="1">
        <f ca="1">IFERROR(__xludf.DUMMYFUNCTION("""COMPUTED_VALUE"""),486)</f>
        <v>486</v>
      </c>
      <c r="AC134" s="1">
        <f ca="1">IFERROR(__xludf.DUMMYFUNCTION("""COMPUTED_VALUE"""),179)</f>
        <v>179</v>
      </c>
      <c r="AD134" s="1">
        <f ca="1">IFERROR(__xludf.DUMMYFUNCTION("""COMPUTED_VALUE"""),182)</f>
        <v>182</v>
      </c>
      <c r="AE134" s="1">
        <f ca="1">IFERROR(__xludf.DUMMYFUNCTION("""COMPUTED_VALUE"""),421)</f>
        <v>421</v>
      </c>
      <c r="AF134" s="1">
        <f ca="1">IFERROR(__xludf.DUMMYFUNCTION("""COMPUTED_VALUE"""),603)</f>
        <v>603</v>
      </c>
    </row>
    <row r="135" spans="1:32" ht="12.5" x14ac:dyDescent="0.25">
      <c r="A135" s="1" t="str">
        <f ca="1">IFERROR(__xludf.DUMMYFUNCTION("""COMPUTED_VALUE"""),"Howard")</f>
        <v>Howard</v>
      </c>
      <c r="B135" s="1">
        <f ca="1">IFERROR(__xludf.DUMMYFUNCTION("""COMPUTED_VALUE"""),33)</f>
        <v>33</v>
      </c>
      <c r="C135" s="1">
        <f ca="1">IFERROR(__xludf.DUMMYFUNCTION("""COMPUTED_VALUE"""),8)</f>
        <v>8</v>
      </c>
      <c r="D135" s="1">
        <f ca="1">IFERROR(__xludf.DUMMYFUNCTION("""COMPUTED_VALUE"""),25)</f>
        <v>25</v>
      </c>
      <c r="E135" s="1">
        <f ca="1">IFERROR(__xludf.DUMMYFUNCTION("""COMPUTED_VALUE"""),0.242)</f>
        <v>0.24199999999999999</v>
      </c>
      <c r="F135" s="1">
        <f ca="1">IFERROR(__xludf.DUMMYFUNCTION("""COMPUTED_VALUE"""),-16.77)</f>
        <v>-16.77</v>
      </c>
      <c r="G135" s="1">
        <f ca="1">IFERROR(__xludf.DUMMYFUNCTION("""COMPUTED_VALUE"""),-5.22)</f>
        <v>-5.22</v>
      </c>
      <c r="H135" s="1">
        <f ca="1">IFERROR(__xludf.DUMMYFUNCTION("""COMPUTED_VALUE"""),5)</f>
        <v>5</v>
      </c>
      <c r="I135" s="1">
        <f ca="1">IFERROR(__xludf.DUMMYFUNCTION("""COMPUTED_VALUE"""),11)</f>
        <v>11</v>
      </c>
      <c r="J135" s="1">
        <f ca="1">IFERROR(__xludf.DUMMYFUNCTION("""COMPUTED_VALUE"""),4)</f>
        <v>4</v>
      </c>
      <c r="K135" s="1">
        <f ca="1">IFERROR(__xludf.DUMMYFUNCTION("""COMPUTED_VALUE"""),6)</f>
        <v>6</v>
      </c>
      <c r="L135" s="1">
        <f ca="1">IFERROR(__xludf.DUMMYFUNCTION("""COMPUTED_VALUE"""),2)</f>
        <v>2</v>
      </c>
      <c r="M135" s="1">
        <f ca="1">IFERROR(__xludf.DUMMYFUNCTION("""COMPUTED_VALUE"""),17)</f>
        <v>17</v>
      </c>
      <c r="N135" s="1">
        <f ca="1">IFERROR(__xludf.DUMMYFUNCTION("""COMPUTED_VALUE"""),2020)</f>
        <v>2020</v>
      </c>
      <c r="O135" s="1">
        <f ca="1">IFERROR(__xludf.DUMMYFUNCTION("""COMPUTED_VALUE"""),2344)</f>
        <v>2344</v>
      </c>
      <c r="P135" s="1">
        <f ca="1">IFERROR(__xludf.DUMMYFUNCTION("""COMPUTED_VALUE"""),1335)</f>
        <v>1335</v>
      </c>
      <c r="Q135" s="1">
        <f ca="1">IFERROR(__xludf.DUMMYFUNCTION("""COMPUTED_VALUE"""),639)</f>
        <v>639</v>
      </c>
      <c r="R135" s="1">
        <f ca="1">IFERROR(__xludf.DUMMYFUNCTION("""COMPUTED_VALUE"""),1690)</f>
        <v>1690</v>
      </c>
      <c r="S135" s="1">
        <f ca="1">IFERROR(__xludf.DUMMYFUNCTION("""COMPUTED_VALUE"""),0.378)</f>
        <v>0.378</v>
      </c>
      <c r="T135" s="1">
        <f ca="1">IFERROR(__xludf.DUMMYFUNCTION("""COMPUTED_VALUE"""),175)</f>
        <v>175</v>
      </c>
      <c r="U135" s="1">
        <f ca="1">IFERROR(__xludf.DUMMYFUNCTION("""COMPUTED_VALUE"""),519)</f>
        <v>519</v>
      </c>
      <c r="V135" s="1">
        <f ca="1">IFERROR(__xludf.DUMMYFUNCTION("""COMPUTED_VALUE"""),0.337)</f>
        <v>0.33700000000000002</v>
      </c>
      <c r="W135" s="1">
        <f ca="1">IFERROR(__xludf.DUMMYFUNCTION("""COMPUTED_VALUE"""),567)</f>
        <v>567</v>
      </c>
      <c r="X135" s="1">
        <f ca="1">IFERROR(__xludf.DUMMYFUNCTION("""COMPUTED_VALUE"""),835)</f>
        <v>835</v>
      </c>
      <c r="Y135" s="1">
        <f ca="1">IFERROR(__xludf.DUMMYFUNCTION("""COMPUTED_VALUE"""),0.679)</f>
        <v>0.67900000000000005</v>
      </c>
      <c r="Z135" s="1">
        <f ca="1">IFERROR(__xludf.DUMMYFUNCTION("""COMPUTED_VALUE"""),385)</f>
        <v>385</v>
      </c>
      <c r="AA135" s="1">
        <f ca="1">IFERROR(__xludf.DUMMYFUNCTION("""COMPUTED_VALUE"""),1096)</f>
        <v>1096</v>
      </c>
      <c r="AB135" s="1">
        <f ca="1">IFERROR(__xludf.DUMMYFUNCTION("""COMPUTED_VALUE"""),261)</f>
        <v>261</v>
      </c>
      <c r="AC135" s="1">
        <f ca="1">IFERROR(__xludf.DUMMYFUNCTION("""COMPUTED_VALUE"""),207)</f>
        <v>207</v>
      </c>
      <c r="AD135" s="1">
        <f ca="1">IFERROR(__xludf.DUMMYFUNCTION("""COMPUTED_VALUE"""),131)</f>
        <v>131</v>
      </c>
      <c r="AE135" s="1">
        <f ca="1">IFERROR(__xludf.DUMMYFUNCTION("""COMPUTED_VALUE"""),540)</f>
        <v>540</v>
      </c>
      <c r="AF135" s="1">
        <f ca="1">IFERROR(__xludf.DUMMYFUNCTION("""COMPUTED_VALUE"""),726)</f>
        <v>726</v>
      </c>
    </row>
    <row r="136" spans="1:32" ht="12.5" x14ac:dyDescent="0.25">
      <c r="A136" s="1" t="str">
        <f ca="1">IFERROR(__xludf.DUMMYFUNCTION("""COMPUTED_VALUE"""),"Idaho State")</f>
        <v>Idaho State</v>
      </c>
      <c r="B136" s="1">
        <f ca="1">IFERROR(__xludf.DUMMYFUNCTION("""COMPUTED_VALUE"""),29)</f>
        <v>29</v>
      </c>
      <c r="C136" s="1">
        <f ca="1">IFERROR(__xludf.DUMMYFUNCTION("""COMPUTED_VALUE"""),11)</f>
        <v>11</v>
      </c>
      <c r="D136" s="1">
        <f ca="1">IFERROR(__xludf.DUMMYFUNCTION("""COMPUTED_VALUE"""),18)</f>
        <v>18</v>
      </c>
      <c r="E136" s="1">
        <f ca="1">IFERROR(__xludf.DUMMYFUNCTION("""COMPUTED_VALUE"""),0.379)</f>
        <v>0.379</v>
      </c>
      <c r="F136" s="1">
        <f ca="1">IFERROR(__xludf.DUMMYFUNCTION("""COMPUTED_VALUE"""),-6.42)</f>
        <v>-6.42</v>
      </c>
      <c r="G136" s="1">
        <f ca="1">IFERROR(__xludf.DUMMYFUNCTION("""COMPUTED_VALUE"""),-4.72)</f>
        <v>-4.72</v>
      </c>
      <c r="H136" s="1">
        <f ca="1">IFERROR(__xludf.DUMMYFUNCTION("""COMPUTED_VALUE"""),8)</f>
        <v>8</v>
      </c>
      <c r="I136" s="1">
        <f ca="1">IFERROR(__xludf.DUMMYFUNCTION("""COMPUTED_VALUE"""),12)</f>
        <v>12</v>
      </c>
      <c r="J136" s="1">
        <f ca="1">IFERROR(__xludf.DUMMYFUNCTION("""COMPUTED_VALUE"""),9)</f>
        <v>9</v>
      </c>
      <c r="K136" s="1">
        <f ca="1">IFERROR(__xludf.DUMMYFUNCTION("""COMPUTED_VALUE"""),4)</f>
        <v>4</v>
      </c>
      <c r="L136" s="1">
        <f ca="1">IFERROR(__xludf.DUMMYFUNCTION("""COMPUTED_VALUE"""),2)</f>
        <v>2</v>
      </c>
      <c r="M136" s="1">
        <f ca="1">IFERROR(__xludf.DUMMYFUNCTION("""COMPUTED_VALUE"""),13)</f>
        <v>13</v>
      </c>
      <c r="N136" s="1">
        <f ca="1">IFERROR(__xludf.DUMMYFUNCTION("""COMPUTED_VALUE"""),2054)</f>
        <v>2054</v>
      </c>
      <c r="O136" s="1">
        <f ca="1">IFERROR(__xludf.DUMMYFUNCTION("""COMPUTED_VALUE"""),2036)</f>
        <v>2036</v>
      </c>
      <c r="P136" s="1">
        <f ca="1">IFERROR(__xludf.DUMMYFUNCTION("""COMPUTED_VALUE"""),1175)</f>
        <v>1175</v>
      </c>
      <c r="Q136" s="1">
        <f ca="1">IFERROR(__xludf.DUMMYFUNCTION("""COMPUTED_VALUE"""),694)</f>
        <v>694</v>
      </c>
      <c r="R136" s="1">
        <f ca="1">IFERROR(__xludf.DUMMYFUNCTION("""COMPUTED_VALUE"""),1547)</f>
        <v>1547</v>
      </c>
      <c r="S136" s="1">
        <f ca="1">IFERROR(__xludf.DUMMYFUNCTION("""COMPUTED_VALUE"""),0.449)</f>
        <v>0.44900000000000001</v>
      </c>
      <c r="T136" s="1">
        <f ca="1">IFERROR(__xludf.DUMMYFUNCTION("""COMPUTED_VALUE"""),166)</f>
        <v>166</v>
      </c>
      <c r="U136" s="1">
        <f ca="1">IFERROR(__xludf.DUMMYFUNCTION("""COMPUTED_VALUE"""),453)</f>
        <v>453</v>
      </c>
      <c r="V136" s="1">
        <f ca="1">IFERROR(__xludf.DUMMYFUNCTION("""COMPUTED_VALUE"""),0.366)</f>
        <v>0.36599999999999999</v>
      </c>
      <c r="W136" s="1">
        <f ca="1">IFERROR(__xludf.DUMMYFUNCTION("""COMPUTED_VALUE"""),500)</f>
        <v>500</v>
      </c>
      <c r="X136" s="1">
        <f ca="1">IFERROR(__xludf.DUMMYFUNCTION("""COMPUTED_VALUE"""),701)</f>
        <v>701</v>
      </c>
      <c r="Y136" s="1">
        <f ca="1">IFERROR(__xludf.DUMMYFUNCTION("""COMPUTED_VALUE"""),0.713)</f>
        <v>0.71299999999999997</v>
      </c>
      <c r="Z136" s="1">
        <f ca="1">IFERROR(__xludf.DUMMYFUNCTION("""COMPUTED_VALUE"""),347)</f>
        <v>347</v>
      </c>
      <c r="AA136" s="1">
        <f ca="1">IFERROR(__xludf.DUMMYFUNCTION("""COMPUTED_VALUE"""),1012)</f>
        <v>1012</v>
      </c>
      <c r="AB136" s="1">
        <f ca="1">IFERROR(__xludf.DUMMYFUNCTION("""COMPUTED_VALUE"""),342)</f>
        <v>342</v>
      </c>
      <c r="AC136" s="1">
        <f ca="1">IFERROR(__xludf.DUMMYFUNCTION("""COMPUTED_VALUE"""),210)</f>
        <v>210</v>
      </c>
      <c r="AD136" s="1">
        <f ca="1">IFERROR(__xludf.DUMMYFUNCTION("""COMPUTED_VALUE"""),78)</f>
        <v>78</v>
      </c>
      <c r="AE136" s="1">
        <f ca="1">IFERROR(__xludf.DUMMYFUNCTION("""COMPUTED_VALUE"""),360)</f>
        <v>360</v>
      </c>
      <c r="AF136" s="1">
        <f ca="1">IFERROR(__xludf.DUMMYFUNCTION("""COMPUTED_VALUE"""),525)</f>
        <v>525</v>
      </c>
    </row>
    <row r="137" spans="1:32" ht="12.5" x14ac:dyDescent="0.25">
      <c r="A137" s="1" t="str">
        <f ca="1">IFERROR(__xludf.DUMMYFUNCTION("""COMPUTED_VALUE"""),"Idaho")</f>
        <v>Idaho</v>
      </c>
      <c r="B137" s="1">
        <f ca="1">IFERROR(__xludf.DUMMYFUNCTION("""COMPUTED_VALUE"""),34)</f>
        <v>34</v>
      </c>
      <c r="C137" s="1">
        <f ca="1">IFERROR(__xludf.DUMMYFUNCTION("""COMPUTED_VALUE"""),16)</f>
        <v>16</v>
      </c>
      <c r="D137" s="1">
        <f ca="1">IFERROR(__xludf.DUMMYFUNCTION("""COMPUTED_VALUE"""),18)</f>
        <v>18</v>
      </c>
      <c r="E137" s="1">
        <f ca="1">IFERROR(__xludf.DUMMYFUNCTION("""COMPUTED_VALUE"""),0.471)</f>
        <v>0.47099999999999997</v>
      </c>
      <c r="F137" s="1">
        <f ca="1">IFERROR(__xludf.DUMMYFUNCTION("""COMPUTED_VALUE"""),-6.42)</f>
        <v>-6.42</v>
      </c>
      <c r="G137" s="1">
        <f ca="1">IFERROR(__xludf.DUMMYFUNCTION("""COMPUTED_VALUE"""),-3.72)</f>
        <v>-3.72</v>
      </c>
      <c r="H137" s="1">
        <f ca="1">IFERROR(__xludf.DUMMYFUNCTION("""COMPUTED_VALUE"""),7)</f>
        <v>7</v>
      </c>
      <c r="I137" s="1">
        <f ca="1">IFERROR(__xludf.DUMMYFUNCTION("""COMPUTED_VALUE"""),9)</f>
        <v>9</v>
      </c>
      <c r="J137" s="1">
        <f ca="1">IFERROR(__xludf.DUMMYFUNCTION("""COMPUTED_VALUE"""),7)</f>
        <v>7</v>
      </c>
      <c r="K137" s="1">
        <f ca="1">IFERROR(__xludf.DUMMYFUNCTION("""COMPUTED_VALUE"""),6)</f>
        <v>6</v>
      </c>
      <c r="L137" s="1">
        <f ca="1">IFERROR(__xludf.DUMMYFUNCTION("""COMPUTED_VALUE"""),5)</f>
        <v>5</v>
      </c>
      <c r="M137" s="1">
        <f ca="1">IFERROR(__xludf.DUMMYFUNCTION("""COMPUTED_VALUE"""),9)</f>
        <v>9</v>
      </c>
      <c r="N137" s="1">
        <f ca="1">IFERROR(__xludf.DUMMYFUNCTION("""COMPUTED_VALUE"""),2461)</f>
        <v>2461</v>
      </c>
      <c r="O137" s="1">
        <f ca="1">IFERROR(__xludf.DUMMYFUNCTION("""COMPUTED_VALUE"""),2536)</f>
        <v>2536</v>
      </c>
      <c r="P137" s="1">
        <f ca="1">IFERROR(__xludf.DUMMYFUNCTION("""COMPUTED_VALUE"""),1375)</f>
        <v>1375</v>
      </c>
      <c r="Q137" s="1">
        <f ca="1">IFERROR(__xludf.DUMMYFUNCTION("""COMPUTED_VALUE"""),833)</f>
        <v>833</v>
      </c>
      <c r="R137" s="1">
        <f ca="1">IFERROR(__xludf.DUMMYFUNCTION("""COMPUTED_VALUE"""),1865)</f>
        <v>1865</v>
      </c>
      <c r="S137" s="1">
        <f ca="1">IFERROR(__xludf.DUMMYFUNCTION("""COMPUTED_VALUE"""),0.447)</f>
        <v>0.44700000000000001</v>
      </c>
      <c r="T137" s="1">
        <f ca="1">IFERROR(__xludf.DUMMYFUNCTION("""COMPUTED_VALUE"""),216)</f>
        <v>216</v>
      </c>
      <c r="U137" s="1">
        <f ca="1">IFERROR(__xludf.DUMMYFUNCTION("""COMPUTED_VALUE"""),608)</f>
        <v>608</v>
      </c>
      <c r="V137" s="1">
        <f ca="1">IFERROR(__xludf.DUMMYFUNCTION("""COMPUTED_VALUE"""),0.355)</f>
        <v>0.35499999999999998</v>
      </c>
      <c r="W137" s="1">
        <f ca="1">IFERROR(__xludf.DUMMYFUNCTION("""COMPUTED_VALUE"""),579)</f>
        <v>579</v>
      </c>
      <c r="X137" s="1">
        <f ca="1">IFERROR(__xludf.DUMMYFUNCTION("""COMPUTED_VALUE"""),842)</f>
        <v>842</v>
      </c>
      <c r="Y137" s="1">
        <f ca="1">IFERROR(__xludf.DUMMYFUNCTION("""COMPUTED_VALUE"""),0.688)</f>
        <v>0.68799999999999994</v>
      </c>
      <c r="Z137" s="1">
        <f ca="1">IFERROR(__xludf.DUMMYFUNCTION("""COMPUTED_VALUE"""),358)</f>
        <v>358</v>
      </c>
      <c r="AA137" s="1">
        <f ca="1">IFERROR(__xludf.DUMMYFUNCTION("""COMPUTED_VALUE"""),1161)</f>
        <v>1161</v>
      </c>
      <c r="AB137" s="1">
        <f ca="1">IFERROR(__xludf.DUMMYFUNCTION("""COMPUTED_VALUE"""),384)</f>
        <v>384</v>
      </c>
      <c r="AC137" s="1">
        <f ca="1">IFERROR(__xludf.DUMMYFUNCTION("""COMPUTED_VALUE"""),146)</f>
        <v>146</v>
      </c>
      <c r="AD137" s="1">
        <f ca="1">IFERROR(__xludf.DUMMYFUNCTION("""COMPUTED_VALUE"""),58)</f>
        <v>58</v>
      </c>
      <c r="AE137" s="1">
        <f ca="1">IFERROR(__xludf.DUMMYFUNCTION("""COMPUTED_VALUE"""),388)</f>
        <v>388</v>
      </c>
      <c r="AF137" s="1">
        <f ca="1">IFERROR(__xludf.DUMMYFUNCTION("""COMPUTED_VALUE"""),702)</f>
        <v>702</v>
      </c>
    </row>
    <row r="138" spans="1:32" ht="12.5" x14ac:dyDescent="0.25">
      <c r="A138" s="1" t="str">
        <f ca="1">IFERROR(__xludf.DUMMYFUNCTION("""COMPUTED_VALUE"""),"Illinois-Chicago")</f>
        <v>Illinois-Chicago</v>
      </c>
      <c r="B138" s="1">
        <f ca="1">IFERROR(__xludf.DUMMYFUNCTION("""COMPUTED_VALUE"""),31)</f>
        <v>31</v>
      </c>
      <c r="C138" s="1">
        <f ca="1">IFERROR(__xludf.DUMMYFUNCTION("""COMPUTED_VALUE"""),6)</f>
        <v>6</v>
      </c>
      <c r="D138" s="1">
        <f ca="1">IFERROR(__xludf.DUMMYFUNCTION("""COMPUTED_VALUE"""),25)</f>
        <v>25</v>
      </c>
      <c r="E138" s="1">
        <f ca="1">IFERROR(__xludf.DUMMYFUNCTION("""COMPUTED_VALUE"""),0.194)</f>
        <v>0.19400000000000001</v>
      </c>
      <c r="F138" s="1">
        <f ca="1">IFERROR(__xludf.DUMMYFUNCTION("""COMPUTED_VALUE"""),-7.17)</f>
        <v>-7.17</v>
      </c>
      <c r="G138" s="1">
        <f ca="1">IFERROR(__xludf.DUMMYFUNCTION("""COMPUTED_VALUE"""),0.63)</f>
        <v>0.63</v>
      </c>
      <c r="H138" s="1">
        <f ca="1">IFERROR(__xludf.DUMMYFUNCTION("""COMPUTED_VALUE"""),1)</f>
        <v>1</v>
      </c>
      <c r="I138" s="1">
        <f ca="1">IFERROR(__xludf.DUMMYFUNCTION("""COMPUTED_VALUE"""),15)</f>
        <v>15</v>
      </c>
      <c r="J138" s="1">
        <f ca="1">IFERROR(__xludf.DUMMYFUNCTION("""COMPUTED_VALUE"""),2)</f>
        <v>2</v>
      </c>
      <c r="K138" s="1">
        <f ca="1">IFERROR(__xludf.DUMMYFUNCTION("""COMPUTED_VALUE"""),12)</f>
        <v>12</v>
      </c>
      <c r="L138" s="1">
        <f ca="1">IFERROR(__xludf.DUMMYFUNCTION("""COMPUTED_VALUE"""),2)</f>
        <v>2</v>
      </c>
      <c r="M138" s="1">
        <f ca="1">IFERROR(__xludf.DUMMYFUNCTION("""COMPUTED_VALUE"""),11)</f>
        <v>11</v>
      </c>
      <c r="N138" s="1">
        <f ca="1">IFERROR(__xludf.DUMMYFUNCTION("""COMPUTED_VALUE"""),2071)</f>
        <v>2071</v>
      </c>
      <c r="O138" s="1">
        <f ca="1">IFERROR(__xludf.DUMMYFUNCTION("""COMPUTED_VALUE"""),2248)</f>
        <v>2248</v>
      </c>
      <c r="P138" s="1">
        <f ca="1">IFERROR(__xludf.DUMMYFUNCTION("""COMPUTED_VALUE"""),1240)</f>
        <v>1240</v>
      </c>
      <c r="Q138" s="1">
        <f ca="1">IFERROR(__xludf.DUMMYFUNCTION("""COMPUTED_VALUE"""),714)</f>
        <v>714</v>
      </c>
      <c r="R138" s="1">
        <f ca="1">IFERROR(__xludf.DUMMYFUNCTION("""COMPUTED_VALUE"""),1696)</f>
        <v>1696</v>
      </c>
      <c r="S138" s="1">
        <f ca="1">IFERROR(__xludf.DUMMYFUNCTION("""COMPUTED_VALUE"""),0.421)</f>
        <v>0.42099999999999999</v>
      </c>
      <c r="T138" s="1">
        <f ca="1">IFERROR(__xludf.DUMMYFUNCTION("""COMPUTED_VALUE"""),172)</f>
        <v>172</v>
      </c>
      <c r="U138" s="1">
        <f ca="1">IFERROR(__xludf.DUMMYFUNCTION("""COMPUTED_VALUE"""),525)</f>
        <v>525</v>
      </c>
      <c r="V138" s="1">
        <f ca="1">IFERROR(__xludf.DUMMYFUNCTION("""COMPUTED_VALUE"""),0.328)</f>
        <v>0.32800000000000001</v>
      </c>
      <c r="W138" s="1">
        <f ca="1">IFERROR(__xludf.DUMMYFUNCTION("""COMPUTED_VALUE"""),471)</f>
        <v>471</v>
      </c>
      <c r="X138" s="1">
        <f ca="1">IFERROR(__xludf.DUMMYFUNCTION("""COMPUTED_VALUE"""),660)</f>
        <v>660</v>
      </c>
      <c r="Y138" s="1">
        <f ca="1">IFERROR(__xludf.DUMMYFUNCTION("""COMPUTED_VALUE"""),0.714)</f>
        <v>0.71399999999999997</v>
      </c>
      <c r="Z138" s="1">
        <f ca="1">IFERROR(__xludf.DUMMYFUNCTION("""COMPUTED_VALUE"""),336)</f>
        <v>336</v>
      </c>
      <c r="AA138" s="1">
        <f ca="1">IFERROR(__xludf.DUMMYFUNCTION("""COMPUTED_VALUE"""),1054)</f>
        <v>1054</v>
      </c>
      <c r="AB138" s="1">
        <f ca="1">IFERROR(__xludf.DUMMYFUNCTION("""COMPUTED_VALUE"""),346)</f>
        <v>346</v>
      </c>
      <c r="AC138" s="1">
        <f ca="1">IFERROR(__xludf.DUMMYFUNCTION("""COMPUTED_VALUE"""),171)</f>
        <v>171</v>
      </c>
      <c r="AD138" s="1">
        <f ca="1">IFERROR(__xludf.DUMMYFUNCTION("""COMPUTED_VALUE"""),55)</f>
        <v>55</v>
      </c>
      <c r="AE138" s="1">
        <f ca="1">IFERROR(__xludf.DUMMYFUNCTION("""COMPUTED_VALUE"""),388)</f>
        <v>388</v>
      </c>
      <c r="AF138" s="1">
        <f ca="1">IFERROR(__xludf.DUMMYFUNCTION("""COMPUTED_VALUE"""),672)</f>
        <v>672</v>
      </c>
    </row>
    <row r="139" spans="1:32" ht="12.5" x14ac:dyDescent="0.25">
      <c r="A139" s="1" t="str">
        <f ca="1">IFERROR(__xludf.DUMMYFUNCTION("""COMPUTED_VALUE"""),"Illinois State")</f>
        <v>Illinois State</v>
      </c>
      <c r="B139" s="1">
        <f ca="1">IFERROR(__xludf.DUMMYFUNCTION("""COMPUTED_VALUE"""),34)</f>
        <v>34</v>
      </c>
      <c r="C139" s="1">
        <f ca="1">IFERROR(__xludf.DUMMYFUNCTION("""COMPUTED_VALUE"""),18)</f>
        <v>18</v>
      </c>
      <c r="D139" s="1">
        <f ca="1">IFERROR(__xludf.DUMMYFUNCTION("""COMPUTED_VALUE"""),16)</f>
        <v>16</v>
      </c>
      <c r="E139" s="1">
        <f ca="1">IFERROR(__xludf.DUMMYFUNCTION("""COMPUTED_VALUE"""),0.529)</f>
        <v>0.52900000000000003</v>
      </c>
      <c r="F139" s="1">
        <f ca="1">IFERROR(__xludf.DUMMYFUNCTION("""COMPUTED_VALUE"""),1.08)</f>
        <v>1.08</v>
      </c>
      <c r="G139" s="1">
        <f ca="1">IFERROR(__xludf.DUMMYFUNCTION("""COMPUTED_VALUE"""),1.77)</f>
        <v>1.77</v>
      </c>
      <c r="H139" s="1">
        <f ca="1">IFERROR(__xludf.DUMMYFUNCTION("""COMPUTED_VALUE"""),9)</f>
        <v>9</v>
      </c>
      <c r="I139" s="1">
        <f ca="1">IFERROR(__xludf.DUMMYFUNCTION("""COMPUTED_VALUE"""),9)</f>
        <v>9</v>
      </c>
      <c r="J139" s="1">
        <f ca="1">IFERROR(__xludf.DUMMYFUNCTION("""COMPUTED_VALUE"""),14)</f>
        <v>14</v>
      </c>
      <c r="K139" s="1">
        <f ca="1">IFERROR(__xludf.DUMMYFUNCTION("""COMPUTED_VALUE"""),3)</f>
        <v>3</v>
      </c>
      <c r="L139" s="1">
        <f ca="1">IFERROR(__xludf.DUMMYFUNCTION("""COMPUTED_VALUE"""),3)</f>
        <v>3</v>
      </c>
      <c r="M139" s="1">
        <f ca="1">IFERROR(__xludf.DUMMYFUNCTION("""COMPUTED_VALUE"""),11)</f>
        <v>11</v>
      </c>
      <c r="N139" s="1">
        <f ca="1">IFERROR(__xludf.DUMMYFUNCTION("""COMPUTED_VALUE"""),2323)</f>
        <v>2323</v>
      </c>
      <c r="O139" s="1">
        <f ca="1">IFERROR(__xludf.DUMMYFUNCTION("""COMPUTED_VALUE"""),2329)</f>
        <v>2329</v>
      </c>
      <c r="P139" s="1">
        <f ca="1">IFERROR(__xludf.DUMMYFUNCTION("""COMPUTED_VALUE"""),1375)</f>
        <v>1375</v>
      </c>
      <c r="Q139" s="1">
        <f ca="1">IFERROR(__xludf.DUMMYFUNCTION("""COMPUTED_VALUE"""),767)</f>
        <v>767</v>
      </c>
      <c r="R139" s="1">
        <f ca="1">IFERROR(__xludf.DUMMYFUNCTION("""COMPUTED_VALUE"""),1886)</f>
        <v>1886</v>
      </c>
      <c r="S139" s="1">
        <f ca="1">IFERROR(__xludf.DUMMYFUNCTION("""COMPUTED_VALUE"""),0.407)</f>
        <v>0.40699999999999997</v>
      </c>
      <c r="T139" s="1">
        <f ca="1">IFERROR(__xludf.DUMMYFUNCTION("""COMPUTED_VALUE"""),244)</f>
        <v>244</v>
      </c>
      <c r="U139" s="1">
        <f ca="1">IFERROR(__xludf.DUMMYFUNCTION("""COMPUTED_VALUE"""),781)</f>
        <v>781</v>
      </c>
      <c r="V139" s="1">
        <f ca="1">IFERROR(__xludf.DUMMYFUNCTION("""COMPUTED_VALUE"""),0.312)</f>
        <v>0.312</v>
      </c>
      <c r="W139" s="1">
        <f ca="1">IFERROR(__xludf.DUMMYFUNCTION("""COMPUTED_VALUE"""),545)</f>
        <v>545</v>
      </c>
      <c r="X139" s="1">
        <f ca="1">IFERROR(__xludf.DUMMYFUNCTION("""COMPUTED_VALUE"""),774)</f>
        <v>774</v>
      </c>
      <c r="Y139" s="1">
        <f ca="1">IFERROR(__xludf.DUMMYFUNCTION("""COMPUTED_VALUE"""),0.704)</f>
        <v>0.70399999999999996</v>
      </c>
      <c r="Z139" s="1">
        <f ca="1">IFERROR(__xludf.DUMMYFUNCTION("""COMPUTED_VALUE"""),338)</f>
        <v>338</v>
      </c>
      <c r="AA139" s="1">
        <f ca="1">IFERROR(__xludf.DUMMYFUNCTION("""COMPUTED_VALUE"""),1181)</f>
        <v>1181</v>
      </c>
      <c r="AB139" s="1">
        <f ca="1">IFERROR(__xludf.DUMMYFUNCTION("""COMPUTED_VALUE"""),409)</f>
        <v>409</v>
      </c>
      <c r="AC139" s="1">
        <f ca="1">IFERROR(__xludf.DUMMYFUNCTION("""COMPUTED_VALUE"""),262)</f>
        <v>262</v>
      </c>
      <c r="AD139" s="1">
        <f ca="1">IFERROR(__xludf.DUMMYFUNCTION("""COMPUTED_VALUE"""),160)</f>
        <v>160</v>
      </c>
      <c r="AE139" s="1">
        <f ca="1">IFERROR(__xludf.DUMMYFUNCTION("""COMPUTED_VALUE"""),420)</f>
        <v>420</v>
      </c>
      <c r="AF139" s="1">
        <f ca="1">IFERROR(__xludf.DUMMYFUNCTION("""COMPUTED_VALUE"""),696)</f>
        <v>696</v>
      </c>
    </row>
    <row r="140" spans="1:32" ht="12.5" x14ac:dyDescent="0.25">
      <c r="A140" s="1" t="str">
        <f ca="1">IFERROR(__xludf.DUMMYFUNCTION("""COMPUTED_VALUE"""),"Illinois")</f>
        <v>Illinois</v>
      </c>
      <c r="B140" s="1">
        <f ca="1">IFERROR(__xludf.DUMMYFUNCTION("""COMPUTED_VALUE"""),35)</f>
        <v>35</v>
      </c>
      <c r="C140" s="1">
        <f ca="1">IFERROR(__xludf.DUMMYFUNCTION("""COMPUTED_VALUE"""),20)</f>
        <v>20</v>
      </c>
      <c r="D140" s="1">
        <f ca="1">IFERROR(__xludf.DUMMYFUNCTION("""COMPUTED_VALUE"""),15)</f>
        <v>15</v>
      </c>
      <c r="E140" s="1">
        <f ca="1">IFERROR(__xludf.DUMMYFUNCTION("""COMPUTED_VALUE"""),0.571)</f>
        <v>0.57099999999999995</v>
      </c>
      <c r="F140" s="1">
        <f ca="1">IFERROR(__xludf.DUMMYFUNCTION("""COMPUTED_VALUE"""),10.33)</f>
        <v>10.33</v>
      </c>
      <c r="G140" s="1">
        <f ca="1">IFERROR(__xludf.DUMMYFUNCTION("""COMPUTED_VALUE"""),8.28)</f>
        <v>8.2799999999999994</v>
      </c>
      <c r="H140" s="1">
        <f ca="1">IFERROR(__xludf.DUMMYFUNCTION("""COMPUTED_VALUE"""),7)</f>
        <v>7</v>
      </c>
      <c r="I140" s="1">
        <f ca="1">IFERROR(__xludf.DUMMYFUNCTION("""COMPUTED_VALUE"""),11)</f>
        <v>11</v>
      </c>
      <c r="J140" s="1">
        <f ca="1">IFERROR(__xludf.DUMMYFUNCTION("""COMPUTED_VALUE"""),10)</f>
        <v>10</v>
      </c>
      <c r="K140" s="1">
        <f ca="1">IFERROR(__xludf.DUMMYFUNCTION("""COMPUTED_VALUE"""),6)</f>
        <v>6</v>
      </c>
      <c r="L140" s="1">
        <f ca="1">IFERROR(__xludf.DUMMYFUNCTION("""COMPUTED_VALUE"""),6)</f>
        <v>6</v>
      </c>
      <c r="M140" s="1">
        <f ca="1">IFERROR(__xludf.DUMMYFUNCTION("""COMPUTED_VALUE"""),7)</f>
        <v>7</v>
      </c>
      <c r="N140" s="1">
        <f ca="1">IFERROR(__xludf.DUMMYFUNCTION("""COMPUTED_VALUE"""),2248)</f>
        <v>2248</v>
      </c>
      <c r="O140" s="1">
        <f ca="1">IFERROR(__xludf.DUMMYFUNCTION("""COMPUTED_VALUE"""),2176)</f>
        <v>2176</v>
      </c>
      <c r="P140" s="1">
        <f ca="1">IFERROR(__xludf.DUMMYFUNCTION("""COMPUTED_VALUE"""),1405)</f>
        <v>1405</v>
      </c>
      <c r="Q140" s="1">
        <f ca="1">IFERROR(__xludf.DUMMYFUNCTION("""COMPUTED_VALUE"""),797)</f>
        <v>797</v>
      </c>
      <c r="R140" s="1">
        <f ca="1">IFERROR(__xludf.DUMMYFUNCTION("""COMPUTED_VALUE"""),1941)</f>
        <v>1941</v>
      </c>
      <c r="S140" s="1">
        <f ca="1">IFERROR(__xludf.DUMMYFUNCTION("""COMPUTED_VALUE"""),0.411)</f>
        <v>0.41099999999999998</v>
      </c>
      <c r="T140" s="1">
        <f ca="1">IFERROR(__xludf.DUMMYFUNCTION("""COMPUTED_VALUE"""),210)</f>
        <v>210</v>
      </c>
      <c r="U140" s="1">
        <f ca="1">IFERROR(__xludf.DUMMYFUNCTION("""COMPUTED_VALUE"""),662)</f>
        <v>662</v>
      </c>
      <c r="V140" s="1">
        <f ca="1">IFERROR(__xludf.DUMMYFUNCTION("""COMPUTED_VALUE"""),0.317)</f>
        <v>0.317</v>
      </c>
      <c r="W140" s="1">
        <f ca="1">IFERROR(__xludf.DUMMYFUNCTION("""COMPUTED_VALUE"""),444)</f>
        <v>444</v>
      </c>
      <c r="X140" s="1">
        <f ca="1">IFERROR(__xludf.DUMMYFUNCTION("""COMPUTED_VALUE"""),606)</f>
        <v>606</v>
      </c>
      <c r="Y140" s="1">
        <f ca="1">IFERROR(__xludf.DUMMYFUNCTION("""COMPUTED_VALUE"""),0.733)</f>
        <v>0.73299999999999998</v>
      </c>
      <c r="Z140" s="1">
        <f ca="1">IFERROR(__xludf.DUMMYFUNCTION("""COMPUTED_VALUE"""),375)</f>
        <v>375</v>
      </c>
      <c r="AA140" s="1">
        <f ca="1">IFERROR(__xludf.DUMMYFUNCTION("""COMPUTED_VALUE"""),1181)</f>
        <v>1181</v>
      </c>
      <c r="AB140" s="1">
        <f ca="1">IFERROR(__xludf.DUMMYFUNCTION("""COMPUTED_VALUE"""),351)</f>
        <v>351</v>
      </c>
      <c r="AC140" s="1">
        <f ca="1">IFERROR(__xludf.DUMMYFUNCTION("""COMPUTED_VALUE"""),215)</f>
        <v>215</v>
      </c>
      <c r="AD140" s="1">
        <f ca="1">IFERROR(__xludf.DUMMYFUNCTION("""COMPUTED_VALUE"""),127)</f>
        <v>127</v>
      </c>
      <c r="AE140" s="1">
        <f ca="1">IFERROR(__xludf.DUMMYFUNCTION("""COMPUTED_VALUE"""),364)</f>
        <v>364</v>
      </c>
      <c r="AF140" s="1">
        <f ca="1">IFERROR(__xludf.DUMMYFUNCTION("""COMPUTED_VALUE"""),587)</f>
        <v>587</v>
      </c>
    </row>
    <row r="141" spans="1:32" ht="12.5" x14ac:dyDescent="0.25">
      <c r="A141" s="1" t="str">
        <f ca="1">IFERROR(__xludf.DUMMYFUNCTION("""COMPUTED_VALUE"""),"Incarnate Word")</f>
        <v>Incarnate Word</v>
      </c>
      <c r="B141" s="1">
        <f ca="1">IFERROR(__xludf.DUMMYFUNCTION("""COMPUTED_VALUE"""),27)</f>
        <v>27</v>
      </c>
      <c r="C141" s="1">
        <f ca="1">IFERROR(__xludf.DUMMYFUNCTION("""COMPUTED_VALUE"""),21)</f>
        <v>21</v>
      </c>
      <c r="D141" s="1">
        <f ca="1">IFERROR(__xludf.DUMMYFUNCTION("""COMPUTED_VALUE"""),6)</f>
        <v>6</v>
      </c>
      <c r="E141" s="1">
        <f ca="1">IFERROR(__xludf.DUMMYFUNCTION("""COMPUTED_VALUE"""),0.778)</f>
        <v>0.77800000000000002</v>
      </c>
      <c r="F141" s="1">
        <f ca="1">IFERROR(__xludf.DUMMYFUNCTION("""COMPUTED_VALUE"""),-8.47)</f>
        <v>-8.4700000000000006</v>
      </c>
      <c r="G141" s="1">
        <f ca="1">IFERROR(__xludf.DUMMYFUNCTION("""COMPUTED_VALUE"""),-10.74)</f>
        <v>-10.74</v>
      </c>
      <c r="H141" s="1">
        <f ca="1">IFERROR(__xludf.DUMMYFUNCTION("""COMPUTED_VALUE"""),9)</f>
        <v>9</v>
      </c>
      <c r="I141" s="1">
        <f ca="1">IFERROR(__xludf.DUMMYFUNCTION("""COMPUTED_VALUE"""),5)</f>
        <v>5</v>
      </c>
      <c r="J141" s="1">
        <f ca="1">IFERROR(__xludf.DUMMYFUNCTION("""COMPUTED_VALUE"""),14)</f>
        <v>14</v>
      </c>
      <c r="K141" s="1">
        <f ca="1">IFERROR(__xludf.DUMMYFUNCTION("""COMPUTED_VALUE"""),1)</f>
        <v>1</v>
      </c>
      <c r="L141" s="1">
        <f ca="1">IFERROR(__xludf.DUMMYFUNCTION("""COMPUTED_VALUE"""),7)</f>
        <v>7</v>
      </c>
      <c r="M141" s="1">
        <f ca="1">IFERROR(__xludf.DUMMYFUNCTION("""COMPUTED_VALUE"""),5)</f>
        <v>5</v>
      </c>
      <c r="N141" s="1">
        <f ca="1">IFERROR(__xludf.DUMMYFUNCTION("""COMPUTED_VALUE"""),2216)</f>
        <v>2216</v>
      </c>
      <c r="O141" s="1">
        <f ca="1">IFERROR(__xludf.DUMMYFUNCTION("""COMPUTED_VALUE"""),1935)</f>
        <v>1935</v>
      </c>
      <c r="P141" s="1">
        <f ca="1">IFERROR(__xludf.DUMMYFUNCTION("""COMPUTED_VALUE"""),1085)</f>
        <v>1085</v>
      </c>
      <c r="Q141" s="1">
        <f ca="1">IFERROR(__xludf.DUMMYFUNCTION("""COMPUTED_VALUE"""),771)</f>
        <v>771</v>
      </c>
      <c r="R141" s="1">
        <f ca="1">IFERROR(__xludf.DUMMYFUNCTION("""COMPUTED_VALUE"""),1581)</f>
        <v>1581</v>
      </c>
      <c r="S141" s="1">
        <f ca="1">IFERROR(__xludf.DUMMYFUNCTION("""COMPUTED_VALUE"""),0.488)</f>
        <v>0.48799999999999999</v>
      </c>
      <c r="T141" s="1">
        <f ca="1">IFERROR(__xludf.DUMMYFUNCTION("""COMPUTED_VALUE"""),203)</f>
        <v>203</v>
      </c>
      <c r="U141" s="1">
        <f ca="1">IFERROR(__xludf.DUMMYFUNCTION("""COMPUTED_VALUE"""),522)</f>
        <v>522</v>
      </c>
      <c r="V141" s="1">
        <f ca="1">IFERROR(__xludf.DUMMYFUNCTION("""COMPUTED_VALUE"""),0.389)</f>
        <v>0.38900000000000001</v>
      </c>
      <c r="W141" s="1">
        <f ca="1">IFERROR(__xludf.DUMMYFUNCTION("""COMPUTED_VALUE"""),471)</f>
        <v>471</v>
      </c>
      <c r="X141" s="1">
        <f ca="1">IFERROR(__xludf.DUMMYFUNCTION("""COMPUTED_VALUE"""),688)</f>
        <v>688</v>
      </c>
      <c r="Y141" s="1">
        <f ca="1">IFERROR(__xludf.DUMMYFUNCTION("""COMPUTED_VALUE"""),0.685)</f>
        <v>0.68500000000000005</v>
      </c>
      <c r="Z141" s="1">
        <f ca="1">IFERROR(__xludf.DUMMYFUNCTION("""COMPUTED_VALUE"""),301)</f>
        <v>301</v>
      </c>
      <c r="AA141" s="1">
        <f ca="1">IFERROR(__xludf.DUMMYFUNCTION("""COMPUTED_VALUE"""),1070)</f>
        <v>1070</v>
      </c>
      <c r="AB141" s="1">
        <f ca="1">IFERROR(__xludf.DUMMYFUNCTION("""COMPUTED_VALUE"""),426)</f>
        <v>426</v>
      </c>
      <c r="AC141" s="1">
        <f ca="1">IFERROR(__xludf.DUMMYFUNCTION("""COMPUTED_VALUE"""),177)</f>
        <v>177</v>
      </c>
      <c r="AD141" s="1">
        <f ca="1">IFERROR(__xludf.DUMMYFUNCTION("""COMPUTED_VALUE"""),115)</f>
        <v>115</v>
      </c>
      <c r="AE141" s="1">
        <f ca="1">IFERROR(__xludf.DUMMYFUNCTION("""COMPUTED_VALUE"""),376)</f>
        <v>376</v>
      </c>
      <c r="AF141" s="1">
        <f ca="1">IFERROR(__xludf.DUMMYFUNCTION("""COMPUTED_VALUE"""),480)</f>
        <v>480</v>
      </c>
    </row>
    <row r="142" spans="1:32" ht="12.5" x14ac:dyDescent="0.25">
      <c r="A142" s="1" t="str">
        <f ca="1">IFERROR(__xludf.DUMMYFUNCTION("""COMPUTED_VALUE"""),"Indiana State")</f>
        <v>Indiana State</v>
      </c>
      <c r="B142" s="1">
        <f ca="1">IFERROR(__xludf.DUMMYFUNCTION("""COMPUTED_VALUE"""),34)</f>
        <v>34</v>
      </c>
      <c r="C142" s="1">
        <f ca="1">IFERROR(__xludf.DUMMYFUNCTION("""COMPUTED_VALUE"""),23)</f>
        <v>23</v>
      </c>
      <c r="D142" s="1">
        <f ca="1">IFERROR(__xludf.DUMMYFUNCTION("""COMPUTED_VALUE"""),11)</f>
        <v>11</v>
      </c>
      <c r="E142" s="1">
        <f ca="1">IFERROR(__xludf.DUMMYFUNCTION("""COMPUTED_VALUE"""),0.676)</f>
        <v>0.67600000000000005</v>
      </c>
      <c r="F142" s="1">
        <f ca="1">IFERROR(__xludf.DUMMYFUNCTION("""COMPUTED_VALUE"""),3.29)</f>
        <v>3.29</v>
      </c>
      <c r="G142" s="1">
        <f ca="1">IFERROR(__xludf.DUMMYFUNCTION("""COMPUTED_VALUE"""),1.19)</f>
        <v>1.19</v>
      </c>
      <c r="H142" s="1">
        <f ca="1">IFERROR(__xludf.DUMMYFUNCTION("""COMPUTED_VALUE"""),12)</f>
        <v>12</v>
      </c>
      <c r="I142" s="1">
        <f ca="1">IFERROR(__xludf.DUMMYFUNCTION("""COMPUTED_VALUE"""),6)</f>
        <v>6</v>
      </c>
      <c r="J142" s="1">
        <f ca="1">IFERROR(__xludf.DUMMYFUNCTION("""COMPUTED_VALUE"""),11)</f>
        <v>11</v>
      </c>
      <c r="K142" s="1">
        <f ca="1">IFERROR(__xludf.DUMMYFUNCTION("""COMPUTED_VALUE"""),2)</f>
        <v>2</v>
      </c>
      <c r="L142" s="1">
        <f ca="1">IFERROR(__xludf.DUMMYFUNCTION("""COMPUTED_VALUE"""),8)</f>
        <v>8</v>
      </c>
      <c r="M142" s="1">
        <f ca="1">IFERROR(__xludf.DUMMYFUNCTION("""COMPUTED_VALUE"""),7)</f>
        <v>7</v>
      </c>
      <c r="N142" s="1">
        <f ca="1">IFERROR(__xludf.DUMMYFUNCTION("""COMPUTED_VALUE"""),2416)</f>
        <v>2416</v>
      </c>
      <c r="O142" s="1">
        <f ca="1">IFERROR(__xludf.DUMMYFUNCTION("""COMPUTED_VALUE"""),2328)</f>
        <v>2328</v>
      </c>
      <c r="P142" s="1">
        <f ca="1">IFERROR(__xludf.DUMMYFUNCTION("""COMPUTED_VALUE"""),1360)</f>
        <v>1360</v>
      </c>
      <c r="Q142" s="1">
        <f ca="1">IFERROR(__xludf.DUMMYFUNCTION("""COMPUTED_VALUE"""),814)</f>
        <v>814</v>
      </c>
      <c r="R142" s="1">
        <f ca="1">IFERROR(__xludf.DUMMYFUNCTION("""COMPUTED_VALUE"""),1809)</f>
        <v>1809</v>
      </c>
      <c r="S142" s="1">
        <f ca="1">IFERROR(__xludf.DUMMYFUNCTION("""COMPUTED_VALUE"""),0.45)</f>
        <v>0.45</v>
      </c>
      <c r="T142" s="1">
        <f ca="1">IFERROR(__xludf.DUMMYFUNCTION("""COMPUTED_VALUE"""),219)</f>
        <v>219</v>
      </c>
      <c r="U142" s="1">
        <f ca="1">IFERROR(__xludf.DUMMYFUNCTION("""COMPUTED_VALUE"""),629)</f>
        <v>629</v>
      </c>
      <c r="V142" s="1">
        <f ca="1">IFERROR(__xludf.DUMMYFUNCTION("""COMPUTED_VALUE"""),0.348)</f>
        <v>0.34799999999999998</v>
      </c>
      <c r="W142" s="1">
        <f ca="1">IFERROR(__xludf.DUMMYFUNCTION("""COMPUTED_VALUE"""),569)</f>
        <v>569</v>
      </c>
      <c r="X142" s="1">
        <f ca="1">IFERROR(__xludf.DUMMYFUNCTION("""COMPUTED_VALUE"""),787)</f>
        <v>787</v>
      </c>
      <c r="Y142" s="1">
        <f ca="1">IFERROR(__xludf.DUMMYFUNCTION("""COMPUTED_VALUE"""),0.723)</f>
        <v>0.72299999999999998</v>
      </c>
      <c r="Z142" s="1">
        <f ca="1">IFERROR(__xludf.DUMMYFUNCTION("""COMPUTED_VALUE"""),304)</f>
        <v>304</v>
      </c>
      <c r="AA142" s="1">
        <f ca="1">IFERROR(__xludf.DUMMYFUNCTION("""COMPUTED_VALUE"""),1129)</f>
        <v>1129</v>
      </c>
      <c r="AB142" s="1">
        <f ca="1">IFERROR(__xludf.DUMMYFUNCTION("""COMPUTED_VALUE"""),440)</f>
        <v>440</v>
      </c>
      <c r="AC142" s="1">
        <f ca="1">IFERROR(__xludf.DUMMYFUNCTION("""COMPUTED_VALUE"""),198)</f>
        <v>198</v>
      </c>
      <c r="AD142" s="1">
        <f ca="1">IFERROR(__xludf.DUMMYFUNCTION("""COMPUTED_VALUE"""),117)</f>
        <v>117</v>
      </c>
      <c r="AE142" s="1">
        <f ca="1">IFERROR(__xludf.DUMMYFUNCTION("""COMPUTED_VALUE"""),382)</f>
        <v>382</v>
      </c>
      <c r="AF142" s="1">
        <f ca="1">IFERROR(__xludf.DUMMYFUNCTION("""COMPUTED_VALUE"""),645)</f>
        <v>645</v>
      </c>
    </row>
    <row r="143" spans="1:32" ht="12.5" x14ac:dyDescent="0.25">
      <c r="A143" s="1" t="str">
        <f ca="1">IFERROR(__xludf.DUMMYFUNCTION("""COMPUTED_VALUE"""),"Indiana")</f>
        <v>Indiana</v>
      </c>
      <c r="B143" s="1">
        <f ca="1">IFERROR(__xludf.DUMMYFUNCTION("""COMPUTED_VALUE"""),32)</f>
        <v>32</v>
      </c>
      <c r="C143" s="1">
        <f ca="1">IFERROR(__xludf.DUMMYFUNCTION("""COMPUTED_VALUE"""),17)</f>
        <v>17</v>
      </c>
      <c r="D143" s="1">
        <f ca="1">IFERROR(__xludf.DUMMYFUNCTION("""COMPUTED_VALUE"""),15)</f>
        <v>15</v>
      </c>
      <c r="E143" s="1">
        <f ca="1">IFERROR(__xludf.DUMMYFUNCTION("""COMPUTED_VALUE"""),0.531)</f>
        <v>0.53100000000000003</v>
      </c>
      <c r="F143" s="1">
        <f ca="1">IFERROR(__xludf.DUMMYFUNCTION("""COMPUTED_VALUE"""),11.32)</f>
        <v>11.32</v>
      </c>
      <c r="G143" s="1">
        <f ca="1">IFERROR(__xludf.DUMMYFUNCTION("""COMPUTED_VALUE"""),6.64)</f>
        <v>6.64</v>
      </c>
      <c r="H143" s="1">
        <f ca="1">IFERROR(__xludf.DUMMYFUNCTION("""COMPUTED_VALUE"""),7)</f>
        <v>7</v>
      </c>
      <c r="I143" s="1">
        <f ca="1">IFERROR(__xludf.DUMMYFUNCTION("""COMPUTED_VALUE"""),11)</f>
        <v>11</v>
      </c>
      <c r="J143" s="1">
        <f ca="1">IFERROR(__xludf.DUMMYFUNCTION("""COMPUTED_VALUE"""),14)</f>
        <v>14</v>
      </c>
      <c r="K143" s="1">
        <f ca="1">IFERROR(__xludf.DUMMYFUNCTION("""COMPUTED_VALUE"""),4)</f>
        <v>4</v>
      </c>
      <c r="L143" s="1">
        <f ca="1">IFERROR(__xludf.DUMMYFUNCTION("""COMPUTED_VALUE"""),2)</f>
        <v>2</v>
      </c>
      <c r="M143" s="1">
        <f ca="1">IFERROR(__xludf.DUMMYFUNCTION("""COMPUTED_VALUE"""),8)</f>
        <v>8</v>
      </c>
      <c r="N143" s="1">
        <f ca="1">IFERROR(__xludf.DUMMYFUNCTION("""COMPUTED_VALUE"""),2312)</f>
        <v>2312</v>
      </c>
      <c r="O143" s="1">
        <f ca="1">IFERROR(__xludf.DUMMYFUNCTION("""COMPUTED_VALUE"""),2162)</f>
        <v>2162</v>
      </c>
      <c r="P143" s="1">
        <f ca="1">IFERROR(__xludf.DUMMYFUNCTION("""COMPUTED_VALUE"""),1285)</f>
        <v>1285</v>
      </c>
      <c r="Q143" s="1">
        <f ca="1">IFERROR(__xludf.DUMMYFUNCTION("""COMPUTED_VALUE"""),780)</f>
        <v>780</v>
      </c>
      <c r="R143" s="1">
        <f ca="1">IFERROR(__xludf.DUMMYFUNCTION("""COMPUTED_VALUE"""),1741)</f>
        <v>1741</v>
      </c>
      <c r="S143" s="1">
        <f ca="1">IFERROR(__xludf.DUMMYFUNCTION("""COMPUTED_VALUE"""),0.448)</f>
        <v>0.44800000000000001</v>
      </c>
      <c r="T143" s="1">
        <f ca="1">IFERROR(__xludf.DUMMYFUNCTION("""COMPUTED_VALUE"""),176)</f>
        <v>176</v>
      </c>
      <c r="U143" s="1">
        <f ca="1">IFERROR(__xludf.DUMMYFUNCTION("""COMPUTED_VALUE"""),512)</f>
        <v>512</v>
      </c>
      <c r="V143" s="1">
        <f ca="1">IFERROR(__xludf.DUMMYFUNCTION("""COMPUTED_VALUE"""),0.344)</f>
        <v>0.34399999999999997</v>
      </c>
      <c r="W143" s="1">
        <f ca="1">IFERROR(__xludf.DUMMYFUNCTION("""COMPUTED_VALUE"""),576)</f>
        <v>576</v>
      </c>
      <c r="X143" s="1">
        <f ca="1">IFERROR(__xludf.DUMMYFUNCTION("""COMPUTED_VALUE"""),789)</f>
        <v>789</v>
      </c>
      <c r="Y143" s="1">
        <f ca="1">IFERROR(__xludf.DUMMYFUNCTION("""COMPUTED_VALUE"""),0.73)</f>
        <v>0.73</v>
      </c>
      <c r="Z143" s="1">
        <f ca="1">IFERROR(__xludf.DUMMYFUNCTION("""COMPUTED_VALUE"""),396)</f>
        <v>396</v>
      </c>
      <c r="AA143" s="1">
        <f ca="1">IFERROR(__xludf.DUMMYFUNCTION("""COMPUTED_VALUE"""),1241)</f>
        <v>1241</v>
      </c>
      <c r="AB143" s="1">
        <f ca="1">IFERROR(__xludf.DUMMYFUNCTION("""COMPUTED_VALUE"""),368)</f>
        <v>368</v>
      </c>
      <c r="AC143" s="1">
        <f ca="1">IFERROR(__xludf.DUMMYFUNCTION("""COMPUTED_VALUE"""),190)</f>
        <v>190</v>
      </c>
      <c r="AD143" s="1">
        <f ca="1">IFERROR(__xludf.DUMMYFUNCTION("""COMPUTED_VALUE"""),138)</f>
        <v>138</v>
      </c>
      <c r="AE143" s="1">
        <f ca="1">IFERROR(__xludf.DUMMYFUNCTION("""COMPUTED_VALUE"""),482)</f>
        <v>482</v>
      </c>
      <c r="AF143" s="1">
        <f ca="1">IFERROR(__xludf.DUMMYFUNCTION("""COMPUTED_VALUE"""),587)</f>
        <v>587</v>
      </c>
    </row>
    <row r="144" spans="1:32" ht="12.5" x14ac:dyDescent="0.25">
      <c r="A144" s="1" t="str">
        <f ca="1">IFERROR(__xludf.DUMMYFUNCTION("""COMPUTED_VALUE"""),"Iona")</f>
        <v>Iona</v>
      </c>
      <c r="B144" s="1">
        <f ca="1">IFERROR(__xludf.DUMMYFUNCTION("""COMPUTED_VALUE"""),33)</f>
        <v>33</v>
      </c>
      <c r="C144" s="1">
        <f ca="1">IFERROR(__xludf.DUMMYFUNCTION("""COMPUTED_VALUE"""),22)</f>
        <v>22</v>
      </c>
      <c r="D144" s="1">
        <f ca="1">IFERROR(__xludf.DUMMYFUNCTION("""COMPUTED_VALUE"""),11)</f>
        <v>11</v>
      </c>
      <c r="E144" s="1">
        <f ca="1">IFERROR(__xludf.DUMMYFUNCTION("""COMPUTED_VALUE"""),0.667)</f>
        <v>0.66700000000000004</v>
      </c>
      <c r="F144" s="1">
        <f ca="1">IFERROR(__xludf.DUMMYFUNCTION("""COMPUTED_VALUE"""),5.96)</f>
        <v>5.96</v>
      </c>
      <c r="G144" s="1">
        <f ca="1">IFERROR(__xludf.DUMMYFUNCTION("""COMPUTED_VALUE"""),-0.1)</f>
        <v>-0.1</v>
      </c>
      <c r="H144" s="1">
        <f ca="1">IFERROR(__xludf.DUMMYFUNCTION("""COMPUTED_VALUE"""),17)</f>
        <v>17</v>
      </c>
      <c r="I144" s="1">
        <f ca="1">IFERROR(__xludf.DUMMYFUNCTION("""COMPUTED_VALUE"""),3)</f>
        <v>3</v>
      </c>
      <c r="J144" s="1">
        <f ca="1">IFERROR(__xludf.DUMMYFUNCTION("""COMPUTED_VALUE"""),11)</f>
        <v>11</v>
      </c>
      <c r="K144" s="1">
        <f ca="1">IFERROR(__xludf.DUMMYFUNCTION("""COMPUTED_VALUE"""),2)</f>
        <v>2</v>
      </c>
      <c r="L144" s="1">
        <f ca="1">IFERROR(__xludf.DUMMYFUNCTION("""COMPUTED_VALUE"""),9)</f>
        <v>9</v>
      </c>
      <c r="M144" s="1">
        <f ca="1">IFERROR(__xludf.DUMMYFUNCTION("""COMPUTED_VALUE"""),8)</f>
        <v>8</v>
      </c>
      <c r="N144" s="1">
        <f ca="1">IFERROR(__xludf.DUMMYFUNCTION("""COMPUTED_VALUE"""),2760)</f>
        <v>2760</v>
      </c>
      <c r="O144" s="1">
        <f ca="1">IFERROR(__xludf.DUMMYFUNCTION("""COMPUTED_VALUE"""),2560)</f>
        <v>2560</v>
      </c>
      <c r="P144" s="1">
        <f ca="1">IFERROR(__xludf.DUMMYFUNCTION("""COMPUTED_VALUE"""),1325)</f>
        <v>1325</v>
      </c>
      <c r="Q144" s="1">
        <f ca="1">IFERROR(__xludf.DUMMYFUNCTION("""COMPUTED_VALUE"""),947)</f>
        <v>947</v>
      </c>
      <c r="R144" s="1">
        <f ca="1">IFERROR(__xludf.DUMMYFUNCTION("""COMPUTED_VALUE"""),1944)</f>
        <v>1944</v>
      </c>
      <c r="S144" s="1">
        <f ca="1">IFERROR(__xludf.DUMMYFUNCTION("""COMPUTED_VALUE"""),0.487)</f>
        <v>0.48699999999999999</v>
      </c>
      <c r="T144" s="1">
        <f ca="1">IFERROR(__xludf.DUMMYFUNCTION("""COMPUTED_VALUE"""),338)</f>
        <v>338</v>
      </c>
      <c r="U144" s="1">
        <f ca="1">IFERROR(__xludf.DUMMYFUNCTION("""COMPUTED_VALUE"""),853)</f>
        <v>853</v>
      </c>
      <c r="V144" s="1">
        <f ca="1">IFERROR(__xludf.DUMMYFUNCTION("""COMPUTED_VALUE"""),0.396)</f>
        <v>0.39600000000000002</v>
      </c>
      <c r="W144" s="1">
        <f ca="1">IFERROR(__xludf.DUMMYFUNCTION("""COMPUTED_VALUE"""),528)</f>
        <v>528</v>
      </c>
      <c r="X144" s="1">
        <f ca="1">IFERROR(__xludf.DUMMYFUNCTION("""COMPUTED_VALUE"""),739)</f>
        <v>739</v>
      </c>
      <c r="Y144" s="1">
        <f ca="1">IFERROR(__xludf.DUMMYFUNCTION("""COMPUTED_VALUE"""),0.714)</f>
        <v>0.71399999999999997</v>
      </c>
      <c r="Z144" s="1">
        <f ca="1">IFERROR(__xludf.DUMMYFUNCTION("""COMPUTED_VALUE"""),288)</f>
        <v>288</v>
      </c>
      <c r="AA144" s="1">
        <f ca="1">IFERROR(__xludf.DUMMYFUNCTION("""COMPUTED_VALUE"""),1094)</f>
        <v>1094</v>
      </c>
      <c r="AB144" s="1">
        <f ca="1">IFERROR(__xludf.DUMMYFUNCTION("""COMPUTED_VALUE"""),576)</f>
        <v>576</v>
      </c>
      <c r="AC144" s="1">
        <f ca="1">IFERROR(__xludf.DUMMYFUNCTION("""COMPUTED_VALUE"""),219)</f>
        <v>219</v>
      </c>
      <c r="AD144" s="1">
        <f ca="1">IFERROR(__xludf.DUMMYFUNCTION("""COMPUTED_VALUE"""),122)</f>
        <v>122</v>
      </c>
      <c r="AE144" s="1">
        <f ca="1">IFERROR(__xludf.DUMMYFUNCTION("""COMPUTED_VALUE"""),349)</f>
        <v>349</v>
      </c>
      <c r="AF144" s="1">
        <f ca="1">IFERROR(__xludf.DUMMYFUNCTION("""COMPUTED_VALUE"""),584)</f>
        <v>584</v>
      </c>
    </row>
    <row r="145" spans="1:32" ht="12.5" x14ac:dyDescent="0.25">
      <c r="A145" s="1" t="str">
        <f ca="1">IFERROR(__xludf.DUMMYFUNCTION("""COMPUTED_VALUE"""),"Iowa StateNCAA")</f>
        <v>Iowa StateNCAA</v>
      </c>
      <c r="B145" s="1">
        <f ca="1">IFERROR(__xludf.DUMMYFUNCTION("""COMPUTED_VALUE"""),36)</f>
        <v>36</v>
      </c>
      <c r="C145" s="1">
        <f ca="1">IFERROR(__xludf.DUMMYFUNCTION("""COMPUTED_VALUE"""),28)</f>
        <v>28</v>
      </c>
      <c r="D145" s="1">
        <f ca="1">IFERROR(__xludf.DUMMYFUNCTION("""COMPUTED_VALUE"""),8)</f>
        <v>8</v>
      </c>
      <c r="E145" s="1">
        <f ca="1">IFERROR(__xludf.DUMMYFUNCTION("""COMPUTED_VALUE"""),0.778)</f>
        <v>0.77800000000000002</v>
      </c>
      <c r="F145" s="1">
        <f ca="1">IFERROR(__xludf.DUMMYFUNCTION("""COMPUTED_VALUE"""),18.52)</f>
        <v>18.52</v>
      </c>
      <c r="G145" s="1">
        <f ca="1">IFERROR(__xludf.DUMMYFUNCTION("""COMPUTED_VALUE"""),9.88)</f>
        <v>9.8800000000000008</v>
      </c>
      <c r="H145" s="1">
        <f ca="1">IFERROR(__xludf.DUMMYFUNCTION("""COMPUTED_VALUE"""),11)</f>
        <v>11</v>
      </c>
      <c r="I145" s="1">
        <f ca="1">IFERROR(__xludf.DUMMYFUNCTION("""COMPUTED_VALUE"""),7)</f>
        <v>7</v>
      </c>
      <c r="J145" s="1">
        <f ca="1">IFERROR(__xludf.DUMMYFUNCTION("""COMPUTED_VALUE"""),15)</f>
        <v>15</v>
      </c>
      <c r="K145" s="1">
        <f ca="1">IFERROR(__xludf.DUMMYFUNCTION("""COMPUTED_VALUE"""),1)</f>
        <v>1</v>
      </c>
      <c r="L145" s="1">
        <f ca="1">IFERROR(__xludf.DUMMYFUNCTION("""COMPUTED_VALUE"""),4)</f>
        <v>4</v>
      </c>
      <c r="M145" s="1">
        <f ca="1">IFERROR(__xludf.DUMMYFUNCTION("""COMPUTED_VALUE"""),6)</f>
        <v>6</v>
      </c>
      <c r="N145" s="1">
        <f ca="1">IFERROR(__xludf.DUMMYFUNCTION("""COMPUTED_VALUE"""),2989)</f>
        <v>2989</v>
      </c>
      <c r="O145" s="1">
        <f ca="1">IFERROR(__xludf.DUMMYFUNCTION("""COMPUTED_VALUE"""),2678)</f>
        <v>2678</v>
      </c>
      <c r="P145" s="1">
        <f ca="1">IFERROR(__xludf.DUMMYFUNCTION("""COMPUTED_VALUE"""),1465)</f>
        <v>1465</v>
      </c>
      <c r="Q145" s="1">
        <f ca="1">IFERROR(__xludf.DUMMYFUNCTION("""COMPUTED_VALUE"""),1062)</f>
        <v>1062</v>
      </c>
      <c r="R145" s="1">
        <f ca="1">IFERROR(__xludf.DUMMYFUNCTION("""COMPUTED_VALUE"""),2239)</f>
        <v>2239</v>
      </c>
      <c r="S145" s="1">
        <f ca="1">IFERROR(__xludf.DUMMYFUNCTION("""COMPUTED_VALUE"""),0.474)</f>
        <v>0.47399999999999998</v>
      </c>
      <c r="T145" s="1">
        <f ca="1">IFERROR(__xludf.DUMMYFUNCTION("""COMPUTED_VALUE"""),301)</f>
        <v>301</v>
      </c>
      <c r="U145" s="1">
        <f ca="1">IFERROR(__xludf.DUMMYFUNCTION("""COMPUTED_VALUE"""),840)</f>
        <v>840</v>
      </c>
      <c r="V145" s="1">
        <f ca="1">IFERROR(__xludf.DUMMYFUNCTION("""COMPUTED_VALUE"""),0.358)</f>
        <v>0.35799999999999998</v>
      </c>
      <c r="W145" s="1">
        <f ca="1">IFERROR(__xludf.DUMMYFUNCTION("""COMPUTED_VALUE"""),564)</f>
        <v>564</v>
      </c>
      <c r="X145" s="1">
        <f ca="1">IFERROR(__xludf.DUMMYFUNCTION("""COMPUTED_VALUE"""),814)</f>
        <v>814</v>
      </c>
      <c r="Y145" s="1">
        <f ca="1">IFERROR(__xludf.DUMMYFUNCTION("""COMPUTED_VALUE"""),0.693)</f>
        <v>0.69299999999999995</v>
      </c>
      <c r="Z145" s="1">
        <f ca="1">IFERROR(__xludf.DUMMYFUNCTION("""COMPUTED_VALUE"""),375)</f>
        <v>375</v>
      </c>
      <c r="AA145" s="1">
        <f ca="1">IFERROR(__xludf.DUMMYFUNCTION("""COMPUTED_VALUE"""),1387)</f>
        <v>1387</v>
      </c>
      <c r="AB145" s="1">
        <f ca="1">IFERROR(__xludf.DUMMYFUNCTION("""COMPUTED_VALUE"""),663)</f>
        <v>663</v>
      </c>
      <c r="AC145" s="1">
        <f ca="1">IFERROR(__xludf.DUMMYFUNCTION("""COMPUTED_VALUE"""),214)</f>
        <v>214</v>
      </c>
      <c r="AD145" s="1">
        <f ca="1">IFERROR(__xludf.DUMMYFUNCTION("""COMPUTED_VALUE"""),106)</f>
        <v>106</v>
      </c>
      <c r="AE145" s="1">
        <f ca="1">IFERROR(__xludf.DUMMYFUNCTION("""COMPUTED_VALUE"""),380)</f>
        <v>380</v>
      </c>
      <c r="AF145" s="1">
        <f ca="1">IFERROR(__xludf.DUMMYFUNCTION("""COMPUTED_VALUE"""),623)</f>
        <v>623</v>
      </c>
    </row>
    <row r="146" spans="1:32" ht="12.5" x14ac:dyDescent="0.25">
      <c r="A146" s="1" t="str">
        <f ca="1">IFERROR(__xludf.DUMMYFUNCTION("""COMPUTED_VALUE"""),"IowaNCAA")</f>
        <v>IowaNCAA</v>
      </c>
      <c r="B146" s="1">
        <f ca="1">IFERROR(__xludf.DUMMYFUNCTION("""COMPUTED_VALUE"""),33)</f>
        <v>33</v>
      </c>
      <c r="C146" s="1">
        <f ca="1">IFERROR(__xludf.DUMMYFUNCTION("""COMPUTED_VALUE"""),20)</f>
        <v>20</v>
      </c>
      <c r="D146" s="1">
        <f ca="1">IFERROR(__xludf.DUMMYFUNCTION("""COMPUTED_VALUE"""),13)</f>
        <v>13</v>
      </c>
      <c r="E146" s="1">
        <f ca="1">IFERROR(__xludf.DUMMYFUNCTION("""COMPUTED_VALUE"""),0.606)</f>
        <v>0.60599999999999998</v>
      </c>
      <c r="F146" s="1">
        <f ca="1">IFERROR(__xludf.DUMMYFUNCTION("""COMPUTED_VALUE"""),18.58)</f>
        <v>18.579999999999998</v>
      </c>
      <c r="G146" s="1">
        <f ca="1">IFERROR(__xludf.DUMMYFUNCTION("""COMPUTED_VALUE"""),7.43)</f>
        <v>7.43</v>
      </c>
      <c r="H146" s="1">
        <f ca="1">IFERROR(__xludf.DUMMYFUNCTION("""COMPUTED_VALUE"""),9)</f>
        <v>9</v>
      </c>
      <c r="I146" s="1">
        <f ca="1">IFERROR(__xludf.DUMMYFUNCTION("""COMPUTED_VALUE"""),9)</f>
        <v>9</v>
      </c>
      <c r="J146" s="1">
        <f ca="1">IFERROR(__xludf.DUMMYFUNCTION("""COMPUTED_VALUE"""),13)</f>
        <v>13</v>
      </c>
      <c r="K146" s="1">
        <f ca="1">IFERROR(__xludf.DUMMYFUNCTION("""COMPUTED_VALUE"""),4)</f>
        <v>4</v>
      </c>
      <c r="L146" s="1">
        <f ca="1">IFERROR(__xludf.DUMMYFUNCTION("""COMPUTED_VALUE"""),4)</f>
        <v>4</v>
      </c>
      <c r="M146" s="1">
        <f ca="1">IFERROR(__xludf.DUMMYFUNCTION("""COMPUTED_VALUE"""),6)</f>
        <v>6</v>
      </c>
      <c r="N146" s="1">
        <f ca="1">IFERROR(__xludf.DUMMYFUNCTION("""COMPUTED_VALUE"""),2689)</f>
        <v>2689</v>
      </c>
      <c r="O146" s="1">
        <f ca="1">IFERROR(__xludf.DUMMYFUNCTION("""COMPUTED_VALUE"""),2321)</f>
        <v>2321</v>
      </c>
      <c r="P146" s="1">
        <f ca="1">IFERROR(__xludf.DUMMYFUNCTION("""COMPUTED_VALUE"""),1339)</f>
        <v>1339</v>
      </c>
      <c r="Q146" s="1">
        <f ca="1">IFERROR(__xludf.DUMMYFUNCTION("""COMPUTED_VALUE"""),919)</f>
        <v>919</v>
      </c>
      <c r="R146" s="1">
        <f ca="1">IFERROR(__xludf.DUMMYFUNCTION("""COMPUTED_VALUE"""),1984)</f>
        <v>1984</v>
      </c>
      <c r="S146" s="1">
        <f ca="1">IFERROR(__xludf.DUMMYFUNCTION("""COMPUTED_VALUE"""),0.463)</f>
        <v>0.46300000000000002</v>
      </c>
      <c r="T146" s="1">
        <f ca="1">IFERROR(__xludf.DUMMYFUNCTION("""COMPUTED_VALUE"""),191)</f>
        <v>191</v>
      </c>
      <c r="U146" s="1">
        <f ca="1">IFERROR(__xludf.DUMMYFUNCTION("""COMPUTED_VALUE"""),546)</f>
        <v>546</v>
      </c>
      <c r="V146" s="1">
        <f ca="1">IFERROR(__xludf.DUMMYFUNCTION("""COMPUTED_VALUE"""),0.35)</f>
        <v>0.35</v>
      </c>
      <c r="W146" s="1">
        <f ca="1">IFERROR(__xludf.DUMMYFUNCTION("""COMPUTED_VALUE"""),660)</f>
        <v>660</v>
      </c>
      <c r="X146" s="1">
        <f ca="1">IFERROR(__xludf.DUMMYFUNCTION("""COMPUTED_VALUE"""),898)</f>
        <v>898</v>
      </c>
      <c r="Y146" s="1">
        <f ca="1">IFERROR(__xludf.DUMMYFUNCTION("""COMPUTED_VALUE"""),0.735)</f>
        <v>0.73499999999999999</v>
      </c>
      <c r="Z146" s="1">
        <f ca="1">IFERROR(__xludf.DUMMYFUNCTION("""COMPUTED_VALUE"""),447)</f>
        <v>447</v>
      </c>
      <c r="AA146" s="1">
        <f ca="1">IFERROR(__xludf.DUMMYFUNCTION("""COMPUTED_VALUE"""),1332)</f>
        <v>1332</v>
      </c>
      <c r="AB146" s="1">
        <f ca="1">IFERROR(__xludf.DUMMYFUNCTION("""COMPUTED_VALUE"""),532)</f>
        <v>532</v>
      </c>
      <c r="AC146" s="1">
        <f ca="1">IFERROR(__xludf.DUMMYFUNCTION("""COMPUTED_VALUE"""),234)</f>
        <v>234</v>
      </c>
      <c r="AD146" s="1">
        <f ca="1">IFERROR(__xludf.DUMMYFUNCTION("""COMPUTED_VALUE"""),164)</f>
        <v>164</v>
      </c>
      <c r="AE146" s="1">
        <f ca="1">IFERROR(__xludf.DUMMYFUNCTION("""COMPUTED_VALUE"""),371)</f>
        <v>371</v>
      </c>
      <c r="AF146" s="1">
        <f ca="1">IFERROR(__xludf.DUMMYFUNCTION("""COMPUTED_VALUE"""),603)</f>
        <v>603</v>
      </c>
    </row>
    <row r="147" spans="1:32" ht="12.5" x14ac:dyDescent="0.25">
      <c r="A147" s="1" t="str">
        <f ca="1">IFERROR(__xludf.DUMMYFUNCTION("""COMPUTED_VALUE"""),"Purdue-Fort Wayne")</f>
        <v>Purdue-Fort Wayne</v>
      </c>
      <c r="B147" s="1">
        <f ca="1">IFERROR(__xludf.DUMMYFUNCTION("""COMPUTED_VALUE"""),36)</f>
        <v>36</v>
      </c>
      <c r="C147" s="1">
        <f ca="1">IFERROR(__xludf.DUMMYFUNCTION("""COMPUTED_VALUE"""),25)</f>
        <v>25</v>
      </c>
      <c r="D147" s="1">
        <f ca="1">IFERROR(__xludf.DUMMYFUNCTION("""COMPUTED_VALUE"""),11)</f>
        <v>11</v>
      </c>
      <c r="E147" s="1">
        <f ca="1">IFERROR(__xludf.DUMMYFUNCTION("""COMPUTED_VALUE"""),0.694)</f>
        <v>0.69399999999999995</v>
      </c>
      <c r="F147" s="1">
        <f ca="1">IFERROR(__xludf.DUMMYFUNCTION("""COMPUTED_VALUE"""),-0.2)</f>
        <v>-0.2</v>
      </c>
      <c r="G147" s="1">
        <f ca="1">IFERROR(__xludf.DUMMYFUNCTION("""COMPUTED_VALUE"""),-3.87)</f>
        <v>-3.87</v>
      </c>
      <c r="H147" s="1">
        <f ca="1">IFERROR(__xludf.DUMMYFUNCTION("""COMPUTED_VALUE"""),10)</f>
        <v>10</v>
      </c>
      <c r="I147" s="1">
        <f ca="1">IFERROR(__xludf.DUMMYFUNCTION("""COMPUTED_VALUE"""),4)</f>
        <v>4</v>
      </c>
      <c r="J147" s="1">
        <f ca="1">IFERROR(__xludf.DUMMYFUNCTION("""COMPUTED_VALUE"""),13)</f>
        <v>13</v>
      </c>
      <c r="K147" s="1">
        <f ca="1">IFERROR(__xludf.DUMMYFUNCTION("""COMPUTED_VALUE"""),2)</f>
        <v>2</v>
      </c>
      <c r="L147" s="1">
        <f ca="1">IFERROR(__xludf.DUMMYFUNCTION("""COMPUTED_VALUE"""),8)</f>
        <v>8</v>
      </c>
      <c r="M147" s="1">
        <f ca="1">IFERROR(__xludf.DUMMYFUNCTION("""COMPUTED_VALUE"""),8)</f>
        <v>8</v>
      </c>
      <c r="N147" s="1">
        <f ca="1">IFERROR(__xludf.DUMMYFUNCTION("""COMPUTED_VALUE"""),2774)</f>
        <v>2774</v>
      </c>
      <c r="O147" s="1">
        <f ca="1">IFERROR(__xludf.DUMMYFUNCTION("""COMPUTED_VALUE"""),2555)</f>
        <v>2555</v>
      </c>
      <c r="P147" s="1">
        <f ca="1">IFERROR(__xludf.DUMMYFUNCTION("""COMPUTED_VALUE"""),1405)</f>
        <v>1405</v>
      </c>
      <c r="Q147" s="1">
        <f ca="1">IFERROR(__xludf.DUMMYFUNCTION("""COMPUTED_VALUE"""),937)</f>
        <v>937</v>
      </c>
      <c r="R147" s="1">
        <f ca="1">IFERROR(__xludf.DUMMYFUNCTION("""COMPUTED_VALUE"""),1920)</f>
        <v>1920</v>
      </c>
      <c r="S147" s="1">
        <f ca="1">IFERROR(__xludf.DUMMYFUNCTION("""COMPUTED_VALUE"""),0.488)</f>
        <v>0.48799999999999999</v>
      </c>
      <c r="T147" s="1">
        <f ca="1">IFERROR(__xludf.DUMMYFUNCTION("""COMPUTED_VALUE"""),269)</f>
        <v>269</v>
      </c>
      <c r="U147" s="1">
        <f ca="1">IFERROR(__xludf.DUMMYFUNCTION("""COMPUTED_VALUE"""),699)</f>
        <v>699</v>
      </c>
      <c r="V147" s="1">
        <f ca="1">IFERROR(__xludf.DUMMYFUNCTION("""COMPUTED_VALUE"""),0.385)</f>
        <v>0.38500000000000001</v>
      </c>
      <c r="W147" s="1">
        <f ca="1">IFERROR(__xludf.DUMMYFUNCTION("""COMPUTED_VALUE"""),521)</f>
        <v>521</v>
      </c>
      <c r="X147" s="1">
        <f ca="1">IFERROR(__xludf.DUMMYFUNCTION("""COMPUTED_VALUE"""),787)</f>
        <v>787</v>
      </c>
      <c r="Y147" s="1">
        <f ca="1">IFERROR(__xludf.DUMMYFUNCTION("""COMPUTED_VALUE"""),0.662)</f>
        <v>0.66200000000000003</v>
      </c>
      <c r="Z147" s="1">
        <f ca="1">IFERROR(__xludf.DUMMYFUNCTION("""COMPUTED_VALUE"""),377)</f>
        <v>377</v>
      </c>
      <c r="AA147" s="1">
        <f ca="1">IFERROR(__xludf.DUMMYFUNCTION("""COMPUTED_VALUE"""),1182)</f>
        <v>1182</v>
      </c>
      <c r="AB147" s="1">
        <f ca="1">IFERROR(__xludf.DUMMYFUNCTION("""COMPUTED_VALUE"""),499)</f>
        <v>499</v>
      </c>
      <c r="AC147" s="1">
        <f ca="1">IFERROR(__xludf.DUMMYFUNCTION("""COMPUTED_VALUE"""),238)</f>
        <v>238</v>
      </c>
      <c r="AD147" s="1">
        <f ca="1">IFERROR(__xludf.DUMMYFUNCTION("""COMPUTED_VALUE"""),83)</f>
        <v>83</v>
      </c>
      <c r="AE147" s="1">
        <f ca="1">IFERROR(__xludf.DUMMYFUNCTION("""COMPUTED_VALUE"""),440)</f>
        <v>440</v>
      </c>
      <c r="AF147" s="1">
        <f ca="1">IFERROR(__xludf.DUMMYFUNCTION("""COMPUTED_VALUE"""),595)</f>
        <v>595</v>
      </c>
    </row>
    <row r="148" spans="1:32" ht="12.5" x14ac:dyDescent="0.25">
      <c r="A148" s="1" t="str">
        <f ca="1">IFERROR(__xludf.DUMMYFUNCTION("""COMPUTED_VALUE"""),"IUPUI")</f>
        <v>IUPUI</v>
      </c>
      <c r="B148" s="1">
        <f ca="1">IFERROR(__xludf.DUMMYFUNCTION("""COMPUTED_VALUE"""),32)</f>
        <v>32</v>
      </c>
      <c r="C148" s="1">
        <f ca="1">IFERROR(__xludf.DUMMYFUNCTION("""COMPUTED_VALUE"""),6)</f>
        <v>6</v>
      </c>
      <c r="D148" s="1">
        <f ca="1">IFERROR(__xludf.DUMMYFUNCTION("""COMPUTED_VALUE"""),26)</f>
        <v>26</v>
      </c>
      <c r="E148" s="1">
        <f ca="1">IFERROR(__xludf.DUMMYFUNCTION("""COMPUTED_VALUE"""),0.188)</f>
        <v>0.188</v>
      </c>
      <c r="F148" s="1">
        <f ca="1">IFERROR(__xludf.DUMMYFUNCTION("""COMPUTED_VALUE"""),-14.33)</f>
        <v>-14.33</v>
      </c>
      <c r="G148" s="1">
        <f ca="1">IFERROR(__xludf.DUMMYFUNCTION("""COMPUTED_VALUE"""),-1.36)</f>
        <v>-1.36</v>
      </c>
      <c r="H148" s="1">
        <f ca="1">IFERROR(__xludf.DUMMYFUNCTION("""COMPUTED_VALUE"""),1)</f>
        <v>1</v>
      </c>
      <c r="I148" s="1">
        <f ca="1">IFERROR(__xludf.DUMMYFUNCTION("""COMPUTED_VALUE"""),13)</f>
        <v>13</v>
      </c>
      <c r="J148" s="1">
        <f ca="1">IFERROR(__xludf.DUMMYFUNCTION("""COMPUTED_VALUE"""),5)</f>
        <v>5</v>
      </c>
      <c r="K148" s="1">
        <f ca="1">IFERROR(__xludf.DUMMYFUNCTION("""COMPUTED_VALUE"""),10)</f>
        <v>10</v>
      </c>
      <c r="L148" s="1">
        <f ca="1">IFERROR(__xludf.DUMMYFUNCTION("""COMPUTED_VALUE"""),1)</f>
        <v>1</v>
      </c>
      <c r="M148" s="1">
        <f ca="1">IFERROR(__xludf.DUMMYFUNCTION("""COMPUTED_VALUE"""),13)</f>
        <v>13</v>
      </c>
      <c r="N148" s="1">
        <f ca="1">IFERROR(__xludf.DUMMYFUNCTION("""COMPUTED_VALUE"""),2126)</f>
        <v>2126</v>
      </c>
      <c r="O148" s="1">
        <f ca="1">IFERROR(__xludf.DUMMYFUNCTION("""COMPUTED_VALUE"""),2383)</f>
        <v>2383</v>
      </c>
      <c r="P148" s="1">
        <f ca="1">IFERROR(__xludf.DUMMYFUNCTION("""COMPUTED_VALUE"""),1283)</f>
        <v>1283</v>
      </c>
      <c r="Q148" s="1">
        <f ca="1">IFERROR(__xludf.DUMMYFUNCTION("""COMPUTED_VALUE"""),782)</f>
        <v>782</v>
      </c>
      <c r="R148" s="1">
        <f ca="1">IFERROR(__xludf.DUMMYFUNCTION("""COMPUTED_VALUE"""),1784)</f>
        <v>1784</v>
      </c>
      <c r="S148" s="1">
        <f ca="1">IFERROR(__xludf.DUMMYFUNCTION("""COMPUTED_VALUE"""),0.438)</f>
        <v>0.438</v>
      </c>
      <c r="T148" s="1">
        <f ca="1">IFERROR(__xludf.DUMMYFUNCTION("""COMPUTED_VALUE"""),140)</f>
        <v>140</v>
      </c>
      <c r="U148" s="1">
        <f ca="1">IFERROR(__xludf.DUMMYFUNCTION("""COMPUTED_VALUE"""),450)</f>
        <v>450</v>
      </c>
      <c r="V148" s="1">
        <f ca="1">IFERROR(__xludf.DUMMYFUNCTION("""COMPUTED_VALUE"""),0.311)</f>
        <v>0.311</v>
      </c>
      <c r="W148" s="1">
        <f ca="1">IFERROR(__xludf.DUMMYFUNCTION("""COMPUTED_VALUE"""),422)</f>
        <v>422</v>
      </c>
      <c r="X148" s="1">
        <f ca="1">IFERROR(__xludf.DUMMYFUNCTION("""COMPUTED_VALUE"""),569)</f>
        <v>569</v>
      </c>
      <c r="Y148" s="1">
        <f ca="1">IFERROR(__xludf.DUMMYFUNCTION("""COMPUTED_VALUE"""),0.742)</f>
        <v>0.74199999999999999</v>
      </c>
      <c r="Z148" s="1">
        <f ca="1">IFERROR(__xludf.DUMMYFUNCTION("""COMPUTED_VALUE"""),261)</f>
        <v>261</v>
      </c>
      <c r="AA148" s="1">
        <f ca="1">IFERROR(__xludf.DUMMYFUNCTION("""COMPUTED_VALUE"""),995)</f>
        <v>995</v>
      </c>
      <c r="AB148" s="1">
        <f ca="1">IFERROR(__xludf.DUMMYFUNCTION("""COMPUTED_VALUE"""),333)</f>
        <v>333</v>
      </c>
      <c r="AC148" s="1">
        <f ca="1">IFERROR(__xludf.DUMMYFUNCTION("""COMPUTED_VALUE"""),161)</f>
        <v>161</v>
      </c>
      <c r="AD148" s="1">
        <f ca="1">IFERROR(__xludf.DUMMYFUNCTION("""COMPUTED_VALUE"""),98)</f>
        <v>98</v>
      </c>
      <c r="AE148" s="1">
        <f ca="1">IFERROR(__xludf.DUMMYFUNCTION("""COMPUTED_VALUE"""),354)</f>
        <v>354</v>
      </c>
      <c r="AF148" s="1">
        <f ca="1">IFERROR(__xludf.DUMMYFUNCTION("""COMPUTED_VALUE"""),516)</f>
        <v>516</v>
      </c>
    </row>
    <row r="149" spans="1:32" ht="12.5" x14ac:dyDescent="0.25">
      <c r="A149" s="1" t="str">
        <f ca="1">IFERROR(__xludf.DUMMYFUNCTION("""COMPUTED_VALUE"""),"Jackson State")</f>
        <v>Jackson State</v>
      </c>
      <c r="B149" s="1">
        <f ca="1">IFERROR(__xludf.DUMMYFUNCTION("""COMPUTED_VALUE"""),31)</f>
        <v>31</v>
      </c>
      <c r="C149" s="1">
        <f ca="1">IFERROR(__xludf.DUMMYFUNCTION("""COMPUTED_VALUE"""),11)</f>
        <v>11</v>
      </c>
      <c r="D149" s="1">
        <f ca="1">IFERROR(__xludf.DUMMYFUNCTION("""COMPUTED_VALUE"""),20)</f>
        <v>20</v>
      </c>
      <c r="E149" s="1">
        <f ca="1">IFERROR(__xludf.DUMMYFUNCTION("""COMPUTED_VALUE"""),0.355)</f>
        <v>0.35499999999999998</v>
      </c>
      <c r="F149" s="1">
        <f ca="1">IFERROR(__xludf.DUMMYFUNCTION("""COMPUTED_VALUE"""),-11.62)</f>
        <v>-11.62</v>
      </c>
      <c r="G149" s="1">
        <f ca="1">IFERROR(__xludf.DUMMYFUNCTION("""COMPUTED_VALUE"""),-8.72)</f>
        <v>-8.7200000000000006</v>
      </c>
      <c r="H149" s="1">
        <f ca="1">IFERROR(__xludf.DUMMYFUNCTION("""COMPUTED_VALUE"""),7)</f>
        <v>7</v>
      </c>
      <c r="I149" s="1">
        <f ca="1">IFERROR(__xludf.DUMMYFUNCTION("""COMPUTED_VALUE"""),11)</f>
        <v>11</v>
      </c>
      <c r="J149" s="1">
        <f ca="1">IFERROR(__xludf.DUMMYFUNCTION("""COMPUTED_VALUE"""),6)</f>
        <v>6</v>
      </c>
      <c r="K149" s="1">
        <f ca="1">IFERROR(__xludf.DUMMYFUNCTION("""COMPUTED_VALUE"""),6)</f>
        <v>6</v>
      </c>
      <c r="L149" s="1">
        <f ca="1">IFERROR(__xludf.DUMMYFUNCTION("""COMPUTED_VALUE"""),5)</f>
        <v>5</v>
      </c>
      <c r="M149" s="1">
        <f ca="1">IFERROR(__xludf.DUMMYFUNCTION("""COMPUTED_VALUE"""),13)</f>
        <v>13</v>
      </c>
      <c r="N149" s="1">
        <f ca="1">IFERROR(__xludf.DUMMYFUNCTION("""COMPUTED_VALUE"""),2041)</f>
        <v>2041</v>
      </c>
      <c r="O149" s="1">
        <f ca="1">IFERROR(__xludf.DUMMYFUNCTION("""COMPUTED_VALUE"""),2131)</f>
        <v>2131</v>
      </c>
      <c r="P149" s="1">
        <f ca="1">IFERROR(__xludf.DUMMYFUNCTION("""COMPUTED_VALUE"""),1251)</f>
        <v>1251</v>
      </c>
      <c r="Q149" s="1">
        <f ca="1">IFERROR(__xludf.DUMMYFUNCTION("""COMPUTED_VALUE"""),711)</f>
        <v>711</v>
      </c>
      <c r="R149" s="1">
        <f ca="1">IFERROR(__xludf.DUMMYFUNCTION("""COMPUTED_VALUE"""),1707)</f>
        <v>1707</v>
      </c>
      <c r="S149" s="1">
        <f ca="1">IFERROR(__xludf.DUMMYFUNCTION("""COMPUTED_VALUE"""),0.417)</f>
        <v>0.41699999999999998</v>
      </c>
      <c r="T149" s="1">
        <f ca="1">IFERROR(__xludf.DUMMYFUNCTION("""COMPUTED_VALUE"""),121)</f>
        <v>121</v>
      </c>
      <c r="U149" s="1">
        <f ca="1">IFERROR(__xludf.DUMMYFUNCTION("""COMPUTED_VALUE"""),413)</f>
        <v>413</v>
      </c>
      <c r="V149" s="1">
        <f ca="1">IFERROR(__xludf.DUMMYFUNCTION("""COMPUTED_VALUE"""),0.293)</f>
        <v>0.29299999999999998</v>
      </c>
      <c r="W149" s="1">
        <f ca="1">IFERROR(__xludf.DUMMYFUNCTION("""COMPUTED_VALUE"""),498)</f>
        <v>498</v>
      </c>
      <c r="X149" s="1">
        <f ca="1">IFERROR(__xludf.DUMMYFUNCTION("""COMPUTED_VALUE"""),688)</f>
        <v>688</v>
      </c>
      <c r="Y149" s="1">
        <f ca="1">IFERROR(__xludf.DUMMYFUNCTION("""COMPUTED_VALUE"""),0.724)</f>
        <v>0.72399999999999998</v>
      </c>
      <c r="Z149" s="1">
        <f ca="1">IFERROR(__xludf.DUMMYFUNCTION("""COMPUTED_VALUE"""),367)</f>
        <v>367</v>
      </c>
      <c r="AA149" s="1">
        <f ca="1">IFERROR(__xludf.DUMMYFUNCTION("""COMPUTED_VALUE"""),1092)</f>
        <v>1092</v>
      </c>
      <c r="AB149" s="1">
        <f ca="1">IFERROR(__xludf.DUMMYFUNCTION("""COMPUTED_VALUE"""),296)</f>
        <v>296</v>
      </c>
      <c r="AC149" s="1">
        <f ca="1">IFERROR(__xludf.DUMMYFUNCTION("""COMPUTED_VALUE"""),188)</f>
        <v>188</v>
      </c>
      <c r="AD149" s="1">
        <f ca="1">IFERROR(__xludf.DUMMYFUNCTION("""COMPUTED_VALUE"""),100)</f>
        <v>100</v>
      </c>
      <c r="AE149" s="1">
        <f ca="1">IFERROR(__xludf.DUMMYFUNCTION("""COMPUTED_VALUE"""),465)</f>
        <v>465</v>
      </c>
      <c r="AF149" s="1">
        <f ca="1">IFERROR(__xludf.DUMMYFUNCTION("""COMPUTED_VALUE"""),711)</f>
        <v>711</v>
      </c>
    </row>
    <row r="150" spans="1:32" ht="12.5" x14ac:dyDescent="0.25">
      <c r="A150" s="1" t="str">
        <f ca="1">IFERROR(__xludf.DUMMYFUNCTION("""COMPUTED_VALUE"""),"Jacksonville State")</f>
        <v>Jacksonville State</v>
      </c>
      <c r="B150" s="1">
        <f ca="1">IFERROR(__xludf.DUMMYFUNCTION("""COMPUTED_VALUE"""),31)</f>
        <v>31</v>
      </c>
      <c r="C150" s="1">
        <f ca="1">IFERROR(__xludf.DUMMYFUNCTION("""COMPUTED_VALUE"""),10)</f>
        <v>10</v>
      </c>
      <c r="D150" s="1">
        <f ca="1">IFERROR(__xludf.DUMMYFUNCTION("""COMPUTED_VALUE"""),21)</f>
        <v>21</v>
      </c>
      <c r="E150" s="1">
        <f ca="1">IFERROR(__xludf.DUMMYFUNCTION("""COMPUTED_VALUE"""),0.323)</f>
        <v>0.32300000000000001</v>
      </c>
      <c r="F150" s="1">
        <f ca="1">IFERROR(__xludf.DUMMYFUNCTION("""COMPUTED_VALUE"""),-11.97)</f>
        <v>-11.97</v>
      </c>
      <c r="G150" s="1">
        <f ca="1">IFERROR(__xludf.DUMMYFUNCTION("""COMPUTED_VALUE"""),-5.14)</f>
        <v>-5.14</v>
      </c>
      <c r="H150" s="1">
        <f ca="1">IFERROR(__xludf.DUMMYFUNCTION("""COMPUTED_VALUE"""),4)</f>
        <v>4</v>
      </c>
      <c r="I150" s="1">
        <f ca="1">IFERROR(__xludf.DUMMYFUNCTION("""COMPUTED_VALUE"""),12)</f>
        <v>12</v>
      </c>
      <c r="J150" s="1">
        <f ca="1">IFERROR(__xludf.DUMMYFUNCTION("""COMPUTED_VALUE"""),7)</f>
        <v>7</v>
      </c>
      <c r="K150" s="1">
        <f ca="1">IFERROR(__xludf.DUMMYFUNCTION("""COMPUTED_VALUE"""),6)</f>
        <v>6</v>
      </c>
      <c r="L150" s="1">
        <f ca="1">IFERROR(__xludf.DUMMYFUNCTION("""COMPUTED_VALUE"""),2)</f>
        <v>2</v>
      </c>
      <c r="M150" s="1">
        <f ca="1">IFERROR(__xludf.DUMMYFUNCTION("""COMPUTED_VALUE"""),14)</f>
        <v>14</v>
      </c>
      <c r="N150" s="1">
        <f ca="1">IFERROR(__xludf.DUMMYFUNCTION("""COMPUTED_VALUE"""),2014)</f>
        <v>2014</v>
      </c>
      <c r="O150" s="1">
        <f ca="1">IFERROR(__xludf.DUMMYFUNCTION("""COMPUTED_VALUE"""),2176)</f>
        <v>2176</v>
      </c>
      <c r="P150" s="1">
        <f ca="1">IFERROR(__xludf.DUMMYFUNCTION("""COMPUTED_VALUE"""),1240)</f>
        <v>1240</v>
      </c>
      <c r="Q150" s="1">
        <f ca="1">IFERROR(__xludf.DUMMYFUNCTION("""COMPUTED_VALUE"""),685)</f>
        <v>685</v>
      </c>
      <c r="R150" s="1">
        <f ca="1">IFERROR(__xludf.DUMMYFUNCTION("""COMPUTED_VALUE"""),1633)</f>
        <v>1633</v>
      </c>
      <c r="S150" s="1">
        <f ca="1">IFERROR(__xludf.DUMMYFUNCTION("""COMPUTED_VALUE"""),0.419)</f>
        <v>0.41899999999999998</v>
      </c>
      <c r="T150" s="1">
        <f ca="1">IFERROR(__xludf.DUMMYFUNCTION("""COMPUTED_VALUE"""),175)</f>
        <v>175</v>
      </c>
      <c r="U150" s="1">
        <f ca="1">IFERROR(__xludf.DUMMYFUNCTION("""COMPUTED_VALUE"""),541)</f>
        <v>541</v>
      </c>
      <c r="V150" s="1">
        <f ca="1">IFERROR(__xludf.DUMMYFUNCTION("""COMPUTED_VALUE"""),0.323)</f>
        <v>0.32300000000000001</v>
      </c>
      <c r="W150" s="1">
        <f ca="1">IFERROR(__xludf.DUMMYFUNCTION("""COMPUTED_VALUE"""),469)</f>
        <v>469</v>
      </c>
      <c r="X150" s="1">
        <f ca="1">IFERROR(__xludf.DUMMYFUNCTION("""COMPUTED_VALUE"""),695)</f>
        <v>695</v>
      </c>
      <c r="Y150" s="1">
        <f ca="1">IFERROR(__xludf.DUMMYFUNCTION("""COMPUTED_VALUE"""),0.675)</f>
        <v>0.67500000000000004</v>
      </c>
      <c r="Z150" s="1">
        <f ca="1">IFERROR(__xludf.DUMMYFUNCTION("""COMPUTED_VALUE"""),336)</f>
        <v>336</v>
      </c>
      <c r="AA150" s="1">
        <f ca="1">IFERROR(__xludf.DUMMYFUNCTION("""COMPUTED_VALUE"""),950)</f>
        <v>950</v>
      </c>
      <c r="AB150" s="1">
        <f ca="1">IFERROR(__xludf.DUMMYFUNCTION("""COMPUTED_VALUE"""),366)</f>
        <v>366</v>
      </c>
      <c r="AC150" s="1">
        <f ca="1">IFERROR(__xludf.DUMMYFUNCTION("""COMPUTED_VALUE"""),195)</f>
        <v>195</v>
      </c>
      <c r="AD150" s="1">
        <f ca="1">IFERROR(__xludf.DUMMYFUNCTION("""COMPUTED_VALUE"""),110)</f>
        <v>110</v>
      </c>
      <c r="AE150" s="1">
        <f ca="1">IFERROR(__xludf.DUMMYFUNCTION("""COMPUTED_VALUE"""),351)</f>
        <v>351</v>
      </c>
      <c r="AF150" s="1">
        <f ca="1">IFERROR(__xludf.DUMMYFUNCTION("""COMPUTED_VALUE"""),601)</f>
        <v>601</v>
      </c>
    </row>
    <row r="151" spans="1:32" ht="12.5" x14ac:dyDescent="0.25">
      <c r="A151" s="1" t="str">
        <f ca="1">IFERROR(__xludf.DUMMYFUNCTION("""COMPUTED_VALUE"""),"Jacksonville")</f>
        <v>Jacksonville</v>
      </c>
      <c r="B151" s="1">
        <f ca="1">IFERROR(__xludf.DUMMYFUNCTION("""COMPUTED_VALUE"""),30)</f>
        <v>30</v>
      </c>
      <c r="C151" s="1">
        <f ca="1">IFERROR(__xludf.DUMMYFUNCTION("""COMPUTED_VALUE"""),12)</f>
        <v>12</v>
      </c>
      <c r="D151" s="1">
        <f ca="1">IFERROR(__xludf.DUMMYFUNCTION("""COMPUTED_VALUE"""),18)</f>
        <v>18</v>
      </c>
      <c r="E151" s="1">
        <f ca="1">IFERROR(__xludf.DUMMYFUNCTION("""COMPUTED_VALUE"""),0.4)</f>
        <v>0.4</v>
      </c>
      <c r="F151" s="1">
        <f ca="1">IFERROR(__xludf.DUMMYFUNCTION("""COMPUTED_VALUE"""),-11.86)</f>
        <v>-11.86</v>
      </c>
      <c r="G151" s="1">
        <f ca="1">IFERROR(__xludf.DUMMYFUNCTION("""COMPUTED_VALUE"""),-4.86)</f>
        <v>-4.8600000000000003</v>
      </c>
      <c r="H151" s="1">
        <f ca="1">IFERROR(__xludf.DUMMYFUNCTION("""COMPUTED_VALUE"""),8)</f>
        <v>8</v>
      </c>
      <c r="I151" s="1">
        <f ca="1">IFERROR(__xludf.DUMMYFUNCTION("""COMPUTED_VALUE"""),10)</f>
        <v>10</v>
      </c>
      <c r="J151" s="1">
        <f ca="1">IFERROR(__xludf.DUMMYFUNCTION("""COMPUTED_VALUE"""),10)</f>
        <v>10</v>
      </c>
      <c r="K151" s="1">
        <f ca="1">IFERROR(__xludf.DUMMYFUNCTION("""COMPUTED_VALUE"""),5)</f>
        <v>5</v>
      </c>
      <c r="L151" s="1">
        <f ca="1">IFERROR(__xludf.DUMMYFUNCTION("""COMPUTED_VALUE"""),2)</f>
        <v>2</v>
      </c>
      <c r="M151" s="1">
        <f ca="1">IFERROR(__xludf.DUMMYFUNCTION("""COMPUTED_VALUE"""),13)</f>
        <v>13</v>
      </c>
      <c r="N151" s="1">
        <f ca="1">IFERROR(__xludf.DUMMYFUNCTION("""COMPUTED_VALUE"""),2231)</f>
        <v>2231</v>
      </c>
      <c r="O151" s="1">
        <f ca="1">IFERROR(__xludf.DUMMYFUNCTION("""COMPUTED_VALUE"""),2385)</f>
        <v>2385</v>
      </c>
      <c r="P151" s="1">
        <f ca="1">IFERROR(__xludf.DUMMYFUNCTION("""COMPUTED_VALUE"""),1200)</f>
        <v>1200</v>
      </c>
      <c r="Q151" s="1">
        <f ca="1">IFERROR(__xludf.DUMMYFUNCTION("""COMPUTED_VALUE"""),756)</f>
        <v>756</v>
      </c>
      <c r="R151" s="1">
        <f ca="1">IFERROR(__xludf.DUMMYFUNCTION("""COMPUTED_VALUE"""),1729)</f>
        <v>1729</v>
      </c>
      <c r="S151" s="1">
        <f ca="1">IFERROR(__xludf.DUMMYFUNCTION("""COMPUTED_VALUE"""),0.437)</f>
        <v>0.437</v>
      </c>
      <c r="T151" s="1">
        <f ca="1">IFERROR(__xludf.DUMMYFUNCTION("""COMPUTED_VALUE"""),188)</f>
        <v>188</v>
      </c>
      <c r="U151" s="1">
        <f ca="1">IFERROR(__xludf.DUMMYFUNCTION("""COMPUTED_VALUE"""),553)</f>
        <v>553</v>
      </c>
      <c r="V151" s="1">
        <f ca="1">IFERROR(__xludf.DUMMYFUNCTION("""COMPUTED_VALUE"""),0.34)</f>
        <v>0.34</v>
      </c>
      <c r="W151" s="1">
        <f ca="1">IFERROR(__xludf.DUMMYFUNCTION("""COMPUTED_VALUE"""),531)</f>
        <v>531</v>
      </c>
      <c r="X151" s="1">
        <f ca="1">IFERROR(__xludf.DUMMYFUNCTION("""COMPUTED_VALUE"""),749)</f>
        <v>749</v>
      </c>
      <c r="Y151" s="1">
        <f ca="1">IFERROR(__xludf.DUMMYFUNCTION("""COMPUTED_VALUE"""),0.709)</f>
        <v>0.70899999999999996</v>
      </c>
      <c r="Z151" s="1">
        <f ca="1">IFERROR(__xludf.DUMMYFUNCTION("""COMPUTED_VALUE"""),362)</f>
        <v>362</v>
      </c>
      <c r="AA151" s="1">
        <f ca="1">IFERROR(__xludf.DUMMYFUNCTION("""COMPUTED_VALUE"""),1027)</f>
        <v>1027</v>
      </c>
      <c r="AB151" s="1">
        <f ca="1">IFERROR(__xludf.DUMMYFUNCTION("""COMPUTED_VALUE"""),393)</f>
        <v>393</v>
      </c>
      <c r="AC151" s="1">
        <f ca="1">IFERROR(__xludf.DUMMYFUNCTION("""COMPUTED_VALUE"""),220)</f>
        <v>220</v>
      </c>
      <c r="AD151" s="1">
        <f ca="1">IFERROR(__xludf.DUMMYFUNCTION("""COMPUTED_VALUE"""),105)</f>
        <v>105</v>
      </c>
      <c r="AE151" s="1">
        <f ca="1">IFERROR(__xludf.DUMMYFUNCTION("""COMPUTED_VALUE"""),409)</f>
        <v>409</v>
      </c>
      <c r="AF151" s="1">
        <f ca="1">IFERROR(__xludf.DUMMYFUNCTION("""COMPUTED_VALUE"""),565)</f>
        <v>565</v>
      </c>
    </row>
    <row r="152" spans="1:32" ht="12.5" x14ac:dyDescent="0.25">
      <c r="A152" s="1" t="str">
        <f ca="1">IFERROR(__xludf.DUMMYFUNCTION("""COMPUTED_VALUE"""),"James Madison")</f>
        <v>James Madison</v>
      </c>
      <c r="B152" s="1">
        <f ca="1">IFERROR(__xludf.DUMMYFUNCTION("""COMPUTED_VALUE"""),31)</f>
        <v>31</v>
      </c>
      <c r="C152" s="1">
        <f ca="1">IFERROR(__xludf.DUMMYFUNCTION("""COMPUTED_VALUE"""),11)</f>
        <v>11</v>
      </c>
      <c r="D152" s="1">
        <f ca="1">IFERROR(__xludf.DUMMYFUNCTION("""COMPUTED_VALUE"""),20)</f>
        <v>20</v>
      </c>
      <c r="E152" s="1">
        <f ca="1">IFERROR(__xludf.DUMMYFUNCTION("""COMPUTED_VALUE"""),0.355)</f>
        <v>0.35499999999999998</v>
      </c>
      <c r="F152" s="1">
        <f ca="1">IFERROR(__xludf.DUMMYFUNCTION("""COMPUTED_VALUE"""),-7.65)</f>
        <v>-7.65</v>
      </c>
      <c r="G152" s="1">
        <f ca="1">IFERROR(__xludf.DUMMYFUNCTION("""COMPUTED_VALUE"""),-2.2)</f>
        <v>-2.2000000000000002</v>
      </c>
      <c r="H152" s="1">
        <f ca="1">IFERROR(__xludf.DUMMYFUNCTION("""COMPUTED_VALUE"""),6)</f>
        <v>6</v>
      </c>
      <c r="I152" s="1">
        <f ca="1">IFERROR(__xludf.DUMMYFUNCTION("""COMPUTED_VALUE"""),10)</f>
        <v>10</v>
      </c>
      <c r="J152" s="1">
        <f ca="1">IFERROR(__xludf.DUMMYFUNCTION("""COMPUTED_VALUE"""),5)</f>
        <v>5</v>
      </c>
      <c r="K152" s="1">
        <f ca="1">IFERROR(__xludf.DUMMYFUNCTION("""COMPUTED_VALUE"""),5)</f>
        <v>5</v>
      </c>
      <c r="L152" s="1">
        <f ca="1">IFERROR(__xludf.DUMMYFUNCTION("""COMPUTED_VALUE"""),4)</f>
        <v>4</v>
      </c>
      <c r="M152" s="1">
        <f ca="1">IFERROR(__xludf.DUMMYFUNCTION("""COMPUTED_VALUE"""),12)</f>
        <v>12</v>
      </c>
      <c r="N152" s="1">
        <f ca="1">IFERROR(__xludf.DUMMYFUNCTION("""COMPUTED_VALUE"""),1961)</f>
        <v>1961</v>
      </c>
      <c r="O152" s="1">
        <f ca="1">IFERROR(__xludf.DUMMYFUNCTION("""COMPUTED_VALUE"""),2130)</f>
        <v>2130</v>
      </c>
      <c r="P152" s="1">
        <f ca="1">IFERROR(__xludf.DUMMYFUNCTION("""COMPUTED_VALUE"""),1245)</f>
        <v>1245</v>
      </c>
      <c r="Q152" s="1">
        <f ca="1">IFERROR(__xludf.DUMMYFUNCTION("""COMPUTED_VALUE"""),647)</f>
        <v>647</v>
      </c>
      <c r="R152" s="1">
        <f ca="1">IFERROR(__xludf.DUMMYFUNCTION("""COMPUTED_VALUE"""),1582)</f>
        <v>1582</v>
      </c>
      <c r="S152" s="1">
        <f ca="1">IFERROR(__xludf.DUMMYFUNCTION("""COMPUTED_VALUE"""),0.409)</f>
        <v>0.40899999999999997</v>
      </c>
      <c r="T152" s="1">
        <f ca="1">IFERROR(__xludf.DUMMYFUNCTION("""COMPUTED_VALUE"""),151)</f>
        <v>151</v>
      </c>
      <c r="U152" s="1">
        <f ca="1">IFERROR(__xludf.DUMMYFUNCTION("""COMPUTED_VALUE"""),553)</f>
        <v>553</v>
      </c>
      <c r="V152" s="1">
        <f ca="1">IFERROR(__xludf.DUMMYFUNCTION("""COMPUTED_VALUE"""),0.273)</f>
        <v>0.27300000000000002</v>
      </c>
      <c r="W152" s="1">
        <f ca="1">IFERROR(__xludf.DUMMYFUNCTION("""COMPUTED_VALUE"""),514)</f>
        <v>514</v>
      </c>
      <c r="X152" s="1">
        <f ca="1">IFERROR(__xludf.DUMMYFUNCTION("""COMPUTED_VALUE"""),750)</f>
        <v>750</v>
      </c>
      <c r="Y152" s="1">
        <f ca="1">IFERROR(__xludf.DUMMYFUNCTION("""COMPUTED_VALUE"""),0.685)</f>
        <v>0.68500000000000005</v>
      </c>
      <c r="Z152" s="1">
        <f ca="1">IFERROR(__xludf.DUMMYFUNCTION("""COMPUTED_VALUE"""),314)</f>
        <v>314</v>
      </c>
      <c r="AA152" s="1">
        <f ca="1">IFERROR(__xludf.DUMMYFUNCTION("""COMPUTED_VALUE"""),1045)</f>
        <v>1045</v>
      </c>
      <c r="AB152" s="1">
        <f ca="1">IFERROR(__xludf.DUMMYFUNCTION("""COMPUTED_VALUE"""),272)</f>
        <v>272</v>
      </c>
      <c r="AC152" s="1">
        <f ca="1">IFERROR(__xludf.DUMMYFUNCTION("""COMPUTED_VALUE"""),182)</f>
        <v>182</v>
      </c>
      <c r="AD152" s="1">
        <f ca="1">IFERROR(__xludf.DUMMYFUNCTION("""COMPUTED_VALUE"""),96)</f>
        <v>96</v>
      </c>
      <c r="AE152" s="1">
        <f ca="1">IFERROR(__xludf.DUMMYFUNCTION("""COMPUTED_VALUE"""),379)</f>
        <v>379</v>
      </c>
      <c r="AF152" s="1">
        <f ca="1">IFERROR(__xludf.DUMMYFUNCTION("""COMPUTED_VALUE"""),607)</f>
        <v>607</v>
      </c>
    </row>
    <row r="153" spans="1:32" ht="12.5" x14ac:dyDescent="0.25">
      <c r="A153" s="1" t="str">
        <f ca="1">IFERROR(__xludf.DUMMYFUNCTION("""COMPUTED_VALUE"""),"Kansas StateNCAA")</f>
        <v>Kansas StateNCAA</v>
      </c>
      <c r="B153" s="1">
        <f ca="1">IFERROR(__xludf.DUMMYFUNCTION("""COMPUTED_VALUE"""),33)</f>
        <v>33</v>
      </c>
      <c r="C153" s="1">
        <f ca="1">IFERROR(__xludf.DUMMYFUNCTION("""COMPUTED_VALUE"""),20)</f>
        <v>20</v>
      </c>
      <c r="D153" s="1">
        <f ca="1">IFERROR(__xludf.DUMMYFUNCTION("""COMPUTED_VALUE"""),13)</f>
        <v>13</v>
      </c>
      <c r="E153" s="1">
        <f ca="1">IFERROR(__xludf.DUMMYFUNCTION("""COMPUTED_VALUE"""),0.606)</f>
        <v>0.60599999999999998</v>
      </c>
      <c r="F153" s="1">
        <f ca="1">IFERROR(__xludf.DUMMYFUNCTION("""COMPUTED_VALUE"""),12.14)</f>
        <v>12.14</v>
      </c>
      <c r="G153" s="1">
        <f ca="1">IFERROR(__xludf.DUMMYFUNCTION("""COMPUTED_VALUE"""),8.47)</f>
        <v>8.4700000000000006</v>
      </c>
      <c r="H153" s="1">
        <f ca="1">IFERROR(__xludf.DUMMYFUNCTION("""COMPUTED_VALUE"""),10)</f>
        <v>10</v>
      </c>
      <c r="I153" s="1">
        <f ca="1">IFERROR(__xludf.DUMMYFUNCTION("""COMPUTED_VALUE"""),8)</f>
        <v>8</v>
      </c>
      <c r="J153" s="1">
        <f ca="1">IFERROR(__xludf.DUMMYFUNCTION("""COMPUTED_VALUE"""),15)</f>
        <v>15</v>
      </c>
      <c r="K153" s="1">
        <f ca="1">IFERROR(__xludf.DUMMYFUNCTION("""COMPUTED_VALUE"""),2)</f>
        <v>2</v>
      </c>
      <c r="L153" s="1">
        <f ca="1">IFERROR(__xludf.DUMMYFUNCTION("""COMPUTED_VALUE"""),2)</f>
        <v>2</v>
      </c>
      <c r="M153" s="1">
        <f ca="1">IFERROR(__xludf.DUMMYFUNCTION("""COMPUTED_VALUE"""),7)</f>
        <v>7</v>
      </c>
      <c r="N153" s="1">
        <f ca="1">IFERROR(__xludf.DUMMYFUNCTION("""COMPUTED_VALUE"""),2280)</f>
        <v>2280</v>
      </c>
      <c r="O153" s="1">
        <f ca="1">IFERROR(__xludf.DUMMYFUNCTION("""COMPUTED_VALUE"""),2159)</f>
        <v>2159</v>
      </c>
      <c r="P153" s="1">
        <f ca="1">IFERROR(__xludf.DUMMYFUNCTION("""COMPUTED_VALUE"""),1335)</f>
        <v>1335</v>
      </c>
      <c r="Q153" s="1">
        <f ca="1">IFERROR(__xludf.DUMMYFUNCTION("""COMPUTED_VALUE"""),798)</f>
        <v>798</v>
      </c>
      <c r="R153" s="1">
        <f ca="1">IFERROR(__xludf.DUMMYFUNCTION("""COMPUTED_VALUE"""),1840)</f>
        <v>1840</v>
      </c>
      <c r="S153" s="1">
        <f ca="1">IFERROR(__xludf.DUMMYFUNCTION("""COMPUTED_VALUE"""),0.434)</f>
        <v>0.434</v>
      </c>
      <c r="T153" s="1">
        <f ca="1">IFERROR(__xludf.DUMMYFUNCTION("""COMPUTED_VALUE"""),198)</f>
        <v>198</v>
      </c>
      <c r="U153" s="1">
        <f ca="1">IFERROR(__xludf.DUMMYFUNCTION("""COMPUTED_VALUE"""),598)</f>
        <v>598</v>
      </c>
      <c r="V153" s="1">
        <f ca="1">IFERROR(__xludf.DUMMYFUNCTION("""COMPUTED_VALUE"""),0.331)</f>
        <v>0.33100000000000002</v>
      </c>
      <c r="W153" s="1">
        <f ca="1">IFERROR(__xludf.DUMMYFUNCTION("""COMPUTED_VALUE"""),486)</f>
        <v>486</v>
      </c>
      <c r="X153" s="1">
        <f ca="1">IFERROR(__xludf.DUMMYFUNCTION("""COMPUTED_VALUE"""),741)</f>
        <v>741</v>
      </c>
      <c r="Y153" s="1">
        <f ca="1">IFERROR(__xludf.DUMMYFUNCTION("""COMPUTED_VALUE"""),0.656)</f>
        <v>0.65600000000000003</v>
      </c>
      <c r="Z153" s="1">
        <f ca="1">IFERROR(__xludf.DUMMYFUNCTION("""COMPUTED_VALUE"""),406)</f>
        <v>406</v>
      </c>
      <c r="AA153" s="1">
        <f ca="1">IFERROR(__xludf.DUMMYFUNCTION("""COMPUTED_VALUE"""),1180)</f>
        <v>1180</v>
      </c>
      <c r="AB153" s="1">
        <f ca="1">IFERROR(__xludf.DUMMYFUNCTION("""COMPUTED_VALUE"""),503)</f>
        <v>503</v>
      </c>
      <c r="AC153" s="1">
        <f ca="1">IFERROR(__xludf.DUMMYFUNCTION("""COMPUTED_VALUE"""),205)</f>
        <v>205</v>
      </c>
      <c r="AD153" s="1">
        <f ca="1">IFERROR(__xludf.DUMMYFUNCTION("""COMPUTED_VALUE"""),98)</f>
        <v>98</v>
      </c>
      <c r="AE153" s="1">
        <f ca="1">IFERROR(__xludf.DUMMYFUNCTION("""COMPUTED_VALUE"""),404)</f>
        <v>404</v>
      </c>
      <c r="AF153" s="1">
        <f ca="1">IFERROR(__xludf.DUMMYFUNCTION("""COMPUTED_VALUE"""),714)</f>
        <v>714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IFERROR(__xludf.DUMMYFUNCTION("""COMPUTED_VALUE"""),"KansasNCAA")</f>
        <v>KansasNCAA</v>
      </c>
      <c r="B156" s="1">
        <f ca="1">IFERROR(__xludf.DUMMYFUNCTION("""COMPUTED_VALUE"""),35)</f>
        <v>35</v>
      </c>
      <c r="C156" s="1">
        <f ca="1">IFERROR(__xludf.DUMMYFUNCTION("""COMPUTED_VALUE"""),25)</f>
        <v>25</v>
      </c>
      <c r="D156" s="1">
        <f ca="1">IFERROR(__xludf.DUMMYFUNCTION("""COMPUTED_VALUE"""),10)</f>
        <v>10</v>
      </c>
      <c r="E156" s="1">
        <f ca="1">IFERROR(__xludf.DUMMYFUNCTION("""COMPUTED_VALUE"""),0.714)</f>
        <v>0.71399999999999997</v>
      </c>
      <c r="F156" s="1">
        <f ca="1">IFERROR(__xludf.DUMMYFUNCTION("""COMPUTED_VALUE"""),20.25)</f>
        <v>20.25</v>
      </c>
      <c r="G156" s="1">
        <f ca="1">IFERROR(__xludf.DUMMYFUNCTION("""COMPUTED_VALUE"""),11.4)</f>
        <v>11.4</v>
      </c>
      <c r="H156" s="1">
        <f ca="1">IFERROR(__xludf.DUMMYFUNCTION("""COMPUTED_VALUE"""),14)</f>
        <v>14</v>
      </c>
      <c r="I156" s="1">
        <f ca="1">IFERROR(__xludf.DUMMYFUNCTION("""COMPUTED_VALUE"""),4)</f>
        <v>4</v>
      </c>
      <c r="J156" s="1">
        <f ca="1">IFERROR(__xludf.DUMMYFUNCTION("""COMPUTED_VALUE"""),14)</f>
        <v>14</v>
      </c>
      <c r="K156" s="1">
        <f ca="1">IFERROR(__xludf.DUMMYFUNCTION("""COMPUTED_VALUE"""),1)</f>
        <v>1</v>
      </c>
      <c r="L156" s="1">
        <f ca="1">IFERROR(__xludf.DUMMYFUNCTION("""COMPUTED_VALUE"""),5)</f>
        <v>5</v>
      </c>
      <c r="M156" s="1">
        <f ca="1">IFERROR(__xludf.DUMMYFUNCTION("""COMPUTED_VALUE"""),6)</f>
        <v>6</v>
      </c>
      <c r="N156" s="1">
        <f ca="1">IFERROR(__xludf.DUMMYFUNCTION("""COMPUTED_VALUE"""),2764)</f>
        <v>2764</v>
      </c>
      <c r="O156" s="1">
        <f ca="1">IFERROR(__xludf.DUMMYFUNCTION("""COMPUTED_VALUE"""),2454)</f>
        <v>2454</v>
      </c>
      <c r="P156" s="1">
        <f ca="1">IFERROR(__xludf.DUMMYFUNCTION("""COMPUTED_VALUE"""),1410)</f>
        <v>1410</v>
      </c>
      <c r="Q156" s="1">
        <f ca="1">IFERROR(__xludf.DUMMYFUNCTION("""COMPUTED_VALUE"""),955)</f>
        <v>955</v>
      </c>
      <c r="R156" s="1">
        <f ca="1">IFERROR(__xludf.DUMMYFUNCTION("""COMPUTED_VALUE"""),1937)</f>
        <v>1937</v>
      </c>
      <c r="S156" s="1">
        <f ca="1">IFERROR(__xludf.DUMMYFUNCTION("""COMPUTED_VALUE"""),0.493)</f>
        <v>0.49299999999999999</v>
      </c>
      <c r="T156" s="1">
        <f ca="1">IFERROR(__xludf.DUMMYFUNCTION("""COMPUTED_VALUE"""),189)</f>
        <v>189</v>
      </c>
      <c r="U156" s="1">
        <f ca="1">IFERROR(__xludf.DUMMYFUNCTION("""COMPUTED_VALUE"""),556)</f>
        <v>556</v>
      </c>
      <c r="V156" s="1">
        <f ca="1">IFERROR(__xludf.DUMMYFUNCTION("""COMPUTED_VALUE"""),0.34)</f>
        <v>0.34</v>
      </c>
      <c r="W156" s="1">
        <f ca="1">IFERROR(__xludf.DUMMYFUNCTION("""COMPUTED_VALUE"""),665)</f>
        <v>665</v>
      </c>
      <c r="X156" s="1">
        <f ca="1">IFERROR(__xludf.DUMMYFUNCTION("""COMPUTED_VALUE"""),935)</f>
        <v>935</v>
      </c>
      <c r="Y156" s="1">
        <f ca="1">IFERROR(__xludf.DUMMYFUNCTION("""COMPUTED_VALUE"""),0.711)</f>
        <v>0.71099999999999997</v>
      </c>
      <c r="Z156" s="1">
        <f ca="1">IFERROR(__xludf.DUMMYFUNCTION("""COMPUTED_VALUE"""),416)</f>
        <v>416</v>
      </c>
      <c r="AA156" s="1">
        <f ca="1">IFERROR(__xludf.DUMMYFUNCTION("""COMPUTED_VALUE"""),1336)</f>
        <v>1336</v>
      </c>
      <c r="AB156" s="1">
        <f ca="1">IFERROR(__xludf.DUMMYFUNCTION("""COMPUTED_VALUE"""),523)</f>
        <v>523</v>
      </c>
      <c r="AC156" s="1">
        <f ca="1">IFERROR(__xludf.DUMMYFUNCTION("""COMPUTED_VALUE"""),204)</f>
        <v>204</v>
      </c>
      <c r="AD156" s="1">
        <f ca="1">IFERROR(__xludf.DUMMYFUNCTION("""COMPUTED_VALUE"""),196)</f>
        <v>196</v>
      </c>
      <c r="AE156" s="1">
        <f ca="1">IFERROR(__xludf.DUMMYFUNCTION("""COMPUTED_VALUE"""),463)</f>
        <v>463</v>
      </c>
      <c r="AF156" s="1">
        <f ca="1">IFERROR(__xludf.DUMMYFUNCTION("""COMPUTED_VALUE"""),732)</f>
        <v>732</v>
      </c>
    </row>
    <row r="157" spans="1:32" ht="12.5" x14ac:dyDescent="0.25">
      <c r="A157" s="1" t="str">
        <f ca="1">IFERROR(__xludf.DUMMYFUNCTION("""COMPUTED_VALUE"""),"Kennesaw State")</f>
        <v>Kennesaw State</v>
      </c>
      <c r="B157" s="1">
        <f ca="1">IFERROR(__xludf.DUMMYFUNCTION("""COMPUTED_VALUE"""),31)</f>
        <v>31</v>
      </c>
      <c r="C157" s="1">
        <f ca="1">IFERROR(__xludf.DUMMYFUNCTION("""COMPUTED_VALUE"""),6)</f>
        <v>6</v>
      </c>
      <c r="D157" s="1">
        <f ca="1">IFERROR(__xludf.DUMMYFUNCTION("""COMPUTED_VALUE"""),25)</f>
        <v>25</v>
      </c>
      <c r="E157" s="1">
        <f ca="1">IFERROR(__xludf.DUMMYFUNCTION("""COMPUTED_VALUE"""),0.194)</f>
        <v>0.19400000000000001</v>
      </c>
      <c r="F157" s="1">
        <f ca="1">IFERROR(__xludf.DUMMYFUNCTION("""COMPUTED_VALUE"""),-16.16)</f>
        <v>-16.16</v>
      </c>
      <c r="G157" s="1">
        <f ca="1">IFERROR(__xludf.DUMMYFUNCTION("""COMPUTED_VALUE"""),-4.05)</f>
        <v>-4.05</v>
      </c>
      <c r="H157" s="1">
        <f ca="1">IFERROR(__xludf.DUMMYFUNCTION("""COMPUTED_VALUE"""),3)</f>
        <v>3</v>
      </c>
      <c r="I157" s="1">
        <f ca="1">IFERROR(__xludf.DUMMYFUNCTION("""COMPUTED_VALUE"""),15)</f>
        <v>15</v>
      </c>
      <c r="J157" s="1">
        <f ca="1">IFERROR(__xludf.DUMMYFUNCTION("""COMPUTED_VALUE"""),4)</f>
        <v>4</v>
      </c>
      <c r="K157" s="1">
        <f ca="1">IFERROR(__xludf.DUMMYFUNCTION("""COMPUTED_VALUE"""),11)</f>
        <v>11</v>
      </c>
      <c r="L157" s="1">
        <f ca="1">IFERROR(__xludf.DUMMYFUNCTION("""COMPUTED_VALUE"""),2)</f>
        <v>2</v>
      </c>
      <c r="M157" s="1">
        <f ca="1">IFERROR(__xludf.DUMMYFUNCTION("""COMPUTED_VALUE"""),14)</f>
        <v>14</v>
      </c>
      <c r="N157" s="1">
        <f ca="1">IFERROR(__xludf.DUMMYFUNCTION("""COMPUTED_VALUE"""),2016)</f>
        <v>2016</v>
      </c>
      <c r="O157" s="1">
        <f ca="1">IFERROR(__xludf.DUMMYFUNCTION("""COMPUTED_VALUE"""),2304)</f>
        <v>2304</v>
      </c>
      <c r="P157" s="1">
        <f ca="1">IFERROR(__xludf.DUMMYFUNCTION("""COMPUTED_VALUE"""),1240)</f>
        <v>1240</v>
      </c>
      <c r="Q157" s="1">
        <f ca="1">IFERROR(__xludf.DUMMYFUNCTION("""COMPUTED_VALUE"""),708)</f>
        <v>708</v>
      </c>
      <c r="R157" s="1">
        <f ca="1">IFERROR(__xludf.DUMMYFUNCTION("""COMPUTED_VALUE"""),1676)</f>
        <v>1676</v>
      </c>
      <c r="S157" s="1">
        <f ca="1">IFERROR(__xludf.DUMMYFUNCTION("""COMPUTED_VALUE"""),0.422)</f>
        <v>0.42199999999999999</v>
      </c>
      <c r="T157" s="1">
        <f ca="1">IFERROR(__xludf.DUMMYFUNCTION("""COMPUTED_VALUE"""),192)</f>
        <v>192</v>
      </c>
      <c r="U157" s="1">
        <f ca="1">IFERROR(__xludf.DUMMYFUNCTION("""COMPUTED_VALUE"""),559)</f>
        <v>559</v>
      </c>
      <c r="V157" s="1">
        <f ca="1">IFERROR(__xludf.DUMMYFUNCTION("""COMPUTED_VALUE"""),0.343)</f>
        <v>0.34300000000000003</v>
      </c>
      <c r="W157" s="1">
        <f ca="1">IFERROR(__xludf.DUMMYFUNCTION("""COMPUTED_VALUE"""),408)</f>
        <v>408</v>
      </c>
      <c r="X157" s="1">
        <f ca="1">IFERROR(__xludf.DUMMYFUNCTION("""COMPUTED_VALUE"""),628)</f>
        <v>628</v>
      </c>
      <c r="Y157" s="1">
        <f ca="1">IFERROR(__xludf.DUMMYFUNCTION("""COMPUTED_VALUE"""),0.65)</f>
        <v>0.65</v>
      </c>
      <c r="Z157" s="1">
        <f ca="1">IFERROR(__xludf.DUMMYFUNCTION("""COMPUTED_VALUE"""),346)</f>
        <v>346</v>
      </c>
      <c r="AA157" s="1">
        <f ca="1">IFERROR(__xludf.DUMMYFUNCTION("""COMPUTED_VALUE"""),1019)</f>
        <v>1019</v>
      </c>
      <c r="AB157" s="1">
        <f ca="1">IFERROR(__xludf.DUMMYFUNCTION("""COMPUTED_VALUE"""),344)</f>
        <v>344</v>
      </c>
      <c r="AC157" s="1">
        <f ca="1">IFERROR(__xludf.DUMMYFUNCTION("""COMPUTED_VALUE"""),182)</f>
        <v>182</v>
      </c>
      <c r="AD157" s="1">
        <f ca="1">IFERROR(__xludf.DUMMYFUNCTION("""COMPUTED_VALUE"""),95)</f>
        <v>95</v>
      </c>
      <c r="AE157" s="1">
        <f ca="1">IFERROR(__xludf.DUMMYFUNCTION("""COMPUTED_VALUE"""),494)</f>
        <v>494</v>
      </c>
      <c r="AF157" s="1">
        <f ca="1">IFERROR(__xludf.DUMMYFUNCTION("""COMPUTED_VALUE"""),673)</f>
        <v>673</v>
      </c>
    </row>
    <row r="158" spans="1:32" ht="12.5" x14ac:dyDescent="0.25">
      <c r="A158" s="1" t="str">
        <f ca="1">IFERROR(__xludf.DUMMYFUNCTION("""COMPUTED_VALUE"""),"Kent State")</f>
        <v>Kent State</v>
      </c>
      <c r="B158" s="1">
        <f ca="1">IFERROR(__xludf.DUMMYFUNCTION("""COMPUTED_VALUE"""),32)</f>
        <v>32</v>
      </c>
      <c r="C158" s="1">
        <f ca="1">IFERROR(__xludf.DUMMYFUNCTION("""COMPUTED_VALUE"""),16)</f>
        <v>16</v>
      </c>
      <c r="D158" s="1">
        <f ca="1">IFERROR(__xludf.DUMMYFUNCTION("""COMPUTED_VALUE"""),16)</f>
        <v>16</v>
      </c>
      <c r="E158" s="1">
        <f ca="1">IFERROR(__xludf.DUMMYFUNCTION("""COMPUTED_VALUE"""),0.5)</f>
        <v>0.5</v>
      </c>
      <c r="F158" s="1">
        <f ca="1">IFERROR(__xludf.DUMMYFUNCTION("""COMPUTED_VALUE"""),-1.81)</f>
        <v>-1.81</v>
      </c>
      <c r="G158" s="1">
        <f ca="1">IFERROR(__xludf.DUMMYFUNCTION("""COMPUTED_VALUE"""),-1.94)</f>
        <v>-1.94</v>
      </c>
      <c r="H158" s="1">
        <f ca="1">IFERROR(__xludf.DUMMYFUNCTION("""COMPUTED_VALUE"""),7)</f>
        <v>7</v>
      </c>
      <c r="I158" s="1">
        <f ca="1">IFERROR(__xludf.DUMMYFUNCTION("""COMPUTED_VALUE"""),11)</f>
        <v>11</v>
      </c>
      <c r="J158" s="1">
        <f ca="1">IFERROR(__xludf.DUMMYFUNCTION("""COMPUTED_VALUE"""),11)</f>
        <v>11</v>
      </c>
      <c r="K158" s="1">
        <f ca="1">IFERROR(__xludf.DUMMYFUNCTION("""COMPUTED_VALUE"""),7)</f>
        <v>7</v>
      </c>
      <c r="L158" s="1">
        <f ca="1">IFERROR(__xludf.DUMMYFUNCTION("""COMPUTED_VALUE"""),5)</f>
        <v>5</v>
      </c>
      <c r="M158" s="1">
        <f ca="1">IFERROR(__xludf.DUMMYFUNCTION("""COMPUTED_VALUE"""),9)</f>
        <v>9</v>
      </c>
      <c r="N158" s="1">
        <f ca="1">IFERROR(__xludf.DUMMYFUNCTION("""COMPUTED_VALUE"""),2228)</f>
        <v>2228</v>
      </c>
      <c r="O158" s="1">
        <f ca="1">IFERROR(__xludf.DUMMYFUNCTION("""COMPUTED_VALUE"""),2188)</f>
        <v>2188</v>
      </c>
      <c r="P158" s="1">
        <f ca="1">IFERROR(__xludf.DUMMYFUNCTION("""COMPUTED_VALUE"""),1290)</f>
        <v>1290</v>
      </c>
      <c r="Q158" s="1">
        <f ca="1">IFERROR(__xludf.DUMMYFUNCTION("""COMPUTED_VALUE"""),766)</f>
        <v>766</v>
      </c>
      <c r="R158" s="1">
        <f ca="1">IFERROR(__xludf.DUMMYFUNCTION("""COMPUTED_VALUE"""),1787)</f>
        <v>1787</v>
      </c>
      <c r="S158" s="1">
        <f ca="1">IFERROR(__xludf.DUMMYFUNCTION("""COMPUTED_VALUE"""),0.429)</f>
        <v>0.42899999999999999</v>
      </c>
      <c r="T158" s="1">
        <f ca="1">IFERROR(__xludf.DUMMYFUNCTION("""COMPUTED_VALUE"""),232)</f>
        <v>232</v>
      </c>
      <c r="U158" s="1">
        <f ca="1">IFERROR(__xludf.DUMMYFUNCTION("""COMPUTED_VALUE"""),670)</f>
        <v>670</v>
      </c>
      <c r="V158" s="1">
        <f ca="1">IFERROR(__xludf.DUMMYFUNCTION("""COMPUTED_VALUE"""),0.346)</f>
        <v>0.34599999999999997</v>
      </c>
      <c r="W158" s="1">
        <f ca="1">IFERROR(__xludf.DUMMYFUNCTION("""COMPUTED_VALUE"""),464)</f>
        <v>464</v>
      </c>
      <c r="X158" s="1">
        <f ca="1">IFERROR(__xludf.DUMMYFUNCTION("""COMPUTED_VALUE"""),660)</f>
        <v>660</v>
      </c>
      <c r="Y158" s="1">
        <f ca="1">IFERROR(__xludf.DUMMYFUNCTION("""COMPUTED_VALUE"""),0.703)</f>
        <v>0.70299999999999996</v>
      </c>
      <c r="Z158" s="1">
        <f ca="1">IFERROR(__xludf.DUMMYFUNCTION("""COMPUTED_VALUE"""),341)</f>
        <v>341</v>
      </c>
      <c r="AA158" s="1">
        <f ca="1">IFERROR(__xludf.DUMMYFUNCTION("""COMPUTED_VALUE"""),1074)</f>
        <v>1074</v>
      </c>
      <c r="AB158" s="1">
        <f ca="1">IFERROR(__xludf.DUMMYFUNCTION("""COMPUTED_VALUE"""),362)</f>
        <v>362</v>
      </c>
      <c r="AC158" s="1">
        <f ca="1">IFERROR(__xludf.DUMMYFUNCTION("""COMPUTED_VALUE"""),199)</f>
        <v>199</v>
      </c>
      <c r="AD158" s="1">
        <f ca="1">IFERROR(__xludf.DUMMYFUNCTION("""COMPUTED_VALUE"""),109)</f>
        <v>109</v>
      </c>
      <c r="AE158" s="1">
        <f ca="1">IFERROR(__xludf.DUMMYFUNCTION("""COMPUTED_VALUE"""),390)</f>
        <v>390</v>
      </c>
      <c r="AF158" s="1">
        <f ca="1">IFERROR(__xludf.DUMMYFUNCTION("""COMPUTED_VALUE"""),670)</f>
        <v>670</v>
      </c>
    </row>
    <row r="159" spans="1:32" ht="12.5" x14ac:dyDescent="0.25">
      <c r="A159" s="1" t="str">
        <f ca="1">IFERROR(__xludf.DUMMYFUNCTION("""COMPUTED_VALUE"""),"KentuckyNCAA")</f>
        <v>KentuckyNCAA</v>
      </c>
      <c r="B159" s="1">
        <f ca="1">IFERROR(__xludf.DUMMYFUNCTION("""COMPUTED_VALUE"""),40)</f>
        <v>40</v>
      </c>
      <c r="C159" s="1">
        <f ca="1">IFERROR(__xludf.DUMMYFUNCTION("""COMPUTED_VALUE"""),29)</f>
        <v>29</v>
      </c>
      <c r="D159" s="1">
        <f ca="1">IFERROR(__xludf.DUMMYFUNCTION("""COMPUTED_VALUE"""),11)</f>
        <v>11</v>
      </c>
      <c r="E159" s="1">
        <f ca="1">IFERROR(__xludf.DUMMYFUNCTION("""COMPUTED_VALUE"""),0.725)</f>
        <v>0.72499999999999998</v>
      </c>
      <c r="F159" s="1">
        <f ca="1">IFERROR(__xludf.DUMMYFUNCTION("""COMPUTED_VALUE"""),18.07)</f>
        <v>18.07</v>
      </c>
      <c r="G159" s="1">
        <f ca="1">IFERROR(__xludf.DUMMYFUNCTION("""COMPUTED_VALUE"""),9.9)</f>
        <v>9.9</v>
      </c>
      <c r="H159" s="1">
        <f ca="1">IFERROR(__xludf.DUMMYFUNCTION("""COMPUTED_VALUE"""),12)</f>
        <v>12</v>
      </c>
      <c r="I159" s="1">
        <f ca="1">IFERROR(__xludf.DUMMYFUNCTION("""COMPUTED_VALUE"""),6)</f>
        <v>6</v>
      </c>
      <c r="J159" s="1">
        <f ca="1">IFERROR(__xludf.DUMMYFUNCTION("""COMPUTED_VALUE"""),16)</f>
        <v>16</v>
      </c>
      <c r="K159" s="1">
        <f ca="1">IFERROR(__xludf.DUMMYFUNCTION("""COMPUTED_VALUE"""),2)</f>
        <v>2</v>
      </c>
      <c r="L159" s="1">
        <f ca="1">IFERROR(__xludf.DUMMYFUNCTION("""COMPUTED_VALUE"""),5)</f>
        <v>5</v>
      </c>
      <c r="M159" s="1">
        <f ca="1">IFERROR(__xludf.DUMMYFUNCTION("""COMPUTED_VALUE"""),5)</f>
        <v>5</v>
      </c>
      <c r="N159" s="1">
        <f ca="1">IFERROR(__xludf.DUMMYFUNCTION("""COMPUTED_VALUE"""),2992)</f>
        <v>2992</v>
      </c>
      <c r="O159" s="1">
        <f ca="1">IFERROR(__xludf.DUMMYFUNCTION("""COMPUTED_VALUE"""),2665)</f>
        <v>2665</v>
      </c>
      <c r="P159" s="1">
        <f ca="1">IFERROR(__xludf.DUMMYFUNCTION("""COMPUTED_VALUE"""),1615)</f>
        <v>1615</v>
      </c>
      <c r="Q159" s="1">
        <f ca="1">IFERROR(__xludf.DUMMYFUNCTION("""COMPUTED_VALUE"""),1004)</f>
        <v>1004</v>
      </c>
      <c r="R159" s="1">
        <f ca="1">IFERROR(__xludf.DUMMYFUNCTION("""COMPUTED_VALUE"""),2213)</f>
        <v>2213</v>
      </c>
      <c r="S159" s="1">
        <f ca="1">IFERROR(__xludf.DUMMYFUNCTION("""COMPUTED_VALUE"""),0.454)</f>
        <v>0.45400000000000001</v>
      </c>
      <c r="T159" s="1">
        <f ca="1">IFERROR(__xludf.DUMMYFUNCTION("""COMPUTED_VALUE"""),203)</f>
        <v>203</v>
      </c>
      <c r="U159" s="1">
        <f ca="1">IFERROR(__xludf.DUMMYFUNCTION("""COMPUTED_VALUE"""),611)</f>
        <v>611</v>
      </c>
      <c r="V159" s="1">
        <f ca="1">IFERROR(__xludf.DUMMYFUNCTION("""COMPUTED_VALUE"""),0.332)</f>
        <v>0.33200000000000002</v>
      </c>
      <c r="W159" s="1">
        <f ca="1">IFERROR(__xludf.DUMMYFUNCTION("""COMPUTED_VALUE"""),781)</f>
        <v>781</v>
      </c>
      <c r="X159" s="1">
        <f ca="1">IFERROR(__xludf.DUMMYFUNCTION("""COMPUTED_VALUE"""),1146)</f>
        <v>1146</v>
      </c>
      <c r="Y159" s="1">
        <f ca="1">IFERROR(__xludf.DUMMYFUNCTION("""COMPUTED_VALUE"""),0.682)</f>
        <v>0.68200000000000005</v>
      </c>
      <c r="Z159" s="1">
        <f ca="1">IFERROR(__xludf.DUMMYFUNCTION("""COMPUTED_VALUE"""),562)</f>
        <v>562</v>
      </c>
      <c r="AA159" s="1">
        <f ca="1">IFERROR(__xludf.DUMMYFUNCTION("""COMPUTED_VALUE"""),1607)</f>
        <v>1607</v>
      </c>
      <c r="AB159" s="1">
        <f ca="1">IFERROR(__xludf.DUMMYFUNCTION("""COMPUTED_VALUE"""),446)</f>
        <v>446</v>
      </c>
      <c r="AC159" s="1">
        <f ca="1">IFERROR(__xludf.DUMMYFUNCTION("""COMPUTED_VALUE"""),189)</f>
        <v>189</v>
      </c>
      <c r="AD159" s="1">
        <f ca="1">IFERROR(__xludf.DUMMYFUNCTION("""COMPUTED_VALUE"""),236)</f>
        <v>236</v>
      </c>
      <c r="AE159" s="1">
        <f ca="1">IFERROR(__xludf.DUMMYFUNCTION("""COMPUTED_VALUE"""),469)</f>
        <v>469</v>
      </c>
      <c r="AF159" s="1">
        <f ca="1">IFERROR(__xludf.DUMMYFUNCTION("""COMPUTED_VALUE"""),732)</f>
        <v>732</v>
      </c>
    </row>
    <row r="160" spans="1:32" ht="12.5" x14ac:dyDescent="0.25">
      <c r="A160" s="1" t="str">
        <f ca="1">IFERROR(__xludf.DUMMYFUNCTION("""COMPUTED_VALUE"""),"La Salle")</f>
        <v>La Salle</v>
      </c>
      <c r="B160" s="1">
        <f ca="1">IFERROR(__xludf.DUMMYFUNCTION("""COMPUTED_VALUE"""),31)</f>
        <v>31</v>
      </c>
      <c r="C160" s="1">
        <f ca="1">IFERROR(__xludf.DUMMYFUNCTION("""COMPUTED_VALUE"""),15)</f>
        <v>15</v>
      </c>
      <c r="D160" s="1">
        <f ca="1">IFERROR(__xludf.DUMMYFUNCTION("""COMPUTED_VALUE"""),16)</f>
        <v>16</v>
      </c>
      <c r="E160" s="1">
        <f ca="1">IFERROR(__xludf.DUMMYFUNCTION("""COMPUTED_VALUE"""),0.484)</f>
        <v>0.48399999999999999</v>
      </c>
      <c r="F160" s="1">
        <f ca="1">IFERROR(__xludf.DUMMYFUNCTION("""COMPUTED_VALUE"""),4.1)</f>
        <v>4.0999999999999996</v>
      </c>
      <c r="G160" s="1">
        <f ca="1">IFERROR(__xludf.DUMMYFUNCTION("""COMPUTED_VALUE"""),4.75)</f>
        <v>4.75</v>
      </c>
      <c r="H160" s="1">
        <f ca="1">IFERROR(__xludf.DUMMYFUNCTION("""COMPUTED_VALUE"""),7)</f>
        <v>7</v>
      </c>
      <c r="I160" s="1">
        <f ca="1">IFERROR(__xludf.DUMMYFUNCTION("""COMPUTED_VALUE"""),9)</f>
        <v>9</v>
      </c>
      <c r="J160" s="1">
        <f ca="1">IFERROR(__xludf.DUMMYFUNCTION("""COMPUTED_VALUE"""),8)</f>
        <v>8</v>
      </c>
      <c r="K160" s="1">
        <f ca="1">IFERROR(__xludf.DUMMYFUNCTION("""COMPUTED_VALUE"""),5)</f>
        <v>5</v>
      </c>
      <c r="L160" s="1">
        <f ca="1">IFERROR(__xludf.DUMMYFUNCTION("""COMPUTED_VALUE"""),4)</f>
        <v>4</v>
      </c>
      <c r="M160" s="1">
        <f ca="1">IFERROR(__xludf.DUMMYFUNCTION("""COMPUTED_VALUE"""),8)</f>
        <v>8</v>
      </c>
      <c r="N160" s="1">
        <f ca="1">IFERROR(__xludf.DUMMYFUNCTION("""COMPUTED_VALUE"""),2100)</f>
        <v>2100</v>
      </c>
      <c r="O160" s="1">
        <f ca="1">IFERROR(__xludf.DUMMYFUNCTION("""COMPUTED_VALUE"""),2120)</f>
        <v>2120</v>
      </c>
      <c r="P160" s="1">
        <f ca="1">IFERROR(__xludf.DUMMYFUNCTION("""COMPUTED_VALUE"""),1261)</f>
        <v>1261</v>
      </c>
      <c r="Q160" s="1">
        <f ca="1">IFERROR(__xludf.DUMMYFUNCTION("""COMPUTED_VALUE"""),720)</f>
        <v>720</v>
      </c>
      <c r="R160" s="1">
        <f ca="1">IFERROR(__xludf.DUMMYFUNCTION("""COMPUTED_VALUE"""),1743)</f>
        <v>1743</v>
      </c>
      <c r="S160" s="1">
        <f ca="1">IFERROR(__xludf.DUMMYFUNCTION("""COMPUTED_VALUE"""),0.413)</f>
        <v>0.41299999999999998</v>
      </c>
      <c r="T160" s="1">
        <f ca="1">IFERROR(__xludf.DUMMYFUNCTION("""COMPUTED_VALUE"""),177)</f>
        <v>177</v>
      </c>
      <c r="U160" s="1">
        <f ca="1">IFERROR(__xludf.DUMMYFUNCTION("""COMPUTED_VALUE"""),544)</f>
        <v>544</v>
      </c>
      <c r="V160" s="1">
        <f ca="1">IFERROR(__xludf.DUMMYFUNCTION("""COMPUTED_VALUE"""),0.325)</f>
        <v>0.32500000000000001</v>
      </c>
      <c r="W160" s="1">
        <f ca="1">IFERROR(__xludf.DUMMYFUNCTION("""COMPUTED_VALUE"""),483)</f>
        <v>483</v>
      </c>
      <c r="X160" s="1">
        <f ca="1">IFERROR(__xludf.DUMMYFUNCTION("""COMPUTED_VALUE"""),682)</f>
        <v>682</v>
      </c>
      <c r="Y160" s="1">
        <f ca="1">IFERROR(__xludf.DUMMYFUNCTION("""COMPUTED_VALUE"""),0.708)</f>
        <v>0.70799999999999996</v>
      </c>
      <c r="Z160" s="1">
        <f ca="1">IFERROR(__xludf.DUMMYFUNCTION("""COMPUTED_VALUE"""),370)</f>
        <v>370</v>
      </c>
      <c r="AA160" s="1">
        <f ca="1">IFERROR(__xludf.DUMMYFUNCTION("""COMPUTED_VALUE"""),1100)</f>
        <v>1100</v>
      </c>
      <c r="AB160" s="1">
        <f ca="1">IFERROR(__xludf.DUMMYFUNCTION("""COMPUTED_VALUE"""),385)</f>
        <v>385</v>
      </c>
      <c r="AC160" s="1">
        <f ca="1">IFERROR(__xludf.DUMMYFUNCTION("""COMPUTED_VALUE"""),173)</f>
        <v>173</v>
      </c>
      <c r="AD160" s="1">
        <f ca="1">IFERROR(__xludf.DUMMYFUNCTION("""COMPUTED_VALUE"""),106)</f>
        <v>106</v>
      </c>
      <c r="AE160" s="1">
        <f ca="1">IFERROR(__xludf.DUMMYFUNCTION("""COMPUTED_VALUE"""),360)</f>
        <v>360</v>
      </c>
      <c r="AF160" s="1">
        <f ca="1">IFERROR(__xludf.DUMMYFUNCTION("""COMPUTED_VALUE"""),495)</f>
        <v>495</v>
      </c>
    </row>
    <row r="161" spans="1:32" ht="12.5" x14ac:dyDescent="0.25">
      <c r="A161" s="1" t="str">
        <f ca="1">IFERROR(__xludf.DUMMYFUNCTION("""COMPUTED_VALUE"""),"Lafayette")</f>
        <v>Lafayette</v>
      </c>
      <c r="B161" s="1">
        <f ca="1">IFERROR(__xludf.DUMMYFUNCTION("""COMPUTED_VALUE"""),31)</f>
        <v>31</v>
      </c>
      <c r="C161" s="1">
        <f ca="1">IFERROR(__xludf.DUMMYFUNCTION("""COMPUTED_VALUE"""),11)</f>
        <v>11</v>
      </c>
      <c r="D161" s="1">
        <f ca="1">IFERROR(__xludf.DUMMYFUNCTION("""COMPUTED_VALUE"""),20)</f>
        <v>20</v>
      </c>
      <c r="E161" s="1">
        <f ca="1">IFERROR(__xludf.DUMMYFUNCTION("""COMPUTED_VALUE"""),0.355)</f>
        <v>0.35499999999999998</v>
      </c>
      <c r="F161" s="1">
        <f ca="1">IFERROR(__xludf.DUMMYFUNCTION("""COMPUTED_VALUE"""),-7.64)</f>
        <v>-7.64</v>
      </c>
      <c r="G161" s="1">
        <f ca="1">IFERROR(__xludf.DUMMYFUNCTION("""COMPUTED_VALUE"""),-3.38)</f>
        <v>-3.38</v>
      </c>
      <c r="H161" s="1">
        <f ca="1">IFERROR(__xludf.DUMMYFUNCTION("""COMPUTED_VALUE"""),6)</f>
        <v>6</v>
      </c>
      <c r="I161" s="1">
        <f ca="1">IFERROR(__xludf.DUMMYFUNCTION("""COMPUTED_VALUE"""),12)</f>
        <v>12</v>
      </c>
      <c r="J161" s="1">
        <f ca="1">IFERROR(__xludf.DUMMYFUNCTION("""COMPUTED_VALUE"""),6)</f>
        <v>6</v>
      </c>
      <c r="K161" s="1">
        <f ca="1">IFERROR(__xludf.DUMMYFUNCTION("""COMPUTED_VALUE"""),7)</f>
        <v>7</v>
      </c>
      <c r="L161" s="1">
        <f ca="1">IFERROR(__xludf.DUMMYFUNCTION("""COMPUTED_VALUE"""),5)</f>
        <v>5</v>
      </c>
      <c r="M161" s="1">
        <f ca="1">IFERROR(__xludf.DUMMYFUNCTION("""COMPUTED_VALUE"""),13)</f>
        <v>13</v>
      </c>
      <c r="N161" s="1">
        <f ca="1">IFERROR(__xludf.DUMMYFUNCTION("""COMPUTED_VALUE"""),2212)</f>
        <v>2212</v>
      </c>
      <c r="O161" s="1">
        <f ca="1">IFERROR(__xludf.DUMMYFUNCTION("""COMPUTED_VALUE"""),2315)</f>
        <v>2315</v>
      </c>
      <c r="P161" s="1">
        <f ca="1">IFERROR(__xludf.DUMMYFUNCTION("""COMPUTED_VALUE"""),1250)</f>
        <v>1250</v>
      </c>
      <c r="Q161" s="1">
        <f ca="1">IFERROR(__xludf.DUMMYFUNCTION("""COMPUTED_VALUE"""),781)</f>
        <v>781</v>
      </c>
      <c r="R161" s="1">
        <f ca="1">IFERROR(__xludf.DUMMYFUNCTION("""COMPUTED_VALUE"""),1661)</f>
        <v>1661</v>
      </c>
      <c r="S161" s="1">
        <f ca="1">IFERROR(__xludf.DUMMYFUNCTION("""COMPUTED_VALUE"""),0.47)</f>
        <v>0.47</v>
      </c>
      <c r="T161" s="1">
        <f ca="1">IFERROR(__xludf.DUMMYFUNCTION("""COMPUTED_VALUE"""),231)</f>
        <v>231</v>
      </c>
      <c r="U161" s="1">
        <f ca="1">IFERROR(__xludf.DUMMYFUNCTION("""COMPUTED_VALUE"""),580)</f>
        <v>580</v>
      </c>
      <c r="V161" s="1">
        <f ca="1">IFERROR(__xludf.DUMMYFUNCTION("""COMPUTED_VALUE"""),0.398)</f>
        <v>0.39800000000000002</v>
      </c>
      <c r="W161" s="1">
        <f ca="1">IFERROR(__xludf.DUMMYFUNCTION("""COMPUTED_VALUE"""),419)</f>
        <v>419</v>
      </c>
      <c r="X161" s="1">
        <f ca="1">IFERROR(__xludf.DUMMYFUNCTION("""COMPUTED_VALUE"""),563)</f>
        <v>563</v>
      </c>
      <c r="Y161" s="1">
        <f ca="1">IFERROR(__xludf.DUMMYFUNCTION("""COMPUTED_VALUE"""),0.744)</f>
        <v>0.74399999999999999</v>
      </c>
      <c r="Z161" s="1">
        <f ca="1">IFERROR(__xludf.DUMMYFUNCTION("""COMPUTED_VALUE"""),253)</f>
        <v>253</v>
      </c>
      <c r="AA161" s="1">
        <f ca="1">IFERROR(__xludf.DUMMYFUNCTION("""COMPUTED_VALUE"""),927)</f>
        <v>927</v>
      </c>
      <c r="AB161" s="1">
        <f ca="1">IFERROR(__xludf.DUMMYFUNCTION("""COMPUTED_VALUE"""),400)</f>
        <v>400</v>
      </c>
      <c r="AC161" s="1">
        <f ca="1">IFERROR(__xludf.DUMMYFUNCTION("""COMPUTED_VALUE"""),162)</f>
        <v>162</v>
      </c>
      <c r="AD161" s="1">
        <f ca="1">IFERROR(__xludf.DUMMYFUNCTION("""COMPUTED_VALUE"""),66)</f>
        <v>66</v>
      </c>
      <c r="AE161" s="1">
        <f ca="1">IFERROR(__xludf.DUMMYFUNCTION("""COMPUTED_VALUE"""),376)</f>
        <v>376</v>
      </c>
      <c r="AF161" s="1">
        <f ca="1">IFERROR(__xludf.DUMMYFUNCTION("""COMPUTED_VALUE"""),555)</f>
        <v>555</v>
      </c>
    </row>
    <row r="162" spans="1:32" ht="12.5" x14ac:dyDescent="0.25">
      <c r="A162" s="1" t="str">
        <f ca="1">IFERROR(__xludf.DUMMYFUNCTION("""COMPUTED_VALUE"""),"Lamar")</f>
        <v>Lamar</v>
      </c>
      <c r="B162" s="1">
        <f ca="1">IFERROR(__xludf.DUMMYFUNCTION("""COMPUTED_VALUE"""),30)</f>
        <v>30</v>
      </c>
      <c r="C162" s="1">
        <f ca="1">IFERROR(__xludf.DUMMYFUNCTION("""COMPUTED_VALUE"""),4)</f>
        <v>4</v>
      </c>
      <c r="D162" s="1">
        <f ca="1">IFERROR(__xludf.DUMMYFUNCTION("""COMPUTED_VALUE"""),26)</f>
        <v>26</v>
      </c>
      <c r="E162" s="1">
        <f ca="1">IFERROR(__xludf.DUMMYFUNCTION("""COMPUTED_VALUE"""),0.133)</f>
        <v>0.13300000000000001</v>
      </c>
      <c r="F162" s="1">
        <f ca="1">IFERROR(__xludf.DUMMYFUNCTION("""COMPUTED_VALUE"""),-16.61)</f>
        <v>-16.61</v>
      </c>
      <c r="G162" s="1">
        <f ca="1">IFERROR(__xludf.DUMMYFUNCTION("""COMPUTED_VALUE"""),-6.04)</f>
        <v>-6.04</v>
      </c>
      <c r="H162" s="1">
        <f ca="1">IFERROR(__xludf.DUMMYFUNCTION("""COMPUTED_VALUE"""),3)</f>
        <v>3</v>
      </c>
      <c r="I162" s="1">
        <f ca="1">IFERROR(__xludf.DUMMYFUNCTION("""COMPUTED_VALUE"""),15)</f>
        <v>15</v>
      </c>
      <c r="J162" s="1">
        <f ca="1">IFERROR(__xludf.DUMMYFUNCTION("""COMPUTED_VALUE"""),2)</f>
        <v>2</v>
      </c>
      <c r="K162" s="1">
        <f ca="1">IFERROR(__xludf.DUMMYFUNCTION("""COMPUTED_VALUE"""),11)</f>
        <v>11</v>
      </c>
      <c r="L162" s="1">
        <f ca="1">IFERROR(__xludf.DUMMYFUNCTION("""COMPUTED_VALUE"""),1)</f>
        <v>1</v>
      </c>
      <c r="M162" s="1">
        <f ca="1">IFERROR(__xludf.DUMMYFUNCTION("""COMPUTED_VALUE"""),14)</f>
        <v>14</v>
      </c>
      <c r="N162" s="1">
        <f ca="1">IFERROR(__xludf.DUMMYFUNCTION("""COMPUTED_VALUE"""),2001)</f>
        <v>2001</v>
      </c>
      <c r="O162" s="1">
        <f ca="1">IFERROR(__xludf.DUMMYFUNCTION("""COMPUTED_VALUE"""),2318)</f>
        <v>2318</v>
      </c>
      <c r="P162" s="1">
        <f ca="1">IFERROR(__xludf.DUMMYFUNCTION("""COMPUTED_VALUE"""),1200)</f>
        <v>1200</v>
      </c>
      <c r="Q162" s="1">
        <f ca="1">IFERROR(__xludf.DUMMYFUNCTION("""COMPUTED_VALUE"""),711)</f>
        <v>711</v>
      </c>
      <c r="R162" s="1">
        <f ca="1">IFERROR(__xludf.DUMMYFUNCTION("""COMPUTED_VALUE"""),1628)</f>
        <v>1628</v>
      </c>
      <c r="S162" s="1">
        <f ca="1">IFERROR(__xludf.DUMMYFUNCTION("""COMPUTED_VALUE"""),0.437)</f>
        <v>0.437</v>
      </c>
      <c r="T162" s="1">
        <f ca="1">IFERROR(__xludf.DUMMYFUNCTION("""COMPUTED_VALUE"""),97)</f>
        <v>97</v>
      </c>
      <c r="U162" s="1">
        <f ca="1">IFERROR(__xludf.DUMMYFUNCTION("""COMPUTED_VALUE"""),315)</f>
        <v>315</v>
      </c>
      <c r="V162" s="1">
        <f ca="1">IFERROR(__xludf.DUMMYFUNCTION("""COMPUTED_VALUE"""),0.308)</f>
        <v>0.308</v>
      </c>
      <c r="W162" s="1">
        <f ca="1">IFERROR(__xludf.DUMMYFUNCTION("""COMPUTED_VALUE"""),482)</f>
        <v>482</v>
      </c>
      <c r="X162" s="1">
        <f ca="1">IFERROR(__xludf.DUMMYFUNCTION("""COMPUTED_VALUE"""),648)</f>
        <v>648</v>
      </c>
      <c r="Y162" s="1">
        <f ca="1">IFERROR(__xludf.DUMMYFUNCTION("""COMPUTED_VALUE"""),0.744)</f>
        <v>0.74399999999999999</v>
      </c>
      <c r="Z162" s="1">
        <f ca="1">IFERROR(__xludf.DUMMYFUNCTION("""COMPUTED_VALUE"""),277)</f>
        <v>277</v>
      </c>
      <c r="AA162" s="1">
        <f ca="1">IFERROR(__xludf.DUMMYFUNCTION("""COMPUTED_VALUE"""),945)</f>
        <v>945</v>
      </c>
      <c r="AB162" s="1">
        <f ca="1">IFERROR(__xludf.DUMMYFUNCTION("""COMPUTED_VALUE"""),361)</f>
        <v>361</v>
      </c>
      <c r="AC162" s="1">
        <f ca="1">IFERROR(__xludf.DUMMYFUNCTION("""COMPUTED_VALUE"""),160)</f>
        <v>160</v>
      </c>
      <c r="AD162" s="1">
        <f ca="1">IFERROR(__xludf.DUMMYFUNCTION("""COMPUTED_VALUE"""),86)</f>
        <v>86</v>
      </c>
      <c r="AE162" s="1">
        <f ca="1">IFERROR(__xludf.DUMMYFUNCTION("""COMPUTED_VALUE"""),420)</f>
        <v>420</v>
      </c>
      <c r="AF162" s="1">
        <f ca="1">IFERROR(__xludf.DUMMYFUNCTION("""COMPUTED_VALUE"""),554)</f>
        <v>554</v>
      </c>
    </row>
    <row r="163" spans="1:32" ht="12.5" x14ac:dyDescent="0.25">
      <c r="A163" s="1" t="str">
        <f ca="1">IFERROR(__xludf.DUMMYFUNCTION("""COMPUTED_VALUE"""),"Lehigh")</f>
        <v>Lehigh</v>
      </c>
      <c r="B163" s="1">
        <f ca="1">IFERROR(__xludf.DUMMYFUNCTION("""COMPUTED_VALUE"""),32)</f>
        <v>32</v>
      </c>
      <c r="C163" s="1">
        <f ca="1">IFERROR(__xludf.DUMMYFUNCTION("""COMPUTED_VALUE"""),14)</f>
        <v>14</v>
      </c>
      <c r="D163" s="1">
        <f ca="1">IFERROR(__xludf.DUMMYFUNCTION("""COMPUTED_VALUE"""),18)</f>
        <v>18</v>
      </c>
      <c r="E163" s="1">
        <f ca="1">IFERROR(__xludf.DUMMYFUNCTION("""COMPUTED_VALUE"""),0.438)</f>
        <v>0.438</v>
      </c>
      <c r="F163" s="1">
        <f ca="1">IFERROR(__xludf.DUMMYFUNCTION("""COMPUTED_VALUE"""),-6.52)</f>
        <v>-6.52</v>
      </c>
      <c r="G163" s="1">
        <f ca="1">IFERROR(__xludf.DUMMYFUNCTION("""COMPUTED_VALUE"""),-3.83)</f>
        <v>-3.83</v>
      </c>
      <c r="H163" s="1">
        <f ca="1">IFERROR(__xludf.DUMMYFUNCTION("""COMPUTED_VALUE"""),7)</f>
        <v>7</v>
      </c>
      <c r="I163" s="1">
        <f ca="1">IFERROR(__xludf.DUMMYFUNCTION("""COMPUTED_VALUE"""),11)</f>
        <v>11</v>
      </c>
      <c r="J163" s="1">
        <f ca="1">IFERROR(__xludf.DUMMYFUNCTION("""COMPUTED_VALUE"""),9)</f>
        <v>9</v>
      </c>
      <c r="K163" s="1">
        <f ca="1">IFERROR(__xludf.DUMMYFUNCTION("""COMPUTED_VALUE"""),5)</f>
        <v>5</v>
      </c>
      <c r="L163" s="1">
        <f ca="1">IFERROR(__xludf.DUMMYFUNCTION("""COMPUTED_VALUE"""),4)</f>
        <v>4</v>
      </c>
      <c r="M163" s="1">
        <f ca="1">IFERROR(__xludf.DUMMYFUNCTION("""COMPUTED_VALUE"""),11)</f>
        <v>11</v>
      </c>
      <c r="N163" s="1">
        <f ca="1">IFERROR(__xludf.DUMMYFUNCTION("""COMPUTED_VALUE"""),2121)</f>
        <v>2121</v>
      </c>
      <c r="O163" s="1">
        <f ca="1">IFERROR(__xludf.DUMMYFUNCTION("""COMPUTED_VALUE"""),2207)</f>
        <v>2207</v>
      </c>
      <c r="P163" s="1">
        <f ca="1">IFERROR(__xludf.DUMMYFUNCTION("""COMPUTED_VALUE"""),1301)</f>
        <v>1301</v>
      </c>
      <c r="Q163" s="1">
        <f ca="1">IFERROR(__xludf.DUMMYFUNCTION("""COMPUTED_VALUE"""),758)</f>
        <v>758</v>
      </c>
      <c r="R163" s="1">
        <f ca="1">IFERROR(__xludf.DUMMYFUNCTION("""COMPUTED_VALUE"""),1756)</f>
        <v>1756</v>
      </c>
      <c r="S163" s="1">
        <f ca="1">IFERROR(__xludf.DUMMYFUNCTION("""COMPUTED_VALUE"""),0.432)</f>
        <v>0.432</v>
      </c>
      <c r="T163" s="1">
        <f ca="1">IFERROR(__xludf.DUMMYFUNCTION("""COMPUTED_VALUE"""),199)</f>
        <v>199</v>
      </c>
      <c r="U163" s="1">
        <f ca="1">IFERROR(__xludf.DUMMYFUNCTION("""COMPUTED_VALUE"""),555)</f>
        <v>555</v>
      </c>
      <c r="V163" s="1">
        <f ca="1">IFERROR(__xludf.DUMMYFUNCTION("""COMPUTED_VALUE"""),0.359)</f>
        <v>0.35899999999999999</v>
      </c>
      <c r="W163" s="1">
        <f ca="1">IFERROR(__xludf.DUMMYFUNCTION("""COMPUTED_VALUE"""),406)</f>
        <v>406</v>
      </c>
      <c r="X163" s="1">
        <f ca="1">IFERROR(__xludf.DUMMYFUNCTION("""COMPUTED_VALUE"""),574)</f>
        <v>574</v>
      </c>
      <c r="Y163" s="1">
        <f ca="1">IFERROR(__xludf.DUMMYFUNCTION("""COMPUTED_VALUE"""),0.707)</f>
        <v>0.70699999999999996</v>
      </c>
      <c r="Z163" s="1">
        <f ca="1">IFERROR(__xludf.DUMMYFUNCTION("""COMPUTED_VALUE"""),280)</f>
        <v>280</v>
      </c>
      <c r="AA163" s="1">
        <f ca="1">IFERROR(__xludf.DUMMYFUNCTION("""COMPUTED_VALUE"""),1067)</f>
        <v>1067</v>
      </c>
      <c r="AB163" s="1">
        <f ca="1">IFERROR(__xludf.DUMMYFUNCTION("""COMPUTED_VALUE"""),416)</f>
        <v>416</v>
      </c>
      <c r="AC163" s="1">
        <f ca="1">IFERROR(__xludf.DUMMYFUNCTION("""COMPUTED_VALUE"""),159)</f>
        <v>159</v>
      </c>
      <c r="AD163" s="1">
        <f ca="1">IFERROR(__xludf.DUMMYFUNCTION("""COMPUTED_VALUE"""),112)</f>
        <v>112</v>
      </c>
      <c r="AE163" s="1">
        <f ca="1">IFERROR(__xludf.DUMMYFUNCTION("""COMPUTED_VALUE"""),384)</f>
        <v>384</v>
      </c>
      <c r="AF163" s="1">
        <f ca="1">IFERROR(__xludf.DUMMYFUNCTION("""COMPUTED_VALUE"""),572)</f>
        <v>572</v>
      </c>
    </row>
    <row r="164" spans="1:32" ht="12.5" x14ac:dyDescent="0.25">
      <c r="A164" s="1" t="str">
        <f ca="1">IFERROR(__xludf.DUMMYFUNCTION("""COMPUTED_VALUE"""),"Liberty")</f>
        <v>Liberty</v>
      </c>
      <c r="B164" s="1">
        <f ca="1">IFERROR(__xludf.DUMMYFUNCTION("""COMPUTED_VALUE"""),32)</f>
        <v>32</v>
      </c>
      <c r="C164" s="1">
        <f ca="1">IFERROR(__xludf.DUMMYFUNCTION("""COMPUTED_VALUE"""),11)</f>
        <v>11</v>
      </c>
      <c r="D164" s="1">
        <f ca="1">IFERROR(__xludf.DUMMYFUNCTION("""COMPUTED_VALUE"""),21)</f>
        <v>21</v>
      </c>
      <c r="E164" s="1">
        <f ca="1">IFERROR(__xludf.DUMMYFUNCTION("""COMPUTED_VALUE"""),0.344)</f>
        <v>0.34399999999999997</v>
      </c>
      <c r="F164" s="1">
        <f ca="1">IFERROR(__xludf.DUMMYFUNCTION("""COMPUTED_VALUE"""),-10.26)</f>
        <v>-10.26</v>
      </c>
      <c r="G164" s="1">
        <f ca="1">IFERROR(__xludf.DUMMYFUNCTION("""COMPUTED_VALUE"""),-7.47)</f>
        <v>-7.47</v>
      </c>
      <c r="H164" s="1">
        <f ca="1">IFERROR(__xludf.DUMMYFUNCTION("""COMPUTED_VALUE"""),5)</f>
        <v>5</v>
      </c>
      <c r="I164" s="1">
        <f ca="1">IFERROR(__xludf.DUMMYFUNCTION("""COMPUTED_VALUE"""),11)</f>
        <v>11</v>
      </c>
      <c r="J164" s="1">
        <f ca="1">IFERROR(__xludf.DUMMYFUNCTION("""COMPUTED_VALUE"""),7)</f>
        <v>7</v>
      </c>
      <c r="K164" s="1">
        <f ca="1">IFERROR(__xludf.DUMMYFUNCTION("""COMPUTED_VALUE"""),8)</f>
        <v>8</v>
      </c>
      <c r="L164" s="1">
        <f ca="1">IFERROR(__xludf.DUMMYFUNCTION("""COMPUTED_VALUE"""),2)</f>
        <v>2</v>
      </c>
      <c r="M164" s="1">
        <f ca="1">IFERROR(__xludf.DUMMYFUNCTION("""COMPUTED_VALUE"""),12)</f>
        <v>12</v>
      </c>
      <c r="N164" s="1">
        <f ca="1">IFERROR(__xludf.DUMMYFUNCTION("""COMPUTED_VALUE"""),2250)</f>
        <v>2250</v>
      </c>
      <c r="O164" s="1">
        <f ca="1">IFERROR(__xludf.DUMMYFUNCTION("""COMPUTED_VALUE"""),2234)</f>
        <v>2234</v>
      </c>
      <c r="P164" s="1">
        <f ca="1">IFERROR(__xludf.DUMMYFUNCTION("""COMPUTED_VALUE"""),1280)</f>
        <v>1280</v>
      </c>
      <c r="Q164" s="1">
        <f ca="1">IFERROR(__xludf.DUMMYFUNCTION("""COMPUTED_VALUE"""),816)</f>
        <v>816</v>
      </c>
      <c r="R164" s="1">
        <f ca="1">IFERROR(__xludf.DUMMYFUNCTION("""COMPUTED_VALUE"""),1781)</f>
        <v>1781</v>
      </c>
      <c r="S164" s="1">
        <f ca="1">IFERROR(__xludf.DUMMYFUNCTION("""COMPUTED_VALUE"""),0.458)</f>
        <v>0.45800000000000002</v>
      </c>
      <c r="T164" s="1">
        <f ca="1">IFERROR(__xludf.DUMMYFUNCTION("""COMPUTED_VALUE"""),180)</f>
        <v>180</v>
      </c>
      <c r="U164" s="1">
        <f ca="1">IFERROR(__xludf.DUMMYFUNCTION("""COMPUTED_VALUE"""),502)</f>
        <v>502</v>
      </c>
      <c r="V164" s="1">
        <f ca="1">IFERROR(__xludf.DUMMYFUNCTION("""COMPUTED_VALUE"""),0.359)</f>
        <v>0.35899999999999999</v>
      </c>
      <c r="W164" s="1">
        <f ca="1">IFERROR(__xludf.DUMMYFUNCTION("""COMPUTED_VALUE"""),438)</f>
        <v>438</v>
      </c>
      <c r="X164" s="1">
        <f ca="1">IFERROR(__xludf.DUMMYFUNCTION("""COMPUTED_VALUE"""),622)</f>
        <v>622</v>
      </c>
      <c r="Y164" s="1">
        <f ca="1">IFERROR(__xludf.DUMMYFUNCTION("""COMPUTED_VALUE"""),0.704)</f>
        <v>0.70399999999999996</v>
      </c>
      <c r="Z164" s="1">
        <f ca="1">IFERROR(__xludf.DUMMYFUNCTION("""COMPUTED_VALUE"""),403)</f>
        <v>403</v>
      </c>
      <c r="AA164" s="1">
        <f ca="1">IFERROR(__xludf.DUMMYFUNCTION("""COMPUTED_VALUE"""),1186)</f>
        <v>1186</v>
      </c>
      <c r="AB164" s="1">
        <f ca="1">IFERROR(__xludf.DUMMYFUNCTION("""COMPUTED_VALUE"""),423)</f>
        <v>423</v>
      </c>
      <c r="AC164" s="1">
        <f ca="1">IFERROR(__xludf.DUMMYFUNCTION("""COMPUTED_VALUE"""),150)</f>
        <v>150</v>
      </c>
      <c r="AD164" s="1">
        <f ca="1">IFERROR(__xludf.DUMMYFUNCTION("""COMPUTED_VALUE"""),110)</f>
        <v>110</v>
      </c>
      <c r="AE164" s="1">
        <f ca="1">IFERROR(__xludf.DUMMYFUNCTION("""COMPUTED_VALUE"""),424)</f>
        <v>424</v>
      </c>
      <c r="AF164" s="1">
        <f ca="1">IFERROR(__xludf.DUMMYFUNCTION("""COMPUTED_VALUE"""),564)</f>
        <v>564</v>
      </c>
    </row>
    <row r="165" spans="1:32" ht="12.5" x14ac:dyDescent="0.25">
      <c r="A165" s="1" t="str">
        <f ca="1">IFERROR(__xludf.DUMMYFUNCTION("""COMPUTED_VALUE"""),"Lipscomb")</f>
        <v>Lipscomb</v>
      </c>
      <c r="B165" s="1">
        <f ca="1">IFERROR(__xludf.DUMMYFUNCTION("""COMPUTED_VALUE"""),30)</f>
        <v>30</v>
      </c>
      <c r="C165" s="1">
        <f ca="1">IFERROR(__xludf.DUMMYFUNCTION("""COMPUTED_VALUE"""),15)</f>
        <v>15</v>
      </c>
      <c r="D165" s="1">
        <f ca="1">IFERROR(__xludf.DUMMYFUNCTION("""COMPUTED_VALUE"""),15)</f>
        <v>15</v>
      </c>
      <c r="E165" s="1">
        <f ca="1">IFERROR(__xludf.DUMMYFUNCTION("""COMPUTED_VALUE"""),0.5)</f>
        <v>0.5</v>
      </c>
      <c r="F165" s="1">
        <f ca="1">IFERROR(__xludf.DUMMYFUNCTION("""COMPUTED_VALUE"""),-8.2)</f>
        <v>-8.1999999999999993</v>
      </c>
      <c r="G165" s="1">
        <f ca="1">IFERROR(__xludf.DUMMYFUNCTION("""COMPUTED_VALUE"""),-5.13)</f>
        <v>-5.13</v>
      </c>
      <c r="H165" s="1">
        <f ca="1">IFERROR(__xludf.DUMMYFUNCTION("""COMPUTED_VALUE"""),10)</f>
        <v>10</v>
      </c>
      <c r="I165" s="1">
        <f ca="1">IFERROR(__xludf.DUMMYFUNCTION("""COMPUTED_VALUE"""),8)</f>
        <v>8</v>
      </c>
      <c r="J165" s="1">
        <f ca="1">IFERROR(__xludf.DUMMYFUNCTION("""COMPUTED_VALUE"""),7)</f>
        <v>7</v>
      </c>
      <c r="K165" s="1">
        <f ca="1">IFERROR(__xludf.DUMMYFUNCTION("""COMPUTED_VALUE"""),5)</f>
        <v>5</v>
      </c>
      <c r="L165" s="1">
        <f ca="1">IFERROR(__xludf.DUMMYFUNCTION("""COMPUTED_VALUE"""),8)</f>
        <v>8</v>
      </c>
      <c r="M165" s="1">
        <f ca="1">IFERROR(__xludf.DUMMYFUNCTION("""COMPUTED_VALUE"""),10)</f>
        <v>10</v>
      </c>
      <c r="N165" s="1">
        <f ca="1">IFERROR(__xludf.DUMMYFUNCTION("""COMPUTED_VALUE"""),2276)</f>
        <v>2276</v>
      </c>
      <c r="O165" s="1">
        <f ca="1">IFERROR(__xludf.DUMMYFUNCTION("""COMPUTED_VALUE"""),2355)</f>
        <v>2355</v>
      </c>
      <c r="P165" s="1">
        <f ca="1">IFERROR(__xludf.DUMMYFUNCTION("""COMPUTED_VALUE"""),1210)</f>
        <v>1210</v>
      </c>
      <c r="Q165" s="1">
        <f ca="1">IFERROR(__xludf.DUMMYFUNCTION("""COMPUTED_VALUE"""),727)</f>
        <v>727</v>
      </c>
      <c r="R165" s="1">
        <f ca="1">IFERROR(__xludf.DUMMYFUNCTION("""COMPUTED_VALUE"""),1683)</f>
        <v>1683</v>
      </c>
      <c r="S165" s="1">
        <f ca="1">IFERROR(__xludf.DUMMYFUNCTION("""COMPUTED_VALUE"""),0.432)</f>
        <v>0.432</v>
      </c>
      <c r="T165" s="1">
        <f ca="1">IFERROR(__xludf.DUMMYFUNCTION("""COMPUTED_VALUE"""),275)</f>
        <v>275</v>
      </c>
      <c r="U165" s="1">
        <f ca="1">IFERROR(__xludf.DUMMYFUNCTION("""COMPUTED_VALUE"""),778)</f>
        <v>778</v>
      </c>
      <c r="V165" s="1">
        <f ca="1">IFERROR(__xludf.DUMMYFUNCTION("""COMPUTED_VALUE"""),0.353)</f>
        <v>0.35299999999999998</v>
      </c>
      <c r="W165" s="1">
        <f ca="1">IFERROR(__xludf.DUMMYFUNCTION("""COMPUTED_VALUE"""),547)</f>
        <v>547</v>
      </c>
      <c r="X165" s="1">
        <f ca="1">IFERROR(__xludf.DUMMYFUNCTION("""COMPUTED_VALUE"""),800)</f>
        <v>800</v>
      </c>
      <c r="Y165" s="1">
        <f ca="1">IFERROR(__xludf.DUMMYFUNCTION("""COMPUTED_VALUE"""),0.684)</f>
        <v>0.68400000000000005</v>
      </c>
      <c r="Z165" s="1">
        <f ca="1">IFERROR(__xludf.DUMMYFUNCTION("""COMPUTED_VALUE"""),293)</f>
        <v>293</v>
      </c>
      <c r="AA165" s="1">
        <f ca="1">IFERROR(__xludf.DUMMYFUNCTION("""COMPUTED_VALUE"""),991)</f>
        <v>991</v>
      </c>
      <c r="AB165" s="1">
        <f ca="1">IFERROR(__xludf.DUMMYFUNCTION("""COMPUTED_VALUE"""),416)</f>
        <v>416</v>
      </c>
      <c r="AC165" s="1">
        <f ca="1">IFERROR(__xludf.DUMMYFUNCTION("""COMPUTED_VALUE"""),202)</f>
        <v>202</v>
      </c>
      <c r="AD165" s="1">
        <f ca="1">IFERROR(__xludf.DUMMYFUNCTION("""COMPUTED_VALUE"""),57)</f>
        <v>57</v>
      </c>
      <c r="AE165" s="1">
        <f ca="1">IFERROR(__xludf.DUMMYFUNCTION("""COMPUTED_VALUE"""),376)</f>
        <v>376</v>
      </c>
      <c r="AF165" s="1">
        <f ca="1">IFERROR(__xludf.DUMMYFUNCTION("""COMPUTED_VALUE"""),661)</f>
        <v>661</v>
      </c>
    </row>
    <row r="166" spans="1:32" ht="12.5" x14ac:dyDescent="0.25">
      <c r="A166" s="1" t="str">
        <f ca="1">IFERROR(__xludf.DUMMYFUNCTION("""COMPUTED_VALUE"""),"Cal State Long Beach")</f>
        <v>Cal State Long Beach</v>
      </c>
      <c r="B166" s="1">
        <f ca="1">IFERROR(__xludf.DUMMYFUNCTION("""COMPUTED_VALUE"""),32)</f>
        <v>32</v>
      </c>
      <c r="C166" s="1">
        <f ca="1">IFERROR(__xludf.DUMMYFUNCTION("""COMPUTED_VALUE"""),15)</f>
        <v>15</v>
      </c>
      <c r="D166" s="1">
        <f ca="1">IFERROR(__xludf.DUMMYFUNCTION("""COMPUTED_VALUE"""),17)</f>
        <v>17</v>
      </c>
      <c r="E166" s="1">
        <f ca="1">IFERROR(__xludf.DUMMYFUNCTION("""COMPUTED_VALUE"""),0.469)</f>
        <v>0.46899999999999997</v>
      </c>
      <c r="F166" s="1">
        <f ca="1">IFERROR(__xludf.DUMMYFUNCTION("""COMPUTED_VALUE"""),1.44)</f>
        <v>1.44</v>
      </c>
      <c r="G166" s="1">
        <f ca="1">IFERROR(__xludf.DUMMYFUNCTION("""COMPUTED_VALUE"""),2.71)</f>
        <v>2.71</v>
      </c>
      <c r="H166" s="1">
        <f ca="1">IFERROR(__xludf.DUMMYFUNCTION("""COMPUTED_VALUE"""),10)</f>
        <v>10</v>
      </c>
      <c r="I166" s="1">
        <f ca="1">IFERROR(__xludf.DUMMYFUNCTION("""COMPUTED_VALUE"""),6)</f>
        <v>6</v>
      </c>
      <c r="J166" s="1">
        <f ca="1">IFERROR(__xludf.DUMMYFUNCTION("""COMPUTED_VALUE"""),9)</f>
        <v>9</v>
      </c>
      <c r="K166" s="1">
        <f ca="1">IFERROR(__xludf.DUMMYFUNCTION("""COMPUTED_VALUE"""),4)</f>
        <v>4</v>
      </c>
      <c r="L166" s="1">
        <f ca="1">IFERROR(__xludf.DUMMYFUNCTION("""COMPUTED_VALUE"""),5)</f>
        <v>5</v>
      </c>
      <c r="M166" s="1">
        <f ca="1">IFERROR(__xludf.DUMMYFUNCTION("""COMPUTED_VALUE"""),9)</f>
        <v>9</v>
      </c>
      <c r="N166" s="1">
        <f ca="1">IFERROR(__xludf.DUMMYFUNCTION("""COMPUTED_VALUE"""),2236)</f>
        <v>2236</v>
      </c>
      <c r="O166" s="1">
        <f ca="1">IFERROR(__xludf.DUMMYFUNCTION("""COMPUTED_VALUE"""),2255)</f>
        <v>2255</v>
      </c>
      <c r="P166" s="1">
        <f ca="1">IFERROR(__xludf.DUMMYFUNCTION("""COMPUTED_VALUE"""),1295)</f>
        <v>1295</v>
      </c>
      <c r="Q166" s="1">
        <f ca="1">IFERROR(__xludf.DUMMYFUNCTION("""COMPUTED_VALUE"""),822)</f>
        <v>822</v>
      </c>
      <c r="R166" s="1">
        <f ca="1">IFERROR(__xludf.DUMMYFUNCTION("""COMPUTED_VALUE"""),1904)</f>
        <v>1904</v>
      </c>
      <c r="S166" s="1">
        <f ca="1">IFERROR(__xludf.DUMMYFUNCTION("""COMPUTED_VALUE"""),0.432)</f>
        <v>0.432</v>
      </c>
      <c r="T166" s="1">
        <f ca="1">IFERROR(__xludf.DUMMYFUNCTION("""COMPUTED_VALUE"""),191)</f>
        <v>191</v>
      </c>
      <c r="U166" s="1">
        <f ca="1">IFERROR(__xludf.DUMMYFUNCTION("""COMPUTED_VALUE"""),613)</f>
        <v>613</v>
      </c>
      <c r="V166" s="1">
        <f ca="1">IFERROR(__xludf.DUMMYFUNCTION("""COMPUTED_VALUE"""),0.312)</f>
        <v>0.312</v>
      </c>
      <c r="W166" s="1">
        <f ca="1">IFERROR(__xludf.DUMMYFUNCTION("""COMPUTED_VALUE"""),401)</f>
        <v>401</v>
      </c>
      <c r="X166" s="1">
        <f ca="1">IFERROR(__xludf.DUMMYFUNCTION("""COMPUTED_VALUE"""),607)</f>
        <v>607</v>
      </c>
      <c r="Y166" s="1">
        <f ca="1">IFERROR(__xludf.DUMMYFUNCTION("""COMPUTED_VALUE"""),0.661)</f>
        <v>0.66100000000000003</v>
      </c>
      <c r="Z166" s="1">
        <f ca="1">IFERROR(__xludf.DUMMYFUNCTION("""COMPUTED_VALUE"""),428)</f>
        <v>428</v>
      </c>
      <c r="AA166" s="1">
        <f ca="1">IFERROR(__xludf.DUMMYFUNCTION("""COMPUTED_VALUE"""),1178)</f>
        <v>1178</v>
      </c>
      <c r="AB166" s="1">
        <f ca="1">IFERROR(__xludf.DUMMYFUNCTION("""COMPUTED_VALUE"""),405)</f>
        <v>405</v>
      </c>
      <c r="AC166" s="1">
        <f ca="1">IFERROR(__xludf.DUMMYFUNCTION("""COMPUTED_VALUE"""),186)</f>
        <v>186</v>
      </c>
      <c r="AD166" s="1">
        <f ca="1">IFERROR(__xludf.DUMMYFUNCTION("""COMPUTED_VALUE"""),80)</f>
        <v>80</v>
      </c>
      <c r="AE166" s="1">
        <f ca="1">IFERROR(__xludf.DUMMYFUNCTION("""COMPUTED_VALUE"""),390)</f>
        <v>390</v>
      </c>
      <c r="AF166" s="1">
        <f ca="1">IFERROR(__xludf.DUMMYFUNCTION("""COMPUTED_VALUE"""),571)</f>
        <v>571</v>
      </c>
    </row>
    <row r="167" spans="1:32" ht="12.5" x14ac:dyDescent="0.25">
      <c r="A167" s="1" t="str">
        <f ca="1">IFERROR(__xludf.DUMMYFUNCTION("""COMPUTED_VALUE"""),"Long Island University")</f>
        <v>Long Island University</v>
      </c>
      <c r="B167" s="1">
        <f ca="1">IFERROR(__xludf.DUMMYFUNCTION("""COMPUTED_VALUE"""),29)</f>
        <v>29</v>
      </c>
      <c r="C167" s="1">
        <f ca="1">IFERROR(__xludf.DUMMYFUNCTION("""COMPUTED_VALUE"""),9)</f>
        <v>9</v>
      </c>
      <c r="D167" s="1">
        <f ca="1">IFERROR(__xludf.DUMMYFUNCTION("""COMPUTED_VALUE"""),20)</f>
        <v>20</v>
      </c>
      <c r="E167" s="1">
        <f ca="1">IFERROR(__xludf.DUMMYFUNCTION("""COMPUTED_VALUE"""),0.31)</f>
        <v>0.31</v>
      </c>
      <c r="F167" s="1">
        <f ca="1">IFERROR(__xludf.DUMMYFUNCTION("""COMPUTED_VALUE"""),-13.66)</f>
        <v>-13.66</v>
      </c>
      <c r="G167" s="1">
        <f ca="1">IFERROR(__xludf.DUMMYFUNCTION("""COMPUTED_VALUE"""),-5.55)</f>
        <v>-5.55</v>
      </c>
      <c r="H167" s="1">
        <f ca="1">IFERROR(__xludf.DUMMYFUNCTION("""COMPUTED_VALUE"""),4)</f>
        <v>4</v>
      </c>
      <c r="I167" s="1">
        <f ca="1">IFERROR(__xludf.DUMMYFUNCTION("""COMPUTED_VALUE"""),12)</f>
        <v>12</v>
      </c>
      <c r="J167" s="1">
        <f ca="1">IFERROR(__xludf.DUMMYFUNCTION("""COMPUTED_VALUE"""),5)</f>
        <v>5</v>
      </c>
      <c r="K167" s="1">
        <f ca="1">IFERROR(__xludf.DUMMYFUNCTION("""COMPUTED_VALUE"""),6)</f>
        <v>6</v>
      </c>
      <c r="L167" s="1">
        <f ca="1">IFERROR(__xludf.DUMMYFUNCTION("""COMPUTED_VALUE"""),4)</f>
        <v>4</v>
      </c>
      <c r="M167" s="1">
        <f ca="1">IFERROR(__xludf.DUMMYFUNCTION("""COMPUTED_VALUE"""),11)</f>
        <v>11</v>
      </c>
      <c r="N167" s="1">
        <f ca="1">IFERROR(__xludf.DUMMYFUNCTION("""COMPUTED_VALUE"""),2080)</f>
        <v>2080</v>
      </c>
      <c r="O167" s="1">
        <f ca="1">IFERROR(__xludf.DUMMYFUNCTION("""COMPUTED_VALUE"""),2315)</f>
        <v>2315</v>
      </c>
      <c r="P167" s="1">
        <f ca="1">IFERROR(__xludf.DUMMYFUNCTION("""COMPUTED_VALUE"""),1165)</f>
        <v>1165</v>
      </c>
      <c r="Q167" s="1">
        <f ca="1">IFERROR(__xludf.DUMMYFUNCTION("""COMPUTED_VALUE"""),707)</f>
        <v>707</v>
      </c>
      <c r="R167" s="1">
        <f ca="1">IFERROR(__xludf.DUMMYFUNCTION("""COMPUTED_VALUE"""),1653)</f>
        <v>1653</v>
      </c>
      <c r="S167" s="1">
        <f ca="1">IFERROR(__xludf.DUMMYFUNCTION("""COMPUTED_VALUE"""),0.428)</f>
        <v>0.42799999999999999</v>
      </c>
      <c r="T167" s="1">
        <f ca="1">IFERROR(__xludf.DUMMYFUNCTION("""COMPUTED_VALUE"""),218)</f>
        <v>218</v>
      </c>
      <c r="U167" s="1">
        <f ca="1">IFERROR(__xludf.DUMMYFUNCTION("""COMPUTED_VALUE"""),631)</f>
        <v>631</v>
      </c>
      <c r="V167" s="1">
        <f ca="1">IFERROR(__xludf.DUMMYFUNCTION("""COMPUTED_VALUE"""),0.345)</f>
        <v>0.34499999999999997</v>
      </c>
      <c r="W167" s="1">
        <f ca="1">IFERROR(__xludf.DUMMYFUNCTION("""COMPUTED_VALUE"""),448)</f>
        <v>448</v>
      </c>
      <c r="X167" s="1">
        <f ca="1">IFERROR(__xludf.DUMMYFUNCTION("""COMPUTED_VALUE"""),625)</f>
        <v>625</v>
      </c>
      <c r="Y167" s="1">
        <f ca="1">IFERROR(__xludf.DUMMYFUNCTION("""COMPUTED_VALUE"""),0.717)</f>
        <v>0.71699999999999997</v>
      </c>
      <c r="Z167" s="1">
        <f ca="1">IFERROR(__xludf.DUMMYFUNCTION("""COMPUTED_VALUE"""),325)</f>
        <v>325</v>
      </c>
      <c r="AA167" s="1">
        <f ca="1">IFERROR(__xludf.DUMMYFUNCTION("""COMPUTED_VALUE"""),1001)</f>
        <v>1001</v>
      </c>
      <c r="AB167" s="1">
        <f ca="1">IFERROR(__xludf.DUMMYFUNCTION("""COMPUTED_VALUE"""),407)</f>
        <v>407</v>
      </c>
      <c r="AC167" s="1">
        <f ca="1">IFERROR(__xludf.DUMMYFUNCTION("""COMPUTED_VALUE"""),125)</f>
        <v>125</v>
      </c>
      <c r="AD167" s="1">
        <f ca="1">IFERROR(__xludf.DUMMYFUNCTION("""COMPUTED_VALUE"""),66)</f>
        <v>66</v>
      </c>
      <c r="AE167" s="1">
        <f ca="1">IFERROR(__xludf.DUMMYFUNCTION("""COMPUTED_VALUE"""),371)</f>
        <v>371</v>
      </c>
      <c r="AF167" s="1">
        <f ca="1">IFERROR(__xludf.DUMMYFUNCTION("""COMPUTED_VALUE"""),509)</f>
        <v>509</v>
      </c>
    </row>
    <row r="168" spans="1:32" ht="12.5" x14ac:dyDescent="0.25">
      <c r="A168" s="1" t="str">
        <f ca="1">IFERROR(__xludf.DUMMYFUNCTION("""COMPUTED_VALUE"""),"Longwood")</f>
        <v>Longwood</v>
      </c>
      <c r="B168" s="1">
        <f ca="1">IFERROR(__xludf.DUMMYFUNCTION("""COMPUTED_VALUE"""),32)</f>
        <v>32</v>
      </c>
      <c r="C168" s="1">
        <f ca="1">IFERROR(__xludf.DUMMYFUNCTION("""COMPUTED_VALUE"""),8)</f>
        <v>8</v>
      </c>
      <c r="D168" s="1">
        <f ca="1">IFERROR(__xludf.DUMMYFUNCTION("""COMPUTED_VALUE"""),24)</f>
        <v>24</v>
      </c>
      <c r="E168" s="1">
        <f ca="1">IFERROR(__xludf.DUMMYFUNCTION("""COMPUTED_VALUE"""),0.25)</f>
        <v>0.25</v>
      </c>
      <c r="F168" s="1">
        <f ca="1">IFERROR(__xludf.DUMMYFUNCTION("""COMPUTED_VALUE"""),-20.31)</f>
        <v>-20.309999999999999</v>
      </c>
      <c r="G168" s="1">
        <f ca="1">IFERROR(__xludf.DUMMYFUNCTION("""COMPUTED_VALUE"""),-5.56)</f>
        <v>-5.56</v>
      </c>
      <c r="H168" s="1">
        <f ca="1">IFERROR(__xludf.DUMMYFUNCTION("""COMPUTED_VALUE"""),3)</f>
        <v>3</v>
      </c>
      <c r="I168" s="1">
        <f ca="1">IFERROR(__xludf.DUMMYFUNCTION("""COMPUTED_VALUE"""),13)</f>
        <v>13</v>
      </c>
      <c r="J168" s="1">
        <f ca="1">IFERROR(__xludf.DUMMYFUNCTION("""COMPUTED_VALUE"""),5)</f>
        <v>5</v>
      </c>
      <c r="K168" s="1">
        <f ca="1">IFERROR(__xludf.DUMMYFUNCTION("""COMPUTED_VALUE"""),9)</f>
        <v>9</v>
      </c>
      <c r="L168" s="1">
        <f ca="1">IFERROR(__xludf.DUMMYFUNCTION("""COMPUTED_VALUE"""),3)</f>
        <v>3</v>
      </c>
      <c r="M168" s="1">
        <f ca="1">IFERROR(__xludf.DUMMYFUNCTION("""COMPUTED_VALUE"""),12)</f>
        <v>12</v>
      </c>
      <c r="N168" s="1">
        <f ca="1">IFERROR(__xludf.DUMMYFUNCTION("""COMPUTED_VALUE"""),2235)</f>
        <v>2235</v>
      </c>
      <c r="O168" s="1">
        <f ca="1">IFERROR(__xludf.DUMMYFUNCTION("""COMPUTED_VALUE"""),2570)</f>
        <v>2570</v>
      </c>
      <c r="P168" s="1">
        <f ca="1">IFERROR(__xludf.DUMMYFUNCTION("""COMPUTED_VALUE"""),1280)</f>
        <v>1280</v>
      </c>
      <c r="Q168" s="1">
        <f ca="1">IFERROR(__xludf.DUMMYFUNCTION("""COMPUTED_VALUE"""),812)</f>
        <v>812</v>
      </c>
      <c r="R168" s="1">
        <f ca="1">IFERROR(__xludf.DUMMYFUNCTION("""COMPUTED_VALUE"""),1845)</f>
        <v>1845</v>
      </c>
      <c r="S168" s="1">
        <f ca="1">IFERROR(__xludf.DUMMYFUNCTION("""COMPUTED_VALUE"""),0.44)</f>
        <v>0.44</v>
      </c>
      <c r="T168" s="1">
        <f ca="1">IFERROR(__xludf.DUMMYFUNCTION("""COMPUTED_VALUE"""),180)</f>
        <v>180</v>
      </c>
      <c r="U168" s="1">
        <f ca="1">IFERROR(__xludf.DUMMYFUNCTION("""COMPUTED_VALUE"""),513)</f>
        <v>513</v>
      </c>
      <c r="V168" s="1">
        <f ca="1">IFERROR(__xludf.DUMMYFUNCTION("""COMPUTED_VALUE"""),0.351)</f>
        <v>0.35099999999999998</v>
      </c>
      <c r="W168" s="1">
        <f ca="1">IFERROR(__xludf.DUMMYFUNCTION("""COMPUTED_VALUE"""),431)</f>
        <v>431</v>
      </c>
      <c r="X168" s="1">
        <f ca="1">IFERROR(__xludf.DUMMYFUNCTION("""COMPUTED_VALUE"""),591)</f>
        <v>591</v>
      </c>
      <c r="Y168" s="1">
        <f ca="1">IFERROR(__xludf.DUMMYFUNCTION("""COMPUTED_VALUE"""),0.729)</f>
        <v>0.72899999999999998</v>
      </c>
      <c r="Z168" s="1">
        <f ca="1">IFERROR(__xludf.DUMMYFUNCTION("""COMPUTED_VALUE"""),309)</f>
        <v>309</v>
      </c>
      <c r="AA168" s="1">
        <f ca="1">IFERROR(__xludf.DUMMYFUNCTION("""COMPUTED_VALUE"""),998)</f>
        <v>998</v>
      </c>
      <c r="AB168" s="1">
        <f ca="1">IFERROR(__xludf.DUMMYFUNCTION("""COMPUTED_VALUE"""),430)</f>
        <v>430</v>
      </c>
      <c r="AC168" s="1">
        <f ca="1">IFERROR(__xludf.DUMMYFUNCTION("""COMPUTED_VALUE"""),216)</f>
        <v>216</v>
      </c>
      <c r="AD168" s="1">
        <f ca="1">IFERROR(__xludf.DUMMYFUNCTION("""COMPUTED_VALUE"""),58)</f>
        <v>58</v>
      </c>
      <c r="AE168" s="1">
        <f ca="1">IFERROR(__xludf.DUMMYFUNCTION("""COMPUTED_VALUE"""),408)</f>
        <v>408</v>
      </c>
      <c r="AF168" s="1">
        <f ca="1">IFERROR(__xludf.DUMMYFUNCTION("""COMPUTED_VALUE"""),623)</f>
        <v>623</v>
      </c>
    </row>
    <row r="169" spans="1:32" ht="12.5" x14ac:dyDescent="0.25">
      <c r="A169" s="1" t="str">
        <f ca="1">IFERROR(__xludf.DUMMYFUNCTION("""COMPUTED_VALUE"""),"LouisianaNCAA")</f>
        <v>LouisianaNCAA</v>
      </c>
      <c r="B169" s="1">
        <f ca="1">IFERROR(__xludf.DUMMYFUNCTION("""COMPUTED_VALUE"""),35)</f>
        <v>35</v>
      </c>
      <c r="C169" s="1">
        <f ca="1">IFERROR(__xludf.DUMMYFUNCTION("""COMPUTED_VALUE"""),23)</f>
        <v>23</v>
      </c>
      <c r="D169" s="1">
        <f ca="1">IFERROR(__xludf.DUMMYFUNCTION("""COMPUTED_VALUE"""),12)</f>
        <v>12</v>
      </c>
      <c r="E169" s="1">
        <f ca="1">IFERROR(__xludf.DUMMYFUNCTION("""COMPUTED_VALUE"""),0.657)</f>
        <v>0.65700000000000003</v>
      </c>
      <c r="F169" s="1">
        <f ca="1">IFERROR(__xludf.DUMMYFUNCTION("""COMPUTED_VALUE"""),2.91)</f>
        <v>2.91</v>
      </c>
      <c r="G169" s="1">
        <f ca="1">IFERROR(__xludf.DUMMYFUNCTION("""COMPUTED_VALUE"""),-0.28)</f>
        <v>-0.28000000000000003</v>
      </c>
      <c r="H169" s="1">
        <f ca="1">IFERROR(__xludf.DUMMYFUNCTION("""COMPUTED_VALUE"""),11)</f>
        <v>11</v>
      </c>
      <c r="I169" s="1">
        <f ca="1">IFERROR(__xludf.DUMMYFUNCTION("""COMPUTED_VALUE"""),7)</f>
        <v>7</v>
      </c>
      <c r="J169" s="1">
        <f ca="1">IFERROR(__xludf.DUMMYFUNCTION("""COMPUTED_VALUE"""),13)</f>
        <v>13</v>
      </c>
      <c r="K169" s="1">
        <f ca="1">IFERROR(__xludf.DUMMYFUNCTION("""COMPUTED_VALUE"""),2)</f>
        <v>2</v>
      </c>
      <c r="L169" s="1">
        <f ca="1">IFERROR(__xludf.DUMMYFUNCTION("""COMPUTED_VALUE"""),6)</f>
        <v>6</v>
      </c>
      <c r="M169" s="1">
        <f ca="1">IFERROR(__xludf.DUMMYFUNCTION("""COMPUTED_VALUE"""),9)</f>
        <v>9</v>
      </c>
      <c r="N169" s="1">
        <f ca="1">IFERROR(__xludf.DUMMYFUNCTION("""COMPUTED_VALUE"""),2835)</f>
        <v>2835</v>
      </c>
      <c r="O169" s="1">
        <f ca="1">IFERROR(__xludf.DUMMYFUNCTION("""COMPUTED_VALUE"""),2633)</f>
        <v>2633</v>
      </c>
      <c r="P169" s="1">
        <f ca="1">IFERROR(__xludf.DUMMYFUNCTION("""COMPUTED_VALUE"""),1430)</f>
        <v>1430</v>
      </c>
      <c r="Q169" s="1">
        <f ca="1">IFERROR(__xludf.DUMMYFUNCTION("""COMPUTED_VALUE"""),988)</f>
        <v>988</v>
      </c>
      <c r="R169" s="1">
        <f ca="1">IFERROR(__xludf.DUMMYFUNCTION("""COMPUTED_VALUE"""),2127)</f>
        <v>2127</v>
      </c>
      <c r="S169" s="1">
        <f ca="1">IFERROR(__xludf.DUMMYFUNCTION("""COMPUTED_VALUE"""),0.465)</f>
        <v>0.46500000000000002</v>
      </c>
      <c r="T169" s="1">
        <f ca="1">IFERROR(__xludf.DUMMYFUNCTION("""COMPUTED_VALUE"""),246)</f>
        <v>246</v>
      </c>
      <c r="U169" s="1">
        <f ca="1">IFERROR(__xludf.DUMMYFUNCTION("""COMPUTED_VALUE"""),670)</f>
        <v>670</v>
      </c>
      <c r="V169" s="1">
        <f ca="1">IFERROR(__xludf.DUMMYFUNCTION("""COMPUTED_VALUE"""),0.367)</f>
        <v>0.36699999999999999</v>
      </c>
      <c r="W169" s="1">
        <f ca="1">IFERROR(__xludf.DUMMYFUNCTION("""COMPUTED_VALUE"""),613)</f>
        <v>613</v>
      </c>
      <c r="X169" s="1">
        <f ca="1">IFERROR(__xludf.DUMMYFUNCTION("""COMPUTED_VALUE"""),913)</f>
        <v>913</v>
      </c>
      <c r="Y169" s="1">
        <f ca="1">IFERROR(__xludf.DUMMYFUNCTION("""COMPUTED_VALUE"""),0.671)</f>
        <v>0.67100000000000004</v>
      </c>
      <c r="Z169" s="1">
        <f ca="1">IFERROR(__xludf.DUMMYFUNCTION("""COMPUTED_VALUE"""),464)</f>
        <v>464</v>
      </c>
      <c r="AA169" s="1">
        <f ca="1">IFERROR(__xludf.DUMMYFUNCTION("""COMPUTED_VALUE"""),1329)</f>
        <v>1329</v>
      </c>
      <c r="AB169" s="1">
        <f ca="1">IFERROR(__xludf.DUMMYFUNCTION("""COMPUTED_VALUE"""),472)</f>
        <v>472</v>
      </c>
      <c r="AC169" s="1">
        <f ca="1">IFERROR(__xludf.DUMMYFUNCTION("""COMPUTED_VALUE"""),250)</f>
        <v>250</v>
      </c>
      <c r="AD169" s="1">
        <f ca="1">IFERROR(__xludf.DUMMYFUNCTION("""COMPUTED_VALUE"""),144)</f>
        <v>144</v>
      </c>
      <c r="AE169" s="1">
        <f ca="1">IFERROR(__xludf.DUMMYFUNCTION("""COMPUTED_VALUE"""),459)</f>
        <v>459</v>
      </c>
      <c r="AF169" s="1">
        <f ca="1">IFERROR(__xludf.DUMMYFUNCTION("""COMPUTED_VALUE"""),734)</f>
        <v>734</v>
      </c>
    </row>
    <row r="170" spans="1:32" ht="12.5" x14ac:dyDescent="0.25">
      <c r="A170" s="1" t="str">
        <f ca="1">IFERROR(__xludf.DUMMYFUNCTION("""COMPUTED_VALUE"""),"Louisiana-Monroe")</f>
        <v>Louisiana-Monroe</v>
      </c>
      <c r="B170" s="1">
        <f ca="1">IFERROR(__xludf.DUMMYFUNCTION("""COMPUTED_VALUE"""),27)</f>
        <v>27</v>
      </c>
      <c r="C170" s="1">
        <f ca="1">IFERROR(__xludf.DUMMYFUNCTION("""COMPUTED_VALUE"""),10)</f>
        <v>10</v>
      </c>
      <c r="D170" s="1">
        <f ca="1">IFERROR(__xludf.DUMMYFUNCTION("""COMPUTED_VALUE"""),17)</f>
        <v>17</v>
      </c>
      <c r="E170" s="1">
        <f ca="1">IFERROR(__xludf.DUMMYFUNCTION("""COMPUTED_VALUE"""),0.37)</f>
        <v>0.37</v>
      </c>
      <c r="F170" s="1">
        <f ca="1">IFERROR(__xludf.DUMMYFUNCTION("""COMPUTED_VALUE"""),-5.21)</f>
        <v>-5.21</v>
      </c>
      <c r="G170" s="1">
        <f ca="1">IFERROR(__xludf.DUMMYFUNCTION("""COMPUTED_VALUE"""),0.02)</f>
        <v>0.02</v>
      </c>
      <c r="H170" s="1">
        <f ca="1">IFERROR(__xludf.DUMMYFUNCTION("""COMPUTED_VALUE"""),7)</f>
        <v>7</v>
      </c>
      <c r="I170" s="1">
        <f ca="1">IFERROR(__xludf.DUMMYFUNCTION("""COMPUTED_VALUE"""),11)</f>
        <v>11</v>
      </c>
      <c r="J170" s="1">
        <f ca="1">IFERROR(__xludf.DUMMYFUNCTION("""COMPUTED_VALUE"""),6)</f>
        <v>6</v>
      </c>
      <c r="K170" s="1">
        <f ca="1">IFERROR(__xludf.DUMMYFUNCTION("""COMPUTED_VALUE"""),6)</f>
        <v>6</v>
      </c>
      <c r="L170" s="1">
        <f ca="1">IFERROR(__xludf.DUMMYFUNCTION("""COMPUTED_VALUE"""),4)</f>
        <v>4</v>
      </c>
      <c r="M170" s="1">
        <f ca="1">IFERROR(__xludf.DUMMYFUNCTION("""COMPUTED_VALUE"""),10)</f>
        <v>10</v>
      </c>
      <c r="N170" s="1">
        <f ca="1">IFERROR(__xludf.DUMMYFUNCTION("""COMPUTED_VALUE"""),1738)</f>
        <v>1738</v>
      </c>
      <c r="O170" s="1">
        <f ca="1">IFERROR(__xludf.DUMMYFUNCTION("""COMPUTED_VALUE"""),1851)</f>
        <v>1851</v>
      </c>
      <c r="P170" s="1">
        <f ca="1">IFERROR(__xludf.DUMMYFUNCTION("""COMPUTED_VALUE"""),1100)</f>
        <v>1100</v>
      </c>
      <c r="Q170" s="1">
        <f ca="1">IFERROR(__xludf.DUMMYFUNCTION("""COMPUTED_VALUE"""),628)</f>
        <v>628</v>
      </c>
      <c r="R170" s="1">
        <f ca="1">IFERROR(__xludf.DUMMYFUNCTION("""COMPUTED_VALUE"""),1470)</f>
        <v>1470</v>
      </c>
      <c r="S170" s="1">
        <f ca="1">IFERROR(__xludf.DUMMYFUNCTION("""COMPUTED_VALUE"""),0.427)</f>
        <v>0.42699999999999999</v>
      </c>
      <c r="T170" s="1">
        <f ca="1">IFERROR(__xludf.DUMMYFUNCTION("""COMPUTED_VALUE"""),143)</f>
        <v>143</v>
      </c>
      <c r="U170" s="1">
        <f ca="1">IFERROR(__xludf.DUMMYFUNCTION("""COMPUTED_VALUE"""),450)</f>
        <v>450</v>
      </c>
      <c r="V170" s="1">
        <f ca="1">IFERROR(__xludf.DUMMYFUNCTION("""COMPUTED_VALUE"""),0.318)</f>
        <v>0.318</v>
      </c>
      <c r="W170" s="1">
        <f ca="1">IFERROR(__xludf.DUMMYFUNCTION("""COMPUTED_VALUE"""),339)</f>
        <v>339</v>
      </c>
      <c r="X170" s="1">
        <f ca="1">IFERROR(__xludf.DUMMYFUNCTION("""COMPUTED_VALUE"""),536)</f>
        <v>536</v>
      </c>
      <c r="Y170" s="1">
        <f ca="1">IFERROR(__xludf.DUMMYFUNCTION("""COMPUTED_VALUE"""),0.632)</f>
        <v>0.63200000000000001</v>
      </c>
      <c r="Z170" s="1">
        <f ca="1">IFERROR(__xludf.DUMMYFUNCTION("""COMPUTED_VALUE"""),277)</f>
        <v>277</v>
      </c>
      <c r="AA170" s="1">
        <f ca="1">IFERROR(__xludf.DUMMYFUNCTION("""COMPUTED_VALUE"""),943)</f>
        <v>943</v>
      </c>
      <c r="AB170" s="1">
        <f ca="1">IFERROR(__xludf.DUMMYFUNCTION("""COMPUTED_VALUE"""),341)</f>
        <v>341</v>
      </c>
      <c r="AC170" s="1">
        <f ca="1">IFERROR(__xludf.DUMMYFUNCTION("""COMPUTED_VALUE"""),154)</f>
        <v>154</v>
      </c>
      <c r="AD170" s="1">
        <f ca="1">IFERROR(__xludf.DUMMYFUNCTION("""COMPUTED_VALUE"""),94)</f>
        <v>94</v>
      </c>
      <c r="AE170" s="1">
        <f ca="1">IFERROR(__xludf.DUMMYFUNCTION("""COMPUTED_VALUE"""),338)</f>
        <v>338</v>
      </c>
      <c r="AF170" s="1">
        <f ca="1">IFERROR(__xludf.DUMMYFUNCTION("""COMPUTED_VALUE"""),498)</f>
        <v>498</v>
      </c>
    </row>
    <row r="171" spans="1:32" ht="12.5" x14ac:dyDescent="0.25">
      <c r="A171" s="1" t="str">
        <f ca="1">IFERROR(__xludf.DUMMYFUNCTION("""COMPUTED_VALUE"""),"Louisiana State")</f>
        <v>Louisiana State</v>
      </c>
      <c r="B171" s="1">
        <f ca="1">IFERROR(__xludf.DUMMYFUNCTION("""COMPUTED_VALUE"""),34)</f>
        <v>34</v>
      </c>
      <c r="C171" s="1">
        <f ca="1">IFERROR(__xludf.DUMMYFUNCTION("""COMPUTED_VALUE"""),20)</f>
        <v>20</v>
      </c>
      <c r="D171" s="1">
        <f ca="1">IFERROR(__xludf.DUMMYFUNCTION("""COMPUTED_VALUE"""),14)</f>
        <v>14</v>
      </c>
      <c r="E171" s="1">
        <f ca="1">IFERROR(__xludf.DUMMYFUNCTION("""COMPUTED_VALUE"""),0.588)</f>
        <v>0.58799999999999997</v>
      </c>
      <c r="F171" s="1">
        <f ca="1">IFERROR(__xludf.DUMMYFUNCTION("""COMPUTED_VALUE"""),10.05)</f>
        <v>10.050000000000001</v>
      </c>
      <c r="G171" s="1">
        <f ca="1">IFERROR(__xludf.DUMMYFUNCTION("""COMPUTED_VALUE"""),6.61)</f>
        <v>6.61</v>
      </c>
      <c r="H171" s="1">
        <f ca="1">IFERROR(__xludf.DUMMYFUNCTION("""COMPUTED_VALUE"""),9)</f>
        <v>9</v>
      </c>
      <c r="I171" s="1">
        <f ca="1">IFERROR(__xludf.DUMMYFUNCTION("""COMPUTED_VALUE"""),9)</f>
        <v>9</v>
      </c>
      <c r="J171" s="1">
        <f ca="1">IFERROR(__xludf.DUMMYFUNCTION("""COMPUTED_VALUE"""),13)</f>
        <v>13</v>
      </c>
      <c r="K171" s="1">
        <f ca="1">IFERROR(__xludf.DUMMYFUNCTION("""COMPUTED_VALUE"""),3)</f>
        <v>3</v>
      </c>
      <c r="L171" s="1">
        <f ca="1">IFERROR(__xludf.DUMMYFUNCTION("""COMPUTED_VALUE"""),4)</f>
        <v>4</v>
      </c>
      <c r="M171" s="1">
        <f ca="1">IFERROR(__xludf.DUMMYFUNCTION("""COMPUTED_VALUE"""),9)</f>
        <v>9</v>
      </c>
      <c r="N171" s="1">
        <f ca="1">IFERROR(__xludf.DUMMYFUNCTION("""COMPUTED_VALUE"""),2540)</f>
        <v>2540</v>
      </c>
      <c r="O171" s="1">
        <f ca="1">IFERROR(__xludf.DUMMYFUNCTION("""COMPUTED_VALUE"""),2423)</f>
        <v>2423</v>
      </c>
      <c r="P171" s="1">
        <f ca="1">IFERROR(__xludf.DUMMYFUNCTION("""COMPUTED_VALUE"""),1375)</f>
        <v>1375</v>
      </c>
      <c r="Q171" s="1">
        <f ca="1">IFERROR(__xludf.DUMMYFUNCTION("""COMPUTED_VALUE"""),918)</f>
        <v>918</v>
      </c>
      <c r="R171" s="1">
        <f ca="1">IFERROR(__xludf.DUMMYFUNCTION("""COMPUTED_VALUE"""),2067)</f>
        <v>2067</v>
      </c>
      <c r="S171" s="1">
        <f ca="1">IFERROR(__xludf.DUMMYFUNCTION("""COMPUTED_VALUE"""),0.444)</f>
        <v>0.44400000000000001</v>
      </c>
      <c r="T171" s="1">
        <f ca="1">IFERROR(__xludf.DUMMYFUNCTION("""COMPUTED_VALUE"""),231)</f>
        <v>231</v>
      </c>
      <c r="U171" s="1">
        <f ca="1">IFERROR(__xludf.DUMMYFUNCTION("""COMPUTED_VALUE"""),675)</f>
        <v>675</v>
      </c>
      <c r="V171" s="1">
        <f ca="1">IFERROR(__xludf.DUMMYFUNCTION("""COMPUTED_VALUE"""),0.342)</f>
        <v>0.34200000000000003</v>
      </c>
      <c r="W171" s="1">
        <f ca="1">IFERROR(__xludf.DUMMYFUNCTION("""COMPUTED_VALUE"""),473)</f>
        <v>473</v>
      </c>
      <c r="X171" s="1">
        <f ca="1">IFERROR(__xludf.DUMMYFUNCTION("""COMPUTED_VALUE"""),707)</f>
        <v>707</v>
      </c>
      <c r="Y171" s="1">
        <f ca="1">IFERROR(__xludf.DUMMYFUNCTION("""COMPUTED_VALUE"""),0.669)</f>
        <v>0.66900000000000004</v>
      </c>
      <c r="Z171" s="1">
        <f ca="1">IFERROR(__xludf.DUMMYFUNCTION("""COMPUTED_VALUE"""),444)</f>
        <v>444</v>
      </c>
      <c r="AA171" s="1">
        <f ca="1">IFERROR(__xludf.DUMMYFUNCTION("""COMPUTED_VALUE"""),1334)</f>
        <v>1334</v>
      </c>
      <c r="AB171" s="1">
        <f ca="1">IFERROR(__xludf.DUMMYFUNCTION("""COMPUTED_VALUE"""),479)</f>
        <v>479</v>
      </c>
      <c r="AC171" s="1">
        <f ca="1">IFERROR(__xludf.DUMMYFUNCTION("""COMPUTED_VALUE"""),261)</f>
        <v>261</v>
      </c>
      <c r="AD171" s="1">
        <f ca="1">IFERROR(__xludf.DUMMYFUNCTION("""COMPUTED_VALUE"""),199)</f>
        <v>199</v>
      </c>
      <c r="AE171" s="1">
        <f ca="1">IFERROR(__xludf.DUMMYFUNCTION("""COMPUTED_VALUE"""),464)</f>
        <v>464</v>
      </c>
      <c r="AF171" s="1">
        <f ca="1">IFERROR(__xludf.DUMMYFUNCTION("""COMPUTED_VALUE"""),635)</f>
        <v>635</v>
      </c>
    </row>
    <row r="172" spans="1:32" ht="12.5" x14ac:dyDescent="0.25">
      <c r="A172" s="1" t="str">
        <f ca="1">IFERROR(__xludf.DUMMYFUNCTION("""COMPUTED_VALUE"""),"Louisiana Tech")</f>
        <v>Louisiana Tech</v>
      </c>
      <c r="B172" s="1">
        <f ca="1">IFERROR(__xludf.DUMMYFUNCTION("""COMPUTED_VALUE"""),37)</f>
        <v>37</v>
      </c>
      <c r="C172" s="1">
        <f ca="1">IFERROR(__xludf.DUMMYFUNCTION("""COMPUTED_VALUE"""),29)</f>
        <v>29</v>
      </c>
      <c r="D172" s="1">
        <f ca="1">IFERROR(__xludf.DUMMYFUNCTION("""COMPUTED_VALUE"""),8)</f>
        <v>8</v>
      </c>
      <c r="E172" s="1">
        <f ca="1">IFERROR(__xludf.DUMMYFUNCTION("""COMPUTED_VALUE"""),0.784)</f>
        <v>0.78400000000000003</v>
      </c>
      <c r="F172" s="1">
        <f ca="1">IFERROR(__xludf.DUMMYFUNCTION("""COMPUTED_VALUE"""),12.44)</f>
        <v>12.44</v>
      </c>
      <c r="G172" s="1">
        <f ca="1">IFERROR(__xludf.DUMMYFUNCTION("""COMPUTED_VALUE"""),-1.2)</f>
        <v>-1.2</v>
      </c>
      <c r="H172" s="1">
        <f ca="1">IFERROR(__xludf.DUMMYFUNCTION("""COMPUTED_VALUE"""),13)</f>
        <v>13</v>
      </c>
      <c r="I172" s="1">
        <f ca="1">IFERROR(__xludf.DUMMYFUNCTION("""COMPUTED_VALUE"""),3)</f>
        <v>3</v>
      </c>
      <c r="J172" s="1">
        <f ca="1">IFERROR(__xludf.DUMMYFUNCTION("""COMPUTED_VALUE"""),14)</f>
        <v>14</v>
      </c>
      <c r="K172" s="1">
        <f ca="1">IFERROR(__xludf.DUMMYFUNCTION("""COMPUTED_VALUE"""),1)</f>
        <v>1</v>
      </c>
      <c r="L172" s="1">
        <f ca="1">IFERROR(__xludf.DUMMYFUNCTION("""COMPUTED_VALUE"""),10)</f>
        <v>10</v>
      </c>
      <c r="M172" s="1">
        <f ca="1">IFERROR(__xludf.DUMMYFUNCTION("""COMPUTED_VALUE"""),5)</f>
        <v>5</v>
      </c>
      <c r="N172" s="1">
        <f ca="1">IFERROR(__xludf.DUMMYFUNCTION("""COMPUTED_VALUE"""),2998)</f>
        <v>2998</v>
      </c>
      <c r="O172" s="1">
        <f ca="1">IFERROR(__xludf.DUMMYFUNCTION("""COMPUTED_VALUE"""),2460)</f>
        <v>2460</v>
      </c>
      <c r="P172" s="1">
        <f ca="1">IFERROR(__xludf.DUMMYFUNCTION("""COMPUTED_VALUE"""),1485)</f>
        <v>1485</v>
      </c>
      <c r="Q172" s="1">
        <f ca="1">IFERROR(__xludf.DUMMYFUNCTION("""COMPUTED_VALUE"""),1034)</f>
        <v>1034</v>
      </c>
      <c r="R172" s="1">
        <f ca="1">IFERROR(__xludf.DUMMYFUNCTION("""COMPUTED_VALUE"""),2284)</f>
        <v>2284</v>
      </c>
      <c r="S172" s="1">
        <f ca="1">IFERROR(__xludf.DUMMYFUNCTION("""COMPUTED_VALUE"""),0.453)</f>
        <v>0.45300000000000001</v>
      </c>
      <c r="T172" s="1">
        <f ca="1">IFERROR(__xludf.DUMMYFUNCTION("""COMPUTED_VALUE"""),286)</f>
        <v>286</v>
      </c>
      <c r="U172" s="1">
        <f ca="1">IFERROR(__xludf.DUMMYFUNCTION("""COMPUTED_VALUE"""),868)</f>
        <v>868</v>
      </c>
      <c r="V172" s="1">
        <f ca="1">IFERROR(__xludf.DUMMYFUNCTION("""COMPUTED_VALUE"""),0.329)</f>
        <v>0.32900000000000001</v>
      </c>
      <c r="W172" s="1">
        <f ca="1">IFERROR(__xludf.DUMMYFUNCTION("""COMPUTED_VALUE"""),644)</f>
        <v>644</v>
      </c>
      <c r="X172" s="1">
        <f ca="1">IFERROR(__xludf.DUMMYFUNCTION("""COMPUTED_VALUE"""),948)</f>
        <v>948</v>
      </c>
      <c r="Y172" s="1">
        <f ca="1">IFERROR(__xludf.DUMMYFUNCTION("""COMPUTED_VALUE"""),0.679)</f>
        <v>0.67900000000000005</v>
      </c>
      <c r="Z172" s="1">
        <f ca="1">IFERROR(__xludf.DUMMYFUNCTION("""COMPUTED_VALUE"""),478)</f>
        <v>478</v>
      </c>
      <c r="AA172" s="1">
        <f ca="1">IFERROR(__xludf.DUMMYFUNCTION("""COMPUTED_VALUE"""),1448)</f>
        <v>1448</v>
      </c>
      <c r="AB172" s="1">
        <f ca="1">IFERROR(__xludf.DUMMYFUNCTION("""COMPUTED_VALUE"""),582)</f>
        <v>582</v>
      </c>
      <c r="AC172" s="1">
        <f ca="1">IFERROR(__xludf.DUMMYFUNCTION("""COMPUTED_VALUE"""),339)</f>
        <v>339</v>
      </c>
      <c r="AD172" s="1">
        <f ca="1">IFERROR(__xludf.DUMMYFUNCTION("""COMPUTED_VALUE"""),188)</f>
        <v>188</v>
      </c>
      <c r="AE172" s="1">
        <f ca="1">IFERROR(__xludf.DUMMYFUNCTION("""COMPUTED_VALUE"""),424)</f>
        <v>424</v>
      </c>
      <c r="AF172" s="1">
        <f ca="1">IFERROR(__xludf.DUMMYFUNCTION("""COMPUTED_VALUE"""),705)</f>
        <v>705</v>
      </c>
    </row>
    <row r="173" spans="1:32" ht="12.5" x14ac:dyDescent="0.25">
      <c r="A173" s="1" t="str">
        <f ca="1">IFERROR(__xludf.DUMMYFUNCTION("""COMPUTED_VALUE"""),"LouisvilleNCAA")</f>
        <v>LouisvilleNCAA</v>
      </c>
      <c r="B173" s="1">
        <f ca="1">IFERROR(__xludf.DUMMYFUNCTION("""COMPUTED_VALUE"""),37)</f>
        <v>37</v>
      </c>
      <c r="C173" s="1">
        <f ca="1">IFERROR(__xludf.DUMMYFUNCTION("""COMPUTED_VALUE"""),31)</f>
        <v>31</v>
      </c>
      <c r="D173" s="1">
        <f ca="1">IFERROR(__xludf.DUMMYFUNCTION("""COMPUTED_VALUE"""),6)</f>
        <v>6</v>
      </c>
      <c r="E173" s="1">
        <f ca="1">IFERROR(__xludf.DUMMYFUNCTION("""COMPUTED_VALUE"""),0.838)</f>
        <v>0.83799999999999997</v>
      </c>
      <c r="F173" s="1">
        <f ca="1">IFERROR(__xludf.DUMMYFUNCTION("""COMPUTED_VALUE"""),24.69)</f>
        <v>24.69</v>
      </c>
      <c r="G173" s="1">
        <f ca="1">IFERROR(__xludf.DUMMYFUNCTION("""COMPUTED_VALUE"""),4.8)</f>
        <v>4.8</v>
      </c>
      <c r="H173" s="1">
        <f ca="1">IFERROR(__xludf.DUMMYFUNCTION("""COMPUTED_VALUE"""),15)</f>
        <v>15</v>
      </c>
      <c r="I173" s="1">
        <f ca="1">IFERROR(__xludf.DUMMYFUNCTION("""COMPUTED_VALUE"""),3)</f>
        <v>3</v>
      </c>
      <c r="J173" s="1">
        <f ca="1">IFERROR(__xludf.DUMMYFUNCTION("""COMPUTED_VALUE"""),16)</f>
        <v>16</v>
      </c>
      <c r="K173" s="1">
        <f ca="1">IFERROR(__xludf.DUMMYFUNCTION("""COMPUTED_VALUE"""),2)</f>
        <v>2</v>
      </c>
      <c r="L173" s="1">
        <f ca="1">IFERROR(__xludf.DUMMYFUNCTION("""COMPUTED_VALUE"""),9)</f>
        <v>9</v>
      </c>
      <c r="M173" s="1">
        <f ca="1">IFERROR(__xludf.DUMMYFUNCTION("""COMPUTED_VALUE"""),2)</f>
        <v>2</v>
      </c>
      <c r="N173" s="1">
        <f ca="1">IFERROR(__xludf.DUMMYFUNCTION("""COMPUTED_VALUE"""),2998)</f>
        <v>2998</v>
      </c>
      <c r="O173" s="1">
        <f ca="1">IFERROR(__xludf.DUMMYFUNCTION("""COMPUTED_VALUE"""),2262)</f>
        <v>2262</v>
      </c>
      <c r="P173" s="1">
        <f ca="1">IFERROR(__xludf.DUMMYFUNCTION("""COMPUTED_VALUE"""),1480)</f>
        <v>1480</v>
      </c>
      <c r="Q173" s="1">
        <f ca="1">IFERROR(__xludf.DUMMYFUNCTION("""COMPUTED_VALUE"""),1051)</f>
        <v>1051</v>
      </c>
      <c r="R173" s="1">
        <f ca="1">IFERROR(__xludf.DUMMYFUNCTION("""COMPUTED_VALUE"""),2232)</f>
        <v>2232</v>
      </c>
      <c r="S173" s="1">
        <f ca="1">IFERROR(__xludf.DUMMYFUNCTION("""COMPUTED_VALUE"""),0.471)</f>
        <v>0.47099999999999997</v>
      </c>
      <c r="T173" s="1">
        <f ca="1">IFERROR(__xludf.DUMMYFUNCTION("""COMPUTED_VALUE"""),288)</f>
        <v>288</v>
      </c>
      <c r="U173" s="1">
        <f ca="1">IFERROR(__xludf.DUMMYFUNCTION("""COMPUTED_VALUE"""),783)</f>
        <v>783</v>
      </c>
      <c r="V173" s="1">
        <f ca="1">IFERROR(__xludf.DUMMYFUNCTION("""COMPUTED_VALUE"""),0.368)</f>
        <v>0.36799999999999999</v>
      </c>
      <c r="W173" s="1">
        <f ca="1">IFERROR(__xludf.DUMMYFUNCTION("""COMPUTED_VALUE"""),608)</f>
        <v>608</v>
      </c>
      <c r="X173" s="1">
        <f ca="1">IFERROR(__xludf.DUMMYFUNCTION("""COMPUTED_VALUE"""),920)</f>
        <v>920</v>
      </c>
      <c r="Y173" s="1">
        <f ca="1">IFERROR(__xludf.DUMMYFUNCTION("""COMPUTED_VALUE"""),0.661)</f>
        <v>0.66100000000000003</v>
      </c>
      <c r="Z173" s="1">
        <f ca="1">IFERROR(__xludf.DUMMYFUNCTION("""COMPUTED_VALUE"""),503)</f>
        <v>503</v>
      </c>
      <c r="AA173" s="1">
        <f ca="1">IFERROR(__xludf.DUMMYFUNCTION("""COMPUTED_VALUE"""),1396)</f>
        <v>1396</v>
      </c>
      <c r="AB173" s="1">
        <f ca="1">IFERROR(__xludf.DUMMYFUNCTION("""COMPUTED_VALUE"""),568)</f>
        <v>568</v>
      </c>
      <c r="AC173" s="1">
        <f ca="1">IFERROR(__xludf.DUMMYFUNCTION("""COMPUTED_VALUE"""),370)</f>
        <v>370</v>
      </c>
      <c r="AD173" s="1">
        <f ca="1">IFERROR(__xludf.DUMMYFUNCTION("""COMPUTED_VALUE"""),173)</f>
        <v>173</v>
      </c>
      <c r="AE173" s="1">
        <f ca="1">IFERROR(__xludf.DUMMYFUNCTION("""COMPUTED_VALUE"""),391)</f>
        <v>391</v>
      </c>
      <c r="AF173" s="1">
        <f ca="1">IFERROR(__xludf.DUMMYFUNCTION("""COMPUTED_VALUE"""),723)</f>
        <v>723</v>
      </c>
    </row>
    <row r="174" spans="1:32" ht="12.5" x14ac:dyDescent="0.25">
      <c r="A174" s="1" t="str">
        <f ca="1">IFERROR(__xludf.DUMMYFUNCTION("""COMPUTED_VALUE"""),"Loyola (IL)")</f>
        <v>Loyola (IL)</v>
      </c>
      <c r="B174" s="1">
        <f ca="1">IFERROR(__xludf.DUMMYFUNCTION("""COMPUTED_VALUE"""),32)</f>
        <v>32</v>
      </c>
      <c r="C174" s="1">
        <f ca="1">IFERROR(__xludf.DUMMYFUNCTION("""COMPUTED_VALUE"""),10)</f>
        <v>10</v>
      </c>
      <c r="D174" s="1">
        <f ca="1">IFERROR(__xludf.DUMMYFUNCTION("""COMPUTED_VALUE"""),22)</f>
        <v>22</v>
      </c>
      <c r="E174" s="1">
        <f ca="1">IFERROR(__xludf.DUMMYFUNCTION("""COMPUTED_VALUE"""),0.313)</f>
        <v>0.313</v>
      </c>
      <c r="F174" s="1">
        <f ca="1">IFERROR(__xludf.DUMMYFUNCTION("""COMPUTED_VALUE"""),-4.75)</f>
        <v>-4.75</v>
      </c>
      <c r="G174" s="1">
        <f ca="1">IFERROR(__xludf.DUMMYFUNCTION("""COMPUTED_VALUE"""),-1.14)</f>
        <v>-1.1399999999999999</v>
      </c>
      <c r="H174" s="1">
        <f ca="1">IFERROR(__xludf.DUMMYFUNCTION("""COMPUTED_VALUE"""),4)</f>
        <v>4</v>
      </c>
      <c r="I174" s="1">
        <f ca="1">IFERROR(__xludf.DUMMYFUNCTION("""COMPUTED_VALUE"""),14)</f>
        <v>14</v>
      </c>
      <c r="J174" s="1">
        <f ca="1">IFERROR(__xludf.DUMMYFUNCTION("""COMPUTED_VALUE"""),8)</f>
        <v>8</v>
      </c>
      <c r="K174" s="1">
        <f ca="1">IFERROR(__xludf.DUMMYFUNCTION("""COMPUTED_VALUE"""),6)</f>
        <v>6</v>
      </c>
      <c r="L174" s="1">
        <f ca="1">IFERROR(__xludf.DUMMYFUNCTION("""COMPUTED_VALUE"""),0)</f>
        <v>0</v>
      </c>
      <c r="M174" s="1">
        <f ca="1">IFERROR(__xludf.DUMMYFUNCTION("""COMPUTED_VALUE"""),14)</f>
        <v>14</v>
      </c>
      <c r="N174" s="1">
        <f ca="1">IFERROR(__xludf.DUMMYFUNCTION("""COMPUTED_VALUE"""),2105)</f>
        <v>2105</v>
      </c>
      <c r="O174" s="1">
        <f ca="1">IFERROR(__xludf.DUMMYFUNCTION("""COMPUTED_VALUE"""),2199)</f>
        <v>2199</v>
      </c>
      <c r="P174" s="1">
        <f ca="1">IFERROR(__xludf.DUMMYFUNCTION("""COMPUTED_VALUE"""),1300)</f>
        <v>1300</v>
      </c>
      <c r="Q174" s="1">
        <f ca="1">IFERROR(__xludf.DUMMYFUNCTION("""COMPUTED_VALUE"""),744)</f>
        <v>744</v>
      </c>
      <c r="R174" s="1">
        <f ca="1">IFERROR(__xludf.DUMMYFUNCTION("""COMPUTED_VALUE"""),1609)</f>
        <v>1609</v>
      </c>
      <c r="S174" s="1">
        <f ca="1">IFERROR(__xludf.DUMMYFUNCTION("""COMPUTED_VALUE"""),0.462)</f>
        <v>0.46200000000000002</v>
      </c>
      <c r="T174" s="1">
        <f ca="1">IFERROR(__xludf.DUMMYFUNCTION("""COMPUTED_VALUE"""),191)</f>
        <v>191</v>
      </c>
      <c r="U174" s="1">
        <f ca="1">IFERROR(__xludf.DUMMYFUNCTION("""COMPUTED_VALUE"""),546)</f>
        <v>546</v>
      </c>
      <c r="V174" s="1">
        <f ca="1">IFERROR(__xludf.DUMMYFUNCTION("""COMPUTED_VALUE"""),0.35)</f>
        <v>0.35</v>
      </c>
      <c r="W174" s="1">
        <f ca="1">IFERROR(__xludf.DUMMYFUNCTION("""COMPUTED_VALUE"""),426)</f>
        <v>426</v>
      </c>
      <c r="X174" s="1">
        <f ca="1">IFERROR(__xludf.DUMMYFUNCTION("""COMPUTED_VALUE"""),606)</f>
        <v>606</v>
      </c>
      <c r="Y174" s="1">
        <f ca="1">IFERROR(__xludf.DUMMYFUNCTION("""COMPUTED_VALUE"""),0.703)</f>
        <v>0.70299999999999996</v>
      </c>
      <c r="Z174" s="1">
        <f ca="1">IFERROR(__xludf.DUMMYFUNCTION("""COMPUTED_VALUE"""),266)</f>
        <v>266</v>
      </c>
      <c r="AA174" s="1">
        <f ca="1">IFERROR(__xludf.DUMMYFUNCTION("""COMPUTED_VALUE"""),973)</f>
        <v>973</v>
      </c>
      <c r="AB174" s="1">
        <f ca="1">IFERROR(__xludf.DUMMYFUNCTION("""COMPUTED_VALUE"""),419)</f>
        <v>419</v>
      </c>
      <c r="AC174" s="1">
        <f ca="1">IFERROR(__xludf.DUMMYFUNCTION("""COMPUTED_VALUE"""),176)</f>
        <v>176</v>
      </c>
      <c r="AD174" s="1">
        <f ca="1">IFERROR(__xludf.DUMMYFUNCTION("""COMPUTED_VALUE"""),82)</f>
        <v>82</v>
      </c>
      <c r="AE174" s="1">
        <f ca="1">IFERROR(__xludf.DUMMYFUNCTION("""COMPUTED_VALUE"""),427)</f>
        <v>427</v>
      </c>
      <c r="AF174" s="1">
        <f ca="1">IFERROR(__xludf.DUMMYFUNCTION("""COMPUTED_VALUE"""),622)</f>
        <v>622</v>
      </c>
    </row>
    <row r="175" spans="1:32" ht="12.5" x14ac:dyDescent="0.25">
      <c r="A175" s="1" t="str">
        <f ca="1">IFERROR(__xludf.DUMMYFUNCTION("""COMPUTED_VALUE"""),"Loyola Marymount")</f>
        <v>Loyola Marymount</v>
      </c>
      <c r="B175" s="1">
        <f ca="1">IFERROR(__xludf.DUMMYFUNCTION("""COMPUTED_VALUE"""),32)</f>
        <v>32</v>
      </c>
      <c r="C175" s="1">
        <f ca="1">IFERROR(__xludf.DUMMYFUNCTION("""COMPUTED_VALUE"""),13)</f>
        <v>13</v>
      </c>
      <c r="D175" s="1">
        <f ca="1">IFERROR(__xludf.DUMMYFUNCTION("""COMPUTED_VALUE"""),19)</f>
        <v>19</v>
      </c>
      <c r="E175" s="1">
        <f ca="1">IFERROR(__xludf.DUMMYFUNCTION("""COMPUTED_VALUE"""),0.406)</f>
        <v>0.40600000000000003</v>
      </c>
      <c r="F175" s="1">
        <f ca="1">IFERROR(__xludf.DUMMYFUNCTION("""COMPUTED_VALUE"""),-0.49)</f>
        <v>-0.49</v>
      </c>
      <c r="G175" s="1">
        <f ca="1">IFERROR(__xludf.DUMMYFUNCTION("""COMPUTED_VALUE"""),4.03)</f>
        <v>4.03</v>
      </c>
      <c r="H175" s="1">
        <f ca="1">IFERROR(__xludf.DUMMYFUNCTION("""COMPUTED_VALUE"""),4)</f>
        <v>4</v>
      </c>
      <c r="I175" s="1">
        <f ca="1">IFERROR(__xludf.DUMMYFUNCTION("""COMPUTED_VALUE"""),14)</f>
        <v>14</v>
      </c>
      <c r="J175" s="1">
        <f ca="1">IFERROR(__xludf.DUMMYFUNCTION("""COMPUTED_VALUE"""),6)</f>
        <v>6</v>
      </c>
      <c r="K175" s="1">
        <f ca="1">IFERROR(__xludf.DUMMYFUNCTION("""COMPUTED_VALUE"""),6)</f>
        <v>6</v>
      </c>
      <c r="L175" s="1">
        <f ca="1">IFERROR(__xludf.DUMMYFUNCTION("""COMPUTED_VALUE"""),3)</f>
        <v>3</v>
      </c>
      <c r="M175" s="1">
        <f ca="1">IFERROR(__xludf.DUMMYFUNCTION("""COMPUTED_VALUE"""),10)</f>
        <v>10</v>
      </c>
      <c r="N175" s="1">
        <f ca="1">IFERROR(__xludf.DUMMYFUNCTION("""COMPUTED_VALUE"""),2345)</f>
        <v>2345</v>
      </c>
      <c r="O175" s="1">
        <f ca="1">IFERROR(__xludf.DUMMYFUNCTION("""COMPUTED_VALUE"""),2468)</f>
        <v>2468</v>
      </c>
      <c r="P175" s="1">
        <f ca="1">IFERROR(__xludf.DUMMYFUNCTION("""COMPUTED_VALUE"""),1266)</f>
        <v>1266</v>
      </c>
      <c r="Q175" s="1">
        <f ca="1">IFERROR(__xludf.DUMMYFUNCTION("""COMPUTED_VALUE"""),838)</f>
        <v>838</v>
      </c>
      <c r="R175" s="1">
        <f ca="1">IFERROR(__xludf.DUMMYFUNCTION("""COMPUTED_VALUE"""),1922)</f>
        <v>1922</v>
      </c>
      <c r="S175" s="1">
        <f ca="1">IFERROR(__xludf.DUMMYFUNCTION("""COMPUTED_VALUE"""),0.436)</f>
        <v>0.436</v>
      </c>
      <c r="T175" s="1">
        <f ca="1">IFERROR(__xludf.DUMMYFUNCTION("""COMPUTED_VALUE"""),141)</f>
        <v>141</v>
      </c>
      <c r="U175" s="1">
        <f ca="1">IFERROR(__xludf.DUMMYFUNCTION("""COMPUTED_VALUE"""),480)</f>
        <v>480</v>
      </c>
      <c r="V175" s="1">
        <f ca="1">IFERROR(__xludf.DUMMYFUNCTION("""COMPUTED_VALUE"""),0.294)</f>
        <v>0.29399999999999998</v>
      </c>
      <c r="W175" s="1">
        <f ca="1">IFERROR(__xludf.DUMMYFUNCTION("""COMPUTED_VALUE"""),528)</f>
        <v>528</v>
      </c>
      <c r="X175" s="1">
        <f ca="1">IFERROR(__xludf.DUMMYFUNCTION("""COMPUTED_VALUE"""),693)</f>
        <v>693</v>
      </c>
      <c r="Y175" s="1">
        <f ca="1">IFERROR(__xludf.DUMMYFUNCTION("""COMPUTED_VALUE"""),0.762)</f>
        <v>0.76200000000000001</v>
      </c>
      <c r="Z175" s="1">
        <f ca="1">IFERROR(__xludf.DUMMYFUNCTION("""COMPUTED_VALUE"""),385)</f>
        <v>385</v>
      </c>
      <c r="AA175" s="1">
        <f ca="1">IFERROR(__xludf.DUMMYFUNCTION("""COMPUTED_VALUE"""),1088)</f>
        <v>1088</v>
      </c>
      <c r="AB175" s="1">
        <f ca="1">IFERROR(__xludf.DUMMYFUNCTION("""COMPUTED_VALUE"""),406)</f>
        <v>406</v>
      </c>
      <c r="AC175" s="1">
        <f ca="1">IFERROR(__xludf.DUMMYFUNCTION("""COMPUTED_VALUE"""),228)</f>
        <v>228</v>
      </c>
      <c r="AD175" s="1">
        <f ca="1">IFERROR(__xludf.DUMMYFUNCTION("""COMPUTED_VALUE"""),120)</f>
        <v>120</v>
      </c>
      <c r="AE175" s="1">
        <f ca="1">IFERROR(__xludf.DUMMYFUNCTION("""COMPUTED_VALUE"""),389)</f>
        <v>389</v>
      </c>
      <c r="AF175" s="1">
        <f ca="1">IFERROR(__xludf.DUMMYFUNCTION("""COMPUTED_VALUE"""),645)</f>
        <v>645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IFERROR(__xludf.DUMMYFUNCTION("""COMPUTED_VALUE"""),"Loyola (MD)")</f>
        <v>Loyola (MD)</v>
      </c>
      <c r="B178" s="1">
        <f ca="1">IFERROR(__xludf.DUMMYFUNCTION("""COMPUTED_VALUE"""),30)</f>
        <v>30</v>
      </c>
      <c r="C178" s="1">
        <f ca="1">IFERROR(__xludf.DUMMYFUNCTION("""COMPUTED_VALUE"""),11)</f>
        <v>11</v>
      </c>
      <c r="D178" s="1">
        <f ca="1">IFERROR(__xludf.DUMMYFUNCTION("""COMPUTED_VALUE"""),19)</f>
        <v>19</v>
      </c>
      <c r="E178" s="1">
        <f ca="1">IFERROR(__xludf.DUMMYFUNCTION("""COMPUTED_VALUE"""),0.367)</f>
        <v>0.36699999999999999</v>
      </c>
      <c r="F178" s="1">
        <f ca="1">IFERROR(__xludf.DUMMYFUNCTION("""COMPUTED_VALUE"""),-10.58)</f>
        <v>-10.58</v>
      </c>
      <c r="G178" s="1">
        <f ca="1">IFERROR(__xludf.DUMMYFUNCTION("""COMPUTED_VALUE"""),-3.23)</f>
        <v>-3.23</v>
      </c>
      <c r="H178" s="1">
        <f ca="1">IFERROR(__xludf.DUMMYFUNCTION("""COMPUTED_VALUE"""),6)</f>
        <v>6</v>
      </c>
      <c r="I178" s="1">
        <f ca="1">IFERROR(__xludf.DUMMYFUNCTION("""COMPUTED_VALUE"""),12)</f>
        <v>12</v>
      </c>
      <c r="J178" s="1">
        <f ca="1">IFERROR(__xludf.DUMMYFUNCTION("""COMPUTED_VALUE"""),7)</f>
        <v>7</v>
      </c>
      <c r="K178" s="1">
        <f ca="1">IFERROR(__xludf.DUMMYFUNCTION("""COMPUTED_VALUE"""),7)</f>
        <v>7</v>
      </c>
      <c r="L178" s="1">
        <f ca="1">IFERROR(__xludf.DUMMYFUNCTION("""COMPUTED_VALUE"""),4)</f>
        <v>4</v>
      </c>
      <c r="M178" s="1">
        <f ca="1">IFERROR(__xludf.DUMMYFUNCTION("""COMPUTED_VALUE"""),12)</f>
        <v>12</v>
      </c>
      <c r="N178" s="1">
        <f ca="1">IFERROR(__xludf.DUMMYFUNCTION("""COMPUTED_VALUE"""),1957)</f>
        <v>1957</v>
      </c>
      <c r="O178" s="1">
        <f ca="1">IFERROR(__xludf.DUMMYFUNCTION("""COMPUTED_VALUE"""),2158)</f>
        <v>2158</v>
      </c>
      <c r="P178" s="1">
        <f ca="1">IFERROR(__xludf.DUMMYFUNCTION("""COMPUTED_VALUE"""),1215)</f>
        <v>1215</v>
      </c>
      <c r="Q178" s="1">
        <f ca="1">IFERROR(__xludf.DUMMYFUNCTION("""COMPUTED_VALUE"""),680)</f>
        <v>680</v>
      </c>
      <c r="R178" s="1">
        <f ca="1">IFERROR(__xludf.DUMMYFUNCTION("""COMPUTED_VALUE"""),1642)</f>
        <v>1642</v>
      </c>
      <c r="S178" s="1">
        <f ca="1">IFERROR(__xludf.DUMMYFUNCTION("""COMPUTED_VALUE"""),0.414)</f>
        <v>0.41399999999999998</v>
      </c>
      <c r="T178" s="1">
        <f ca="1">IFERROR(__xludf.DUMMYFUNCTION("""COMPUTED_VALUE"""),145)</f>
        <v>145</v>
      </c>
      <c r="U178" s="1">
        <f ca="1">IFERROR(__xludf.DUMMYFUNCTION("""COMPUTED_VALUE"""),452)</f>
        <v>452</v>
      </c>
      <c r="V178" s="1">
        <f ca="1">IFERROR(__xludf.DUMMYFUNCTION("""COMPUTED_VALUE"""),0.321)</f>
        <v>0.32100000000000001</v>
      </c>
      <c r="W178" s="1">
        <f ca="1">IFERROR(__xludf.DUMMYFUNCTION("""COMPUTED_VALUE"""),452)</f>
        <v>452</v>
      </c>
      <c r="X178" s="1">
        <f ca="1">IFERROR(__xludf.DUMMYFUNCTION("""COMPUTED_VALUE"""),678)</f>
        <v>678</v>
      </c>
      <c r="Y178" s="1">
        <f ca="1">IFERROR(__xludf.DUMMYFUNCTION("""COMPUTED_VALUE"""),0.667)</f>
        <v>0.66700000000000004</v>
      </c>
      <c r="Z178" s="1">
        <f ca="1">IFERROR(__xludf.DUMMYFUNCTION("""COMPUTED_VALUE"""),329)</f>
        <v>329</v>
      </c>
      <c r="AA178" s="1">
        <f ca="1">IFERROR(__xludf.DUMMYFUNCTION("""COMPUTED_VALUE"""),935)</f>
        <v>935</v>
      </c>
      <c r="AB178" s="1">
        <f ca="1">IFERROR(__xludf.DUMMYFUNCTION("""COMPUTED_VALUE"""),336)</f>
        <v>336</v>
      </c>
      <c r="AC178" s="1">
        <f ca="1">IFERROR(__xludf.DUMMYFUNCTION("""COMPUTED_VALUE"""),236)</f>
        <v>236</v>
      </c>
      <c r="AD178" s="1">
        <f ca="1">IFERROR(__xludf.DUMMYFUNCTION("""COMPUTED_VALUE"""),128)</f>
        <v>128</v>
      </c>
      <c r="AE178" s="1">
        <f ca="1">IFERROR(__xludf.DUMMYFUNCTION("""COMPUTED_VALUE"""),357)</f>
        <v>357</v>
      </c>
      <c r="AF178" s="1">
        <f ca="1">IFERROR(__xludf.DUMMYFUNCTION("""COMPUTED_VALUE"""),584)</f>
        <v>584</v>
      </c>
    </row>
    <row r="179" spans="1:32" ht="12.5" x14ac:dyDescent="0.25">
      <c r="A179" s="1" t="str">
        <f ca="1">IFERROR(__xludf.DUMMYFUNCTION("""COMPUTED_VALUE"""),"Maine")</f>
        <v>Maine</v>
      </c>
      <c r="B179" s="1">
        <f ca="1">IFERROR(__xludf.DUMMYFUNCTION("""COMPUTED_VALUE"""),29)</f>
        <v>29</v>
      </c>
      <c r="C179" s="1">
        <f ca="1">IFERROR(__xludf.DUMMYFUNCTION("""COMPUTED_VALUE"""),6)</f>
        <v>6</v>
      </c>
      <c r="D179" s="1">
        <f ca="1">IFERROR(__xludf.DUMMYFUNCTION("""COMPUTED_VALUE"""),23)</f>
        <v>23</v>
      </c>
      <c r="E179" s="1">
        <f ca="1">IFERROR(__xludf.DUMMYFUNCTION("""COMPUTED_VALUE"""),0.207)</f>
        <v>0.20699999999999999</v>
      </c>
      <c r="F179" s="1">
        <f ca="1">IFERROR(__xludf.DUMMYFUNCTION("""COMPUTED_VALUE"""),-17.58)</f>
        <v>-17.579999999999998</v>
      </c>
      <c r="G179" s="1">
        <f ca="1">IFERROR(__xludf.DUMMYFUNCTION("""COMPUTED_VALUE"""),-4.72)</f>
        <v>-4.72</v>
      </c>
      <c r="H179" s="1">
        <f ca="1">IFERROR(__xludf.DUMMYFUNCTION("""COMPUTED_VALUE"""),4)</f>
        <v>4</v>
      </c>
      <c r="I179" s="1">
        <f ca="1">IFERROR(__xludf.DUMMYFUNCTION("""COMPUTED_VALUE"""),12)</f>
        <v>12</v>
      </c>
      <c r="J179" s="1">
        <f ca="1">IFERROR(__xludf.DUMMYFUNCTION("""COMPUTED_VALUE"""),4)</f>
        <v>4</v>
      </c>
      <c r="K179" s="1">
        <f ca="1">IFERROR(__xludf.DUMMYFUNCTION("""COMPUTED_VALUE"""),9)</f>
        <v>9</v>
      </c>
      <c r="L179" s="1">
        <f ca="1">IFERROR(__xludf.DUMMYFUNCTION("""COMPUTED_VALUE"""),1)</f>
        <v>1</v>
      </c>
      <c r="M179" s="1">
        <f ca="1">IFERROR(__xludf.DUMMYFUNCTION("""COMPUTED_VALUE"""),12)</f>
        <v>12</v>
      </c>
      <c r="N179" s="1">
        <f ca="1">IFERROR(__xludf.DUMMYFUNCTION("""COMPUTED_VALUE"""),2091)</f>
        <v>2091</v>
      </c>
      <c r="O179" s="1">
        <f ca="1">IFERROR(__xludf.DUMMYFUNCTION("""COMPUTED_VALUE"""),2404)</f>
        <v>2404</v>
      </c>
      <c r="P179" s="1">
        <f ca="1">IFERROR(__xludf.DUMMYFUNCTION("""COMPUTED_VALUE"""),1165)</f>
        <v>1165</v>
      </c>
      <c r="Q179" s="1">
        <f ca="1">IFERROR(__xludf.DUMMYFUNCTION("""COMPUTED_VALUE"""),759)</f>
        <v>759</v>
      </c>
      <c r="R179" s="1">
        <f ca="1">IFERROR(__xludf.DUMMYFUNCTION("""COMPUTED_VALUE"""),1712)</f>
        <v>1712</v>
      </c>
      <c r="S179" s="1">
        <f ca="1">IFERROR(__xludf.DUMMYFUNCTION("""COMPUTED_VALUE"""),0.443)</f>
        <v>0.443</v>
      </c>
      <c r="T179" s="1">
        <f ca="1">IFERROR(__xludf.DUMMYFUNCTION("""COMPUTED_VALUE"""),182)</f>
        <v>182</v>
      </c>
      <c r="U179" s="1">
        <f ca="1">IFERROR(__xludf.DUMMYFUNCTION("""COMPUTED_VALUE"""),543)</f>
        <v>543</v>
      </c>
      <c r="V179" s="1">
        <f ca="1">IFERROR(__xludf.DUMMYFUNCTION("""COMPUTED_VALUE"""),0.335)</f>
        <v>0.33500000000000002</v>
      </c>
      <c r="W179" s="1">
        <f ca="1">IFERROR(__xludf.DUMMYFUNCTION("""COMPUTED_VALUE"""),391)</f>
        <v>391</v>
      </c>
      <c r="X179" s="1">
        <f ca="1">IFERROR(__xludf.DUMMYFUNCTION("""COMPUTED_VALUE"""),577)</f>
        <v>577</v>
      </c>
      <c r="Y179" s="1">
        <f ca="1">IFERROR(__xludf.DUMMYFUNCTION("""COMPUTED_VALUE"""),0.678)</f>
        <v>0.67800000000000005</v>
      </c>
      <c r="Z179" s="1">
        <f ca="1">IFERROR(__xludf.DUMMYFUNCTION("""COMPUTED_VALUE"""),271)</f>
        <v>271</v>
      </c>
      <c r="AA179" s="1">
        <f ca="1">IFERROR(__xludf.DUMMYFUNCTION("""COMPUTED_VALUE"""),966)</f>
        <v>966</v>
      </c>
      <c r="AB179" s="1">
        <f ca="1">IFERROR(__xludf.DUMMYFUNCTION("""COMPUTED_VALUE"""),418)</f>
        <v>418</v>
      </c>
      <c r="AC179" s="1">
        <f ca="1">IFERROR(__xludf.DUMMYFUNCTION("""COMPUTED_VALUE"""),220)</f>
        <v>220</v>
      </c>
      <c r="AD179" s="1">
        <f ca="1">IFERROR(__xludf.DUMMYFUNCTION("""COMPUTED_VALUE"""),66)</f>
        <v>66</v>
      </c>
      <c r="AE179" s="1">
        <f ca="1">IFERROR(__xludf.DUMMYFUNCTION("""COMPUTED_VALUE"""),438)</f>
        <v>438</v>
      </c>
      <c r="AF179" s="1">
        <f ca="1">IFERROR(__xludf.DUMMYFUNCTION("""COMPUTED_VALUE"""),606)</f>
        <v>606</v>
      </c>
    </row>
    <row r="180" spans="1:32" ht="12.5" x14ac:dyDescent="0.25">
      <c r="A180" s="1" t="str">
        <f ca="1">IFERROR(__xludf.DUMMYFUNCTION("""COMPUTED_VALUE"""),"ManhattanNCAA")</f>
        <v>ManhattanNCAA</v>
      </c>
      <c r="B180" s="1">
        <f ca="1">IFERROR(__xludf.DUMMYFUNCTION("""COMPUTED_VALUE"""),33)</f>
        <v>33</v>
      </c>
      <c r="C180" s="1">
        <f ca="1">IFERROR(__xludf.DUMMYFUNCTION("""COMPUTED_VALUE"""),25)</f>
        <v>25</v>
      </c>
      <c r="D180" s="1">
        <f ca="1">IFERROR(__xludf.DUMMYFUNCTION("""COMPUTED_VALUE"""),8)</f>
        <v>8</v>
      </c>
      <c r="E180" s="1">
        <f ca="1">IFERROR(__xludf.DUMMYFUNCTION("""COMPUTED_VALUE"""),0.758)</f>
        <v>0.75800000000000001</v>
      </c>
      <c r="F180" s="1">
        <f ca="1">IFERROR(__xludf.DUMMYFUNCTION("""COMPUTED_VALUE"""),6.04)</f>
        <v>6.04</v>
      </c>
      <c r="G180" s="1">
        <f ca="1">IFERROR(__xludf.DUMMYFUNCTION("""COMPUTED_VALUE"""),-0.9)</f>
        <v>-0.9</v>
      </c>
      <c r="H180" s="1">
        <f ca="1">IFERROR(__xludf.DUMMYFUNCTION("""COMPUTED_VALUE"""),15)</f>
        <v>15</v>
      </c>
      <c r="I180" s="1">
        <f ca="1">IFERROR(__xludf.DUMMYFUNCTION("""COMPUTED_VALUE"""),5)</f>
        <v>5</v>
      </c>
      <c r="J180" s="1">
        <f ca="1">IFERROR(__xludf.DUMMYFUNCTION("""COMPUTED_VALUE"""),9)</f>
        <v>9</v>
      </c>
      <c r="K180" s="1">
        <f ca="1">IFERROR(__xludf.DUMMYFUNCTION("""COMPUTED_VALUE"""),3)</f>
        <v>3</v>
      </c>
      <c r="L180" s="1">
        <f ca="1">IFERROR(__xludf.DUMMYFUNCTION("""COMPUTED_VALUE"""),12)</f>
        <v>12</v>
      </c>
      <c r="M180" s="1">
        <f ca="1">IFERROR(__xludf.DUMMYFUNCTION("""COMPUTED_VALUE"""),4)</f>
        <v>4</v>
      </c>
      <c r="N180" s="1">
        <f ca="1">IFERROR(__xludf.DUMMYFUNCTION("""COMPUTED_VALUE"""),2540)</f>
        <v>2540</v>
      </c>
      <c r="O180" s="1">
        <f ca="1">IFERROR(__xludf.DUMMYFUNCTION("""COMPUTED_VALUE"""),2311)</f>
        <v>2311</v>
      </c>
      <c r="P180" s="1">
        <f ca="1">IFERROR(__xludf.DUMMYFUNCTION("""COMPUTED_VALUE"""),1350)</f>
        <v>1350</v>
      </c>
      <c r="Q180" s="1">
        <f ca="1">IFERROR(__xludf.DUMMYFUNCTION("""COMPUTED_VALUE"""),828)</f>
        <v>828</v>
      </c>
      <c r="R180" s="1">
        <f ca="1">IFERROR(__xludf.DUMMYFUNCTION("""COMPUTED_VALUE"""),1837)</f>
        <v>1837</v>
      </c>
      <c r="S180" s="1">
        <f ca="1">IFERROR(__xludf.DUMMYFUNCTION("""COMPUTED_VALUE"""),0.451)</f>
        <v>0.45100000000000001</v>
      </c>
      <c r="T180" s="1">
        <f ca="1">IFERROR(__xludf.DUMMYFUNCTION("""COMPUTED_VALUE"""),208)</f>
        <v>208</v>
      </c>
      <c r="U180" s="1">
        <f ca="1">IFERROR(__xludf.DUMMYFUNCTION("""COMPUTED_VALUE"""),564)</f>
        <v>564</v>
      </c>
      <c r="V180" s="1">
        <f ca="1">IFERROR(__xludf.DUMMYFUNCTION("""COMPUTED_VALUE"""),0.369)</f>
        <v>0.36899999999999999</v>
      </c>
      <c r="W180" s="1">
        <f ca="1">IFERROR(__xludf.DUMMYFUNCTION("""COMPUTED_VALUE"""),676)</f>
        <v>676</v>
      </c>
      <c r="X180" s="1">
        <f ca="1">IFERROR(__xludf.DUMMYFUNCTION("""COMPUTED_VALUE"""),1019)</f>
        <v>1019</v>
      </c>
      <c r="Y180" s="1">
        <f ca="1">IFERROR(__xludf.DUMMYFUNCTION("""COMPUTED_VALUE"""),0.663)</f>
        <v>0.66300000000000003</v>
      </c>
      <c r="Z180" s="1">
        <f ca="1">IFERROR(__xludf.DUMMYFUNCTION("""COMPUTED_VALUE"""),415)</f>
        <v>415</v>
      </c>
      <c r="AA180" s="1">
        <f ca="1">IFERROR(__xludf.DUMMYFUNCTION("""COMPUTED_VALUE"""),1234)</f>
        <v>1234</v>
      </c>
      <c r="AB180" s="1">
        <f ca="1">IFERROR(__xludf.DUMMYFUNCTION("""COMPUTED_VALUE"""),433)</f>
        <v>433</v>
      </c>
      <c r="AC180" s="1">
        <f ca="1">IFERROR(__xludf.DUMMYFUNCTION("""COMPUTED_VALUE"""),273)</f>
        <v>273</v>
      </c>
      <c r="AD180" s="1">
        <f ca="1">IFERROR(__xludf.DUMMYFUNCTION("""COMPUTED_VALUE"""),200)</f>
        <v>200</v>
      </c>
      <c r="AE180" s="1">
        <f ca="1">IFERROR(__xludf.DUMMYFUNCTION("""COMPUTED_VALUE"""),468)</f>
        <v>468</v>
      </c>
      <c r="AF180" s="1">
        <f ca="1">IFERROR(__xludf.DUMMYFUNCTION("""COMPUTED_VALUE"""),799)</f>
        <v>799</v>
      </c>
    </row>
    <row r="181" spans="1:32" ht="12.5" x14ac:dyDescent="0.25">
      <c r="A181" s="1" t="str">
        <f ca="1">IFERROR(__xludf.DUMMYFUNCTION("""COMPUTED_VALUE"""),"Marist")</f>
        <v>Marist</v>
      </c>
      <c r="B181" s="1">
        <f ca="1">IFERROR(__xludf.DUMMYFUNCTION("""COMPUTED_VALUE"""),31)</f>
        <v>31</v>
      </c>
      <c r="C181" s="1">
        <f ca="1">IFERROR(__xludf.DUMMYFUNCTION("""COMPUTED_VALUE"""),12)</f>
        <v>12</v>
      </c>
      <c r="D181" s="1">
        <f ca="1">IFERROR(__xludf.DUMMYFUNCTION("""COMPUTED_VALUE"""),19)</f>
        <v>19</v>
      </c>
      <c r="E181" s="1">
        <f ca="1">IFERROR(__xludf.DUMMYFUNCTION("""COMPUTED_VALUE"""),0.387)</f>
        <v>0.38700000000000001</v>
      </c>
      <c r="F181" s="1">
        <f ca="1">IFERROR(__xludf.DUMMYFUNCTION("""COMPUTED_VALUE"""),-4.94)</f>
        <v>-4.9400000000000004</v>
      </c>
      <c r="G181" s="1">
        <f ca="1">IFERROR(__xludf.DUMMYFUNCTION("""COMPUTED_VALUE"""),-1.27)</f>
        <v>-1.27</v>
      </c>
      <c r="H181" s="1">
        <f ca="1">IFERROR(__xludf.DUMMYFUNCTION("""COMPUTED_VALUE"""),9)</f>
        <v>9</v>
      </c>
      <c r="I181" s="1">
        <f ca="1">IFERROR(__xludf.DUMMYFUNCTION("""COMPUTED_VALUE"""),11)</f>
        <v>11</v>
      </c>
      <c r="J181" s="1">
        <f ca="1">IFERROR(__xludf.DUMMYFUNCTION("""COMPUTED_VALUE"""),9)</f>
        <v>9</v>
      </c>
      <c r="K181" s="1">
        <f ca="1">IFERROR(__xludf.DUMMYFUNCTION("""COMPUTED_VALUE"""),4)</f>
        <v>4</v>
      </c>
      <c r="L181" s="1">
        <f ca="1">IFERROR(__xludf.DUMMYFUNCTION("""COMPUTED_VALUE"""),3)</f>
        <v>3</v>
      </c>
      <c r="M181" s="1">
        <f ca="1">IFERROR(__xludf.DUMMYFUNCTION("""COMPUTED_VALUE"""),11)</f>
        <v>11</v>
      </c>
      <c r="N181" s="1">
        <f ca="1">IFERROR(__xludf.DUMMYFUNCTION("""COMPUTED_VALUE"""),2119)</f>
        <v>2119</v>
      </c>
      <c r="O181" s="1">
        <f ca="1">IFERROR(__xludf.DUMMYFUNCTION("""COMPUTED_VALUE"""),2233)</f>
        <v>2233</v>
      </c>
      <c r="P181" s="1">
        <f ca="1">IFERROR(__xludf.DUMMYFUNCTION("""COMPUTED_VALUE"""),1260)</f>
        <v>1260</v>
      </c>
      <c r="Q181" s="1">
        <f ca="1">IFERROR(__xludf.DUMMYFUNCTION("""COMPUTED_VALUE"""),709)</f>
        <v>709</v>
      </c>
      <c r="R181" s="1">
        <f ca="1">IFERROR(__xludf.DUMMYFUNCTION("""COMPUTED_VALUE"""),1736)</f>
        <v>1736</v>
      </c>
      <c r="S181" s="1">
        <f ca="1">IFERROR(__xludf.DUMMYFUNCTION("""COMPUTED_VALUE"""),0.408)</f>
        <v>0.40799999999999997</v>
      </c>
      <c r="T181" s="1">
        <f ca="1">IFERROR(__xludf.DUMMYFUNCTION("""COMPUTED_VALUE"""),201)</f>
        <v>201</v>
      </c>
      <c r="U181" s="1">
        <f ca="1">IFERROR(__xludf.DUMMYFUNCTION("""COMPUTED_VALUE"""),580)</f>
        <v>580</v>
      </c>
      <c r="V181" s="1">
        <f ca="1">IFERROR(__xludf.DUMMYFUNCTION("""COMPUTED_VALUE"""),0.347)</f>
        <v>0.34699999999999998</v>
      </c>
      <c r="W181" s="1">
        <f ca="1">IFERROR(__xludf.DUMMYFUNCTION("""COMPUTED_VALUE"""),500)</f>
        <v>500</v>
      </c>
      <c r="X181" s="1">
        <f ca="1">IFERROR(__xludf.DUMMYFUNCTION("""COMPUTED_VALUE"""),700)</f>
        <v>700</v>
      </c>
      <c r="Y181" s="1">
        <f ca="1">IFERROR(__xludf.DUMMYFUNCTION("""COMPUTED_VALUE"""),0.714)</f>
        <v>0.71399999999999997</v>
      </c>
      <c r="Z181" s="1">
        <f ca="1">IFERROR(__xludf.DUMMYFUNCTION("""COMPUTED_VALUE"""),334)</f>
        <v>334</v>
      </c>
      <c r="AA181" s="1">
        <f ca="1">IFERROR(__xludf.DUMMYFUNCTION("""COMPUTED_VALUE"""),1057)</f>
        <v>1057</v>
      </c>
      <c r="AB181" s="1">
        <f ca="1">IFERROR(__xludf.DUMMYFUNCTION("""COMPUTED_VALUE"""),342)</f>
        <v>342</v>
      </c>
      <c r="AC181" s="1">
        <f ca="1">IFERROR(__xludf.DUMMYFUNCTION("""COMPUTED_VALUE"""),202)</f>
        <v>202</v>
      </c>
      <c r="AD181" s="1">
        <f ca="1">IFERROR(__xludf.DUMMYFUNCTION("""COMPUTED_VALUE"""),122)</f>
        <v>122</v>
      </c>
      <c r="AE181" s="1">
        <f ca="1">IFERROR(__xludf.DUMMYFUNCTION("""COMPUTED_VALUE"""),384)</f>
        <v>384</v>
      </c>
      <c r="AF181" s="1">
        <f ca="1">IFERROR(__xludf.DUMMYFUNCTION("""COMPUTED_VALUE"""),583)</f>
        <v>583</v>
      </c>
    </row>
    <row r="182" spans="1:32" ht="12.5" x14ac:dyDescent="0.25">
      <c r="A182" s="1" t="str">
        <f ca="1">IFERROR(__xludf.DUMMYFUNCTION("""COMPUTED_VALUE"""),"Marquette")</f>
        <v>Marquette</v>
      </c>
      <c r="B182" s="1">
        <f ca="1">IFERROR(__xludf.DUMMYFUNCTION("""COMPUTED_VALUE"""),32)</f>
        <v>32</v>
      </c>
      <c r="C182" s="1">
        <f ca="1">IFERROR(__xludf.DUMMYFUNCTION("""COMPUTED_VALUE"""),17)</f>
        <v>17</v>
      </c>
      <c r="D182" s="1">
        <f ca="1">IFERROR(__xludf.DUMMYFUNCTION("""COMPUTED_VALUE"""),15)</f>
        <v>15</v>
      </c>
      <c r="E182" s="1">
        <f ca="1">IFERROR(__xludf.DUMMYFUNCTION("""COMPUTED_VALUE"""),0.531)</f>
        <v>0.53100000000000003</v>
      </c>
      <c r="F182" s="1">
        <f ca="1">IFERROR(__xludf.DUMMYFUNCTION("""COMPUTED_VALUE"""),10.08)</f>
        <v>10.08</v>
      </c>
      <c r="G182" s="1">
        <f ca="1">IFERROR(__xludf.DUMMYFUNCTION("""COMPUTED_VALUE"""),6.61)</f>
        <v>6.61</v>
      </c>
      <c r="H182" s="1">
        <f ca="1">IFERROR(__xludf.DUMMYFUNCTION("""COMPUTED_VALUE"""),9)</f>
        <v>9</v>
      </c>
      <c r="I182" s="1">
        <f ca="1">IFERROR(__xludf.DUMMYFUNCTION("""COMPUTED_VALUE"""),9)</f>
        <v>9</v>
      </c>
      <c r="J182" s="1">
        <f ca="1">IFERROR(__xludf.DUMMYFUNCTION("""COMPUTED_VALUE"""),12)</f>
        <v>12</v>
      </c>
      <c r="K182" s="1">
        <f ca="1">IFERROR(__xludf.DUMMYFUNCTION("""COMPUTED_VALUE"""),4)</f>
        <v>4</v>
      </c>
      <c r="L182" s="1">
        <f ca="1">IFERROR(__xludf.DUMMYFUNCTION("""COMPUTED_VALUE"""),4)</f>
        <v>4</v>
      </c>
      <c r="M182" s="1">
        <f ca="1">IFERROR(__xludf.DUMMYFUNCTION("""COMPUTED_VALUE"""),8)</f>
        <v>8</v>
      </c>
      <c r="N182" s="1">
        <f ca="1">IFERROR(__xludf.DUMMYFUNCTION("""COMPUTED_VALUE"""),2310)</f>
        <v>2310</v>
      </c>
      <c r="O182" s="1">
        <f ca="1">IFERROR(__xludf.DUMMYFUNCTION("""COMPUTED_VALUE"""),2199)</f>
        <v>2199</v>
      </c>
      <c r="P182" s="1">
        <f ca="1">IFERROR(__xludf.DUMMYFUNCTION("""COMPUTED_VALUE"""),1320)</f>
        <v>1320</v>
      </c>
      <c r="Q182" s="1">
        <f ca="1">IFERROR(__xludf.DUMMYFUNCTION("""COMPUTED_VALUE"""),800)</f>
        <v>800</v>
      </c>
      <c r="R182" s="1">
        <f ca="1">IFERROR(__xludf.DUMMYFUNCTION("""COMPUTED_VALUE"""),1800)</f>
        <v>1800</v>
      </c>
      <c r="S182" s="1">
        <f ca="1">IFERROR(__xludf.DUMMYFUNCTION("""COMPUTED_VALUE"""),0.444)</f>
        <v>0.44400000000000001</v>
      </c>
      <c r="T182" s="1">
        <f ca="1">IFERROR(__xludf.DUMMYFUNCTION("""COMPUTED_VALUE"""),154)</f>
        <v>154</v>
      </c>
      <c r="U182" s="1">
        <f ca="1">IFERROR(__xludf.DUMMYFUNCTION("""COMPUTED_VALUE"""),480)</f>
        <v>480</v>
      </c>
      <c r="V182" s="1">
        <f ca="1">IFERROR(__xludf.DUMMYFUNCTION("""COMPUTED_VALUE"""),0.321)</f>
        <v>0.32100000000000001</v>
      </c>
      <c r="W182" s="1">
        <f ca="1">IFERROR(__xludf.DUMMYFUNCTION("""COMPUTED_VALUE"""),556)</f>
        <v>556</v>
      </c>
      <c r="X182" s="1">
        <f ca="1">IFERROR(__xludf.DUMMYFUNCTION("""COMPUTED_VALUE"""),806)</f>
        <v>806</v>
      </c>
      <c r="Y182" s="1">
        <f ca="1">IFERROR(__xludf.DUMMYFUNCTION("""COMPUTED_VALUE"""),0.69)</f>
        <v>0.69</v>
      </c>
      <c r="Z182" s="1">
        <f ca="1">IFERROR(__xludf.DUMMYFUNCTION("""COMPUTED_VALUE"""),379)</f>
        <v>379</v>
      </c>
      <c r="AA182" s="1">
        <f ca="1">IFERROR(__xludf.DUMMYFUNCTION("""COMPUTED_VALUE"""),1167)</f>
        <v>1167</v>
      </c>
      <c r="AB182" s="1">
        <f ca="1">IFERROR(__xludf.DUMMYFUNCTION("""COMPUTED_VALUE"""),474)</f>
        <v>474</v>
      </c>
      <c r="AC182" s="1">
        <f ca="1">IFERROR(__xludf.DUMMYFUNCTION("""COMPUTED_VALUE"""),202)</f>
        <v>202</v>
      </c>
      <c r="AD182" s="1">
        <f ca="1">IFERROR(__xludf.DUMMYFUNCTION("""COMPUTED_VALUE"""),100)</f>
        <v>100</v>
      </c>
      <c r="AE182" s="1">
        <f ca="1">IFERROR(__xludf.DUMMYFUNCTION("""COMPUTED_VALUE"""),383)</f>
        <v>383</v>
      </c>
      <c r="AF182" s="1">
        <f ca="1">IFERROR(__xludf.DUMMYFUNCTION("""COMPUTED_VALUE"""),631)</f>
        <v>631</v>
      </c>
    </row>
    <row r="183" spans="1:32" ht="12.5" x14ac:dyDescent="0.25">
      <c r="A183" s="1" t="str">
        <f ca="1">IFERROR(__xludf.DUMMYFUNCTION("""COMPUTED_VALUE"""),"Marshall")</f>
        <v>Marshall</v>
      </c>
      <c r="B183" s="1">
        <f ca="1">IFERROR(__xludf.DUMMYFUNCTION("""COMPUTED_VALUE"""),33)</f>
        <v>33</v>
      </c>
      <c r="C183" s="1">
        <f ca="1">IFERROR(__xludf.DUMMYFUNCTION("""COMPUTED_VALUE"""),11)</f>
        <v>11</v>
      </c>
      <c r="D183" s="1">
        <f ca="1">IFERROR(__xludf.DUMMYFUNCTION("""COMPUTED_VALUE"""),22)</f>
        <v>22</v>
      </c>
      <c r="E183" s="1">
        <f ca="1">IFERROR(__xludf.DUMMYFUNCTION("""COMPUTED_VALUE"""),0.333)</f>
        <v>0.33300000000000002</v>
      </c>
      <c r="F183" s="1">
        <f ca="1">IFERROR(__xludf.DUMMYFUNCTION("""COMPUTED_VALUE"""),-4.42)</f>
        <v>-4.42</v>
      </c>
      <c r="G183" s="1">
        <f ca="1">IFERROR(__xludf.DUMMYFUNCTION("""COMPUTED_VALUE"""),-1.32)</f>
        <v>-1.32</v>
      </c>
      <c r="H183" s="1">
        <f ca="1">IFERROR(__xludf.DUMMYFUNCTION("""COMPUTED_VALUE"""),4)</f>
        <v>4</v>
      </c>
      <c r="I183" s="1">
        <f ca="1">IFERROR(__xludf.DUMMYFUNCTION("""COMPUTED_VALUE"""),12)</f>
        <v>12</v>
      </c>
      <c r="J183" s="1">
        <f ca="1">IFERROR(__xludf.DUMMYFUNCTION("""COMPUTED_VALUE"""),8)</f>
        <v>8</v>
      </c>
      <c r="K183" s="1">
        <f ca="1">IFERROR(__xludf.DUMMYFUNCTION("""COMPUTED_VALUE"""),8)</f>
        <v>8</v>
      </c>
      <c r="L183" s="1">
        <f ca="1">IFERROR(__xludf.DUMMYFUNCTION("""COMPUTED_VALUE"""),2)</f>
        <v>2</v>
      </c>
      <c r="M183" s="1">
        <f ca="1">IFERROR(__xludf.DUMMYFUNCTION("""COMPUTED_VALUE"""),12)</f>
        <v>12</v>
      </c>
      <c r="N183" s="1">
        <f ca="1">IFERROR(__xludf.DUMMYFUNCTION("""COMPUTED_VALUE"""),2385)</f>
        <v>2385</v>
      </c>
      <c r="O183" s="1">
        <f ca="1">IFERROR(__xludf.DUMMYFUNCTION("""COMPUTED_VALUE"""),2375)</f>
        <v>2375</v>
      </c>
      <c r="P183" s="1">
        <f ca="1">IFERROR(__xludf.DUMMYFUNCTION("""COMPUTED_VALUE"""),1330)</f>
        <v>1330</v>
      </c>
      <c r="Q183" s="1">
        <f ca="1">IFERROR(__xludf.DUMMYFUNCTION("""COMPUTED_VALUE"""),837)</f>
        <v>837</v>
      </c>
      <c r="R183" s="1">
        <f ca="1">IFERROR(__xludf.DUMMYFUNCTION("""COMPUTED_VALUE"""),1938)</f>
        <v>1938</v>
      </c>
      <c r="S183" s="1">
        <f ca="1">IFERROR(__xludf.DUMMYFUNCTION("""COMPUTED_VALUE"""),0.432)</f>
        <v>0.432</v>
      </c>
      <c r="T183" s="1">
        <f ca="1">IFERROR(__xludf.DUMMYFUNCTION("""COMPUTED_VALUE"""),202)</f>
        <v>202</v>
      </c>
      <c r="U183" s="1">
        <f ca="1">IFERROR(__xludf.DUMMYFUNCTION("""COMPUTED_VALUE"""),655)</f>
        <v>655</v>
      </c>
      <c r="V183" s="1">
        <f ca="1">IFERROR(__xludf.DUMMYFUNCTION("""COMPUTED_VALUE"""),0.308)</f>
        <v>0.308</v>
      </c>
      <c r="W183" s="1">
        <f ca="1">IFERROR(__xludf.DUMMYFUNCTION("""COMPUTED_VALUE"""),509)</f>
        <v>509</v>
      </c>
      <c r="X183" s="1">
        <f ca="1">IFERROR(__xludf.DUMMYFUNCTION("""COMPUTED_VALUE"""),818)</f>
        <v>818</v>
      </c>
      <c r="Y183" s="1">
        <f ca="1">IFERROR(__xludf.DUMMYFUNCTION("""COMPUTED_VALUE"""),0.622)</f>
        <v>0.622</v>
      </c>
      <c r="Z183" s="1">
        <f ca="1">IFERROR(__xludf.DUMMYFUNCTION("""COMPUTED_VALUE"""),423)</f>
        <v>423</v>
      </c>
      <c r="AA183" s="1">
        <f ca="1">IFERROR(__xludf.DUMMYFUNCTION("""COMPUTED_VALUE"""),1222)</f>
        <v>1222</v>
      </c>
      <c r="AB183" s="1">
        <f ca="1">IFERROR(__xludf.DUMMYFUNCTION("""COMPUTED_VALUE"""),397)</f>
        <v>397</v>
      </c>
      <c r="AC183" s="1">
        <f ca="1">IFERROR(__xludf.DUMMYFUNCTION("""COMPUTED_VALUE"""),211)</f>
        <v>211</v>
      </c>
      <c r="AD183" s="1">
        <f ca="1">IFERROR(__xludf.DUMMYFUNCTION("""COMPUTED_VALUE"""),124)</f>
        <v>124</v>
      </c>
      <c r="AE183" s="1">
        <f ca="1">IFERROR(__xludf.DUMMYFUNCTION("""COMPUTED_VALUE"""),426)</f>
        <v>426</v>
      </c>
      <c r="AF183" s="1">
        <f ca="1">IFERROR(__xludf.DUMMYFUNCTION("""COMPUTED_VALUE"""),658)</f>
        <v>658</v>
      </c>
    </row>
    <row r="184" spans="1:32" ht="12.5" x14ac:dyDescent="0.25">
      <c r="A184" s="1" t="str">
        <f ca="1">IFERROR(__xludf.DUMMYFUNCTION("""COMPUTED_VALUE"""),"Maryland-Baltimore County")</f>
        <v>Maryland-Baltimore County</v>
      </c>
      <c r="B184" s="1">
        <f ca="1">IFERROR(__xludf.DUMMYFUNCTION("""COMPUTED_VALUE"""),30)</f>
        <v>30</v>
      </c>
      <c r="C184" s="1">
        <f ca="1">IFERROR(__xludf.DUMMYFUNCTION("""COMPUTED_VALUE"""),9)</f>
        <v>9</v>
      </c>
      <c r="D184" s="1">
        <f ca="1">IFERROR(__xludf.DUMMYFUNCTION("""COMPUTED_VALUE"""),21)</f>
        <v>21</v>
      </c>
      <c r="E184" s="1">
        <f ca="1">IFERROR(__xludf.DUMMYFUNCTION("""COMPUTED_VALUE"""),0.3)</f>
        <v>0.3</v>
      </c>
      <c r="F184" s="1">
        <f ca="1">IFERROR(__xludf.DUMMYFUNCTION("""COMPUTED_VALUE"""),-14.21)</f>
        <v>-14.21</v>
      </c>
      <c r="G184" s="1">
        <f ca="1">IFERROR(__xludf.DUMMYFUNCTION("""COMPUTED_VALUE"""),-6.55)</f>
        <v>-6.55</v>
      </c>
      <c r="H184" s="1">
        <f ca="1">IFERROR(__xludf.DUMMYFUNCTION("""COMPUTED_VALUE"""),5)</f>
        <v>5</v>
      </c>
      <c r="I184" s="1">
        <f ca="1">IFERROR(__xludf.DUMMYFUNCTION("""COMPUTED_VALUE"""),11)</f>
        <v>11</v>
      </c>
      <c r="J184" s="1">
        <f ca="1">IFERROR(__xludf.DUMMYFUNCTION("""COMPUTED_VALUE"""),8)</f>
        <v>8</v>
      </c>
      <c r="K184" s="1">
        <f ca="1">IFERROR(__xludf.DUMMYFUNCTION("""COMPUTED_VALUE"""),5)</f>
        <v>5</v>
      </c>
      <c r="L184" s="1">
        <f ca="1">IFERROR(__xludf.DUMMYFUNCTION("""COMPUTED_VALUE"""),1)</f>
        <v>1</v>
      </c>
      <c r="M184" s="1">
        <f ca="1">IFERROR(__xludf.DUMMYFUNCTION("""COMPUTED_VALUE"""),16)</f>
        <v>16</v>
      </c>
      <c r="N184" s="1">
        <f ca="1">IFERROR(__xludf.DUMMYFUNCTION("""COMPUTED_VALUE"""),1968)</f>
        <v>1968</v>
      </c>
      <c r="O184" s="1">
        <f ca="1">IFERROR(__xludf.DUMMYFUNCTION("""COMPUTED_VALUE"""),2185)</f>
        <v>2185</v>
      </c>
      <c r="P184" s="1">
        <f ca="1">IFERROR(__xludf.DUMMYFUNCTION("""COMPUTED_VALUE"""),1230)</f>
        <v>1230</v>
      </c>
      <c r="Q184" s="1">
        <f ca="1">IFERROR(__xludf.DUMMYFUNCTION("""COMPUTED_VALUE"""),669)</f>
        <v>669</v>
      </c>
      <c r="R184" s="1">
        <f ca="1">IFERROR(__xludf.DUMMYFUNCTION("""COMPUTED_VALUE"""),1667)</f>
        <v>1667</v>
      </c>
      <c r="S184" s="1">
        <f ca="1">IFERROR(__xludf.DUMMYFUNCTION("""COMPUTED_VALUE"""),0.401)</f>
        <v>0.40100000000000002</v>
      </c>
      <c r="T184" s="1">
        <f ca="1">IFERROR(__xludf.DUMMYFUNCTION("""COMPUTED_VALUE"""),173)</f>
        <v>173</v>
      </c>
      <c r="U184" s="1">
        <f ca="1">IFERROR(__xludf.DUMMYFUNCTION("""COMPUTED_VALUE"""),570)</f>
        <v>570</v>
      </c>
      <c r="V184" s="1">
        <f ca="1">IFERROR(__xludf.DUMMYFUNCTION("""COMPUTED_VALUE"""),0.304)</f>
        <v>0.30399999999999999</v>
      </c>
      <c r="W184" s="1">
        <f ca="1">IFERROR(__xludf.DUMMYFUNCTION("""COMPUTED_VALUE"""),457)</f>
        <v>457</v>
      </c>
      <c r="X184" s="1">
        <f ca="1">IFERROR(__xludf.DUMMYFUNCTION("""COMPUTED_VALUE"""),698)</f>
        <v>698</v>
      </c>
      <c r="Y184" s="1">
        <f ca="1">IFERROR(__xludf.DUMMYFUNCTION("""COMPUTED_VALUE"""),0.655)</f>
        <v>0.65500000000000003</v>
      </c>
      <c r="Z184" s="1">
        <f ca="1">IFERROR(__xludf.DUMMYFUNCTION("""COMPUTED_VALUE"""),342)</f>
        <v>342</v>
      </c>
      <c r="AA184" s="1">
        <f ca="1">IFERROR(__xludf.DUMMYFUNCTION("""COMPUTED_VALUE"""),1017)</f>
        <v>1017</v>
      </c>
      <c r="AB184" s="1">
        <f ca="1">IFERROR(__xludf.DUMMYFUNCTION("""COMPUTED_VALUE"""),355)</f>
        <v>355</v>
      </c>
      <c r="AC184" s="1">
        <f ca="1">IFERROR(__xludf.DUMMYFUNCTION("""COMPUTED_VALUE"""),240)</f>
        <v>240</v>
      </c>
      <c r="AD184" s="1">
        <f ca="1">IFERROR(__xludf.DUMMYFUNCTION("""COMPUTED_VALUE"""),84)</f>
        <v>84</v>
      </c>
      <c r="AE184" s="1">
        <f ca="1">IFERROR(__xludf.DUMMYFUNCTION("""COMPUTED_VALUE"""),450)</f>
        <v>450</v>
      </c>
      <c r="AF184" s="1">
        <f ca="1">IFERROR(__xludf.DUMMYFUNCTION("""COMPUTED_VALUE"""),702)</f>
        <v>702</v>
      </c>
    </row>
    <row r="185" spans="1:32" ht="12.5" x14ac:dyDescent="0.25">
      <c r="A185" s="1" t="str">
        <f ca="1">IFERROR(__xludf.DUMMYFUNCTION("""COMPUTED_VALUE"""),"Maryland-Eastern Shore")</f>
        <v>Maryland-Eastern Shore</v>
      </c>
      <c r="B185" s="1">
        <f ca="1">IFERROR(__xludf.DUMMYFUNCTION("""COMPUTED_VALUE"""),30)</f>
        <v>30</v>
      </c>
      <c r="C185" s="1">
        <f ca="1">IFERROR(__xludf.DUMMYFUNCTION("""COMPUTED_VALUE"""),6)</f>
        <v>6</v>
      </c>
      <c r="D185" s="1">
        <f ca="1">IFERROR(__xludf.DUMMYFUNCTION("""COMPUTED_VALUE"""),24)</f>
        <v>24</v>
      </c>
      <c r="E185" s="1">
        <f ca="1">IFERROR(__xludf.DUMMYFUNCTION("""COMPUTED_VALUE"""),0.2)</f>
        <v>0.2</v>
      </c>
      <c r="F185" s="1">
        <f ca="1">IFERROR(__xludf.DUMMYFUNCTION("""COMPUTED_VALUE"""),-17.03)</f>
        <v>-17.03</v>
      </c>
      <c r="G185" s="1">
        <f ca="1">IFERROR(__xludf.DUMMYFUNCTION("""COMPUTED_VALUE"""),-6.61)</f>
        <v>-6.61</v>
      </c>
      <c r="H185" s="1">
        <f ca="1">IFERROR(__xludf.DUMMYFUNCTION("""COMPUTED_VALUE"""),4)</f>
        <v>4</v>
      </c>
      <c r="I185" s="1">
        <f ca="1">IFERROR(__xludf.DUMMYFUNCTION("""COMPUTED_VALUE"""),12)</f>
        <v>12</v>
      </c>
      <c r="J185" s="1">
        <f ca="1">IFERROR(__xludf.DUMMYFUNCTION("""COMPUTED_VALUE"""),5)</f>
        <v>5</v>
      </c>
      <c r="K185" s="1">
        <f ca="1">IFERROR(__xludf.DUMMYFUNCTION("""COMPUTED_VALUE"""),8)</f>
        <v>8</v>
      </c>
      <c r="L185" s="1">
        <f ca="1">IFERROR(__xludf.DUMMYFUNCTION("""COMPUTED_VALUE"""),1)</f>
        <v>1</v>
      </c>
      <c r="M185" s="1">
        <f ca="1">IFERROR(__xludf.DUMMYFUNCTION("""COMPUTED_VALUE"""),15)</f>
        <v>15</v>
      </c>
      <c r="N185" s="1">
        <f ca="1">IFERROR(__xludf.DUMMYFUNCTION("""COMPUTED_VALUE"""),1996)</f>
        <v>1996</v>
      </c>
      <c r="O185" s="1">
        <f ca="1">IFERROR(__xludf.DUMMYFUNCTION("""COMPUTED_VALUE"""),2251)</f>
        <v>2251</v>
      </c>
      <c r="P185" s="1">
        <f ca="1">IFERROR(__xludf.DUMMYFUNCTION("""COMPUTED_VALUE"""),1199)</f>
        <v>1199</v>
      </c>
      <c r="Q185" s="1">
        <f ca="1">IFERROR(__xludf.DUMMYFUNCTION("""COMPUTED_VALUE"""),656)</f>
        <v>656</v>
      </c>
      <c r="R185" s="1">
        <f ca="1">IFERROR(__xludf.DUMMYFUNCTION("""COMPUTED_VALUE"""),1637)</f>
        <v>1637</v>
      </c>
      <c r="S185" s="1">
        <f ca="1">IFERROR(__xludf.DUMMYFUNCTION("""COMPUTED_VALUE"""),0.401)</f>
        <v>0.40100000000000002</v>
      </c>
      <c r="T185" s="1">
        <f ca="1">IFERROR(__xludf.DUMMYFUNCTION("""COMPUTED_VALUE"""),180)</f>
        <v>180</v>
      </c>
      <c r="U185" s="1">
        <f ca="1">IFERROR(__xludf.DUMMYFUNCTION("""COMPUTED_VALUE"""),558)</f>
        <v>558</v>
      </c>
      <c r="V185" s="1">
        <f ca="1">IFERROR(__xludf.DUMMYFUNCTION("""COMPUTED_VALUE"""),0.323)</f>
        <v>0.32300000000000001</v>
      </c>
      <c r="W185" s="1">
        <f ca="1">IFERROR(__xludf.DUMMYFUNCTION("""COMPUTED_VALUE"""),504)</f>
        <v>504</v>
      </c>
      <c r="X185" s="1">
        <f ca="1">IFERROR(__xludf.DUMMYFUNCTION("""COMPUTED_VALUE"""),699)</f>
        <v>699</v>
      </c>
      <c r="Y185" s="1">
        <f ca="1">IFERROR(__xludf.DUMMYFUNCTION("""COMPUTED_VALUE"""),0.721)</f>
        <v>0.72099999999999997</v>
      </c>
      <c r="Z185" s="1">
        <f ca="1">IFERROR(__xludf.DUMMYFUNCTION("""COMPUTED_VALUE"""),339)</f>
        <v>339</v>
      </c>
      <c r="AA185" s="1">
        <f ca="1">IFERROR(__xludf.DUMMYFUNCTION("""COMPUTED_VALUE"""),979)</f>
        <v>979</v>
      </c>
      <c r="AB185" s="1">
        <f ca="1">IFERROR(__xludf.DUMMYFUNCTION("""COMPUTED_VALUE"""),339)</f>
        <v>339</v>
      </c>
      <c r="AC185" s="1">
        <f ca="1">IFERROR(__xludf.DUMMYFUNCTION("""COMPUTED_VALUE"""),196)</f>
        <v>196</v>
      </c>
      <c r="AD185" s="1">
        <f ca="1">IFERROR(__xludf.DUMMYFUNCTION("""COMPUTED_VALUE"""),62)</f>
        <v>62</v>
      </c>
      <c r="AE185" s="1">
        <f ca="1">IFERROR(__xludf.DUMMYFUNCTION("""COMPUTED_VALUE"""),368)</f>
        <v>368</v>
      </c>
      <c r="AF185" s="1">
        <f ca="1">IFERROR(__xludf.DUMMYFUNCTION("""COMPUTED_VALUE"""),584)</f>
        <v>584</v>
      </c>
    </row>
    <row r="186" spans="1:32" ht="12.5" x14ac:dyDescent="0.25">
      <c r="A186" s="1" t="str">
        <f ca="1">IFERROR(__xludf.DUMMYFUNCTION("""COMPUTED_VALUE"""),"Maryland")</f>
        <v>Maryland</v>
      </c>
      <c r="B186" s="1">
        <f ca="1">IFERROR(__xludf.DUMMYFUNCTION("""COMPUTED_VALUE"""),32)</f>
        <v>32</v>
      </c>
      <c r="C186" s="1">
        <f ca="1">IFERROR(__xludf.DUMMYFUNCTION("""COMPUTED_VALUE"""),17)</f>
        <v>17</v>
      </c>
      <c r="D186" s="1">
        <f ca="1">IFERROR(__xludf.DUMMYFUNCTION("""COMPUTED_VALUE"""),15)</f>
        <v>15</v>
      </c>
      <c r="E186" s="1">
        <f ca="1">IFERROR(__xludf.DUMMYFUNCTION("""COMPUTED_VALUE"""),0.531)</f>
        <v>0.53100000000000003</v>
      </c>
      <c r="F186" s="1">
        <f ca="1">IFERROR(__xludf.DUMMYFUNCTION("""COMPUTED_VALUE"""),11.33)</f>
        <v>11.33</v>
      </c>
      <c r="G186" s="1">
        <f ca="1">IFERROR(__xludf.DUMMYFUNCTION("""COMPUTED_VALUE"""),8.08)</f>
        <v>8.08</v>
      </c>
      <c r="H186" s="1">
        <f ca="1">IFERROR(__xludf.DUMMYFUNCTION("""COMPUTED_VALUE"""),9)</f>
        <v>9</v>
      </c>
      <c r="I186" s="1">
        <f ca="1">IFERROR(__xludf.DUMMYFUNCTION("""COMPUTED_VALUE"""),9)</f>
        <v>9</v>
      </c>
      <c r="J186" s="1">
        <f ca="1">IFERROR(__xludf.DUMMYFUNCTION("""COMPUTED_VALUE"""),12)</f>
        <v>12</v>
      </c>
      <c r="K186" s="1">
        <f ca="1">IFERROR(__xludf.DUMMYFUNCTION("""COMPUTED_VALUE"""),4)</f>
        <v>4</v>
      </c>
      <c r="L186" s="1">
        <f ca="1">IFERROR(__xludf.DUMMYFUNCTION("""COMPUTED_VALUE"""),2)</f>
        <v>2</v>
      </c>
      <c r="M186" s="1">
        <f ca="1">IFERROR(__xludf.DUMMYFUNCTION("""COMPUTED_VALUE"""),8)</f>
        <v>8</v>
      </c>
      <c r="N186" s="1">
        <f ca="1">IFERROR(__xludf.DUMMYFUNCTION("""COMPUTED_VALUE"""),2270)</f>
        <v>2270</v>
      </c>
      <c r="O186" s="1">
        <f ca="1">IFERROR(__xludf.DUMMYFUNCTION("""COMPUTED_VALUE"""),2166)</f>
        <v>2166</v>
      </c>
      <c r="P186" s="1">
        <f ca="1">IFERROR(__xludf.DUMMYFUNCTION("""COMPUTED_VALUE"""),1295)</f>
        <v>1295</v>
      </c>
      <c r="Q186" s="1">
        <f ca="1">IFERROR(__xludf.DUMMYFUNCTION("""COMPUTED_VALUE"""),792)</f>
        <v>792</v>
      </c>
      <c r="R186" s="1">
        <f ca="1">IFERROR(__xludf.DUMMYFUNCTION("""COMPUTED_VALUE"""),1844)</f>
        <v>1844</v>
      </c>
      <c r="S186" s="1">
        <f ca="1">IFERROR(__xludf.DUMMYFUNCTION("""COMPUTED_VALUE"""),0.43)</f>
        <v>0.43</v>
      </c>
      <c r="T186" s="1">
        <f ca="1">IFERROR(__xludf.DUMMYFUNCTION("""COMPUTED_VALUE"""),226)</f>
        <v>226</v>
      </c>
      <c r="U186" s="1">
        <f ca="1">IFERROR(__xludf.DUMMYFUNCTION("""COMPUTED_VALUE"""),660)</f>
        <v>660</v>
      </c>
      <c r="V186" s="1">
        <f ca="1">IFERROR(__xludf.DUMMYFUNCTION("""COMPUTED_VALUE"""),0.342)</f>
        <v>0.34200000000000003</v>
      </c>
      <c r="W186" s="1">
        <f ca="1">IFERROR(__xludf.DUMMYFUNCTION("""COMPUTED_VALUE"""),460)</f>
        <v>460</v>
      </c>
      <c r="X186" s="1">
        <f ca="1">IFERROR(__xludf.DUMMYFUNCTION("""COMPUTED_VALUE"""),677)</f>
        <v>677</v>
      </c>
      <c r="Y186" s="1">
        <f ca="1">IFERROR(__xludf.DUMMYFUNCTION("""COMPUTED_VALUE"""),0.679)</f>
        <v>0.67900000000000005</v>
      </c>
      <c r="Z186" s="1">
        <f ca="1">IFERROR(__xludf.DUMMYFUNCTION("""COMPUTED_VALUE"""),384)</f>
        <v>384</v>
      </c>
      <c r="AA186" s="1">
        <f ca="1">IFERROR(__xludf.DUMMYFUNCTION("""COMPUTED_VALUE"""),1200)</f>
        <v>1200</v>
      </c>
      <c r="AB186" s="1">
        <f ca="1">IFERROR(__xludf.DUMMYFUNCTION("""COMPUTED_VALUE"""),374)</f>
        <v>374</v>
      </c>
      <c r="AC186" s="1">
        <f ca="1">IFERROR(__xludf.DUMMYFUNCTION("""COMPUTED_VALUE"""),202)</f>
        <v>202</v>
      </c>
      <c r="AD186" s="1">
        <f ca="1">IFERROR(__xludf.DUMMYFUNCTION("""COMPUTED_VALUE"""),139)</f>
        <v>139</v>
      </c>
      <c r="AE186" s="1">
        <f ca="1">IFERROR(__xludf.DUMMYFUNCTION("""COMPUTED_VALUE"""),408)</f>
        <v>408</v>
      </c>
      <c r="AF186" s="1">
        <f ca="1">IFERROR(__xludf.DUMMYFUNCTION("""COMPUTED_VALUE"""),634)</f>
        <v>634</v>
      </c>
    </row>
    <row r="187" spans="1:32" ht="12.5" x14ac:dyDescent="0.25">
      <c r="A187" s="1" t="str">
        <f ca="1">IFERROR(__xludf.DUMMYFUNCTION("""COMPUTED_VALUE"""),"Massachusetts-Lowell")</f>
        <v>Massachusetts-Lowell</v>
      </c>
      <c r="B187" s="1">
        <f ca="1">IFERROR(__xludf.DUMMYFUNCTION("""COMPUTED_VALUE"""),28)</f>
        <v>28</v>
      </c>
      <c r="C187" s="1">
        <f ca="1">IFERROR(__xludf.DUMMYFUNCTION("""COMPUTED_VALUE"""),10)</f>
        <v>10</v>
      </c>
      <c r="D187" s="1">
        <f ca="1">IFERROR(__xludf.DUMMYFUNCTION("""COMPUTED_VALUE"""),18)</f>
        <v>18</v>
      </c>
      <c r="E187" s="1">
        <f ca="1">IFERROR(__xludf.DUMMYFUNCTION("""COMPUTED_VALUE"""),0.357)</f>
        <v>0.35699999999999998</v>
      </c>
      <c r="F187" s="1">
        <f ca="1">IFERROR(__xludf.DUMMYFUNCTION("""COMPUTED_VALUE"""),-13.71)</f>
        <v>-13.71</v>
      </c>
      <c r="G187" s="1">
        <f ca="1">IFERROR(__xludf.DUMMYFUNCTION("""COMPUTED_VALUE"""),-4.53)</f>
        <v>-4.53</v>
      </c>
      <c r="H187" s="1">
        <f ca="1">IFERROR(__xludf.DUMMYFUNCTION("""COMPUTED_VALUE"""),8)</f>
        <v>8</v>
      </c>
      <c r="I187" s="1">
        <f ca="1">IFERROR(__xludf.DUMMYFUNCTION("""COMPUTED_VALUE"""),8)</f>
        <v>8</v>
      </c>
      <c r="J187" s="1">
        <f ca="1">IFERROR(__xludf.DUMMYFUNCTION("""COMPUTED_VALUE"""),6)</f>
        <v>6</v>
      </c>
      <c r="K187" s="1">
        <f ca="1">IFERROR(__xludf.DUMMYFUNCTION("""COMPUTED_VALUE"""),6)</f>
        <v>6</v>
      </c>
      <c r="L187" s="1">
        <f ca="1">IFERROR(__xludf.DUMMYFUNCTION("""COMPUTED_VALUE"""),4)</f>
        <v>4</v>
      </c>
      <c r="M187" s="1">
        <f ca="1">IFERROR(__xludf.DUMMYFUNCTION("""COMPUTED_VALUE"""),12)</f>
        <v>12</v>
      </c>
      <c r="N187" s="1">
        <f ca="1">IFERROR(__xludf.DUMMYFUNCTION("""COMPUTED_VALUE"""),1718)</f>
        <v>1718</v>
      </c>
      <c r="O187" s="1">
        <f ca="1">IFERROR(__xludf.DUMMYFUNCTION("""COMPUTED_VALUE"""),1938)</f>
        <v>1938</v>
      </c>
      <c r="P187" s="1">
        <f ca="1">IFERROR(__xludf.DUMMYFUNCTION("""COMPUTED_VALUE"""),1125)</f>
        <v>1125</v>
      </c>
      <c r="Q187" s="1">
        <f ca="1">IFERROR(__xludf.DUMMYFUNCTION("""COMPUTED_VALUE"""),570)</f>
        <v>570</v>
      </c>
      <c r="R187" s="1">
        <f ca="1">IFERROR(__xludf.DUMMYFUNCTION("""COMPUTED_VALUE"""),1447)</f>
        <v>1447</v>
      </c>
      <c r="S187" s="1">
        <f ca="1">IFERROR(__xludf.DUMMYFUNCTION("""COMPUTED_VALUE"""),0.394)</f>
        <v>0.39400000000000002</v>
      </c>
      <c r="T187" s="1">
        <f ca="1">IFERROR(__xludf.DUMMYFUNCTION("""COMPUTED_VALUE"""),192)</f>
        <v>192</v>
      </c>
      <c r="U187" s="1">
        <f ca="1">IFERROR(__xludf.DUMMYFUNCTION("""COMPUTED_VALUE"""),588)</f>
        <v>588</v>
      </c>
      <c r="V187" s="1">
        <f ca="1">IFERROR(__xludf.DUMMYFUNCTION("""COMPUTED_VALUE"""),0.327)</f>
        <v>0.32700000000000001</v>
      </c>
      <c r="W187" s="1">
        <f ca="1">IFERROR(__xludf.DUMMYFUNCTION("""COMPUTED_VALUE"""),386)</f>
        <v>386</v>
      </c>
      <c r="X187" s="1">
        <f ca="1">IFERROR(__xludf.DUMMYFUNCTION("""COMPUTED_VALUE"""),548)</f>
        <v>548</v>
      </c>
      <c r="Y187" s="1">
        <f ca="1">IFERROR(__xludf.DUMMYFUNCTION("""COMPUTED_VALUE"""),0.704)</f>
        <v>0.70399999999999996</v>
      </c>
      <c r="Z187" s="1">
        <f ca="1">IFERROR(__xludf.DUMMYFUNCTION("""COMPUTED_VALUE"""),268)</f>
        <v>268</v>
      </c>
      <c r="AA187" s="1">
        <f ca="1">IFERROR(__xludf.DUMMYFUNCTION("""COMPUTED_VALUE"""),880)</f>
        <v>880</v>
      </c>
      <c r="AB187" s="1">
        <f ca="1">IFERROR(__xludf.DUMMYFUNCTION("""COMPUTED_VALUE"""),335)</f>
        <v>335</v>
      </c>
      <c r="AC187" s="1">
        <f ca="1">IFERROR(__xludf.DUMMYFUNCTION("""COMPUTED_VALUE"""),166)</f>
        <v>166</v>
      </c>
      <c r="AD187" s="1">
        <f ca="1">IFERROR(__xludf.DUMMYFUNCTION("""COMPUTED_VALUE"""),73)</f>
        <v>73</v>
      </c>
      <c r="AE187" s="1">
        <f ca="1">IFERROR(__xludf.DUMMYFUNCTION("""COMPUTED_VALUE"""),378)</f>
        <v>378</v>
      </c>
      <c r="AF187" s="1">
        <f ca="1">IFERROR(__xludf.DUMMYFUNCTION("""COMPUTED_VALUE"""),517)</f>
        <v>517</v>
      </c>
    </row>
    <row r="188" spans="1:32" ht="12.5" x14ac:dyDescent="0.25">
      <c r="A188" s="1" t="str">
        <f ca="1">IFERROR(__xludf.DUMMYFUNCTION("""COMPUTED_VALUE"""),"MassachusettsNCAA")</f>
        <v>MassachusettsNCAA</v>
      </c>
      <c r="B188" s="1">
        <f ca="1">IFERROR(__xludf.DUMMYFUNCTION("""COMPUTED_VALUE"""),33)</f>
        <v>33</v>
      </c>
      <c r="C188" s="1">
        <f ca="1">IFERROR(__xludf.DUMMYFUNCTION("""COMPUTED_VALUE"""),24)</f>
        <v>24</v>
      </c>
      <c r="D188" s="1">
        <f ca="1">IFERROR(__xludf.DUMMYFUNCTION("""COMPUTED_VALUE"""),9)</f>
        <v>9</v>
      </c>
      <c r="E188" s="1">
        <f ca="1">IFERROR(__xludf.DUMMYFUNCTION("""COMPUTED_VALUE"""),0.727)</f>
        <v>0.72699999999999998</v>
      </c>
      <c r="F188" s="1">
        <f ca="1">IFERROR(__xludf.DUMMYFUNCTION("""COMPUTED_VALUE"""),10.61)</f>
        <v>10.61</v>
      </c>
      <c r="G188" s="1">
        <f ca="1">IFERROR(__xludf.DUMMYFUNCTION("""COMPUTED_VALUE"""),6)</f>
        <v>6</v>
      </c>
      <c r="H188" s="1">
        <f ca="1">IFERROR(__xludf.DUMMYFUNCTION("""COMPUTED_VALUE"""),10)</f>
        <v>10</v>
      </c>
      <c r="I188" s="1">
        <f ca="1">IFERROR(__xludf.DUMMYFUNCTION("""COMPUTED_VALUE"""),6)</f>
        <v>6</v>
      </c>
      <c r="J188" s="1">
        <f ca="1">IFERROR(__xludf.DUMMYFUNCTION("""COMPUTED_VALUE"""),11)</f>
        <v>11</v>
      </c>
      <c r="K188" s="1">
        <f ca="1">IFERROR(__xludf.DUMMYFUNCTION("""COMPUTED_VALUE"""),2)</f>
        <v>2</v>
      </c>
      <c r="L188" s="1">
        <f ca="1">IFERROR(__xludf.DUMMYFUNCTION("""COMPUTED_VALUE"""),7)</f>
        <v>7</v>
      </c>
      <c r="M188" s="1">
        <f ca="1">IFERROR(__xludf.DUMMYFUNCTION("""COMPUTED_VALUE"""),4)</f>
        <v>4</v>
      </c>
      <c r="N188" s="1">
        <f ca="1">IFERROR(__xludf.DUMMYFUNCTION("""COMPUTED_VALUE"""),2502)</f>
        <v>2502</v>
      </c>
      <c r="O188" s="1">
        <f ca="1">IFERROR(__xludf.DUMMYFUNCTION("""COMPUTED_VALUE"""),2350)</f>
        <v>2350</v>
      </c>
      <c r="P188" s="1">
        <f ca="1">IFERROR(__xludf.DUMMYFUNCTION("""COMPUTED_VALUE"""),1325)</f>
        <v>1325</v>
      </c>
      <c r="Q188" s="1">
        <f ca="1">IFERROR(__xludf.DUMMYFUNCTION("""COMPUTED_VALUE"""),900)</f>
        <v>900</v>
      </c>
      <c r="R188" s="1">
        <f ca="1">IFERROR(__xludf.DUMMYFUNCTION("""COMPUTED_VALUE"""),1962)</f>
        <v>1962</v>
      </c>
      <c r="S188" s="1">
        <f ca="1">IFERROR(__xludf.DUMMYFUNCTION("""COMPUTED_VALUE"""),0.459)</f>
        <v>0.45900000000000002</v>
      </c>
      <c r="T188" s="1">
        <f ca="1">IFERROR(__xludf.DUMMYFUNCTION("""COMPUTED_VALUE"""),177)</f>
        <v>177</v>
      </c>
      <c r="U188" s="1">
        <f ca="1">IFERROR(__xludf.DUMMYFUNCTION("""COMPUTED_VALUE"""),512)</f>
        <v>512</v>
      </c>
      <c r="V188" s="1">
        <f ca="1">IFERROR(__xludf.DUMMYFUNCTION("""COMPUTED_VALUE"""),0.346)</f>
        <v>0.34599999999999997</v>
      </c>
      <c r="W188" s="1">
        <f ca="1">IFERROR(__xludf.DUMMYFUNCTION("""COMPUTED_VALUE"""),525)</f>
        <v>525</v>
      </c>
      <c r="X188" s="1">
        <f ca="1">IFERROR(__xludf.DUMMYFUNCTION("""COMPUTED_VALUE"""),769)</f>
        <v>769</v>
      </c>
      <c r="Y188" s="1">
        <f ca="1">IFERROR(__xludf.DUMMYFUNCTION("""COMPUTED_VALUE"""),0.683)</f>
        <v>0.68300000000000005</v>
      </c>
      <c r="Z188" s="1">
        <f ca="1">IFERROR(__xludf.DUMMYFUNCTION("""COMPUTED_VALUE"""),404)</f>
        <v>404</v>
      </c>
      <c r="AA188" s="1">
        <f ca="1">IFERROR(__xludf.DUMMYFUNCTION("""COMPUTED_VALUE"""),1267)</f>
        <v>1267</v>
      </c>
      <c r="AB188" s="1">
        <f ca="1">IFERROR(__xludf.DUMMYFUNCTION("""COMPUTED_VALUE"""),499)</f>
        <v>499</v>
      </c>
      <c r="AC188" s="1">
        <f ca="1">IFERROR(__xludf.DUMMYFUNCTION("""COMPUTED_VALUE"""),226)</f>
        <v>226</v>
      </c>
      <c r="AD188" s="1">
        <f ca="1">IFERROR(__xludf.DUMMYFUNCTION("""COMPUTED_VALUE"""),178)</f>
        <v>178</v>
      </c>
      <c r="AE188" s="1">
        <f ca="1">IFERROR(__xludf.DUMMYFUNCTION("""COMPUTED_VALUE"""),446)</f>
        <v>446</v>
      </c>
      <c r="AF188" s="1">
        <f ca="1">IFERROR(__xludf.DUMMYFUNCTION("""COMPUTED_VALUE"""),649)</f>
        <v>649</v>
      </c>
    </row>
    <row r="189" spans="1:32" ht="12.5" x14ac:dyDescent="0.25">
      <c r="A189" s="1" t="str">
        <f ca="1">IFERROR(__xludf.DUMMYFUNCTION("""COMPUTED_VALUE"""),"McNeese State")</f>
        <v>McNeese State</v>
      </c>
      <c r="B189" s="1">
        <f ca="1">IFERROR(__xludf.DUMMYFUNCTION("""COMPUTED_VALUE"""),31)</f>
        <v>31</v>
      </c>
      <c r="C189" s="1">
        <f ca="1">IFERROR(__xludf.DUMMYFUNCTION("""COMPUTED_VALUE"""),11)</f>
        <v>11</v>
      </c>
      <c r="D189" s="1">
        <f ca="1">IFERROR(__xludf.DUMMYFUNCTION("""COMPUTED_VALUE"""),20)</f>
        <v>20</v>
      </c>
      <c r="E189" s="1">
        <f ca="1">IFERROR(__xludf.DUMMYFUNCTION("""COMPUTED_VALUE"""),0.355)</f>
        <v>0.35499999999999998</v>
      </c>
      <c r="F189" s="1">
        <f ca="1">IFERROR(__xludf.DUMMYFUNCTION("""COMPUTED_VALUE"""),-13.15)</f>
        <v>-13.15</v>
      </c>
      <c r="G189" s="1">
        <f ca="1">IFERROR(__xludf.DUMMYFUNCTION("""COMPUTED_VALUE"""),-4.01)</f>
        <v>-4.01</v>
      </c>
      <c r="H189" s="1">
        <f ca="1">IFERROR(__xludf.DUMMYFUNCTION("""COMPUTED_VALUE"""),9)</f>
        <v>9</v>
      </c>
      <c r="I189" s="1">
        <f ca="1">IFERROR(__xludf.DUMMYFUNCTION("""COMPUTED_VALUE"""),9)</f>
        <v>9</v>
      </c>
      <c r="J189" s="1">
        <f ca="1">IFERROR(__xludf.DUMMYFUNCTION("""COMPUTED_VALUE"""),7)</f>
        <v>7</v>
      </c>
      <c r="K189" s="1">
        <f ca="1">IFERROR(__xludf.DUMMYFUNCTION("""COMPUTED_VALUE"""),3)</f>
        <v>3</v>
      </c>
      <c r="L189" s="1">
        <f ca="1">IFERROR(__xludf.DUMMYFUNCTION("""COMPUTED_VALUE"""),3)</f>
        <v>3</v>
      </c>
      <c r="M189" s="1">
        <f ca="1">IFERROR(__xludf.DUMMYFUNCTION("""COMPUTED_VALUE"""),14)</f>
        <v>14</v>
      </c>
      <c r="N189" s="1">
        <f ca="1">IFERROR(__xludf.DUMMYFUNCTION("""COMPUTED_VALUE"""),2111)</f>
        <v>2111</v>
      </c>
      <c r="O189" s="1">
        <f ca="1">IFERROR(__xludf.DUMMYFUNCTION("""COMPUTED_VALUE"""),2358)</f>
        <v>2358</v>
      </c>
      <c r="P189" s="1">
        <f ca="1">IFERROR(__xludf.DUMMYFUNCTION("""COMPUTED_VALUE"""),1250)</f>
        <v>1250</v>
      </c>
      <c r="Q189" s="1">
        <f ca="1">IFERROR(__xludf.DUMMYFUNCTION("""COMPUTED_VALUE"""),729)</f>
        <v>729</v>
      </c>
      <c r="R189" s="1">
        <f ca="1">IFERROR(__xludf.DUMMYFUNCTION("""COMPUTED_VALUE"""),1857)</f>
        <v>1857</v>
      </c>
      <c r="S189" s="1">
        <f ca="1">IFERROR(__xludf.DUMMYFUNCTION("""COMPUTED_VALUE"""),0.393)</f>
        <v>0.39300000000000002</v>
      </c>
      <c r="T189" s="1">
        <f ca="1">IFERROR(__xludf.DUMMYFUNCTION("""COMPUTED_VALUE"""),203)</f>
        <v>203</v>
      </c>
      <c r="U189" s="1">
        <f ca="1">IFERROR(__xludf.DUMMYFUNCTION("""COMPUTED_VALUE"""),665)</f>
        <v>665</v>
      </c>
      <c r="V189" s="1">
        <f ca="1">IFERROR(__xludf.DUMMYFUNCTION("""COMPUTED_VALUE"""),0.305)</f>
        <v>0.30499999999999999</v>
      </c>
      <c r="W189" s="1">
        <f ca="1">IFERROR(__xludf.DUMMYFUNCTION("""COMPUTED_VALUE"""),450)</f>
        <v>450</v>
      </c>
      <c r="X189" s="1">
        <f ca="1">IFERROR(__xludf.DUMMYFUNCTION("""COMPUTED_VALUE"""),647)</f>
        <v>647</v>
      </c>
      <c r="Y189" s="1">
        <f ca="1">IFERROR(__xludf.DUMMYFUNCTION("""COMPUTED_VALUE"""),0.696)</f>
        <v>0.69599999999999995</v>
      </c>
      <c r="Z189" s="1">
        <f ca="1">IFERROR(__xludf.DUMMYFUNCTION("""COMPUTED_VALUE"""),408)</f>
        <v>408</v>
      </c>
      <c r="AA189" s="1">
        <f ca="1">IFERROR(__xludf.DUMMYFUNCTION("""COMPUTED_VALUE"""),1142)</f>
        <v>1142</v>
      </c>
      <c r="AB189" s="1">
        <f ca="1">IFERROR(__xludf.DUMMYFUNCTION("""COMPUTED_VALUE"""),369)</f>
        <v>369</v>
      </c>
      <c r="AC189" s="1">
        <f ca="1">IFERROR(__xludf.DUMMYFUNCTION("""COMPUTED_VALUE"""),211)</f>
        <v>211</v>
      </c>
      <c r="AD189" s="1">
        <f ca="1">IFERROR(__xludf.DUMMYFUNCTION("""COMPUTED_VALUE"""),117)</f>
        <v>117</v>
      </c>
      <c r="AE189" s="1">
        <f ca="1">IFERROR(__xludf.DUMMYFUNCTION("""COMPUTED_VALUE"""),397)</f>
        <v>397</v>
      </c>
      <c r="AF189" s="1">
        <f ca="1">IFERROR(__xludf.DUMMYFUNCTION("""COMPUTED_VALUE"""),554)</f>
        <v>554</v>
      </c>
    </row>
    <row r="190" spans="1:32" ht="12.5" x14ac:dyDescent="0.25">
      <c r="A190" s="1" t="str">
        <f ca="1">IFERROR(__xludf.DUMMYFUNCTION("""COMPUTED_VALUE"""),"MemphisNCAA")</f>
        <v>MemphisNCAA</v>
      </c>
      <c r="B190" s="1">
        <f ca="1">IFERROR(__xludf.DUMMYFUNCTION("""COMPUTED_VALUE"""),34)</f>
        <v>34</v>
      </c>
      <c r="C190" s="1">
        <f ca="1">IFERROR(__xludf.DUMMYFUNCTION("""COMPUTED_VALUE"""),24)</f>
        <v>24</v>
      </c>
      <c r="D190" s="1">
        <f ca="1">IFERROR(__xludf.DUMMYFUNCTION("""COMPUTED_VALUE"""),10)</f>
        <v>10</v>
      </c>
      <c r="E190" s="1">
        <f ca="1">IFERROR(__xludf.DUMMYFUNCTION("""COMPUTED_VALUE"""),0.706)</f>
        <v>0.70599999999999996</v>
      </c>
      <c r="F190" s="1">
        <f ca="1">IFERROR(__xludf.DUMMYFUNCTION("""COMPUTED_VALUE"""),13.02)</f>
        <v>13.02</v>
      </c>
      <c r="G190" s="1">
        <f ca="1">IFERROR(__xludf.DUMMYFUNCTION("""COMPUTED_VALUE"""),7.14)</f>
        <v>7.14</v>
      </c>
      <c r="H190" s="1">
        <f ca="1">IFERROR(__xludf.DUMMYFUNCTION("""COMPUTED_VALUE"""),12)</f>
        <v>12</v>
      </c>
      <c r="I190" s="1">
        <f ca="1">IFERROR(__xludf.DUMMYFUNCTION("""COMPUTED_VALUE"""),6)</f>
        <v>6</v>
      </c>
      <c r="J190" s="1">
        <f ca="1">IFERROR(__xludf.DUMMYFUNCTION("""COMPUTED_VALUE"""),15)</f>
        <v>15</v>
      </c>
      <c r="K190" s="1">
        <f ca="1">IFERROR(__xludf.DUMMYFUNCTION("""COMPUTED_VALUE"""),2)</f>
        <v>2</v>
      </c>
      <c r="L190" s="1">
        <f ca="1">IFERROR(__xludf.DUMMYFUNCTION("""COMPUTED_VALUE"""),5)</f>
        <v>5</v>
      </c>
      <c r="M190" s="1">
        <f ca="1">IFERROR(__xludf.DUMMYFUNCTION("""COMPUTED_VALUE"""),5)</f>
        <v>5</v>
      </c>
      <c r="N190" s="1">
        <f ca="1">IFERROR(__xludf.DUMMYFUNCTION("""COMPUTED_VALUE"""),2614)</f>
        <v>2614</v>
      </c>
      <c r="O190" s="1">
        <f ca="1">IFERROR(__xludf.DUMMYFUNCTION("""COMPUTED_VALUE"""),2397)</f>
        <v>2397</v>
      </c>
      <c r="P190" s="1">
        <f ca="1">IFERROR(__xludf.DUMMYFUNCTION("""COMPUTED_VALUE"""),1370)</f>
        <v>1370</v>
      </c>
      <c r="Q190" s="1">
        <f ca="1">IFERROR(__xludf.DUMMYFUNCTION("""COMPUTED_VALUE"""),958)</f>
        <v>958</v>
      </c>
      <c r="R190" s="1">
        <f ca="1">IFERROR(__xludf.DUMMYFUNCTION("""COMPUTED_VALUE"""),2009)</f>
        <v>2009</v>
      </c>
      <c r="S190" s="1">
        <f ca="1">IFERROR(__xludf.DUMMYFUNCTION("""COMPUTED_VALUE"""),0.477)</f>
        <v>0.47699999999999998</v>
      </c>
      <c r="T190" s="1">
        <f ca="1">IFERROR(__xludf.DUMMYFUNCTION("""COMPUTED_VALUE"""),182)</f>
        <v>182</v>
      </c>
      <c r="U190" s="1">
        <f ca="1">IFERROR(__xludf.DUMMYFUNCTION("""COMPUTED_VALUE"""),552)</f>
        <v>552</v>
      </c>
      <c r="V190" s="1">
        <f ca="1">IFERROR(__xludf.DUMMYFUNCTION("""COMPUTED_VALUE"""),0.33)</f>
        <v>0.33</v>
      </c>
      <c r="W190" s="1">
        <f ca="1">IFERROR(__xludf.DUMMYFUNCTION("""COMPUTED_VALUE"""),516)</f>
        <v>516</v>
      </c>
      <c r="X190" s="1">
        <f ca="1">IFERROR(__xludf.DUMMYFUNCTION("""COMPUTED_VALUE"""),801)</f>
        <v>801</v>
      </c>
      <c r="Y190" s="1">
        <f ca="1">IFERROR(__xludf.DUMMYFUNCTION("""COMPUTED_VALUE"""),0.644)</f>
        <v>0.64400000000000002</v>
      </c>
      <c r="Z190" s="1">
        <f ca="1">IFERROR(__xludf.DUMMYFUNCTION("""COMPUTED_VALUE"""),427)</f>
        <v>427</v>
      </c>
      <c r="AA190" s="1">
        <f ca="1">IFERROR(__xludf.DUMMYFUNCTION("""COMPUTED_VALUE"""),1268)</f>
        <v>1268</v>
      </c>
      <c r="AB190" s="1">
        <f ca="1">IFERROR(__xludf.DUMMYFUNCTION("""COMPUTED_VALUE"""),591)</f>
        <v>591</v>
      </c>
      <c r="AC190" s="1">
        <f ca="1">IFERROR(__xludf.DUMMYFUNCTION("""COMPUTED_VALUE"""),294)</f>
        <v>294</v>
      </c>
      <c r="AD190" s="1">
        <f ca="1">IFERROR(__xludf.DUMMYFUNCTION("""COMPUTED_VALUE"""),159)</f>
        <v>159</v>
      </c>
      <c r="AE190" s="1">
        <f ca="1">IFERROR(__xludf.DUMMYFUNCTION("""COMPUTED_VALUE"""),449)</f>
        <v>449</v>
      </c>
      <c r="AF190" s="1">
        <f ca="1">IFERROR(__xludf.DUMMYFUNCTION("""COMPUTED_VALUE"""),612)</f>
        <v>612</v>
      </c>
    </row>
    <row r="191" spans="1:32" ht="12.5" x14ac:dyDescent="0.25">
      <c r="A191" s="1" t="str">
        <f ca="1">IFERROR(__xludf.DUMMYFUNCTION("""COMPUTED_VALUE"""),"MercerNCAA")</f>
        <v>MercerNCAA</v>
      </c>
      <c r="B191" s="1">
        <f ca="1">IFERROR(__xludf.DUMMYFUNCTION("""COMPUTED_VALUE"""),36)</f>
        <v>36</v>
      </c>
      <c r="C191" s="1">
        <f ca="1">IFERROR(__xludf.DUMMYFUNCTION("""COMPUTED_VALUE"""),27)</f>
        <v>27</v>
      </c>
      <c r="D191" s="1">
        <f ca="1">IFERROR(__xludf.DUMMYFUNCTION("""COMPUTED_VALUE"""),9)</f>
        <v>9</v>
      </c>
      <c r="E191" s="1">
        <f ca="1">IFERROR(__xludf.DUMMYFUNCTION("""COMPUTED_VALUE"""),0.75)</f>
        <v>0.75</v>
      </c>
      <c r="F191" s="1">
        <f ca="1">IFERROR(__xludf.DUMMYFUNCTION("""COMPUTED_VALUE"""),5.33)</f>
        <v>5.33</v>
      </c>
      <c r="G191" s="1">
        <f ca="1">IFERROR(__xludf.DUMMYFUNCTION("""COMPUTED_VALUE"""),-3.42)</f>
        <v>-3.42</v>
      </c>
      <c r="H191" s="1">
        <f ca="1">IFERROR(__xludf.DUMMYFUNCTION("""COMPUTED_VALUE"""),14)</f>
        <v>14</v>
      </c>
      <c r="I191" s="1">
        <f ca="1">IFERROR(__xludf.DUMMYFUNCTION("""COMPUTED_VALUE"""),4)</f>
        <v>4</v>
      </c>
      <c r="J191" s="1">
        <f ca="1">IFERROR(__xludf.DUMMYFUNCTION("""COMPUTED_VALUE"""),17)</f>
        <v>17</v>
      </c>
      <c r="K191" s="1">
        <f ca="1">IFERROR(__xludf.DUMMYFUNCTION("""COMPUTED_VALUE"""),1)</f>
        <v>1</v>
      </c>
      <c r="L191" s="1">
        <f ca="1">IFERROR(__xludf.DUMMYFUNCTION("""COMPUTED_VALUE"""),9)</f>
        <v>9</v>
      </c>
      <c r="M191" s="1">
        <f ca="1">IFERROR(__xludf.DUMMYFUNCTION("""COMPUTED_VALUE"""),7)</f>
        <v>7</v>
      </c>
      <c r="N191" s="1">
        <f ca="1">IFERROR(__xludf.DUMMYFUNCTION("""COMPUTED_VALUE"""),2836)</f>
        <v>2836</v>
      </c>
      <c r="O191" s="1">
        <f ca="1">IFERROR(__xludf.DUMMYFUNCTION("""COMPUTED_VALUE"""),2410)</f>
        <v>2410</v>
      </c>
      <c r="P191" s="1">
        <f ca="1">IFERROR(__xludf.DUMMYFUNCTION("""COMPUTED_VALUE"""),1492)</f>
        <v>1492</v>
      </c>
      <c r="Q191" s="1">
        <f ca="1">IFERROR(__xludf.DUMMYFUNCTION("""COMPUTED_VALUE"""),982)</f>
        <v>982</v>
      </c>
      <c r="R191" s="1">
        <f ca="1">IFERROR(__xludf.DUMMYFUNCTION("""COMPUTED_VALUE"""),2061)</f>
        <v>2061</v>
      </c>
      <c r="S191" s="1">
        <f ca="1">IFERROR(__xludf.DUMMYFUNCTION("""COMPUTED_VALUE"""),0.476)</f>
        <v>0.47599999999999998</v>
      </c>
      <c r="T191" s="1">
        <f ca="1">IFERROR(__xludf.DUMMYFUNCTION("""COMPUTED_VALUE"""),290)</f>
        <v>290</v>
      </c>
      <c r="U191" s="1">
        <f ca="1">IFERROR(__xludf.DUMMYFUNCTION("""COMPUTED_VALUE"""),756)</f>
        <v>756</v>
      </c>
      <c r="V191" s="1">
        <f ca="1">IFERROR(__xludf.DUMMYFUNCTION("""COMPUTED_VALUE"""),0.384)</f>
        <v>0.38400000000000001</v>
      </c>
      <c r="W191" s="1">
        <f ca="1">IFERROR(__xludf.DUMMYFUNCTION("""COMPUTED_VALUE"""),582)</f>
        <v>582</v>
      </c>
      <c r="X191" s="1">
        <f ca="1">IFERROR(__xludf.DUMMYFUNCTION("""COMPUTED_VALUE"""),791)</f>
        <v>791</v>
      </c>
      <c r="Y191" s="1">
        <f ca="1">IFERROR(__xludf.DUMMYFUNCTION("""COMPUTED_VALUE"""),0.736)</f>
        <v>0.73599999999999999</v>
      </c>
      <c r="Z191" s="1">
        <f ca="1">IFERROR(__xludf.DUMMYFUNCTION("""COMPUTED_VALUE"""),407)</f>
        <v>407</v>
      </c>
      <c r="AA191" s="1">
        <f ca="1">IFERROR(__xludf.DUMMYFUNCTION("""COMPUTED_VALUE"""),1338)</f>
        <v>1338</v>
      </c>
      <c r="AB191" s="1">
        <f ca="1">IFERROR(__xludf.DUMMYFUNCTION("""COMPUTED_VALUE"""),586)</f>
        <v>586</v>
      </c>
      <c r="AC191" s="1">
        <f ca="1">IFERROR(__xludf.DUMMYFUNCTION("""COMPUTED_VALUE"""),211)</f>
        <v>211</v>
      </c>
      <c r="AD191" s="1">
        <f ca="1">IFERROR(__xludf.DUMMYFUNCTION("""COMPUTED_VALUE"""),147)</f>
        <v>147</v>
      </c>
      <c r="AE191" s="1">
        <f ca="1">IFERROR(__xludf.DUMMYFUNCTION("""COMPUTED_VALUE"""),420)</f>
        <v>420</v>
      </c>
      <c r="AF191" s="1">
        <f ca="1">IFERROR(__xludf.DUMMYFUNCTION("""COMPUTED_VALUE"""),665)</f>
        <v>665</v>
      </c>
    </row>
    <row r="192" spans="1:32" ht="12.5" x14ac:dyDescent="0.25">
      <c r="A192" s="1" t="str">
        <f ca="1">IFERROR(__xludf.DUMMYFUNCTION("""COMPUTED_VALUE"""),"Miami (FL)")</f>
        <v>Miami (FL)</v>
      </c>
      <c r="B192" s="1">
        <f ca="1">IFERROR(__xludf.DUMMYFUNCTION("""COMPUTED_VALUE"""),33)</f>
        <v>33</v>
      </c>
      <c r="C192" s="1">
        <f ca="1">IFERROR(__xludf.DUMMYFUNCTION("""COMPUTED_VALUE"""),17)</f>
        <v>17</v>
      </c>
      <c r="D192" s="1">
        <f ca="1">IFERROR(__xludf.DUMMYFUNCTION("""COMPUTED_VALUE"""),16)</f>
        <v>16</v>
      </c>
      <c r="E192" s="1">
        <f ca="1">IFERROR(__xludf.DUMMYFUNCTION("""COMPUTED_VALUE"""),0.515)</f>
        <v>0.51500000000000001</v>
      </c>
      <c r="F192" s="1">
        <f ca="1">IFERROR(__xludf.DUMMYFUNCTION("""COMPUTED_VALUE"""),7.6)</f>
        <v>7.6</v>
      </c>
      <c r="G192" s="1">
        <f ca="1">IFERROR(__xludf.DUMMYFUNCTION("""COMPUTED_VALUE"""),5.63)</f>
        <v>5.63</v>
      </c>
      <c r="H192" s="1">
        <f ca="1">IFERROR(__xludf.DUMMYFUNCTION("""COMPUTED_VALUE"""),7)</f>
        <v>7</v>
      </c>
      <c r="I192" s="1">
        <f ca="1">IFERROR(__xludf.DUMMYFUNCTION("""COMPUTED_VALUE"""),11)</f>
        <v>11</v>
      </c>
      <c r="J192" s="1">
        <f ca="1">IFERROR(__xludf.DUMMYFUNCTION("""COMPUTED_VALUE"""),8)</f>
        <v>8</v>
      </c>
      <c r="K192" s="1">
        <f ca="1">IFERROR(__xludf.DUMMYFUNCTION("""COMPUTED_VALUE"""),8)</f>
        <v>8</v>
      </c>
      <c r="L192" s="1">
        <f ca="1">IFERROR(__xludf.DUMMYFUNCTION("""COMPUTED_VALUE"""),6)</f>
        <v>6</v>
      </c>
      <c r="M192" s="1">
        <f ca="1">IFERROR(__xludf.DUMMYFUNCTION("""COMPUTED_VALUE"""),6)</f>
        <v>6</v>
      </c>
      <c r="N192" s="1">
        <f ca="1">IFERROR(__xludf.DUMMYFUNCTION("""COMPUTED_VALUE"""),2029)</f>
        <v>2029</v>
      </c>
      <c r="O192" s="1">
        <f ca="1">IFERROR(__xludf.DUMMYFUNCTION("""COMPUTED_VALUE"""),1964)</f>
        <v>1964</v>
      </c>
      <c r="P192" s="1">
        <f ca="1">IFERROR(__xludf.DUMMYFUNCTION("""COMPUTED_VALUE"""),1345)</f>
        <v>1345</v>
      </c>
      <c r="Q192" s="1">
        <f ca="1">IFERROR(__xludf.DUMMYFUNCTION("""COMPUTED_VALUE"""),712)</f>
        <v>712</v>
      </c>
      <c r="R192" s="1">
        <f ca="1">IFERROR(__xludf.DUMMYFUNCTION("""COMPUTED_VALUE"""),1690)</f>
        <v>1690</v>
      </c>
      <c r="S192" s="1">
        <f ca="1">IFERROR(__xludf.DUMMYFUNCTION("""COMPUTED_VALUE"""),0.421)</f>
        <v>0.42099999999999999</v>
      </c>
      <c r="T192" s="1">
        <f ca="1">IFERROR(__xludf.DUMMYFUNCTION("""COMPUTED_VALUE"""),186)</f>
        <v>186</v>
      </c>
      <c r="U192" s="1">
        <f ca="1">IFERROR(__xludf.DUMMYFUNCTION("""COMPUTED_VALUE"""),576)</f>
        <v>576</v>
      </c>
      <c r="V192" s="1">
        <f ca="1">IFERROR(__xludf.DUMMYFUNCTION("""COMPUTED_VALUE"""),0.323)</f>
        <v>0.32300000000000001</v>
      </c>
      <c r="W192" s="1">
        <f ca="1">IFERROR(__xludf.DUMMYFUNCTION("""COMPUTED_VALUE"""),419)</f>
        <v>419</v>
      </c>
      <c r="X192" s="1">
        <f ca="1">IFERROR(__xludf.DUMMYFUNCTION("""COMPUTED_VALUE"""),610)</f>
        <v>610</v>
      </c>
      <c r="Y192" s="1">
        <f ca="1">IFERROR(__xludf.DUMMYFUNCTION("""COMPUTED_VALUE"""),0.687)</f>
        <v>0.68700000000000006</v>
      </c>
      <c r="Z192" s="1">
        <f ca="1">IFERROR(__xludf.DUMMYFUNCTION("""COMPUTED_VALUE"""),362)</f>
        <v>362</v>
      </c>
      <c r="AA192" s="1">
        <f ca="1">IFERROR(__xludf.DUMMYFUNCTION("""COMPUTED_VALUE"""),1140)</f>
        <v>1140</v>
      </c>
      <c r="AB192" s="1">
        <f ca="1">IFERROR(__xludf.DUMMYFUNCTION("""COMPUTED_VALUE"""),346)</f>
        <v>346</v>
      </c>
      <c r="AC192" s="1">
        <f ca="1">IFERROR(__xludf.DUMMYFUNCTION("""COMPUTED_VALUE"""),161)</f>
        <v>161</v>
      </c>
      <c r="AD192" s="1">
        <f ca="1">IFERROR(__xludf.DUMMYFUNCTION("""COMPUTED_VALUE"""),124)</f>
        <v>124</v>
      </c>
      <c r="AE192" s="1">
        <f ca="1">IFERROR(__xludf.DUMMYFUNCTION("""COMPUTED_VALUE"""),335)</f>
        <v>335</v>
      </c>
      <c r="AF192" s="1">
        <f ca="1">IFERROR(__xludf.DUMMYFUNCTION("""COMPUTED_VALUE"""),522)</f>
        <v>522</v>
      </c>
    </row>
    <row r="193" spans="1:32" ht="12.5" x14ac:dyDescent="0.25">
      <c r="A193" s="1" t="str">
        <f ca="1">IFERROR(__xludf.DUMMYFUNCTION("""COMPUTED_VALUE"""),"Miami (OH)")</f>
        <v>Miami (OH)</v>
      </c>
      <c r="B193" s="1">
        <f ca="1">IFERROR(__xludf.DUMMYFUNCTION("""COMPUTED_VALUE"""),31)</f>
        <v>31</v>
      </c>
      <c r="C193" s="1">
        <f ca="1">IFERROR(__xludf.DUMMYFUNCTION("""COMPUTED_VALUE"""),13)</f>
        <v>13</v>
      </c>
      <c r="D193" s="1">
        <f ca="1">IFERROR(__xludf.DUMMYFUNCTION("""COMPUTED_VALUE"""),18)</f>
        <v>18</v>
      </c>
      <c r="E193" s="1">
        <f ca="1">IFERROR(__xludf.DUMMYFUNCTION("""COMPUTED_VALUE"""),0.419)</f>
        <v>0.41899999999999998</v>
      </c>
      <c r="F193" s="1">
        <f ca="1">IFERROR(__xludf.DUMMYFUNCTION("""COMPUTED_VALUE"""),-4.37)</f>
        <v>-4.37</v>
      </c>
      <c r="G193" s="1">
        <f ca="1">IFERROR(__xludf.DUMMYFUNCTION("""COMPUTED_VALUE"""),0.13)</f>
        <v>0.13</v>
      </c>
      <c r="H193" s="1">
        <f ca="1">IFERROR(__xludf.DUMMYFUNCTION("""COMPUTED_VALUE"""),8)</f>
        <v>8</v>
      </c>
      <c r="I193" s="1">
        <f ca="1">IFERROR(__xludf.DUMMYFUNCTION("""COMPUTED_VALUE"""),10)</f>
        <v>10</v>
      </c>
      <c r="J193" s="1">
        <f ca="1">IFERROR(__xludf.DUMMYFUNCTION("""COMPUTED_VALUE"""),8)</f>
        <v>8</v>
      </c>
      <c r="K193" s="1">
        <f ca="1">IFERROR(__xludf.DUMMYFUNCTION("""COMPUTED_VALUE"""),6)</f>
        <v>6</v>
      </c>
      <c r="L193" s="1">
        <f ca="1">IFERROR(__xludf.DUMMYFUNCTION("""COMPUTED_VALUE"""),5)</f>
        <v>5</v>
      </c>
      <c r="M193" s="1">
        <f ca="1">IFERROR(__xludf.DUMMYFUNCTION("""COMPUTED_VALUE"""),11)</f>
        <v>11</v>
      </c>
      <c r="N193" s="1">
        <f ca="1">IFERROR(__xludf.DUMMYFUNCTION("""COMPUTED_VALUE"""),2023)</f>
        <v>2023</v>
      </c>
      <c r="O193" s="1">
        <f ca="1">IFERROR(__xludf.DUMMYFUNCTION("""COMPUTED_VALUE"""),2160)</f>
        <v>2160</v>
      </c>
      <c r="P193" s="1">
        <f ca="1">IFERROR(__xludf.DUMMYFUNCTION("""COMPUTED_VALUE"""),1250)</f>
        <v>1250</v>
      </c>
      <c r="Q193" s="1">
        <f ca="1">IFERROR(__xludf.DUMMYFUNCTION("""COMPUTED_VALUE"""),722)</f>
        <v>722</v>
      </c>
      <c r="R193" s="1">
        <f ca="1">IFERROR(__xludf.DUMMYFUNCTION("""COMPUTED_VALUE"""),1664)</f>
        <v>1664</v>
      </c>
      <c r="S193" s="1">
        <f ca="1">IFERROR(__xludf.DUMMYFUNCTION("""COMPUTED_VALUE"""),0.434)</f>
        <v>0.434</v>
      </c>
      <c r="T193" s="1">
        <f ca="1">IFERROR(__xludf.DUMMYFUNCTION("""COMPUTED_VALUE"""),146)</f>
        <v>146</v>
      </c>
      <c r="U193" s="1">
        <f ca="1">IFERROR(__xludf.DUMMYFUNCTION("""COMPUTED_VALUE"""),496)</f>
        <v>496</v>
      </c>
      <c r="V193" s="1">
        <f ca="1">IFERROR(__xludf.DUMMYFUNCTION("""COMPUTED_VALUE"""),0.294)</f>
        <v>0.29399999999999998</v>
      </c>
      <c r="W193" s="1">
        <f ca="1">IFERROR(__xludf.DUMMYFUNCTION("""COMPUTED_VALUE"""),433)</f>
        <v>433</v>
      </c>
      <c r="X193" s="1">
        <f ca="1">IFERROR(__xludf.DUMMYFUNCTION("""COMPUTED_VALUE"""),574)</f>
        <v>574</v>
      </c>
      <c r="Y193" s="1">
        <f ca="1">IFERROR(__xludf.DUMMYFUNCTION("""COMPUTED_VALUE"""),0.754)</f>
        <v>0.754</v>
      </c>
      <c r="Z193" s="1">
        <f ca="1">IFERROR(__xludf.DUMMYFUNCTION("""COMPUTED_VALUE"""),266)</f>
        <v>266</v>
      </c>
      <c r="AA193" s="1">
        <f ca="1">IFERROR(__xludf.DUMMYFUNCTION("""COMPUTED_VALUE"""),967)</f>
        <v>967</v>
      </c>
      <c r="AB193" s="1">
        <f ca="1">IFERROR(__xludf.DUMMYFUNCTION("""COMPUTED_VALUE"""),387)</f>
        <v>387</v>
      </c>
      <c r="AC193" s="1">
        <f ca="1">IFERROR(__xludf.DUMMYFUNCTION("""COMPUTED_VALUE"""),267)</f>
        <v>267</v>
      </c>
      <c r="AD193" s="1">
        <f ca="1">IFERROR(__xludf.DUMMYFUNCTION("""COMPUTED_VALUE"""),73)</f>
        <v>73</v>
      </c>
      <c r="AE193" s="1">
        <f ca="1">IFERROR(__xludf.DUMMYFUNCTION("""COMPUTED_VALUE"""),420)</f>
        <v>420</v>
      </c>
      <c r="AF193" s="1">
        <f ca="1">IFERROR(__xludf.DUMMYFUNCTION("""COMPUTED_VALUE"""),537)</f>
        <v>537</v>
      </c>
    </row>
    <row r="194" spans="1:32" ht="12.5" x14ac:dyDescent="0.25">
      <c r="A194" s="1" t="str">
        <f ca="1">IFERROR(__xludf.DUMMYFUNCTION("""COMPUTED_VALUE"""),"Michigan StateNCAA")</f>
        <v>Michigan StateNCAA</v>
      </c>
      <c r="B194" s="1">
        <f ca="1">IFERROR(__xludf.DUMMYFUNCTION("""COMPUTED_VALUE"""),38)</f>
        <v>38</v>
      </c>
      <c r="C194" s="1">
        <f ca="1">IFERROR(__xludf.DUMMYFUNCTION("""COMPUTED_VALUE"""),29)</f>
        <v>29</v>
      </c>
      <c r="D194" s="1">
        <f ca="1">IFERROR(__xludf.DUMMYFUNCTION("""COMPUTED_VALUE"""),9)</f>
        <v>9</v>
      </c>
      <c r="E194" s="1">
        <f ca="1">IFERROR(__xludf.DUMMYFUNCTION("""COMPUTED_VALUE"""),0.763)</f>
        <v>0.76300000000000001</v>
      </c>
      <c r="F194" s="1">
        <f ca="1">IFERROR(__xludf.DUMMYFUNCTION("""COMPUTED_VALUE"""),19.35)</f>
        <v>19.350000000000001</v>
      </c>
      <c r="G194" s="1">
        <f ca="1">IFERROR(__xludf.DUMMYFUNCTION("""COMPUTED_VALUE"""),9.38)</f>
        <v>9.3800000000000008</v>
      </c>
      <c r="H194" s="1">
        <f ca="1">IFERROR(__xludf.DUMMYFUNCTION("""COMPUTED_VALUE"""),12)</f>
        <v>12</v>
      </c>
      <c r="I194" s="1">
        <f ca="1">IFERROR(__xludf.DUMMYFUNCTION("""COMPUTED_VALUE"""),6)</f>
        <v>6</v>
      </c>
      <c r="J194" s="1">
        <f ca="1">IFERROR(__xludf.DUMMYFUNCTION("""COMPUTED_VALUE"""),12)</f>
        <v>12</v>
      </c>
      <c r="K194" s="1">
        <f ca="1">IFERROR(__xludf.DUMMYFUNCTION("""COMPUTED_VALUE"""),4)</f>
        <v>4</v>
      </c>
      <c r="L194" s="1">
        <f ca="1">IFERROR(__xludf.DUMMYFUNCTION("""COMPUTED_VALUE"""),7)</f>
        <v>7</v>
      </c>
      <c r="M194" s="1">
        <f ca="1">IFERROR(__xludf.DUMMYFUNCTION("""COMPUTED_VALUE"""),3)</f>
        <v>3</v>
      </c>
      <c r="N194" s="1">
        <f ca="1">IFERROR(__xludf.DUMMYFUNCTION("""COMPUTED_VALUE"""),2870)</f>
        <v>2870</v>
      </c>
      <c r="O194" s="1">
        <f ca="1">IFERROR(__xludf.DUMMYFUNCTION("""COMPUTED_VALUE"""),2491)</f>
        <v>2491</v>
      </c>
      <c r="P194" s="1">
        <f ca="1">IFERROR(__xludf.DUMMYFUNCTION("""COMPUTED_VALUE"""),1535)</f>
        <v>1535</v>
      </c>
      <c r="Q194" s="1">
        <f ca="1">IFERROR(__xludf.DUMMYFUNCTION("""COMPUTED_VALUE"""),1024)</f>
        <v>1024</v>
      </c>
      <c r="R194" s="1">
        <f ca="1">IFERROR(__xludf.DUMMYFUNCTION("""COMPUTED_VALUE"""),2159)</f>
        <v>2159</v>
      </c>
      <c r="S194" s="1">
        <f ca="1">IFERROR(__xludf.DUMMYFUNCTION("""COMPUTED_VALUE"""),0.474)</f>
        <v>0.47399999999999998</v>
      </c>
      <c r="T194" s="1">
        <f ca="1">IFERROR(__xludf.DUMMYFUNCTION("""COMPUTED_VALUE"""),307)</f>
        <v>307</v>
      </c>
      <c r="U194" s="1">
        <f ca="1">IFERROR(__xludf.DUMMYFUNCTION("""COMPUTED_VALUE"""),783)</f>
        <v>783</v>
      </c>
      <c r="V194" s="1">
        <f ca="1">IFERROR(__xludf.DUMMYFUNCTION("""COMPUTED_VALUE"""),0.392)</f>
        <v>0.39200000000000002</v>
      </c>
      <c r="W194" s="1">
        <f ca="1">IFERROR(__xludf.DUMMYFUNCTION("""COMPUTED_VALUE"""),515)</f>
        <v>515</v>
      </c>
      <c r="X194" s="1">
        <f ca="1">IFERROR(__xludf.DUMMYFUNCTION("""COMPUTED_VALUE"""),728)</f>
        <v>728</v>
      </c>
      <c r="Y194" s="1">
        <f ca="1">IFERROR(__xludf.DUMMYFUNCTION("""COMPUTED_VALUE"""),0.707)</f>
        <v>0.70699999999999996</v>
      </c>
      <c r="Z194" s="1">
        <f ca="1">IFERROR(__xludf.DUMMYFUNCTION("""COMPUTED_VALUE"""),395)</f>
        <v>395</v>
      </c>
      <c r="AA194" s="1">
        <f ca="1">IFERROR(__xludf.DUMMYFUNCTION("""COMPUTED_VALUE"""),1400)</f>
        <v>1400</v>
      </c>
      <c r="AB194" s="1">
        <f ca="1">IFERROR(__xludf.DUMMYFUNCTION("""COMPUTED_VALUE"""),637)</f>
        <v>637</v>
      </c>
      <c r="AC194" s="1">
        <f ca="1">IFERROR(__xludf.DUMMYFUNCTION("""COMPUTED_VALUE"""),259)</f>
        <v>259</v>
      </c>
      <c r="AD194" s="1">
        <f ca="1">IFERROR(__xludf.DUMMYFUNCTION("""COMPUTED_VALUE"""),174)</f>
        <v>174</v>
      </c>
      <c r="AE194" s="1">
        <f ca="1">IFERROR(__xludf.DUMMYFUNCTION("""COMPUTED_VALUE"""),430)</f>
        <v>430</v>
      </c>
      <c r="AF194" s="1">
        <f ca="1">IFERROR(__xludf.DUMMYFUNCTION("""COMPUTED_VALUE"""),721)</f>
        <v>721</v>
      </c>
    </row>
    <row r="195" spans="1:32" ht="12.5" x14ac:dyDescent="0.25">
      <c r="A195" s="1" t="str">
        <f ca="1">IFERROR(__xludf.DUMMYFUNCTION("""COMPUTED_VALUE"""),"MichiganNCAA")</f>
        <v>MichiganNCAA</v>
      </c>
      <c r="B195" s="1">
        <f ca="1">IFERROR(__xludf.DUMMYFUNCTION("""COMPUTED_VALUE"""),37)</f>
        <v>37</v>
      </c>
      <c r="C195" s="1">
        <f ca="1">IFERROR(__xludf.DUMMYFUNCTION("""COMPUTED_VALUE"""),28)</f>
        <v>28</v>
      </c>
      <c r="D195" s="1">
        <f ca="1">IFERROR(__xludf.DUMMYFUNCTION("""COMPUTED_VALUE"""),9)</f>
        <v>9</v>
      </c>
      <c r="E195" s="1">
        <f ca="1">IFERROR(__xludf.DUMMYFUNCTION("""COMPUTED_VALUE"""),0.757)</f>
        <v>0.75700000000000001</v>
      </c>
      <c r="F195" s="1">
        <f ca="1">IFERROR(__xludf.DUMMYFUNCTION("""COMPUTED_VALUE"""),18.52)</f>
        <v>18.52</v>
      </c>
      <c r="G195" s="1">
        <f ca="1">IFERROR(__xludf.DUMMYFUNCTION("""COMPUTED_VALUE"""),9.65)</f>
        <v>9.65</v>
      </c>
      <c r="H195" s="1">
        <f ca="1">IFERROR(__xludf.DUMMYFUNCTION("""COMPUTED_VALUE"""),15)</f>
        <v>15</v>
      </c>
      <c r="I195" s="1">
        <f ca="1">IFERROR(__xludf.DUMMYFUNCTION("""COMPUTED_VALUE"""),3)</f>
        <v>3</v>
      </c>
      <c r="J195" s="1">
        <f ca="1">IFERROR(__xludf.DUMMYFUNCTION("""COMPUTED_VALUE"""),13)</f>
        <v>13</v>
      </c>
      <c r="K195" s="1">
        <f ca="1">IFERROR(__xludf.DUMMYFUNCTION("""COMPUTED_VALUE"""),2)</f>
        <v>2</v>
      </c>
      <c r="L195" s="1">
        <f ca="1">IFERROR(__xludf.DUMMYFUNCTION("""COMPUTED_VALUE"""),7)</f>
        <v>7</v>
      </c>
      <c r="M195" s="1">
        <f ca="1">IFERROR(__xludf.DUMMYFUNCTION("""COMPUTED_VALUE"""),4)</f>
        <v>4</v>
      </c>
      <c r="N195" s="1">
        <f ca="1">IFERROR(__xludf.DUMMYFUNCTION("""COMPUTED_VALUE"""),2736)</f>
        <v>2736</v>
      </c>
      <c r="O195" s="1">
        <f ca="1">IFERROR(__xludf.DUMMYFUNCTION("""COMPUTED_VALUE"""),2408)</f>
        <v>2408</v>
      </c>
      <c r="P195" s="1">
        <f ca="1">IFERROR(__xludf.DUMMYFUNCTION("""COMPUTED_VALUE"""),1490)</f>
        <v>1490</v>
      </c>
      <c r="Q195" s="1">
        <f ca="1">IFERROR(__xludf.DUMMYFUNCTION("""COMPUTED_VALUE"""),945)</f>
        <v>945</v>
      </c>
      <c r="R195" s="1">
        <f ca="1">IFERROR(__xludf.DUMMYFUNCTION("""COMPUTED_VALUE"""),1982)</f>
        <v>1982</v>
      </c>
      <c r="S195" s="1">
        <f ca="1">IFERROR(__xludf.DUMMYFUNCTION("""COMPUTED_VALUE"""),0.477)</f>
        <v>0.47699999999999998</v>
      </c>
      <c r="T195" s="1">
        <f ca="1">IFERROR(__xludf.DUMMYFUNCTION("""COMPUTED_VALUE"""),319)</f>
        <v>319</v>
      </c>
      <c r="U195" s="1">
        <f ca="1">IFERROR(__xludf.DUMMYFUNCTION("""COMPUTED_VALUE"""),794)</f>
        <v>794</v>
      </c>
      <c r="V195" s="1">
        <f ca="1">IFERROR(__xludf.DUMMYFUNCTION("""COMPUTED_VALUE"""),0.402)</f>
        <v>0.40200000000000002</v>
      </c>
      <c r="W195" s="1">
        <f ca="1">IFERROR(__xludf.DUMMYFUNCTION("""COMPUTED_VALUE"""),527)</f>
        <v>527</v>
      </c>
      <c r="X195" s="1">
        <f ca="1">IFERROR(__xludf.DUMMYFUNCTION("""COMPUTED_VALUE"""),691)</f>
        <v>691</v>
      </c>
      <c r="Y195" s="1">
        <f ca="1">IFERROR(__xludf.DUMMYFUNCTION("""COMPUTED_VALUE"""),0.763)</f>
        <v>0.76300000000000001</v>
      </c>
      <c r="Z195" s="1">
        <f ca="1">IFERROR(__xludf.DUMMYFUNCTION("""COMPUTED_VALUE"""),316)</f>
        <v>316</v>
      </c>
      <c r="AA195" s="1">
        <f ca="1">IFERROR(__xludf.DUMMYFUNCTION("""COMPUTED_VALUE"""),1160)</f>
        <v>1160</v>
      </c>
      <c r="AB195" s="1">
        <f ca="1">IFERROR(__xludf.DUMMYFUNCTION("""COMPUTED_VALUE"""),525)</f>
        <v>525</v>
      </c>
      <c r="AC195" s="1">
        <f ca="1">IFERROR(__xludf.DUMMYFUNCTION("""COMPUTED_VALUE"""),191)</f>
        <v>191</v>
      </c>
      <c r="AD195" s="1">
        <f ca="1">IFERROR(__xludf.DUMMYFUNCTION("""COMPUTED_VALUE"""),88)</f>
        <v>88</v>
      </c>
      <c r="AE195" s="1">
        <f ca="1">IFERROR(__xludf.DUMMYFUNCTION("""COMPUTED_VALUE"""),336)</f>
        <v>336</v>
      </c>
      <c r="AF195" s="1">
        <f ca="1">IFERROR(__xludf.DUMMYFUNCTION("""COMPUTED_VALUE"""),527)</f>
        <v>527</v>
      </c>
    </row>
    <row r="196" spans="1:32" ht="12.5" x14ac:dyDescent="0.25">
      <c r="A196" s="1" t="str">
        <f ca="1">IFERROR(__xludf.DUMMYFUNCTION("""COMPUTED_VALUE"""),"Middle Tennessee")</f>
        <v>Middle Tennessee</v>
      </c>
      <c r="B196" s="1">
        <f ca="1">IFERROR(__xludf.DUMMYFUNCTION("""COMPUTED_VALUE"""),33)</f>
        <v>33</v>
      </c>
      <c r="C196" s="1">
        <f ca="1">IFERROR(__xludf.DUMMYFUNCTION("""COMPUTED_VALUE"""),24)</f>
        <v>24</v>
      </c>
      <c r="D196" s="1">
        <f ca="1">IFERROR(__xludf.DUMMYFUNCTION("""COMPUTED_VALUE"""),9)</f>
        <v>9</v>
      </c>
      <c r="E196" s="1">
        <f ca="1">IFERROR(__xludf.DUMMYFUNCTION("""COMPUTED_VALUE"""),0.727)</f>
        <v>0.72699999999999998</v>
      </c>
      <c r="F196" s="1">
        <f ca="1">IFERROR(__xludf.DUMMYFUNCTION("""COMPUTED_VALUE"""),4.77)</f>
        <v>4.7699999999999996</v>
      </c>
      <c r="G196" s="1">
        <f ca="1">IFERROR(__xludf.DUMMYFUNCTION("""COMPUTED_VALUE"""),-0.78)</f>
        <v>-0.78</v>
      </c>
      <c r="H196" s="1">
        <f ca="1">IFERROR(__xludf.DUMMYFUNCTION("""COMPUTED_VALUE"""),13)</f>
        <v>13</v>
      </c>
      <c r="I196" s="1">
        <f ca="1">IFERROR(__xludf.DUMMYFUNCTION("""COMPUTED_VALUE"""),3)</f>
        <v>3</v>
      </c>
      <c r="J196" s="1">
        <f ca="1">IFERROR(__xludf.DUMMYFUNCTION("""COMPUTED_VALUE"""),14)</f>
        <v>14</v>
      </c>
      <c r="K196" s="1">
        <f ca="1">IFERROR(__xludf.DUMMYFUNCTION("""COMPUTED_VALUE"""),2)</f>
        <v>2</v>
      </c>
      <c r="L196" s="1">
        <f ca="1">IFERROR(__xludf.DUMMYFUNCTION("""COMPUTED_VALUE"""),8)</f>
        <v>8</v>
      </c>
      <c r="M196" s="1">
        <f ca="1">IFERROR(__xludf.DUMMYFUNCTION("""COMPUTED_VALUE"""),5)</f>
        <v>5</v>
      </c>
      <c r="N196" s="1">
        <f ca="1">IFERROR(__xludf.DUMMYFUNCTION("""COMPUTED_VALUE"""),2339)</f>
        <v>2339</v>
      </c>
      <c r="O196" s="1">
        <f ca="1">IFERROR(__xludf.DUMMYFUNCTION("""COMPUTED_VALUE"""),2067)</f>
        <v>2067</v>
      </c>
      <c r="P196" s="1">
        <f ca="1">IFERROR(__xludf.DUMMYFUNCTION("""COMPUTED_VALUE"""),1330)</f>
        <v>1330</v>
      </c>
      <c r="Q196" s="1">
        <f ca="1">IFERROR(__xludf.DUMMYFUNCTION("""COMPUTED_VALUE"""),816)</f>
        <v>816</v>
      </c>
      <c r="R196" s="1">
        <f ca="1">IFERROR(__xludf.DUMMYFUNCTION("""COMPUTED_VALUE"""),1795)</f>
        <v>1795</v>
      </c>
      <c r="S196" s="1">
        <f ca="1">IFERROR(__xludf.DUMMYFUNCTION("""COMPUTED_VALUE"""),0.455)</f>
        <v>0.45500000000000002</v>
      </c>
      <c r="T196" s="1">
        <f ca="1">IFERROR(__xludf.DUMMYFUNCTION("""COMPUTED_VALUE"""),178)</f>
        <v>178</v>
      </c>
      <c r="U196" s="1">
        <f ca="1">IFERROR(__xludf.DUMMYFUNCTION("""COMPUTED_VALUE"""),520)</f>
        <v>520</v>
      </c>
      <c r="V196" s="1">
        <f ca="1">IFERROR(__xludf.DUMMYFUNCTION("""COMPUTED_VALUE"""),0.342)</f>
        <v>0.34200000000000003</v>
      </c>
      <c r="W196" s="1">
        <f ca="1">IFERROR(__xludf.DUMMYFUNCTION("""COMPUTED_VALUE"""),529)</f>
        <v>529</v>
      </c>
      <c r="X196" s="1">
        <f ca="1">IFERROR(__xludf.DUMMYFUNCTION("""COMPUTED_VALUE"""),796)</f>
        <v>796</v>
      </c>
      <c r="Y196" s="1">
        <f ca="1">IFERROR(__xludf.DUMMYFUNCTION("""COMPUTED_VALUE"""),0.665)</f>
        <v>0.66500000000000004</v>
      </c>
      <c r="Z196" s="1">
        <f ca="1">IFERROR(__xludf.DUMMYFUNCTION("""COMPUTED_VALUE"""),399)</f>
        <v>399</v>
      </c>
      <c r="AA196" s="1">
        <f ca="1">IFERROR(__xludf.DUMMYFUNCTION("""COMPUTED_VALUE"""),1211)</f>
        <v>1211</v>
      </c>
      <c r="AB196" s="1">
        <f ca="1">IFERROR(__xludf.DUMMYFUNCTION("""COMPUTED_VALUE"""),433)</f>
        <v>433</v>
      </c>
      <c r="AC196" s="1">
        <f ca="1">IFERROR(__xludf.DUMMYFUNCTION("""COMPUTED_VALUE"""),234)</f>
        <v>234</v>
      </c>
      <c r="AD196" s="1">
        <f ca="1">IFERROR(__xludf.DUMMYFUNCTION("""COMPUTED_VALUE"""),158)</f>
        <v>158</v>
      </c>
      <c r="AE196" s="1">
        <f ca="1">IFERROR(__xludf.DUMMYFUNCTION("""COMPUTED_VALUE"""),416)</f>
        <v>416</v>
      </c>
      <c r="AF196" s="1">
        <f ca="1">IFERROR(__xludf.DUMMYFUNCTION("""COMPUTED_VALUE"""),664)</f>
        <v>664</v>
      </c>
    </row>
    <row r="197" spans="1:32" ht="12.5" x14ac:dyDescent="0.25">
      <c r="A197" s="1" t="str">
        <f ca="1">IFERROR(__xludf.DUMMYFUNCTION("""COMPUTED_VALUE"""),"MilwaukeeNCAA")</f>
        <v>MilwaukeeNCAA</v>
      </c>
      <c r="B197" s="1">
        <f ca="1">IFERROR(__xludf.DUMMYFUNCTION("""COMPUTED_VALUE"""),35)</f>
        <v>35</v>
      </c>
      <c r="C197" s="1">
        <f ca="1">IFERROR(__xludf.DUMMYFUNCTION("""COMPUTED_VALUE"""),21)</f>
        <v>21</v>
      </c>
      <c r="D197" s="1">
        <f ca="1">IFERROR(__xludf.DUMMYFUNCTION("""COMPUTED_VALUE"""),14)</f>
        <v>14</v>
      </c>
      <c r="E197" s="1">
        <f ca="1">IFERROR(__xludf.DUMMYFUNCTION("""COMPUTED_VALUE"""),0.6)</f>
        <v>0.6</v>
      </c>
      <c r="F197" s="1">
        <f ca="1">IFERROR(__xludf.DUMMYFUNCTION("""COMPUTED_VALUE"""),-1.53)</f>
        <v>-1.53</v>
      </c>
      <c r="G197" s="1">
        <f ca="1">IFERROR(__xludf.DUMMYFUNCTION("""COMPUTED_VALUE"""),-0.44)</f>
        <v>-0.44</v>
      </c>
      <c r="H197" s="1">
        <f ca="1">IFERROR(__xludf.DUMMYFUNCTION("""COMPUTED_VALUE"""),7)</f>
        <v>7</v>
      </c>
      <c r="I197" s="1">
        <f ca="1">IFERROR(__xludf.DUMMYFUNCTION("""COMPUTED_VALUE"""),9)</f>
        <v>9</v>
      </c>
      <c r="J197" s="1">
        <f ca="1">IFERROR(__xludf.DUMMYFUNCTION("""COMPUTED_VALUE"""),7)</f>
        <v>7</v>
      </c>
      <c r="K197" s="1">
        <f ca="1">IFERROR(__xludf.DUMMYFUNCTION("""COMPUTED_VALUE"""),6)</f>
        <v>6</v>
      </c>
      <c r="L197" s="1">
        <f ca="1">IFERROR(__xludf.DUMMYFUNCTION("""COMPUTED_VALUE"""),10)</f>
        <v>10</v>
      </c>
      <c r="M197" s="1">
        <f ca="1">IFERROR(__xludf.DUMMYFUNCTION("""COMPUTED_VALUE"""),6)</f>
        <v>6</v>
      </c>
      <c r="N197" s="1">
        <f ca="1">IFERROR(__xludf.DUMMYFUNCTION("""COMPUTED_VALUE"""),2465)</f>
        <v>2465</v>
      </c>
      <c r="O197" s="1">
        <f ca="1">IFERROR(__xludf.DUMMYFUNCTION("""COMPUTED_VALUE"""),2469)</f>
        <v>2469</v>
      </c>
      <c r="P197" s="1">
        <f ca="1">IFERROR(__xludf.DUMMYFUNCTION("""COMPUTED_VALUE"""),1415)</f>
        <v>1415</v>
      </c>
      <c r="Q197" s="1">
        <f ca="1">IFERROR(__xludf.DUMMYFUNCTION("""COMPUTED_VALUE"""),808)</f>
        <v>808</v>
      </c>
      <c r="R197" s="1">
        <f ca="1">IFERROR(__xludf.DUMMYFUNCTION("""COMPUTED_VALUE"""),1888)</f>
        <v>1888</v>
      </c>
      <c r="S197" s="1">
        <f ca="1">IFERROR(__xludf.DUMMYFUNCTION("""COMPUTED_VALUE"""),0.428)</f>
        <v>0.42799999999999999</v>
      </c>
      <c r="T197" s="1">
        <f ca="1">IFERROR(__xludf.DUMMYFUNCTION("""COMPUTED_VALUE"""),245)</f>
        <v>245</v>
      </c>
      <c r="U197" s="1">
        <f ca="1">IFERROR(__xludf.DUMMYFUNCTION("""COMPUTED_VALUE"""),754)</f>
        <v>754</v>
      </c>
      <c r="V197" s="1">
        <f ca="1">IFERROR(__xludf.DUMMYFUNCTION("""COMPUTED_VALUE"""),0.325)</f>
        <v>0.32500000000000001</v>
      </c>
      <c r="W197" s="1">
        <f ca="1">IFERROR(__xludf.DUMMYFUNCTION("""COMPUTED_VALUE"""),604)</f>
        <v>604</v>
      </c>
      <c r="X197" s="1">
        <f ca="1">IFERROR(__xludf.DUMMYFUNCTION("""COMPUTED_VALUE"""),823)</f>
        <v>823</v>
      </c>
      <c r="Y197" s="1">
        <f ca="1">IFERROR(__xludf.DUMMYFUNCTION("""COMPUTED_VALUE"""),0.734)</f>
        <v>0.73399999999999999</v>
      </c>
      <c r="Z197" s="1">
        <f ca="1">IFERROR(__xludf.DUMMYFUNCTION("""COMPUTED_VALUE"""),343)</f>
        <v>343</v>
      </c>
      <c r="AA197" s="1">
        <f ca="1">IFERROR(__xludf.DUMMYFUNCTION("""COMPUTED_VALUE"""),1182)</f>
        <v>1182</v>
      </c>
      <c r="AB197" s="1">
        <f ca="1">IFERROR(__xludf.DUMMYFUNCTION("""COMPUTED_VALUE"""),476)</f>
        <v>476</v>
      </c>
      <c r="AC197" s="1">
        <f ca="1">IFERROR(__xludf.DUMMYFUNCTION("""COMPUTED_VALUE"""),200)</f>
        <v>200</v>
      </c>
      <c r="AD197" s="1">
        <f ca="1">IFERROR(__xludf.DUMMYFUNCTION("""COMPUTED_VALUE"""),85)</f>
        <v>85</v>
      </c>
      <c r="AE197" s="1">
        <f ca="1">IFERROR(__xludf.DUMMYFUNCTION("""COMPUTED_VALUE"""),469)</f>
        <v>469</v>
      </c>
      <c r="AF197" s="1">
        <f ca="1">IFERROR(__xludf.DUMMYFUNCTION("""COMPUTED_VALUE"""),630)</f>
        <v>630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IFERROR(__xludf.DUMMYFUNCTION("""COMPUTED_VALUE"""),"Minnesota")</f>
        <v>Minnesota</v>
      </c>
      <c r="B200" s="1">
        <f ca="1">IFERROR(__xludf.DUMMYFUNCTION("""COMPUTED_VALUE"""),38)</f>
        <v>38</v>
      </c>
      <c r="C200" s="1">
        <f ca="1">IFERROR(__xludf.DUMMYFUNCTION("""COMPUTED_VALUE"""),25)</f>
        <v>25</v>
      </c>
      <c r="D200" s="1">
        <f ca="1">IFERROR(__xludf.DUMMYFUNCTION("""COMPUTED_VALUE"""),13)</f>
        <v>13</v>
      </c>
      <c r="E200" s="1">
        <f ca="1">IFERROR(__xludf.DUMMYFUNCTION("""COMPUTED_VALUE"""),0.658)</f>
        <v>0.65800000000000003</v>
      </c>
      <c r="F200" s="1">
        <f ca="1">IFERROR(__xludf.DUMMYFUNCTION("""COMPUTED_VALUE"""),11.75)</f>
        <v>11.75</v>
      </c>
      <c r="G200" s="1">
        <f ca="1">IFERROR(__xludf.DUMMYFUNCTION("""COMPUTED_VALUE"""),8.34)</f>
        <v>8.34</v>
      </c>
      <c r="H200" s="1">
        <f ca="1">IFERROR(__xludf.DUMMYFUNCTION("""COMPUTED_VALUE"""),8)</f>
        <v>8</v>
      </c>
      <c r="I200" s="1">
        <f ca="1">IFERROR(__xludf.DUMMYFUNCTION("""COMPUTED_VALUE"""),10)</f>
        <v>10</v>
      </c>
      <c r="J200" s="1">
        <f ca="1">IFERROR(__xludf.DUMMYFUNCTION("""COMPUTED_VALUE"""),18)</f>
        <v>18</v>
      </c>
      <c r="K200" s="1">
        <f ca="1">IFERROR(__xludf.DUMMYFUNCTION("""COMPUTED_VALUE"""),3)</f>
        <v>3</v>
      </c>
      <c r="L200" s="1">
        <f ca="1">IFERROR(__xludf.DUMMYFUNCTION("""COMPUTED_VALUE"""),4)</f>
        <v>4</v>
      </c>
      <c r="M200" s="1">
        <f ca="1">IFERROR(__xludf.DUMMYFUNCTION("""COMPUTED_VALUE"""),7)</f>
        <v>7</v>
      </c>
      <c r="N200" s="1">
        <f ca="1">IFERROR(__xludf.DUMMYFUNCTION("""COMPUTED_VALUE"""),2715)</f>
        <v>2715</v>
      </c>
      <c r="O200" s="1">
        <f ca="1">IFERROR(__xludf.DUMMYFUNCTION("""COMPUTED_VALUE"""),2574)</f>
        <v>2574</v>
      </c>
      <c r="P200" s="1">
        <f ca="1">IFERROR(__xludf.DUMMYFUNCTION("""COMPUTED_VALUE"""),1545)</f>
        <v>1545</v>
      </c>
      <c r="Q200" s="1">
        <f ca="1">IFERROR(__xludf.DUMMYFUNCTION("""COMPUTED_VALUE"""),918)</f>
        <v>918</v>
      </c>
      <c r="R200" s="1">
        <f ca="1">IFERROR(__xludf.DUMMYFUNCTION("""COMPUTED_VALUE"""),2053)</f>
        <v>2053</v>
      </c>
      <c r="S200" s="1">
        <f ca="1">IFERROR(__xludf.DUMMYFUNCTION("""COMPUTED_VALUE"""),0.447)</f>
        <v>0.44700000000000001</v>
      </c>
      <c r="T200" s="1">
        <f ca="1">IFERROR(__xludf.DUMMYFUNCTION("""COMPUTED_VALUE"""),272)</f>
        <v>272</v>
      </c>
      <c r="U200" s="1">
        <f ca="1">IFERROR(__xludf.DUMMYFUNCTION("""COMPUTED_VALUE"""),773)</f>
        <v>773</v>
      </c>
      <c r="V200" s="1">
        <f ca="1">IFERROR(__xludf.DUMMYFUNCTION("""COMPUTED_VALUE"""),0.352)</f>
        <v>0.35199999999999998</v>
      </c>
      <c r="W200" s="1">
        <f ca="1">IFERROR(__xludf.DUMMYFUNCTION("""COMPUTED_VALUE"""),607)</f>
        <v>607</v>
      </c>
      <c r="X200" s="1">
        <f ca="1">IFERROR(__xludf.DUMMYFUNCTION("""COMPUTED_VALUE"""),818)</f>
        <v>818</v>
      </c>
      <c r="Y200" s="1">
        <f ca="1">IFERROR(__xludf.DUMMYFUNCTION("""COMPUTED_VALUE"""),0.742)</f>
        <v>0.74199999999999999</v>
      </c>
      <c r="Z200" s="1">
        <f ca="1">IFERROR(__xludf.DUMMYFUNCTION("""COMPUTED_VALUE"""),394)</f>
        <v>394</v>
      </c>
      <c r="AA200" s="1">
        <f ca="1">IFERROR(__xludf.DUMMYFUNCTION("""COMPUTED_VALUE"""),1282)</f>
        <v>1282</v>
      </c>
      <c r="AB200" s="1">
        <f ca="1">IFERROR(__xludf.DUMMYFUNCTION("""COMPUTED_VALUE"""),528)</f>
        <v>528</v>
      </c>
      <c r="AC200" s="1">
        <f ca="1">IFERROR(__xludf.DUMMYFUNCTION("""COMPUTED_VALUE"""),289)</f>
        <v>289</v>
      </c>
      <c r="AD200" s="1">
        <f ca="1">IFERROR(__xludf.DUMMYFUNCTION("""COMPUTED_VALUE"""),155)</f>
        <v>155</v>
      </c>
      <c r="AE200" s="1">
        <f ca="1">IFERROR(__xludf.DUMMYFUNCTION("""COMPUTED_VALUE"""),444)</f>
        <v>444</v>
      </c>
      <c r="AF200" s="1">
        <f ca="1">IFERROR(__xludf.DUMMYFUNCTION("""COMPUTED_VALUE"""),727)</f>
        <v>727</v>
      </c>
    </row>
    <row r="201" spans="1:32" ht="12.5" x14ac:dyDescent="0.25">
      <c r="A201" s="1" t="str">
        <f ca="1">IFERROR(__xludf.DUMMYFUNCTION("""COMPUTED_VALUE"""),"Mississippi State")</f>
        <v>Mississippi State</v>
      </c>
      <c r="B201" s="1">
        <f ca="1">IFERROR(__xludf.DUMMYFUNCTION("""COMPUTED_VALUE"""),33)</f>
        <v>33</v>
      </c>
      <c r="C201" s="1">
        <f ca="1">IFERROR(__xludf.DUMMYFUNCTION("""COMPUTED_VALUE"""),14)</f>
        <v>14</v>
      </c>
      <c r="D201" s="1">
        <f ca="1">IFERROR(__xludf.DUMMYFUNCTION("""COMPUTED_VALUE"""),19)</f>
        <v>19</v>
      </c>
      <c r="E201" s="1">
        <f ca="1">IFERROR(__xludf.DUMMYFUNCTION("""COMPUTED_VALUE"""),0.424)</f>
        <v>0.42399999999999999</v>
      </c>
      <c r="F201" s="1">
        <f ca="1">IFERROR(__xludf.DUMMYFUNCTION("""COMPUTED_VALUE"""),-0.86)</f>
        <v>-0.86</v>
      </c>
      <c r="G201" s="1">
        <f ca="1">IFERROR(__xludf.DUMMYFUNCTION("""COMPUTED_VALUE"""),2.75)</f>
        <v>2.75</v>
      </c>
      <c r="H201" s="1">
        <f ca="1">IFERROR(__xludf.DUMMYFUNCTION("""COMPUTED_VALUE"""),3)</f>
        <v>3</v>
      </c>
      <c r="I201" s="1">
        <f ca="1">IFERROR(__xludf.DUMMYFUNCTION("""COMPUTED_VALUE"""),15)</f>
        <v>15</v>
      </c>
      <c r="J201" s="1">
        <f ca="1">IFERROR(__xludf.DUMMYFUNCTION("""COMPUTED_VALUE"""),11)</f>
        <v>11</v>
      </c>
      <c r="K201" s="1">
        <f ca="1">IFERROR(__xludf.DUMMYFUNCTION("""COMPUTED_VALUE"""),7)</f>
        <v>7</v>
      </c>
      <c r="L201" s="1">
        <f ca="1">IFERROR(__xludf.DUMMYFUNCTION("""COMPUTED_VALUE"""),0)</f>
        <v>0</v>
      </c>
      <c r="M201" s="1">
        <f ca="1">IFERROR(__xludf.DUMMYFUNCTION("""COMPUTED_VALUE"""),10)</f>
        <v>10</v>
      </c>
      <c r="N201" s="1">
        <f ca="1">IFERROR(__xludf.DUMMYFUNCTION("""COMPUTED_VALUE"""),2234)</f>
        <v>2234</v>
      </c>
      <c r="O201" s="1">
        <f ca="1">IFERROR(__xludf.DUMMYFUNCTION("""COMPUTED_VALUE"""),2353)</f>
        <v>2353</v>
      </c>
      <c r="P201" s="1">
        <f ca="1">IFERROR(__xludf.DUMMYFUNCTION("""COMPUTED_VALUE"""),1330)</f>
        <v>1330</v>
      </c>
      <c r="Q201" s="1">
        <f ca="1">IFERROR(__xludf.DUMMYFUNCTION("""COMPUTED_VALUE"""),785)</f>
        <v>785</v>
      </c>
      <c r="R201" s="1">
        <f ca="1">IFERROR(__xludf.DUMMYFUNCTION("""COMPUTED_VALUE"""),1776)</f>
        <v>1776</v>
      </c>
      <c r="S201" s="1">
        <f ca="1">IFERROR(__xludf.DUMMYFUNCTION("""COMPUTED_VALUE"""),0.442)</f>
        <v>0.442</v>
      </c>
      <c r="T201" s="1">
        <f ca="1">IFERROR(__xludf.DUMMYFUNCTION("""COMPUTED_VALUE"""),154)</f>
        <v>154</v>
      </c>
      <c r="U201" s="1">
        <f ca="1">IFERROR(__xludf.DUMMYFUNCTION("""COMPUTED_VALUE"""),502)</f>
        <v>502</v>
      </c>
      <c r="V201" s="1">
        <f ca="1">IFERROR(__xludf.DUMMYFUNCTION("""COMPUTED_VALUE"""),0.307)</f>
        <v>0.307</v>
      </c>
      <c r="W201" s="1">
        <f ca="1">IFERROR(__xludf.DUMMYFUNCTION("""COMPUTED_VALUE"""),510)</f>
        <v>510</v>
      </c>
      <c r="X201" s="1">
        <f ca="1">IFERROR(__xludf.DUMMYFUNCTION("""COMPUTED_VALUE"""),769)</f>
        <v>769</v>
      </c>
      <c r="Y201" s="1">
        <f ca="1">IFERROR(__xludf.DUMMYFUNCTION("""COMPUTED_VALUE"""),0.663)</f>
        <v>0.66300000000000003</v>
      </c>
      <c r="Z201" s="1">
        <f ca="1">IFERROR(__xludf.DUMMYFUNCTION("""COMPUTED_VALUE"""),325)</f>
        <v>325</v>
      </c>
      <c r="AA201" s="1">
        <f ca="1">IFERROR(__xludf.DUMMYFUNCTION("""COMPUTED_VALUE"""),1086)</f>
        <v>1086</v>
      </c>
      <c r="AB201" s="1">
        <f ca="1">IFERROR(__xludf.DUMMYFUNCTION("""COMPUTED_VALUE"""),401)</f>
        <v>401</v>
      </c>
      <c r="AC201" s="1">
        <f ca="1">IFERROR(__xludf.DUMMYFUNCTION("""COMPUTED_VALUE"""),255)</f>
        <v>255</v>
      </c>
      <c r="AD201" s="1">
        <f ca="1">IFERROR(__xludf.DUMMYFUNCTION("""COMPUTED_VALUE"""),88)</f>
        <v>88</v>
      </c>
      <c r="AE201" s="1">
        <f ca="1">IFERROR(__xludf.DUMMYFUNCTION("""COMPUTED_VALUE"""),459)</f>
        <v>459</v>
      </c>
      <c r="AF201" s="1">
        <f ca="1">IFERROR(__xludf.DUMMYFUNCTION("""COMPUTED_VALUE"""),570)</f>
        <v>570</v>
      </c>
    </row>
    <row r="202" spans="1:32" ht="12.5" x14ac:dyDescent="0.25">
      <c r="A202" s="1" t="str">
        <f ca="1">IFERROR(__xludf.DUMMYFUNCTION("""COMPUTED_VALUE"""),"Mississippi Valley State")</f>
        <v>Mississippi Valley State</v>
      </c>
      <c r="B202" s="1">
        <f ca="1">IFERROR(__xludf.DUMMYFUNCTION("""COMPUTED_VALUE"""),32)</f>
        <v>32</v>
      </c>
      <c r="C202" s="1">
        <f ca="1">IFERROR(__xludf.DUMMYFUNCTION("""COMPUTED_VALUE"""),9)</f>
        <v>9</v>
      </c>
      <c r="D202" s="1">
        <f ca="1">IFERROR(__xludf.DUMMYFUNCTION("""COMPUTED_VALUE"""),23)</f>
        <v>23</v>
      </c>
      <c r="E202" s="1">
        <f ca="1">IFERROR(__xludf.DUMMYFUNCTION("""COMPUTED_VALUE"""),0.281)</f>
        <v>0.28100000000000003</v>
      </c>
      <c r="F202" s="1">
        <f ca="1">IFERROR(__xludf.DUMMYFUNCTION("""COMPUTED_VALUE"""),-21.08)</f>
        <v>-21.08</v>
      </c>
      <c r="G202" s="1">
        <f ca="1">IFERROR(__xludf.DUMMYFUNCTION("""COMPUTED_VALUE"""),-8.35)</f>
        <v>-8.35</v>
      </c>
      <c r="H202" s="1">
        <f ca="1">IFERROR(__xludf.DUMMYFUNCTION("""COMPUTED_VALUE"""),5)</f>
        <v>5</v>
      </c>
      <c r="I202" s="1">
        <f ca="1">IFERROR(__xludf.DUMMYFUNCTION("""COMPUTED_VALUE"""),13)</f>
        <v>13</v>
      </c>
      <c r="J202" s="1">
        <f ca="1">IFERROR(__xludf.DUMMYFUNCTION("""COMPUTED_VALUE"""),6)</f>
        <v>6</v>
      </c>
      <c r="K202" s="1">
        <f ca="1">IFERROR(__xludf.DUMMYFUNCTION("""COMPUTED_VALUE"""),4)</f>
        <v>4</v>
      </c>
      <c r="L202" s="1">
        <f ca="1">IFERROR(__xludf.DUMMYFUNCTION("""COMPUTED_VALUE"""),1)</f>
        <v>1</v>
      </c>
      <c r="M202" s="1">
        <f ca="1">IFERROR(__xludf.DUMMYFUNCTION("""COMPUTED_VALUE"""),17)</f>
        <v>17</v>
      </c>
      <c r="N202" s="1">
        <f ca="1">IFERROR(__xludf.DUMMYFUNCTION("""COMPUTED_VALUE"""),2293)</f>
        <v>2293</v>
      </c>
      <c r="O202" s="1">
        <f ca="1">IFERROR(__xludf.DUMMYFUNCTION("""COMPUTED_VALUE"""),2582)</f>
        <v>2582</v>
      </c>
      <c r="P202" s="1">
        <f ca="1">IFERROR(__xludf.DUMMYFUNCTION("""COMPUTED_VALUE"""),1281)</f>
        <v>1281</v>
      </c>
      <c r="Q202" s="1">
        <f ca="1">IFERROR(__xludf.DUMMYFUNCTION("""COMPUTED_VALUE"""),808)</f>
        <v>808</v>
      </c>
      <c r="R202" s="1">
        <f ca="1">IFERROR(__xludf.DUMMYFUNCTION("""COMPUTED_VALUE"""),1934)</f>
        <v>1934</v>
      </c>
      <c r="S202" s="1">
        <f ca="1">IFERROR(__xludf.DUMMYFUNCTION("""COMPUTED_VALUE"""),0.418)</f>
        <v>0.41799999999999998</v>
      </c>
      <c r="T202" s="1">
        <f ca="1">IFERROR(__xludf.DUMMYFUNCTION("""COMPUTED_VALUE"""),203)</f>
        <v>203</v>
      </c>
      <c r="U202" s="1">
        <f ca="1">IFERROR(__xludf.DUMMYFUNCTION("""COMPUTED_VALUE"""),646)</f>
        <v>646</v>
      </c>
      <c r="V202" s="1">
        <f ca="1">IFERROR(__xludf.DUMMYFUNCTION("""COMPUTED_VALUE"""),0.314)</f>
        <v>0.314</v>
      </c>
      <c r="W202" s="1">
        <f ca="1">IFERROR(__xludf.DUMMYFUNCTION("""COMPUTED_VALUE"""),474)</f>
        <v>474</v>
      </c>
      <c r="X202" s="1">
        <f ca="1">IFERROR(__xludf.DUMMYFUNCTION("""COMPUTED_VALUE"""),707)</f>
        <v>707</v>
      </c>
      <c r="Y202" s="1">
        <f ca="1">IFERROR(__xludf.DUMMYFUNCTION("""COMPUTED_VALUE"""),0.67)</f>
        <v>0.67</v>
      </c>
      <c r="Z202" s="1">
        <f ca="1">IFERROR(__xludf.DUMMYFUNCTION("""COMPUTED_VALUE"""),374)</f>
        <v>374</v>
      </c>
      <c r="AA202" s="1">
        <f ca="1">IFERROR(__xludf.DUMMYFUNCTION("""COMPUTED_VALUE"""),1115)</f>
        <v>1115</v>
      </c>
      <c r="AB202" s="1">
        <f ca="1">IFERROR(__xludf.DUMMYFUNCTION("""COMPUTED_VALUE"""),357)</f>
        <v>357</v>
      </c>
      <c r="AC202" s="1">
        <f ca="1">IFERROR(__xludf.DUMMYFUNCTION("""COMPUTED_VALUE"""),245)</f>
        <v>245</v>
      </c>
      <c r="AD202" s="1">
        <f ca="1">IFERROR(__xludf.DUMMYFUNCTION("""COMPUTED_VALUE"""),59)</f>
        <v>59</v>
      </c>
      <c r="AE202" s="1">
        <f ca="1">IFERROR(__xludf.DUMMYFUNCTION("""COMPUTED_VALUE"""),469)</f>
        <v>469</v>
      </c>
      <c r="AF202" s="1">
        <f ca="1">IFERROR(__xludf.DUMMYFUNCTION("""COMPUTED_VALUE"""),719)</f>
        <v>719</v>
      </c>
    </row>
    <row r="203" spans="1:32" ht="12.5" x14ac:dyDescent="0.25">
      <c r="A203" s="1" t="str">
        <f ca="1">IFERROR(__xludf.DUMMYFUNCTION("""COMPUTED_VALUE"""),"Mississippi")</f>
        <v>Mississippi</v>
      </c>
      <c r="B203" s="1">
        <f ca="1">IFERROR(__xludf.DUMMYFUNCTION("""COMPUTED_VALUE"""),33)</f>
        <v>33</v>
      </c>
      <c r="C203" s="1">
        <f ca="1">IFERROR(__xludf.DUMMYFUNCTION("""COMPUTED_VALUE"""),19)</f>
        <v>19</v>
      </c>
      <c r="D203" s="1">
        <f ca="1">IFERROR(__xludf.DUMMYFUNCTION("""COMPUTED_VALUE"""),14)</f>
        <v>14</v>
      </c>
      <c r="E203" s="1">
        <f ca="1">IFERROR(__xludf.DUMMYFUNCTION("""COMPUTED_VALUE"""),0.576)</f>
        <v>0.57599999999999996</v>
      </c>
      <c r="F203" s="1">
        <f ca="1">IFERROR(__xludf.DUMMYFUNCTION("""COMPUTED_VALUE"""),7.84)</f>
        <v>7.84</v>
      </c>
      <c r="G203" s="1">
        <f ca="1">IFERROR(__xludf.DUMMYFUNCTION("""COMPUTED_VALUE"""),5.36)</f>
        <v>5.36</v>
      </c>
      <c r="H203" s="1">
        <f ca="1">IFERROR(__xludf.DUMMYFUNCTION("""COMPUTED_VALUE"""),9)</f>
        <v>9</v>
      </c>
      <c r="I203" s="1">
        <f ca="1">IFERROR(__xludf.DUMMYFUNCTION("""COMPUTED_VALUE"""),9)</f>
        <v>9</v>
      </c>
      <c r="J203" s="1">
        <f ca="1">IFERROR(__xludf.DUMMYFUNCTION("""COMPUTED_VALUE"""),12)</f>
        <v>12</v>
      </c>
      <c r="K203" s="1">
        <f ca="1">IFERROR(__xludf.DUMMYFUNCTION("""COMPUTED_VALUE"""),5)</f>
        <v>5</v>
      </c>
      <c r="L203" s="1">
        <f ca="1">IFERROR(__xludf.DUMMYFUNCTION("""COMPUTED_VALUE"""),4)</f>
        <v>4</v>
      </c>
      <c r="M203" s="1">
        <f ca="1">IFERROR(__xludf.DUMMYFUNCTION("""COMPUTED_VALUE"""),8)</f>
        <v>8</v>
      </c>
      <c r="N203" s="1">
        <f ca="1">IFERROR(__xludf.DUMMYFUNCTION("""COMPUTED_VALUE"""),2482)</f>
        <v>2482</v>
      </c>
      <c r="O203" s="1">
        <f ca="1">IFERROR(__xludf.DUMMYFUNCTION("""COMPUTED_VALUE"""),2400)</f>
        <v>2400</v>
      </c>
      <c r="P203" s="1">
        <f ca="1">IFERROR(__xludf.DUMMYFUNCTION("""COMPUTED_VALUE"""),1335)</f>
        <v>1335</v>
      </c>
      <c r="Q203" s="1">
        <f ca="1">IFERROR(__xludf.DUMMYFUNCTION("""COMPUTED_VALUE"""),836)</f>
        <v>836</v>
      </c>
      <c r="R203" s="1">
        <f ca="1">IFERROR(__xludf.DUMMYFUNCTION("""COMPUTED_VALUE"""),2003)</f>
        <v>2003</v>
      </c>
      <c r="S203" s="1">
        <f ca="1">IFERROR(__xludf.DUMMYFUNCTION("""COMPUTED_VALUE"""),0.417)</f>
        <v>0.41699999999999998</v>
      </c>
      <c r="T203" s="1">
        <f ca="1">IFERROR(__xludf.DUMMYFUNCTION("""COMPUTED_VALUE"""),258)</f>
        <v>258</v>
      </c>
      <c r="U203" s="1">
        <f ca="1">IFERROR(__xludf.DUMMYFUNCTION("""COMPUTED_VALUE"""),761)</f>
        <v>761</v>
      </c>
      <c r="V203" s="1">
        <f ca="1">IFERROR(__xludf.DUMMYFUNCTION("""COMPUTED_VALUE"""),0.339)</f>
        <v>0.33900000000000002</v>
      </c>
      <c r="W203" s="1">
        <f ca="1">IFERROR(__xludf.DUMMYFUNCTION("""COMPUTED_VALUE"""),552)</f>
        <v>552</v>
      </c>
      <c r="X203" s="1">
        <f ca="1">IFERROR(__xludf.DUMMYFUNCTION("""COMPUTED_VALUE"""),793)</f>
        <v>793</v>
      </c>
      <c r="Y203" s="1">
        <f ca="1">IFERROR(__xludf.DUMMYFUNCTION("""COMPUTED_VALUE"""),0.696)</f>
        <v>0.69599999999999995</v>
      </c>
      <c r="Z203" s="1">
        <f ca="1">IFERROR(__xludf.DUMMYFUNCTION("""COMPUTED_VALUE"""),428)</f>
        <v>428</v>
      </c>
      <c r="AA203" s="1">
        <f ca="1">IFERROR(__xludf.DUMMYFUNCTION("""COMPUTED_VALUE"""),1211)</f>
        <v>1211</v>
      </c>
      <c r="AB203" s="1">
        <f ca="1">IFERROR(__xludf.DUMMYFUNCTION("""COMPUTED_VALUE"""),413)</f>
        <v>413</v>
      </c>
      <c r="AC203" s="1">
        <f ca="1">IFERROR(__xludf.DUMMYFUNCTION("""COMPUTED_VALUE"""),246)</f>
        <v>246</v>
      </c>
      <c r="AD203" s="1">
        <f ca="1">IFERROR(__xludf.DUMMYFUNCTION("""COMPUTED_VALUE"""),182)</f>
        <v>182</v>
      </c>
      <c r="AE203" s="1">
        <f ca="1">IFERROR(__xludf.DUMMYFUNCTION("""COMPUTED_VALUE"""),369)</f>
        <v>369</v>
      </c>
      <c r="AF203" s="1">
        <f ca="1">IFERROR(__xludf.DUMMYFUNCTION("""COMPUTED_VALUE"""),641)</f>
        <v>641</v>
      </c>
    </row>
    <row r="204" spans="1:32" ht="12.5" x14ac:dyDescent="0.25">
      <c r="A204" s="1" t="str">
        <f ca="1">IFERROR(__xludf.DUMMYFUNCTION("""COMPUTED_VALUE"""),"Missouri-Kansas City")</f>
        <v>Missouri-Kansas City</v>
      </c>
      <c r="B204" s="1">
        <f ca="1">IFERROR(__xludf.DUMMYFUNCTION("""COMPUTED_VALUE"""),30)</f>
        <v>30</v>
      </c>
      <c r="C204" s="1">
        <f ca="1">IFERROR(__xludf.DUMMYFUNCTION("""COMPUTED_VALUE"""),10)</f>
        <v>10</v>
      </c>
      <c r="D204" s="1">
        <f ca="1">IFERROR(__xludf.DUMMYFUNCTION("""COMPUTED_VALUE"""),20)</f>
        <v>20</v>
      </c>
      <c r="E204" s="1">
        <f ca="1">IFERROR(__xludf.DUMMYFUNCTION("""COMPUTED_VALUE"""),0.333)</f>
        <v>0.33300000000000002</v>
      </c>
      <c r="F204" s="1">
        <f ca="1">IFERROR(__xludf.DUMMYFUNCTION("""COMPUTED_VALUE"""),-9)</f>
        <v>-9</v>
      </c>
      <c r="G204" s="1">
        <f ca="1">IFERROR(__xludf.DUMMYFUNCTION("""COMPUTED_VALUE"""),-1.93)</f>
        <v>-1.93</v>
      </c>
      <c r="H204" s="1">
        <f ca="1">IFERROR(__xludf.DUMMYFUNCTION("""COMPUTED_VALUE"""),7)</f>
        <v>7</v>
      </c>
      <c r="I204" s="1">
        <f ca="1">IFERROR(__xludf.DUMMYFUNCTION("""COMPUTED_VALUE"""),9)</f>
        <v>9</v>
      </c>
      <c r="J204" s="1">
        <f ca="1">IFERROR(__xludf.DUMMYFUNCTION("""COMPUTED_VALUE"""),5)</f>
        <v>5</v>
      </c>
      <c r="K204" s="1">
        <f ca="1">IFERROR(__xludf.DUMMYFUNCTION("""COMPUTED_VALUE"""),9)</f>
        <v>9</v>
      </c>
      <c r="L204" s="1">
        <f ca="1">IFERROR(__xludf.DUMMYFUNCTION("""COMPUTED_VALUE"""),5)</f>
        <v>5</v>
      </c>
      <c r="M204" s="1">
        <f ca="1">IFERROR(__xludf.DUMMYFUNCTION("""COMPUTED_VALUE"""),10)</f>
        <v>10</v>
      </c>
      <c r="N204" s="1">
        <f ca="1">IFERROR(__xludf.DUMMYFUNCTION("""COMPUTED_VALUE"""),2085)</f>
        <v>2085</v>
      </c>
      <c r="O204" s="1">
        <f ca="1">IFERROR(__xludf.DUMMYFUNCTION("""COMPUTED_VALUE"""),2295)</f>
        <v>2295</v>
      </c>
      <c r="P204" s="1">
        <f ca="1">IFERROR(__xludf.DUMMYFUNCTION("""COMPUTED_VALUE"""),1200)</f>
        <v>1200</v>
      </c>
      <c r="Q204" s="1">
        <f ca="1">IFERROR(__xludf.DUMMYFUNCTION("""COMPUTED_VALUE"""),729)</f>
        <v>729</v>
      </c>
      <c r="R204" s="1">
        <f ca="1">IFERROR(__xludf.DUMMYFUNCTION("""COMPUTED_VALUE"""),1697)</f>
        <v>1697</v>
      </c>
      <c r="S204" s="1">
        <f ca="1">IFERROR(__xludf.DUMMYFUNCTION("""COMPUTED_VALUE"""),0.43)</f>
        <v>0.43</v>
      </c>
      <c r="T204" s="1">
        <f ca="1">IFERROR(__xludf.DUMMYFUNCTION("""COMPUTED_VALUE"""),167)</f>
        <v>167</v>
      </c>
      <c r="U204" s="1">
        <f ca="1">IFERROR(__xludf.DUMMYFUNCTION("""COMPUTED_VALUE"""),552)</f>
        <v>552</v>
      </c>
      <c r="V204" s="1">
        <f ca="1">IFERROR(__xludf.DUMMYFUNCTION("""COMPUTED_VALUE"""),0.303)</f>
        <v>0.30299999999999999</v>
      </c>
      <c r="W204" s="1">
        <f ca="1">IFERROR(__xludf.DUMMYFUNCTION("""COMPUTED_VALUE"""),460)</f>
        <v>460</v>
      </c>
      <c r="X204" s="1">
        <f ca="1">IFERROR(__xludf.DUMMYFUNCTION("""COMPUTED_VALUE"""),725)</f>
        <v>725</v>
      </c>
      <c r="Y204" s="1">
        <f ca="1">IFERROR(__xludf.DUMMYFUNCTION("""COMPUTED_VALUE"""),0.634)</f>
        <v>0.63400000000000001</v>
      </c>
      <c r="Z204" s="1">
        <f ca="1">IFERROR(__xludf.DUMMYFUNCTION("""COMPUTED_VALUE"""),290)</f>
        <v>290</v>
      </c>
      <c r="AA204" s="1">
        <f ca="1">IFERROR(__xludf.DUMMYFUNCTION("""COMPUTED_VALUE"""),981)</f>
        <v>981</v>
      </c>
      <c r="AB204" s="1">
        <f ca="1">IFERROR(__xludf.DUMMYFUNCTION("""COMPUTED_VALUE"""),349)</f>
        <v>349</v>
      </c>
      <c r="AC204" s="1">
        <f ca="1">IFERROR(__xludf.DUMMYFUNCTION("""COMPUTED_VALUE"""),217)</f>
        <v>217</v>
      </c>
      <c r="AD204" s="1">
        <f ca="1">IFERROR(__xludf.DUMMYFUNCTION("""COMPUTED_VALUE"""),70)</f>
        <v>70</v>
      </c>
      <c r="AE204" s="1">
        <f ca="1">IFERROR(__xludf.DUMMYFUNCTION("""COMPUTED_VALUE"""),397)</f>
        <v>397</v>
      </c>
      <c r="AF204" s="1">
        <f ca="1">IFERROR(__xludf.DUMMYFUNCTION("""COMPUTED_VALUE"""),621)</f>
        <v>621</v>
      </c>
    </row>
    <row r="205" spans="1:32" ht="12.5" x14ac:dyDescent="0.25">
      <c r="A205" s="1" t="str">
        <f ca="1">IFERROR(__xludf.DUMMYFUNCTION("""COMPUTED_VALUE"""),"Missouri State")</f>
        <v>Missouri State</v>
      </c>
      <c r="B205" s="1">
        <f ca="1">IFERROR(__xludf.DUMMYFUNCTION("""COMPUTED_VALUE"""),33)</f>
        <v>33</v>
      </c>
      <c r="C205" s="1">
        <f ca="1">IFERROR(__xludf.DUMMYFUNCTION("""COMPUTED_VALUE"""),20)</f>
        <v>20</v>
      </c>
      <c r="D205" s="1">
        <f ca="1">IFERROR(__xludf.DUMMYFUNCTION("""COMPUTED_VALUE"""),13)</f>
        <v>13</v>
      </c>
      <c r="E205" s="1">
        <f ca="1">IFERROR(__xludf.DUMMYFUNCTION("""COMPUTED_VALUE"""),0.606)</f>
        <v>0.60599999999999998</v>
      </c>
      <c r="F205" s="1">
        <f ca="1">IFERROR(__xludf.DUMMYFUNCTION("""COMPUTED_VALUE"""),0.81)</f>
        <v>0.81</v>
      </c>
      <c r="G205" s="1">
        <f ca="1">IFERROR(__xludf.DUMMYFUNCTION("""COMPUTED_VALUE"""),1.22)</f>
        <v>1.22</v>
      </c>
      <c r="H205" s="1">
        <f ca="1">IFERROR(__xludf.DUMMYFUNCTION("""COMPUTED_VALUE"""),9)</f>
        <v>9</v>
      </c>
      <c r="I205" s="1">
        <f ca="1">IFERROR(__xludf.DUMMYFUNCTION("""COMPUTED_VALUE"""),9)</f>
        <v>9</v>
      </c>
      <c r="J205" s="1">
        <f ca="1">IFERROR(__xludf.DUMMYFUNCTION("""COMPUTED_VALUE"""),14)</f>
        <v>14</v>
      </c>
      <c r="K205" s="1">
        <f ca="1">IFERROR(__xludf.DUMMYFUNCTION("""COMPUTED_VALUE"""),3)</f>
        <v>3</v>
      </c>
      <c r="L205" s="1">
        <f ca="1">IFERROR(__xludf.DUMMYFUNCTION("""COMPUTED_VALUE"""),4)</f>
        <v>4</v>
      </c>
      <c r="M205" s="1">
        <f ca="1">IFERROR(__xludf.DUMMYFUNCTION("""COMPUTED_VALUE"""),8)</f>
        <v>8</v>
      </c>
      <c r="N205" s="1">
        <f ca="1">IFERROR(__xludf.DUMMYFUNCTION("""COMPUTED_VALUE"""),2262)</f>
        <v>2262</v>
      </c>
      <c r="O205" s="1">
        <f ca="1">IFERROR(__xludf.DUMMYFUNCTION("""COMPUTED_VALUE"""),2251)</f>
        <v>2251</v>
      </c>
      <c r="P205" s="1">
        <f ca="1">IFERROR(__xludf.DUMMYFUNCTION("""COMPUTED_VALUE"""),1335)</f>
        <v>1335</v>
      </c>
      <c r="Q205" s="1">
        <f ca="1">IFERROR(__xludf.DUMMYFUNCTION("""COMPUTED_VALUE"""),761)</f>
        <v>761</v>
      </c>
      <c r="R205" s="1">
        <f ca="1">IFERROR(__xludf.DUMMYFUNCTION("""COMPUTED_VALUE"""),1765)</f>
        <v>1765</v>
      </c>
      <c r="S205" s="1">
        <f ca="1">IFERROR(__xludf.DUMMYFUNCTION("""COMPUTED_VALUE"""),0.431)</f>
        <v>0.43099999999999999</v>
      </c>
      <c r="T205" s="1">
        <f ca="1">IFERROR(__xludf.DUMMYFUNCTION("""COMPUTED_VALUE"""),230)</f>
        <v>230</v>
      </c>
      <c r="U205" s="1">
        <f ca="1">IFERROR(__xludf.DUMMYFUNCTION("""COMPUTED_VALUE"""),645)</f>
        <v>645</v>
      </c>
      <c r="V205" s="1">
        <f ca="1">IFERROR(__xludf.DUMMYFUNCTION("""COMPUTED_VALUE"""),0.357)</f>
        <v>0.35699999999999998</v>
      </c>
      <c r="W205" s="1">
        <f ca="1">IFERROR(__xludf.DUMMYFUNCTION("""COMPUTED_VALUE"""),510)</f>
        <v>510</v>
      </c>
      <c r="X205" s="1">
        <f ca="1">IFERROR(__xludf.DUMMYFUNCTION("""COMPUTED_VALUE"""),720)</f>
        <v>720</v>
      </c>
      <c r="Y205" s="1">
        <f ca="1">IFERROR(__xludf.DUMMYFUNCTION("""COMPUTED_VALUE"""),0.708)</f>
        <v>0.70799999999999996</v>
      </c>
      <c r="Z205" s="1">
        <f ca="1">IFERROR(__xludf.DUMMYFUNCTION("""COMPUTED_VALUE"""),303)</f>
        <v>303</v>
      </c>
      <c r="AA205" s="1">
        <f ca="1">IFERROR(__xludf.DUMMYFUNCTION("""COMPUTED_VALUE"""),1080)</f>
        <v>1080</v>
      </c>
      <c r="AB205" s="1">
        <f ca="1">IFERROR(__xludf.DUMMYFUNCTION("""COMPUTED_VALUE"""),401)</f>
        <v>401</v>
      </c>
      <c r="AC205" s="1">
        <f ca="1">IFERROR(__xludf.DUMMYFUNCTION("""COMPUTED_VALUE"""),160)</f>
        <v>160</v>
      </c>
      <c r="AD205" s="1">
        <f ca="1">IFERROR(__xludf.DUMMYFUNCTION("""COMPUTED_VALUE"""),99)</f>
        <v>99</v>
      </c>
      <c r="AE205" s="1">
        <f ca="1">IFERROR(__xludf.DUMMYFUNCTION("""COMPUTED_VALUE"""),361)</f>
        <v>361</v>
      </c>
      <c r="AF205" s="1">
        <f ca="1">IFERROR(__xludf.DUMMYFUNCTION("""COMPUTED_VALUE"""),652)</f>
        <v>652</v>
      </c>
    </row>
    <row r="206" spans="1:32" ht="12.5" x14ac:dyDescent="0.25">
      <c r="A206" s="1" t="str">
        <f ca="1">IFERROR(__xludf.DUMMYFUNCTION("""COMPUTED_VALUE"""),"Missouri")</f>
        <v>Missouri</v>
      </c>
      <c r="B206" s="1">
        <f ca="1">IFERROR(__xludf.DUMMYFUNCTION("""COMPUTED_VALUE"""),35)</f>
        <v>35</v>
      </c>
      <c r="C206" s="1">
        <f ca="1">IFERROR(__xludf.DUMMYFUNCTION("""COMPUTED_VALUE"""),23)</f>
        <v>23</v>
      </c>
      <c r="D206" s="1">
        <f ca="1">IFERROR(__xludf.DUMMYFUNCTION("""COMPUTED_VALUE"""),12)</f>
        <v>12</v>
      </c>
      <c r="E206" s="1">
        <f ca="1">IFERROR(__xludf.DUMMYFUNCTION("""COMPUTED_VALUE"""),0.657)</f>
        <v>0.65700000000000003</v>
      </c>
      <c r="F206" s="1">
        <f ca="1">IFERROR(__xludf.DUMMYFUNCTION("""COMPUTED_VALUE"""),10.06)</f>
        <v>10.06</v>
      </c>
      <c r="G206" s="1">
        <f ca="1">IFERROR(__xludf.DUMMYFUNCTION("""COMPUTED_VALUE"""),6.86)</f>
        <v>6.86</v>
      </c>
      <c r="H206" s="1">
        <f ca="1">IFERROR(__xludf.DUMMYFUNCTION("""COMPUTED_VALUE"""),9)</f>
        <v>9</v>
      </c>
      <c r="I206" s="1">
        <f ca="1">IFERROR(__xludf.DUMMYFUNCTION("""COMPUTED_VALUE"""),9)</f>
        <v>9</v>
      </c>
      <c r="J206" s="1">
        <f ca="1">IFERROR(__xludf.DUMMYFUNCTION("""COMPUTED_VALUE"""),16)</f>
        <v>16</v>
      </c>
      <c r="K206" s="1">
        <f ca="1">IFERROR(__xludf.DUMMYFUNCTION("""COMPUTED_VALUE"""),3)</f>
        <v>3</v>
      </c>
      <c r="L206" s="1">
        <f ca="1">IFERROR(__xludf.DUMMYFUNCTION("""COMPUTED_VALUE"""),3)</f>
        <v>3</v>
      </c>
      <c r="M206" s="1">
        <f ca="1">IFERROR(__xludf.DUMMYFUNCTION("""COMPUTED_VALUE"""),7)</f>
        <v>7</v>
      </c>
      <c r="N206" s="1">
        <f ca="1">IFERROR(__xludf.DUMMYFUNCTION("""COMPUTED_VALUE"""),2553)</f>
        <v>2553</v>
      </c>
      <c r="O206" s="1">
        <f ca="1">IFERROR(__xludf.DUMMYFUNCTION("""COMPUTED_VALUE"""),2441)</f>
        <v>2441</v>
      </c>
      <c r="P206" s="1">
        <f ca="1">IFERROR(__xludf.DUMMYFUNCTION("""COMPUTED_VALUE"""),1415)</f>
        <v>1415</v>
      </c>
      <c r="Q206" s="1">
        <f ca="1">IFERROR(__xludf.DUMMYFUNCTION("""COMPUTED_VALUE"""),824)</f>
        <v>824</v>
      </c>
      <c r="R206" s="1">
        <f ca="1">IFERROR(__xludf.DUMMYFUNCTION("""COMPUTED_VALUE"""),1805)</f>
        <v>1805</v>
      </c>
      <c r="S206" s="1">
        <f ca="1">IFERROR(__xludf.DUMMYFUNCTION("""COMPUTED_VALUE"""),0.457)</f>
        <v>0.45700000000000002</v>
      </c>
      <c r="T206" s="1">
        <f ca="1">IFERROR(__xludf.DUMMYFUNCTION("""COMPUTED_VALUE"""),202)</f>
        <v>202</v>
      </c>
      <c r="U206" s="1">
        <f ca="1">IFERROR(__xludf.DUMMYFUNCTION("""COMPUTED_VALUE"""),587)</f>
        <v>587</v>
      </c>
      <c r="V206" s="1">
        <f ca="1">IFERROR(__xludf.DUMMYFUNCTION("""COMPUTED_VALUE"""),0.344)</f>
        <v>0.34399999999999997</v>
      </c>
      <c r="W206" s="1">
        <f ca="1">IFERROR(__xludf.DUMMYFUNCTION("""COMPUTED_VALUE"""),703)</f>
        <v>703</v>
      </c>
      <c r="X206" s="1">
        <f ca="1">IFERROR(__xludf.DUMMYFUNCTION("""COMPUTED_VALUE"""),948)</f>
        <v>948</v>
      </c>
      <c r="Y206" s="1">
        <f ca="1">IFERROR(__xludf.DUMMYFUNCTION("""COMPUTED_VALUE"""),0.742)</f>
        <v>0.74199999999999999</v>
      </c>
      <c r="Z206" s="1">
        <f ca="1">IFERROR(__xludf.DUMMYFUNCTION("""COMPUTED_VALUE"""),383)</f>
        <v>383</v>
      </c>
      <c r="AA206" s="1">
        <f ca="1">IFERROR(__xludf.DUMMYFUNCTION("""COMPUTED_VALUE"""),1293)</f>
        <v>1293</v>
      </c>
      <c r="AB206" s="1">
        <f ca="1">IFERROR(__xludf.DUMMYFUNCTION("""COMPUTED_VALUE"""),355)</f>
        <v>355</v>
      </c>
      <c r="AC206" s="1">
        <f ca="1">IFERROR(__xludf.DUMMYFUNCTION("""COMPUTED_VALUE"""),176)</f>
        <v>176</v>
      </c>
      <c r="AD206" s="1">
        <f ca="1">IFERROR(__xludf.DUMMYFUNCTION("""COMPUTED_VALUE"""),114)</f>
        <v>114</v>
      </c>
      <c r="AE206" s="1">
        <f ca="1">IFERROR(__xludf.DUMMYFUNCTION("""COMPUTED_VALUE"""),442)</f>
        <v>442</v>
      </c>
      <c r="AF206" s="1">
        <f ca="1">IFERROR(__xludf.DUMMYFUNCTION("""COMPUTED_VALUE"""),670)</f>
        <v>670</v>
      </c>
    </row>
    <row r="207" spans="1:32" ht="12.5" x14ac:dyDescent="0.25">
      <c r="A207" s="1" t="str">
        <f ca="1">IFERROR(__xludf.DUMMYFUNCTION("""COMPUTED_VALUE"""),"Monmouth")</f>
        <v>Monmouth</v>
      </c>
      <c r="B207" s="1">
        <f ca="1">IFERROR(__xludf.DUMMYFUNCTION("""COMPUTED_VALUE"""),32)</f>
        <v>32</v>
      </c>
      <c r="C207" s="1">
        <f ca="1">IFERROR(__xludf.DUMMYFUNCTION("""COMPUTED_VALUE"""),11)</f>
        <v>11</v>
      </c>
      <c r="D207" s="1">
        <f ca="1">IFERROR(__xludf.DUMMYFUNCTION("""COMPUTED_VALUE"""),21)</f>
        <v>21</v>
      </c>
      <c r="E207" s="1">
        <f ca="1">IFERROR(__xludf.DUMMYFUNCTION("""COMPUTED_VALUE"""),0.344)</f>
        <v>0.34399999999999997</v>
      </c>
      <c r="F207" s="1">
        <f ca="1">IFERROR(__xludf.DUMMYFUNCTION("""COMPUTED_VALUE"""),-6.96)</f>
        <v>-6.96</v>
      </c>
      <c r="G207" s="1">
        <f ca="1">IFERROR(__xludf.DUMMYFUNCTION("""COMPUTED_VALUE"""),-2.9)</f>
        <v>-2.9</v>
      </c>
      <c r="H207" s="1">
        <f ca="1">IFERROR(__xludf.DUMMYFUNCTION("""COMPUTED_VALUE"""),5)</f>
        <v>5</v>
      </c>
      <c r="I207" s="1">
        <f ca="1">IFERROR(__xludf.DUMMYFUNCTION("""COMPUTED_VALUE"""),15)</f>
        <v>15</v>
      </c>
      <c r="J207" s="1">
        <f ca="1">IFERROR(__xludf.DUMMYFUNCTION("""COMPUTED_VALUE"""),8)</f>
        <v>8</v>
      </c>
      <c r="K207" s="1">
        <f ca="1">IFERROR(__xludf.DUMMYFUNCTION("""COMPUTED_VALUE"""),8)</f>
        <v>8</v>
      </c>
      <c r="L207" s="1">
        <f ca="1">IFERROR(__xludf.DUMMYFUNCTION("""COMPUTED_VALUE"""),3)</f>
        <v>3</v>
      </c>
      <c r="M207" s="1">
        <f ca="1">IFERROR(__xludf.DUMMYFUNCTION("""COMPUTED_VALUE"""),12)</f>
        <v>12</v>
      </c>
      <c r="N207" s="1">
        <f ca="1">IFERROR(__xludf.DUMMYFUNCTION("""COMPUTED_VALUE"""),2208)</f>
        <v>2208</v>
      </c>
      <c r="O207" s="1">
        <f ca="1">IFERROR(__xludf.DUMMYFUNCTION("""COMPUTED_VALUE"""),2338)</f>
        <v>2338</v>
      </c>
      <c r="P207" s="1">
        <f ca="1">IFERROR(__xludf.DUMMYFUNCTION("""COMPUTED_VALUE"""),1295)</f>
        <v>1295</v>
      </c>
      <c r="Q207" s="1">
        <f ca="1">IFERROR(__xludf.DUMMYFUNCTION("""COMPUTED_VALUE"""),776)</f>
        <v>776</v>
      </c>
      <c r="R207" s="1">
        <f ca="1">IFERROR(__xludf.DUMMYFUNCTION("""COMPUTED_VALUE"""),1847)</f>
        <v>1847</v>
      </c>
      <c r="S207" s="1">
        <f ca="1">IFERROR(__xludf.DUMMYFUNCTION("""COMPUTED_VALUE"""),0.42)</f>
        <v>0.42</v>
      </c>
      <c r="T207" s="1">
        <f ca="1">IFERROR(__xludf.DUMMYFUNCTION("""COMPUTED_VALUE"""),177)</f>
        <v>177</v>
      </c>
      <c r="U207" s="1">
        <f ca="1">IFERROR(__xludf.DUMMYFUNCTION("""COMPUTED_VALUE"""),527)</f>
        <v>527</v>
      </c>
      <c r="V207" s="1">
        <f ca="1">IFERROR(__xludf.DUMMYFUNCTION("""COMPUTED_VALUE"""),0.336)</f>
        <v>0.33600000000000002</v>
      </c>
      <c r="W207" s="1">
        <f ca="1">IFERROR(__xludf.DUMMYFUNCTION("""COMPUTED_VALUE"""),479)</f>
        <v>479</v>
      </c>
      <c r="X207" s="1">
        <f ca="1">IFERROR(__xludf.DUMMYFUNCTION("""COMPUTED_VALUE"""),749)</f>
        <v>749</v>
      </c>
      <c r="Y207" s="1">
        <f ca="1">IFERROR(__xludf.DUMMYFUNCTION("""COMPUTED_VALUE"""),0.64)</f>
        <v>0.64</v>
      </c>
      <c r="Z207" s="1">
        <f ca="1">IFERROR(__xludf.DUMMYFUNCTION("""COMPUTED_VALUE"""),413)</f>
        <v>413</v>
      </c>
      <c r="AA207" s="1">
        <f ca="1">IFERROR(__xludf.DUMMYFUNCTION("""COMPUTED_VALUE"""),1184)</f>
        <v>1184</v>
      </c>
      <c r="AB207" s="1">
        <f ca="1">IFERROR(__xludf.DUMMYFUNCTION("""COMPUTED_VALUE"""),386)</f>
        <v>386</v>
      </c>
      <c r="AC207" s="1">
        <f ca="1">IFERROR(__xludf.DUMMYFUNCTION("""COMPUTED_VALUE"""),222)</f>
        <v>222</v>
      </c>
      <c r="AD207" s="1">
        <f ca="1">IFERROR(__xludf.DUMMYFUNCTION("""COMPUTED_VALUE"""),96)</f>
        <v>96</v>
      </c>
      <c r="AE207" s="1">
        <f ca="1">IFERROR(__xludf.DUMMYFUNCTION("""COMPUTED_VALUE"""),462)</f>
        <v>462</v>
      </c>
      <c r="AF207" s="1">
        <f ca="1">IFERROR(__xludf.DUMMYFUNCTION("""COMPUTED_VALUE"""),698)</f>
        <v>698</v>
      </c>
    </row>
    <row r="208" spans="1:32" ht="12.5" x14ac:dyDescent="0.25">
      <c r="A208" s="1" t="str">
        <f ca="1">IFERROR(__xludf.DUMMYFUNCTION("""COMPUTED_VALUE"""),"Montana State")</f>
        <v>Montana State</v>
      </c>
      <c r="B208" s="1">
        <f ca="1">IFERROR(__xludf.DUMMYFUNCTION("""COMPUTED_VALUE"""),31)</f>
        <v>31</v>
      </c>
      <c r="C208" s="1">
        <f ca="1">IFERROR(__xludf.DUMMYFUNCTION("""COMPUTED_VALUE"""),14)</f>
        <v>14</v>
      </c>
      <c r="D208" s="1">
        <f ca="1">IFERROR(__xludf.DUMMYFUNCTION("""COMPUTED_VALUE"""),17)</f>
        <v>17</v>
      </c>
      <c r="E208" s="1">
        <f ca="1">IFERROR(__xludf.DUMMYFUNCTION("""COMPUTED_VALUE"""),0.452)</f>
        <v>0.45200000000000001</v>
      </c>
      <c r="F208" s="1">
        <f ca="1">IFERROR(__xludf.DUMMYFUNCTION("""COMPUTED_VALUE"""),-10.7)</f>
        <v>-10.7</v>
      </c>
      <c r="G208" s="1">
        <f ca="1">IFERROR(__xludf.DUMMYFUNCTION("""COMPUTED_VALUE"""),-5.83)</f>
        <v>-5.83</v>
      </c>
      <c r="H208" s="1">
        <f ca="1">IFERROR(__xludf.DUMMYFUNCTION("""COMPUTED_VALUE"""),9)</f>
        <v>9</v>
      </c>
      <c r="I208" s="1">
        <f ca="1">IFERROR(__xludf.DUMMYFUNCTION("""COMPUTED_VALUE"""),11)</f>
        <v>11</v>
      </c>
      <c r="J208" s="1">
        <f ca="1">IFERROR(__xludf.DUMMYFUNCTION("""COMPUTED_VALUE"""),9)</f>
        <v>9</v>
      </c>
      <c r="K208" s="1">
        <f ca="1">IFERROR(__xludf.DUMMYFUNCTION("""COMPUTED_VALUE"""),5)</f>
        <v>5</v>
      </c>
      <c r="L208" s="1">
        <f ca="1">IFERROR(__xludf.DUMMYFUNCTION("""COMPUTED_VALUE"""),5)</f>
        <v>5</v>
      </c>
      <c r="M208" s="1">
        <f ca="1">IFERROR(__xludf.DUMMYFUNCTION("""COMPUTED_VALUE"""),10)</f>
        <v>10</v>
      </c>
      <c r="N208" s="1">
        <f ca="1">IFERROR(__xludf.DUMMYFUNCTION("""COMPUTED_VALUE"""),2109)</f>
        <v>2109</v>
      </c>
      <c r="O208" s="1">
        <f ca="1">IFERROR(__xludf.DUMMYFUNCTION("""COMPUTED_VALUE"""),2165)</f>
        <v>2165</v>
      </c>
      <c r="P208" s="1">
        <f ca="1">IFERROR(__xludf.DUMMYFUNCTION("""COMPUTED_VALUE"""),1245)</f>
        <v>1245</v>
      </c>
      <c r="Q208" s="1">
        <f ca="1">IFERROR(__xludf.DUMMYFUNCTION("""COMPUTED_VALUE"""),736)</f>
        <v>736</v>
      </c>
      <c r="R208" s="1">
        <f ca="1">IFERROR(__xludf.DUMMYFUNCTION("""COMPUTED_VALUE"""),1661)</f>
        <v>1661</v>
      </c>
      <c r="S208" s="1">
        <f ca="1">IFERROR(__xludf.DUMMYFUNCTION("""COMPUTED_VALUE"""),0.443)</f>
        <v>0.443</v>
      </c>
      <c r="T208" s="1">
        <f ca="1">IFERROR(__xludf.DUMMYFUNCTION("""COMPUTED_VALUE"""),185)</f>
        <v>185</v>
      </c>
      <c r="U208" s="1">
        <f ca="1">IFERROR(__xludf.DUMMYFUNCTION("""COMPUTED_VALUE"""),522)</f>
        <v>522</v>
      </c>
      <c r="V208" s="1">
        <f ca="1">IFERROR(__xludf.DUMMYFUNCTION("""COMPUTED_VALUE"""),0.354)</f>
        <v>0.35399999999999998</v>
      </c>
      <c r="W208" s="1">
        <f ca="1">IFERROR(__xludf.DUMMYFUNCTION("""COMPUTED_VALUE"""),452)</f>
        <v>452</v>
      </c>
      <c r="X208" s="1">
        <f ca="1">IFERROR(__xludf.DUMMYFUNCTION("""COMPUTED_VALUE"""),636)</f>
        <v>636</v>
      </c>
      <c r="Y208" s="1">
        <f ca="1">IFERROR(__xludf.DUMMYFUNCTION("""COMPUTED_VALUE"""),0.711)</f>
        <v>0.71099999999999997</v>
      </c>
      <c r="Z208" s="1">
        <f ca="1">IFERROR(__xludf.DUMMYFUNCTION("""COMPUTED_VALUE"""),267)</f>
        <v>267</v>
      </c>
      <c r="AA208" s="1">
        <f ca="1">IFERROR(__xludf.DUMMYFUNCTION("""COMPUTED_VALUE"""),966)</f>
        <v>966</v>
      </c>
      <c r="AB208" s="1">
        <f ca="1">IFERROR(__xludf.DUMMYFUNCTION("""COMPUTED_VALUE"""),325)</f>
        <v>325</v>
      </c>
      <c r="AC208" s="1">
        <f ca="1">IFERROR(__xludf.DUMMYFUNCTION("""COMPUTED_VALUE"""),203)</f>
        <v>203</v>
      </c>
      <c r="AD208" s="1">
        <f ca="1">IFERROR(__xludf.DUMMYFUNCTION("""COMPUTED_VALUE"""),50)</f>
        <v>50</v>
      </c>
      <c r="AE208" s="1">
        <f ca="1">IFERROR(__xludf.DUMMYFUNCTION("""COMPUTED_VALUE"""),357)</f>
        <v>357</v>
      </c>
      <c r="AF208" s="1">
        <f ca="1">IFERROR(__xludf.DUMMYFUNCTION("""COMPUTED_VALUE"""),561)</f>
        <v>561</v>
      </c>
    </row>
    <row r="209" spans="1:32" ht="12.5" x14ac:dyDescent="0.25">
      <c r="A209" s="1" t="str">
        <f ca="1">IFERROR(__xludf.DUMMYFUNCTION("""COMPUTED_VALUE"""),"Montana")</f>
        <v>Montana</v>
      </c>
      <c r="B209" s="1">
        <f ca="1">IFERROR(__xludf.DUMMYFUNCTION("""COMPUTED_VALUE"""),30)</f>
        <v>30</v>
      </c>
      <c r="C209" s="1">
        <f ca="1">IFERROR(__xludf.DUMMYFUNCTION("""COMPUTED_VALUE"""),17)</f>
        <v>17</v>
      </c>
      <c r="D209" s="1">
        <f ca="1">IFERROR(__xludf.DUMMYFUNCTION("""COMPUTED_VALUE"""),13)</f>
        <v>13</v>
      </c>
      <c r="E209" s="1">
        <f ca="1">IFERROR(__xludf.DUMMYFUNCTION("""COMPUTED_VALUE"""),0.567)</f>
        <v>0.56699999999999995</v>
      </c>
      <c r="F209" s="1">
        <f ca="1">IFERROR(__xludf.DUMMYFUNCTION("""COMPUTED_VALUE"""),-4.52)</f>
        <v>-4.5199999999999996</v>
      </c>
      <c r="G209" s="1">
        <f ca="1">IFERROR(__xludf.DUMMYFUNCTION("""COMPUTED_VALUE"""),-5.23)</f>
        <v>-5.23</v>
      </c>
      <c r="H209" s="1">
        <f ca="1">IFERROR(__xludf.DUMMYFUNCTION("""COMPUTED_VALUE"""),12)</f>
        <v>12</v>
      </c>
      <c r="I209" s="1">
        <f ca="1">IFERROR(__xludf.DUMMYFUNCTION("""COMPUTED_VALUE"""),8)</f>
        <v>8</v>
      </c>
      <c r="J209" s="1">
        <f ca="1">IFERROR(__xludf.DUMMYFUNCTION("""COMPUTED_VALUE"""),11)</f>
        <v>11</v>
      </c>
      <c r="K209" s="1">
        <f ca="1">IFERROR(__xludf.DUMMYFUNCTION("""COMPUTED_VALUE"""),3)</f>
        <v>3</v>
      </c>
      <c r="L209" s="1">
        <f ca="1">IFERROR(__xludf.DUMMYFUNCTION("""COMPUTED_VALUE"""),6)</f>
        <v>6</v>
      </c>
      <c r="M209" s="1">
        <f ca="1">IFERROR(__xludf.DUMMYFUNCTION("""COMPUTED_VALUE"""),9)</f>
        <v>9</v>
      </c>
      <c r="N209" s="1">
        <f ca="1">IFERROR(__xludf.DUMMYFUNCTION("""COMPUTED_VALUE"""),2123)</f>
        <v>2123</v>
      </c>
      <c r="O209" s="1">
        <f ca="1">IFERROR(__xludf.DUMMYFUNCTION("""COMPUTED_VALUE"""),2070)</f>
        <v>2070</v>
      </c>
      <c r="P209" s="1">
        <f ca="1">IFERROR(__xludf.DUMMYFUNCTION("""COMPUTED_VALUE"""),1225)</f>
        <v>1225</v>
      </c>
      <c r="Q209" s="1">
        <f ca="1">IFERROR(__xludf.DUMMYFUNCTION("""COMPUTED_VALUE"""),703)</f>
        <v>703</v>
      </c>
      <c r="R209" s="1">
        <f ca="1">IFERROR(__xludf.DUMMYFUNCTION("""COMPUTED_VALUE"""),1475)</f>
        <v>1475</v>
      </c>
      <c r="S209" s="1">
        <f ca="1">IFERROR(__xludf.DUMMYFUNCTION("""COMPUTED_VALUE"""),0.477)</f>
        <v>0.47699999999999998</v>
      </c>
      <c r="T209" s="1">
        <f ca="1">IFERROR(__xludf.DUMMYFUNCTION("""COMPUTED_VALUE"""),222)</f>
        <v>222</v>
      </c>
      <c r="U209" s="1">
        <f ca="1">IFERROR(__xludf.DUMMYFUNCTION("""COMPUTED_VALUE"""),593)</f>
        <v>593</v>
      </c>
      <c r="V209" s="1">
        <f ca="1">IFERROR(__xludf.DUMMYFUNCTION("""COMPUTED_VALUE"""),0.374)</f>
        <v>0.374</v>
      </c>
      <c r="W209" s="1">
        <f ca="1">IFERROR(__xludf.DUMMYFUNCTION("""COMPUTED_VALUE"""),495)</f>
        <v>495</v>
      </c>
      <c r="X209" s="1">
        <f ca="1">IFERROR(__xludf.DUMMYFUNCTION("""COMPUTED_VALUE"""),670)</f>
        <v>670</v>
      </c>
      <c r="Y209" s="1">
        <f ca="1">IFERROR(__xludf.DUMMYFUNCTION("""COMPUTED_VALUE"""),0.739)</f>
        <v>0.73899999999999999</v>
      </c>
      <c r="Z209" s="1">
        <f ca="1">IFERROR(__xludf.DUMMYFUNCTION("""COMPUTED_VALUE"""),213)</f>
        <v>213</v>
      </c>
      <c r="AA209" s="1">
        <f ca="1">IFERROR(__xludf.DUMMYFUNCTION("""COMPUTED_VALUE"""),813)</f>
        <v>813</v>
      </c>
      <c r="AB209" s="1">
        <f ca="1">IFERROR(__xludf.DUMMYFUNCTION("""COMPUTED_VALUE"""),340)</f>
        <v>340</v>
      </c>
      <c r="AC209" s="1">
        <f ca="1">IFERROR(__xludf.DUMMYFUNCTION("""COMPUTED_VALUE"""),152)</f>
        <v>152</v>
      </c>
      <c r="AD209" s="1">
        <f ca="1">IFERROR(__xludf.DUMMYFUNCTION("""COMPUTED_VALUE"""),76)</f>
        <v>76</v>
      </c>
      <c r="AE209" s="1">
        <f ca="1">IFERROR(__xludf.DUMMYFUNCTION("""COMPUTED_VALUE"""),299)</f>
        <v>299</v>
      </c>
      <c r="AF209" s="1">
        <f ca="1">IFERROR(__xludf.DUMMYFUNCTION("""COMPUTED_VALUE"""),620)</f>
        <v>620</v>
      </c>
    </row>
    <row r="210" spans="1:32" ht="12.5" x14ac:dyDescent="0.25">
      <c r="A210" s="1" t="str">
        <f ca="1">IFERROR(__xludf.DUMMYFUNCTION("""COMPUTED_VALUE"""),"Morehead State")</f>
        <v>Morehead State</v>
      </c>
      <c r="B210" s="1">
        <f ca="1">IFERROR(__xludf.DUMMYFUNCTION("""COMPUTED_VALUE"""),34)</f>
        <v>34</v>
      </c>
      <c r="C210" s="1">
        <f ca="1">IFERROR(__xludf.DUMMYFUNCTION("""COMPUTED_VALUE"""),20)</f>
        <v>20</v>
      </c>
      <c r="D210" s="1">
        <f ca="1">IFERROR(__xludf.DUMMYFUNCTION("""COMPUTED_VALUE"""),14)</f>
        <v>14</v>
      </c>
      <c r="E210" s="1">
        <f ca="1">IFERROR(__xludf.DUMMYFUNCTION("""COMPUTED_VALUE"""),0.588)</f>
        <v>0.58799999999999997</v>
      </c>
      <c r="F210" s="1">
        <f ca="1">IFERROR(__xludf.DUMMYFUNCTION("""COMPUTED_VALUE"""),-1.88)</f>
        <v>-1.88</v>
      </c>
      <c r="G210" s="1">
        <f ca="1">IFERROR(__xludf.DUMMYFUNCTION("""COMPUTED_VALUE"""),-3.1)</f>
        <v>-3.1</v>
      </c>
      <c r="H210" s="1">
        <f ca="1">IFERROR(__xludf.DUMMYFUNCTION("""COMPUTED_VALUE"""),10)</f>
        <v>10</v>
      </c>
      <c r="I210" s="1">
        <f ca="1">IFERROR(__xludf.DUMMYFUNCTION("""COMPUTED_VALUE"""),6)</f>
        <v>6</v>
      </c>
      <c r="J210" s="1">
        <f ca="1">IFERROR(__xludf.DUMMYFUNCTION("""COMPUTED_VALUE"""),9)</f>
        <v>9</v>
      </c>
      <c r="K210" s="1">
        <f ca="1">IFERROR(__xludf.DUMMYFUNCTION("""COMPUTED_VALUE"""),5)</f>
        <v>5</v>
      </c>
      <c r="L210" s="1">
        <f ca="1">IFERROR(__xludf.DUMMYFUNCTION("""COMPUTED_VALUE"""),9)</f>
        <v>9</v>
      </c>
      <c r="M210" s="1">
        <f ca="1">IFERROR(__xludf.DUMMYFUNCTION("""COMPUTED_VALUE"""),7)</f>
        <v>7</v>
      </c>
      <c r="N210" s="1">
        <f ca="1">IFERROR(__xludf.DUMMYFUNCTION("""COMPUTED_VALUE"""),2603)</f>
        <v>2603</v>
      </c>
      <c r="O210" s="1">
        <f ca="1">IFERROR(__xludf.DUMMYFUNCTION("""COMPUTED_VALUE"""),2483)</f>
        <v>2483</v>
      </c>
      <c r="P210" s="1">
        <f ca="1">IFERROR(__xludf.DUMMYFUNCTION("""COMPUTED_VALUE"""),1385)</f>
        <v>1385</v>
      </c>
      <c r="Q210" s="1">
        <f ca="1">IFERROR(__xludf.DUMMYFUNCTION("""COMPUTED_VALUE"""),861)</f>
        <v>861</v>
      </c>
      <c r="R210" s="1">
        <f ca="1">IFERROR(__xludf.DUMMYFUNCTION("""COMPUTED_VALUE"""),1927)</f>
        <v>1927</v>
      </c>
      <c r="S210" s="1">
        <f ca="1">IFERROR(__xludf.DUMMYFUNCTION("""COMPUTED_VALUE"""),0.447)</f>
        <v>0.44700000000000001</v>
      </c>
      <c r="T210" s="1">
        <f ca="1">IFERROR(__xludf.DUMMYFUNCTION("""COMPUTED_VALUE"""),188)</f>
        <v>188</v>
      </c>
      <c r="U210" s="1">
        <f ca="1">IFERROR(__xludf.DUMMYFUNCTION("""COMPUTED_VALUE"""),629)</f>
        <v>629</v>
      </c>
      <c r="V210" s="1">
        <f ca="1">IFERROR(__xludf.DUMMYFUNCTION("""COMPUTED_VALUE"""),0.299)</f>
        <v>0.29899999999999999</v>
      </c>
      <c r="W210" s="1">
        <f ca="1">IFERROR(__xludf.DUMMYFUNCTION("""COMPUTED_VALUE"""),693)</f>
        <v>693</v>
      </c>
      <c r="X210" s="1">
        <f ca="1">IFERROR(__xludf.DUMMYFUNCTION("""COMPUTED_VALUE"""),992)</f>
        <v>992</v>
      </c>
      <c r="Y210" s="1">
        <f ca="1">IFERROR(__xludf.DUMMYFUNCTION("""COMPUTED_VALUE"""),0.699)</f>
        <v>0.69899999999999995</v>
      </c>
      <c r="Z210" s="1">
        <f ca="1">IFERROR(__xludf.DUMMYFUNCTION("""COMPUTED_VALUE"""),481)</f>
        <v>481</v>
      </c>
      <c r="AA210" s="1">
        <f ca="1">IFERROR(__xludf.DUMMYFUNCTION("""COMPUTED_VALUE"""),1309)</f>
        <v>1309</v>
      </c>
      <c r="AB210" s="1">
        <f ca="1">IFERROR(__xludf.DUMMYFUNCTION("""COMPUTED_VALUE"""),456)</f>
        <v>456</v>
      </c>
      <c r="AC210" s="1">
        <f ca="1">IFERROR(__xludf.DUMMYFUNCTION("""COMPUTED_VALUE"""),271)</f>
        <v>271</v>
      </c>
      <c r="AD210" s="1">
        <f ca="1">IFERROR(__xludf.DUMMYFUNCTION("""COMPUTED_VALUE"""),104)</f>
        <v>104</v>
      </c>
      <c r="AE210" s="1">
        <f ca="1">IFERROR(__xludf.DUMMYFUNCTION("""COMPUTED_VALUE"""),530)</f>
        <v>530</v>
      </c>
      <c r="AF210" s="1">
        <f ca="1">IFERROR(__xludf.DUMMYFUNCTION("""COMPUTED_VALUE"""),799)</f>
        <v>799</v>
      </c>
    </row>
    <row r="211" spans="1:32" ht="12.5" x14ac:dyDescent="0.25">
      <c r="A211" s="1" t="str">
        <f ca="1">IFERROR(__xludf.DUMMYFUNCTION("""COMPUTED_VALUE"""),"Morgan State")</f>
        <v>Morgan State</v>
      </c>
      <c r="B211" s="1">
        <f ca="1">IFERROR(__xludf.DUMMYFUNCTION("""COMPUTED_VALUE"""),31)</f>
        <v>31</v>
      </c>
      <c r="C211" s="1">
        <f ca="1">IFERROR(__xludf.DUMMYFUNCTION("""COMPUTED_VALUE"""),15)</f>
        <v>15</v>
      </c>
      <c r="D211" s="1">
        <f ca="1">IFERROR(__xludf.DUMMYFUNCTION("""COMPUTED_VALUE"""),16)</f>
        <v>16</v>
      </c>
      <c r="E211" s="1">
        <f ca="1">IFERROR(__xludf.DUMMYFUNCTION("""COMPUTED_VALUE"""),0.484)</f>
        <v>0.48399999999999999</v>
      </c>
      <c r="F211" s="1">
        <f ca="1">IFERROR(__xludf.DUMMYFUNCTION("""COMPUTED_VALUE"""),-5.81)</f>
        <v>-5.81</v>
      </c>
      <c r="G211" s="1">
        <f ca="1">IFERROR(__xludf.DUMMYFUNCTION("""COMPUTED_VALUE"""),-5.03)</f>
        <v>-5.03</v>
      </c>
      <c r="H211" s="1">
        <f ca="1">IFERROR(__xludf.DUMMYFUNCTION("""COMPUTED_VALUE"""),11)</f>
        <v>11</v>
      </c>
      <c r="I211" s="1">
        <f ca="1">IFERROR(__xludf.DUMMYFUNCTION("""COMPUTED_VALUE"""),5)</f>
        <v>5</v>
      </c>
      <c r="J211" s="1">
        <f ca="1">IFERROR(__xludf.DUMMYFUNCTION("""COMPUTED_VALUE"""),7)</f>
        <v>7</v>
      </c>
      <c r="K211" s="1">
        <f ca="1">IFERROR(__xludf.DUMMYFUNCTION("""COMPUTED_VALUE"""),4)</f>
        <v>4</v>
      </c>
      <c r="L211" s="1">
        <f ca="1">IFERROR(__xludf.DUMMYFUNCTION("""COMPUTED_VALUE"""),5)</f>
        <v>5</v>
      </c>
      <c r="M211" s="1">
        <f ca="1">IFERROR(__xludf.DUMMYFUNCTION("""COMPUTED_VALUE"""),9)</f>
        <v>9</v>
      </c>
      <c r="N211" s="1">
        <f ca="1">IFERROR(__xludf.DUMMYFUNCTION("""COMPUTED_VALUE"""),2215)</f>
        <v>2215</v>
      </c>
      <c r="O211" s="1">
        <f ca="1">IFERROR(__xludf.DUMMYFUNCTION("""COMPUTED_VALUE"""),2239)</f>
        <v>2239</v>
      </c>
      <c r="P211" s="1">
        <f ca="1">IFERROR(__xludf.DUMMYFUNCTION("""COMPUTED_VALUE"""),1265)</f>
        <v>1265</v>
      </c>
      <c r="Q211" s="1">
        <f ca="1">IFERROR(__xludf.DUMMYFUNCTION("""COMPUTED_VALUE"""),800)</f>
        <v>800</v>
      </c>
      <c r="R211" s="1">
        <f ca="1">IFERROR(__xludf.DUMMYFUNCTION("""COMPUTED_VALUE"""),1869)</f>
        <v>1869</v>
      </c>
      <c r="S211" s="1">
        <f ca="1">IFERROR(__xludf.DUMMYFUNCTION("""COMPUTED_VALUE"""),0.428)</f>
        <v>0.42799999999999999</v>
      </c>
      <c r="T211" s="1">
        <f ca="1">IFERROR(__xludf.DUMMYFUNCTION("""COMPUTED_VALUE"""),140)</f>
        <v>140</v>
      </c>
      <c r="U211" s="1">
        <f ca="1">IFERROR(__xludf.DUMMYFUNCTION("""COMPUTED_VALUE"""),536)</f>
        <v>536</v>
      </c>
      <c r="V211" s="1">
        <f ca="1">IFERROR(__xludf.DUMMYFUNCTION("""COMPUTED_VALUE"""),0.261)</f>
        <v>0.26100000000000001</v>
      </c>
      <c r="W211" s="1">
        <f ca="1">IFERROR(__xludf.DUMMYFUNCTION("""COMPUTED_VALUE"""),475)</f>
        <v>475</v>
      </c>
      <c r="X211" s="1">
        <f ca="1">IFERROR(__xludf.DUMMYFUNCTION("""COMPUTED_VALUE"""),776)</f>
        <v>776</v>
      </c>
      <c r="Y211" s="1">
        <f ca="1">IFERROR(__xludf.DUMMYFUNCTION("""COMPUTED_VALUE"""),0.612)</f>
        <v>0.61199999999999999</v>
      </c>
      <c r="Z211" s="1">
        <f ca="1">IFERROR(__xludf.DUMMYFUNCTION("""COMPUTED_VALUE"""),446)</f>
        <v>446</v>
      </c>
      <c r="AA211" s="1">
        <f ca="1">IFERROR(__xludf.DUMMYFUNCTION("""COMPUTED_VALUE"""),1190)</f>
        <v>1190</v>
      </c>
      <c r="AB211" s="1">
        <f ca="1">IFERROR(__xludf.DUMMYFUNCTION("""COMPUTED_VALUE"""),394)</f>
        <v>394</v>
      </c>
      <c r="AC211" s="1">
        <f ca="1">IFERROR(__xludf.DUMMYFUNCTION("""COMPUTED_VALUE"""),191)</f>
        <v>191</v>
      </c>
      <c r="AD211" s="1">
        <f ca="1">IFERROR(__xludf.DUMMYFUNCTION("""COMPUTED_VALUE"""),157)</f>
        <v>157</v>
      </c>
      <c r="AE211" s="1">
        <f ca="1">IFERROR(__xludf.DUMMYFUNCTION("""COMPUTED_VALUE"""),403)</f>
        <v>403</v>
      </c>
      <c r="AF211" s="1">
        <f ca="1">IFERROR(__xludf.DUMMYFUNCTION("""COMPUTED_VALUE"""),648)</f>
        <v>648</v>
      </c>
    </row>
    <row r="212" spans="1:32" ht="12.5" x14ac:dyDescent="0.25">
      <c r="A212" s="1" t="str">
        <f ca="1">IFERROR(__xludf.DUMMYFUNCTION("""COMPUTED_VALUE"""),"Mount St. Mary'sNCAA")</f>
        <v>Mount St. Mary'sNCAA</v>
      </c>
      <c r="B212" s="1">
        <f ca="1">IFERROR(__xludf.DUMMYFUNCTION("""COMPUTED_VALUE"""),33)</f>
        <v>33</v>
      </c>
      <c r="C212" s="1">
        <f ca="1">IFERROR(__xludf.DUMMYFUNCTION("""COMPUTED_VALUE"""),16)</f>
        <v>16</v>
      </c>
      <c r="D212" s="1">
        <f ca="1">IFERROR(__xludf.DUMMYFUNCTION("""COMPUTED_VALUE"""),17)</f>
        <v>17</v>
      </c>
      <c r="E212" s="1">
        <f ca="1">IFERROR(__xludf.DUMMYFUNCTION("""COMPUTED_VALUE"""),0.485)</f>
        <v>0.48499999999999999</v>
      </c>
      <c r="F212" s="1">
        <f ca="1">IFERROR(__xludf.DUMMYFUNCTION("""COMPUTED_VALUE"""),-6.32)</f>
        <v>-6.32</v>
      </c>
      <c r="G212" s="1">
        <f ca="1">IFERROR(__xludf.DUMMYFUNCTION("""COMPUTED_VALUE"""),-4.44)</f>
        <v>-4.4400000000000004</v>
      </c>
      <c r="H212" s="1">
        <f ca="1">IFERROR(__xludf.DUMMYFUNCTION("""COMPUTED_VALUE"""),9)</f>
        <v>9</v>
      </c>
      <c r="I212" s="1">
        <f ca="1">IFERROR(__xludf.DUMMYFUNCTION("""COMPUTED_VALUE"""),7)</f>
        <v>7</v>
      </c>
      <c r="J212" s="1">
        <f ca="1">IFERROR(__xludf.DUMMYFUNCTION("""COMPUTED_VALUE"""),10)</f>
        <v>10</v>
      </c>
      <c r="K212" s="1">
        <f ca="1">IFERROR(__xludf.DUMMYFUNCTION("""COMPUTED_VALUE"""),3)</f>
        <v>3</v>
      </c>
      <c r="L212" s="1">
        <f ca="1">IFERROR(__xludf.DUMMYFUNCTION("""COMPUTED_VALUE"""),6)</f>
        <v>6</v>
      </c>
      <c r="M212" s="1">
        <f ca="1">IFERROR(__xludf.DUMMYFUNCTION("""COMPUTED_VALUE"""),13)</f>
        <v>13</v>
      </c>
      <c r="N212" s="1">
        <f ca="1">IFERROR(__xludf.DUMMYFUNCTION("""COMPUTED_VALUE"""),2504)</f>
        <v>2504</v>
      </c>
      <c r="O212" s="1">
        <f ca="1">IFERROR(__xludf.DUMMYFUNCTION("""COMPUTED_VALUE"""),2566)</f>
        <v>2566</v>
      </c>
      <c r="P212" s="1">
        <f ca="1">IFERROR(__xludf.DUMMYFUNCTION("""COMPUTED_VALUE"""),1330)</f>
        <v>1330</v>
      </c>
      <c r="Q212" s="1">
        <f ca="1">IFERROR(__xludf.DUMMYFUNCTION("""COMPUTED_VALUE"""),843)</f>
        <v>843</v>
      </c>
      <c r="R212" s="1">
        <f ca="1">IFERROR(__xludf.DUMMYFUNCTION("""COMPUTED_VALUE"""),1923)</f>
        <v>1923</v>
      </c>
      <c r="S212" s="1">
        <f ca="1">IFERROR(__xludf.DUMMYFUNCTION("""COMPUTED_VALUE"""),0.438)</f>
        <v>0.438</v>
      </c>
      <c r="T212" s="1">
        <f ca="1">IFERROR(__xludf.DUMMYFUNCTION("""COMPUTED_VALUE"""),296)</f>
        <v>296</v>
      </c>
      <c r="U212" s="1">
        <f ca="1">IFERROR(__xludf.DUMMYFUNCTION("""COMPUTED_VALUE"""),834)</f>
        <v>834</v>
      </c>
      <c r="V212" s="1">
        <f ca="1">IFERROR(__xludf.DUMMYFUNCTION("""COMPUTED_VALUE"""),0.355)</f>
        <v>0.35499999999999998</v>
      </c>
      <c r="W212" s="1">
        <f ca="1">IFERROR(__xludf.DUMMYFUNCTION("""COMPUTED_VALUE"""),522)</f>
        <v>522</v>
      </c>
      <c r="X212" s="1">
        <f ca="1">IFERROR(__xludf.DUMMYFUNCTION("""COMPUTED_VALUE"""),706)</f>
        <v>706</v>
      </c>
      <c r="Y212" s="1">
        <f ca="1">IFERROR(__xludf.DUMMYFUNCTION("""COMPUTED_VALUE"""),0.739)</f>
        <v>0.73899999999999999</v>
      </c>
      <c r="Z212" s="1">
        <f ca="1">IFERROR(__xludf.DUMMYFUNCTION("""COMPUTED_VALUE"""),328)</f>
        <v>328</v>
      </c>
      <c r="AA212" s="1">
        <f ca="1">IFERROR(__xludf.DUMMYFUNCTION("""COMPUTED_VALUE"""),1053)</f>
        <v>1053</v>
      </c>
      <c r="AB212" s="1">
        <f ca="1">IFERROR(__xludf.DUMMYFUNCTION("""COMPUTED_VALUE"""),389)</f>
        <v>389</v>
      </c>
      <c r="AC212" s="1">
        <f ca="1">IFERROR(__xludf.DUMMYFUNCTION("""COMPUTED_VALUE"""),232)</f>
        <v>232</v>
      </c>
      <c r="AD212" s="1">
        <f ca="1">IFERROR(__xludf.DUMMYFUNCTION("""COMPUTED_VALUE"""),99)</f>
        <v>99</v>
      </c>
      <c r="AE212" s="1">
        <f ca="1">IFERROR(__xludf.DUMMYFUNCTION("""COMPUTED_VALUE"""),388)</f>
        <v>388</v>
      </c>
      <c r="AF212" s="1">
        <f ca="1">IFERROR(__xludf.DUMMYFUNCTION("""COMPUTED_VALUE"""),616)</f>
        <v>616</v>
      </c>
    </row>
    <row r="213" spans="1:32" ht="12.5" x14ac:dyDescent="0.25">
      <c r="A213" s="1" t="str">
        <f ca="1">IFERROR(__xludf.DUMMYFUNCTION("""COMPUTED_VALUE"""),"Murray State")</f>
        <v>Murray State</v>
      </c>
      <c r="B213" s="1">
        <f ca="1">IFERROR(__xludf.DUMMYFUNCTION("""COMPUTED_VALUE"""),34)</f>
        <v>34</v>
      </c>
      <c r="C213" s="1">
        <f ca="1">IFERROR(__xludf.DUMMYFUNCTION("""COMPUTED_VALUE"""),23)</f>
        <v>23</v>
      </c>
      <c r="D213" s="1">
        <f ca="1">IFERROR(__xludf.DUMMYFUNCTION("""COMPUTED_VALUE"""),11)</f>
        <v>11</v>
      </c>
      <c r="E213" s="1">
        <f ca="1">IFERROR(__xludf.DUMMYFUNCTION("""COMPUTED_VALUE"""),0.676)</f>
        <v>0.67600000000000005</v>
      </c>
      <c r="F213" s="1">
        <f ca="1">IFERROR(__xludf.DUMMYFUNCTION("""COMPUTED_VALUE"""),0.98)</f>
        <v>0.98</v>
      </c>
      <c r="G213" s="1">
        <f ca="1">IFERROR(__xludf.DUMMYFUNCTION("""COMPUTED_VALUE"""),-3.58)</f>
        <v>-3.58</v>
      </c>
      <c r="H213" s="1">
        <f ca="1">IFERROR(__xludf.DUMMYFUNCTION("""COMPUTED_VALUE"""),13)</f>
        <v>13</v>
      </c>
      <c r="I213" s="1">
        <f ca="1">IFERROR(__xludf.DUMMYFUNCTION("""COMPUTED_VALUE"""),3)</f>
        <v>3</v>
      </c>
      <c r="J213" s="1">
        <f ca="1">IFERROR(__xludf.DUMMYFUNCTION("""COMPUTED_VALUE"""),17)</f>
        <v>17</v>
      </c>
      <c r="K213" s="1">
        <f ca="1">IFERROR(__xludf.DUMMYFUNCTION("""COMPUTED_VALUE"""),1)</f>
        <v>1</v>
      </c>
      <c r="L213" s="1">
        <f ca="1">IFERROR(__xludf.DUMMYFUNCTION("""COMPUTED_VALUE"""),6)</f>
        <v>6</v>
      </c>
      <c r="M213" s="1">
        <f ca="1">IFERROR(__xludf.DUMMYFUNCTION("""COMPUTED_VALUE"""),9)</f>
        <v>9</v>
      </c>
      <c r="N213" s="1">
        <f ca="1">IFERROR(__xludf.DUMMYFUNCTION("""COMPUTED_VALUE"""),2647)</f>
        <v>2647</v>
      </c>
      <c r="O213" s="1">
        <f ca="1">IFERROR(__xludf.DUMMYFUNCTION("""COMPUTED_VALUE"""),2446)</f>
        <v>2446</v>
      </c>
      <c r="P213" s="1">
        <f ca="1">IFERROR(__xludf.DUMMYFUNCTION("""COMPUTED_VALUE"""),1370)</f>
        <v>1370</v>
      </c>
      <c r="Q213" s="1">
        <f ca="1">IFERROR(__xludf.DUMMYFUNCTION("""COMPUTED_VALUE"""),901)</f>
        <v>901</v>
      </c>
      <c r="R213" s="1">
        <f ca="1">IFERROR(__xludf.DUMMYFUNCTION("""COMPUTED_VALUE"""),1898)</f>
        <v>1898</v>
      </c>
      <c r="S213" s="1">
        <f ca="1">IFERROR(__xludf.DUMMYFUNCTION("""COMPUTED_VALUE"""),0.475)</f>
        <v>0.47499999999999998</v>
      </c>
      <c r="T213" s="1">
        <f ca="1">IFERROR(__xludf.DUMMYFUNCTION("""COMPUTED_VALUE"""),252)</f>
        <v>252</v>
      </c>
      <c r="U213" s="1">
        <f ca="1">IFERROR(__xludf.DUMMYFUNCTION("""COMPUTED_VALUE"""),671)</f>
        <v>671</v>
      </c>
      <c r="V213" s="1">
        <f ca="1">IFERROR(__xludf.DUMMYFUNCTION("""COMPUTED_VALUE"""),0.376)</f>
        <v>0.376</v>
      </c>
      <c r="W213" s="1">
        <f ca="1">IFERROR(__xludf.DUMMYFUNCTION("""COMPUTED_VALUE"""),593)</f>
        <v>593</v>
      </c>
      <c r="X213" s="1">
        <f ca="1">IFERROR(__xludf.DUMMYFUNCTION("""COMPUTED_VALUE"""),883)</f>
        <v>883</v>
      </c>
      <c r="Y213" s="1">
        <f ca="1">IFERROR(__xludf.DUMMYFUNCTION("""COMPUTED_VALUE"""),0.672)</f>
        <v>0.67200000000000004</v>
      </c>
      <c r="Z213" s="1">
        <f ca="1">IFERROR(__xludf.DUMMYFUNCTION("""COMPUTED_VALUE"""),397)</f>
        <v>397</v>
      </c>
      <c r="AA213" s="1">
        <f ca="1">IFERROR(__xludf.DUMMYFUNCTION("""COMPUTED_VALUE"""),1233)</f>
        <v>1233</v>
      </c>
      <c r="AB213" s="1">
        <f ca="1">IFERROR(__xludf.DUMMYFUNCTION("""COMPUTED_VALUE"""),446)</f>
        <v>446</v>
      </c>
      <c r="AC213" s="1">
        <f ca="1">IFERROR(__xludf.DUMMYFUNCTION("""COMPUTED_VALUE"""),203)</f>
        <v>203</v>
      </c>
      <c r="AD213" s="1">
        <f ca="1">IFERROR(__xludf.DUMMYFUNCTION("""COMPUTED_VALUE"""),148)</f>
        <v>148</v>
      </c>
      <c r="AE213" s="1">
        <f ca="1">IFERROR(__xludf.DUMMYFUNCTION("""COMPUTED_VALUE"""),420)</f>
        <v>420</v>
      </c>
      <c r="AF213" s="1">
        <f ca="1">IFERROR(__xludf.DUMMYFUNCTION("""COMPUTED_VALUE"""),629)</f>
        <v>629</v>
      </c>
    </row>
    <row r="214" spans="1:32" ht="12.5" x14ac:dyDescent="0.25">
      <c r="A214" s="1" t="str">
        <f ca="1">IFERROR(__xludf.DUMMYFUNCTION("""COMPUTED_VALUE"""),"Navy")</f>
        <v>Navy</v>
      </c>
      <c r="B214" s="1">
        <f ca="1">IFERROR(__xludf.DUMMYFUNCTION("""COMPUTED_VALUE"""),30)</f>
        <v>30</v>
      </c>
      <c r="C214" s="1">
        <f ca="1">IFERROR(__xludf.DUMMYFUNCTION("""COMPUTED_VALUE"""),9)</f>
        <v>9</v>
      </c>
      <c r="D214" s="1">
        <f ca="1">IFERROR(__xludf.DUMMYFUNCTION("""COMPUTED_VALUE"""),21)</f>
        <v>21</v>
      </c>
      <c r="E214" s="1">
        <f ca="1">IFERROR(__xludf.DUMMYFUNCTION("""COMPUTED_VALUE"""),0.3)</f>
        <v>0.3</v>
      </c>
      <c r="F214" s="1">
        <f ca="1">IFERROR(__xludf.DUMMYFUNCTION("""COMPUTED_VALUE"""),-11.95)</f>
        <v>-11.95</v>
      </c>
      <c r="G214" s="1">
        <f ca="1">IFERROR(__xludf.DUMMYFUNCTION("""COMPUTED_VALUE"""),-5.46)</f>
        <v>-5.46</v>
      </c>
      <c r="H214" s="1">
        <f ca="1">IFERROR(__xludf.DUMMYFUNCTION("""COMPUTED_VALUE"""),4)</f>
        <v>4</v>
      </c>
      <c r="I214" s="1">
        <f ca="1">IFERROR(__xludf.DUMMYFUNCTION("""COMPUTED_VALUE"""),14)</f>
        <v>14</v>
      </c>
      <c r="J214" s="1">
        <f ca="1">IFERROR(__xludf.DUMMYFUNCTION("""COMPUTED_VALUE"""),7)</f>
        <v>7</v>
      </c>
      <c r="K214" s="1">
        <f ca="1">IFERROR(__xludf.DUMMYFUNCTION("""COMPUTED_VALUE"""),6)</f>
        <v>6</v>
      </c>
      <c r="L214" s="1">
        <f ca="1">IFERROR(__xludf.DUMMYFUNCTION("""COMPUTED_VALUE"""),2)</f>
        <v>2</v>
      </c>
      <c r="M214" s="1">
        <f ca="1">IFERROR(__xludf.DUMMYFUNCTION("""COMPUTED_VALUE"""),15)</f>
        <v>15</v>
      </c>
      <c r="N214" s="1">
        <f ca="1">IFERROR(__xludf.DUMMYFUNCTION("""COMPUTED_VALUE"""),1820)</f>
        <v>1820</v>
      </c>
      <c r="O214" s="1">
        <f ca="1">IFERROR(__xludf.DUMMYFUNCTION("""COMPUTED_VALUE"""),1957)</f>
        <v>1957</v>
      </c>
      <c r="P214" s="1">
        <f ca="1">IFERROR(__xludf.DUMMYFUNCTION("""COMPUTED_VALUE"""),1215)</f>
        <v>1215</v>
      </c>
      <c r="Q214" s="1">
        <f ca="1">IFERROR(__xludf.DUMMYFUNCTION("""COMPUTED_VALUE"""),660)</f>
        <v>660</v>
      </c>
      <c r="R214" s="1">
        <f ca="1">IFERROR(__xludf.DUMMYFUNCTION("""COMPUTED_VALUE"""),1645)</f>
        <v>1645</v>
      </c>
      <c r="S214" s="1">
        <f ca="1">IFERROR(__xludf.DUMMYFUNCTION("""COMPUTED_VALUE"""),0.401)</f>
        <v>0.40100000000000002</v>
      </c>
      <c r="T214" s="1">
        <f ca="1">IFERROR(__xludf.DUMMYFUNCTION("""COMPUTED_VALUE"""),201)</f>
        <v>201</v>
      </c>
      <c r="U214" s="1">
        <f ca="1">IFERROR(__xludf.DUMMYFUNCTION("""COMPUTED_VALUE"""),612)</f>
        <v>612</v>
      </c>
      <c r="V214" s="1">
        <f ca="1">IFERROR(__xludf.DUMMYFUNCTION("""COMPUTED_VALUE"""),0.328)</f>
        <v>0.32800000000000001</v>
      </c>
      <c r="W214" s="1">
        <f ca="1">IFERROR(__xludf.DUMMYFUNCTION("""COMPUTED_VALUE"""),299)</f>
        <v>299</v>
      </c>
      <c r="X214" s="1">
        <f ca="1">IFERROR(__xludf.DUMMYFUNCTION("""COMPUTED_VALUE"""),471)</f>
        <v>471</v>
      </c>
      <c r="Y214" s="1">
        <f ca="1">IFERROR(__xludf.DUMMYFUNCTION("""COMPUTED_VALUE"""),0.635)</f>
        <v>0.63500000000000001</v>
      </c>
      <c r="Z214" s="1">
        <f ca="1">IFERROR(__xludf.DUMMYFUNCTION("""COMPUTED_VALUE"""),335)</f>
        <v>335</v>
      </c>
      <c r="AA214" s="1">
        <f ca="1">IFERROR(__xludf.DUMMYFUNCTION("""COMPUTED_VALUE"""),1006)</f>
        <v>1006</v>
      </c>
      <c r="AB214" s="1">
        <f ca="1">IFERROR(__xludf.DUMMYFUNCTION("""COMPUTED_VALUE"""),381)</f>
        <v>381</v>
      </c>
      <c r="AC214" s="1">
        <f ca="1">IFERROR(__xludf.DUMMYFUNCTION("""COMPUTED_VALUE"""),195)</f>
        <v>195</v>
      </c>
      <c r="AD214" s="1">
        <f ca="1">IFERROR(__xludf.DUMMYFUNCTION("""COMPUTED_VALUE"""),99)</f>
        <v>99</v>
      </c>
      <c r="AE214" s="1">
        <f ca="1">IFERROR(__xludf.DUMMYFUNCTION("""COMPUTED_VALUE"""),376)</f>
        <v>376</v>
      </c>
      <c r="AF214" s="1">
        <f ca="1">IFERROR(__xludf.DUMMYFUNCTION("""COMPUTED_VALUE"""),566)</f>
        <v>566</v>
      </c>
    </row>
    <row r="215" spans="1:32" ht="12.5" x14ac:dyDescent="0.25">
      <c r="A215" s="1" t="str">
        <f ca="1">IFERROR(__xludf.DUMMYFUNCTION("""COMPUTED_VALUE"""),"Omaha")</f>
        <v>Omaha</v>
      </c>
      <c r="B215" s="1">
        <f ca="1">IFERROR(__xludf.DUMMYFUNCTION("""COMPUTED_VALUE"""),32)</f>
        <v>32</v>
      </c>
      <c r="C215" s="1">
        <f ca="1">IFERROR(__xludf.DUMMYFUNCTION("""COMPUTED_VALUE"""),17)</f>
        <v>17</v>
      </c>
      <c r="D215" s="1">
        <f ca="1">IFERROR(__xludf.DUMMYFUNCTION("""COMPUTED_VALUE"""),15)</f>
        <v>15</v>
      </c>
      <c r="E215" s="1">
        <f ca="1">IFERROR(__xludf.DUMMYFUNCTION("""COMPUTED_VALUE"""),0.531)</f>
        <v>0.53100000000000003</v>
      </c>
      <c r="F215" s="1">
        <f ca="1">IFERROR(__xludf.DUMMYFUNCTION("""COMPUTED_VALUE"""),-1.19)</f>
        <v>-1.19</v>
      </c>
      <c r="G215" s="1">
        <f ca="1">IFERROR(__xludf.DUMMYFUNCTION("""COMPUTED_VALUE"""),-2.78)</f>
        <v>-2.78</v>
      </c>
      <c r="H215" s="1">
        <f ca="1">IFERROR(__xludf.DUMMYFUNCTION("""COMPUTED_VALUE"""),5)</f>
        <v>5</v>
      </c>
      <c r="I215" s="1">
        <f ca="1">IFERROR(__xludf.DUMMYFUNCTION("""COMPUTED_VALUE"""),9)</f>
        <v>9</v>
      </c>
      <c r="J215" s="1">
        <f ca="1">IFERROR(__xludf.DUMMYFUNCTION("""COMPUTED_VALUE"""),11)</f>
        <v>11</v>
      </c>
      <c r="K215" s="1">
        <f ca="1">IFERROR(__xludf.DUMMYFUNCTION("""COMPUTED_VALUE"""),4)</f>
        <v>4</v>
      </c>
      <c r="L215" s="1">
        <f ca="1">IFERROR(__xludf.DUMMYFUNCTION("""COMPUTED_VALUE"""),6)</f>
        <v>6</v>
      </c>
      <c r="M215" s="1">
        <f ca="1">IFERROR(__xludf.DUMMYFUNCTION("""COMPUTED_VALUE"""),11)</f>
        <v>11</v>
      </c>
      <c r="N215" s="1">
        <f ca="1">IFERROR(__xludf.DUMMYFUNCTION("""COMPUTED_VALUE"""),2558)</f>
        <v>2558</v>
      </c>
      <c r="O215" s="1">
        <f ca="1">IFERROR(__xludf.DUMMYFUNCTION("""COMPUTED_VALUE"""),2404)</f>
        <v>2404</v>
      </c>
      <c r="P215" s="1">
        <f ca="1">IFERROR(__xludf.DUMMYFUNCTION("""COMPUTED_VALUE"""),1290)</f>
        <v>1290</v>
      </c>
      <c r="Q215" s="1">
        <f ca="1">IFERROR(__xludf.DUMMYFUNCTION("""COMPUTED_VALUE"""),885)</f>
        <v>885</v>
      </c>
      <c r="R215" s="1">
        <f ca="1">IFERROR(__xludf.DUMMYFUNCTION("""COMPUTED_VALUE"""),1967)</f>
        <v>1967</v>
      </c>
      <c r="S215" s="1">
        <f ca="1">IFERROR(__xludf.DUMMYFUNCTION("""COMPUTED_VALUE"""),0.45)</f>
        <v>0.45</v>
      </c>
      <c r="T215" s="1">
        <f ca="1">IFERROR(__xludf.DUMMYFUNCTION("""COMPUTED_VALUE"""),219)</f>
        <v>219</v>
      </c>
      <c r="U215" s="1">
        <f ca="1">IFERROR(__xludf.DUMMYFUNCTION("""COMPUTED_VALUE"""),650)</f>
        <v>650</v>
      </c>
      <c r="V215" s="1">
        <f ca="1">IFERROR(__xludf.DUMMYFUNCTION("""COMPUTED_VALUE"""),0.337)</f>
        <v>0.33700000000000002</v>
      </c>
      <c r="W215" s="1">
        <f ca="1">IFERROR(__xludf.DUMMYFUNCTION("""COMPUTED_VALUE"""),569)</f>
        <v>569</v>
      </c>
      <c r="X215" s="1">
        <f ca="1">IFERROR(__xludf.DUMMYFUNCTION("""COMPUTED_VALUE"""),744)</f>
        <v>744</v>
      </c>
      <c r="Y215" s="1">
        <f ca="1">IFERROR(__xludf.DUMMYFUNCTION("""COMPUTED_VALUE"""),0.765)</f>
        <v>0.76500000000000001</v>
      </c>
      <c r="Z215" s="1">
        <f ca="1">IFERROR(__xludf.DUMMYFUNCTION("""COMPUTED_VALUE"""),338)</f>
        <v>338</v>
      </c>
      <c r="AA215" s="1">
        <f ca="1">IFERROR(__xludf.DUMMYFUNCTION("""COMPUTED_VALUE"""),1102)</f>
        <v>1102</v>
      </c>
      <c r="AB215" s="1">
        <f ca="1">IFERROR(__xludf.DUMMYFUNCTION("""COMPUTED_VALUE"""),493)</f>
        <v>493</v>
      </c>
      <c r="AC215" s="1">
        <f ca="1">IFERROR(__xludf.DUMMYFUNCTION("""COMPUTED_VALUE"""),266)</f>
        <v>266</v>
      </c>
      <c r="AD215" s="1">
        <f ca="1">IFERROR(__xludf.DUMMYFUNCTION("""COMPUTED_VALUE"""),87)</f>
        <v>87</v>
      </c>
      <c r="AE215" s="1">
        <f ca="1">IFERROR(__xludf.DUMMYFUNCTION("""COMPUTED_VALUE"""),403)</f>
        <v>403</v>
      </c>
      <c r="AF215" s="1">
        <f ca="1">IFERROR(__xludf.DUMMYFUNCTION("""COMPUTED_VALUE"""),595)</f>
        <v>595</v>
      </c>
    </row>
    <row r="216" spans="1:32" ht="12.5" x14ac:dyDescent="0.25">
      <c r="A216" s="1" t="str">
        <f ca="1">IFERROR(__xludf.DUMMYFUNCTION("""COMPUTED_VALUE"""),"NebraskaNCAA")</f>
        <v>NebraskaNCAA</v>
      </c>
      <c r="B216" s="1">
        <f ca="1">IFERROR(__xludf.DUMMYFUNCTION("""COMPUTED_VALUE"""),32)</f>
        <v>32</v>
      </c>
      <c r="C216" s="1">
        <f ca="1">IFERROR(__xludf.DUMMYFUNCTION("""COMPUTED_VALUE"""),19)</f>
        <v>19</v>
      </c>
      <c r="D216" s="1">
        <f ca="1">IFERROR(__xludf.DUMMYFUNCTION("""COMPUTED_VALUE"""),13)</f>
        <v>13</v>
      </c>
      <c r="E216" s="1">
        <f ca="1">IFERROR(__xludf.DUMMYFUNCTION("""COMPUTED_VALUE"""),0.594)</f>
        <v>0.59399999999999997</v>
      </c>
      <c r="F216" s="1">
        <f ca="1">IFERROR(__xludf.DUMMYFUNCTION("""COMPUTED_VALUE"""),10.13)</f>
        <v>10.130000000000001</v>
      </c>
      <c r="G216" s="1">
        <f ca="1">IFERROR(__xludf.DUMMYFUNCTION("""COMPUTED_VALUE"""),8.5)</f>
        <v>8.5</v>
      </c>
      <c r="H216" s="1">
        <f ca="1">IFERROR(__xludf.DUMMYFUNCTION("""COMPUTED_VALUE"""),11)</f>
        <v>11</v>
      </c>
      <c r="I216" s="1">
        <f ca="1">IFERROR(__xludf.DUMMYFUNCTION("""COMPUTED_VALUE"""),7)</f>
        <v>7</v>
      </c>
      <c r="J216" s="1">
        <f ca="1">IFERROR(__xludf.DUMMYFUNCTION("""COMPUTED_VALUE"""),15)</f>
        <v>15</v>
      </c>
      <c r="K216" s="1">
        <f ca="1">IFERROR(__xludf.DUMMYFUNCTION("""COMPUTED_VALUE"""),1)</f>
        <v>1</v>
      </c>
      <c r="L216" s="1">
        <f ca="1">IFERROR(__xludf.DUMMYFUNCTION("""COMPUTED_VALUE"""),3)</f>
        <v>3</v>
      </c>
      <c r="M216" s="1">
        <f ca="1">IFERROR(__xludf.DUMMYFUNCTION("""COMPUTED_VALUE"""),8)</f>
        <v>8</v>
      </c>
      <c r="N216" s="1">
        <f ca="1">IFERROR(__xludf.DUMMYFUNCTION("""COMPUTED_VALUE"""),2137)</f>
        <v>2137</v>
      </c>
      <c r="O216" s="1">
        <f ca="1">IFERROR(__xludf.DUMMYFUNCTION("""COMPUTED_VALUE"""),2085)</f>
        <v>2085</v>
      </c>
      <c r="P216" s="1">
        <f ca="1">IFERROR(__xludf.DUMMYFUNCTION("""COMPUTED_VALUE"""),1280)</f>
        <v>1280</v>
      </c>
      <c r="Q216" s="1">
        <f ca="1">IFERROR(__xludf.DUMMYFUNCTION("""COMPUTED_VALUE"""),719)</f>
        <v>719</v>
      </c>
      <c r="R216" s="1">
        <f ca="1">IFERROR(__xludf.DUMMYFUNCTION("""COMPUTED_VALUE"""),1684)</f>
        <v>1684</v>
      </c>
      <c r="S216" s="1">
        <f ca="1">IFERROR(__xludf.DUMMYFUNCTION("""COMPUTED_VALUE"""),0.427)</f>
        <v>0.42699999999999999</v>
      </c>
      <c r="T216" s="1">
        <f ca="1">IFERROR(__xludf.DUMMYFUNCTION("""COMPUTED_VALUE"""),188)</f>
        <v>188</v>
      </c>
      <c r="U216" s="1">
        <f ca="1">IFERROR(__xludf.DUMMYFUNCTION("""COMPUTED_VALUE"""),564)</f>
        <v>564</v>
      </c>
      <c r="V216" s="1">
        <f ca="1">IFERROR(__xludf.DUMMYFUNCTION("""COMPUTED_VALUE"""),0.333)</f>
        <v>0.33300000000000002</v>
      </c>
      <c r="W216" s="1">
        <f ca="1">IFERROR(__xludf.DUMMYFUNCTION("""COMPUTED_VALUE"""),511)</f>
        <v>511</v>
      </c>
      <c r="X216" s="1">
        <f ca="1">IFERROR(__xludf.DUMMYFUNCTION("""COMPUTED_VALUE"""),713)</f>
        <v>713</v>
      </c>
      <c r="Y216" s="1">
        <f ca="1">IFERROR(__xludf.DUMMYFUNCTION("""COMPUTED_VALUE"""),0.717)</f>
        <v>0.71699999999999997</v>
      </c>
      <c r="Z216" s="1">
        <f ca="1">IFERROR(__xludf.DUMMYFUNCTION("""COMPUTED_VALUE"""),278)</f>
        <v>278</v>
      </c>
      <c r="AA216" s="1">
        <f ca="1">IFERROR(__xludf.DUMMYFUNCTION("""COMPUTED_VALUE"""),1059)</f>
        <v>1059</v>
      </c>
      <c r="AB216" s="1">
        <f ca="1">IFERROR(__xludf.DUMMYFUNCTION("""COMPUTED_VALUE"""),304)</f>
        <v>304</v>
      </c>
      <c r="AC216" s="1">
        <f ca="1">IFERROR(__xludf.DUMMYFUNCTION("""COMPUTED_VALUE"""),222)</f>
        <v>222</v>
      </c>
      <c r="AD216" s="1">
        <f ca="1">IFERROR(__xludf.DUMMYFUNCTION("""COMPUTED_VALUE"""),99)</f>
        <v>99</v>
      </c>
      <c r="AE216" s="1">
        <f ca="1">IFERROR(__xludf.DUMMYFUNCTION("""COMPUTED_VALUE"""),349)</f>
        <v>349</v>
      </c>
      <c r="AF216" s="1">
        <f ca="1">IFERROR(__xludf.DUMMYFUNCTION("""COMPUTED_VALUE"""),660)</f>
        <v>660</v>
      </c>
    </row>
    <row r="217" spans="1:32" ht="12.5" x14ac:dyDescent="0.25">
      <c r="A217" s="1" t="str">
        <f ca="1">IFERROR(__xludf.DUMMYFUNCTION("""COMPUTED_VALUE"""),"Nevada-Las Vegas")</f>
        <v>Nevada-Las Vegas</v>
      </c>
      <c r="B217" s="1">
        <f ca="1">IFERROR(__xludf.DUMMYFUNCTION("""COMPUTED_VALUE"""),33)</f>
        <v>33</v>
      </c>
      <c r="C217" s="1">
        <f ca="1">IFERROR(__xludf.DUMMYFUNCTION("""COMPUTED_VALUE"""),20)</f>
        <v>20</v>
      </c>
      <c r="D217" s="1">
        <f ca="1">IFERROR(__xludf.DUMMYFUNCTION("""COMPUTED_VALUE"""),13)</f>
        <v>13</v>
      </c>
      <c r="E217" s="1">
        <f ca="1">IFERROR(__xludf.DUMMYFUNCTION("""COMPUTED_VALUE"""),0.606)</f>
        <v>0.60599999999999998</v>
      </c>
      <c r="F217" s="1">
        <f ca="1">IFERROR(__xludf.DUMMYFUNCTION("""COMPUTED_VALUE"""),8.55)</f>
        <v>8.5500000000000007</v>
      </c>
      <c r="G217" s="1">
        <f ca="1">IFERROR(__xludf.DUMMYFUNCTION("""COMPUTED_VALUE"""),2.76)</f>
        <v>2.76</v>
      </c>
      <c r="H217" s="1">
        <f ca="1">IFERROR(__xludf.DUMMYFUNCTION("""COMPUTED_VALUE"""),10)</f>
        <v>10</v>
      </c>
      <c r="I217" s="1">
        <f ca="1">IFERROR(__xludf.DUMMYFUNCTION("""COMPUTED_VALUE"""),8)</f>
        <v>8</v>
      </c>
      <c r="J217" s="1">
        <f ca="1">IFERROR(__xludf.DUMMYFUNCTION("""COMPUTED_VALUE"""),12)</f>
        <v>12</v>
      </c>
      <c r="K217" s="1">
        <f ca="1">IFERROR(__xludf.DUMMYFUNCTION("""COMPUTED_VALUE"""),7)</f>
        <v>7</v>
      </c>
      <c r="L217" s="1">
        <f ca="1">IFERROR(__xludf.DUMMYFUNCTION("""COMPUTED_VALUE"""),6)</f>
        <v>6</v>
      </c>
      <c r="M217" s="1">
        <f ca="1">IFERROR(__xludf.DUMMYFUNCTION("""COMPUTED_VALUE"""),5)</f>
        <v>5</v>
      </c>
      <c r="N217" s="1">
        <f ca="1">IFERROR(__xludf.DUMMYFUNCTION("""COMPUTED_VALUE"""),2355)</f>
        <v>2355</v>
      </c>
      <c r="O217" s="1">
        <f ca="1">IFERROR(__xludf.DUMMYFUNCTION("""COMPUTED_VALUE"""),2164)</f>
        <v>2164</v>
      </c>
      <c r="P217" s="1">
        <f ca="1">IFERROR(__xludf.DUMMYFUNCTION("""COMPUTED_VALUE"""),1330)</f>
        <v>1330</v>
      </c>
      <c r="Q217" s="1">
        <f ca="1">IFERROR(__xludf.DUMMYFUNCTION("""COMPUTED_VALUE"""),834)</f>
        <v>834</v>
      </c>
      <c r="R217" s="1">
        <f ca="1">IFERROR(__xludf.DUMMYFUNCTION("""COMPUTED_VALUE"""),1905)</f>
        <v>1905</v>
      </c>
      <c r="S217" s="1">
        <f ca="1">IFERROR(__xludf.DUMMYFUNCTION("""COMPUTED_VALUE"""),0.438)</f>
        <v>0.438</v>
      </c>
      <c r="T217" s="1">
        <f ca="1">IFERROR(__xludf.DUMMYFUNCTION("""COMPUTED_VALUE"""),195)</f>
        <v>195</v>
      </c>
      <c r="U217" s="1">
        <f ca="1">IFERROR(__xludf.DUMMYFUNCTION("""COMPUTED_VALUE"""),592)</f>
        <v>592</v>
      </c>
      <c r="V217" s="1">
        <f ca="1">IFERROR(__xludf.DUMMYFUNCTION("""COMPUTED_VALUE"""),0.329)</f>
        <v>0.32900000000000001</v>
      </c>
      <c r="W217" s="1">
        <f ca="1">IFERROR(__xludf.DUMMYFUNCTION("""COMPUTED_VALUE"""),492)</f>
        <v>492</v>
      </c>
      <c r="X217" s="1">
        <f ca="1">IFERROR(__xludf.DUMMYFUNCTION("""COMPUTED_VALUE"""),752)</f>
        <v>752</v>
      </c>
      <c r="Y217" s="1">
        <f ca="1">IFERROR(__xludf.DUMMYFUNCTION("""COMPUTED_VALUE"""),0.654)</f>
        <v>0.65400000000000003</v>
      </c>
      <c r="Z217" s="1">
        <f ca="1">IFERROR(__xludf.DUMMYFUNCTION("""COMPUTED_VALUE"""),415)</f>
        <v>415</v>
      </c>
      <c r="AA217" s="1">
        <f ca="1">IFERROR(__xludf.DUMMYFUNCTION("""COMPUTED_VALUE"""),1314)</f>
        <v>1314</v>
      </c>
      <c r="AB217" s="1">
        <f ca="1">IFERROR(__xludf.DUMMYFUNCTION("""COMPUTED_VALUE"""),437)</f>
        <v>437</v>
      </c>
      <c r="AC217" s="1">
        <f ca="1">IFERROR(__xludf.DUMMYFUNCTION("""COMPUTED_VALUE"""),160)</f>
        <v>160</v>
      </c>
      <c r="AD217" s="1">
        <f ca="1">IFERROR(__xludf.DUMMYFUNCTION("""COMPUTED_VALUE"""),213)</f>
        <v>213</v>
      </c>
      <c r="AE217" s="1">
        <f ca="1">IFERROR(__xludf.DUMMYFUNCTION("""COMPUTED_VALUE"""),367)</f>
        <v>367</v>
      </c>
      <c r="AF217" s="1">
        <f ca="1">IFERROR(__xludf.DUMMYFUNCTION("""COMPUTED_VALUE"""),520)</f>
        <v>520</v>
      </c>
    </row>
    <row r="218" spans="1:32" ht="12.5" x14ac:dyDescent="0.25">
      <c r="A218" s="1" t="str">
        <f ca="1">IFERROR(__xludf.DUMMYFUNCTION("""COMPUTED_VALUE"""),"Nevada")</f>
        <v>Nevada</v>
      </c>
      <c r="B218" s="1">
        <f ca="1">IFERROR(__xludf.DUMMYFUNCTION("""COMPUTED_VALUE"""),32)</f>
        <v>32</v>
      </c>
      <c r="C218" s="1">
        <f ca="1">IFERROR(__xludf.DUMMYFUNCTION("""COMPUTED_VALUE"""),15)</f>
        <v>15</v>
      </c>
      <c r="D218" s="1">
        <f ca="1">IFERROR(__xludf.DUMMYFUNCTION("""COMPUTED_VALUE"""),17)</f>
        <v>17</v>
      </c>
      <c r="E218" s="1">
        <f ca="1">IFERROR(__xludf.DUMMYFUNCTION("""COMPUTED_VALUE"""),0.469)</f>
        <v>0.46899999999999997</v>
      </c>
      <c r="F218" s="1">
        <f ca="1">IFERROR(__xludf.DUMMYFUNCTION("""COMPUTED_VALUE"""),1.98)</f>
        <v>1.98</v>
      </c>
      <c r="G218" s="1">
        <f ca="1">IFERROR(__xludf.DUMMYFUNCTION("""COMPUTED_VALUE"""),3.48)</f>
        <v>3.48</v>
      </c>
      <c r="H218" s="1">
        <f ca="1">IFERROR(__xludf.DUMMYFUNCTION("""COMPUTED_VALUE"""),10)</f>
        <v>10</v>
      </c>
      <c r="I218" s="1">
        <f ca="1">IFERROR(__xludf.DUMMYFUNCTION("""COMPUTED_VALUE"""),8)</f>
        <v>8</v>
      </c>
      <c r="J218" s="1">
        <f ca="1">IFERROR(__xludf.DUMMYFUNCTION("""COMPUTED_VALUE"""),7)</f>
        <v>7</v>
      </c>
      <c r="K218" s="1">
        <f ca="1">IFERROR(__xludf.DUMMYFUNCTION("""COMPUTED_VALUE"""),8)</f>
        <v>8</v>
      </c>
      <c r="L218" s="1">
        <f ca="1">IFERROR(__xludf.DUMMYFUNCTION("""COMPUTED_VALUE"""),8)</f>
        <v>8</v>
      </c>
      <c r="M218" s="1">
        <f ca="1">IFERROR(__xludf.DUMMYFUNCTION("""COMPUTED_VALUE"""),6)</f>
        <v>6</v>
      </c>
      <c r="N218" s="1">
        <f ca="1">IFERROR(__xludf.DUMMYFUNCTION("""COMPUTED_VALUE"""),2316)</f>
        <v>2316</v>
      </c>
      <c r="O218" s="1">
        <f ca="1">IFERROR(__xludf.DUMMYFUNCTION("""COMPUTED_VALUE"""),2364)</f>
        <v>2364</v>
      </c>
      <c r="P218" s="1">
        <f ca="1">IFERROR(__xludf.DUMMYFUNCTION("""COMPUTED_VALUE"""),1320)</f>
        <v>1320</v>
      </c>
      <c r="Q218" s="1">
        <f ca="1">IFERROR(__xludf.DUMMYFUNCTION("""COMPUTED_VALUE"""),796)</f>
        <v>796</v>
      </c>
      <c r="R218" s="1">
        <f ca="1">IFERROR(__xludf.DUMMYFUNCTION("""COMPUTED_VALUE"""),1835)</f>
        <v>1835</v>
      </c>
      <c r="S218" s="1">
        <f ca="1">IFERROR(__xludf.DUMMYFUNCTION("""COMPUTED_VALUE"""),0.434)</f>
        <v>0.434</v>
      </c>
      <c r="T218" s="1">
        <f ca="1">IFERROR(__xludf.DUMMYFUNCTION("""COMPUTED_VALUE"""),214)</f>
        <v>214</v>
      </c>
      <c r="U218" s="1">
        <f ca="1">IFERROR(__xludf.DUMMYFUNCTION("""COMPUTED_VALUE"""),634)</f>
        <v>634</v>
      </c>
      <c r="V218" s="1">
        <f ca="1">IFERROR(__xludf.DUMMYFUNCTION("""COMPUTED_VALUE"""),0.338)</f>
        <v>0.33800000000000002</v>
      </c>
      <c r="W218" s="1">
        <f ca="1">IFERROR(__xludf.DUMMYFUNCTION("""COMPUTED_VALUE"""),510)</f>
        <v>510</v>
      </c>
      <c r="X218" s="1">
        <f ca="1">IFERROR(__xludf.DUMMYFUNCTION("""COMPUTED_VALUE"""),699)</f>
        <v>699</v>
      </c>
      <c r="Y218" s="1">
        <f ca="1">IFERROR(__xludf.DUMMYFUNCTION("""COMPUTED_VALUE"""),0.73)</f>
        <v>0.73</v>
      </c>
      <c r="Z218" s="1">
        <f ca="1">IFERROR(__xludf.DUMMYFUNCTION("""COMPUTED_VALUE"""),352)</f>
        <v>352</v>
      </c>
      <c r="AA218" s="1">
        <f ca="1">IFERROR(__xludf.DUMMYFUNCTION("""COMPUTED_VALUE"""),1113)</f>
        <v>1113</v>
      </c>
      <c r="AB218" s="1">
        <f ca="1">IFERROR(__xludf.DUMMYFUNCTION("""COMPUTED_VALUE"""),347)</f>
        <v>347</v>
      </c>
      <c r="AC218" s="1">
        <f ca="1">IFERROR(__xludf.DUMMYFUNCTION("""COMPUTED_VALUE"""),160)</f>
        <v>160</v>
      </c>
      <c r="AD218" s="1">
        <f ca="1">IFERROR(__xludf.DUMMYFUNCTION("""COMPUTED_VALUE"""),144)</f>
        <v>144</v>
      </c>
      <c r="AE218" s="1">
        <f ca="1">IFERROR(__xludf.DUMMYFUNCTION("""COMPUTED_VALUE"""),333)</f>
        <v>333</v>
      </c>
      <c r="AF218" s="1">
        <f ca="1">IFERROR(__xludf.DUMMYFUNCTION("""COMPUTED_VALUE"""),604)</f>
        <v>604</v>
      </c>
    </row>
    <row r="219" spans="1:32" ht="12.5" x14ac:dyDescent="0.25">
      <c r="A219" s="1" t="str">
        <f ca="1">IFERROR(__xludf.DUMMYFUNCTION("""COMPUTED_VALUE"""),"New Hampshire")</f>
        <v>New Hampshire</v>
      </c>
      <c r="B219" s="1">
        <f ca="1">IFERROR(__xludf.DUMMYFUNCTION("""COMPUTED_VALUE"""),30)</f>
        <v>30</v>
      </c>
      <c r="C219" s="1">
        <f ca="1">IFERROR(__xludf.DUMMYFUNCTION("""COMPUTED_VALUE"""),6)</f>
        <v>6</v>
      </c>
      <c r="D219" s="1">
        <f ca="1">IFERROR(__xludf.DUMMYFUNCTION("""COMPUTED_VALUE"""),24)</f>
        <v>24</v>
      </c>
      <c r="E219" s="1">
        <f ca="1">IFERROR(__xludf.DUMMYFUNCTION("""COMPUTED_VALUE"""),0.2)</f>
        <v>0.2</v>
      </c>
      <c r="F219" s="1">
        <f ca="1">IFERROR(__xludf.DUMMYFUNCTION("""COMPUTED_VALUE"""),-13.97)</f>
        <v>-13.97</v>
      </c>
      <c r="G219" s="1">
        <f ca="1">IFERROR(__xludf.DUMMYFUNCTION("""COMPUTED_VALUE"""),-5.9)</f>
        <v>-5.9</v>
      </c>
      <c r="H219" s="1">
        <f ca="1">IFERROR(__xludf.DUMMYFUNCTION("""COMPUTED_VALUE"""),4)</f>
        <v>4</v>
      </c>
      <c r="I219" s="1">
        <f ca="1">IFERROR(__xludf.DUMMYFUNCTION("""COMPUTED_VALUE"""),12)</f>
        <v>12</v>
      </c>
      <c r="J219" s="1">
        <f ca="1">IFERROR(__xludf.DUMMYFUNCTION("""COMPUTED_VALUE"""),3)</f>
        <v>3</v>
      </c>
      <c r="K219" s="1">
        <f ca="1">IFERROR(__xludf.DUMMYFUNCTION("""COMPUTED_VALUE"""),11)</f>
        <v>11</v>
      </c>
      <c r="L219" s="1">
        <f ca="1">IFERROR(__xludf.DUMMYFUNCTION("""COMPUTED_VALUE"""),3)</f>
        <v>3</v>
      </c>
      <c r="M219" s="1">
        <f ca="1">IFERROR(__xludf.DUMMYFUNCTION("""COMPUTED_VALUE"""),12)</f>
        <v>12</v>
      </c>
      <c r="N219" s="1">
        <f ca="1">IFERROR(__xludf.DUMMYFUNCTION("""COMPUTED_VALUE"""),1735)</f>
        <v>1735</v>
      </c>
      <c r="O219" s="1">
        <f ca="1">IFERROR(__xludf.DUMMYFUNCTION("""COMPUTED_VALUE"""),1945)</f>
        <v>1945</v>
      </c>
      <c r="P219" s="1">
        <f ca="1">IFERROR(__xludf.DUMMYFUNCTION("""COMPUTED_VALUE"""),1206)</f>
        <v>1206</v>
      </c>
      <c r="Q219" s="1">
        <f ca="1">IFERROR(__xludf.DUMMYFUNCTION("""COMPUTED_VALUE"""),584)</f>
        <v>584</v>
      </c>
      <c r="R219" s="1">
        <f ca="1">IFERROR(__xludf.DUMMYFUNCTION("""COMPUTED_VALUE"""),1553)</f>
        <v>1553</v>
      </c>
      <c r="S219" s="1">
        <f ca="1">IFERROR(__xludf.DUMMYFUNCTION("""COMPUTED_VALUE"""),0.376)</f>
        <v>0.376</v>
      </c>
      <c r="T219" s="1">
        <f ca="1">IFERROR(__xludf.DUMMYFUNCTION("""COMPUTED_VALUE"""),211)</f>
        <v>211</v>
      </c>
      <c r="U219" s="1">
        <f ca="1">IFERROR(__xludf.DUMMYFUNCTION("""COMPUTED_VALUE"""),639)</f>
        <v>639</v>
      </c>
      <c r="V219" s="1">
        <f ca="1">IFERROR(__xludf.DUMMYFUNCTION("""COMPUTED_VALUE"""),0.33)</f>
        <v>0.33</v>
      </c>
      <c r="W219" s="1">
        <f ca="1">IFERROR(__xludf.DUMMYFUNCTION("""COMPUTED_VALUE"""),356)</f>
        <v>356</v>
      </c>
      <c r="X219" s="1">
        <f ca="1">IFERROR(__xludf.DUMMYFUNCTION("""COMPUTED_VALUE"""),514)</f>
        <v>514</v>
      </c>
      <c r="Y219" s="1">
        <f ca="1">IFERROR(__xludf.DUMMYFUNCTION("""COMPUTED_VALUE"""),0.693)</f>
        <v>0.69299999999999995</v>
      </c>
      <c r="Z219" s="1">
        <f ca="1">IFERROR(__xludf.DUMMYFUNCTION("""COMPUTED_VALUE"""),286)</f>
        <v>286</v>
      </c>
      <c r="AA219" s="1">
        <f ca="1">IFERROR(__xludf.DUMMYFUNCTION("""COMPUTED_VALUE"""),1026)</f>
        <v>1026</v>
      </c>
      <c r="AB219" s="1">
        <f ca="1">IFERROR(__xludf.DUMMYFUNCTION("""COMPUTED_VALUE"""),292)</f>
        <v>292</v>
      </c>
      <c r="AC219" s="1">
        <f ca="1">IFERROR(__xludf.DUMMYFUNCTION("""COMPUTED_VALUE"""),121)</f>
        <v>121</v>
      </c>
      <c r="AD219" s="1">
        <f ca="1">IFERROR(__xludf.DUMMYFUNCTION("""COMPUTED_VALUE"""),99)</f>
        <v>99</v>
      </c>
      <c r="AE219" s="1">
        <f ca="1">IFERROR(__xludf.DUMMYFUNCTION("""COMPUTED_VALUE"""),392)</f>
        <v>392</v>
      </c>
      <c r="AF219" s="1">
        <f ca="1">IFERROR(__xludf.DUMMYFUNCTION("""COMPUTED_VALUE"""),583)</f>
        <v>583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IFERROR(__xludf.DUMMYFUNCTION("""COMPUTED_VALUE"""),"New Mexico StateNCAA")</f>
        <v>New Mexico StateNCAA</v>
      </c>
      <c r="B222" s="1">
        <f ca="1">IFERROR(__xludf.DUMMYFUNCTION("""COMPUTED_VALUE"""),36)</f>
        <v>36</v>
      </c>
      <c r="C222" s="1">
        <f ca="1">IFERROR(__xludf.DUMMYFUNCTION("""COMPUTED_VALUE"""),26)</f>
        <v>26</v>
      </c>
      <c r="D222" s="1">
        <f ca="1">IFERROR(__xludf.DUMMYFUNCTION("""COMPUTED_VALUE"""),10)</f>
        <v>10</v>
      </c>
      <c r="E222" s="1">
        <f ca="1">IFERROR(__xludf.DUMMYFUNCTION("""COMPUTED_VALUE"""),0.722)</f>
        <v>0.72199999999999998</v>
      </c>
      <c r="F222" s="1">
        <f ca="1">IFERROR(__xludf.DUMMYFUNCTION("""COMPUTED_VALUE"""),6.16)</f>
        <v>6.16</v>
      </c>
      <c r="G222" s="1">
        <f ca="1">IFERROR(__xludf.DUMMYFUNCTION("""COMPUTED_VALUE"""),-2.58)</f>
        <v>-2.58</v>
      </c>
      <c r="H222" s="1">
        <f ca="1">IFERROR(__xludf.DUMMYFUNCTION("""COMPUTED_VALUE"""),12)</f>
        <v>12</v>
      </c>
      <c r="I222" s="1">
        <f ca="1">IFERROR(__xludf.DUMMYFUNCTION("""COMPUTED_VALUE"""),4)</f>
        <v>4</v>
      </c>
      <c r="J222" s="1">
        <f ca="1">IFERROR(__xludf.DUMMYFUNCTION("""COMPUTED_VALUE"""),14)</f>
        <v>14</v>
      </c>
      <c r="K222" s="1">
        <f ca="1">IFERROR(__xludf.DUMMYFUNCTION("""COMPUTED_VALUE"""),1)</f>
        <v>1</v>
      </c>
      <c r="L222" s="1">
        <f ca="1">IFERROR(__xludf.DUMMYFUNCTION("""COMPUTED_VALUE"""),8)</f>
        <v>8</v>
      </c>
      <c r="M222" s="1">
        <f ca="1">IFERROR(__xludf.DUMMYFUNCTION("""COMPUTED_VALUE"""),7)</f>
        <v>7</v>
      </c>
      <c r="N222" s="1">
        <f ca="1">IFERROR(__xludf.DUMMYFUNCTION("""COMPUTED_VALUE"""),2771)</f>
        <v>2771</v>
      </c>
      <c r="O222" s="1">
        <f ca="1">IFERROR(__xludf.DUMMYFUNCTION("""COMPUTED_VALUE"""),2415)</f>
        <v>2415</v>
      </c>
      <c r="P222" s="1">
        <f ca="1">IFERROR(__xludf.DUMMYFUNCTION("""COMPUTED_VALUE"""),1455)</f>
        <v>1455</v>
      </c>
      <c r="Q222" s="1">
        <f ca="1">IFERROR(__xludf.DUMMYFUNCTION("""COMPUTED_VALUE"""),936)</f>
        <v>936</v>
      </c>
      <c r="R222" s="1">
        <f ca="1">IFERROR(__xludf.DUMMYFUNCTION("""COMPUTED_VALUE"""),1918)</f>
        <v>1918</v>
      </c>
      <c r="S222" s="1">
        <f ca="1">IFERROR(__xludf.DUMMYFUNCTION("""COMPUTED_VALUE"""),0.488)</f>
        <v>0.48799999999999999</v>
      </c>
      <c r="T222" s="1">
        <f ca="1">IFERROR(__xludf.DUMMYFUNCTION("""COMPUTED_VALUE"""),194)</f>
        <v>194</v>
      </c>
      <c r="U222" s="1">
        <f ca="1">IFERROR(__xludf.DUMMYFUNCTION("""COMPUTED_VALUE"""),523)</f>
        <v>523</v>
      </c>
      <c r="V222" s="1">
        <f ca="1">IFERROR(__xludf.DUMMYFUNCTION("""COMPUTED_VALUE"""),0.371)</f>
        <v>0.371</v>
      </c>
      <c r="W222" s="1">
        <f ca="1">IFERROR(__xludf.DUMMYFUNCTION("""COMPUTED_VALUE"""),705)</f>
        <v>705</v>
      </c>
      <c r="X222" s="1">
        <f ca="1">IFERROR(__xludf.DUMMYFUNCTION("""COMPUTED_VALUE"""),1027)</f>
        <v>1027</v>
      </c>
      <c r="Y222" s="1">
        <f ca="1">IFERROR(__xludf.DUMMYFUNCTION("""COMPUTED_VALUE"""),0.686)</f>
        <v>0.68600000000000005</v>
      </c>
      <c r="Z222" s="1">
        <f ca="1">IFERROR(__xludf.DUMMYFUNCTION("""COMPUTED_VALUE"""),428)</f>
        <v>428</v>
      </c>
      <c r="AA222" s="1">
        <f ca="1">IFERROR(__xludf.DUMMYFUNCTION("""COMPUTED_VALUE"""),1346)</f>
        <v>1346</v>
      </c>
      <c r="AB222" s="1">
        <f ca="1">IFERROR(__xludf.DUMMYFUNCTION("""COMPUTED_VALUE"""),474)</f>
        <v>474</v>
      </c>
      <c r="AC222" s="1">
        <f ca="1">IFERROR(__xludf.DUMMYFUNCTION("""COMPUTED_VALUE"""),169)</f>
        <v>169</v>
      </c>
      <c r="AD222" s="1">
        <f ca="1">IFERROR(__xludf.DUMMYFUNCTION("""COMPUTED_VALUE"""),224)</f>
        <v>224</v>
      </c>
      <c r="AE222" s="1">
        <f ca="1">IFERROR(__xludf.DUMMYFUNCTION("""COMPUTED_VALUE"""),457)</f>
        <v>457</v>
      </c>
      <c r="AF222" s="1">
        <f ca="1">IFERROR(__xludf.DUMMYFUNCTION("""COMPUTED_VALUE"""),614)</f>
        <v>614</v>
      </c>
    </row>
    <row r="223" spans="1:32" ht="12.5" x14ac:dyDescent="0.25">
      <c r="A223" s="1" t="str">
        <f ca="1">IFERROR(__xludf.DUMMYFUNCTION("""COMPUTED_VALUE"""),"New MexicoNCAA")</f>
        <v>New MexicoNCAA</v>
      </c>
      <c r="B223" s="1">
        <f ca="1">IFERROR(__xludf.DUMMYFUNCTION("""COMPUTED_VALUE"""),34)</f>
        <v>34</v>
      </c>
      <c r="C223" s="1">
        <f ca="1">IFERROR(__xludf.DUMMYFUNCTION("""COMPUTED_VALUE"""),27)</f>
        <v>27</v>
      </c>
      <c r="D223" s="1">
        <f ca="1">IFERROR(__xludf.DUMMYFUNCTION("""COMPUTED_VALUE"""),7)</f>
        <v>7</v>
      </c>
      <c r="E223" s="1">
        <f ca="1">IFERROR(__xludf.DUMMYFUNCTION("""COMPUTED_VALUE"""),0.794)</f>
        <v>0.79400000000000004</v>
      </c>
      <c r="F223" s="1">
        <f ca="1">IFERROR(__xludf.DUMMYFUNCTION("""COMPUTED_VALUE"""),12.72)</f>
        <v>12.72</v>
      </c>
      <c r="G223" s="1">
        <f ca="1">IFERROR(__xludf.DUMMYFUNCTION("""COMPUTED_VALUE"""),4.84)</f>
        <v>4.84</v>
      </c>
      <c r="H223" s="1">
        <f ca="1">IFERROR(__xludf.DUMMYFUNCTION("""COMPUTED_VALUE"""),15)</f>
        <v>15</v>
      </c>
      <c r="I223" s="1">
        <f ca="1">IFERROR(__xludf.DUMMYFUNCTION("""COMPUTED_VALUE"""),3)</f>
        <v>3</v>
      </c>
      <c r="J223" s="1">
        <f ca="1">IFERROR(__xludf.DUMMYFUNCTION("""COMPUTED_VALUE"""),13)</f>
        <v>13</v>
      </c>
      <c r="K223" s="1">
        <f ca="1">IFERROR(__xludf.DUMMYFUNCTION("""COMPUTED_VALUE"""),2)</f>
        <v>2</v>
      </c>
      <c r="L223" s="1">
        <f ca="1">IFERROR(__xludf.DUMMYFUNCTION("""COMPUTED_VALUE"""),8)</f>
        <v>8</v>
      </c>
      <c r="M223" s="1">
        <f ca="1">IFERROR(__xludf.DUMMYFUNCTION("""COMPUTED_VALUE"""),2)</f>
        <v>2</v>
      </c>
      <c r="N223" s="1">
        <f ca="1">IFERROR(__xludf.DUMMYFUNCTION("""COMPUTED_VALUE"""),2516)</f>
        <v>2516</v>
      </c>
      <c r="O223" s="1">
        <f ca="1">IFERROR(__xludf.DUMMYFUNCTION("""COMPUTED_VALUE"""),2248)</f>
        <v>2248</v>
      </c>
      <c r="P223" s="1">
        <f ca="1">IFERROR(__xludf.DUMMYFUNCTION("""COMPUTED_VALUE"""),1380)</f>
        <v>1380</v>
      </c>
      <c r="Q223" s="1">
        <f ca="1">IFERROR(__xludf.DUMMYFUNCTION("""COMPUTED_VALUE"""),847)</f>
        <v>847</v>
      </c>
      <c r="R223" s="1">
        <f ca="1">IFERROR(__xludf.DUMMYFUNCTION("""COMPUTED_VALUE"""),1851)</f>
        <v>1851</v>
      </c>
      <c r="S223" s="1">
        <f ca="1">IFERROR(__xludf.DUMMYFUNCTION("""COMPUTED_VALUE"""),0.458)</f>
        <v>0.45800000000000002</v>
      </c>
      <c r="T223" s="1">
        <f ca="1">IFERROR(__xludf.DUMMYFUNCTION("""COMPUTED_VALUE"""),197)</f>
        <v>197</v>
      </c>
      <c r="U223" s="1">
        <f ca="1">IFERROR(__xludf.DUMMYFUNCTION("""COMPUTED_VALUE"""),593)</f>
        <v>593</v>
      </c>
      <c r="V223" s="1">
        <f ca="1">IFERROR(__xludf.DUMMYFUNCTION("""COMPUTED_VALUE"""),0.332)</f>
        <v>0.33200000000000002</v>
      </c>
      <c r="W223" s="1">
        <f ca="1">IFERROR(__xludf.DUMMYFUNCTION("""COMPUTED_VALUE"""),625)</f>
        <v>625</v>
      </c>
      <c r="X223" s="1">
        <f ca="1">IFERROR(__xludf.DUMMYFUNCTION("""COMPUTED_VALUE"""),863)</f>
        <v>863</v>
      </c>
      <c r="Y223" s="1">
        <f ca="1">IFERROR(__xludf.DUMMYFUNCTION("""COMPUTED_VALUE"""),0.724)</f>
        <v>0.72399999999999998</v>
      </c>
      <c r="Z223" s="1">
        <f ca="1">IFERROR(__xludf.DUMMYFUNCTION("""COMPUTED_VALUE"""),360)</f>
        <v>360</v>
      </c>
      <c r="AA223" s="1">
        <f ca="1">IFERROR(__xludf.DUMMYFUNCTION("""COMPUTED_VALUE"""),1296)</f>
        <v>1296</v>
      </c>
      <c r="AB223" s="1">
        <f ca="1">IFERROR(__xludf.DUMMYFUNCTION("""COMPUTED_VALUE"""),522)</f>
        <v>522</v>
      </c>
      <c r="AC223" s="1">
        <f ca="1">IFERROR(__xludf.DUMMYFUNCTION("""COMPUTED_VALUE"""),162)</f>
        <v>162</v>
      </c>
      <c r="AD223" s="1">
        <f ca="1">IFERROR(__xludf.DUMMYFUNCTION("""COMPUTED_VALUE"""),172)</f>
        <v>172</v>
      </c>
      <c r="AE223" s="1">
        <f ca="1">IFERROR(__xludf.DUMMYFUNCTION("""COMPUTED_VALUE"""),361)</f>
        <v>361</v>
      </c>
      <c r="AF223" s="1">
        <f ca="1">IFERROR(__xludf.DUMMYFUNCTION("""COMPUTED_VALUE"""),577)</f>
        <v>577</v>
      </c>
    </row>
    <row r="224" spans="1:32" ht="12.5" x14ac:dyDescent="0.25">
      <c r="A224" s="1" t="str">
        <f ca="1">IFERROR(__xludf.DUMMYFUNCTION("""COMPUTED_VALUE"""),"New Orleans")</f>
        <v>New Orleans</v>
      </c>
      <c r="B224" s="1">
        <f ca="1">IFERROR(__xludf.DUMMYFUNCTION("""COMPUTED_VALUE"""),26)</f>
        <v>26</v>
      </c>
      <c r="C224" s="1">
        <f ca="1">IFERROR(__xludf.DUMMYFUNCTION("""COMPUTED_VALUE"""),11)</f>
        <v>11</v>
      </c>
      <c r="D224" s="1">
        <f ca="1">IFERROR(__xludf.DUMMYFUNCTION("""COMPUTED_VALUE"""),15)</f>
        <v>15</v>
      </c>
      <c r="E224" s="1">
        <f ca="1">IFERROR(__xludf.DUMMYFUNCTION("""COMPUTED_VALUE"""),0.423)</f>
        <v>0.42299999999999999</v>
      </c>
      <c r="F224" s="1">
        <f ca="1">IFERROR(__xludf.DUMMYFUNCTION("""COMPUTED_VALUE"""),-15.03)</f>
        <v>-15.03</v>
      </c>
      <c r="G224" s="1">
        <f ca="1">IFERROR(__xludf.DUMMYFUNCTION("""COMPUTED_VALUE"""),-5.53)</f>
        <v>-5.53</v>
      </c>
      <c r="H224" s="1">
        <f ca="1">IFERROR(__xludf.DUMMYFUNCTION("""COMPUTED_VALUE"""),8)</f>
        <v>8</v>
      </c>
      <c r="I224" s="1">
        <f ca="1">IFERROR(__xludf.DUMMYFUNCTION("""COMPUTED_VALUE"""),10)</f>
        <v>10</v>
      </c>
      <c r="J224" s="1">
        <f ca="1">IFERROR(__xludf.DUMMYFUNCTION("""COMPUTED_VALUE"""),6)</f>
        <v>6</v>
      </c>
      <c r="K224" s="1">
        <f ca="1">IFERROR(__xludf.DUMMYFUNCTION("""COMPUTED_VALUE"""),6)</f>
        <v>6</v>
      </c>
      <c r="L224" s="1">
        <f ca="1">IFERROR(__xludf.DUMMYFUNCTION("""COMPUTED_VALUE"""),5)</f>
        <v>5</v>
      </c>
      <c r="M224" s="1">
        <f ca="1">IFERROR(__xludf.DUMMYFUNCTION("""COMPUTED_VALUE"""),9)</f>
        <v>9</v>
      </c>
      <c r="N224" s="1">
        <f ca="1">IFERROR(__xludf.DUMMYFUNCTION("""COMPUTED_VALUE"""),1858)</f>
        <v>1858</v>
      </c>
      <c r="O224" s="1">
        <f ca="1">IFERROR(__xludf.DUMMYFUNCTION("""COMPUTED_VALUE"""),1987)</f>
        <v>1987</v>
      </c>
      <c r="P224" s="1">
        <f ca="1">IFERROR(__xludf.DUMMYFUNCTION("""COMPUTED_VALUE"""),1040)</f>
        <v>1040</v>
      </c>
      <c r="Q224" s="1">
        <f ca="1">IFERROR(__xludf.DUMMYFUNCTION("""COMPUTED_VALUE"""),615)</f>
        <v>615</v>
      </c>
      <c r="R224" s="1">
        <f ca="1">IFERROR(__xludf.DUMMYFUNCTION("""COMPUTED_VALUE"""),1434)</f>
        <v>1434</v>
      </c>
      <c r="S224" s="1">
        <f ca="1">IFERROR(__xludf.DUMMYFUNCTION("""COMPUTED_VALUE"""),0.429)</f>
        <v>0.42899999999999999</v>
      </c>
      <c r="T224" s="1">
        <f ca="1">IFERROR(__xludf.DUMMYFUNCTION("""COMPUTED_VALUE"""),136)</f>
        <v>136</v>
      </c>
      <c r="U224" s="1">
        <f ca="1">IFERROR(__xludf.DUMMYFUNCTION("""COMPUTED_VALUE"""),402)</f>
        <v>402</v>
      </c>
      <c r="V224" s="1">
        <f ca="1">IFERROR(__xludf.DUMMYFUNCTION("""COMPUTED_VALUE"""),0.338)</f>
        <v>0.33800000000000002</v>
      </c>
      <c r="W224" s="1">
        <f ca="1">IFERROR(__xludf.DUMMYFUNCTION("""COMPUTED_VALUE"""),492)</f>
        <v>492</v>
      </c>
      <c r="X224" s="1">
        <f ca="1">IFERROR(__xludf.DUMMYFUNCTION("""COMPUTED_VALUE"""),722)</f>
        <v>722</v>
      </c>
      <c r="Y224" s="1">
        <f ca="1">IFERROR(__xludf.DUMMYFUNCTION("""COMPUTED_VALUE"""),0.681)</f>
        <v>0.68100000000000005</v>
      </c>
      <c r="Z224" s="1">
        <f ca="1">IFERROR(__xludf.DUMMYFUNCTION("""COMPUTED_VALUE"""),340)</f>
        <v>340</v>
      </c>
      <c r="AA224" s="1">
        <f ca="1">IFERROR(__xludf.DUMMYFUNCTION("""COMPUTED_VALUE"""),968)</f>
        <v>968</v>
      </c>
      <c r="AB224" s="1">
        <f ca="1">IFERROR(__xludf.DUMMYFUNCTION("""COMPUTED_VALUE"""),316)</f>
        <v>316</v>
      </c>
      <c r="AC224" s="1">
        <f ca="1">IFERROR(__xludf.DUMMYFUNCTION("""COMPUTED_VALUE"""),172)</f>
        <v>172</v>
      </c>
      <c r="AD224" s="1">
        <f ca="1">IFERROR(__xludf.DUMMYFUNCTION("""COMPUTED_VALUE"""),84)</f>
        <v>84</v>
      </c>
      <c r="AE224" s="1">
        <f ca="1">IFERROR(__xludf.DUMMYFUNCTION("""COMPUTED_VALUE"""),437)</f>
        <v>437</v>
      </c>
      <c r="AF224" s="1">
        <f ca="1">IFERROR(__xludf.DUMMYFUNCTION("""COMPUTED_VALUE"""),546)</f>
        <v>546</v>
      </c>
    </row>
    <row r="225" spans="1:32" ht="12.5" x14ac:dyDescent="0.25">
      <c r="A225" s="1" t="str">
        <f ca="1">IFERROR(__xludf.DUMMYFUNCTION("""COMPUTED_VALUE"""),"Niagara")</f>
        <v>Niagara</v>
      </c>
      <c r="B225" s="1">
        <f ca="1">IFERROR(__xludf.DUMMYFUNCTION("""COMPUTED_VALUE"""),33)</f>
        <v>33</v>
      </c>
      <c r="C225" s="1">
        <f ca="1">IFERROR(__xludf.DUMMYFUNCTION("""COMPUTED_VALUE"""),7)</f>
        <v>7</v>
      </c>
      <c r="D225" s="1">
        <f ca="1">IFERROR(__xludf.DUMMYFUNCTION("""COMPUTED_VALUE"""),26)</f>
        <v>26</v>
      </c>
      <c r="E225" s="1">
        <f ca="1">IFERROR(__xludf.DUMMYFUNCTION("""COMPUTED_VALUE"""),0.212)</f>
        <v>0.21199999999999999</v>
      </c>
      <c r="F225" s="1">
        <f ca="1">IFERROR(__xludf.DUMMYFUNCTION("""COMPUTED_VALUE"""),-8.16)</f>
        <v>-8.16</v>
      </c>
      <c r="G225" s="1">
        <f ca="1">IFERROR(__xludf.DUMMYFUNCTION("""COMPUTED_VALUE"""),-1.34)</f>
        <v>-1.34</v>
      </c>
      <c r="H225" s="1">
        <f ca="1">IFERROR(__xludf.DUMMYFUNCTION("""COMPUTED_VALUE"""),3)</f>
        <v>3</v>
      </c>
      <c r="I225" s="1">
        <f ca="1">IFERROR(__xludf.DUMMYFUNCTION("""COMPUTED_VALUE"""),17)</f>
        <v>17</v>
      </c>
      <c r="J225" s="1">
        <f ca="1">IFERROR(__xludf.DUMMYFUNCTION("""COMPUTED_VALUE"""),4)</f>
        <v>4</v>
      </c>
      <c r="K225" s="1">
        <f ca="1">IFERROR(__xludf.DUMMYFUNCTION("""COMPUTED_VALUE"""),9)</f>
        <v>9</v>
      </c>
      <c r="L225" s="1">
        <f ca="1">IFERROR(__xludf.DUMMYFUNCTION("""COMPUTED_VALUE"""),1)</f>
        <v>1</v>
      </c>
      <c r="M225" s="1">
        <f ca="1">IFERROR(__xludf.DUMMYFUNCTION("""COMPUTED_VALUE"""),14)</f>
        <v>14</v>
      </c>
      <c r="N225" s="1">
        <f ca="1">IFERROR(__xludf.DUMMYFUNCTION("""COMPUTED_VALUE"""),2484)</f>
        <v>2484</v>
      </c>
      <c r="O225" s="1">
        <f ca="1">IFERROR(__xludf.DUMMYFUNCTION("""COMPUTED_VALUE"""),2709)</f>
        <v>2709</v>
      </c>
      <c r="P225" s="1">
        <f ca="1">IFERROR(__xludf.DUMMYFUNCTION("""COMPUTED_VALUE"""),1320)</f>
        <v>1320</v>
      </c>
      <c r="Q225" s="1">
        <f ca="1">IFERROR(__xludf.DUMMYFUNCTION("""COMPUTED_VALUE"""),836)</f>
        <v>836</v>
      </c>
      <c r="R225" s="1">
        <f ca="1">IFERROR(__xludf.DUMMYFUNCTION("""COMPUTED_VALUE"""),1949)</f>
        <v>1949</v>
      </c>
      <c r="S225" s="1">
        <f ca="1">IFERROR(__xludf.DUMMYFUNCTION("""COMPUTED_VALUE"""),0.429)</f>
        <v>0.42899999999999999</v>
      </c>
      <c r="T225" s="1">
        <f ca="1">IFERROR(__xludf.DUMMYFUNCTION("""COMPUTED_VALUE"""),166)</f>
        <v>166</v>
      </c>
      <c r="U225" s="1">
        <f ca="1">IFERROR(__xludf.DUMMYFUNCTION("""COMPUTED_VALUE"""),554)</f>
        <v>554</v>
      </c>
      <c r="V225" s="1">
        <f ca="1">IFERROR(__xludf.DUMMYFUNCTION("""COMPUTED_VALUE"""),0.3)</f>
        <v>0.3</v>
      </c>
      <c r="W225" s="1">
        <f ca="1">IFERROR(__xludf.DUMMYFUNCTION("""COMPUTED_VALUE"""),646)</f>
        <v>646</v>
      </c>
      <c r="X225" s="1">
        <f ca="1">IFERROR(__xludf.DUMMYFUNCTION("""COMPUTED_VALUE"""),947)</f>
        <v>947</v>
      </c>
      <c r="Y225" s="1">
        <f ca="1">IFERROR(__xludf.DUMMYFUNCTION("""COMPUTED_VALUE"""),0.682)</f>
        <v>0.68200000000000005</v>
      </c>
      <c r="Z225" s="1">
        <f ca="1">IFERROR(__xludf.DUMMYFUNCTION("""COMPUTED_VALUE"""),409)</f>
        <v>409</v>
      </c>
      <c r="AA225" s="1">
        <f ca="1">IFERROR(__xludf.DUMMYFUNCTION("""COMPUTED_VALUE"""),1132)</f>
        <v>1132</v>
      </c>
      <c r="AB225" s="1">
        <f ca="1">IFERROR(__xludf.DUMMYFUNCTION("""COMPUTED_VALUE"""),330)</f>
        <v>330</v>
      </c>
      <c r="AC225" s="1">
        <f ca="1">IFERROR(__xludf.DUMMYFUNCTION("""COMPUTED_VALUE"""),230)</f>
        <v>230</v>
      </c>
      <c r="AD225" s="1">
        <f ca="1">IFERROR(__xludf.DUMMYFUNCTION("""COMPUTED_VALUE"""),71)</f>
        <v>71</v>
      </c>
      <c r="AE225" s="1">
        <f ca="1">IFERROR(__xludf.DUMMYFUNCTION("""COMPUTED_VALUE"""),450)</f>
        <v>450</v>
      </c>
      <c r="AF225" s="1">
        <f ca="1">IFERROR(__xludf.DUMMYFUNCTION("""COMPUTED_VALUE"""),784)</f>
        <v>784</v>
      </c>
    </row>
    <row r="226" spans="1:32" ht="12.5" x14ac:dyDescent="0.25">
      <c r="A226" s="1" t="str">
        <f ca="1">IFERROR(__xludf.DUMMYFUNCTION("""COMPUTED_VALUE"""),"Nicholls State")</f>
        <v>Nicholls State</v>
      </c>
      <c r="B226" s="1">
        <f ca="1">IFERROR(__xludf.DUMMYFUNCTION("""COMPUTED_VALUE"""),29)</f>
        <v>29</v>
      </c>
      <c r="C226" s="1">
        <f ca="1">IFERROR(__xludf.DUMMYFUNCTION("""COMPUTED_VALUE"""),14)</f>
        <v>14</v>
      </c>
      <c r="D226" s="1">
        <f ca="1">IFERROR(__xludf.DUMMYFUNCTION("""COMPUTED_VALUE"""),15)</f>
        <v>15</v>
      </c>
      <c r="E226" s="1">
        <f ca="1">IFERROR(__xludf.DUMMYFUNCTION("""COMPUTED_VALUE"""),0.483)</f>
        <v>0.48299999999999998</v>
      </c>
      <c r="F226" s="1">
        <f ca="1">IFERROR(__xludf.DUMMYFUNCTION("""COMPUTED_VALUE"""),-13.13)</f>
        <v>-13.13</v>
      </c>
      <c r="G226" s="1">
        <f ca="1">IFERROR(__xludf.DUMMYFUNCTION("""COMPUTED_VALUE"""),-7.67)</f>
        <v>-7.67</v>
      </c>
      <c r="H226" s="1">
        <f ca="1">IFERROR(__xludf.DUMMYFUNCTION("""COMPUTED_VALUE"""),10)</f>
        <v>10</v>
      </c>
      <c r="I226" s="1">
        <f ca="1">IFERROR(__xludf.DUMMYFUNCTION("""COMPUTED_VALUE"""),8)</f>
        <v>8</v>
      </c>
      <c r="J226" s="1">
        <f ca="1">IFERROR(__xludf.DUMMYFUNCTION("""COMPUTED_VALUE"""),9)</f>
        <v>9</v>
      </c>
      <c r="K226" s="1">
        <f ca="1">IFERROR(__xludf.DUMMYFUNCTION("""COMPUTED_VALUE"""),2)</f>
        <v>2</v>
      </c>
      <c r="L226" s="1">
        <f ca="1">IFERROR(__xludf.DUMMYFUNCTION("""COMPUTED_VALUE"""),4)</f>
        <v>4</v>
      </c>
      <c r="M226" s="1">
        <f ca="1">IFERROR(__xludf.DUMMYFUNCTION("""COMPUTED_VALUE"""),12)</f>
        <v>12</v>
      </c>
      <c r="N226" s="1">
        <f ca="1">IFERROR(__xludf.DUMMYFUNCTION("""COMPUTED_VALUE"""),1986)</f>
        <v>1986</v>
      </c>
      <c r="O226" s="1">
        <f ca="1">IFERROR(__xludf.DUMMYFUNCTION("""COMPUTED_VALUE"""),2114)</f>
        <v>2114</v>
      </c>
      <c r="P226" s="1">
        <f ca="1">IFERROR(__xludf.DUMMYFUNCTION("""COMPUTED_VALUE"""),1170)</f>
        <v>1170</v>
      </c>
      <c r="Q226" s="1">
        <f ca="1">IFERROR(__xludf.DUMMYFUNCTION("""COMPUTED_VALUE"""),708)</f>
        <v>708</v>
      </c>
      <c r="R226" s="1">
        <f ca="1">IFERROR(__xludf.DUMMYFUNCTION("""COMPUTED_VALUE"""),1595)</f>
        <v>1595</v>
      </c>
      <c r="S226" s="1">
        <f ca="1">IFERROR(__xludf.DUMMYFUNCTION("""COMPUTED_VALUE"""),0.444)</f>
        <v>0.44400000000000001</v>
      </c>
      <c r="T226" s="1">
        <f ca="1">IFERROR(__xludf.DUMMYFUNCTION("""COMPUTED_VALUE"""),178)</f>
        <v>178</v>
      </c>
      <c r="U226" s="1">
        <f ca="1">IFERROR(__xludf.DUMMYFUNCTION("""COMPUTED_VALUE"""),582)</f>
        <v>582</v>
      </c>
      <c r="V226" s="1">
        <f ca="1">IFERROR(__xludf.DUMMYFUNCTION("""COMPUTED_VALUE"""),0.306)</f>
        <v>0.30599999999999999</v>
      </c>
      <c r="W226" s="1">
        <f ca="1">IFERROR(__xludf.DUMMYFUNCTION("""COMPUTED_VALUE"""),392)</f>
        <v>392</v>
      </c>
      <c r="X226" s="1">
        <f ca="1">IFERROR(__xludf.DUMMYFUNCTION("""COMPUTED_VALUE"""),619)</f>
        <v>619</v>
      </c>
      <c r="Y226" s="1">
        <f ca="1">IFERROR(__xludf.DUMMYFUNCTION("""COMPUTED_VALUE"""),0.633)</f>
        <v>0.63300000000000001</v>
      </c>
      <c r="Z226" s="1">
        <f ca="1">IFERROR(__xludf.DUMMYFUNCTION("""COMPUTED_VALUE"""),293)</f>
        <v>293</v>
      </c>
      <c r="AA226" s="1">
        <f ca="1">IFERROR(__xludf.DUMMYFUNCTION("""COMPUTED_VALUE"""),920)</f>
        <v>920</v>
      </c>
      <c r="AB226" s="1">
        <f ca="1">IFERROR(__xludf.DUMMYFUNCTION("""COMPUTED_VALUE"""),384)</f>
        <v>384</v>
      </c>
      <c r="AC226" s="1">
        <f ca="1">IFERROR(__xludf.DUMMYFUNCTION("""COMPUTED_VALUE"""),168)</f>
        <v>168</v>
      </c>
      <c r="AD226" s="1">
        <f ca="1">IFERROR(__xludf.DUMMYFUNCTION("""COMPUTED_VALUE"""),83)</f>
        <v>83</v>
      </c>
      <c r="AE226" s="1">
        <f ca="1">IFERROR(__xludf.DUMMYFUNCTION("""COMPUTED_VALUE"""),351)</f>
        <v>351</v>
      </c>
      <c r="AF226" s="1">
        <f ca="1">IFERROR(__xludf.DUMMYFUNCTION("""COMPUTED_VALUE"""),685)</f>
        <v>685</v>
      </c>
    </row>
    <row r="227" spans="1:32" ht="12.5" x14ac:dyDescent="0.25">
      <c r="A227" s="1" t="str">
        <f ca="1">IFERROR(__xludf.DUMMYFUNCTION("""COMPUTED_VALUE"""),"NJIT")</f>
        <v>NJIT</v>
      </c>
      <c r="B227" s="1">
        <f ca="1">IFERROR(__xludf.DUMMYFUNCTION("""COMPUTED_VALUE"""),29)</f>
        <v>29</v>
      </c>
      <c r="C227" s="1">
        <f ca="1">IFERROR(__xludf.DUMMYFUNCTION("""COMPUTED_VALUE"""),13)</f>
        <v>13</v>
      </c>
      <c r="D227" s="1">
        <f ca="1">IFERROR(__xludf.DUMMYFUNCTION("""COMPUTED_VALUE"""),16)</f>
        <v>16</v>
      </c>
      <c r="E227" s="1">
        <f ca="1">IFERROR(__xludf.DUMMYFUNCTION("""COMPUTED_VALUE"""),0.448)</f>
        <v>0.44800000000000001</v>
      </c>
      <c r="F227" s="1">
        <f ca="1">IFERROR(__xludf.DUMMYFUNCTION("""COMPUTED_VALUE"""),-12.52)</f>
        <v>-12.52</v>
      </c>
      <c r="G227" s="1">
        <f ca="1">IFERROR(__xludf.DUMMYFUNCTION("""COMPUTED_VALUE"""),-7.48)</f>
        <v>-7.48</v>
      </c>
      <c r="H227" s="1">
        <f ca="1">IFERROR(__xludf.DUMMYFUNCTION("""COMPUTED_VALUE"""),0)</f>
        <v>0</v>
      </c>
      <c r="I227" s="1">
        <f ca="1">IFERROR(__xludf.DUMMYFUNCTION("""COMPUTED_VALUE"""),0)</f>
        <v>0</v>
      </c>
      <c r="J227" s="1">
        <f ca="1">IFERROR(__xludf.DUMMYFUNCTION("""COMPUTED_VALUE"""),7)</f>
        <v>7</v>
      </c>
      <c r="K227" s="1">
        <f ca="1">IFERROR(__xludf.DUMMYFUNCTION("""COMPUTED_VALUE"""),6)</f>
        <v>6</v>
      </c>
      <c r="L227" s="1">
        <f ca="1">IFERROR(__xludf.DUMMYFUNCTION("""COMPUTED_VALUE"""),6)</f>
        <v>6</v>
      </c>
      <c r="M227" s="1">
        <f ca="1">IFERROR(__xludf.DUMMYFUNCTION("""COMPUTED_VALUE"""),10)</f>
        <v>10</v>
      </c>
      <c r="N227" s="1">
        <f ca="1">IFERROR(__xludf.DUMMYFUNCTION("""COMPUTED_VALUE"""),2109)</f>
        <v>2109</v>
      </c>
      <c r="O227" s="1">
        <f ca="1">IFERROR(__xludf.DUMMYFUNCTION("""COMPUTED_VALUE"""),2061)</f>
        <v>2061</v>
      </c>
      <c r="P227" s="1">
        <f ca="1">IFERROR(__xludf.DUMMYFUNCTION("""COMPUTED_VALUE"""),1170)</f>
        <v>1170</v>
      </c>
      <c r="Q227" s="1">
        <f ca="1">IFERROR(__xludf.DUMMYFUNCTION("""COMPUTED_VALUE"""),728)</f>
        <v>728</v>
      </c>
      <c r="R227" s="1">
        <f ca="1">IFERROR(__xludf.DUMMYFUNCTION("""COMPUTED_VALUE"""),1638)</f>
        <v>1638</v>
      </c>
      <c r="S227" s="1">
        <f ca="1">IFERROR(__xludf.DUMMYFUNCTION("""COMPUTED_VALUE"""),0.444)</f>
        <v>0.44400000000000001</v>
      </c>
      <c r="T227" s="1">
        <f ca="1">IFERROR(__xludf.DUMMYFUNCTION("""COMPUTED_VALUE"""),216)</f>
        <v>216</v>
      </c>
      <c r="U227" s="1">
        <f ca="1">IFERROR(__xludf.DUMMYFUNCTION("""COMPUTED_VALUE"""),578)</f>
        <v>578</v>
      </c>
      <c r="V227" s="1">
        <f ca="1">IFERROR(__xludf.DUMMYFUNCTION("""COMPUTED_VALUE"""),0.374)</f>
        <v>0.374</v>
      </c>
      <c r="W227" s="1">
        <f ca="1">IFERROR(__xludf.DUMMYFUNCTION("""COMPUTED_VALUE"""),435)</f>
        <v>435</v>
      </c>
      <c r="X227" s="1">
        <f ca="1">IFERROR(__xludf.DUMMYFUNCTION("""COMPUTED_VALUE"""),603)</f>
        <v>603</v>
      </c>
      <c r="Y227" s="1">
        <f ca="1">IFERROR(__xludf.DUMMYFUNCTION("""COMPUTED_VALUE"""),0.721)</f>
        <v>0.72099999999999997</v>
      </c>
      <c r="Z227" s="1">
        <f ca="1">IFERROR(__xludf.DUMMYFUNCTION("""COMPUTED_VALUE"""),284)</f>
        <v>284</v>
      </c>
      <c r="AA227" s="1">
        <f ca="1">IFERROR(__xludf.DUMMYFUNCTION("""COMPUTED_VALUE"""),990)</f>
        <v>990</v>
      </c>
      <c r="AB227" s="1">
        <f ca="1">IFERROR(__xludf.DUMMYFUNCTION("""COMPUTED_VALUE"""),394)</f>
        <v>394</v>
      </c>
      <c r="AC227" s="1">
        <f ca="1">IFERROR(__xludf.DUMMYFUNCTION("""COMPUTED_VALUE"""),187)</f>
        <v>187</v>
      </c>
      <c r="AD227" s="1">
        <f ca="1">IFERROR(__xludf.DUMMYFUNCTION("""COMPUTED_VALUE"""),104)</f>
        <v>104</v>
      </c>
      <c r="AE227" s="1">
        <f ca="1">IFERROR(__xludf.DUMMYFUNCTION("""COMPUTED_VALUE"""),379)</f>
        <v>379</v>
      </c>
      <c r="AF227" s="1">
        <f ca="1">IFERROR(__xludf.DUMMYFUNCTION("""COMPUTED_VALUE"""),585)</f>
        <v>585</v>
      </c>
    </row>
    <row r="228" spans="1:32" ht="12.5" x14ac:dyDescent="0.25">
      <c r="A228" s="1" t="str">
        <f ca="1">IFERROR(__xludf.DUMMYFUNCTION("""COMPUTED_VALUE"""),"Norfolk State")</f>
        <v>Norfolk State</v>
      </c>
      <c r="B228" s="1">
        <f ca="1">IFERROR(__xludf.DUMMYFUNCTION("""COMPUTED_VALUE"""),34)</f>
        <v>34</v>
      </c>
      <c r="C228" s="1">
        <f ca="1">IFERROR(__xludf.DUMMYFUNCTION("""COMPUTED_VALUE"""),19)</f>
        <v>19</v>
      </c>
      <c r="D228" s="1">
        <f ca="1">IFERROR(__xludf.DUMMYFUNCTION("""COMPUTED_VALUE"""),15)</f>
        <v>15</v>
      </c>
      <c r="E228" s="1">
        <f ca="1">IFERROR(__xludf.DUMMYFUNCTION("""COMPUTED_VALUE"""),0.559)</f>
        <v>0.55900000000000005</v>
      </c>
      <c r="F228" s="1">
        <f ca="1">IFERROR(__xludf.DUMMYFUNCTION("""COMPUTED_VALUE"""),-7.82)</f>
        <v>-7.82</v>
      </c>
      <c r="G228" s="1">
        <f ca="1">IFERROR(__xludf.DUMMYFUNCTION("""COMPUTED_VALUE"""),-7.17)</f>
        <v>-7.17</v>
      </c>
      <c r="H228" s="1">
        <f ca="1">IFERROR(__xludf.DUMMYFUNCTION("""COMPUTED_VALUE"""),11)</f>
        <v>11</v>
      </c>
      <c r="I228" s="1">
        <f ca="1">IFERROR(__xludf.DUMMYFUNCTION("""COMPUTED_VALUE"""),5)</f>
        <v>5</v>
      </c>
      <c r="J228" s="1">
        <f ca="1">IFERROR(__xludf.DUMMYFUNCTION("""COMPUTED_VALUE"""),7)</f>
        <v>7</v>
      </c>
      <c r="K228" s="1">
        <f ca="1">IFERROR(__xludf.DUMMYFUNCTION("""COMPUTED_VALUE"""),4)</f>
        <v>4</v>
      </c>
      <c r="L228" s="1">
        <f ca="1">IFERROR(__xludf.DUMMYFUNCTION("""COMPUTED_VALUE"""),7)</f>
        <v>7</v>
      </c>
      <c r="M228" s="1">
        <f ca="1">IFERROR(__xludf.DUMMYFUNCTION("""COMPUTED_VALUE"""),8)</f>
        <v>8</v>
      </c>
      <c r="N228" s="1">
        <f ca="1">IFERROR(__xludf.DUMMYFUNCTION("""COMPUTED_VALUE"""),2428)</f>
        <v>2428</v>
      </c>
      <c r="O228" s="1">
        <f ca="1">IFERROR(__xludf.DUMMYFUNCTION("""COMPUTED_VALUE"""),2398)</f>
        <v>2398</v>
      </c>
      <c r="P228" s="1">
        <f ca="1">IFERROR(__xludf.DUMMYFUNCTION("""COMPUTED_VALUE"""),1370)</f>
        <v>1370</v>
      </c>
      <c r="Q228" s="1">
        <f ca="1">IFERROR(__xludf.DUMMYFUNCTION("""COMPUTED_VALUE"""),866)</f>
        <v>866</v>
      </c>
      <c r="R228" s="1">
        <f ca="1">IFERROR(__xludf.DUMMYFUNCTION("""COMPUTED_VALUE"""),1864)</f>
        <v>1864</v>
      </c>
      <c r="S228" s="1">
        <f ca="1">IFERROR(__xludf.DUMMYFUNCTION("""COMPUTED_VALUE"""),0.465)</f>
        <v>0.46500000000000002</v>
      </c>
      <c r="T228" s="1">
        <f ca="1">IFERROR(__xludf.DUMMYFUNCTION("""COMPUTED_VALUE"""),187)</f>
        <v>187</v>
      </c>
      <c r="U228" s="1">
        <f ca="1">IFERROR(__xludf.DUMMYFUNCTION("""COMPUTED_VALUE"""),532)</f>
        <v>532</v>
      </c>
      <c r="V228" s="1">
        <f ca="1">IFERROR(__xludf.DUMMYFUNCTION("""COMPUTED_VALUE"""),0.352)</f>
        <v>0.35199999999999998</v>
      </c>
      <c r="W228" s="1">
        <f ca="1">IFERROR(__xludf.DUMMYFUNCTION("""COMPUTED_VALUE"""),509)</f>
        <v>509</v>
      </c>
      <c r="X228" s="1">
        <f ca="1">IFERROR(__xludf.DUMMYFUNCTION("""COMPUTED_VALUE"""),734)</f>
        <v>734</v>
      </c>
      <c r="Y228" s="1">
        <f ca="1">IFERROR(__xludf.DUMMYFUNCTION("""COMPUTED_VALUE"""),0.693)</f>
        <v>0.69299999999999995</v>
      </c>
      <c r="Z228" s="1">
        <f ca="1">IFERROR(__xludf.DUMMYFUNCTION("""COMPUTED_VALUE"""),418)</f>
        <v>418</v>
      </c>
      <c r="AA228" s="1">
        <f ca="1">IFERROR(__xludf.DUMMYFUNCTION("""COMPUTED_VALUE"""),1195)</f>
        <v>1195</v>
      </c>
      <c r="AB228" s="1">
        <f ca="1">IFERROR(__xludf.DUMMYFUNCTION("""COMPUTED_VALUE"""),465)</f>
        <v>465</v>
      </c>
      <c r="AC228" s="1">
        <f ca="1">IFERROR(__xludf.DUMMYFUNCTION("""COMPUTED_VALUE"""),207)</f>
        <v>207</v>
      </c>
      <c r="AD228" s="1">
        <f ca="1">IFERROR(__xludf.DUMMYFUNCTION("""COMPUTED_VALUE"""),135)</f>
        <v>135</v>
      </c>
      <c r="AE228" s="1">
        <f ca="1">IFERROR(__xludf.DUMMYFUNCTION("""COMPUTED_VALUE"""),457)</f>
        <v>457</v>
      </c>
      <c r="AF228" s="1">
        <f ca="1">IFERROR(__xludf.DUMMYFUNCTION("""COMPUTED_VALUE"""),671)</f>
        <v>671</v>
      </c>
    </row>
    <row r="229" spans="1:32" ht="12.5" x14ac:dyDescent="0.25">
      <c r="A229" s="1" t="str">
        <f ca="1">IFERROR(__xludf.DUMMYFUNCTION("""COMPUTED_VALUE"""),"North Carolina-Asheville")</f>
        <v>North Carolina-Asheville</v>
      </c>
      <c r="B229" s="1">
        <f ca="1">IFERROR(__xludf.DUMMYFUNCTION("""COMPUTED_VALUE"""),32)</f>
        <v>32</v>
      </c>
      <c r="C229" s="1">
        <f ca="1">IFERROR(__xludf.DUMMYFUNCTION("""COMPUTED_VALUE"""),17)</f>
        <v>17</v>
      </c>
      <c r="D229" s="1">
        <f ca="1">IFERROR(__xludf.DUMMYFUNCTION("""COMPUTED_VALUE"""),15)</f>
        <v>15</v>
      </c>
      <c r="E229" s="1">
        <f ca="1">IFERROR(__xludf.DUMMYFUNCTION("""COMPUTED_VALUE"""),0.531)</f>
        <v>0.53100000000000003</v>
      </c>
      <c r="F229" s="1">
        <f ca="1">IFERROR(__xludf.DUMMYFUNCTION("""COMPUTED_VALUE"""),-6.81)</f>
        <v>-6.81</v>
      </c>
      <c r="G229" s="1">
        <f ca="1">IFERROR(__xludf.DUMMYFUNCTION("""COMPUTED_VALUE"""),-5.5)</f>
        <v>-5.5</v>
      </c>
      <c r="H229" s="1">
        <f ca="1">IFERROR(__xludf.DUMMYFUNCTION("""COMPUTED_VALUE"""),10)</f>
        <v>10</v>
      </c>
      <c r="I229" s="1">
        <f ca="1">IFERROR(__xludf.DUMMYFUNCTION("""COMPUTED_VALUE"""),6)</f>
        <v>6</v>
      </c>
      <c r="J229" s="1">
        <f ca="1">IFERROR(__xludf.DUMMYFUNCTION("""COMPUTED_VALUE"""),11)</f>
        <v>11</v>
      </c>
      <c r="K229" s="1">
        <f ca="1">IFERROR(__xludf.DUMMYFUNCTION("""COMPUTED_VALUE"""),2)</f>
        <v>2</v>
      </c>
      <c r="L229" s="1">
        <f ca="1">IFERROR(__xludf.DUMMYFUNCTION("""COMPUTED_VALUE"""),5)</f>
        <v>5</v>
      </c>
      <c r="M229" s="1">
        <f ca="1">IFERROR(__xludf.DUMMYFUNCTION("""COMPUTED_VALUE"""),10)</f>
        <v>10</v>
      </c>
      <c r="N229" s="1">
        <f ca="1">IFERROR(__xludf.DUMMYFUNCTION("""COMPUTED_VALUE"""),2486)</f>
        <v>2486</v>
      </c>
      <c r="O229" s="1">
        <f ca="1">IFERROR(__xludf.DUMMYFUNCTION("""COMPUTED_VALUE"""),2424)</f>
        <v>2424</v>
      </c>
      <c r="P229" s="1">
        <f ca="1">IFERROR(__xludf.DUMMYFUNCTION("""COMPUTED_VALUE"""),1290)</f>
        <v>1290</v>
      </c>
      <c r="Q229" s="1">
        <f ca="1">IFERROR(__xludf.DUMMYFUNCTION("""COMPUTED_VALUE"""),836)</f>
        <v>836</v>
      </c>
      <c r="R229" s="1">
        <f ca="1">IFERROR(__xludf.DUMMYFUNCTION("""COMPUTED_VALUE"""),1832)</f>
        <v>1832</v>
      </c>
      <c r="S229" s="1">
        <f ca="1">IFERROR(__xludf.DUMMYFUNCTION("""COMPUTED_VALUE"""),0.456)</f>
        <v>0.45600000000000002</v>
      </c>
      <c r="T229" s="1">
        <f ca="1">IFERROR(__xludf.DUMMYFUNCTION("""COMPUTED_VALUE"""),223)</f>
        <v>223</v>
      </c>
      <c r="U229" s="1">
        <f ca="1">IFERROR(__xludf.DUMMYFUNCTION("""COMPUTED_VALUE"""),601)</f>
        <v>601</v>
      </c>
      <c r="V229" s="1">
        <f ca="1">IFERROR(__xludf.DUMMYFUNCTION("""COMPUTED_VALUE"""),0.371)</f>
        <v>0.371</v>
      </c>
      <c r="W229" s="1">
        <f ca="1">IFERROR(__xludf.DUMMYFUNCTION("""COMPUTED_VALUE"""),591)</f>
        <v>591</v>
      </c>
      <c r="X229" s="1">
        <f ca="1">IFERROR(__xludf.DUMMYFUNCTION("""COMPUTED_VALUE"""),793)</f>
        <v>793</v>
      </c>
      <c r="Y229" s="1">
        <f ca="1">IFERROR(__xludf.DUMMYFUNCTION("""COMPUTED_VALUE"""),0.745)</f>
        <v>0.745</v>
      </c>
      <c r="Z229" s="1">
        <f ca="1">IFERROR(__xludf.DUMMYFUNCTION("""COMPUTED_VALUE"""),385)</f>
        <v>385</v>
      </c>
      <c r="AA229" s="1">
        <f ca="1">IFERROR(__xludf.DUMMYFUNCTION("""COMPUTED_VALUE"""),1202)</f>
        <v>1202</v>
      </c>
      <c r="AB229" s="1">
        <f ca="1">IFERROR(__xludf.DUMMYFUNCTION("""COMPUTED_VALUE"""),402)</f>
        <v>402</v>
      </c>
      <c r="AC229" s="1">
        <f ca="1">IFERROR(__xludf.DUMMYFUNCTION("""COMPUTED_VALUE"""),207)</f>
        <v>207</v>
      </c>
      <c r="AD229" s="1">
        <f ca="1">IFERROR(__xludf.DUMMYFUNCTION("""COMPUTED_VALUE"""),191)</f>
        <v>191</v>
      </c>
      <c r="AE229" s="1">
        <f ca="1">IFERROR(__xludf.DUMMYFUNCTION("""COMPUTED_VALUE"""),438)</f>
        <v>438</v>
      </c>
      <c r="AF229" s="1">
        <f ca="1">IFERROR(__xludf.DUMMYFUNCTION("""COMPUTED_VALUE"""),612)</f>
        <v>612</v>
      </c>
    </row>
    <row r="230" spans="1:32" ht="12.5" x14ac:dyDescent="0.25">
      <c r="A230" s="1" t="str">
        <f ca="1">IFERROR(__xludf.DUMMYFUNCTION("""COMPUTED_VALUE"""),"North Carolina A&amp;T")</f>
        <v>North Carolina A&amp;T</v>
      </c>
      <c r="B230" s="1">
        <f ca="1">IFERROR(__xludf.DUMMYFUNCTION("""COMPUTED_VALUE"""),32)</f>
        <v>32</v>
      </c>
      <c r="C230" s="1">
        <f ca="1">IFERROR(__xludf.DUMMYFUNCTION("""COMPUTED_VALUE"""),9)</f>
        <v>9</v>
      </c>
      <c r="D230" s="1">
        <f ca="1">IFERROR(__xludf.DUMMYFUNCTION("""COMPUTED_VALUE"""),23)</f>
        <v>23</v>
      </c>
      <c r="E230" s="1">
        <f ca="1">IFERROR(__xludf.DUMMYFUNCTION("""COMPUTED_VALUE"""),0.281)</f>
        <v>0.28100000000000003</v>
      </c>
      <c r="F230" s="1">
        <f ca="1">IFERROR(__xludf.DUMMYFUNCTION("""COMPUTED_VALUE"""),-16.43)</f>
        <v>-16.43</v>
      </c>
      <c r="G230" s="1">
        <f ca="1">IFERROR(__xludf.DUMMYFUNCTION("""COMPUTED_VALUE"""),-7.4)</f>
        <v>-7.4</v>
      </c>
      <c r="H230" s="1">
        <f ca="1">IFERROR(__xludf.DUMMYFUNCTION("""COMPUTED_VALUE"""),5)</f>
        <v>5</v>
      </c>
      <c r="I230" s="1">
        <f ca="1">IFERROR(__xludf.DUMMYFUNCTION("""COMPUTED_VALUE"""),11)</f>
        <v>11</v>
      </c>
      <c r="J230" s="1">
        <f ca="1">IFERROR(__xludf.DUMMYFUNCTION("""COMPUTED_VALUE"""),7)</f>
        <v>7</v>
      </c>
      <c r="K230" s="1">
        <f ca="1">IFERROR(__xludf.DUMMYFUNCTION("""COMPUTED_VALUE"""),5)</f>
        <v>5</v>
      </c>
      <c r="L230" s="1">
        <f ca="1">IFERROR(__xludf.DUMMYFUNCTION("""COMPUTED_VALUE"""),1)</f>
        <v>1</v>
      </c>
      <c r="M230" s="1">
        <f ca="1">IFERROR(__xludf.DUMMYFUNCTION("""COMPUTED_VALUE"""),17)</f>
        <v>17</v>
      </c>
      <c r="N230" s="1">
        <f ca="1">IFERROR(__xludf.DUMMYFUNCTION("""COMPUTED_VALUE"""),2089)</f>
        <v>2089</v>
      </c>
      <c r="O230" s="1">
        <f ca="1">IFERROR(__xludf.DUMMYFUNCTION("""COMPUTED_VALUE"""),2342)</f>
        <v>2342</v>
      </c>
      <c r="P230" s="1">
        <f ca="1">IFERROR(__xludf.DUMMYFUNCTION("""COMPUTED_VALUE"""),1295)</f>
        <v>1295</v>
      </c>
      <c r="Q230" s="1">
        <f ca="1">IFERROR(__xludf.DUMMYFUNCTION("""COMPUTED_VALUE"""),622)</f>
        <v>622</v>
      </c>
      <c r="R230" s="1">
        <f ca="1">IFERROR(__xludf.DUMMYFUNCTION("""COMPUTED_VALUE"""),1626)</f>
        <v>1626</v>
      </c>
      <c r="S230" s="1">
        <f ca="1">IFERROR(__xludf.DUMMYFUNCTION("""COMPUTED_VALUE"""),0.383)</f>
        <v>0.38300000000000001</v>
      </c>
      <c r="T230" s="1">
        <f ca="1">IFERROR(__xludf.DUMMYFUNCTION("""COMPUTED_VALUE"""),171)</f>
        <v>171</v>
      </c>
      <c r="U230" s="1">
        <f ca="1">IFERROR(__xludf.DUMMYFUNCTION("""COMPUTED_VALUE"""),564)</f>
        <v>564</v>
      </c>
      <c r="V230" s="1">
        <f ca="1">IFERROR(__xludf.DUMMYFUNCTION("""COMPUTED_VALUE"""),0.303)</f>
        <v>0.30299999999999999</v>
      </c>
      <c r="W230" s="1">
        <f ca="1">IFERROR(__xludf.DUMMYFUNCTION("""COMPUTED_VALUE"""),674)</f>
        <v>674</v>
      </c>
      <c r="X230" s="1">
        <f ca="1">IFERROR(__xludf.DUMMYFUNCTION("""COMPUTED_VALUE"""),964)</f>
        <v>964</v>
      </c>
      <c r="Y230" s="1">
        <f ca="1">IFERROR(__xludf.DUMMYFUNCTION("""COMPUTED_VALUE"""),0.699)</f>
        <v>0.69899999999999995</v>
      </c>
      <c r="Z230" s="1">
        <f ca="1">IFERROR(__xludf.DUMMYFUNCTION("""COMPUTED_VALUE"""),388)</f>
        <v>388</v>
      </c>
      <c r="AA230" s="1">
        <f ca="1">IFERROR(__xludf.DUMMYFUNCTION("""COMPUTED_VALUE"""),1159)</f>
        <v>1159</v>
      </c>
      <c r="AB230" s="1">
        <f ca="1">IFERROR(__xludf.DUMMYFUNCTION("""COMPUTED_VALUE"""),297)</f>
        <v>297</v>
      </c>
      <c r="AC230" s="1">
        <f ca="1">IFERROR(__xludf.DUMMYFUNCTION("""COMPUTED_VALUE"""),151)</f>
        <v>151</v>
      </c>
      <c r="AD230" s="1">
        <f ca="1">IFERROR(__xludf.DUMMYFUNCTION("""COMPUTED_VALUE"""),129)</f>
        <v>129</v>
      </c>
      <c r="AE230" s="1">
        <f ca="1">IFERROR(__xludf.DUMMYFUNCTION("""COMPUTED_VALUE"""),489)</f>
        <v>489</v>
      </c>
      <c r="AF230" s="1">
        <f ca="1">IFERROR(__xludf.DUMMYFUNCTION("""COMPUTED_VALUE"""),742)</f>
        <v>742</v>
      </c>
    </row>
    <row r="231" spans="1:32" ht="12.5" x14ac:dyDescent="0.25">
      <c r="A231" s="1" t="str">
        <f ca="1">IFERROR(__xludf.DUMMYFUNCTION("""COMPUTED_VALUE"""),"North Carolina CentralNCAA")</f>
        <v>North Carolina CentralNCAA</v>
      </c>
      <c r="B231" s="1">
        <f ca="1">IFERROR(__xludf.DUMMYFUNCTION("""COMPUTED_VALUE"""),34)</f>
        <v>34</v>
      </c>
      <c r="C231" s="1">
        <f ca="1">IFERROR(__xludf.DUMMYFUNCTION("""COMPUTED_VALUE"""),28)</f>
        <v>28</v>
      </c>
      <c r="D231" s="1">
        <f ca="1">IFERROR(__xludf.DUMMYFUNCTION("""COMPUTED_VALUE"""),6)</f>
        <v>6</v>
      </c>
      <c r="E231" s="1">
        <f ca="1">IFERROR(__xludf.DUMMYFUNCTION("""COMPUTED_VALUE"""),0.824)</f>
        <v>0.82399999999999995</v>
      </c>
      <c r="F231" s="1">
        <f ca="1">IFERROR(__xludf.DUMMYFUNCTION("""COMPUTED_VALUE"""),3.97)</f>
        <v>3.97</v>
      </c>
      <c r="G231" s="1">
        <f ca="1">IFERROR(__xludf.DUMMYFUNCTION("""COMPUTED_VALUE"""),-8.03)</f>
        <v>-8.0299999999999994</v>
      </c>
      <c r="H231" s="1">
        <f ca="1">IFERROR(__xludf.DUMMYFUNCTION("""COMPUTED_VALUE"""),16)</f>
        <v>16</v>
      </c>
      <c r="I231" s="1">
        <f ca="1">IFERROR(__xludf.DUMMYFUNCTION("""COMPUTED_VALUE"""),1)</f>
        <v>1</v>
      </c>
      <c r="J231" s="1">
        <f ca="1">IFERROR(__xludf.DUMMYFUNCTION("""COMPUTED_VALUE"""),14)</f>
        <v>14</v>
      </c>
      <c r="K231" s="1">
        <f ca="1">IFERROR(__xludf.DUMMYFUNCTION("""COMPUTED_VALUE"""),0)</f>
        <v>0</v>
      </c>
      <c r="L231" s="1">
        <f ca="1">IFERROR(__xludf.DUMMYFUNCTION("""COMPUTED_VALUE"""),11)</f>
        <v>11</v>
      </c>
      <c r="M231" s="1">
        <f ca="1">IFERROR(__xludf.DUMMYFUNCTION("""COMPUTED_VALUE"""),5)</f>
        <v>5</v>
      </c>
      <c r="N231" s="1">
        <f ca="1">IFERROR(__xludf.DUMMYFUNCTION("""COMPUTED_VALUE"""),2513)</f>
        <v>2513</v>
      </c>
      <c r="O231" s="1">
        <f ca="1">IFERROR(__xludf.DUMMYFUNCTION("""COMPUTED_VALUE"""),2023)</f>
        <v>2023</v>
      </c>
      <c r="P231" s="1">
        <f ca="1">IFERROR(__xludf.DUMMYFUNCTION("""COMPUTED_VALUE"""),1380)</f>
        <v>1380</v>
      </c>
      <c r="Q231" s="1">
        <f ca="1">IFERROR(__xludf.DUMMYFUNCTION("""COMPUTED_VALUE"""),847)</f>
        <v>847</v>
      </c>
      <c r="R231" s="1">
        <f ca="1">IFERROR(__xludf.DUMMYFUNCTION("""COMPUTED_VALUE"""),1832)</f>
        <v>1832</v>
      </c>
      <c r="S231" s="1">
        <f ca="1">IFERROR(__xludf.DUMMYFUNCTION("""COMPUTED_VALUE"""),0.462)</f>
        <v>0.46200000000000002</v>
      </c>
      <c r="T231" s="1">
        <f ca="1">IFERROR(__xludf.DUMMYFUNCTION("""COMPUTED_VALUE"""),184)</f>
        <v>184</v>
      </c>
      <c r="U231" s="1">
        <f ca="1">IFERROR(__xludf.DUMMYFUNCTION("""COMPUTED_VALUE"""),545)</f>
        <v>545</v>
      </c>
      <c r="V231" s="1">
        <f ca="1">IFERROR(__xludf.DUMMYFUNCTION("""COMPUTED_VALUE"""),0.338)</f>
        <v>0.33800000000000002</v>
      </c>
      <c r="W231" s="1">
        <f ca="1">IFERROR(__xludf.DUMMYFUNCTION("""COMPUTED_VALUE"""),635)</f>
        <v>635</v>
      </c>
      <c r="X231" s="1">
        <f ca="1">IFERROR(__xludf.DUMMYFUNCTION("""COMPUTED_VALUE"""),872)</f>
        <v>872</v>
      </c>
      <c r="Y231" s="1">
        <f ca="1">IFERROR(__xludf.DUMMYFUNCTION("""COMPUTED_VALUE"""),0.728)</f>
        <v>0.72799999999999998</v>
      </c>
      <c r="Z231" s="1">
        <f ca="1">IFERROR(__xludf.DUMMYFUNCTION("""COMPUTED_VALUE"""),403)</f>
        <v>403</v>
      </c>
      <c r="AA231" s="1">
        <f ca="1">IFERROR(__xludf.DUMMYFUNCTION("""COMPUTED_VALUE"""),1197)</f>
        <v>1197</v>
      </c>
      <c r="AB231" s="1">
        <f ca="1">IFERROR(__xludf.DUMMYFUNCTION("""COMPUTED_VALUE"""),500)</f>
        <v>500</v>
      </c>
      <c r="AC231" s="1">
        <f ca="1">IFERROR(__xludf.DUMMYFUNCTION("""COMPUTED_VALUE"""),262)</f>
        <v>262</v>
      </c>
      <c r="AD231" s="1">
        <f ca="1">IFERROR(__xludf.DUMMYFUNCTION("""COMPUTED_VALUE"""),137)</f>
        <v>137</v>
      </c>
      <c r="AE231" s="1">
        <f ca="1">IFERROR(__xludf.DUMMYFUNCTION("""COMPUTED_VALUE"""),389)</f>
        <v>389</v>
      </c>
      <c r="AF231" s="1">
        <f ca="1">IFERROR(__xludf.DUMMYFUNCTION("""COMPUTED_VALUE"""),660)</f>
        <v>660</v>
      </c>
    </row>
    <row r="232" spans="1:32" ht="12.5" x14ac:dyDescent="0.25">
      <c r="A232" s="1" t="str">
        <f ca="1">IFERROR(__xludf.DUMMYFUNCTION("""COMPUTED_VALUE"""),"North Carolina-Greensboro")</f>
        <v>North Carolina-Greensboro</v>
      </c>
      <c r="B232" s="1">
        <f ca="1">IFERROR(__xludf.DUMMYFUNCTION("""COMPUTED_VALUE"""),32)</f>
        <v>32</v>
      </c>
      <c r="C232" s="1">
        <f ca="1">IFERROR(__xludf.DUMMYFUNCTION("""COMPUTED_VALUE"""),14)</f>
        <v>14</v>
      </c>
      <c r="D232" s="1">
        <f ca="1">IFERROR(__xludf.DUMMYFUNCTION("""COMPUTED_VALUE"""),18)</f>
        <v>18</v>
      </c>
      <c r="E232" s="1">
        <f ca="1">IFERROR(__xludf.DUMMYFUNCTION("""COMPUTED_VALUE"""),0.438)</f>
        <v>0.438</v>
      </c>
      <c r="F232" s="1">
        <f ca="1">IFERROR(__xludf.DUMMYFUNCTION("""COMPUTED_VALUE"""),-12.33)</f>
        <v>-12.33</v>
      </c>
      <c r="G232" s="1">
        <f ca="1">IFERROR(__xludf.DUMMYFUNCTION("""COMPUTED_VALUE"""),-6.12)</f>
        <v>-6.12</v>
      </c>
      <c r="H232" s="1">
        <f ca="1">IFERROR(__xludf.DUMMYFUNCTION("""COMPUTED_VALUE"""),7)</f>
        <v>7</v>
      </c>
      <c r="I232" s="1">
        <f ca="1">IFERROR(__xludf.DUMMYFUNCTION("""COMPUTED_VALUE"""),9)</f>
        <v>9</v>
      </c>
      <c r="J232" s="1">
        <f ca="1">IFERROR(__xludf.DUMMYFUNCTION("""COMPUTED_VALUE"""),9)</f>
        <v>9</v>
      </c>
      <c r="K232" s="1">
        <f ca="1">IFERROR(__xludf.DUMMYFUNCTION("""COMPUTED_VALUE"""),7)</f>
        <v>7</v>
      </c>
      <c r="L232" s="1">
        <f ca="1">IFERROR(__xludf.DUMMYFUNCTION("""COMPUTED_VALUE"""),4)</f>
        <v>4</v>
      </c>
      <c r="M232" s="1">
        <f ca="1">IFERROR(__xludf.DUMMYFUNCTION("""COMPUTED_VALUE"""),8)</f>
        <v>8</v>
      </c>
      <c r="N232" s="1">
        <f ca="1">IFERROR(__xludf.DUMMYFUNCTION("""COMPUTED_VALUE"""),2267)</f>
        <v>2267</v>
      </c>
      <c r="O232" s="1">
        <f ca="1">IFERROR(__xludf.DUMMYFUNCTION("""COMPUTED_VALUE"""),2373)</f>
        <v>2373</v>
      </c>
      <c r="P232" s="1">
        <f ca="1">IFERROR(__xludf.DUMMYFUNCTION("""COMPUTED_VALUE"""),1290)</f>
        <v>1290</v>
      </c>
      <c r="Q232" s="1">
        <f ca="1">IFERROR(__xludf.DUMMYFUNCTION("""COMPUTED_VALUE"""),808)</f>
        <v>808</v>
      </c>
      <c r="R232" s="1">
        <f ca="1">IFERROR(__xludf.DUMMYFUNCTION("""COMPUTED_VALUE"""),1835)</f>
        <v>1835</v>
      </c>
      <c r="S232" s="1">
        <f ca="1">IFERROR(__xludf.DUMMYFUNCTION("""COMPUTED_VALUE"""),0.44)</f>
        <v>0.44</v>
      </c>
      <c r="T232" s="1">
        <f ca="1">IFERROR(__xludf.DUMMYFUNCTION("""COMPUTED_VALUE"""),167)</f>
        <v>167</v>
      </c>
      <c r="U232" s="1">
        <f ca="1">IFERROR(__xludf.DUMMYFUNCTION("""COMPUTED_VALUE"""),488)</f>
        <v>488</v>
      </c>
      <c r="V232" s="1">
        <f ca="1">IFERROR(__xludf.DUMMYFUNCTION("""COMPUTED_VALUE"""),0.342)</f>
        <v>0.34200000000000003</v>
      </c>
      <c r="W232" s="1">
        <f ca="1">IFERROR(__xludf.DUMMYFUNCTION("""COMPUTED_VALUE"""),484)</f>
        <v>484</v>
      </c>
      <c r="X232" s="1">
        <f ca="1">IFERROR(__xludf.DUMMYFUNCTION("""COMPUTED_VALUE"""),704)</f>
        <v>704</v>
      </c>
      <c r="Y232" s="1">
        <f ca="1">IFERROR(__xludf.DUMMYFUNCTION("""COMPUTED_VALUE"""),0.688)</f>
        <v>0.68799999999999994</v>
      </c>
      <c r="Z232" s="1">
        <f ca="1">IFERROR(__xludf.DUMMYFUNCTION("""COMPUTED_VALUE"""),336)</f>
        <v>336</v>
      </c>
      <c r="AA232" s="1">
        <f ca="1">IFERROR(__xludf.DUMMYFUNCTION("""COMPUTED_VALUE"""),1172)</f>
        <v>1172</v>
      </c>
      <c r="AB232" s="1">
        <f ca="1">IFERROR(__xludf.DUMMYFUNCTION("""COMPUTED_VALUE"""),380)</f>
        <v>380</v>
      </c>
      <c r="AC232" s="1">
        <f ca="1">IFERROR(__xludf.DUMMYFUNCTION("""COMPUTED_VALUE"""),180)</f>
        <v>180</v>
      </c>
      <c r="AD232" s="1">
        <f ca="1">IFERROR(__xludf.DUMMYFUNCTION("""COMPUTED_VALUE"""),75)</f>
        <v>75</v>
      </c>
      <c r="AE232" s="1">
        <f ca="1">IFERROR(__xludf.DUMMYFUNCTION("""COMPUTED_VALUE"""),447)</f>
        <v>447</v>
      </c>
      <c r="AF232" s="1">
        <f ca="1">IFERROR(__xludf.DUMMYFUNCTION("""COMPUTED_VALUE"""),681)</f>
        <v>681</v>
      </c>
    </row>
    <row r="233" spans="1:32" ht="12.5" x14ac:dyDescent="0.25">
      <c r="A233" s="1" t="str">
        <f ca="1">IFERROR(__xludf.DUMMYFUNCTION("""COMPUTED_VALUE"""),"North Carolina StateNCAA")</f>
        <v>North Carolina StateNCAA</v>
      </c>
      <c r="B233" s="1">
        <f ca="1">IFERROR(__xludf.DUMMYFUNCTION("""COMPUTED_VALUE"""),36)</f>
        <v>36</v>
      </c>
      <c r="C233" s="1">
        <f ca="1">IFERROR(__xludf.DUMMYFUNCTION("""COMPUTED_VALUE"""),22)</f>
        <v>22</v>
      </c>
      <c r="D233" s="1">
        <f ca="1">IFERROR(__xludf.DUMMYFUNCTION("""COMPUTED_VALUE"""),14)</f>
        <v>14</v>
      </c>
      <c r="E233" s="1">
        <f ca="1">IFERROR(__xludf.DUMMYFUNCTION("""COMPUTED_VALUE"""),0.611)</f>
        <v>0.61099999999999999</v>
      </c>
      <c r="F233" s="1">
        <f ca="1">IFERROR(__xludf.DUMMYFUNCTION("""COMPUTED_VALUE"""),9.02)</f>
        <v>9.02</v>
      </c>
      <c r="G233" s="1">
        <f ca="1">IFERROR(__xludf.DUMMYFUNCTION("""COMPUTED_VALUE"""),7.44)</f>
        <v>7.44</v>
      </c>
      <c r="H233" s="1">
        <f ca="1">IFERROR(__xludf.DUMMYFUNCTION("""COMPUTED_VALUE"""),9)</f>
        <v>9</v>
      </c>
      <c r="I233" s="1">
        <f ca="1">IFERROR(__xludf.DUMMYFUNCTION("""COMPUTED_VALUE"""),9)</f>
        <v>9</v>
      </c>
      <c r="J233" s="1">
        <f ca="1">IFERROR(__xludf.DUMMYFUNCTION("""COMPUTED_VALUE"""),13)</f>
        <v>13</v>
      </c>
      <c r="K233" s="1">
        <f ca="1">IFERROR(__xludf.DUMMYFUNCTION("""COMPUTED_VALUE"""),6)</f>
        <v>6</v>
      </c>
      <c r="L233" s="1">
        <f ca="1">IFERROR(__xludf.DUMMYFUNCTION("""COMPUTED_VALUE"""),6)</f>
        <v>6</v>
      </c>
      <c r="M233" s="1">
        <f ca="1">IFERROR(__xludf.DUMMYFUNCTION("""COMPUTED_VALUE"""),6)</f>
        <v>6</v>
      </c>
      <c r="N233" s="1">
        <f ca="1">IFERROR(__xludf.DUMMYFUNCTION("""COMPUTED_VALUE"""),2561)</f>
        <v>2561</v>
      </c>
      <c r="O233" s="1">
        <f ca="1">IFERROR(__xludf.DUMMYFUNCTION("""COMPUTED_VALUE"""),2504)</f>
        <v>2504</v>
      </c>
      <c r="P233" s="1">
        <f ca="1">IFERROR(__xludf.DUMMYFUNCTION("""COMPUTED_VALUE"""),1460)</f>
        <v>1460</v>
      </c>
      <c r="Q233" s="1">
        <f ca="1">IFERROR(__xludf.DUMMYFUNCTION("""COMPUTED_VALUE"""),950)</f>
        <v>950</v>
      </c>
      <c r="R233" s="1">
        <f ca="1">IFERROR(__xludf.DUMMYFUNCTION("""COMPUTED_VALUE"""),2060)</f>
        <v>2060</v>
      </c>
      <c r="S233" s="1">
        <f ca="1">IFERROR(__xludf.DUMMYFUNCTION("""COMPUTED_VALUE"""),0.461)</f>
        <v>0.46100000000000002</v>
      </c>
      <c r="T233" s="1">
        <f ca="1">IFERROR(__xludf.DUMMYFUNCTION("""COMPUTED_VALUE"""),160)</f>
        <v>160</v>
      </c>
      <c r="U233" s="1">
        <f ca="1">IFERROR(__xludf.DUMMYFUNCTION("""COMPUTED_VALUE"""),525)</f>
        <v>525</v>
      </c>
      <c r="V233" s="1">
        <f ca="1">IFERROR(__xludf.DUMMYFUNCTION("""COMPUTED_VALUE"""),0.305)</f>
        <v>0.30499999999999999</v>
      </c>
      <c r="W233" s="1">
        <f ca="1">IFERROR(__xludf.DUMMYFUNCTION("""COMPUTED_VALUE"""),501)</f>
        <v>501</v>
      </c>
      <c r="X233" s="1">
        <f ca="1">IFERROR(__xludf.DUMMYFUNCTION("""COMPUTED_VALUE"""),762)</f>
        <v>762</v>
      </c>
      <c r="Y233" s="1">
        <f ca="1">IFERROR(__xludf.DUMMYFUNCTION("""COMPUTED_VALUE"""),0.657)</f>
        <v>0.65700000000000003</v>
      </c>
      <c r="Z233" s="1">
        <f ca="1">IFERROR(__xludf.DUMMYFUNCTION("""COMPUTED_VALUE"""),422)</f>
        <v>422</v>
      </c>
      <c r="AA233" s="1">
        <f ca="1">IFERROR(__xludf.DUMMYFUNCTION("""COMPUTED_VALUE"""),1239)</f>
        <v>1239</v>
      </c>
      <c r="AB233" s="1">
        <f ca="1">IFERROR(__xludf.DUMMYFUNCTION("""COMPUTED_VALUE"""),466)</f>
        <v>466</v>
      </c>
      <c r="AC233" s="1">
        <f ca="1">IFERROR(__xludf.DUMMYFUNCTION("""COMPUTED_VALUE"""),173)</f>
        <v>173</v>
      </c>
      <c r="AD233" s="1">
        <f ca="1">IFERROR(__xludf.DUMMYFUNCTION("""COMPUTED_VALUE"""),149)</f>
        <v>149</v>
      </c>
      <c r="AE233" s="1">
        <f ca="1">IFERROR(__xludf.DUMMYFUNCTION("""COMPUTED_VALUE"""),375)</f>
        <v>375</v>
      </c>
      <c r="AF233" s="1">
        <f ca="1">IFERROR(__xludf.DUMMYFUNCTION("""COMPUTED_VALUE"""),670)</f>
        <v>670</v>
      </c>
    </row>
    <row r="234" spans="1:32" ht="12.5" x14ac:dyDescent="0.25">
      <c r="A234" s="1" t="str">
        <f ca="1">IFERROR(__xludf.DUMMYFUNCTION("""COMPUTED_VALUE"""),"North Carolina-Wilmington")</f>
        <v>North Carolina-Wilmington</v>
      </c>
      <c r="B234" s="1">
        <f ca="1">IFERROR(__xludf.DUMMYFUNCTION("""COMPUTED_VALUE"""),32)</f>
        <v>32</v>
      </c>
      <c r="C234" s="1">
        <f ca="1">IFERROR(__xludf.DUMMYFUNCTION("""COMPUTED_VALUE"""),9)</f>
        <v>9</v>
      </c>
      <c r="D234" s="1">
        <f ca="1">IFERROR(__xludf.DUMMYFUNCTION("""COMPUTED_VALUE"""),23)</f>
        <v>23</v>
      </c>
      <c r="E234" s="1">
        <f ca="1">IFERROR(__xludf.DUMMYFUNCTION("""COMPUTED_VALUE"""),0.281)</f>
        <v>0.28100000000000003</v>
      </c>
      <c r="F234" s="1">
        <f ca="1">IFERROR(__xludf.DUMMYFUNCTION("""COMPUTED_VALUE"""),-8.75)</f>
        <v>-8.75</v>
      </c>
      <c r="G234" s="1">
        <f ca="1">IFERROR(__xludf.DUMMYFUNCTION("""COMPUTED_VALUE"""),-0.78)</f>
        <v>-0.78</v>
      </c>
      <c r="H234" s="1">
        <f ca="1">IFERROR(__xludf.DUMMYFUNCTION("""COMPUTED_VALUE"""),3)</f>
        <v>3</v>
      </c>
      <c r="I234" s="1">
        <f ca="1">IFERROR(__xludf.DUMMYFUNCTION("""COMPUTED_VALUE"""),13)</f>
        <v>13</v>
      </c>
      <c r="J234" s="1">
        <f ca="1">IFERROR(__xludf.DUMMYFUNCTION("""COMPUTED_VALUE"""),6)</f>
        <v>6</v>
      </c>
      <c r="K234" s="1">
        <f ca="1">IFERROR(__xludf.DUMMYFUNCTION("""COMPUTED_VALUE"""),8)</f>
        <v>8</v>
      </c>
      <c r="L234" s="1">
        <f ca="1">IFERROR(__xludf.DUMMYFUNCTION("""COMPUTED_VALUE"""),3)</f>
        <v>3</v>
      </c>
      <c r="M234" s="1">
        <f ca="1">IFERROR(__xludf.DUMMYFUNCTION("""COMPUTED_VALUE"""),14)</f>
        <v>14</v>
      </c>
      <c r="N234" s="1">
        <f ca="1">IFERROR(__xludf.DUMMYFUNCTION("""COMPUTED_VALUE"""),2018)</f>
        <v>2018</v>
      </c>
      <c r="O234" s="1">
        <f ca="1">IFERROR(__xludf.DUMMYFUNCTION("""COMPUTED_VALUE"""),2221)</f>
        <v>2221</v>
      </c>
      <c r="P234" s="1">
        <f ca="1">IFERROR(__xludf.DUMMYFUNCTION("""COMPUTED_VALUE"""),1300)</f>
        <v>1300</v>
      </c>
      <c r="Q234" s="1">
        <f ca="1">IFERROR(__xludf.DUMMYFUNCTION("""COMPUTED_VALUE"""),741)</f>
        <v>741</v>
      </c>
      <c r="R234" s="1">
        <f ca="1">IFERROR(__xludf.DUMMYFUNCTION("""COMPUTED_VALUE"""),1841)</f>
        <v>1841</v>
      </c>
      <c r="S234" s="1">
        <f ca="1">IFERROR(__xludf.DUMMYFUNCTION("""COMPUTED_VALUE"""),0.402)</f>
        <v>0.40200000000000002</v>
      </c>
      <c r="T234" s="1">
        <f ca="1">IFERROR(__xludf.DUMMYFUNCTION("""COMPUTED_VALUE"""),139)</f>
        <v>139</v>
      </c>
      <c r="U234" s="1">
        <f ca="1">IFERROR(__xludf.DUMMYFUNCTION("""COMPUTED_VALUE"""),509)</f>
        <v>509</v>
      </c>
      <c r="V234" s="1">
        <f ca="1">IFERROR(__xludf.DUMMYFUNCTION("""COMPUTED_VALUE"""),0.273)</f>
        <v>0.27300000000000002</v>
      </c>
      <c r="W234" s="1">
        <f ca="1">IFERROR(__xludf.DUMMYFUNCTION("""COMPUTED_VALUE"""),397)</f>
        <v>397</v>
      </c>
      <c r="X234" s="1">
        <f ca="1">IFERROR(__xludf.DUMMYFUNCTION("""COMPUTED_VALUE"""),606)</f>
        <v>606</v>
      </c>
      <c r="Y234" s="1">
        <f ca="1">IFERROR(__xludf.DUMMYFUNCTION("""COMPUTED_VALUE"""),0.655)</f>
        <v>0.65500000000000003</v>
      </c>
      <c r="Z234" s="1">
        <f ca="1">IFERROR(__xludf.DUMMYFUNCTION("""COMPUTED_VALUE"""),390)</f>
        <v>390</v>
      </c>
      <c r="AA234" s="1">
        <f ca="1">IFERROR(__xludf.DUMMYFUNCTION("""COMPUTED_VALUE"""),1148)</f>
        <v>1148</v>
      </c>
      <c r="AB234" s="1">
        <f ca="1">IFERROR(__xludf.DUMMYFUNCTION("""COMPUTED_VALUE"""),346)</f>
        <v>346</v>
      </c>
      <c r="AC234" s="1">
        <f ca="1">IFERROR(__xludf.DUMMYFUNCTION("""COMPUTED_VALUE"""),191)</f>
        <v>191</v>
      </c>
      <c r="AD234" s="1">
        <f ca="1">IFERROR(__xludf.DUMMYFUNCTION("""COMPUTED_VALUE"""),129)</f>
        <v>129</v>
      </c>
      <c r="AE234" s="1">
        <f ca="1">IFERROR(__xludf.DUMMYFUNCTION("""COMPUTED_VALUE"""),367)</f>
        <v>367</v>
      </c>
      <c r="AF234" s="1">
        <f ca="1">IFERROR(__xludf.DUMMYFUNCTION("""COMPUTED_VALUE"""),581)</f>
        <v>581</v>
      </c>
    </row>
    <row r="235" spans="1:32" ht="12.5" x14ac:dyDescent="0.25">
      <c r="A235" s="1" t="str">
        <f ca="1">IFERROR(__xludf.DUMMYFUNCTION("""COMPUTED_VALUE"""),"North CarolinaNCAA")</f>
        <v>North CarolinaNCAA</v>
      </c>
      <c r="B235" s="1">
        <f ca="1">IFERROR(__xludf.DUMMYFUNCTION("""COMPUTED_VALUE"""),34)</f>
        <v>34</v>
      </c>
      <c r="C235" s="1">
        <f ca="1">IFERROR(__xludf.DUMMYFUNCTION("""COMPUTED_VALUE"""),24)</f>
        <v>24</v>
      </c>
      <c r="D235" s="1">
        <f ca="1">IFERROR(__xludf.DUMMYFUNCTION("""COMPUTED_VALUE"""),10)</f>
        <v>10</v>
      </c>
      <c r="E235" s="1">
        <f ca="1">IFERROR(__xludf.DUMMYFUNCTION("""COMPUTED_VALUE"""),0.706)</f>
        <v>0.70599999999999996</v>
      </c>
      <c r="F235" s="1">
        <f ca="1">IFERROR(__xludf.DUMMYFUNCTION("""COMPUTED_VALUE"""),15.24)</f>
        <v>15.24</v>
      </c>
      <c r="G235" s="1">
        <f ca="1">IFERROR(__xludf.DUMMYFUNCTION("""COMPUTED_VALUE"""),8.42)</f>
        <v>8.42</v>
      </c>
      <c r="H235" s="1">
        <f ca="1">IFERROR(__xludf.DUMMYFUNCTION("""COMPUTED_VALUE"""),13)</f>
        <v>13</v>
      </c>
      <c r="I235" s="1">
        <f ca="1">IFERROR(__xludf.DUMMYFUNCTION("""COMPUTED_VALUE"""),5)</f>
        <v>5</v>
      </c>
      <c r="J235" s="1">
        <f ca="1">IFERROR(__xludf.DUMMYFUNCTION("""COMPUTED_VALUE"""),15)</f>
        <v>15</v>
      </c>
      <c r="K235" s="1">
        <f ca="1">IFERROR(__xludf.DUMMYFUNCTION("""COMPUTED_VALUE"""),3)</f>
        <v>3</v>
      </c>
      <c r="L235" s="1">
        <f ca="1">IFERROR(__xludf.DUMMYFUNCTION("""COMPUTED_VALUE"""),6)</f>
        <v>6</v>
      </c>
      <c r="M235" s="1">
        <f ca="1">IFERROR(__xludf.DUMMYFUNCTION("""COMPUTED_VALUE"""),5)</f>
        <v>5</v>
      </c>
      <c r="N235" s="1">
        <f ca="1">IFERROR(__xludf.DUMMYFUNCTION("""COMPUTED_VALUE"""),2604)</f>
        <v>2604</v>
      </c>
      <c r="O235" s="1">
        <f ca="1">IFERROR(__xludf.DUMMYFUNCTION("""COMPUTED_VALUE"""),2372)</f>
        <v>2372</v>
      </c>
      <c r="P235" s="1">
        <f ca="1">IFERROR(__xludf.DUMMYFUNCTION("""COMPUTED_VALUE"""),1370)</f>
        <v>1370</v>
      </c>
      <c r="Q235" s="1">
        <f ca="1">IFERROR(__xludf.DUMMYFUNCTION("""COMPUTED_VALUE"""),953)</f>
        <v>953</v>
      </c>
      <c r="R235" s="1">
        <f ca="1">IFERROR(__xludf.DUMMYFUNCTION("""COMPUTED_VALUE"""),2057)</f>
        <v>2057</v>
      </c>
      <c r="S235" s="1">
        <f ca="1">IFERROR(__xludf.DUMMYFUNCTION("""COMPUTED_VALUE"""),0.463)</f>
        <v>0.46300000000000002</v>
      </c>
      <c r="T235" s="1">
        <f ca="1">IFERROR(__xludf.DUMMYFUNCTION("""COMPUTED_VALUE"""),146)</f>
        <v>146</v>
      </c>
      <c r="U235" s="1">
        <f ca="1">IFERROR(__xludf.DUMMYFUNCTION("""COMPUTED_VALUE"""),434)</f>
        <v>434</v>
      </c>
      <c r="V235" s="1">
        <f ca="1">IFERROR(__xludf.DUMMYFUNCTION("""COMPUTED_VALUE"""),0.336)</f>
        <v>0.33600000000000002</v>
      </c>
      <c r="W235" s="1">
        <f ca="1">IFERROR(__xludf.DUMMYFUNCTION("""COMPUTED_VALUE"""),552)</f>
        <v>552</v>
      </c>
      <c r="X235" s="1">
        <f ca="1">IFERROR(__xludf.DUMMYFUNCTION("""COMPUTED_VALUE"""),882)</f>
        <v>882</v>
      </c>
      <c r="Y235" s="1">
        <f ca="1">IFERROR(__xludf.DUMMYFUNCTION("""COMPUTED_VALUE"""),0.626)</f>
        <v>0.626</v>
      </c>
      <c r="Z235" s="1">
        <f ca="1">IFERROR(__xludf.DUMMYFUNCTION("""COMPUTED_VALUE"""),483)</f>
        <v>483</v>
      </c>
      <c r="AA235" s="1">
        <f ca="1">IFERROR(__xludf.DUMMYFUNCTION("""COMPUTED_VALUE"""),1350)</f>
        <v>1350</v>
      </c>
      <c r="AB235" s="1">
        <f ca="1">IFERROR(__xludf.DUMMYFUNCTION("""COMPUTED_VALUE"""),523)</f>
        <v>523</v>
      </c>
      <c r="AC235" s="1">
        <f ca="1">IFERROR(__xludf.DUMMYFUNCTION("""COMPUTED_VALUE"""),249)</f>
        <v>249</v>
      </c>
      <c r="AD235" s="1">
        <f ca="1">IFERROR(__xludf.DUMMYFUNCTION("""COMPUTED_VALUE"""),161)</f>
        <v>161</v>
      </c>
      <c r="AE235" s="1">
        <f ca="1">IFERROR(__xludf.DUMMYFUNCTION("""COMPUTED_VALUE"""),406)</f>
        <v>406</v>
      </c>
      <c r="AF235" s="1">
        <f ca="1">IFERROR(__xludf.DUMMYFUNCTION("""COMPUTED_VALUE"""),690)</f>
        <v>690</v>
      </c>
    </row>
    <row r="236" spans="1:32" ht="12.5" x14ac:dyDescent="0.25">
      <c r="A236" s="1" t="str">
        <f ca="1">IFERROR(__xludf.DUMMYFUNCTION("""COMPUTED_VALUE"""),"North Dakota StateNCAA")</f>
        <v>North Dakota StateNCAA</v>
      </c>
      <c r="B236" s="1">
        <f ca="1">IFERROR(__xludf.DUMMYFUNCTION("""COMPUTED_VALUE"""),33)</f>
        <v>33</v>
      </c>
      <c r="C236" s="1">
        <f ca="1">IFERROR(__xludf.DUMMYFUNCTION("""COMPUTED_VALUE"""),26)</f>
        <v>26</v>
      </c>
      <c r="D236" s="1">
        <f ca="1">IFERROR(__xludf.DUMMYFUNCTION("""COMPUTED_VALUE"""),7)</f>
        <v>7</v>
      </c>
      <c r="E236" s="1">
        <f ca="1">IFERROR(__xludf.DUMMYFUNCTION("""COMPUTED_VALUE"""),0.788)</f>
        <v>0.78800000000000003</v>
      </c>
      <c r="F236" s="1">
        <f ca="1">IFERROR(__xludf.DUMMYFUNCTION("""COMPUTED_VALUE"""),6.31)</f>
        <v>6.31</v>
      </c>
      <c r="G236" s="1">
        <f ca="1">IFERROR(__xludf.DUMMYFUNCTION("""COMPUTED_VALUE"""),-0.02)</f>
        <v>-0.02</v>
      </c>
      <c r="H236" s="1">
        <f ca="1">IFERROR(__xludf.DUMMYFUNCTION("""COMPUTED_VALUE"""),12)</f>
        <v>12</v>
      </c>
      <c r="I236" s="1">
        <f ca="1">IFERROR(__xludf.DUMMYFUNCTION("""COMPUTED_VALUE"""),2)</f>
        <v>2</v>
      </c>
      <c r="J236" s="1">
        <f ca="1">IFERROR(__xludf.DUMMYFUNCTION("""COMPUTED_VALUE"""),12)</f>
        <v>12</v>
      </c>
      <c r="K236" s="1">
        <f ca="1">IFERROR(__xludf.DUMMYFUNCTION("""COMPUTED_VALUE"""),1)</f>
        <v>1</v>
      </c>
      <c r="L236" s="1">
        <f ca="1">IFERROR(__xludf.DUMMYFUNCTION("""COMPUTED_VALUE"""),10)</f>
        <v>10</v>
      </c>
      <c r="M236" s="1">
        <f ca="1">IFERROR(__xludf.DUMMYFUNCTION("""COMPUTED_VALUE"""),5)</f>
        <v>5</v>
      </c>
      <c r="N236" s="1">
        <f ca="1">IFERROR(__xludf.DUMMYFUNCTION("""COMPUTED_VALUE"""),2492)</f>
        <v>2492</v>
      </c>
      <c r="O236" s="1">
        <f ca="1">IFERROR(__xludf.DUMMYFUNCTION("""COMPUTED_VALUE"""),2164)</f>
        <v>2164</v>
      </c>
      <c r="P236" s="1">
        <f ca="1">IFERROR(__xludf.DUMMYFUNCTION("""COMPUTED_VALUE"""),1325)</f>
        <v>1325</v>
      </c>
      <c r="Q236" s="1">
        <f ca="1">IFERROR(__xludf.DUMMYFUNCTION("""COMPUTED_VALUE"""),888)</f>
        <v>888</v>
      </c>
      <c r="R236" s="1">
        <f ca="1">IFERROR(__xludf.DUMMYFUNCTION("""COMPUTED_VALUE"""),1759)</f>
        <v>1759</v>
      </c>
      <c r="S236" s="1">
        <f ca="1">IFERROR(__xludf.DUMMYFUNCTION("""COMPUTED_VALUE"""),0.505)</f>
        <v>0.505</v>
      </c>
      <c r="T236" s="1">
        <f ca="1">IFERROR(__xludf.DUMMYFUNCTION("""COMPUTED_VALUE"""),176)</f>
        <v>176</v>
      </c>
      <c r="U236" s="1">
        <f ca="1">IFERROR(__xludf.DUMMYFUNCTION("""COMPUTED_VALUE"""),483)</f>
        <v>483</v>
      </c>
      <c r="V236" s="1">
        <f ca="1">IFERROR(__xludf.DUMMYFUNCTION("""COMPUTED_VALUE"""),0.364)</f>
        <v>0.36399999999999999</v>
      </c>
      <c r="W236" s="1">
        <f ca="1">IFERROR(__xludf.DUMMYFUNCTION("""COMPUTED_VALUE"""),540)</f>
        <v>540</v>
      </c>
      <c r="X236" s="1">
        <f ca="1">IFERROR(__xludf.DUMMYFUNCTION("""COMPUTED_VALUE"""),719)</f>
        <v>719</v>
      </c>
      <c r="Y236" s="1">
        <f ca="1">IFERROR(__xludf.DUMMYFUNCTION("""COMPUTED_VALUE"""),0.751)</f>
        <v>0.751</v>
      </c>
      <c r="Z236" s="1">
        <f ca="1">IFERROR(__xludf.DUMMYFUNCTION("""COMPUTED_VALUE"""),307)</f>
        <v>307</v>
      </c>
      <c r="AA236" s="1">
        <f ca="1">IFERROR(__xludf.DUMMYFUNCTION("""COMPUTED_VALUE"""),1081)</f>
        <v>1081</v>
      </c>
      <c r="AB236" s="1">
        <f ca="1">IFERROR(__xludf.DUMMYFUNCTION("""COMPUTED_VALUE"""),382)</f>
        <v>382</v>
      </c>
      <c r="AC236" s="1">
        <f ca="1">IFERROR(__xludf.DUMMYFUNCTION("""COMPUTED_VALUE"""),206)</f>
        <v>206</v>
      </c>
      <c r="AD236" s="1">
        <f ca="1">IFERROR(__xludf.DUMMYFUNCTION("""COMPUTED_VALUE"""),145)</f>
        <v>145</v>
      </c>
      <c r="AE236" s="1">
        <f ca="1">IFERROR(__xludf.DUMMYFUNCTION("""COMPUTED_VALUE"""),325)</f>
        <v>325</v>
      </c>
      <c r="AF236" s="1">
        <f ca="1">IFERROR(__xludf.DUMMYFUNCTION("""COMPUTED_VALUE"""),588)</f>
        <v>588</v>
      </c>
    </row>
    <row r="237" spans="1:32" ht="12.5" x14ac:dyDescent="0.25">
      <c r="A237" s="1" t="str">
        <f ca="1">IFERROR(__xludf.DUMMYFUNCTION("""COMPUTED_VALUE"""),"North Dakota")</f>
        <v>North Dakota</v>
      </c>
      <c r="B237" s="1">
        <f ca="1">IFERROR(__xludf.DUMMYFUNCTION("""COMPUTED_VALUE"""),34)</f>
        <v>34</v>
      </c>
      <c r="C237" s="1">
        <f ca="1">IFERROR(__xludf.DUMMYFUNCTION("""COMPUTED_VALUE"""),17)</f>
        <v>17</v>
      </c>
      <c r="D237" s="1">
        <f ca="1">IFERROR(__xludf.DUMMYFUNCTION("""COMPUTED_VALUE"""),17)</f>
        <v>17</v>
      </c>
      <c r="E237" s="1">
        <f ca="1">IFERROR(__xludf.DUMMYFUNCTION("""COMPUTED_VALUE"""),0.5)</f>
        <v>0.5</v>
      </c>
      <c r="F237" s="1">
        <f ca="1">IFERROR(__xludf.DUMMYFUNCTION("""COMPUTED_VALUE"""),-6.84)</f>
        <v>-6.84</v>
      </c>
      <c r="G237" s="1">
        <f ca="1">IFERROR(__xludf.DUMMYFUNCTION("""COMPUTED_VALUE"""),-3.78)</f>
        <v>-3.78</v>
      </c>
      <c r="H237" s="1">
        <f ca="1">IFERROR(__xludf.DUMMYFUNCTION("""COMPUTED_VALUE"""),12)</f>
        <v>12</v>
      </c>
      <c r="I237" s="1">
        <f ca="1">IFERROR(__xludf.DUMMYFUNCTION("""COMPUTED_VALUE"""),8)</f>
        <v>8</v>
      </c>
      <c r="J237" s="1">
        <f ca="1">IFERROR(__xludf.DUMMYFUNCTION("""COMPUTED_VALUE"""),11)</f>
        <v>11</v>
      </c>
      <c r="K237" s="1">
        <f ca="1">IFERROR(__xludf.DUMMYFUNCTION("""COMPUTED_VALUE"""),3)</f>
        <v>3</v>
      </c>
      <c r="L237" s="1">
        <f ca="1">IFERROR(__xludf.DUMMYFUNCTION("""COMPUTED_VALUE"""),4)</f>
        <v>4</v>
      </c>
      <c r="M237" s="1">
        <f ca="1">IFERROR(__xludf.DUMMYFUNCTION("""COMPUTED_VALUE"""),11)</f>
        <v>11</v>
      </c>
      <c r="N237" s="1">
        <f ca="1">IFERROR(__xludf.DUMMYFUNCTION("""COMPUTED_VALUE"""),2526)</f>
        <v>2526</v>
      </c>
      <c r="O237" s="1">
        <f ca="1">IFERROR(__xludf.DUMMYFUNCTION("""COMPUTED_VALUE"""),2537)</f>
        <v>2537</v>
      </c>
      <c r="P237" s="1">
        <f ca="1">IFERROR(__xludf.DUMMYFUNCTION("""COMPUTED_VALUE"""),1359)</f>
        <v>1359</v>
      </c>
      <c r="Q237" s="1">
        <f ca="1">IFERROR(__xludf.DUMMYFUNCTION("""COMPUTED_VALUE"""),889)</f>
        <v>889</v>
      </c>
      <c r="R237" s="1">
        <f ca="1">IFERROR(__xludf.DUMMYFUNCTION("""COMPUTED_VALUE"""),1951)</f>
        <v>1951</v>
      </c>
      <c r="S237" s="1">
        <f ca="1">IFERROR(__xludf.DUMMYFUNCTION("""COMPUTED_VALUE"""),0.456)</f>
        <v>0.45600000000000002</v>
      </c>
      <c r="T237" s="1">
        <f ca="1">IFERROR(__xludf.DUMMYFUNCTION("""COMPUTED_VALUE"""),200)</f>
        <v>200</v>
      </c>
      <c r="U237" s="1">
        <f ca="1">IFERROR(__xludf.DUMMYFUNCTION("""COMPUTED_VALUE"""),611)</f>
        <v>611</v>
      </c>
      <c r="V237" s="1">
        <f ca="1">IFERROR(__xludf.DUMMYFUNCTION("""COMPUTED_VALUE"""),0.327)</f>
        <v>0.32700000000000001</v>
      </c>
      <c r="W237" s="1">
        <f ca="1">IFERROR(__xludf.DUMMYFUNCTION("""COMPUTED_VALUE"""),548)</f>
        <v>548</v>
      </c>
      <c r="X237" s="1">
        <f ca="1">IFERROR(__xludf.DUMMYFUNCTION("""COMPUTED_VALUE"""),797)</f>
        <v>797</v>
      </c>
      <c r="Y237" s="1">
        <f ca="1">IFERROR(__xludf.DUMMYFUNCTION("""COMPUTED_VALUE"""),0.688)</f>
        <v>0.68799999999999994</v>
      </c>
      <c r="Z237" s="1">
        <f ca="1">IFERROR(__xludf.DUMMYFUNCTION("""COMPUTED_VALUE"""),378)</f>
        <v>378</v>
      </c>
      <c r="AA237" s="1">
        <f ca="1">IFERROR(__xludf.DUMMYFUNCTION("""COMPUTED_VALUE"""),1071)</f>
        <v>1071</v>
      </c>
      <c r="AB237" s="1">
        <f ca="1">IFERROR(__xludf.DUMMYFUNCTION("""COMPUTED_VALUE"""),417)</f>
        <v>417</v>
      </c>
      <c r="AC237" s="1">
        <f ca="1">IFERROR(__xludf.DUMMYFUNCTION("""COMPUTED_VALUE"""),287)</f>
        <v>287</v>
      </c>
      <c r="AD237" s="1">
        <f ca="1">IFERROR(__xludf.DUMMYFUNCTION("""COMPUTED_VALUE"""),90)</f>
        <v>90</v>
      </c>
      <c r="AE237" s="1">
        <f ca="1">IFERROR(__xludf.DUMMYFUNCTION("""COMPUTED_VALUE"""),378)</f>
        <v>378</v>
      </c>
      <c r="AF237" s="1">
        <f ca="1">IFERROR(__xludf.DUMMYFUNCTION("""COMPUTED_VALUE"""),691)</f>
        <v>691</v>
      </c>
    </row>
    <row r="238" spans="1:32" ht="12.5" x14ac:dyDescent="0.25">
      <c r="A238" s="1" t="str">
        <f ca="1">IFERROR(__xludf.DUMMYFUNCTION("""COMPUTED_VALUE"""),"North Florida")</f>
        <v>North Florida</v>
      </c>
      <c r="B238" s="1">
        <f ca="1">IFERROR(__xludf.DUMMYFUNCTION("""COMPUTED_VALUE"""),32)</f>
        <v>32</v>
      </c>
      <c r="C238" s="1">
        <f ca="1">IFERROR(__xludf.DUMMYFUNCTION("""COMPUTED_VALUE"""),16)</f>
        <v>16</v>
      </c>
      <c r="D238" s="1">
        <f ca="1">IFERROR(__xludf.DUMMYFUNCTION("""COMPUTED_VALUE"""),16)</f>
        <v>16</v>
      </c>
      <c r="E238" s="1">
        <f ca="1">IFERROR(__xludf.DUMMYFUNCTION("""COMPUTED_VALUE"""),0.5)</f>
        <v>0.5</v>
      </c>
      <c r="F238" s="1">
        <f ca="1">IFERROR(__xludf.DUMMYFUNCTION("""COMPUTED_VALUE"""),-7.52)</f>
        <v>-7.52</v>
      </c>
      <c r="G238" s="1">
        <f ca="1">IFERROR(__xludf.DUMMYFUNCTION("""COMPUTED_VALUE"""),-3.32)</f>
        <v>-3.32</v>
      </c>
      <c r="H238" s="1">
        <f ca="1">IFERROR(__xludf.DUMMYFUNCTION("""COMPUTED_VALUE"""),10)</f>
        <v>10</v>
      </c>
      <c r="I238" s="1">
        <f ca="1">IFERROR(__xludf.DUMMYFUNCTION("""COMPUTED_VALUE"""),8)</f>
        <v>8</v>
      </c>
      <c r="J238" s="1">
        <f ca="1">IFERROR(__xludf.DUMMYFUNCTION("""COMPUTED_VALUE"""),9)</f>
        <v>9</v>
      </c>
      <c r="K238" s="1">
        <f ca="1">IFERROR(__xludf.DUMMYFUNCTION("""COMPUTED_VALUE"""),5)</f>
        <v>5</v>
      </c>
      <c r="L238" s="1">
        <f ca="1">IFERROR(__xludf.DUMMYFUNCTION("""COMPUTED_VALUE"""),7)</f>
        <v>7</v>
      </c>
      <c r="M238" s="1">
        <f ca="1">IFERROR(__xludf.DUMMYFUNCTION("""COMPUTED_VALUE"""),11)</f>
        <v>11</v>
      </c>
      <c r="N238" s="1">
        <f ca="1">IFERROR(__xludf.DUMMYFUNCTION("""COMPUTED_VALUE"""),2318)</f>
        <v>2318</v>
      </c>
      <c r="O238" s="1">
        <f ca="1">IFERROR(__xludf.DUMMYFUNCTION("""COMPUTED_VALUE"""),2377)</f>
        <v>2377</v>
      </c>
      <c r="P238" s="1">
        <f ca="1">IFERROR(__xludf.DUMMYFUNCTION("""COMPUTED_VALUE"""),1285)</f>
        <v>1285</v>
      </c>
      <c r="Q238" s="1">
        <f ca="1">IFERROR(__xludf.DUMMYFUNCTION("""COMPUTED_VALUE"""),789)</f>
        <v>789</v>
      </c>
      <c r="R238" s="1">
        <f ca="1">IFERROR(__xludf.DUMMYFUNCTION("""COMPUTED_VALUE"""),1784)</f>
        <v>1784</v>
      </c>
      <c r="S238" s="1">
        <f ca="1">IFERROR(__xludf.DUMMYFUNCTION("""COMPUTED_VALUE"""),0.442)</f>
        <v>0.442</v>
      </c>
      <c r="T238" s="1">
        <f ca="1">IFERROR(__xludf.DUMMYFUNCTION("""COMPUTED_VALUE"""),227)</f>
        <v>227</v>
      </c>
      <c r="U238" s="1">
        <f ca="1">IFERROR(__xludf.DUMMYFUNCTION("""COMPUTED_VALUE"""),633)</f>
        <v>633</v>
      </c>
      <c r="V238" s="1">
        <f ca="1">IFERROR(__xludf.DUMMYFUNCTION("""COMPUTED_VALUE"""),0.359)</f>
        <v>0.35899999999999999</v>
      </c>
      <c r="W238" s="1">
        <f ca="1">IFERROR(__xludf.DUMMYFUNCTION("""COMPUTED_VALUE"""),513)</f>
        <v>513</v>
      </c>
      <c r="X238" s="1">
        <f ca="1">IFERROR(__xludf.DUMMYFUNCTION("""COMPUTED_VALUE"""),728)</f>
        <v>728</v>
      </c>
      <c r="Y238" s="1">
        <f ca="1">IFERROR(__xludf.DUMMYFUNCTION("""COMPUTED_VALUE"""),0.705)</f>
        <v>0.70499999999999996</v>
      </c>
      <c r="Z238" s="1">
        <f ca="1">IFERROR(__xludf.DUMMYFUNCTION("""COMPUTED_VALUE"""),383)</f>
        <v>383</v>
      </c>
      <c r="AA238" s="1">
        <f ca="1">IFERROR(__xludf.DUMMYFUNCTION("""COMPUTED_VALUE"""),1183)</f>
        <v>1183</v>
      </c>
      <c r="AB238" s="1">
        <f ca="1">IFERROR(__xludf.DUMMYFUNCTION("""COMPUTED_VALUE"""),401)</f>
        <v>401</v>
      </c>
      <c r="AC238" s="1">
        <f ca="1">IFERROR(__xludf.DUMMYFUNCTION("""COMPUTED_VALUE"""),167)</f>
        <v>167</v>
      </c>
      <c r="AD238" s="1">
        <f ca="1">IFERROR(__xludf.DUMMYFUNCTION("""COMPUTED_VALUE"""),126)</f>
        <v>126</v>
      </c>
      <c r="AE238" s="1">
        <f ca="1">IFERROR(__xludf.DUMMYFUNCTION("""COMPUTED_VALUE"""),483)</f>
        <v>483</v>
      </c>
      <c r="AF238" s="1">
        <f ca="1">IFERROR(__xludf.DUMMYFUNCTION("""COMPUTED_VALUE"""),601)</f>
        <v>601</v>
      </c>
    </row>
    <row r="239" spans="1:32" ht="12.5" x14ac:dyDescent="0.25">
      <c r="A239" s="1" t="str">
        <f ca="1">IFERROR(__xludf.DUMMYFUNCTION("""COMPUTED_VALUE"""),"North Texas")</f>
        <v>North Texas</v>
      </c>
      <c r="B239" s="1">
        <f ca="1">IFERROR(__xludf.DUMMYFUNCTION("""COMPUTED_VALUE"""),32)</f>
        <v>32</v>
      </c>
      <c r="C239" s="1">
        <f ca="1">IFERROR(__xludf.DUMMYFUNCTION("""COMPUTED_VALUE"""),16)</f>
        <v>16</v>
      </c>
      <c r="D239" s="1">
        <f ca="1">IFERROR(__xludf.DUMMYFUNCTION("""COMPUTED_VALUE"""),16)</f>
        <v>16</v>
      </c>
      <c r="E239" s="1">
        <f ca="1">IFERROR(__xludf.DUMMYFUNCTION("""COMPUTED_VALUE"""),0.5)</f>
        <v>0.5</v>
      </c>
      <c r="F239" s="1">
        <f ca="1">IFERROR(__xludf.DUMMYFUNCTION("""COMPUTED_VALUE"""),-4.67)</f>
        <v>-4.67</v>
      </c>
      <c r="G239" s="1">
        <f ca="1">IFERROR(__xludf.DUMMYFUNCTION("""COMPUTED_VALUE"""),-1.53)</f>
        <v>-1.53</v>
      </c>
      <c r="H239" s="1">
        <f ca="1">IFERROR(__xludf.DUMMYFUNCTION("""COMPUTED_VALUE"""),6)</f>
        <v>6</v>
      </c>
      <c r="I239" s="1">
        <f ca="1">IFERROR(__xludf.DUMMYFUNCTION("""COMPUTED_VALUE"""),10)</f>
        <v>10</v>
      </c>
      <c r="J239" s="1">
        <f ca="1">IFERROR(__xludf.DUMMYFUNCTION("""COMPUTED_VALUE"""),9)</f>
        <v>9</v>
      </c>
      <c r="K239" s="1">
        <f ca="1">IFERROR(__xludf.DUMMYFUNCTION("""COMPUTED_VALUE"""),7)</f>
        <v>7</v>
      </c>
      <c r="L239" s="1">
        <f ca="1">IFERROR(__xludf.DUMMYFUNCTION("""COMPUTED_VALUE"""),6)</f>
        <v>6</v>
      </c>
      <c r="M239" s="1">
        <f ca="1">IFERROR(__xludf.DUMMYFUNCTION("""COMPUTED_VALUE"""),6)</f>
        <v>6</v>
      </c>
      <c r="N239" s="1">
        <f ca="1">IFERROR(__xludf.DUMMYFUNCTION("""COMPUTED_VALUE"""),2228)</f>
        <v>2228</v>
      </c>
      <c r="O239" s="1">
        <f ca="1">IFERROR(__xludf.DUMMYFUNCTION("""COMPUTED_VALUE"""),2313)</f>
        <v>2313</v>
      </c>
      <c r="P239" s="1">
        <f ca="1">IFERROR(__xludf.DUMMYFUNCTION("""COMPUTED_VALUE"""),1295)</f>
        <v>1295</v>
      </c>
      <c r="Q239" s="1">
        <f ca="1">IFERROR(__xludf.DUMMYFUNCTION("""COMPUTED_VALUE"""),774)</f>
        <v>774</v>
      </c>
      <c r="R239" s="1">
        <f ca="1">IFERROR(__xludf.DUMMYFUNCTION("""COMPUTED_VALUE"""),1845)</f>
        <v>1845</v>
      </c>
      <c r="S239" s="1">
        <f ca="1">IFERROR(__xludf.DUMMYFUNCTION("""COMPUTED_VALUE"""),0.42)</f>
        <v>0.42</v>
      </c>
      <c r="T239" s="1">
        <f ca="1">IFERROR(__xludf.DUMMYFUNCTION("""COMPUTED_VALUE"""),157)</f>
        <v>157</v>
      </c>
      <c r="U239" s="1">
        <f ca="1">IFERROR(__xludf.DUMMYFUNCTION("""COMPUTED_VALUE"""),476)</f>
        <v>476</v>
      </c>
      <c r="V239" s="1">
        <f ca="1">IFERROR(__xludf.DUMMYFUNCTION("""COMPUTED_VALUE"""),0.33)</f>
        <v>0.33</v>
      </c>
      <c r="W239" s="1">
        <f ca="1">IFERROR(__xludf.DUMMYFUNCTION("""COMPUTED_VALUE"""),523)</f>
        <v>523</v>
      </c>
      <c r="X239" s="1">
        <f ca="1">IFERROR(__xludf.DUMMYFUNCTION("""COMPUTED_VALUE"""),769)</f>
        <v>769</v>
      </c>
      <c r="Y239" s="1">
        <f ca="1">IFERROR(__xludf.DUMMYFUNCTION("""COMPUTED_VALUE"""),0.68)</f>
        <v>0.68</v>
      </c>
      <c r="Z239" s="1">
        <f ca="1">IFERROR(__xludf.DUMMYFUNCTION("""COMPUTED_VALUE"""),361)</f>
        <v>361</v>
      </c>
      <c r="AA239" s="1">
        <f ca="1">IFERROR(__xludf.DUMMYFUNCTION("""COMPUTED_VALUE"""),1183)</f>
        <v>1183</v>
      </c>
      <c r="AB239" s="1">
        <f ca="1">IFERROR(__xludf.DUMMYFUNCTION("""COMPUTED_VALUE"""),324)</f>
        <v>324</v>
      </c>
      <c r="AC239" s="1">
        <f ca="1">IFERROR(__xludf.DUMMYFUNCTION("""COMPUTED_VALUE"""),210)</f>
        <v>210</v>
      </c>
      <c r="AD239" s="1">
        <f ca="1">IFERROR(__xludf.DUMMYFUNCTION("""COMPUTED_VALUE"""),114)</f>
        <v>114</v>
      </c>
      <c r="AE239" s="1">
        <f ca="1">IFERROR(__xludf.DUMMYFUNCTION("""COMPUTED_VALUE"""),405)</f>
        <v>405</v>
      </c>
      <c r="AF239" s="1">
        <f ca="1">IFERROR(__xludf.DUMMYFUNCTION("""COMPUTED_VALUE"""),645)</f>
        <v>645</v>
      </c>
    </row>
    <row r="240" spans="1:32" ht="12.5" x14ac:dyDescent="0.25">
      <c r="A240" s="1" t="str">
        <f ca="1">IFERROR(__xludf.DUMMYFUNCTION("""COMPUTED_VALUE"""),"Northeastern")</f>
        <v>Northeastern</v>
      </c>
      <c r="B240" s="1">
        <f ca="1">IFERROR(__xludf.DUMMYFUNCTION("""COMPUTED_VALUE"""),32)</f>
        <v>32</v>
      </c>
      <c r="C240" s="1">
        <f ca="1">IFERROR(__xludf.DUMMYFUNCTION("""COMPUTED_VALUE"""),11)</f>
        <v>11</v>
      </c>
      <c r="D240" s="1">
        <f ca="1">IFERROR(__xludf.DUMMYFUNCTION("""COMPUTED_VALUE"""),21)</f>
        <v>21</v>
      </c>
      <c r="E240" s="1">
        <f ca="1">IFERROR(__xludf.DUMMYFUNCTION("""COMPUTED_VALUE"""),0.344)</f>
        <v>0.34399999999999997</v>
      </c>
      <c r="F240" s="1">
        <f ca="1">IFERROR(__xludf.DUMMYFUNCTION("""COMPUTED_VALUE"""),-3.11)</f>
        <v>-3.11</v>
      </c>
      <c r="G240" s="1">
        <f ca="1">IFERROR(__xludf.DUMMYFUNCTION("""COMPUTED_VALUE"""),-0.3)</f>
        <v>-0.3</v>
      </c>
      <c r="H240" s="1">
        <f ca="1">IFERROR(__xludf.DUMMYFUNCTION("""COMPUTED_VALUE"""),7)</f>
        <v>7</v>
      </c>
      <c r="I240" s="1">
        <f ca="1">IFERROR(__xludf.DUMMYFUNCTION("""COMPUTED_VALUE"""),9)</f>
        <v>9</v>
      </c>
      <c r="J240" s="1">
        <f ca="1">IFERROR(__xludf.DUMMYFUNCTION("""COMPUTED_VALUE"""),4)</f>
        <v>4</v>
      </c>
      <c r="K240" s="1">
        <f ca="1">IFERROR(__xludf.DUMMYFUNCTION("""COMPUTED_VALUE"""),8)</f>
        <v>8</v>
      </c>
      <c r="L240" s="1">
        <f ca="1">IFERROR(__xludf.DUMMYFUNCTION("""COMPUTED_VALUE"""),4)</f>
        <v>4</v>
      </c>
      <c r="M240" s="1">
        <f ca="1">IFERROR(__xludf.DUMMYFUNCTION("""COMPUTED_VALUE"""),9)</f>
        <v>9</v>
      </c>
      <c r="N240" s="1">
        <f ca="1">IFERROR(__xludf.DUMMYFUNCTION("""COMPUTED_VALUE"""),2109)</f>
        <v>2109</v>
      </c>
      <c r="O240" s="1">
        <f ca="1">IFERROR(__xludf.DUMMYFUNCTION("""COMPUTED_VALUE"""),2199)</f>
        <v>2199</v>
      </c>
      <c r="P240" s="1">
        <f ca="1">IFERROR(__xludf.DUMMYFUNCTION("""COMPUTED_VALUE"""),1295)</f>
        <v>1295</v>
      </c>
      <c r="Q240" s="1">
        <f ca="1">IFERROR(__xludf.DUMMYFUNCTION("""COMPUTED_VALUE"""),734)</f>
        <v>734</v>
      </c>
      <c r="R240" s="1">
        <f ca="1">IFERROR(__xludf.DUMMYFUNCTION("""COMPUTED_VALUE"""),1692)</f>
        <v>1692</v>
      </c>
      <c r="S240" s="1">
        <f ca="1">IFERROR(__xludf.DUMMYFUNCTION("""COMPUTED_VALUE"""),0.434)</f>
        <v>0.434</v>
      </c>
      <c r="T240" s="1">
        <f ca="1">IFERROR(__xludf.DUMMYFUNCTION("""COMPUTED_VALUE"""),156)</f>
        <v>156</v>
      </c>
      <c r="U240" s="1">
        <f ca="1">IFERROR(__xludf.DUMMYFUNCTION("""COMPUTED_VALUE"""),481)</f>
        <v>481</v>
      </c>
      <c r="V240" s="1">
        <f ca="1">IFERROR(__xludf.DUMMYFUNCTION("""COMPUTED_VALUE"""),0.324)</f>
        <v>0.32400000000000001</v>
      </c>
      <c r="W240" s="1">
        <f ca="1">IFERROR(__xludf.DUMMYFUNCTION("""COMPUTED_VALUE"""),485)</f>
        <v>485</v>
      </c>
      <c r="X240" s="1">
        <f ca="1">IFERROR(__xludf.DUMMYFUNCTION("""COMPUTED_VALUE"""),752)</f>
        <v>752</v>
      </c>
      <c r="Y240" s="1">
        <f ca="1">IFERROR(__xludf.DUMMYFUNCTION("""COMPUTED_VALUE"""),0.645)</f>
        <v>0.64500000000000002</v>
      </c>
      <c r="Z240" s="1">
        <f ca="1">IFERROR(__xludf.DUMMYFUNCTION("""COMPUTED_VALUE"""),361)</f>
        <v>361</v>
      </c>
      <c r="AA240" s="1">
        <f ca="1">IFERROR(__xludf.DUMMYFUNCTION("""COMPUTED_VALUE"""),1117)</f>
        <v>1117</v>
      </c>
      <c r="AB240" s="1">
        <f ca="1">IFERROR(__xludf.DUMMYFUNCTION("""COMPUTED_VALUE"""),371)</f>
        <v>371</v>
      </c>
      <c r="AC240" s="1">
        <f ca="1">IFERROR(__xludf.DUMMYFUNCTION("""COMPUTED_VALUE"""),173)</f>
        <v>173</v>
      </c>
      <c r="AD240" s="1">
        <f ca="1">IFERROR(__xludf.DUMMYFUNCTION("""COMPUTED_VALUE"""),110)</f>
        <v>110</v>
      </c>
      <c r="AE240" s="1">
        <f ca="1">IFERROR(__xludf.DUMMYFUNCTION("""COMPUTED_VALUE"""),420)</f>
        <v>420</v>
      </c>
      <c r="AF240" s="1">
        <f ca="1">IFERROR(__xludf.DUMMYFUNCTION("""COMPUTED_VALUE"""),553)</f>
        <v>553</v>
      </c>
    </row>
    <row r="241" spans="1:32" ht="12.5" x14ac:dyDescent="0.25">
      <c r="A241" s="1" t="str">
        <f ca="1">IFERROR(__xludf.DUMMYFUNCTION("""COMPUTED_VALUE"""),"Northern Arizona")</f>
        <v>Northern Arizona</v>
      </c>
      <c r="B241" s="1">
        <f ca="1">IFERROR(__xludf.DUMMYFUNCTION("""COMPUTED_VALUE"""),32)</f>
        <v>32</v>
      </c>
      <c r="C241" s="1">
        <f ca="1">IFERROR(__xludf.DUMMYFUNCTION("""COMPUTED_VALUE"""),15)</f>
        <v>15</v>
      </c>
      <c r="D241" s="1">
        <f ca="1">IFERROR(__xludf.DUMMYFUNCTION("""COMPUTED_VALUE"""),17)</f>
        <v>17</v>
      </c>
      <c r="E241" s="1">
        <f ca="1">IFERROR(__xludf.DUMMYFUNCTION("""COMPUTED_VALUE"""),0.469)</f>
        <v>0.46899999999999997</v>
      </c>
      <c r="F241" s="1">
        <f ca="1">IFERROR(__xludf.DUMMYFUNCTION("""COMPUTED_VALUE"""),-6.6)</f>
        <v>-6.6</v>
      </c>
      <c r="G241" s="1">
        <f ca="1">IFERROR(__xludf.DUMMYFUNCTION("""COMPUTED_VALUE"""),-4.37)</f>
        <v>-4.37</v>
      </c>
      <c r="H241" s="1">
        <f ca="1">IFERROR(__xludf.DUMMYFUNCTION("""COMPUTED_VALUE"""),12)</f>
        <v>12</v>
      </c>
      <c r="I241" s="1">
        <f ca="1">IFERROR(__xludf.DUMMYFUNCTION("""COMPUTED_VALUE"""),8)</f>
        <v>8</v>
      </c>
      <c r="J241" s="1">
        <f ca="1">IFERROR(__xludf.DUMMYFUNCTION("""COMPUTED_VALUE"""),9)</f>
        <v>9</v>
      </c>
      <c r="K241" s="1">
        <f ca="1">IFERROR(__xludf.DUMMYFUNCTION("""COMPUTED_VALUE"""),4)</f>
        <v>4</v>
      </c>
      <c r="L241" s="1">
        <f ca="1">IFERROR(__xludf.DUMMYFUNCTION("""COMPUTED_VALUE"""),6)</f>
        <v>6</v>
      </c>
      <c r="M241" s="1">
        <f ca="1">IFERROR(__xludf.DUMMYFUNCTION("""COMPUTED_VALUE"""),10)</f>
        <v>10</v>
      </c>
      <c r="N241" s="1">
        <f ca="1">IFERROR(__xludf.DUMMYFUNCTION("""COMPUTED_VALUE"""),2144)</f>
        <v>2144</v>
      </c>
      <c r="O241" s="1">
        <f ca="1">IFERROR(__xludf.DUMMYFUNCTION("""COMPUTED_VALUE"""),2189)</f>
        <v>2189</v>
      </c>
      <c r="P241" s="1">
        <f ca="1">IFERROR(__xludf.DUMMYFUNCTION("""COMPUTED_VALUE"""),1290)</f>
        <v>1290</v>
      </c>
      <c r="Q241" s="1">
        <f ca="1">IFERROR(__xludf.DUMMYFUNCTION("""COMPUTED_VALUE"""),778)</f>
        <v>778</v>
      </c>
      <c r="R241" s="1">
        <f ca="1">IFERROR(__xludf.DUMMYFUNCTION("""COMPUTED_VALUE"""),1715)</f>
        <v>1715</v>
      </c>
      <c r="S241" s="1">
        <f ca="1">IFERROR(__xludf.DUMMYFUNCTION("""COMPUTED_VALUE"""),0.454)</f>
        <v>0.45400000000000001</v>
      </c>
      <c r="T241" s="1">
        <f ca="1">IFERROR(__xludf.DUMMYFUNCTION("""COMPUTED_VALUE"""),170)</f>
        <v>170</v>
      </c>
      <c r="U241" s="1">
        <f ca="1">IFERROR(__xludf.DUMMYFUNCTION("""COMPUTED_VALUE"""),485)</f>
        <v>485</v>
      </c>
      <c r="V241" s="1">
        <f ca="1">IFERROR(__xludf.DUMMYFUNCTION("""COMPUTED_VALUE"""),0.351)</f>
        <v>0.35099999999999998</v>
      </c>
      <c r="W241" s="1">
        <f ca="1">IFERROR(__xludf.DUMMYFUNCTION("""COMPUTED_VALUE"""),418)</f>
        <v>418</v>
      </c>
      <c r="X241" s="1">
        <f ca="1">IFERROR(__xludf.DUMMYFUNCTION("""COMPUTED_VALUE"""),586)</f>
        <v>586</v>
      </c>
      <c r="Y241" s="1">
        <f ca="1">IFERROR(__xludf.DUMMYFUNCTION("""COMPUTED_VALUE"""),0.713)</f>
        <v>0.71299999999999997</v>
      </c>
      <c r="Z241" s="1">
        <f ca="1">IFERROR(__xludf.DUMMYFUNCTION("""COMPUTED_VALUE"""),344)</f>
        <v>344</v>
      </c>
      <c r="AA241" s="1">
        <f ca="1">IFERROR(__xludf.DUMMYFUNCTION("""COMPUTED_VALUE"""),1055)</f>
        <v>1055</v>
      </c>
      <c r="AB241" s="1">
        <f ca="1">IFERROR(__xludf.DUMMYFUNCTION("""COMPUTED_VALUE"""),344)</f>
        <v>344</v>
      </c>
      <c r="AC241" s="1">
        <f ca="1">IFERROR(__xludf.DUMMYFUNCTION("""COMPUTED_VALUE"""),198)</f>
        <v>198</v>
      </c>
      <c r="AD241" s="1">
        <f ca="1">IFERROR(__xludf.DUMMYFUNCTION("""COMPUTED_VALUE"""),126)</f>
        <v>126</v>
      </c>
      <c r="AE241" s="1">
        <f ca="1">IFERROR(__xludf.DUMMYFUNCTION("""COMPUTED_VALUE"""),404)</f>
        <v>404</v>
      </c>
      <c r="AF241" s="1">
        <f ca="1">IFERROR(__xludf.DUMMYFUNCTION("""COMPUTED_VALUE"""),564)</f>
        <v>564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IFERROR(__xludf.DUMMYFUNCTION("""COMPUTED_VALUE"""),"Northern Colorado")</f>
        <v>Northern Colorado</v>
      </c>
      <c r="B244" s="1">
        <f ca="1">IFERROR(__xludf.DUMMYFUNCTION("""COMPUTED_VALUE"""),32)</f>
        <v>32</v>
      </c>
      <c r="C244" s="1">
        <f ca="1">IFERROR(__xludf.DUMMYFUNCTION("""COMPUTED_VALUE"""),18)</f>
        <v>18</v>
      </c>
      <c r="D244" s="1">
        <f ca="1">IFERROR(__xludf.DUMMYFUNCTION("""COMPUTED_VALUE"""),14)</f>
        <v>14</v>
      </c>
      <c r="E244" s="1">
        <f ca="1">IFERROR(__xludf.DUMMYFUNCTION("""COMPUTED_VALUE"""),0.563)</f>
        <v>0.56299999999999994</v>
      </c>
      <c r="F244" s="1">
        <f ca="1">IFERROR(__xludf.DUMMYFUNCTION("""COMPUTED_VALUE"""),-4.33)</f>
        <v>-4.33</v>
      </c>
      <c r="G244" s="1">
        <f ca="1">IFERROR(__xludf.DUMMYFUNCTION("""COMPUTED_VALUE"""),-6.09)</f>
        <v>-6.09</v>
      </c>
      <c r="H244" s="1">
        <f ca="1">IFERROR(__xludf.DUMMYFUNCTION("""COMPUTED_VALUE"""),11)</f>
        <v>11</v>
      </c>
      <c r="I244" s="1">
        <f ca="1">IFERROR(__xludf.DUMMYFUNCTION("""COMPUTED_VALUE"""),9)</f>
        <v>9</v>
      </c>
      <c r="J244" s="1">
        <f ca="1">IFERROR(__xludf.DUMMYFUNCTION("""COMPUTED_VALUE"""),13)</f>
        <v>13</v>
      </c>
      <c r="K244" s="1">
        <f ca="1">IFERROR(__xludf.DUMMYFUNCTION("""COMPUTED_VALUE"""),3)</f>
        <v>3</v>
      </c>
      <c r="L244" s="1">
        <f ca="1">IFERROR(__xludf.DUMMYFUNCTION("""COMPUTED_VALUE"""),4)</f>
        <v>4</v>
      </c>
      <c r="M244" s="1">
        <f ca="1">IFERROR(__xludf.DUMMYFUNCTION("""COMPUTED_VALUE"""),11)</f>
        <v>11</v>
      </c>
      <c r="N244" s="1">
        <f ca="1">IFERROR(__xludf.DUMMYFUNCTION("""COMPUTED_VALUE"""),2364)</f>
        <v>2364</v>
      </c>
      <c r="O244" s="1">
        <f ca="1">IFERROR(__xludf.DUMMYFUNCTION("""COMPUTED_VALUE"""),2248)</f>
        <v>2248</v>
      </c>
      <c r="P244" s="1">
        <f ca="1">IFERROR(__xludf.DUMMYFUNCTION("""COMPUTED_VALUE"""),1295)</f>
        <v>1295</v>
      </c>
      <c r="Q244" s="1">
        <f ca="1">IFERROR(__xludf.DUMMYFUNCTION("""COMPUTED_VALUE"""),864)</f>
        <v>864</v>
      </c>
      <c r="R244" s="1">
        <f ca="1">IFERROR(__xludf.DUMMYFUNCTION("""COMPUTED_VALUE"""),1752)</f>
        <v>1752</v>
      </c>
      <c r="S244" s="1">
        <f ca="1">IFERROR(__xludf.DUMMYFUNCTION("""COMPUTED_VALUE"""),0.493)</f>
        <v>0.49299999999999999</v>
      </c>
      <c r="T244" s="1">
        <f ca="1">IFERROR(__xludf.DUMMYFUNCTION("""COMPUTED_VALUE"""),190)</f>
        <v>190</v>
      </c>
      <c r="U244" s="1">
        <f ca="1">IFERROR(__xludf.DUMMYFUNCTION("""COMPUTED_VALUE"""),492)</f>
        <v>492</v>
      </c>
      <c r="V244" s="1">
        <f ca="1">IFERROR(__xludf.DUMMYFUNCTION("""COMPUTED_VALUE"""),0.386)</f>
        <v>0.38600000000000001</v>
      </c>
      <c r="W244" s="1">
        <f ca="1">IFERROR(__xludf.DUMMYFUNCTION("""COMPUTED_VALUE"""),446)</f>
        <v>446</v>
      </c>
      <c r="X244" s="1">
        <f ca="1">IFERROR(__xludf.DUMMYFUNCTION("""COMPUTED_VALUE"""),651)</f>
        <v>651</v>
      </c>
      <c r="Y244" s="1">
        <f ca="1">IFERROR(__xludf.DUMMYFUNCTION("""COMPUTED_VALUE"""),0.685)</f>
        <v>0.68500000000000005</v>
      </c>
      <c r="Z244" s="1">
        <f ca="1">IFERROR(__xludf.DUMMYFUNCTION("""COMPUTED_VALUE"""),346)</f>
        <v>346</v>
      </c>
      <c r="AA244" s="1">
        <f ca="1">IFERROR(__xludf.DUMMYFUNCTION("""COMPUTED_VALUE"""),1025)</f>
        <v>1025</v>
      </c>
      <c r="AB244" s="1">
        <f ca="1">IFERROR(__xludf.DUMMYFUNCTION("""COMPUTED_VALUE"""),388)</f>
        <v>388</v>
      </c>
      <c r="AC244" s="1">
        <f ca="1">IFERROR(__xludf.DUMMYFUNCTION("""COMPUTED_VALUE"""),183)</f>
        <v>183</v>
      </c>
      <c r="AD244" s="1">
        <f ca="1">IFERROR(__xludf.DUMMYFUNCTION("""COMPUTED_VALUE"""),73)</f>
        <v>73</v>
      </c>
      <c r="AE244" s="1">
        <f ca="1">IFERROR(__xludf.DUMMYFUNCTION("""COMPUTED_VALUE"""),365)</f>
        <v>365</v>
      </c>
      <c r="AF244" s="1">
        <f ca="1">IFERROR(__xludf.DUMMYFUNCTION("""COMPUTED_VALUE"""),626)</f>
        <v>626</v>
      </c>
    </row>
    <row r="245" spans="1:32" ht="12.5" x14ac:dyDescent="0.25">
      <c r="A245" s="1" t="str">
        <f ca="1">IFERROR(__xludf.DUMMYFUNCTION("""COMPUTED_VALUE"""),"Northern Illinois")</f>
        <v>Northern Illinois</v>
      </c>
      <c r="B245" s="1">
        <f ca="1">IFERROR(__xludf.DUMMYFUNCTION("""COMPUTED_VALUE"""),32)</f>
        <v>32</v>
      </c>
      <c r="C245" s="1">
        <f ca="1">IFERROR(__xludf.DUMMYFUNCTION("""COMPUTED_VALUE"""),15)</f>
        <v>15</v>
      </c>
      <c r="D245" s="1">
        <f ca="1">IFERROR(__xludf.DUMMYFUNCTION("""COMPUTED_VALUE"""),17)</f>
        <v>17</v>
      </c>
      <c r="E245" s="1">
        <f ca="1">IFERROR(__xludf.DUMMYFUNCTION("""COMPUTED_VALUE"""),0.469)</f>
        <v>0.46899999999999997</v>
      </c>
      <c r="F245" s="1">
        <f ca="1">IFERROR(__xludf.DUMMYFUNCTION("""COMPUTED_VALUE"""),-3.54)</f>
        <v>-3.54</v>
      </c>
      <c r="G245" s="1">
        <f ca="1">IFERROR(__xludf.DUMMYFUNCTION("""COMPUTED_VALUE"""),-1.28)</f>
        <v>-1.28</v>
      </c>
      <c r="H245" s="1">
        <f ca="1">IFERROR(__xludf.DUMMYFUNCTION("""COMPUTED_VALUE"""),8)</f>
        <v>8</v>
      </c>
      <c r="I245" s="1">
        <f ca="1">IFERROR(__xludf.DUMMYFUNCTION("""COMPUTED_VALUE"""),10)</f>
        <v>10</v>
      </c>
      <c r="J245" s="1">
        <f ca="1">IFERROR(__xludf.DUMMYFUNCTION("""COMPUTED_VALUE"""),10)</f>
        <v>10</v>
      </c>
      <c r="K245" s="1">
        <f ca="1">IFERROR(__xludf.DUMMYFUNCTION("""COMPUTED_VALUE"""),7)</f>
        <v>7</v>
      </c>
      <c r="L245" s="1">
        <f ca="1">IFERROR(__xludf.DUMMYFUNCTION("""COMPUTED_VALUE"""),5)</f>
        <v>5</v>
      </c>
      <c r="M245" s="1">
        <f ca="1">IFERROR(__xludf.DUMMYFUNCTION("""COMPUTED_VALUE"""),9)</f>
        <v>9</v>
      </c>
      <c r="N245" s="1">
        <f ca="1">IFERROR(__xludf.DUMMYFUNCTION("""COMPUTED_VALUE"""),1992)</f>
        <v>1992</v>
      </c>
      <c r="O245" s="1">
        <f ca="1">IFERROR(__xludf.DUMMYFUNCTION("""COMPUTED_VALUE"""),2012)</f>
        <v>2012</v>
      </c>
      <c r="P245" s="1">
        <f ca="1">IFERROR(__xludf.DUMMYFUNCTION("""COMPUTED_VALUE"""),1305)</f>
        <v>1305</v>
      </c>
      <c r="Q245" s="1">
        <f ca="1">IFERROR(__xludf.DUMMYFUNCTION("""COMPUTED_VALUE"""),645)</f>
        <v>645</v>
      </c>
      <c r="R245" s="1">
        <f ca="1">IFERROR(__xludf.DUMMYFUNCTION("""COMPUTED_VALUE"""),1651)</f>
        <v>1651</v>
      </c>
      <c r="S245" s="1">
        <f ca="1">IFERROR(__xludf.DUMMYFUNCTION("""COMPUTED_VALUE"""),0.391)</f>
        <v>0.39100000000000001</v>
      </c>
      <c r="T245" s="1">
        <f ca="1">IFERROR(__xludf.DUMMYFUNCTION("""COMPUTED_VALUE"""),137)</f>
        <v>137</v>
      </c>
      <c r="U245" s="1">
        <f ca="1">IFERROR(__xludf.DUMMYFUNCTION("""COMPUTED_VALUE"""),494)</f>
        <v>494</v>
      </c>
      <c r="V245" s="1">
        <f ca="1">IFERROR(__xludf.DUMMYFUNCTION("""COMPUTED_VALUE"""),0.277)</f>
        <v>0.27700000000000002</v>
      </c>
      <c r="W245" s="1">
        <f ca="1">IFERROR(__xludf.DUMMYFUNCTION("""COMPUTED_VALUE"""),565)</f>
        <v>565</v>
      </c>
      <c r="X245" s="1">
        <f ca="1">IFERROR(__xludf.DUMMYFUNCTION("""COMPUTED_VALUE"""),826)</f>
        <v>826</v>
      </c>
      <c r="Y245" s="1">
        <f ca="1">IFERROR(__xludf.DUMMYFUNCTION("""COMPUTED_VALUE"""),0.684)</f>
        <v>0.68400000000000005</v>
      </c>
      <c r="Z245" s="1">
        <f ca="1">IFERROR(__xludf.DUMMYFUNCTION("""COMPUTED_VALUE"""),429)</f>
        <v>429</v>
      </c>
      <c r="AA245" s="1">
        <f ca="1">IFERROR(__xludf.DUMMYFUNCTION("""COMPUTED_VALUE"""),1199)</f>
        <v>1199</v>
      </c>
      <c r="AB245" s="1">
        <f ca="1">IFERROR(__xludf.DUMMYFUNCTION("""COMPUTED_VALUE"""),271)</f>
        <v>271</v>
      </c>
      <c r="AC245" s="1">
        <f ca="1">IFERROR(__xludf.DUMMYFUNCTION("""COMPUTED_VALUE"""),211)</f>
        <v>211</v>
      </c>
      <c r="AD245" s="1">
        <f ca="1">IFERROR(__xludf.DUMMYFUNCTION("""COMPUTED_VALUE"""),107)</f>
        <v>107</v>
      </c>
      <c r="AE245" s="1">
        <f ca="1">IFERROR(__xludf.DUMMYFUNCTION("""COMPUTED_VALUE"""),470)</f>
        <v>470</v>
      </c>
      <c r="AF245" s="1">
        <f ca="1">IFERROR(__xludf.DUMMYFUNCTION("""COMPUTED_VALUE"""),642)</f>
        <v>642</v>
      </c>
    </row>
    <row r="246" spans="1:32" ht="12.5" x14ac:dyDescent="0.25">
      <c r="A246" s="1" t="str">
        <f ca="1">IFERROR(__xludf.DUMMYFUNCTION("""COMPUTED_VALUE"""),"Northern Iowa")</f>
        <v>Northern Iowa</v>
      </c>
      <c r="B246" s="1">
        <f ca="1">IFERROR(__xludf.DUMMYFUNCTION("""COMPUTED_VALUE"""),31)</f>
        <v>31</v>
      </c>
      <c r="C246" s="1">
        <f ca="1">IFERROR(__xludf.DUMMYFUNCTION("""COMPUTED_VALUE"""),16)</f>
        <v>16</v>
      </c>
      <c r="D246" s="1">
        <f ca="1">IFERROR(__xludf.DUMMYFUNCTION("""COMPUTED_VALUE"""),15)</f>
        <v>15</v>
      </c>
      <c r="E246" s="1">
        <f ca="1">IFERROR(__xludf.DUMMYFUNCTION("""COMPUTED_VALUE"""),0.516)</f>
        <v>0.51600000000000001</v>
      </c>
      <c r="F246" s="1">
        <f ca="1">IFERROR(__xludf.DUMMYFUNCTION("""COMPUTED_VALUE"""),5.29)</f>
        <v>5.29</v>
      </c>
      <c r="G246" s="1">
        <f ca="1">IFERROR(__xludf.DUMMYFUNCTION("""COMPUTED_VALUE"""),2.85)</f>
        <v>2.85</v>
      </c>
      <c r="H246" s="1">
        <f ca="1">IFERROR(__xludf.DUMMYFUNCTION("""COMPUTED_VALUE"""),10)</f>
        <v>10</v>
      </c>
      <c r="I246" s="1">
        <f ca="1">IFERROR(__xludf.DUMMYFUNCTION("""COMPUTED_VALUE"""),8)</f>
        <v>8</v>
      </c>
      <c r="J246" s="1">
        <f ca="1">IFERROR(__xludf.DUMMYFUNCTION("""COMPUTED_VALUE"""),11)</f>
        <v>11</v>
      </c>
      <c r="K246" s="1">
        <f ca="1">IFERROR(__xludf.DUMMYFUNCTION("""COMPUTED_VALUE"""),2)</f>
        <v>2</v>
      </c>
      <c r="L246" s="1">
        <f ca="1">IFERROR(__xludf.DUMMYFUNCTION("""COMPUTED_VALUE"""),3)</f>
        <v>3</v>
      </c>
      <c r="M246" s="1">
        <f ca="1">IFERROR(__xludf.DUMMYFUNCTION("""COMPUTED_VALUE"""),10)</f>
        <v>10</v>
      </c>
      <c r="N246" s="1">
        <f ca="1">IFERROR(__xludf.DUMMYFUNCTION("""COMPUTED_VALUE"""),2256)</f>
        <v>2256</v>
      </c>
      <c r="O246" s="1">
        <f ca="1">IFERROR(__xludf.DUMMYFUNCTION("""COMPUTED_VALUE"""),2149)</f>
        <v>2149</v>
      </c>
      <c r="P246" s="1">
        <f ca="1">IFERROR(__xludf.DUMMYFUNCTION("""COMPUTED_VALUE"""),1250)</f>
        <v>1250</v>
      </c>
      <c r="Q246" s="1">
        <f ca="1">IFERROR(__xludf.DUMMYFUNCTION("""COMPUTED_VALUE"""),762)</f>
        <v>762</v>
      </c>
      <c r="R246" s="1">
        <f ca="1">IFERROR(__xludf.DUMMYFUNCTION("""COMPUTED_VALUE"""),1693)</f>
        <v>1693</v>
      </c>
      <c r="S246" s="1">
        <f ca="1">IFERROR(__xludf.DUMMYFUNCTION("""COMPUTED_VALUE"""),0.45)</f>
        <v>0.45</v>
      </c>
      <c r="T246" s="1">
        <f ca="1">IFERROR(__xludf.DUMMYFUNCTION("""COMPUTED_VALUE"""),264)</f>
        <v>264</v>
      </c>
      <c r="U246" s="1">
        <f ca="1">IFERROR(__xludf.DUMMYFUNCTION("""COMPUTED_VALUE"""),732)</f>
        <v>732</v>
      </c>
      <c r="V246" s="1">
        <f ca="1">IFERROR(__xludf.DUMMYFUNCTION("""COMPUTED_VALUE"""),0.361)</f>
        <v>0.36099999999999999</v>
      </c>
      <c r="W246" s="1">
        <f ca="1">IFERROR(__xludf.DUMMYFUNCTION("""COMPUTED_VALUE"""),468)</f>
        <v>468</v>
      </c>
      <c r="X246" s="1">
        <f ca="1">IFERROR(__xludf.DUMMYFUNCTION("""COMPUTED_VALUE"""),646)</f>
        <v>646</v>
      </c>
      <c r="Y246" s="1">
        <f ca="1">IFERROR(__xludf.DUMMYFUNCTION("""COMPUTED_VALUE"""),0.724)</f>
        <v>0.72399999999999998</v>
      </c>
      <c r="Z246" s="1">
        <f ca="1">IFERROR(__xludf.DUMMYFUNCTION("""COMPUTED_VALUE"""),272)</f>
        <v>272</v>
      </c>
      <c r="AA246" s="1">
        <f ca="1">IFERROR(__xludf.DUMMYFUNCTION("""COMPUTED_VALUE"""),1022)</f>
        <v>1022</v>
      </c>
      <c r="AB246" s="1">
        <f ca="1">IFERROR(__xludf.DUMMYFUNCTION("""COMPUTED_VALUE"""),436)</f>
        <v>436</v>
      </c>
      <c r="AC246" s="1">
        <f ca="1">IFERROR(__xludf.DUMMYFUNCTION("""COMPUTED_VALUE"""),175)</f>
        <v>175</v>
      </c>
      <c r="AD246" s="1">
        <f ca="1">IFERROR(__xludf.DUMMYFUNCTION("""COMPUTED_VALUE"""),90)</f>
        <v>90</v>
      </c>
      <c r="AE246" s="1">
        <f ca="1">IFERROR(__xludf.DUMMYFUNCTION("""COMPUTED_VALUE"""),330)</f>
        <v>330</v>
      </c>
      <c r="AF246" s="1">
        <f ca="1">IFERROR(__xludf.DUMMYFUNCTION("""COMPUTED_VALUE"""),568)</f>
        <v>568</v>
      </c>
    </row>
    <row r="247" spans="1:32" ht="12.5" x14ac:dyDescent="0.25">
      <c r="A247" s="1" t="str">
        <f ca="1">IFERROR(__xludf.DUMMYFUNCTION("""COMPUTED_VALUE"""),"Northern Kentucky")</f>
        <v>Northern Kentucky</v>
      </c>
      <c r="B247" s="1">
        <f ca="1">IFERROR(__xludf.DUMMYFUNCTION("""COMPUTED_VALUE"""),30)</f>
        <v>30</v>
      </c>
      <c r="C247" s="1">
        <f ca="1">IFERROR(__xludf.DUMMYFUNCTION("""COMPUTED_VALUE"""),9)</f>
        <v>9</v>
      </c>
      <c r="D247" s="1">
        <f ca="1">IFERROR(__xludf.DUMMYFUNCTION("""COMPUTED_VALUE"""),21)</f>
        <v>21</v>
      </c>
      <c r="E247" s="1">
        <f ca="1">IFERROR(__xludf.DUMMYFUNCTION("""COMPUTED_VALUE"""),0.3)</f>
        <v>0.3</v>
      </c>
      <c r="F247" s="1">
        <f ca="1">IFERROR(__xludf.DUMMYFUNCTION("""COMPUTED_VALUE"""),-10.53)</f>
        <v>-10.53</v>
      </c>
      <c r="G247" s="1">
        <f ca="1">IFERROR(__xludf.DUMMYFUNCTION("""COMPUTED_VALUE"""),-4.97)</f>
        <v>-4.97</v>
      </c>
      <c r="H247" s="1">
        <f ca="1">IFERROR(__xludf.DUMMYFUNCTION("""COMPUTED_VALUE"""),5)</f>
        <v>5</v>
      </c>
      <c r="I247" s="1">
        <f ca="1">IFERROR(__xludf.DUMMYFUNCTION("""COMPUTED_VALUE"""),13)</f>
        <v>13</v>
      </c>
      <c r="J247" s="1">
        <f ca="1">IFERROR(__xludf.DUMMYFUNCTION("""COMPUTED_VALUE"""),7)</f>
        <v>7</v>
      </c>
      <c r="K247" s="1">
        <f ca="1">IFERROR(__xludf.DUMMYFUNCTION("""COMPUTED_VALUE"""),7)</f>
        <v>7</v>
      </c>
      <c r="L247" s="1">
        <f ca="1">IFERROR(__xludf.DUMMYFUNCTION("""COMPUTED_VALUE"""),2)</f>
        <v>2</v>
      </c>
      <c r="M247" s="1">
        <f ca="1">IFERROR(__xludf.DUMMYFUNCTION("""COMPUTED_VALUE"""),12)</f>
        <v>12</v>
      </c>
      <c r="N247" s="1">
        <f ca="1">IFERROR(__xludf.DUMMYFUNCTION("""COMPUTED_VALUE"""),2044)</f>
        <v>2044</v>
      </c>
      <c r="O247" s="1">
        <f ca="1">IFERROR(__xludf.DUMMYFUNCTION("""COMPUTED_VALUE"""),2211)</f>
        <v>2211</v>
      </c>
      <c r="P247" s="1">
        <f ca="1">IFERROR(__xludf.DUMMYFUNCTION("""COMPUTED_VALUE"""),1215)</f>
        <v>1215</v>
      </c>
      <c r="Q247" s="1">
        <f ca="1">IFERROR(__xludf.DUMMYFUNCTION("""COMPUTED_VALUE"""),704)</f>
        <v>704</v>
      </c>
      <c r="R247" s="1">
        <f ca="1">IFERROR(__xludf.DUMMYFUNCTION("""COMPUTED_VALUE"""),1618)</f>
        <v>1618</v>
      </c>
      <c r="S247" s="1">
        <f ca="1">IFERROR(__xludf.DUMMYFUNCTION("""COMPUTED_VALUE"""),0.435)</f>
        <v>0.435</v>
      </c>
      <c r="T247" s="1">
        <f ca="1">IFERROR(__xludf.DUMMYFUNCTION("""COMPUTED_VALUE"""),228)</f>
        <v>228</v>
      </c>
      <c r="U247" s="1">
        <f ca="1">IFERROR(__xludf.DUMMYFUNCTION("""COMPUTED_VALUE"""),654)</f>
        <v>654</v>
      </c>
      <c r="V247" s="1">
        <f ca="1">IFERROR(__xludf.DUMMYFUNCTION("""COMPUTED_VALUE"""),0.349)</f>
        <v>0.34899999999999998</v>
      </c>
      <c r="W247" s="1">
        <f ca="1">IFERROR(__xludf.DUMMYFUNCTION("""COMPUTED_VALUE"""),408)</f>
        <v>408</v>
      </c>
      <c r="X247" s="1">
        <f ca="1">IFERROR(__xludf.DUMMYFUNCTION("""COMPUTED_VALUE"""),578)</f>
        <v>578</v>
      </c>
      <c r="Y247" s="1">
        <f ca="1">IFERROR(__xludf.DUMMYFUNCTION("""COMPUTED_VALUE"""),0.706)</f>
        <v>0.70599999999999996</v>
      </c>
      <c r="Z247" s="1">
        <f ca="1">IFERROR(__xludf.DUMMYFUNCTION("""COMPUTED_VALUE"""),286)</f>
        <v>286</v>
      </c>
      <c r="AA247" s="1">
        <f ca="1">IFERROR(__xludf.DUMMYFUNCTION("""COMPUTED_VALUE"""),940)</f>
        <v>940</v>
      </c>
      <c r="AB247" s="1">
        <f ca="1">IFERROR(__xludf.DUMMYFUNCTION("""COMPUTED_VALUE"""),334)</f>
        <v>334</v>
      </c>
      <c r="AC247" s="1">
        <f ca="1">IFERROR(__xludf.DUMMYFUNCTION("""COMPUTED_VALUE"""),163)</f>
        <v>163</v>
      </c>
      <c r="AD247" s="1">
        <f ca="1">IFERROR(__xludf.DUMMYFUNCTION("""COMPUTED_VALUE"""),89)</f>
        <v>89</v>
      </c>
      <c r="AE247" s="1">
        <f ca="1">IFERROR(__xludf.DUMMYFUNCTION("""COMPUTED_VALUE"""),348)</f>
        <v>348</v>
      </c>
      <c r="AF247" s="1">
        <f ca="1">IFERROR(__xludf.DUMMYFUNCTION("""COMPUTED_VALUE"""),624)</f>
        <v>624</v>
      </c>
    </row>
    <row r="248" spans="1:32" ht="12.5" x14ac:dyDescent="0.25">
      <c r="A248" s="1" t="str">
        <f ca="1">IFERROR(__xludf.DUMMYFUNCTION("""COMPUTED_VALUE"""),"Northwestern State")</f>
        <v>Northwestern State</v>
      </c>
      <c r="B248" s="1">
        <f ca="1">IFERROR(__xludf.DUMMYFUNCTION("""COMPUTED_VALUE"""),31)</f>
        <v>31</v>
      </c>
      <c r="C248" s="1">
        <f ca="1">IFERROR(__xludf.DUMMYFUNCTION("""COMPUTED_VALUE"""),17)</f>
        <v>17</v>
      </c>
      <c r="D248" s="1">
        <f ca="1">IFERROR(__xludf.DUMMYFUNCTION("""COMPUTED_VALUE"""),14)</f>
        <v>14</v>
      </c>
      <c r="E248" s="1">
        <f ca="1">IFERROR(__xludf.DUMMYFUNCTION("""COMPUTED_VALUE"""),0.548)</f>
        <v>0.54800000000000004</v>
      </c>
      <c r="F248" s="1">
        <f ca="1">IFERROR(__xludf.DUMMYFUNCTION("""COMPUTED_VALUE"""),-3.59)</f>
        <v>-3.59</v>
      </c>
      <c r="G248" s="1">
        <f ca="1">IFERROR(__xludf.DUMMYFUNCTION("""COMPUTED_VALUE"""),-4.66)</f>
        <v>-4.66</v>
      </c>
      <c r="H248" s="1">
        <f ca="1">IFERROR(__xludf.DUMMYFUNCTION("""COMPUTED_VALUE"""),12)</f>
        <v>12</v>
      </c>
      <c r="I248" s="1">
        <f ca="1">IFERROR(__xludf.DUMMYFUNCTION("""COMPUTED_VALUE"""),6)</f>
        <v>6</v>
      </c>
      <c r="J248" s="1">
        <f ca="1">IFERROR(__xludf.DUMMYFUNCTION("""COMPUTED_VALUE"""),10)</f>
        <v>10</v>
      </c>
      <c r="K248" s="1">
        <f ca="1">IFERROR(__xludf.DUMMYFUNCTION("""COMPUTED_VALUE"""),3)</f>
        <v>3</v>
      </c>
      <c r="L248" s="1">
        <f ca="1">IFERROR(__xludf.DUMMYFUNCTION("""COMPUTED_VALUE"""),6)</f>
        <v>6</v>
      </c>
      <c r="M248" s="1">
        <f ca="1">IFERROR(__xludf.DUMMYFUNCTION("""COMPUTED_VALUE"""),10)</f>
        <v>10</v>
      </c>
      <c r="N248" s="1">
        <f ca="1">IFERROR(__xludf.DUMMYFUNCTION("""COMPUTED_VALUE"""),2686)</f>
        <v>2686</v>
      </c>
      <c r="O248" s="1">
        <f ca="1">IFERROR(__xludf.DUMMYFUNCTION("""COMPUTED_VALUE"""),2599)</f>
        <v>2599</v>
      </c>
      <c r="P248" s="1">
        <f ca="1">IFERROR(__xludf.DUMMYFUNCTION("""COMPUTED_VALUE"""),1260)</f>
        <v>1260</v>
      </c>
      <c r="Q248" s="1">
        <f ca="1">IFERROR(__xludf.DUMMYFUNCTION("""COMPUTED_VALUE"""),958)</f>
        <v>958</v>
      </c>
      <c r="R248" s="1">
        <f ca="1">IFERROR(__xludf.DUMMYFUNCTION("""COMPUTED_VALUE"""),2037)</f>
        <v>2037</v>
      </c>
      <c r="S248" s="1">
        <f ca="1">IFERROR(__xludf.DUMMYFUNCTION("""COMPUTED_VALUE"""),0.47)</f>
        <v>0.47</v>
      </c>
      <c r="T248" s="1">
        <f ca="1">IFERROR(__xludf.DUMMYFUNCTION("""COMPUTED_VALUE"""),176)</f>
        <v>176</v>
      </c>
      <c r="U248" s="1">
        <f ca="1">IFERROR(__xludf.DUMMYFUNCTION("""COMPUTED_VALUE"""),527)</f>
        <v>527</v>
      </c>
      <c r="V248" s="1">
        <f ca="1">IFERROR(__xludf.DUMMYFUNCTION("""COMPUTED_VALUE"""),0.334)</f>
        <v>0.33400000000000002</v>
      </c>
      <c r="W248" s="1">
        <f ca="1">IFERROR(__xludf.DUMMYFUNCTION("""COMPUTED_VALUE"""),594)</f>
        <v>594</v>
      </c>
      <c r="X248" s="1">
        <f ca="1">IFERROR(__xludf.DUMMYFUNCTION("""COMPUTED_VALUE"""),802)</f>
        <v>802</v>
      </c>
      <c r="Y248" s="1">
        <f ca="1">IFERROR(__xludf.DUMMYFUNCTION("""COMPUTED_VALUE"""),0.741)</f>
        <v>0.74099999999999999</v>
      </c>
      <c r="Z248" s="1">
        <f ca="1">IFERROR(__xludf.DUMMYFUNCTION("""COMPUTED_VALUE"""),394)</f>
        <v>394</v>
      </c>
      <c r="AA248" s="1">
        <f ca="1">IFERROR(__xludf.DUMMYFUNCTION("""COMPUTED_VALUE"""),1182)</f>
        <v>1182</v>
      </c>
      <c r="AB248" s="1">
        <f ca="1">IFERROR(__xludf.DUMMYFUNCTION("""COMPUTED_VALUE"""),513)</f>
        <v>513</v>
      </c>
      <c r="AC248" s="1">
        <f ca="1">IFERROR(__xludf.DUMMYFUNCTION("""COMPUTED_VALUE"""),270)</f>
        <v>270</v>
      </c>
      <c r="AD248" s="1">
        <f ca="1">IFERROR(__xludf.DUMMYFUNCTION("""COMPUTED_VALUE"""),165)</f>
        <v>165</v>
      </c>
      <c r="AE248" s="1">
        <f ca="1">IFERROR(__xludf.DUMMYFUNCTION("""COMPUTED_VALUE"""),420)</f>
        <v>420</v>
      </c>
      <c r="AF248" s="1">
        <f ca="1">IFERROR(__xludf.DUMMYFUNCTION("""COMPUTED_VALUE"""),635)</f>
        <v>635</v>
      </c>
    </row>
    <row r="249" spans="1:32" ht="12.5" x14ac:dyDescent="0.25">
      <c r="A249" s="1" t="str">
        <f ca="1">IFERROR(__xludf.DUMMYFUNCTION("""COMPUTED_VALUE"""),"Northwestern")</f>
        <v>Northwestern</v>
      </c>
      <c r="B249" s="1">
        <f ca="1">IFERROR(__xludf.DUMMYFUNCTION("""COMPUTED_VALUE"""),33)</f>
        <v>33</v>
      </c>
      <c r="C249" s="1">
        <f ca="1">IFERROR(__xludf.DUMMYFUNCTION("""COMPUTED_VALUE"""),14)</f>
        <v>14</v>
      </c>
      <c r="D249" s="1">
        <f ca="1">IFERROR(__xludf.DUMMYFUNCTION("""COMPUTED_VALUE"""),19)</f>
        <v>19</v>
      </c>
      <c r="E249" s="1">
        <f ca="1">IFERROR(__xludf.DUMMYFUNCTION("""COMPUTED_VALUE"""),0.424)</f>
        <v>0.42399999999999999</v>
      </c>
      <c r="F249" s="1">
        <f ca="1">IFERROR(__xludf.DUMMYFUNCTION("""COMPUTED_VALUE"""),4.72)</f>
        <v>4.72</v>
      </c>
      <c r="G249" s="1">
        <f ca="1">IFERROR(__xludf.DUMMYFUNCTION("""COMPUTED_VALUE"""),8.57)</f>
        <v>8.57</v>
      </c>
      <c r="H249" s="1">
        <f ca="1">IFERROR(__xludf.DUMMYFUNCTION("""COMPUTED_VALUE"""),6)</f>
        <v>6</v>
      </c>
      <c r="I249" s="1">
        <f ca="1">IFERROR(__xludf.DUMMYFUNCTION("""COMPUTED_VALUE"""),12)</f>
        <v>12</v>
      </c>
      <c r="J249" s="1">
        <f ca="1">IFERROR(__xludf.DUMMYFUNCTION("""COMPUTED_VALUE"""),8)</f>
        <v>8</v>
      </c>
      <c r="K249" s="1">
        <f ca="1">IFERROR(__xludf.DUMMYFUNCTION("""COMPUTED_VALUE"""),9)</f>
        <v>9</v>
      </c>
      <c r="L249" s="1">
        <f ca="1">IFERROR(__xludf.DUMMYFUNCTION("""COMPUTED_VALUE"""),5)</f>
        <v>5</v>
      </c>
      <c r="M249" s="1">
        <f ca="1">IFERROR(__xludf.DUMMYFUNCTION("""COMPUTED_VALUE"""),7)</f>
        <v>7</v>
      </c>
      <c r="N249" s="1">
        <f ca="1">IFERROR(__xludf.DUMMYFUNCTION("""COMPUTED_VALUE"""),1964)</f>
        <v>1964</v>
      </c>
      <c r="O249" s="1">
        <f ca="1">IFERROR(__xludf.DUMMYFUNCTION("""COMPUTED_VALUE"""),2091)</f>
        <v>2091</v>
      </c>
      <c r="P249" s="1">
        <f ca="1">IFERROR(__xludf.DUMMYFUNCTION("""COMPUTED_VALUE"""),1330)</f>
        <v>1330</v>
      </c>
      <c r="Q249" s="1">
        <f ca="1">IFERROR(__xludf.DUMMYFUNCTION("""COMPUTED_VALUE"""),665)</f>
        <v>665</v>
      </c>
      <c r="R249" s="1">
        <f ca="1">IFERROR(__xludf.DUMMYFUNCTION("""COMPUTED_VALUE"""),1679)</f>
        <v>1679</v>
      </c>
      <c r="S249" s="1">
        <f ca="1">IFERROR(__xludf.DUMMYFUNCTION("""COMPUTED_VALUE"""),0.396)</f>
        <v>0.39600000000000002</v>
      </c>
      <c r="T249" s="1">
        <f ca="1">IFERROR(__xludf.DUMMYFUNCTION("""COMPUTED_VALUE"""),217)</f>
        <v>217</v>
      </c>
      <c r="U249" s="1">
        <f ca="1">IFERROR(__xludf.DUMMYFUNCTION("""COMPUTED_VALUE"""),708)</f>
        <v>708</v>
      </c>
      <c r="V249" s="1">
        <f ca="1">IFERROR(__xludf.DUMMYFUNCTION("""COMPUTED_VALUE"""),0.306)</f>
        <v>0.30599999999999999</v>
      </c>
      <c r="W249" s="1">
        <f ca="1">IFERROR(__xludf.DUMMYFUNCTION("""COMPUTED_VALUE"""),417)</f>
        <v>417</v>
      </c>
      <c r="X249" s="1">
        <f ca="1">IFERROR(__xludf.DUMMYFUNCTION("""COMPUTED_VALUE"""),596)</f>
        <v>596</v>
      </c>
      <c r="Y249" s="1">
        <f ca="1">IFERROR(__xludf.DUMMYFUNCTION("""COMPUTED_VALUE"""),0.7)</f>
        <v>0.7</v>
      </c>
      <c r="Z249" s="1">
        <f ca="1">IFERROR(__xludf.DUMMYFUNCTION("""COMPUTED_VALUE"""),249)</f>
        <v>249</v>
      </c>
      <c r="AA249" s="1">
        <f ca="1">IFERROR(__xludf.DUMMYFUNCTION("""COMPUTED_VALUE"""),1074)</f>
        <v>1074</v>
      </c>
      <c r="AB249" s="1">
        <f ca="1">IFERROR(__xludf.DUMMYFUNCTION("""COMPUTED_VALUE"""),364)</f>
        <v>364</v>
      </c>
      <c r="AC249" s="1">
        <f ca="1">IFERROR(__xludf.DUMMYFUNCTION("""COMPUTED_VALUE"""),142)</f>
        <v>142</v>
      </c>
      <c r="AD249" s="1">
        <f ca="1">IFERROR(__xludf.DUMMYFUNCTION("""COMPUTED_VALUE"""),121)</f>
        <v>121</v>
      </c>
      <c r="AE249" s="1">
        <f ca="1">IFERROR(__xludf.DUMMYFUNCTION("""COMPUTED_VALUE"""),360)</f>
        <v>360</v>
      </c>
      <c r="AF249" s="1">
        <f ca="1">IFERROR(__xludf.DUMMYFUNCTION("""COMPUTED_VALUE"""),609)</f>
        <v>609</v>
      </c>
    </row>
    <row r="250" spans="1:32" ht="12.5" x14ac:dyDescent="0.25">
      <c r="A250" s="1" t="str">
        <f ca="1">IFERROR(__xludf.DUMMYFUNCTION("""COMPUTED_VALUE"""),"Notre Dame")</f>
        <v>Notre Dame</v>
      </c>
      <c r="B250" s="1">
        <f ca="1">IFERROR(__xludf.DUMMYFUNCTION("""COMPUTED_VALUE"""),32)</f>
        <v>32</v>
      </c>
      <c r="C250" s="1">
        <f ca="1">IFERROR(__xludf.DUMMYFUNCTION("""COMPUTED_VALUE"""),15)</f>
        <v>15</v>
      </c>
      <c r="D250" s="1">
        <f ca="1">IFERROR(__xludf.DUMMYFUNCTION("""COMPUTED_VALUE"""),17)</f>
        <v>17</v>
      </c>
      <c r="E250" s="1">
        <f ca="1">IFERROR(__xludf.DUMMYFUNCTION("""COMPUTED_VALUE"""),0.469)</f>
        <v>0.46899999999999997</v>
      </c>
      <c r="F250" s="1">
        <f ca="1">IFERROR(__xludf.DUMMYFUNCTION("""COMPUTED_VALUE"""),8.19)</f>
        <v>8.19</v>
      </c>
      <c r="G250" s="1">
        <f ca="1">IFERROR(__xludf.DUMMYFUNCTION("""COMPUTED_VALUE"""),6.78)</f>
        <v>6.78</v>
      </c>
      <c r="H250" s="1">
        <f ca="1">IFERROR(__xludf.DUMMYFUNCTION("""COMPUTED_VALUE"""),6)</f>
        <v>6</v>
      </c>
      <c r="I250" s="1">
        <f ca="1">IFERROR(__xludf.DUMMYFUNCTION("""COMPUTED_VALUE"""),12)</f>
        <v>12</v>
      </c>
      <c r="J250" s="1">
        <f ca="1">IFERROR(__xludf.DUMMYFUNCTION("""COMPUTED_VALUE"""),13)</f>
        <v>13</v>
      </c>
      <c r="K250" s="1">
        <f ca="1">IFERROR(__xludf.DUMMYFUNCTION("""COMPUTED_VALUE"""),6)</f>
        <v>6</v>
      </c>
      <c r="L250" s="1">
        <f ca="1">IFERROR(__xludf.DUMMYFUNCTION("""COMPUTED_VALUE"""),1)</f>
        <v>1</v>
      </c>
      <c r="M250" s="1">
        <f ca="1">IFERROR(__xludf.DUMMYFUNCTION("""COMPUTED_VALUE"""),9)</f>
        <v>9</v>
      </c>
      <c r="N250" s="1">
        <f ca="1">IFERROR(__xludf.DUMMYFUNCTION("""COMPUTED_VALUE"""),2303)</f>
        <v>2303</v>
      </c>
      <c r="O250" s="1">
        <f ca="1">IFERROR(__xludf.DUMMYFUNCTION("""COMPUTED_VALUE"""),2258)</f>
        <v>2258</v>
      </c>
      <c r="P250" s="1">
        <f ca="1">IFERROR(__xludf.DUMMYFUNCTION("""COMPUTED_VALUE"""),1305)</f>
        <v>1305</v>
      </c>
      <c r="Q250" s="1">
        <f ca="1">IFERROR(__xludf.DUMMYFUNCTION("""COMPUTED_VALUE"""),839)</f>
        <v>839</v>
      </c>
      <c r="R250" s="1">
        <f ca="1">IFERROR(__xludf.DUMMYFUNCTION("""COMPUTED_VALUE"""),1842)</f>
        <v>1842</v>
      </c>
      <c r="S250" s="1">
        <f ca="1">IFERROR(__xludf.DUMMYFUNCTION("""COMPUTED_VALUE"""),0.455)</f>
        <v>0.45500000000000002</v>
      </c>
      <c r="T250" s="1">
        <f ca="1">IFERROR(__xludf.DUMMYFUNCTION("""COMPUTED_VALUE"""),228)</f>
        <v>228</v>
      </c>
      <c r="U250" s="1">
        <f ca="1">IFERROR(__xludf.DUMMYFUNCTION("""COMPUTED_VALUE"""),637)</f>
        <v>637</v>
      </c>
      <c r="V250" s="1">
        <f ca="1">IFERROR(__xludf.DUMMYFUNCTION("""COMPUTED_VALUE"""),0.358)</f>
        <v>0.35799999999999998</v>
      </c>
      <c r="W250" s="1">
        <f ca="1">IFERROR(__xludf.DUMMYFUNCTION("""COMPUTED_VALUE"""),397)</f>
        <v>397</v>
      </c>
      <c r="X250" s="1">
        <f ca="1">IFERROR(__xludf.DUMMYFUNCTION("""COMPUTED_VALUE"""),553)</f>
        <v>553</v>
      </c>
      <c r="Y250" s="1">
        <f ca="1">IFERROR(__xludf.DUMMYFUNCTION("""COMPUTED_VALUE"""),0.718)</f>
        <v>0.71799999999999997</v>
      </c>
      <c r="Z250" s="1">
        <f ca="1">IFERROR(__xludf.DUMMYFUNCTION("""COMPUTED_VALUE"""),344)</f>
        <v>344</v>
      </c>
      <c r="AA250" s="1">
        <f ca="1">IFERROR(__xludf.DUMMYFUNCTION("""COMPUTED_VALUE"""),1081)</f>
        <v>1081</v>
      </c>
      <c r="AB250" s="1">
        <f ca="1">IFERROR(__xludf.DUMMYFUNCTION("""COMPUTED_VALUE"""),484)</f>
        <v>484</v>
      </c>
      <c r="AC250" s="1">
        <f ca="1">IFERROR(__xludf.DUMMYFUNCTION("""COMPUTED_VALUE"""),187)</f>
        <v>187</v>
      </c>
      <c r="AD250" s="1">
        <f ca="1">IFERROR(__xludf.DUMMYFUNCTION("""COMPUTED_VALUE"""),97)</f>
        <v>97</v>
      </c>
      <c r="AE250" s="1">
        <f ca="1">IFERROR(__xludf.DUMMYFUNCTION("""COMPUTED_VALUE"""),331)</f>
        <v>331</v>
      </c>
      <c r="AF250" s="1">
        <f ca="1">IFERROR(__xludf.DUMMYFUNCTION("""COMPUTED_VALUE"""),518)</f>
        <v>518</v>
      </c>
    </row>
    <row r="251" spans="1:32" ht="12.5" x14ac:dyDescent="0.25">
      <c r="A251" s="1" t="str">
        <f ca="1">IFERROR(__xludf.DUMMYFUNCTION("""COMPUTED_VALUE"""),"Oakland")</f>
        <v>Oakland</v>
      </c>
      <c r="B251" s="1">
        <f ca="1">IFERROR(__xludf.DUMMYFUNCTION("""COMPUTED_VALUE"""),33)</f>
        <v>33</v>
      </c>
      <c r="C251" s="1">
        <f ca="1">IFERROR(__xludf.DUMMYFUNCTION("""COMPUTED_VALUE"""),13)</f>
        <v>13</v>
      </c>
      <c r="D251" s="1">
        <f ca="1">IFERROR(__xludf.DUMMYFUNCTION("""COMPUTED_VALUE"""),20)</f>
        <v>20</v>
      </c>
      <c r="E251" s="1">
        <f ca="1">IFERROR(__xludf.DUMMYFUNCTION("""COMPUTED_VALUE"""),0.394)</f>
        <v>0.39400000000000002</v>
      </c>
      <c r="F251" s="1">
        <f ca="1">IFERROR(__xludf.DUMMYFUNCTION("""COMPUTED_VALUE"""),-2.23)</f>
        <v>-2.23</v>
      </c>
      <c r="G251" s="1">
        <f ca="1">IFERROR(__xludf.DUMMYFUNCTION("""COMPUTED_VALUE"""),2.78)</f>
        <v>2.78</v>
      </c>
      <c r="H251" s="1">
        <f ca="1">IFERROR(__xludf.DUMMYFUNCTION("""COMPUTED_VALUE"""),7)</f>
        <v>7</v>
      </c>
      <c r="I251" s="1">
        <f ca="1">IFERROR(__xludf.DUMMYFUNCTION("""COMPUTED_VALUE"""),9)</f>
        <v>9</v>
      </c>
      <c r="J251" s="1">
        <f ca="1">IFERROR(__xludf.DUMMYFUNCTION("""COMPUTED_VALUE"""),10)</f>
        <v>10</v>
      </c>
      <c r="K251" s="1">
        <f ca="1">IFERROR(__xludf.DUMMYFUNCTION("""COMPUTED_VALUE"""),5)</f>
        <v>5</v>
      </c>
      <c r="L251" s="1">
        <f ca="1">IFERROR(__xludf.DUMMYFUNCTION("""COMPUTED_VALUE"""),3)</f>
        <v>3</v>
      </c>
      <c r="M251" s="1">
        <f ca="1">IFERROR(__xludf.DUMMYFUNCTION("""COMPUTED_VALUE"""),11)</f>
        <v>11</v>
      </c>
      <c r="N251" s="1">
        <f ca="1">IFERROR(__xludf.DUMMYFUNCTION("""COMPUTED_VALUE"""),2455)</f>
        <v>2455</v>
      </c>
      <c r="O251" s="1">
        <f ca="1">IFERROR(__xludf.DUMMYFUNCTION("""COMPUTED_VALUE"""),2554)</f>
        <v>2554</v>
      </c>
      <c r="P251" s="1">
        <f ca="1">IFERROR(__xludf.DUMMYFUNCTION("""COMPUTED_VALUE"""),1334)</f>
        <v>1334</v>
      </c>
      <c r="Q251" s="1">
        <f ca="1">IFERROR(__xludf.DUMMYFUNCTION("""COMPUTED_VALUE"""),821)</f>
        <v>821</v>
      </c>
      <c r="R251" s="1">
        <f ca="1">IFERROR(__xludf.DUMMYFUNCTION("""COMPUTED_VALUE"""),1890)</f>
        <v>1890</v>
      </c>
      <c r="S251" s="1">
        <f ca="1">IFERROR(__xludf.DUMMYFUNCTION("""COMPUTED_VALUE"""),0.434)</f>
        <v>0.434</v>
      </c>
      <c r="T251" s="1">
        <f ca="1">IFERROR(__xludf.DUMMYFUNCTION("""COMPUTED_VALUE"""),279)</f>
        <v>279</v>
      </c>
      <c r="U251" s="1">
        <f ca="1">IFERROR(__xludf.DUMMYFUNCTION("""COMPUTED_VALUE"""),754)</f>
        <v>754</v>
      </c>
      <c r="V251" s="1">
        <f ca="1">IFERROR(__xludf.DUMMYFUNCTION("""COMPUTED_VALUE"""),0.37)</f>
        <v>0.37</v>
      </c>
      <c r="W251" s="1">
        <f ca="1">IFERROR(__xludf.DUMMYFUNCTION("""COMPUTED_VALUE"""),534)</f>
        <v>534</v>
      </c>
      <c r="X251" s="1">
        <f ca="1">IFERROR(__xludf.DUMMYFUNCTION("""COMPUTED_VALUE"""),732)</f>
        <v>732</v>
      </c>
      <c r="Y251" s="1">
        <f ca="1">IFERROR(__xludf.DUMMYFUNCTION("""COMPUTED_VALUE"""),0.73)</f>
        <v>0.73</v>
      </c>
      <c r="Z251" s="1">
        <f ca="1">IFERROR(__xludf.DUMMYFUNCTION("""COMPUTED_VALUE"""),298)</f>
        <v>298</v>
      </c>
      <c r="AA251" s="1">
        <f ca="1">IFERROR(__xludf.DUMMYFUNCTION("""COMPUTED_VALUE"""),1025)</f>
        <v>1025</v>
      </c>
      <c r="AB251" s="1">
        <f ca="1">IFERROR(__xludf.DUMMYFUNCTION("""COMPUTED_VALUE"""),522)</f>
        <v>522</v>
      </c>
      <c r="AC251" s="1">
        <f ca="1">IFERROR(__xludf.DUMMYFUNCTION("""COMPUTED_VALUE"""),229)</f>
        <v>229</v>
      </c>
      <c r="AD251" s="1">
        <f ca="1">IFERROR(__xludf.DUMMYFUNCTION("""COMPUTED_VALUE"""),61)</f>
        <v>61</v>
      </c>
      <c r="AE251" s="1">
        <f ca="1">IFERROR(__xludf.DUMMYFUNCTION("""COMPUTED_VALUE"""),367)</f>
        <v>367</v>
      </c>
      <c r="AF251" s="1">
        <f ca="1">IFERROR(__xludf.DUMMYFUNCTION("""COMPUTED_VALUE"""),658)</f>
        <v>658</v>
      </c>
    </row>
    <row r="252" spans="1:32" ht="12.5" x14ac:dyDescent="0.25">
      <c r="A252" s="1" t="str">
        <f ca="1">IFERROR(__xludf.DUMMYFUNCTION("""COMPUTED_VALUE"""),"Ohio StateNCAA")</f>
        <v>Ohio StateNCAA</v>
      </c>
      <c r="B252" s="1">
        <f ca="1">IFERROR(__xludf.DUMMYFUNCTION("""COMPUTED_VALUE"""),35)</f>
        <v>35</v>
      </c>
      <c r="C252" s="1">
        <f ca="1">IFERROR(__xludf.DUMMYFUNCTION("""COMPUTED_VALUE"""),25)</f>
        <v>25</v>
      </c>
      <c r="D252" s="1">
        <f ca="1">IFERROR(__xludf.DUMMYFUNCTION("""COMPUTED_VALUE"""),10)</f>
        <v>10</v>
      </c>
      <c r="E252" s="1">
        <f ca="1">IFERROR(__xludf.DUMMYFUNCTION("""COMPUTED_VALUE"""),0.714)</f>
        <v>0.71399999999999997</v>
      </c>
      <c r="F252" s="1">
        <f ca="1">IFERROR(__xludf.DUMMYFUNCTION("""COMPUTED_VALUE"""),17.84)</f>
        <v>17.84</v>
      </c>
      <c r="G252" s="1">
        <f ca="1">IFERROR(__xludf.DUMMYFUNCTION("""COMPUTED_VALUE"""),8.12)</f>
        <v>8.1199999999999992</v>
      </c>
      <c r="H252" s="1">
        <f ca="1">IFERROR(__xludf.DUMMYFUNCTION("""COMPUTED_VALUE"""),10)</f>
        <v>10</v>
      </c>
      <c r="I252" s="1">
        <f ca="1">IFERROR(__xludf.DUMMYFUNCTION("""COMPUTED_VALUE"""),8)</f>
        <v>8</v>
      </c>
      <c r="J252" s="1">
        <f ca="1">IFERROR(__xludf.DUMMYFUNCTION("""COMPUTED_VALUE"""),17)</f>
        <v>17</v>
      </c>
      <c r="K252" s="1">
        <f ca="1">IFERROR(__xludf.DUMMYFUNCTION("""COMPUTED_VALUE"""),3)</f>
        <v>3</v>
      </c>
      <c r="L252" s="1">
        <f ca="1">IFERROR(__xludf.DUMMYFUNCTION("""COMPUTED_VALUE"""),5)</f>
        <v>5</v>
      </c>
      <c r="M252" s="1">
        <f ca="1">IFERROR(__xludf.DUMMYFUNCTION("""COMPUTED_VALUE"""),5)</f>
        <v>5</v>
      </c>
      <c r="N252" s="1">
        <f ca="1">IFERROR(__xludf.DUMMYFUNCTION("""COMPUTED_VALUE"""),2432)</f>
        <v>2432</v>
      </c>
      <c r="O252" s="1">
        <f ca="1">IFERROR(__xludf.DUMMYFUNCTION("""COMPUTED_VALUE"""),2092)</f>
        <v>2092</v>
      </c>
      <c r="P252" s="1">
        <f ca="1">IFERROR(__xludf.DUMMYFUNCTION("""COMPUTED_VALUE"""),1410)</f>
        <v>1410</v>
      </c>
      <c r="Q252" s="1">
        <f ca="1">IFERROR(__xludf.DUMMYFUNCTION("""COMPUTED_VALUE"""),843)</f>
        <v>843</v>
      </c>
      <c r="R252" s="1">
        <f ca="1">IFERROR(__xludf.DUMMYFUNCTION("""COMPUTED_VALUE"""),1875)</f>
        <v>1875</v>
      </c>
      <c r="S252" s="1">
        <f ca="1">IFERROR(__xludf.DUMMYFUNCTION("""COMPUTED_VALUE"""),0.45)</f>
        <v>0.45</v>
      </c>
      <c r="T252" s="1">
        <f ca="1">IFERROR(__xludf.DUMMYFUNCTION("""COMPUTED_VALUE"""),200)</f>
        <v>200</v>
      </c>
      <c r="U252" s="1">
        <f ca="1">IFERROR(__xludf.DUMMYFUNCTION("""COMPUTED_VALUE"""),617)</f>
        <v>617</v>
      </c>
      <c r="V252" s="1">
        <f ca="1">IFERROR(__xludf.DUMMYFUNCTION("""COMPUTED_VALUE"""),0.324)</f>
        <v>0.32400000000000001</v>
      </c>
      <c r="W252" s="1">
        <f ca="1">IFERROR(__xludf.DUMMYFUNCTION("""COMPUTED_VALUE"""),546)</f>
        <v>546</v>
      </c>
      <c r="X252" s="1">
        <f ca="1">IFERROR(__xludf.DUMMYFUNCTION("""COMPUTED_VALUE"""),793)</f>
        <v>793</v>
      </c>
      <c r="Y252" s="1">
        <f ca="1">IFERROR(__xludf.DUMMYFUNCTION("""COMPUTED_VALUE"""),0.689)</f>
        <v>0.68899999999999995</v>
      </c>
      <c r="Z252" s="1">
        <f ca="1">IFERROR(__xludf.DUMMYFUNCTION("""COMPUTED_VALUE"""),346)</f>
        <v>346</v>
      </c>
      <c r="AA252" s="1">
        <f ca="1">IFERROR(__xludf.DUMMYFUNCTION("""COMPUTED_VALUE"""),1187)</f>
        <v>1187</v>
      </c>
      <c r="AB252" s="1">
        <f ca="1">IFERROR(__xludf.DUMMYFUNCTION("""COMPUTED_VALUE"""),421)</f>
        <v>421</v>
      </c>
      <c r="AC252" s="1">
        <f ca="1">IFERROR(__xludf.DUMMYFUNCTION("""COMPUTED_VALUE"""),270)</f>
        <v>270</v>
      </c>
      <c r="AD252" s="1">
        <f ca="1">IFERROR(__xludf.DUMMYFUNCTION("""COMPUTED_VALUE"""),157)</f>
        <v>157</v>
      </c>
      <c r="AE252" s="1">
        <f ca="1">IFERROR(__xludf.DUMMYFUNCTION("""COMPUTED_VALUE"""),394)</f>
        <v>394</v>
      </c>
      <c r="AF252" s="1">
        <f ca="1">IFERROR(__xludf.DUMMYFUNCTION("""COMPUTED_VALUE"""),577)</f>
        <v>577</v>
      </c>
    </row>
    <row r="253" spans="1:32" ht="12.5" x14ac:dyDescent="0.25">
      <c r="A253" s="1" t="str">
        <f ca="1">IFERROR(__xludf.DUMMYFUNCTION("""COMPUTED_VALUE"""),"Ohio")</f>
        <v>Ohio</v>
      </c>
      <c r="B253" s="1">
        <f ca="1">IFERROR(__xludf.DUMMYFUNCTION("""COMPUTED_VALUE"""),37)</f>
        <v>37</v>
      </c>
      <c r="C253" s="1">
        <f ca="1">IFERROR(__xludf.DUMMYFUNCTION("""COMPUTED_VALUE"""),25)</f>
        <v>25</v>
      </c>
      <c r="D253" s="1">
        <f ca="1">IFERROR(__xludf.DUMMYFUNCTION("""COMPUTED_VALUE"""),12)</f>
        <v>12</v>
      </c>
      <c r="E253" s="1">
        <f ca="1">IFERROR(__xludf.DUMMYFUNCTION("""COMPUTED_VALUE"""),0.676)</f>
        <v>0.67600000000000005</v>
      </c>
      <c r="F253" s="1">
        <f ca="1">IFERROR(__xludf.DUMMYFUNCTION("""COMPUTED_VALUE"""),2.7)</f>
        <v>2.7</v>
      </c>
      <c r="G253" s="1">
        <f ca="1">IFERROR(__xludf.DUMMYFUNCTION("""COMPUTED_VALUE"""),-1.17)</f>
        <v>-1.17</v>
      </c>
      <c r="H253" s="1">
        <f ca="1">IFERROR(__xludf.DUMMYFUNCTION("""COMPUTED_VALUE"""),11)</f>
        <v>11</v>
      </c>
      <c r="I253" s="1">
        <f ca="1">IFERROR(__xludf.DUMMYFUNCTION("""COMPUTED_VALUE"""),7)</f>
        <v>7</v>
      </c>
      <c r="J253" s="1">
        <f ca="1">IFERROR(__xludf.DUMMYFUNCTION("""COMPUTED_VALUE"""),14)</f>
        <v>14</v>
      </c>
      <c r="K253" s="1">
        <f ca="1">IFERROR(__xludf.DUMMYFUNCTION("""COMPUTED_VALUE"""),7)</f>
        <v>7</v>
      </c>
      <c r="L253" s="1">
        <f ca="1">IFERROR(__xludf.DUMMYFUNCTION("""COMPUTED_VALUE"""),10)</f>
        <v>10</v>
      </c>
      <c r="M253" s="1">
        <f ca="1">IFERROR(__xludf.DUMMYFUNCTION("""COMPUTED_VALUE"""),4)</f>
        <v>4</v>
      </c>
      <c r="N253" s="1">
        <f ca="1">IFERROR(__xludf.DUMMYFUNCTION("""COMPUTED_VALUE"""),2647)</f>
        <v>2647</v>
      </c>
      <c r="O253" s="1">
        <f ca="1">IFERROR(__xludf.DUMMYFUNCTION("""COMPUTED_VALUE"""),2480)</f>
        <v>2480</v>
      </c>
      <c r="P253" s="1">
        <f ca="1">IFERROR(__xludf.DUMMYFUNCTION("""COMPUTED_VALUE"""),1465)</f>
        <v>1465</v>
      </c>
      <c r="Q253" s="1">
        <f ca="1">IFERROR(__xludf.DUMMYFUNCTION("""COMPUTED_VALUE"""),905)</f>
        <v>905</v>
      </c>
      <c r="R253" s="1">
        <f ca="1">IFERROR(__xludf.DUMMYFUNCTION("""COMPUTED_VALUE"""),1978)</f>
        <v>1978</v>
      </c>
      <c r="S253" s="1">
        <f ca="1">IFERROR(__xludf.DUMMYFUNCTION("""COMPUTED_VALUE"""),0.458)</f>
        <v>0.45800000000000002</v>
      </c>
      <c r="T253" s="1">
        <f ca="1">IFERROR(__xludf.DUMMYFUNCTION("""COMPUTED_VALUE"""),265)</f>
        <v>265</v>
      </c>
      <c r="U253" s="1">
        <f ca="1">IFERROR(__xludf.DUMMYFUNCTION("""COMPUTED_VALUE"""),754)</f>
        <v>754</v>
      </c>
      <c r="V253" s="1">
        <f ca="1">IFERROR(__xludf.DUMMYFUNCTION("""COMPUTED_VALUE"""),0.351)</f>
        <v>0.35099999999999998</v>
      </c>
      <c r="W253" s="1">
        <f ca="1">IFERROR(__xludf.DUMMYFUNCTION("""COMPUTED_VALUE"""),487)</f>
        <v>487</v>
      </c>
      <c r="X253" s="1">
        <f ca="1">IFERROR(__xludf.DUMMYFUNCTION("""COMPUTED_VALUE"""),679)</f>
        <v>679</v>
      </c>
      <c r="Y253" s="1">
        <f ca="1">IFERROR(__xludf.DUMMYFUNCTION("""COMPUTED_VALUE"""),0.717)</f>
        <v>0.71699999999999997</v>
      </c>
      <c r="Z253" s="1">
        <f ca="1">IFERROR(__xludf.DUMMYFUNCTION("""COMPUTED_VALUE"""),351)</f>
        <v>351</v>
      </c>
      <c r="AA253" s="1">
        <f ca="1">IFERROR(__xludf.DUMMYFUNCTION("""COMPUTED_VALUE"""),1252)</f>
        <v>1252</v>
      </c>
      <c r="AB253" s="1">
        <f ca="1">IFERROR(__xludf.DUMMYFUNCTION("""COMPUTED_VALUE"""),532)</f>
        <v>532</v>
      </c>
      <c r="AC253" s="1">
        <f ca="1">IFERROR(__xludf.DUMMYFUNCTION("""COMPUTED_VALUE"""),232)</f>
        <v>232</v>
      </c>
      <c r="AD253" s="1">
        <f ca="1">IFERROR(__xludf.DUMMYFUNCTION("""COMPUTED_VALUE"""),151)</f>
        <v>151</v>
      </c>
      <c r="AE253" s="1">
        <f ca="1">IFERROR(__xludf.DUMMYFUNCTION("""COMPUTED_VALUE"""),475)</f>
        <v>475</v>
      </c>
      <c r="AF253" s="1">
        <f ca="1">IFERROR(__xludf.DUMMYFUNCTION("""COMPUTED_VALUE"""),688)</f>
        <v>688</v>
      </c>
    </row>
    <row r="254" spans="1:32" ht="12.5" x14ac:dyDescent="0.25">
      <c r="A254" s="1" t="str">
        <f ca="1">IFERROR(__xludf.DUMMYFUNCTION("""COMPUTED_VALUE"""),"Oklahoma StateNCAA")</f>
        <v>Oklahoma StateNCAA</v>
      </c>
      <c r="B254" s="1">
        <f ca="1">IFERROR(__xludf.DUMMYFUNCTION("""COMPUTED_VALUE"""),34)</f>
        <v>34</v>
      </c>
      <c r="C254" s="1">
        <f ca="1">IFERROR(__xludf.DUMMYFUNCTION("""COMPUTED_VALUE"""),21)</f>
        <v>21</v>
      </c>
      <c r="D254" s="1">
        <f ca="1">IFERROR(__xludf.DUMMYFUNCTION("""COMPUTED_VALUE"""),13)</f>
        <v>13</v>
      </c>
      <c r="E254" s="1">
        <f ca="1">IFERROR(__xludf.DUMMYFUNCTION("""COMPUTED_VALUE"""),0.618)</f>
        <v>0.61799999999999999</v>
      </c>
      <c r="F254" s="1">
        <f ca="1">IFERROR(__xludf.DUMMYFUNCTION("""COMPUTED_VALUE"""),19.02)</f>
        <v>19.02</v>
      </c>
      <c r="G254" s="1">
        <f ca="1">IFERROR(__xludf.DUMMYFUNCTION("""COMPUTED_VALUE"""),8.34)</f>
        <v>8.34</v>
      </c>
      <c r="H254" s="1">
        <f ca="1">IFERROR(__xludf.DUMMYFUNCTION("""COMPUTED_VALUE"""),8)</f>
        <v>8</v>
      </c>
      <c r="I254" s="1">
        <f ca="1">IFERROR(__xludf.DUMMYFUNCTION("""COMPUTED_VALUE"""),10)</f>
        <v>10</v>
      </c>
      <c r="J254" s="1">
        <f ca="1">IFERROR(__xludf.DUMMYFUNCTION("""COMPUTED_VALUE"""),13)</f>
        <v>13</v>
      </c>
      <c r="K254" s="1">
        <f ca="1">IFERROR(__xludf.DUMMYFUNCTION("""COMPUTED_VALUE"""),3)</f>
        <v>3</v>
      </c>
      <c r="L254" s="1">
        <f ca="1">IFERROR(__xludf.DUMMYFUNCTION("""COMPUTED_VALUE"""),3)</f>
        <v>3</v>
      </c>
      <c r="M254" s="1">
        <f ca="1">IFERROR(__xludf.DUMMYFUNCTION("""COMPUTED_VALUE"""),7)</f>
        <v>7</v>
      </c>
      <c r="N254" s="1">
        <f ca="1">IFERROR(__xludf.DUMMYFUNCTION("""COMPUTED_VALUE"""),2728)</f>
        <v>2728</v>
      </c>
      <c r="O254" s="1">
        <f ca="1">IFERROR(__xludf.DUMMYFUNCTION("""COMPUTED_VALUE"""),2365)</f>
        <v>2365</v>
      </c>
      <c r="P254" s="1">
        <f ca="1">IFERROR(__xludf.DUMMYFUNCTION("""COMPUTED_VALUE"""),1391)</f>
        <v>1391</v>
      </c>
      <c r="Q254" s="1">
        <f ca="1">IFERROR(__xludf.DUMMYFUNCTION("""COMPUTED_VALUE"""),898)</f>
        <v>898</v>
      </c>
      <c r="R254" s="1">
        <f ca="1">IFERROR(__xludf.DUMMYFUNCTION("""COMPUTED_VALUE"""),1941)</f>
        <v>1941</v>
      </c>
      <c r="S254" s="1">
        <f ca="1">IFERROR(__xludf.DUMMYFUNCTION("""COMPUTED_VALUE"""),0.463)</f>
        <v>0.46300000000000002</v>
      </c>
      <c r="T254" s="1">
        <f ca="1">IFERROR(__xludf.DUMMYFUNCTION("""COMPUTED_VALUE"""),239)</f>
        <v>239</v>
      </c>
      <c r="U254" s="1">
        <f ca="1">IFERROR(__xludf.DUMMYFUNCTION("""COMPUTED_VALUE"""),656)</f>
        <v>656</v>
      </c>
      <c r="V254" s="1">
        <f ca="1">IFERROR(__xludf.DUMMYFUNCTION("""COMPUTED_VALUE"""),0.364)</f>
        <v>0.36399999999999999</v>
      </c>
      <c r="W254" s="1">
        <f ca="1">IFERROR(__xludf.DUMMYFUNCTION("""COMPUTED_VALUE"""),693)</f>
        <v>693</v>
      </c>
      <c r="X254" s="1">
        <f ca="1">IFERROR(__xludf.DUMMYFUNCTION("""COMPUTED_VALUE"""),964)</f>
        <v>964</v>
      </c>
      <c r="Y254" s="1">
        <f ca="1">IFERROR(__xludf.DUMMYFUNCTION("""COMPUTED_VALUE"""),0.719)</f>
        <v>0.71899999999999997</v>
      </c>
      <c r="Z254" s="1">
        <f ca="1">IFERROR(__xludf.DUMMYFUNCTION("""COMPUTED_VALUE"""),332)</f>
        <v>332</v>
      </c>
      <c r="AA254" s="1">
        <f ca="1">IFERROR(__xludf.DUMMYFUNCTION("""COMPUTED_VALUE"""),1203)</f>
        <v>1203</v>
      </c>
      <c r="AB254" s="1">
        <f ca="1">IFERROR(__xludf.DUMMYFUNCTION("""COMPUTED_VALUE"""),463)</f>
        <v>463</v>
      </c>
      <c r="AC254" s="1">
        <f ca="1">IFERROR(__xludf.DUMMYFUNCTION("""COMPUTED_VALUE"""),260)</f>
        <v>260</v>
      </c>
      <c r="AD254" s="1">
        <f ca="1">IFERROR(__xludf.DUMMYFUNCTION("""COMPUTED_VALUE"""),160)</f>
        <v>160</v>
      </c>
      <c r="AE254" s="1">
        <f ca="1">IFERROR(__xludf.DUMMYFUNCTION("""COMPUTED_VALUE"""),356)</f>
        <v>356</v>
      </c>
      <c r="AF254" s="1">
        <f ca="1">IFERROR(__xludf.DUMMYFUNCTION("""COMPUTED_VALUE"""),680)</f>
        <v>680</v>
      </c>
    </row>
    <row r="255" spans="1:32" ht="12.5" x14ac:dyDescent="0.25">
      <c r="A255" s="1" t="str">
        <f ca="1">IFERROR(__xludf.DUMMYFUNCTION("""COMPUTED_VALUE"""),"OklahomaNCAA")</f>
        <v>OklahomaNCAA</v>
      </c>
      <c r="B255" s="1">
        <f ca="1">IFERROR(__xludf.DUMMYFUNCTION("""COMPUTED_VALUE"""),33)</f>
        <v>33</v>
      </c>
      <c r="C255" s="1">
        <f ca="1">IFERROR(__xludf.DUMMYFUNCTION("""COMPUTED_VALUE"""),23)</f>
        <v>23</v>
      </c>
      <c r="D255" s="1">
        <f ca="1">IFERROR(__xludf.DUMMYFUNCTION("""COMPUTED_VALUE"""),10)</f>
        <v>10</v>
      </c>
      <c r="E255" s="1">
        <f ca="1">IFERROR(__xludf.DUMMYFUNCTION("""COMPUTED_VALUE"""),0.697)</f>
        <v>0.69699999999999995</v>
      </c>
      <c r="F255" s="1">
        <f ca="1">IFERROR(__xludf.DUMMYFUNCTION("""COMPUTED_VALUE"""),14.91)</f>
        <v>14.91</v>
      </c>
      <c r="G255" s="1">
        <f ca="1">IFERROR(__xludf.DUMMYFUNCTION("""COMPUTED_VALUE"""),8.97)</f>
        <v>8.9700000000000006</v>
      </c>
      <c r="H255" s="1">
        <f ca="1">IFERROR(__xludf.DUMMYFUNCTION("""COMPUTED_VALUE"""),12)</f>
        <v>12</v>
      </c>
      <c r="I255" s="1">
        <f ca="1">IFERROR(__xludf.DUMMYFUNCTION("""COMPUTED_VALUE"""),6)</f>
        <v>6</v>
      </c>
      <c r="J255" s="1">
        <f ca="1">IFERROR(__xludf.DUMMYFUNCTION("""COMPUTED_VALUE"""),14)</f>
        <v>14</v>
      </c>
      <c r="K255" s="1">
        <f ca="1">IFERROR(__xludf.DUMMYFUNCTION("""COMPUTED_VALUE"""),3)</f>
        <v>3</v>
      </c>
      <c r="L255" s="1">
        <f ca="1">IFERROR(__xludf.DUMMYFUNCTION("""COMPUTED_VALUE"""),5)</f>
        <v>5</v>
      </c>
      <c r="M255" s="1">
        <f ca="1">IFERROR(__xludf.DUMMYFUNCTION("""COMPUTED_VALUE"""),4)</f>
        <v>4</v>
      </c>
      <c r="N255" s="1">
        <f ca="1">IFERROR(__xludf.DUMMYFUNCTION("""COMPUTED_VALUE"""),2704)</f>
        <v>2704</v>
      </c>
      <c r="O255" s="1">
        <f ca="1">IFERROR(__xludf.DUMMYFUNCTION("""COMPUTED_VALUE"""),2508)</f>
        <v>2508</v>
      </c>
      <c r="P255" s="1">
        <f ca="1">IFERROR(__xludf.DUMMYFUNCTION("""COMPUTED_VALUE"""),1335)</f>
        <v>1335</v>
      </c>
      <c r="Q255" s="1">
        <f ca="1">IFERROR(__xludf.DUMMYFUNCTION("""COMPUTED_VALUE"""),909)</f>
        <v>909</v>
      </c>
      <c r="R255" s="1">
        <f ca="1">IFERROR(__xludf.DUMMYFUNCTION("""COMPUTED_VALUE"""),2034)</f>
        <v>2034</v>
      </c>
      <c r="S255" s="1">
        <f ca="1">IFERROR(__xludf.DUMMYFUNCTION("""COMPUTED_VALUE"""),0.447)</f>
        <v>0.44700000000000001</v>
      </c>
      <c r="T255" s="1">
        <f ca="1">IFERROR(__xludf.DUMMYFUNCTION("""COMPUTED_VALUE"""),285)</f>
        <v>285</v>
      </c>
      <c r="U255" s="1">
        <f ca="1">IFERROR(__xludf.DUMMYFUNCTION("""COMPUTED_VALUE"""),752)</f>
        <v>752</v>
      </c>
      <c r="V255" s="1">
        <f ca="1">IFERROR(__xludf.DUMMYFUNCTION("""COMPUTED_VALUE"""),0.379)</f>
        <v>0.379</v>
      </c>
      <c r="W255" s="1">
        <f ca="1">IFERROR(__xludf.DUMMYFUNCTION("""COMPUTED_VALUE"""),601)</f>
        <v>601</v>
      </c>
      <c r="X255" s="1">
        <f ca="1">IFERROR(__xludf.DUMMYFUNCTION("""COMPUTED_VALUE"""),802)</f>
        <v>802</v>
      </c>
      <c r="Y255" s="1">
        <f ca="1">IFERROR(__xludf.DUMMYFUNCTION("""COMPUTED_VALUE"""),0.749)</f>
        <v>0.749</v>
      </c>
      <c r="Z255" s="1">
        <f ca="1">IFERROR(__xludf.DUMMYFUNCTION("""COMPUTED_VALUE"""),398)</f>
        <v>398</v>
      </c>
      <c r="AA255" s="1">
        <f ca="1">IFERROR(__xludf.DUMMYFUNCTION("""COMPUTED_VALUE"""),1242)</f>
        <v>1242</v>
      </c>
      <c r="AB255" s="1">
        <f ca="1">IFERROR(__xludf.DUMMYFUNCTION("""COMPUTED_VALUE"""),483)</f>
        <v>483</v>
      </c>
      <c r="AC255" s="1">
        <f ca="1">IFERROR(__xludf.DUMMYFUNCTION("""COMPUTED_VALUE"""),224)</f>
        <v>224</v>
      </c>
      <c r="AD255" s="1">
        <f ca="1">IFERROR(__xludf.DUMMYFUNCTION("""COMPUTED_VALUE"""),108)</f>
        <v>108</v>
      </c>
      <c r="AE255" s="1">
        <f ca="1">IFERROR(__xludf.DUMMYFUNCTION("""COMPUTED_VALUE"""),376)</f>
        <v>376</v>
      </c>
      <c r="AF255" s="1">
        <f ca="1">IFERROR(__xludf.DUMMYFUNCTION("""COMPUTED_VALUE"""),625)</f>
        <v>625</v>
      </c>
    </row>
    <row r="256" spans="1:32" ht="12.5" x14ac:dyDescent="0.25">
      <c r="A256" s="1" t="str">
        <f ca="1">IFERROR(__xludf.DUMMYFUNCTION("""COMPUTED_VALUE"""),"Old Dominion")</f>
        <v>Old Dominion</v>
      </c>
      <c r="B256" s="1">
        <f ca="1">IFERROR(__xludf.DUMMYFUNCTION("""COMPUTED_VALUE"""),36)</f>
        <v>36</v>
      </c>
      <c r="C256" s="1">
        <f ca="1">IFERROR(__xludf.DUMMYFUNCTION("""COMPUTED_VALUE"""),18)</f>
        <v>18</v>
      </c>
      <c r="D256" s="1">
        <f ca="1">IFERROR(__xludf.DUMMYFUNCTION("""COMPUTED_VALUE"""),18)</f>
        <v>18</v>
      </c>
      <c r="E256" s="1">
        <f ca="1">IFERROR(__xludf.DUMMYFUNCTION("""COMPUTED_VALUE"""),0.5)</f>
        <v>0.5</v>
      </c>
      <c r="F256" s="1">
        <f ca="1">IFERROR(__xludf.DUMMYFUNCTION("""COMPUTED_VALUE"""),-1.12)</f>
        <v>-1.1200000000000001</v>
      </c>
      <c r="G256" s="1">
        <f ca="1">IFERROR(__xludf.DUMMYFUNCTION("""COMPUTED_VALUE"""),-0.81)</f>
        <v>-0.81</v>
      </c>
      <c r="H256" s="1">
        <f ca="1">IFERROR(__xludf.DUMMYFUNCTION("""COMPUTED_VALUE"""),9)</f>
        <v>9</v>
      </c>
      <c r="I256" s="1">
        <f ca="1">IFERROR(__xludf.DUMMYFUNCTION("""COMPUTED_VALUE"""),7)</f>
        <v>7</v>
      </c>
      <c r="J256" s="1">
        <f ca="1">IFERROR(__xludf.DUMMYFUNCTION("""COMPUTED_VALUE"""),12)</f>
        <v>12</v>
      </c>
      <c r="K256" s="1">
        <f ca="1">IFERROR(__xludf.DUMMYFUNCTION("""COMPUTED_VALUE"""),6)</f>
        <v>6</v>
      </c>
      <c r="L256" s="1">
        <f ca="1">IFERROR(__xludf.DUMMYFUNCTION("""COMPUTED_VALUE"""),5)</f>
        <v>5</v>
      </c>
      <c r="M256" s="1">
        <f ca="1">IFERROR(__xludf.DUMMYFUNCTION("""COMPUTED_VALUE"""),9)</f>
        <v>9</v>
      </c>
      <c r="N256" s="1">
        <f ca="1">IFERROR(__xludf.DUMMYFUNCTION("""COMPUTED_VALUE"""),2311)</f>
        <v>2311</v>
      </c>
      <c r="O256" s="1">
        <f ca="1">IFERROR(__xludf.DUMMYFUNCTION("""COMPUTED_VALUE"""),2322)</f>
        <v>2322</v>
      </c>
      <c r="P256" s="1">
        <f ca="1">IFERROR(__xludf.DUMMYFUNCTION("""COMPUTED_VALUE"""),1450)</f>
        <v>1450</v>
      </c>
      <c r="Q256" s="1">
        <f ca="1">IFERROR(__xludf.DUMMYFUNCTION("""COMPUTED_VALUE"""),825)</f>
        <v>825</v>
      </c>
      <c r="R256" s="1">
        <f ca="1">IFERROR(__xludf.DUMMYFUNCTION("""COMPUTED_VALUE"""),1927)</f>
        <v>1927</v>
      </c>
      <c r="S256" s="1">
        <f ca="1">IFERROR(__xludf.DUMMYFUNCTION("""COMPUTED_VALUE"""),0.428)</f>
        <v>0.42799999999999999</v>
      </c>
      <c r="T256" s="1">
        <f ca="1">IFERROR(__xludf.DUMMYFUNCTION("""COMPUTED_VALUE"""),190)</f>
        <v>190</v>
      </c>
      <c r="U256" s="1">
        <f ca="1">IFERROR(__xludf.DUMMYFUNCTION("""COMPUTED_VALUE"""),583)</f>
        <v>583</v>
      </c>
      <c r="V256" s="1">
        <f ca="1">IFERROR(__xludf.DUMMYFUNCTION("""COMPUTED_VALUE"""),0.326)</f>
        <v>0.32600000000000001</v>
      </c>
      <c r="W256" s="1">
        <f ca="1">IFERROR(__xludf.DUMMYFUNCTION("""COMPUTED_VALUE"""),471)</f>
        <v>471</v>
      </c>
      <c r="X256" s="1">
        <f ca="1">IFERROR(__xludf.DUMMYFUNCTION("""COMPUTED_VALUE"""),758)</f>
        <v>758</v>
      </c>
      <c r="Y256" s="1">
        <f ca="1">IFERROR(__xludf.DUMMYFUNCTION("""COMPUTED_VALUE"""),0.621)</f>
        <v>0.621</v>
      </c>
      <c r="Z256" s="1">
        <f ca="1">IFERROR(__xludf.DUMMYFUNCTION("""COMPUTED_VALUE"""),430)</f>
        <v>430</v>
      </c>
      <c r="AA256" s="1">
        <f ca="1">IFERROR(__xludf.DUMMYFUNCTION("""COMPUTED_VALUE"""),1282)</f>
        <v>1282</v>
      </c>
      <c r="AB256" s="1">
        <f ca="1">IFERROR(__xludf.DUMMYFUNCTION("""COMPUTED_VALUE"""),382)</f>
        <v>382</v>
      </c>
      <c r="AC256" s="1">
        <f ca="1">IFERROR(__xludf.DUMMYFUNCTION("""COMPUTED_VALUE"""),226)</f>
        <v>226</v>
      </c>
      <c r="AD256" s="1">
        <f ca="1">IFERROR(__xludf.DUMMYFUNCTION("""COMPUTED_VALUE"""),142)</f>
        <v>142</v>
      </c>
      <c r="AE256" s="1">
        <f ca="1">IFERROR(__xludf.DUMMYFUNCTION("""COMPUTED_VALUE"""),474)</f>
        <v>474</v>
      </c>
      <c r="AF256" s="1">
        <f ca="1">IFERROR(__xludf.DUMMYFUNCTION("""COMPUTED_VALUE"""),709)</f>
        <v>709</v>
      </c>
    </row>
    <row r="257" spans="1:32" ht="12.5" x14ac:dyDescent="0.25">
      <c r="A257" s="1" t="str">
        <f ca="1">IFERROR(__xludf.DUMMYFUNCTION("""COMPUTED_VALUE"""),"Oral Roberts")</f>
        <v>Oral Roberts</v>
      </c>
      <c r="B257" s="1">
        <f ca="1">IFERROR(__xludf.DUMMYFUNCTION("""COMPUTED_VALUE"""),33)</f>
        <v>33</v>
      </c>
      <c r="C257" s="1">
        <f ca="1">IFERROR(__xludf.DUMMYFUNCTION("""COMPUTED_VALUE"""),17)</f>
        <v>17</v>
      </c>
      <c r="D257" s="1">
        <f ca="1">IFERROR(__xludf.DUMMYFUNCTION("""COMPUTED_VALUE"""),16)</f>
        <v>16</v>
      </c>
      <c r="E257" s="1">
        <f ca="1">IFERROR(__xludf.DUMMYFUNCTION("""COMPUTED_VALUE"""),0.515)</f>
        <v>0.51500000000000001</v>
      </c>
      <c r="F257" s="1">
        <f ca="1">IFERROR(__xludf.DUMMYFUNCTION("""COMPUTED_VALUE"""),-2.94)</f>
        <v>-2.94</v>
      </c>
      <c r="G257" s="1">
        <f ca="1">IFERROR(__xludf.DUMMYFUNCTION("""COMPUTED_VALUE"""),-4.43)</f>
        <v>-4.43</v>
      </c>
      <c r="H257" s="1">
        <f ca="1">IFERROR(__xludf.DUMMYFUNCTION("""COMPUTED_VALUE"""),10)</f>
        <v>10</v>
      </c>
      <c r="I257" s="1">
        <f ca="1">IFERROR(__xludf.DUMMYFUNCTION("""COMPUTED_VALUE"""),8)</f>
        <v>8</v>
      </c>
      <c r="J257" s="1">
        <f ca="1">IFERROR(__xludf.DUMMYFUNCTION("""COMPUTED_VALUE"""),9)</f>
        <v>9</v>
      </c>
      <c r="K257" s="1">
        <f ca="1">IFERROR(__xludf.DUMMYFUNCTION("""COMPUTED_VALUE"""),4)</f>
        <v>4</v>
      </c>
      <c r="L257" s="1">
        <f ca="1">IFERROR(__xludf.DUMMYFUNCTION("""COMPUTED_VALUE"""),5)</f>
        <v>5</v>
      </c>
      <c r="M257" s="1">
        <f ca="1">IFERROR(__xludf.DUMMYFUNCTION("""COMPUTED_VALUE"""),11)</f>
        <v>11</v>
      </c>
      <c r="N257" s="1">
        <f ca="1">IFERROR(__xludf.DUMMYFUNCTION("""COMPUTED_VALUE"""),2357)</f>
        <v>2357</v>
      </c>
      <c r="O257" s="1">
        <f ca="1">IFERROR(__xludf.DUMMYFUNCTION("""COMPUTED_VALUE"""),2287)</f>
        <v>2287</v>
      </c>
      <c r="P257" s="1">
        <f ca="1">IFERROR(__xludf.DUMMYFUNCTION("""COMPUTED_VALUE"""),1330)</f>
        <v>1330</v>
      </c>
      <c r="Q257" s="1">
        <f ca="1">IFERROR(__xludf.DUMMYFUNCTION("""COMPUTED_VALUE"""),831)</f>
        <v>831</v>
      </c>
      <c r="R257" s="1">
        <f ca="1">IFERROR(__xludf.DUMMYFUNCTION("""COMPUTED_VALUE"""),1806)</f>
        <v>1806</v>
      </c>
      <c r="S257" s="1">
        <f ca="1">IFERROR(__xludf.DUMMYFUNCTION("""COMPUTED_VALUE"""),0.46)</f>
        <v>0.46</v>
      </c>
      <c r="T257" s="1">
        <f ca="1">IFERROR(__xludf.DUMMYFUNCTION("""COMPUTED_VALUE"""),157)</f>
        <v>157</v>
      </c>
      <c r="U257" s="1">
        <f ca="1">IFERROR(__xludf.DUMMYFUNCTION("""COMPUTED_VALUE"""),447)</f>
        <v>447</v>
      </c>
      <c r="V257" s="1">
        <f ca="1">IFERROR(__xludf.DUMMYFUNCTION("""COMPUTED_VALUE"""),0.351)</f>
        <v>0.35099999999999998</v>
      </c>
      <c r="W257" s="1">
        <f ca="1">IFERROR(__xludf.DUMMYFUNCTION("""COMPUTED_VALUE"""),538)</f>
        <v>538</v>
      </c>
      <c r="X257" s="1">
        <f ca="1">IFERROR(__xludf.DUMMYFUNCTION("""COMPUTED_VALUE"""),747)</f>
        <v>747</v>
      </c>
      <c r="Y257" s="1">
        <f ca="1">IFERROR(__xludf.DUMMYFUNCTION("""COMPUTED_VALUE"""),0.72)</f>
        <v>0.72</v>
      </c>
      <c r="Z257" s="1">
        <f ca="1">IFERROR(__xludf.DUMMYFUNCTION("""COMPUTED_VALUE"""),364)</f>
        <v>364</v>
      </c>
      <c r="AA257" s="1">
        <f ca="1">IFERROR(__xludf.DUMMYFUNCTION("""COMPUTED_VALUE"""),1168)</f>
        <v>1168</v>
      </c>
      <c r="AB257" s="1">
        <f ca="1">IFERROR(__xludf.DUMMYFUNCTION("""COMPUTED_VALUE"""),398)</f>
        <v>398</v>
      </c>
      <c r="AC257" s="1">
        <f ca="1">IFERROR(__xludf.DUMMYFUNCTION("""COMPUTED_VALUE"""),172)</f>
        <v>172</v>
      </c>
      <c r="AD257" s="1">
        <f ca="1">IFERROR(__xludf.DUMMYFUNCTION("""COMPUTED_VALUE"""),147)</f>
        <v>147</v>
      </c>
      <c r="AE257" s="1">
        <f ca="1">IFERROR(__xludf.DUMMYFUNCTION("""COMPUTED_VALUE"""),376)</f>
        <v>376</v>
      </c>
      <c r="AF257" s="1">
        <f ca="1">IFERROR(__xludf.DUMMYFUNCTION("""COMPUTED_VALUE"""),644)</f>
        <v>644</v>
      </c>
    </row>
    <row r="258" spans="1:32" ht="12.5" x14ac:dyDescent="0.25">
      <c r="A258" s="1" t="str">
        <f ca="1">IFERROR(__xludf.DUMMYFUNCTION("""COMPUTED_VALUE"""),"Oregon State")</f>
        <v>Oregon State</v>
      </c>
      <c r="B258" s="1">
        <f ca="1">IFERROR(__xludf.DUMMYFUNCTION("""COMPUTED_VALUE"""),32)</f>
        <v>32</v>
      </c>
      <c r="C258" s="1">
        <f ca="1">IFERROR(__xludf.DUMMYFUNCTION("""COMPUTED_VALUE"""),16)</f>
        <v>16</v>
      </c>
      <c r="D258" s="1">
        <f ca="1">IFERROR(__xludf.DUMMYFUNCTION("""COMPUTED_VALUE"""),16)</f>
        <v>16</v>
      </c>
      <c r="E258" s="1">
        <f ca="1">IFERROR(__xludf.DUMMYFUNCTION("""COMPUTED_VALUE"""),0.5)</f>
        <v>0.5</v>
      </c>
      <c r="F258" s="1">
        <f ca="1">IFERROR(__xludf.DUMMYFUNCTION("""COMPUTED_VALUE"""),6.03)</f>
        <v>6.03</v>
      </c>
      <c r="G258" s="1">
        <f ca="1">IFERROR(__xludf.DUMMYFUNCTION("""COMPUTED_VALUE"""),5.87)</f>
        <v>5.87</v>
      </c>
      <c r="H258" s="1">
        <f ca="1">IFERROR(__xludf.DUMMYFUNCTION("""COMPUTED_VALUE"""),8)</f>
        <v>8</v>
      </c>
      <c r="I258" s="1">
        <f ca="1">IFERROR(__xludf.DUMMYFUNCTION("""COMPUTED_VALUE"""),10)</f>
        <v>10</v>
      </c>
      <c r="J258" s="1">
        <f ca="1">IFERROR(__xludf.DUMMYFUNCTION("""COMPUTED_VALUE"""),12)</f>
        <v>12</v>
      </c>
      <c r="K258" s="1">
        <f ca="1">IFERROR(__xludf.DUMMYFUNCTION("""COMPUTED_VALUE"""),5)</f>
        <v>5</v>
      </c>
      <c r="L258" s="1">
        <f ca="1">IFERROR(__xludf.DUMMYFUNCTION("""COMPUTED_VALUE"""),3)</f>
        <v>3</v>
      </c>
      <c r="M258" s="1">
        <f ca="1">IFERROR(__xludf.DUMMYFUNCTION("""COMPUTED_VALUE"""),9)</f>
        <v>9</v>
      </c>
      <c r="N258" s="1">
        <f ca="1">IFERROR(__xludf.DUMMYFUNCTION("""COMPUTED_VALUE"""),2425)</f>
        <v>2425</v>
      </c>
      <c r="O258" s="1">
        <f ca="1">IFERROR(__xludf.DUMMYFUNCTION("""COMPUTED_VALUE"""),2420)</f>
        <v>2420</v>
      </c>
      <c r="P258" s="1">
        <f ca="1">IFERROR(__xludf.DUMMYFUNCTION("""COMPUTED_VALUE"""),1295)</f>
        <v>1295</v>
      </c>
      <c r="Q258" s="1">
        <f ca="1">IFERROR(__xludf.DUMMYFUNCTION("""COMPUTED_VALUE"""),825)</f>
        <v>825</v>
      </c>
      <c r="R258" s="1">
        <f ca="1">IFERROR(__xludf.DUMMYFUNCTION("""COMPUTED_VALUE"""),1689)</f>
        <v>1689</v>
      </c>
      <c r="S258" s="1">
        <f ca="1">IFERROR(__xludf.DUMMYFUNCTION("""COMPUTED_VALUE"""),0.488)</f>
        <v>0.48799999999999999</v>
      </c>
      <c r="T258" s="1">
        <f ca="1">IFERROR(__xludf.DUMMYFUNCTION("""COMPUTED_VALUE"""),177)</f>
        <v>177</v>
      </c>
      <c r="U258" s="1">
        <f ca="1">IFERROR(__xludf.DUMMYFUNCTION("""COMPUTED_VALUE"""),451)</f>
        <v>451</v>
      </c>
      <c r="V258" s="1">
        <f ca="1">IFERROR(__xludf.DUMMYFUNCTION("""COMPUTED_VALUE"""),0.392)</f>
        <v>0.39200000000000002</v>
      </c>
      <c r="W258" s="1">
        <f ca="1">IFERROR(__xludf.DUMMYFUNCTION("""COMPUTED_VALUE"""),598)</f>
        <v>598</v>
      </c>
      <c r="X258" s="1">
        <f ca="1">IFERROR(__xludf.DUMMYFUNCTION("""COMPUTED_VALUE"""),860)</f>
        <v>860</v>
      </c>
      <c r="Y258" s="1">
        <f ca="1">IFERROR(__xludf.DUMMYFUNCTION("""COMPUTED_VALUE"""),0.695)</f>
        <v>0.69499999999999995</v>
      </c>
      <c r="Z258" s="1">
        <f ca="1">IFERROR(__xludf.DUMMYFUNCTION("""COMPUTED_VALUE"""),312)</f>
        <v>312</v>
      </c>
      <c r="AA258" s="1">
        <f ca="1">IFERROR(__xludf.DUMMYFUNCTION("""COMPUTED_VALUE"""),1097)</f>
        <v>1097</v>
      </c>
      <c r="AB258" s="1">
        <f ca="1">IFERROR(__xludf.DUMMYFUNCTION("""COMPUTED_VALUE"""),430)</f>
        <v>430</v>
      </c>
      <c r="AC258" s="1">
        <f ca="1">IFERROR(__xludf.DUMMYFUNCTION("""COMPUTED_VALUE"""),155)</f>
        <v>155</v>
      </c>
      <c r="AD258" s="1">
        <f ca="1">IFERROR(__xludf.DUMMYFUNCTION("""COMPUTED_VALUE"""),152)</f>
        <v>152</v>
      </c>
      <c r="AE258" s="1">
        <f ca="1">IFERROR(__xludf.DUMMYFUNCTION("""COMPUTED_VALUE"""),432)</f>
        <v>432</v>
      </c>
      <c r="AF258" s="1">
        <f ca="1">IFERROR(__xludf.DUMMYFUNCTION("""COMPUTED_VALUE"""),607)</f>
        <v>607</v>
      </c>
    </row>
    <row r="259" spans="1:32" ht="12.5" x14ac:dyDescent="0.25">
      <c r="A259" s="1" t="str">
        <f ca="1">IFERROR(__xludf.DUMMYFUNCTION("""COMPUTED_VALUE"""),"OregonNCAA")</f>
        <v>OregonNCAA</v>
      </c>
      <c r="B259" s="1">
        <f ca="1">IFERROR(__xludf.DUMMYFUNCTION("""COMPUTED_VALUE"""),34)</f>
        <v>34</v>
      </c>
      <c r="C259" s="1">
        <f ca="1">IFERROR(__xludf.DUMMYFUNCTION("""COMPUTED_VALUE"""),24)</f>
        <v>24</v>
      </c>
      <c r="D259" s="1">
        <f ca="1">IFERROR(__xludf.DUMMYFUNCTION("""COMPUTED_VALUE"""),10)</f>
        <v>10</v>
      </c>
      <c r="E259" s="1">
        <f ca="1">IFERROR(__xludf.DUMMYFUNCTION("""COMPUTED_VALUE"""),0.706)</f>
        <v>0.70599999999999996</v>
      </c>
      <c r="F259" s="1">
        <f ca="1">IFERROR(__xludf.DUMMYFUNCTION("""COMPUTED_VALUE"""),15.75)</f>
        <v>15.75</v>
      </c>
      <c r="G259" s="1">
        <f ca="1">IFERROR(__xludf.DUMMYFUNCTION("""COMPUTED_VALUE"""),8.05)</f>
        <v>8.0500000000000007</v>
      </c>
      <c r="H259" s="1">
        <f ca="1">IFERROR(__xludf.DUMMYFUNCTION("""COMPUTED_VALUE"""),10)</f>
        <v>10</v>
      </c>
      <c r="I259" s="1">
        <f ca="1">IFERROR(__xludf.DUMMYFUNCTION("""COMPUTED_VALUE"""),8)</f>
        <v>8</v>
      </c>
      <c r="J259" s="1">
        <f ca="1">IFERROR(__xludf.DUMMYFUNCTION("""COMPUTED_VALUE"""),15)</f>
        <v>15</v>
      </c>
      <c r="K259" s="1">
        <f ca="1">IFERROR(__xludf.DUMMYFUNCTION("""COMPUTED_VALUE"""),3)</f>
        <v>3</v>
      </c>
      <c r="L259" s="1">
        <f ca="1">IFERROR(__xludf.DUMMYFUNCTION("""COMPUTED_VALUE"""),5)</f>
        <v>5</v>
      </c>
      <c r="M259" s="1">
        <f ca="1">IFERROR(__xludf.DUMMYFUNCTION("""COMPUTED_VALUE"""),5)</f>
        <v>5</v>
      </c>
      <c r="N259" s="1">
        <f ca="1">IFERROR(__xludf.DUMMYFUNCTION("""COMPUTED_VALUE"""),2783)</f>
        <v>2783</v>
      </c>
      <c r="O259" s="1">
        <f ca="1">IFERROR(__xludf.DUMMYFUNCTION("""COMPUTED_VALUE"""),2521)</f>
        <v>2521</v>
      </c>
      <c r="P259" s="1">
        <f ca="1">IFERROR(__xludf.DUMMYFUNCTION("""COMPUTED_VALUE"""),1385)</f>
        <v>1385</v>
      </c>
      <c r="Q259" s="1">
        <f ca="1">IFERROR(__xludf.DUMMYFUNCTION("""COMPUTED_VALUE"""),928)</f>
        <v>928</v>
      </c>
      <c r="R259" s="1">
        <f ca="1">IFERROR(__xludf.DUMMYFUNCTION("""COMPUTED_VALUE"""),1977)</f>
        <v>1977</v>
      </c>
      <c r="S259" s="1">
        <f ca="1">IFERROR(__xludf.DUMMYFUNCTION("""COMPUTED_VALUE"""),0.469)</f>
        <v>0.46899999999999997</v>
      </c>
      <c r="T259" s="1">
        <f ca="1">IFERROR(__xludf.DUMMYFUNCTION("""COMPUTED_VALUE"""),259)</f>
        <v>259</v>
      </c>
      <c r="U259" s="1">
        <f ca="1">IFERROR(__xludf.DUMMYFUNCTION("""COMPUTED_VALUE"""),666)</f>
        <v>666</v>
      </c>
      <c r="V259" s="1">
        <f ca="1">IFERROR(__xludf.DUMMYFUNCTION("""COMPUTED_VALUE"""),0.389)</f>
        <v>0.38900000000000001</v>
      </c>
      <c r="W259" s="1">
        <f ca="1">IFERROR(__xludf.DUMMYFUNCTION("""COMPUTED_VALUE"""),668)</f>
        <v>668</v>
      </c>
      <c r="X259" s="1">
        <f ca="1">IFERROR(__xludf.DUMMYFUNCTION("""COMPUTED_VALUE"""),865)</f>
        <v>865</v>
      </c>
      <c r="Y259" s="1">
        <f ca="1">IFERROR(__xludf.DUMMYFUNCTION("""COMPUTED_VALUE"""),0.772)</f>
        <v>0.77200000000000002</v>
      </c>
      <c r="Z259" s="1">
        <f ca="1">IFERROR(__xludf.DUMMYFUNCTION("""COMPUTED_VALUE"""),356)</f>
        <v>356</v>
      </c>
      <c r="AA259" s="1">
        <f ca="1">IFERROR(__xludf.DUMMYFUNCTION("""COMPUTED_VALUE"""),1159)</f>
        <v>1159</v>
      </c>
      <c r="AB259" s="1">
        <f ca="1">IFERROR(__xludf.DUMMYFUNCTION("""COMPUTED_VALUE"""),492)</f>
        <v>492</v>
      </c>
      <c r="AC259" s="1">
        <f ca="1">IFERROR(__xludf.DUMMYFUNCTION("""COMPUTED_VALUE"""),263)</f>
        <v>263</v>
      </c>
      <c r="AD259" s="1">
        <f ca="1">IFERROR(__xludf.DUMMYFUNCTION("""COMPUTED_VALUE"""),113)</f>
        <v>113</v>
      </c>
      <c r="AE259" s="1">
        <f ca="1">IFERROR(__xludf.DUMMYFUNCTION("""COMPUTED_VALUE"""),389)</f>
        <v>389</v>
      </c>
      <c r="AF259" s="1">
        <f ca="1">IFERROR(__xludf.DUMMYFUNCTION("""COMPUTED_VALUE"""),725)</f>
        <v>725</v>
      </c>
    </row>
    <row r="260" spans="1:32" ht="12.5" x14ac:dyDescent="0.25">
      <c r="A260" s="1" t="str">
        <f ca="1">IFERROR(__xludf.DUMMYFUNCTION("""COMPUTED_VALUE"""),"Pacific")</f>
        <v>Pacific</v>
      </c>
      <c r="B260" s="1">
        <f ca="1">IFERROR(__xludf.DUMMYFUNCTION("""COMPUTED_VALUE"""),34)</f>
        <v>34</v>
      </c>
      <c r="C260" s="1">
        <f ca="1">IFERROR(__xludf.DUMMYFUNCTION("""COMPUTED_VALUE"""),18)</f>
        <v>18</v>
      </c>
      <c r="D260" s="1">
        <f ca="1">IFERROR(__xludf.DUMMYFUNCTION("""COMPUTED_VALUE"""),16)</f>
        <v>16</v>
      </c>
      <c r="E260" s="1">
        <f ca="1">IFERROR(__xludf.DUMMYFUNCTION("""COMPUTED_VALUE"""),0.529)</f>
        <v>0.52900000000000003</v>
      </c>
      <c r="F260" s="1">
        <f ca="1">IFERROR(__xludf.DUMMYFUNCTION("""COMPUTED_VALUE"""),1.74)</f>
        <v>1.74</v>
      </c>
      <c r="G260" s="1">
        <f ca="1">IFERROR(__xludf.DUMMYFUNCTION("""COMPUTED_VALUE"""),3.25)</f>
        <v>3.25</v>
      </c>
      <c r="H260" s="1">
        <f ca="1">IFERROR(__xludf.DUMMYFUNCTION("""COMPUTED_VALUE"""),6)</f>
        <v>6</v>
      </c>
      <c r="I260" s="1">
        <f ca="1">IFERROR(__xludf.DUMMYFUNCTION("""COMPUTED_VALUE"""),12)</f>
        <v>12</v>
      </c>
      <c r="J260" s="1">
        <f ca="1">IFERROR(__xludf.DUMMYFUNCTION("""COMPUTED_VALUE"""),10)</f>
        <v>10</v>
      </c>
      <c r="K260" s="1">
        <f ca="1">IFERROR(__xludf.DUMMYFUNCTION("""COMPUTED_VALUE"""),5)</f>
        <v>5</v>
      </c>
      <c r="L260" s="1">
        <f ca="1">IFERROR(__xludf.DUMMYFUNCTION("""COMPUTED_VALUE"""),5)</f>
        <v>5</v>
      </c>
      <c r="M260" s="1">
        <f ca="1">IFERROR(__xludf.DUMMYFUNCTION("""COMPUTED_VALUE"""),9)</f>
        <v>9</v>
      </c>
      <c r="N260" s="1">
        <f ca="1">IFERROR(__xludf.DUMMYFUNCTION("""COMPUTED_VALUE"""),2484)</f>
        <v>2484</v>
      </c>
      <c r="O260" s="1">
        <f ca="1">IFERROR(__xludf.DUMMYFUNCTION("""COMPUTED_VALUE"""),2523)</f>
        <v>2523</v>
      </c>
      <c r="P260" s="1">
        <f ca="1">IFERROR(__xludf.DUMMYFUNCTION("""COMPUTED_VALUE"""),1365)</f>
        <v>1365</v>
      </c>
      <c r="Q260" s="1">
        <f ca="1">IFERROR(__xludf.DUMMYFUNCTION("""COMPUTED_VALUE"""),842)</f>
        <v>842</v>
      </c>
      <c r="R260" s="1">
        <f ca="1">IFERROR(__xludf.DUMMYFUNCTION("""COMPUTED_VALUE"""),1889)</f>
        <v>1889</v>
      </c>
      <c r="S260" s="1">
        <f ca="1">IFERROR(__xludf.DUMMYFUNCTION("""COMPUTED_VALUE"""),0.446)</f>
        <v>0.44600000000000001</v>
      </c>
      <c r="T260" s="1">
        <f ca="1">IFERROR(__xludf.DUMMYFUNCTION("""COMPUTED_VALUE"""),216)</f>
        <v>216</v>
      </c>
      <c r="U260" s="1">
        <f ca="1">IFERROR(__xludf.DUMMYFUNCTION("""COMPUTED_VALUE"""),600)</f>
        <v>600</v>
      </c>
      <c r="V260" s="1">
        <f ca="1">IFERROR(__xludf.DUMMYFUNCTION("""COMPUTED_VALUE"""),0.36)</f>
        <v>0.36</v>
      </c>
      <c r="W260" s="1">
        <f ca="1">IFERROR(__xludf.DUMMYFUNCTION("""COMPUTED_VALUE"""),584)</f>
        <v>584</v>
      </c>
      <c r="X260" s="1">
        <f ca="1">IFERROR(__xludf.DUMMYFUNCTION("""COMPUTED_VALUE"""),763)</f>
        <v>763</v>
      </c>
      <c r="Y260" s="1">
        <f ca="1">IFERROR(__xludf.DUMMYFUNCTION("""COMPUTED_VALUE"""),0.765)</f>
        <v>0.76500000000000001</v>
      </c>
      <c r="Z260" s="1">
        <f ca="1">IFERROR(__xludf.DUMMYFUNCTION("""COMPUTED_VALUE"""),375)</f>
        <v>375</v>
      </c>
      <c r="AA260" s="1">
        <f ca="1">IFERROR(__xludf.DUMMYFUNCTION("""COMPUTED_VALUE"""),1177)</f>
        <v>1177</v>
      </c>
      <c r="AB260" s="1">
        <f ca="1">IFERROR(__xludf.DUMMYFUNCTION("""COMPUTED_VALUE"""),423)</f>
        <v>423</v>
      </c>
      <c r="AC260" s="1">
        <f ca="1">IFERROR(__xludf.DUMMYFUNCTION("""COMPUTED_VALUE"""),173)</f>
        <v>173</v>
      </c>
      <c r="AD260" s="1">
        <f ca="1">IFERROR(__xludf.DUMMYFUNCTION("""COMPUTED_VALUE"""),61)</f>
        <v>61</v>
      </c>
      <c r="AE260" s="1">
        <f ca="1">IFERROR(__xludf.DUMMYFUNCTION("""COMPUTED_VALUE"""),415)</f>
        <v>415</v>
      </c>
      <c r="AF260" s="1">
        <f ca="1">IFERROR(__xludf.DUMMYFUNCTION("""COMPUTED_VALUE"""),767)</f>
        <v>767</v>
      </c>
    </row>
    <row r="261" spans="1:32" ht="12.5" x14ac:dyDescent="0.25">
      <c r="A261" s="1" t="str">
        <f ca="1">IFERROR(__xludf.DUMMYFUNCTION("""COMPUTED_VALUE"""),"Penn State")</f>
        <v>Penn State</v>
      </c>
      <c r="B261" s="1">
        <f ca="1">IFERROR(__xludf.DUMMYFUNCTION("""COMPUTED_VALUE"""),34)</f>
        <v>34</v>
      </c>
      <c r="C261" s="1">
        <f ca="1">IFERROR(__xludf.DUMMYFUNCTION("""COMPUTED_VALUE"""),16)</f>
        <v>16</v>
      </c>
      <c r="D261" s="1">
        <f ca="1">IFERROR(__xludf.DUMMYFUNCTION("""COMPUTED_VALUE"""),18)</f>
        <v>18</v>
      </c>
      <c r="E261" s="1">
        <f ca="1">IFERROR(__xludf.DUMMYFUNCTION("""COMPUTED_VALUE"""),0.471)</f>
        <v>0.47099999999999997</v>
      </c>
      <c r="F261" s="1">
        <f ca="1">IFERROR(__xludf.DUMMYFUNCTION("""COMPUTED_VALUE"""),7.68)</f>
        <v>7.68</v>
      </c>
      <c r="G261" s="1">
        <f ca="1">IFERROR(__xludf.DUMMYFUNCTION("""COMPUTED_VALUE"""),7.06)</f>
        <v>7.06</v>
      </c>
      <c r="H261" s="1">
        <f ca="1">IFERROR(__xludf.DUMMYFUNCTION("""COMPUTED_VALUE"""),6)</f>
        <v>6</v>
      </c>
      <c r="I261" s="1">
        <f ca="1">IFERROR(__xludf.DUMMYFUNCTION("""COMPUTED_VALUE"""),12)</f>
        <v>12</v>
      </c>
      <c r="J261" s="1">
        <f ca="1">IFERROR(__xludf.DUMMYFUNCTION("""COMPUTED_VALUE"""),10)</f>
        <v>10</v>
      </c>
      <c r="K261" s="1">
        <f ca="1">IFERROR(__xludf.DUMMYFUNCTION("""COMPUTED_VALUE"""),8)</f>
        <v>8</v>
      </c>
      <c r="L261" s="1">
        <f ca="1">IFERROR(__xludf.DUMMYFUNCTION("""COMPUTED_VALUE"""),4)</f>
        <v>4</v>
      </c>
      <c r="M261" s="1">
        <f ca="1">IFERROR(__xludf.DUMMYFUNCTION("""COMPUTED_VALUE"""),8)</f>
        <v>8</v>
      </c>
      <c r="N261" s="1">
        <f ca="1">IFERROR(__xludf.DUMMYFUNCTION("""COMPUTED_VALUE"""),2409)</f>
        <v>2409</v>
      </c>
      <c r="O261" s="1">
        <f ca="1">IFERROR(__xludf.DUMMYFUNCTION("""COMPUTED_VALUE"""),2388)</f>
        <v>2388</v>
      </c>
      <c r="P261" s="1">
        <f ca="1">IFERROR(__xludf.DUMMYFUNCTION("""COMPUTED_VALUE"""),1375)</f>
        <v>1375</v>
      </c>
      <c r="Q261" s="1">
        <f ca="1">IFERROR(__xludf.DUMMYFUNCTION("""COMPUTED_VALUE"""),820)</f>
        <v>820</v>
      </c>
      <c r="R261" s="1">
        <f ca="1">IFERROR(__xludf.DUMMYFUNCTION("""COMPUTED_VALUE"""),1915)</f>
        <v>1915</v>
      </c>
      <c r="S261" s="1">
        <f ca="1">IFERROR(__xludf.DUMMYFUNCTION("""COMPUTED_VALUE"""),0.428)</f>
        <v>0.42799999999999999</v>
      </c>
      <c r="T261" s="1">
        <f ca="1">IFERROR(__xludf.DUMMYFUNCTION("""COMPUTED_VALUE"""),210)</f>
        <v>210</v>
      </c>
      <c r="U261" s="1">
        <f ca="1">IFERROR(__xludf.DUMMYFUNCTION("""COMPUTED_VALUE"""),659)</f>
        <v>659</v>
      </c>
      <c r="V261" s="1">
        <f ca="1">IFERROR(__xludf.DUMMYFUNCTION("""COMPUTED_VALUE"""),0.319)</f>
        <v>0.31900000000000001</v>
      </c>
      <c r="W261" s="1">
        <f ca="1">IFERROR(__xludf.DUMMYFUNCTION("""COMPUTED_VALUE"""),559)</f>
        <v>559</v>
      </c>
      <c r="X261" s="1">
        <f ca="1">IFERROR(__xludf.DUMMYFUNCTION("""COMPUTED_VALUE"""),754)</f>
        <v>754</v>
      </c>
      <c r="Y261" s="1">
        <f ca="1">IFERROR(__xludf.DUMMYFUNCTION("""COMPUTED_VALUE"""),0.741)</f>
        <v>0.74099999999999999</v>
      </c>
      <c r="Z261" s="1">
        <f ca="1">IFERROR(__xludf.DUMMYFUNCTION("""COMPUTED_VALUE"""),357)</f>
        <v>357</v>
      </c>
      <c r="AA261" s="1">
        <f ca="1">IFERROR(__xludf.DUMMYFUNCTION("""COMPUTED_VALUE"""),1197)</f>
        <v>1197</v>
      </c>
      <c r="AB261" s="1">
        <f ca="1">IFERROR(__xludf.DUMMYFUNCTION("""COMPUTED_VALUE"""),384)</f>
        <v>384</v>
      </c>
      <c r="AC261" s="1">
        <f ca="1">IFERROR(__xludf.DUMMYFUNCTION("""COMPUTED_VALUE"""),154)</f>
        <v>154</v>
      </c>
      <c r="AD261" s="1">
        <f ca="1">IFERROR(__xludf.DUMMYFUNCTION("""COMPUTED_VALUE"""),159)</f>
        <v>159</v>
      </c>
      <c r="AE261" s="1">
        <f ca="1">IFERROR(__xludf.DUMMYFUNCTION("""COMPUTED_VALUE"""),361)</f>
        <v>361</v>
      </c>
      <c r="AF261" s="1">
        <f ca="1">IFERROR(__xludf.DUMMYFUNCTION("""COMPUTED_VALUE"""),711)</f>
        <v>711</v>
      </c>
    </row>
    <row r="262" spans="1:32" ht="12.5" x14ac:dyDescent="0.25">
      <c r="A262" s="1" t="str">
        <f ca="1">IFERROR(__xludf.DUMMYFUNCTION("""COMPUTED_VALUE"""),"Pennsylvania")</f>
        <v>Pennsylvania</v>
      </c>
      <c r="B262" s="1">
        <f ca="1">IFERROR(__xludf.DUMMYFUNCTION("""COMPUTED_VALUE"""),28)</f>
        <v>28</v>
      </c>
      <c r="C262" s="1">
        <f ca="1">IFERROR(__xludf.DUMMYFUNCTION("""COMPUTED_VALUE"""),8)</f>
        <v>8</v>
      </c>
      <c r="D262" s="1">
        <f ca="1">IFERROR(__xludf.DUMMYFUNCTION("""COMPUTED_VALUE"""),20)</f>
        <v>20</v>
      </c>
      <c r="E262" s="1">
        <f ca="1">IFERROR(__xludf.DUMMYFUNCTION("""COMPUTED_VALUE"""),0.286)</f>
        <v>0.28599999999999998</v>
      </c>
      <c r="F262" s="1">
        <f ca="1">IFERROR(__xludf.DUMMYFUNCTION("""COMPUTED_VALUE"""),-6.59)</f>
        <v>-6.59</v>
      </c>
      <c r="G262" s="1">
        <f ca="1">IFERROR(__xludf.DUMMYFUNCTION("""COMPUTED_VALUE"""),-0.01)</f>
        <v>-0.01</v>
      </c>
      <c r="H262" s="1">
        <f ca="1">IFERROR(__xludf.DUMMYFUNCTION("""COMPUTED_VALUE"""),5)</f>
        <v>5</v>
      </c>
      <c r="I262" s="1">
        <f ca="1">IFERROR(__xludf.DUMMYFUNCTION("""COMPUTED_VALUE"""),9)</f>
        <v>9</v>
      </c>
      <c r="J262" s="1">
        <f ca="1">IFERROR(__xludf.DUMMYFUNCTION("""COMPUTED_VALUE"""),6)</f>
        <v>6</v>
      </c>
      <c r="K262" s="1">
        <f ca="1">IFERROR(__xludf.DUMMYFUNCTION("""COMPUTED_VALUE"""),8)</f>
        <v>8</v>
      </c>
      <c r="L262" s="1">
        <f ca="1">IFERROR(__xludf.DUMMYFUNCTION("""COMPUTED_VALUE"""),2)</f>
        <v>2</v>
      </c>
      <c r="M262" s="1">
        <f ca="1">IFERROR(__xludf.DUMMYFUNCTION("""COMPUTED_VALUE"""),12)</f>
        <v>12</v>
      </c>
      <c r="N262" s="1">
        <f ca="1">IFERROR(__xludf.DUMMYFUNCTION("""COMPUTED_VALUE"""),1911)</f>
        <v>1911</v>
      </c>
      <c r="O262" s="1">
        <f ca="1">IFERROR(__xludf.DUMMYFUNCTION("""COMPUTED_VALUE"""),2095)</f>
        <v>2095</v>
      </c>
      <c r="P262" s="1">
        <f ca="1">IFERROR(__xludf.DUMMYFUNCTION("""COMPUTED_VALUE"""),1125)</f>
        <v>1125</v>
      </c>
      <c r="Q262" s="1">
        <f ca="1">IFERROR(__xludf.DUMMYFUNCTION("""COMPUTED_VALUE"""),684)</f>
        <v>684</v>
      </c>
      <c r="R262" s="1">
        <f ca="1">IFERROR(__xludf.DUMMYFUNCTION("""COMPUTED_VALUE"""),1517)</f>
        <v>1517</v>
      </c>
      <c r="S262" s="1">
        <f ca="1">IFERROR(__xludf.DUMMYFUNCTION("""COMPUTED_VALUE"""),0.451)</f>
        <v>0.45100000000000001</v>
      </c>
      <c r="T262" s="1">
        <f ca="1">IFERROR(__xludf.DUMMYFUNCTION("""COMPUTED_VALUE"""),140)</f>
        <v>140</v>
      </c>
      <c r="U262" s="1">
        <f ca="1">IFERROR(__xludf.DUMMYFUNCTION("""COMPUTED_VALUE"""),436)</f>
        <v>436</v>
      </c>
      <c r="V262" s="1">
        <f ca="1">IFERROR(__xludf.DUMMYFUNCTION("""COMPUTED_VALUE"""),0.321)</f>
        <v>0.32100000000000001</v>
      </c>
      <c r="W262" s="1">
        <f ca="1">IFERROR(__xludf.DUMMYFUNCTION("""COMPUTED_VALUE"""),403)</f>
        <v>403</v>
      </c>
      <c r="X262" s="1">
        <f ca="1">IFERROR(__xludf.DUMMYFUNCTION("""COMPUTED_VALUE"""),594)</f>
        <v>594</v>
      </c>
      <c r="Y262" s="1">
        <f ca="1">IFERROR(__xludf.DUMMYFUNCTION("""COMPUTED_VALUE"""),0.678)</f>
        <v>0.67800000000000005</v>
      </c>
      <c r="Z262" s="1">
        <f ca="1">IFERROR(__xludf.DUMMYFUNCTION("""COMPUTED_VALUE"""),268)</f>
        <v>268</v>
      </c>
      <c r="AA262" s="1">
        <f ca="1">IFERROR(__xludf.DUMMYFUNCTION("""COMPUTED_VALUE"""),939)</f>
        <v>939</v>
      </c>
      <c r="AB262" s="1">
        <f ca="1">IFERROR(__xludf.DUMMYFUNCTION("""COMPUTED_VALUE"""),408)</f>
        <v>408</v>
      </c>
      <c r="AC262" s="1">
        <f ca="1">IFERROR(__xludf.DUMMYFUNCTION("""COMPUTED_VALUE"""),163)</f>
        <v>163</v>
      </c>
      <c r="AD262" s="1">
        <f ca="1">IFERROR(__xludf.DUMMYFUNCTION("""COMPUTED_VALUE"""),97)</f>
        <v>97</v>
      </c>
      <c r="AE262" s="1">
        <f ca="1">IFERROR(__xludf.DUMMYFUNCTION("""COMPUTED_VALUE"""),452)</f>
        <v>452</v>
      </c>
      <c r="AF262" s="1">
        <f ca="1">IFERROR(__xludf.DUMMYFUNCTION("""COMPUTED_VALUE"""),633)</f>
        <v>633</v>
      </c>
    </row>
    <row r="263" spans="1:32" ht="12.5" x14ac:dyDescent="0.25">
      <c r="A263" s="1" t="str">
        <f ca="1">IFERROR(__xludf.DUMMYFUNCTION("""COMPUTED_VALUE"""),"Pepperdine")</f>
        <v>Pepperdine</v>
      </c>
      <c r="B263" s="1">
        <f ca="1">IFERROR(__xludf.DUMMYFUNCTION("""COMPUTED_VALUE"""),31)</f>
        <v>31</v>
      </c>
      <c r="C263" s="1">
        <f ca="1">IFERROR(__xludf.DUMMYFUNCTION("""COMPUTED_VALUE"""),15)</f>
        <v>15</v>
      </c>
      <c r="D263" s="1">
        <f ca="1">IFERROR(__xludf.DUMMYFUNCTION("""COMPUTED_VALUE"""),16)</f>
        <v>16</v>
      </c>
      <c r="E263" s="1">
        <f ca="1">IFERROR(__xludf.DUMMYFUNCTION("""COMPUTED_VALUE"""),0.484)</f>
        <v>0.48399999999999999</v>
      </c>
      <c r="F263" s="1">
        <f ca="1">IFERROR(__xludf.DUMMYFUNCTION("""COMPUTED_VALUE"""),0.8)</f>
        <v>0.8</v>
      </c>
      <c r="G263" s="1">
        <f ca="1">IFERROR(__xludf.DUMMYFUNCTION("""COMPUTED_VALUE"""),2.6)</f>
        <v>2.6</v>
      </c>
      <c r="H263" s="1">
        <f ca="1">IFERROR(__xludf.DUMMYFUNCTION("""COMPUTED_VALUE"""),8)</f>
        <v>8</v>
      </c>
      <c r="I263" s="1">
        <f ca="1">IFERROR(__xludf.DUMMYFUNCTION("""COMPUTED_VALUE"""),10)</f>
        <v>10</v>
      </c>
      <c r="J263" s="1">
        <f ca="1">IFERROR(__xludf.DUMMYFUNCTION("""COMPUTED_VALUE"""),8)</f>
        <v>8</v>
      </c>
      <c r="K263" s="1">
        <f ca="1">IFERROR(__xludf.DUMMYFUNCTION("""COMPUTED_VALUE"""),6)</f>
        <v>6</v>
      </c>
      <c r="L263" s="1">
        <f ca="1">IFERROR(__xludf.DUMMYFUNCTION("""COMPUTED_VALUE"""),6)</f>
        <v>6</v>
      </c>
      <c r="M263" s="1">
        <f ca="1">IFERROR(__xludf.DUMMYFUNCTION("""COMPUTED_VALUE"""),7)</f>
        <v>7</v>
      </c>
      <c r="N263" s="1">
        <f ca="1">IFERROR(__xludf.DUMMYFUNCTION("""COMPUTED_VALUE"""),2206)</f>
        <v>2206</v>
      </c>
      <c r="O263" s="1">
        <f ca="1">IFERROR(__xludf.DUMMYFUNCTION("""COMPUTED_VALUE"""),2247)</f>
        <v>2247</v>
      </c>
      <c r="P263" s="1">
        <f ca="1">IFERROR(__xludf.DUMMYFUNCTION("""COMPUTED_VALUE"""),1245)</f>
        <v>1245</v>
      </c>
      <c r="Q263" s="1">
        <f ca="1">IFERROR(__xludf.DUMMYFUNCTION("""COMPUTED_VALUE"""),773)</f>
        <v>773</v>
      </c>
      <c r="R263" s="1">
        <f ca="1">IFERROR(__xludf.DUMMYFUNCTION("""COMPUTED_VALUE"""),1701)</f>
        <v>1701</v>
      </c>
      <c r="S263" s="1">
        <f ca="1">IFERROR(__xludf.DUMMYFUNCTION("""COMPUTED_VALUE"""),0.454)</f>
        <v>0.45400000000000001</v>
      </c>
      <c r="T263" s="1">
        <f ca="1">IFERROR(__xludf.DUMMYFUNCTION("""COMPUTED_VALUE"""),197)</f>
        <v>197</v>
      </c>
      <c r="U263" s="1">
        <f ca="1">IFERROR(__xludf.DUMMYFUNCTION("""COMPUTED_VALUE"""),551)</f>
        <v>551</v>
      </c>
      <c r="V263" s="1">
        <f ca="1">IFERROR(__xludf.DUMMYFUNCTION("""COMPUTED_VALUE"""),0.358)</f>
        <v>0.35799999999999998</v>
      </c>
      <c r="W263" s="1">
        <f ca="1">IFERROR(__xludf.DUMMYFUNCTION("""COMPUTED_VALUE"""),463)</f>
        <v>463</v>
      </c>
      <c r="X263" s="1">
        <f ca="1">IFERROR(__xludf.DUMMYFUNCTION("""COMPUTED_VALUE"""),661)</f>
        <v>661</v>
      </c>
      <c r="Y263" s="1">
        <f ca="1">IFERROR(__xludf.DUMMYFUNCTION("""COMPUTED_VALUE"""),0.7)</f>
        <v>0.7</v>
      </c>
      <c r="Z263" s="1">
        <f ca="1">IFERROR(__xludf.DUMMYFUNCTION("""COMPUTED_VALUE"""),314)</f>
        <v>314</v>
      </c>
      <c r="AA263" s="1">
        <f ca="1">IFERROR(__xludf.DUMMYFUNCTION("""COMPUTED_VALUE"""),1075)</f>
        <v>1075</v>
      </c>
      <c r="AB263" s="1">
        <f ca="1">IFERROR(__xludf.DUMMYFUNCTION("""COMPUTED_VALUE"""),428)</f>
        <v>428</v>
      </c>
      <c r="AC263" s="1">
        <f ca="1">IFERROR(__xludf.DUMMYFUNCTION("""COMPUTED_VALUE"""),148)</f>
        <v>148</v>
      </c>
      <c r="AD263" s="1">
        <f ca="1">IFERROR(__xludf.DUMMYFUNCTION("""COMPUTED_VALUE"""),134)</f>
        <v>134</v>
      </c>
      <c r="AE263" s="1">
        <f ca="1">IFERROR(__xludf.DUMMYFUNCTION("""COMPUTED_VALUE"""),379)</f>
        <v>379</v>
      </c>
      <c r="AF263" s="1">
        <f ca="1">IFERROR(__xludf.DUMMYFUNCTION("""COMPUTED_VALUE"""),584)</f>
        <v>584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IFERROR(__xludf.DUMMYFUNCTION("""COMPUTED_VALUE"""),"PittsburghNCAA")</f>
        <v>PittsburghNCAA</v>
      </c>
      <c r="B266" s="1">
        <f ca="1">IFERROR(__xludf.DUMMYFUNCTION("""COMPUTED_VALUE"""),36)</f>
        <v>36</v>
      </c>
      <c r="C266" s="1">
        <f ca="1">IFERROR(__xludf.DUMMYFUNCTION("""COMPUTED_VALUE"""),26)</f>
        <v>26</v>
      </c>
      <c r="D266" s="1">
        <f ca="1">IFERROR(__xludf.DUMMYFUNCTION("""COMPUTED_VALUE"""),10)</f>
        <v>10</v>
      </c>
      <c r="E266" s="1">
        <f ca="1">IFERROR(__xludf.DUMMYFUNCTION("""COMPUTED_VALUE"""),0.722)</f>
        <v>0.72199999999999998</v>
      </c>
      <c r="F266" s="1">
        <f ca="1">IFERROR(__xludf.DUMMYFUNCTION("""COMPUTED_VALUE"""),17.46)</f>
        <v>17.46</v>
      </c>
      <c r="G266" s="1">
        <f ca="1">IFERROR(__xludf.DUMMYFUNCTION("""COMPUTED_VALUE"""),7.54)</f>
        <v>7.54</v>
      </c>
      <c r="H266" s="1">
        <f ca="1">IFERROR(__xludf.DUMMYFUNCTION("""COMPUTED_VALUE"""),11)</f>
        <v>11</v>
      </c>
      <c r="I266" s="1">
        <f ca="1">IFERROR(__xludf.DUMMYFUNCTION("""COMPUTED_VALUE"""),7)</f>
        <v>7</v>
      </c>
      <c r="J266" s="1">
        <f ca="1">IFERROR(__xludf.DUMMYFUNCTION("""COMPUTED_VALUE"""),13)</f>
        <v>13</v>
      </c>
      <c r="K266" s="1">
        <f ca="1">IFERROR(__xludf.DUMMYFUNCTION("""COMPUTED_VALUE"""),5)</f>
        <v>5</v>
      </c>
      <c r="L266" s="1">
        <f ca="1">IFERROR(__xludf.DUMMYFUNCTION("""COMPUTED_VALUE"""),7)</f>
        <v>7</v>
      </c>
      <c r="M266" s="1">
        <f ca="1">IFERROR(__xludf.DUMMYFUNCTION("""COMPUTED_VALUE"""),2)</f>
        <v>2</v>
      </c>
      <c r="N266" s="1">
        <f ca="1">IFERROR(__xludf.DUMMYFUNCTION("""COMPUTED_VALUE"""),2586)</f>
        <v>2586</v>
      </c>
      <c r="O266" s="1">
        <f ca="1">IFERROR(__xludf.DUMMYFUNCTION("""COMPUTED_VALUE"""),2229)</f>
        <v>2229</v>
      </c>
      <c r="P266" s="1">
        <f ca="1">IFERROR(__xludf.DUMMYFUNCTION("""COMPUTED_VALUE"""),1466)</f>
        <v>1466</v>
      </c>
      <c r="Q266" s="1">
        <f ca="1">IFERROR(__xludf.DUMMYFUNCTION("""COMPUTED_VALUE"""),895)</f>
        <v>895</v>
      </c>
      <c r="R266" s="1">
        <f ca="1">IFERROR(__xludf.DUMMYFUNCTION("""COMPUTED_VALUE"""),1944)</f>
        <v>1944</v>
      </c>
      <c r="S266" s="1">
        <f ca="1">IFERROR(__xludf.DUMMYFUNCTION("""COMPUTED_VALUE"""),0.46)</f>
        <v>0.46</v>
      </c>
      <c r="T266" s="1">
        <f ca="1">IFERROR(__xludf.DUMMYFUNCTION("""COMPUTED_VALUE"""),183)</f>
        <v>183</v>
      </c>
      <c r="U266" s="1">
        <f ca="1">IFERROR(__xludf.DUMMYFUNCTION("""COMPUTED_VALUE"""),522)</f>
        <v>522</v>
      </c>
      <c r="V266" s="1">
        <f ca="1">IFERROR(__xludf.DUMMYFUNCTION("""COMPUTED_VALUE"""),0.351)</f>
        <v>0.35099999999999998</v>
      </c>
      <c r="W266" s="1">
        <f ca="1">IFERROR(__xludf.DUMMYFUNCTION("""COMPUTED_VALUE"""),613)</f>
        <v>613</v>
      </c>
      <c r="X266" s="1">
        <f ca="1">IFERROR(__xludf.DUMMYFUNCTION("""COMPUTED_VALUE"""),861)</f>
        <v>861</v>
      </c>
      <c r="Y266" s="1">
        <f ca="1">IFERROR(__xludf.DUMMYFUNCTION("""COMPUTED_VALUE"""),0.712)</f>
        <v>0.71199999999999997</v>
      </c>
      <c r="Z266" s="1">
        <f ca="1">IFERROR(__xludf.DUMMYFUNCTION("""COMPUTED_VALUE"""),432)</f>
        <v>432</v>
      </c>
      <c r="AA266" s="1">
        <f ca="1">IFERROR(__xludf.DUMMYFUNCTION("""COMPUTED_VALUE"""),1291)</f>
        <v>1291</v>
      </c>
      <c r="AB266" s="1">
        <f ca="1">IFERROR(__xludf.DUMMYFUNCTION("""COMPUTED_VALUE"""),563)</f>
        <v>563</v>
      </c>
      <c r="AC266" s="1">
        <f ca="1">IFERROR(__xludf.DUMMYFUNCTION("""COMPUTED_VALUE"""),254)</f>
        <v>254</v>
      </c>
      <c r="AD266" s="1">
        <f ca="1">IFERROR(__xludf.DUMMYFUNCTION("""COMPUTED_VALUE"""),107)</f>
        <v>107</v>
      </c>
      <c r="AE266" s="1">
        <f ca="1">IFERROR(__xludf.DUMMYFUNCTION("""COMPUTED_VALUE"""),373)</f>
        <v>373</v>
      </c>
      <c r="AF266" s="1">
        <f ca="1">IFERROR(__xludf.DUMMYFUNCTION("""COMPUTED_VALUE"""),620)</f>
        <v>620</v>
      </c>
    </row>
    <row r="267" spans="1:32" ht="12.5" x14ac:dyDescent="0.25">
      <c r="A267" s="1" t="str">
        <f ca="1">IFERROR(__xludf.DUMMYFUNCTION("""COMPUTED_VALUE"""),"Portland State")</f>
        <v>Portland State</v>
      </c>
      <c r="B267" s="1">
        <f ca="1">IFERROR(__xludf.DUMMYFUNCTION("""COMPUTED_VALUE"""),32)</f>
        <v>32</v>
      </c>
      <c r="C267" s="1">
        <f ca="1">IFERROR(__xludf.DUMMYFUNCTION("""COMPUTED_VALUE"""),17)</f>
        <v>17</v>
      </c>
      <c r="D267" s="1">
        <f ca="1">IFERROR(__xludf.DUMMYFUNCTION("""COMPUTED_VALUE"""),15)</f>
        <v>15</v>
      </c>
      <c r="E267" s="1">
        <f ca="1">IFERROR(__xludf.DUMMYFUNCTION("""COMPUTED_VALUE"""),0.531)</f>
        <v>0.53100000000000003</v>
      </c>
      <c r="F267" s="1">
        <f ca="1">IFERROR(__xludf.DUMMYFUNCTION("""COMPUTED_VALUE"""),-7.59)</f>
        <v>-7.59</v>
      </c>
      <c r="G267" s="1">
        <f ca="1">IFERROR(__xludf.DUMMYFUNCTION("""COMPUTED_VALUE"""),-5.59)</f>
        <v>-5.59</v>
      </c>
      <c r="H267" s="1">
        <f ca="1">IFERROR(__xludf.DUMMYFUNCTION("""COMPUTED_VALUE"""),11)</f>
        <v>11</v>
      </c>
      <c r="I267" s="1">
        <f ca="1">IFERROR(__xludf.DUMMYFUNCTION("""COMPUTED_VALUE"""),9)</f>
        <v>9</v>
      </c>
      <c r="J267" s="1">
        <f ca="1">IFERROR(__xludf.DUMMYFUNCTION("""COMPUTED_VALUE"""),12)</f>
        <v>12</v>
      </c>
      <c r="K267" s="1">
        <f ca="1">IFERROR(__xludf.DUMMYFUNCTION("""COMPUTED_VALUE"""),5)</f>
        <v>5</v>
      </c>
      <c r="L267" s="1">
        <f ca="1">IFERROR(__xludf.DUMMYFUNCTION("""COMPUTED_VALUE"""),4)</f>
        <v>4</v>
      </c>
      <c r="M267" s="1">
        <f ca="1">IFERROR(__xludf.DUMMYFUNCTION("""COMPUTED_VALUE"""),9)</f>
        <v>9</v>
      </c>
      <c r="N267" s="1">
        <f ca="1">IFERROR(__xludf.DUMMYFUNCTION("""COMPUTED_VALUE"""),2320)</f>
        <v>2320</v>
      </c>
      <c r="O267" s="1">
        <f ca="1">IFERROR(__xludf.DUMMYFUNCTION("""COMPUTED_VALUE"""),2311)</f>
        <v>2311</v>
      </c>
      <c r="P267" s="1">
        <f ca="1">IFERROR(__xludf.DUMMYFUNCTION("""COMPUTED_VALUE"""),1310)</f>
        <v>1310</v>
      </c>
      <c r="Q267" s="1">
        <f ca="1">IFERROR(__xludf.DUMMYFUNCTION("""COMPUTED_VALUE"""),802)</f>
        <v>802</v>
      </c>
      <c r="R267" s="1">
        <f ca="1">IFERROR(__xludf.DUMMYFUNCTION("""COMPUTED_VALUE"""),1729)</f>
        <v>1729</v>
      </c>
      <c r="S267" s="1">
        <f ca="1">IFERROR(__xludf.DUMMYFUNCTION("""COMPUTED_VALUE"""),0.464)</f>
        <v>0.46400000000000002</v>
      </c>
      <c r="T267" s="1">
        <f ca="1">IFERROR(__xludf.DUMMYFUNCTION("""COMPUTED_VALUE"""),196)</f>
        <v>196</v>
      </c>
      <c r="U267" s="1">
        <f ca="1">IFERROR(__xludf.DUMMYFUNCTION("""COMPUTED_VALUE"""),543)</f>
        <v>543</v>
      </c>
      <c r="V267" s="1">
        <f ca="1">IFERROR(__xludf.DUMMYFUNCTION("""COMPUTED_VALUE"""),0.361)</f>
        <v>0.36099999999999999</v>
      </c>
      <c r="W267" s="1">
        <f ca="1">IFERROR(__xludf.DUMMYFUNCTION("""COMPUTED_VALUE"""),520)</f>
        <v>520</v>
      </c>
      <c r="X267" s="1">
        <f ca="1">IFERROR(__xludf.DUMMYFUNCTION("""COMPUTED_VALUE"""),711)</f>
        <v>711</v>
      </c>
      <c r="Y267" s="1">
        <f ca="1">IFERROR(__xludf.DUMMYFUNCTION("""COMPUTED_VALUE"""),0.731)</f>
        <v>0.73099999999999998</v>
      </c>
      <c r="Z267" s="1">
        <f ca="1">IFERROR(__xludf.DUMMYFUNCTION("""COMPUTED_VALUE"""),285)</f>
        <v>285</v>
      </c>
      <c r="AA267" s="1">
        <f ca="1">IFERROR(__xludf.DUMMYFUNCTION("""COMPUTED_VALUE"""),979)</f>
        <v>979</v>
      </c>
      <c r="AB267" s="1">
        <f ca="1">IFERROR(__xludf.DUMMYFUNCTION("""COMPUTED_VALUE"""),411)</f>
        <v>411</v>
      </c>
      <c r="AC267" s="1">
        <f ca="1">IFERROR(__xludf.DUMMYFUNCTION("""COMPUTED_VALUE"""),194)</f>
        <v>194</v>
      </c>
      <c r="AD267" s="1">
        <f ca="1">IFERROR(__xludf.DUMMYFUNCTION("""COMPUTED_VALUE"""),69)</f>
        <v>69</v>
      </c>
      <c r="AE267" s="1">
        <f ca="1">IFERROR(__xludf.DUMMYFUNCTION("""COMPUTED_VALUE"""),366)</f>
        <v>366</v>
      </c>
      <c r="AF267" s="1">
        <f ca="1">IFERROR(__xludf.DUMMYFUNCTION("""COMPUTED_VALUE"""),616)</f>
        <v>616</v>
      </c>
    </row>
    <row r="268" spans="1:32" ht="12.5" x14ac:dyDescent="0.25">
      <c r="A268" s="1" t="str">
        <f ca="1">IFERROR(__xludf.DUMMYFUNCTION("""COMPUTED_VALUE"""),"Portland")</f>
        <v>Portland</v>
      </c>
      <c r="B268" s="1">
        <f ca="1">IFERROR(__xludf.DUMMYFUNCTION("""COMPUTED_VALUE"""),31)</f>
        <v>31</v>
      </c>
      <c r="C268" s="1">
        <f ca="1">IFERROR(__xludf.DUMMYFUNCTION("""COMPUTED_VALUE"""),15)</f>
        <v>15</v>
      </c>
      <c r="D268" s="1">
        <f ca="1">IFERROR(__xludf.DUMMYFUNCTION("""COMPUTED_VALUE"""),16)</f>
        <v>16</v>
      </c>
      <c r="E268" s="1">
        <f ca="1">IFERROR(__xludf.DUMMYFUNCTION("""COMPUTED_VALUE"""),0.484)</f>
        <v>0.48399999999999999</v>
      </c>
      <c r="F268" s="1">
        <f ca="1">IFERROR(__xludf.DUMMYFUNCTION("""COMPUTED_VALUE"""),4.77)</f>
        <v>4.7699999999999996</v>
      </c>
      <c r="G268" s="1">
        <f ca="1">IFERROR(__xludf.DUMMYFUNCTION("""COMPUTED_VALUE"""),1.73)</f>
        <v>1.73</v>
      </c>
      <c r="H268" s="1">
        <f ca="1">IFERROR(__xludf.DUMMYFUNCTION("""COMPUTED_VALUE"""),7)</f>
        <v>7</v>
      </c>
      <c r="I268" s="1">
        <f ca="1">IFERROR(__xludf.DUMMYFUNCTION("""COMPUTED_VALUE"""),11)</f>
        <v>11</v>
      </c>
      <c r="J268" s="1">
        <f ca="1">IFERROR(__xludf.DUMMYFUNCTION("""COMPUTED_VALUE"""),10)</f>
        <v>10</v>
      </c>
      <c r="K268" s="1">
        <f ca="1">IFERROR(__xludf.DUMMYFUNCTION("""COMPUTED_VALUE"""),6)</f>
        <v>6</v>
      </c>
      <c r="L268" s="1">
        <f ca="1">IFERROR(__xludf.DUMMYFUNCTION("""COMPUTED_VALUE"""),3)</f>
        <v>3</v>
      </c>
      <c r="M268" s="1">
        <f ca="1">IFERROR(__xludf.DUMMYFUNCTION("""COMPUTED_VALUE"""),9)</f>
        <v>9</v>
      </c>
      <c r="N268" s="1">
        <f ca="1">IFERROR(__xludf.DUMMYFUNCTION("""COMPUTED_VALUE"""),2327)</f>
        <v>2327</v>
      </c>
      <c r="O268" s="1">
        <f ca="1">IFERROR(__xludf.DUMMYFUNCTION("""COMPUTED_VALUE"""),2233)</f>
        <v>2233</v>
      </c>
      <c r="P268" s="1">
        <f ca="1">IFERROR(__xludf.DUMMYFUNCTION("""COMPUTED_VALUE"""),1270)</f>
        <v>1270</v>
      </c>
      <c r="Q268" s="1">
        <f ca="1">IFERROR(__xludf.DUMMYFUNCTION("""COMPUTED_VALUE"""),810)</f>
        <v>810</v>
      </c>
      <c r="R268" s="1">
        <f ca="1">IFERROR(__xludf.DUMMYFUNCTION("""COMPUTED_VALUE"""),1778)</f>
        <v>1778</v>
      </c>
      <c r="S268" s="1">
        <f ca="1">IFERROR(__xludf.DUMMYFUNCTION("""COMPUTED_VALUE"""),0.456)</f>
        <v>0.45600000000000002</v>
      </c>
      <c r="T268" s="1">
        <f ca="1">IFERROR(__xludf.DUMMYFUNCTION("""COMPUTED_VALUE"""),191)</f>
        <v>191</v>
      </c>
      <c r="U268" s="1">
        <f ca="1">IFERROR(__xludf.DUMMYFUNCTION("""COMPUTED_VALUE"""),485)</f>
        <v>485</v>
      </c>
      <c r="V268" s="1">
        <f ca="1">IFERROR(__xludf.DUMMYFUNCTION("""COMPUTED_VALUE"""),0.394)</f>
        <v>0.39400000000000002</v>
      </c>
      <c r="W268" s="1">
        <f ca="1">IFERROR(__xludf.DUMMYFUNCTION("""COMPUTED_VALUE"""),516)</f>
        <v>516</v>
      </c>
      <c r="X268" s="1">
        <f ca="1">IFERROR(__xludf.DUMMYFUNCTION("""COMPUTED_VALUE"""),702)</f>
        <v>702</v>
      </c>
      <c r="Y268" s="1">
        <f ca="1">IFERROR(__xludf.DUMMYFUNCTION("""COMPUTED_VALUE"""),0.735)</f>
        <v>0.73499999999999999</v>
      </c>
      <c r="Z268" s="1">
        <f ca="1">IFERROR(__xludf.DUMMYFUNCTION("""COMPUTED_VALUE"""),339)</f>
        <v>339</v>
      </c>
      <c r="AA268" s="1">
        <f ca="1">IFERROR(__xludf.DUMMYFUNCTION("""COMPUTED_VALUE"""),1116)</f>
        <v>1116</v>
      </c>
      <c r="AB268" s="1">
        <f ca="1">IFERROR(__xludf.DUMMYFUNCTION("""COMPUTED_VALUE"""),472)</f>
        <v>472</v>
      </c>
      <c r="AC268" s="1">
        <f ca="1">IFERROR(__xludf.DUMMYFUNCTION("""COMPUTED_VALUE"""),184)</f>
        <v>184</v>
      </c>
      <c r="AD268" s="1">
        <f ca="1">IFERROR(__xludf.DUMMYFUNCTION("""COMPUTED_VALUE"""),128)</f>
        <v>128</v>
      </c>
      <c r="AE268" s="1">
        <f ca="1">IFERROR(__xludf.DUMMYFUNCTION("""COMPUTED_VALUE"""),366)</f>
        <v>366</v>
      </c>
      <c r="AF268" s="1">
        <f ca="1">IFERROR(__xludf.DUMMYFUNCTION("""COMPUTED_VALUE"""),620)</f>
        <v>620</v>
      </c>
    </row>
    <row r="269" spans="1:32" ht="12.5" x14ac:dyDescent="0.25">
      <c r="A269" s="1" t="str">
        <f ca="1">IFERROR(__xludf.DUMMYFUNCTION("""COMPUTED_VALUE"""),"Prairie View")</f>
        <v>Prairie View</v>
      </c>
      <c r="B269" s="1">
        <f ca="1">IFERROR(__xludf.DUMMYFUNCTION("""COMPUTED_VALUE"""),34)</f>
        <v>34</v>
      </c>
      <c r="C269" s="1">
        <f ca="1">IFERROR(__xludf.DUMMYFUNCTION("""COMPUTED_VALUE"""),11)</f>
        <v>11</v>
      </c>
      <c r="D269" s="1">
        <f ca="1">IFERROR(__xludf.DUMMYFUNCTION("""COMPUTED_VALUE"""),23)</f>
        <v>23</v>
      </c>
      <c r="E269" s="1">
        <f ca="1">IFERROR(__xludf.DUMMYFUNCTION("""COMPUTED_VALUE"""),0.324)</f>
        <v>0.32400000000000001</v>
      </c>
      <c r="F269" s="1">
        <f ca="1">IFERROR(__xludf.DUMMYFUNCTION("""COMPUTED_VALUE"""),-16.72)</f>
        <v>-16.72</v>
      </c>
      <c r="G269" s="1">
        <f ca="1">IFERROR(__xludf.DUMMYFUNCTION("""COMPUTED_VALUE"""),-7.99)</f>
        <v>-7.99</v>
      </c>
      <c r="H269" s="1">
        <f ca="1">IFERROR(__xludf.DUMMYFUNCTION("""COMPUTED_VALUE"""),6)</f>
        <v>6</v>
      </c>
      <c r="I269" s="1">
        <f ca="1">IFERROR(__xludf.DUMMYFUNCTION("""COMPUTED_VALUE"""),12)</f>
        <v>12</v>
      </c>
      <c r="J269" s="1">
        <f ca="1">IFERROR(__xludf.DUMMYFUNCTION("""COMPUTED_VALUE"""),6)</f>
        <v>6</v>
      </c>
      <c r="K269" s="1">
        <f ca="1">IFERROR(__xludf.DUMMYFUNCTION("""COMPUTED_VALUE"""),6)</f>
        <v>6</v>
      </c>
      <c r="L269" s="1">
        <f ca="1">IFERROR(__xludf.DUMMYFUNCTION("""COMPUTED_VALUE"""),2)</f>
        <v>2</v>
      </c>
      <c r="M269" s="1">
        <f ca="1">IFERROR(__xludf.DUMMYFUNCTION("""COMPUTED_VALUE"""),16)</f>
        <v>16</v>
      </c>
      <c r="N269" s="1">
        <f ca="1">IFERROR(__xludf.DUMMYFUNCTION("""COMPUTED_VALUE"""),2362)</f>
        <v>2362</v>
      </c>
      <c r="O269" s="1">
        <f ca="1">IFERROR(__xludf.DUMMYFUNCTION("""COMPUTED_VALUE"""),2623)</f>
        <v>2623</v>
      </c>
      <c r="P269" s="1">
        <f ca="1">IFERROR(__xludf.DUMMYFUNCTION("""COMPUTED_VALUE"""),1405)</f>
        <v>1405</v>
      </c>
      <c r="Q269" s="1">
        <f ca="1">IFERROR(__xludf.DUMMYFUNCTION("""COMPUTED_VALUE"""),813)</f>
        <v>813</v>
      </c>
      <c r="R269" s="1">
        <f ca="1">IFERROR(__xludf.DUMMYFUNCTION("""COMPUTED_VALUE"""),1949)</f>
        <v>1949</v>
      </c>
      <c r="S269" s="1">
        <f ca="1">IFERROR(__xludf.DUMMYFUNCTION("""COMPUTED_VALUE"""),0.417)</f>
        <v>0.41699999999999998</v>
      </c>
      <c r="T269" s="1">
        <f ca="1">IFERROR(__xludf.DUMMYFUNCTION("""COMPUTED_VALUE"""),223)</f>
        <v>223</v>
      </c>
      <c r="U269" s="1">
        <f ca="1">IFERROR(__xludf.DUMMYFUNCTION("""COMPUTED_VALUE"""),651)</f>
        <v>651</v>
      </c>
      <c r="V269" s="1">
        <f ca="1">IFERROR(__xludf.DUMMYFUNCTION("""COMPUTED_VALUE"""),0.343)</f>
        <v>0.34300000000000003</v>
      </c>
      <c r="W269" s="1">
        <f ca="1">IFERROR(__xludf.DUMMYFUNCTION("""COMPUTED_VALUE"""),513)</f>
        <v>513</v>
      </c>
      <c r="X269" s="1">
        <f ca="1">IFERROR(__xludf.DUMMYFUNCTION("""COMPUTED_VALUE"""),791)</f>
        <v>791</v>
      </c>
      <c r="Y269" s="1">
        <f ca="1">IFERROR(__xludf.DUMMYFUNCTION("""COMPUTED_VALUE"""),0.649)</f>
        <v>0.64900000000000002</v>
      </c>
      <c r="Z269" s="1">
        <f ca="1">IFERROR(__xludf.DUMMYFUNCTION("""COMPUTED_VALUE"""),403)</f>
        <v>403</v>
      </c>
      <c r="AA269" s="1">
        <f ca="1">IFERROR(__xludf.DUMMYFUNCTION("""COMPUTED_VALUE"""),1164)</f>
        <v>1164</v>
      </c>
      <c r="AB269" s="1">
        <f ca="1">IFERROR(__xludf.DUMMYFUNCTION("""COMPUTED_VALUE"""),362)</f>
        <v>362</v>
      </c>
      <c r="AC269" s="1">
        <f ca="1">IFERROR(__xludf.DUMMYFUNCTION("""COMPUTED_VALUE"""),243)</f>
        <v>243</v>
      </c>
      <c r="AD269" s="1">
        <f ca="1">IFERROR(__xludf.DUMMYFUNCTION("""COMPUTED_VALUE"""),89)</f>
        <v>89</v>
      </c>
      <c r="AE269" s="1">
        <f ca="1">IFERROR(__xludf.DUMMYFUNCTION("""COMPUTED_VALUE"""),490)</f>
        <v>490</v>
      </c>
      <c r="AF269" s="1">
        <f ca="1">IFERROR(__xludf.DUMMYFUNCTION("""COMPUTED_VALUE"""),746)</f>
        <v>746</v>
      </c>
    </row>
    <row r="270" spans="1:32" ht="12.5" x14ac:dyDescent="0.25">
      <c r="A270" s="1" t="str">
        <f ca="1">IFERROR(__xludf.DUMMYFUNCTION("""COMPUTED_VALUE"""),"Presbyterian")</f>
        <v>Presbyterian</v>
      </c>
      <c r="B270" s="1">
        <f ca="1">IFERROR(__xludf.DUMMYFUNCTION("""COMPUTED_VALUE"""),32)</f>
        <v>32</v>
      </c>
      <c r="C270" s="1">
        <f ca="1">IFERROR(__xludf.DUMMYFUNCTION("""COMPUTED_VALUE"""),6)</f>
        <v>6</v>
      </c>
      <c r="D270" s="1">
        <f ca="1">IFERROR(__xludf.DUMMYFUNCTION("""COMPUTED_VALUE"""),26)</f>
        <v>26</v>
      </c>
      <c r="E270" s="1">
        <f ca="1">IFERROR(__xludf.DUMMYFUNCTION("""COMPUTED_VALUE"""),0.188)</f>
        <v>0.188</v>
      </c>
      <c r="F270" s="1">
        <f ca="1">IFERROR(__xludf.DUMMYFUNCTION("""COMPUTED_VALUE"""),-20.71)</f>
        <v>-20.71</v>
      </c>
      <c r="G270" s="1">
        <f ca="1">IFERROR(__xludf.DUMMYFUNCTION("""COMPUTED_VALUE"""),-7.51)</f>
        <v>-7.51</v>
      </c>
      <c r="H270" s="1">
        <f ca="1">IFERROR(__xludf.DUMMYFUNCTION("""COMPUTED_VALUE"""),2)</f>
        <v>2</v>
      </c>
      <c r="I270" s="1">
        <f ca="1">IFERROR(__xludf.DUMMYFUNCTION("""COMPUTED_VALUE"""),14)</f>
        <v>14</v>
      </c>
      <c r="J270" s="1">
        <f ca="1">IFERROR(__xludf.DUMMYFUNCTION("""COMPUTED_VALUE"""),5)</f>
        <v>5</v>
      </c>
      <c r="K270" s="1">
        <f ca="1">IFERROR(__xludf.DUMMYFUNCTION("""COMPUTED_VALUE"""),8)</f>
        <v>8</v>
      </c>
      <c r="L270" s="1">
        <f ca="1">IFERROR(__xludf.DUMMYFUNCTION("""COMPUTED_VALUE"""),1)</f>
        <v>1</v>
      </c>
      <c r="M270" s="1">
        <f ca="1">IFERROR(__xludf.DUMMYFUNCTION("""COMPUTED_VALUE"""),15)</f>
        <v>15</v>
      </c>
      <c r="N270" s="1">
        <f ca="1">IFERROR(__xludf.DUMMYFUNCTION("""COMPUTED_VALUE"""),2092)</f>
        <v>2092</v>
      </c>
      <c r="O270" s="1">
        <f ca="1">IFERROR(__xludf.DUMMYFUNCTION("""COMPUTED_VALUE"""),2445)</f>
        <v>2445</v>
      </c>
      <c r="P270" s="1">
        <f ca="1">IFERROR(__xludf.DUMMYFUNCTION("""COMPUTED_VALUE"""),1280)</f>
        <v>1280</v>
      </c>
      <c r="Q270" s="1">
        <f ca="1">IFERROR(__xludf.DUMMYFUNCTION("""COMPUTED_VALUE"""),772)</f>
        <v>772</v>
      </c>
      <c r="R270" s="1">
        <f ca="1">IFERROR(__xludf.DUMMYFUNCTION("""COMPUTED_VALUE"""),1724)</f>
        <v>1724</v>
      </c>
      <c r="S270" s="1">
        <f ca="1">IFERROR(__xludf.DUMMYFUNCTION("""COMPUTED_VALUE"""),0.448)</f>
        <v>0.44800000000000001</v>
      </c>
      <c r="T270" s="1">
        <f ca="1">IFERROR(__xludf.DUMMYFUNCTION("""COMPUTED_VALUE"""),190)</f>
        <v>190</v>
      </c>
      <c r="U270" s="1">
        <f ca="1">IFERROR(__xludf.DUMMYFUNCTION("""COMPUTED_VALUE"""),538)</f>
        <v>538</v>
      </c>
      <c r="V270" s="1">
        <f ca="1">IFERROR(__xludf.DUMMYFUNCTION("""COMPUTED_VALUE"""),0.353)</f>
        <v>0.35299999999999998</v>
      </c>
      <c r="W270" s="1">
        <f ca="1">IFERROR(__xludf.DUMMYFUNCTION("""COMPUTED_VALUE"""),358)</f>
        <v>358</v>
      </c>
      <c r="X270" s="1">
        <f ca="1">IFERROR(__xludf.DUMMYFUNCTION("""COMPUTED_VALUE"""),529)</f>
        <v>529</v>
      </c>
      <c r="Y270" s="1">
        <f ca="1">IFERROR(__xludf.DUMMYFUNCTION("""COMPUTED_VALUE"""),0.677)</f>
        <v>0.67700000000000005</v>
      </c>
      <c r="Z270" s="1">
        <f ca="1">IFERROR(__xludf.DUMMYFUNCTION("""COMPUTED_VALUE"""),244)</f>
        <v>244</v>
      </c>
      <c r="AA270" s="1">
        <f ca="1">IFERROR(__xludf.DUMMYFUNCTION("""COMPUTED_VALUE"""),980)</f>
        <v>980</v>
      </c>
      <c r="AB270" s="1">
        <f ca="1">IFERROR(__xludf.DUMMYFUNCTION("""COMPUTED_VALUE"""),372)</f>
        <v>372</v>
      </c>
      <c r="AC270" s="1">
        <f ca="1">IFERROR(__xludf.DUMMYFUNCTION("""COMPUTED_VALUE"""),141)</f>
        <v>141</v>
      </c>
      <c r="AD270" s="1">
        <f ca="1">IFERROR(__xludf.DUMMYFUNCTION("""COMPUTED_VALUE"""),96)</f>
        <v>96</v>
      </c>
      <c r="AE270" s="1">
        <f ca="1">IFERROR(__xludf.DUMMYFUNCTION("""COMPUTED_VALUE"""),398)</f>
        <v>398</v>
      </c>
      <c r="AF270" s="1">
        <f ca="1">IFERROR(__xludf.DUMMYFUNCTION("""COMPUTED_VALUE"""),494)</f>
        <v>494</v>
      </c>
    </row>
    <row r="271" spans="1:32" ht="12.5" x14ac:dyDescent="0.25">
      <c r="A271" s="1" t="str">
        <f ca="1">IFERROR(__xludf.DUMMYFUNCTION("""COMPUTED_VALUE"""),"Princeton")</f>
        <v>Princeton</v>
      </c>
      <c r="B271" s="1">
        <f ca="1">IFERROR(__xludf.DUMMYFUNCTION("""COMPUTED_VALUE"""),30)</f>
        <v>30</v>
      </c>
      <c r="C271" s="1">
        <f ca="1">IFERROR(__xludf.DUMMYFUNCTION("""COMPUTED_VALUE"""),21)</f>
        <v>21</v>
      </c>
      <c r="D271" s="1">
        <f ca="1">IFERROR(__xludf.DUMMYFUNCTION("""COMPUTED_VALUE"""),9)</f>
        <v>9</v>
      </c>
      <c r="E271" s="1">
        <f ca="1">IFERROR(__xludf.DUMMYFUNCTION("""COMPUTED_VALUE"""),0.7)</f>
        <v>0.7</v>
      </c>
      <c r="F271" s="1">
        <f ca="1">IFERROR(__xludf.DUMMYFUNCTION("""COMPUTED_VALUE"""),3.01)</f>
        <v>3.01</v>
      </c>
      <c r="G271" s="1">
        <f ca="1">IFERROR(__xludf.DUMMYFUNCTION("""COMPUTED_VALUE"""),-2.4)</f>
        <v>-2.4</v>
      </c>
      <c r="H271" s="1">
        <f ca="1">IFERROR(__xludf.DUMMYFUNCTION("""COMPUTED_VALUE"""),8)</f>
        <v>8</v>
      </c>
      <c r="I271" s="1">
        <f ca="1">IFERROR(__xludf.DUMMYFUNCTION("""COMPUTED_VALUE"""),6)</f>
        <v>6</v>
      </c>
      <c r="J271" s="1">
        <f ca="1">IFERROR(__xludf.DUMMYFUNCTION("""COMPUTED_VALUE"""),11)</f>
        <v>11</v>
      </c>
      <c r="K271" s="1">
        <f ca="1">IFERROR(__xludf.DUMMYFUNCTION("""COMPUTED_VALUE"""),2)</f>
        <v>2</v>
      </c>
      <c r="L271" s="1">
        <f ca="1">IFERROR(__xludf.DUMMYFUNCTION("""COMPUTED_VALUE"""),9)</f>
        <v>9</v>
      </c>
      <c r="M271" s="1">
        <f ca="1">IFERROR(__xludf.DUMMYFUNCTION("""COMPUTED_VALUE"""),6)</f>
        <v>6</v>
      </c>
      <c r="N271" s="1">
        <f ca="1">IFERROR(__xludf.DUMMYFUNCTION("""COMPUTED_VALUE"""),2118)</f>
        <v>2118</v>
      </c>
      <c r="O271" s="1">
        <f ca="1">IFERROR(__xludf.DUMMYFUNCTION("""COMPUTED_VALUE"""),1931)</f>
        <v>1931</v>
      </c>
      <c r="P271" s="1">
        <f ca="1">IFERROR(__xludf.DUMMYFUNCTION("""COMPUTED_VALUE"""),1220)</f>
        <v>1220</v>
      </c>
      <c r="Q271" s="1">
        <f ca="1">IFERROR(__xludf.DUMMYFUNCTION("""COMPUTED_VALUE"""),704)</f>
        <v>704</v>
      </c>
      <c r="R271" s="1">
        <f ca="1">IFERROR(__xludf.DUMMYFUNCTION("""COMPUTED_VALUE"""),1592)</f>
        <v>1592</v>
      </c>
      <c r="S271" s="1">
        <f ca="1">IFERROR(__xludf.DUMMYFUNCTION("""COMPUTED_VALUE"""),0.442)</f>
        <v>0.442</v>
      </c>
      <c r="T271" s="1">
        <f ca="1">IFERROR(__xludf.DUMMYFUNCTION("""COMPUTED_VALUE"""),278)</f>
        <v>278</v>
      </c>
      <c r="U271" s="1">
        <f ca="1">IFERROR(__xludf.DUMMYFUNCTION("""COMPUTED_VALUE"""),774)</f>
        <v>774</v>
      </c>
      <c r="V271" s="1">
        <f ca="1">IFERROR(__xludf.DUMMYFUNCTION("""COMPUTED_VALUE"""),0.359)</f>
        <v>0.35899999999999999</v>
      </c>
      <c r="W271" s="1">
        <f ca="1">IFERROR(__xludf.DUMMYFUNCTION("""COMPUTED_VALUE"""),432)</f>
        <v>432</v>
      </c>
      <c r="X271" s="1">
        <f ca="1">IFERROR(__xludf.DUMMYFUNCTION("""COMPUTED_VALUE"""),599)</f>
        <v>599</v>
      </c>
      <c r="Y271" s="1">
        <f ca="1">IFERROR(__xludf.DUMMYFUNCTION("""COMPUTED_VALUE"""),0.721)</f>
        <v>0.72099999999999997</v>
      </c>
      <c r="Z271" s="1">
        <f ca="1">IFERROR(__xludf.DUMMYFUNCTION("""COMPUTED_VALUE"""),252)</f>
        <v>252</v>
      </c>
      <c r="AA271" s="1">
        <f ca="1">IFERROR(__xludf.DUMMYFUNCTION("""COMPUTED_VALUE"""),982)</f>
        <v>982</v>
      </c>
      <c r="AB271" s="1">
        <f ca="1">IFERROR(__xludf.DUMMYFUNCTION("""COMPUTED_VALUE"""),431)</f>
        <v>431</v>
      </c>
      <c r="AC271" s="1">
        <f ca="1">IFERROR(__xludf.DUMMYFUNCTION("""COMPUTED_VALUE"""),189)</f>
        <v>189</v>
      </c>
      <c r="AD271" s="1">
        <f ca="1">IFERROR(__xludf.DUMMYFUNCTION("""COMPUTED_VALUE"""),109)</f>
        <v>109</v>
      </c>
      <c r="AE271" s="1">
        <f ca="1">IFERROR(__xludf.DUMMYFUNCTION("""COMPUTED_VALUE"""),335)</f>
        <v>335</v>
      </c>
      <c r="AF271" s="1">
        <f ca="1">IFERROR(__xludf.DUMMYFUNCTION("""COMPUTED_VALUE"""),508)</f>
        <v>508</v>
      </c>
    </row>
    <row r="272" spans="1:32" ht="12.5" x14ac:dyDescent="0.25">
      <c r="A272" s="1" t="str">
        <f ca="1">IFERROR(__xludf.DUMMYFUNCTION("""COMPUTED_VALUE"""),"ProvidenceNCAA")</f>
        <v>ProvidenceNCAA</v>
      </c>
      <c r="B272" s="1">
        <f ca="1">IFERROR(__xludf.DUMMYFUNCTION("""COMPUTED_VALUE"""),35)</f>
        <v>35</v>
      </c>
      <c r="C272" s="1">
        <f ca="1">IFERROR(__xludf.DUMMYFUNCTION("""COMPUTED_VALUE"""),23)</f>
        <v>23</v>
      </c>
      <c r="D272" s="1">
        <f ca="1">IFERROR(__xludf.DUMMYFUNCTION("""COMPUTED_VALUE"""),12)</f>
        <v>12</v>
      </c>
      <c r="E272" s="1">
        <f ca="1">IFERROR(__xludf.DUMMYFUNCTION("""COMPUTED_VALUE"""),0.657)</f>
        <v>0.65700000000000003</v>
      </c>
      <c r="F272" s="1">
        <f ca="1">IFERROR(__xludf.DUMMYFUNCTION("""COMPUTED_VALUE"""),11.37)</f>
        <v>11.37</v>
      </c>
      <c r="G272" s="1">
        <f ca="1">IFERROR(__xludf.DUMMYFUNCTION("""COMPUTED_VALUE"""),7.85)</f>
        <v>7.85</v>
      </c>
      <c r="H272" s="1">
        <f ca="1">IFERROR(__xludf.DUMMYFUNCTION("""COMPUTED_VALUE"""),10)</f>
        <v>10</v>
      </c>
      <c r="I272" s="1">
        <f ca="1">IFERROR(__xludf.DUMMYFUNCTION("""COMPUTED_VALUE"""),8)</f>
        <v>8</v>
      </c>
      <c r="J272" s="1">
        <f ca="1">IFERROR(__xludf.DUMMYFUNCTION("""COMPUTED_VALUE"""),13)</f>
        <v>13</v>
      </c>
      <c r="K272" s="1">
        <f ca="1">IFERROR(__xludf.DUMMYFUNCTION("""COMPUTED_VALUE"""),3)</f>
        <v>3</v>
      </c>
      <c r="L272" s="1">
        <f ca="1">IFERROR(__xludf.DUMMYFUNCTION("""COMPUTED_VALUE"""),5)</f>
        <v>5</v>
      </c>
      <c r="M272" s="1">
        <f ca="1">IFERROR(__xludf.DUMMYFUNCTION("""COMPUTED_VALUE"""),6)</f>
        <v>6</v>
      </c>
      <c r="N272" s="1">
        <f ca="1">IFERROR(__xludf.DUMMYFUNCTION("""COMPUTED_VALUE"""),2566)</f>
        <v>2566</v>
      </c>
      <c r="O272" s="1">
        <f ca="1">IFERROR(__xludf.DUMMYFUNCTION("""COMPUTED_VALUE"""),2443)</f>
        <v>2443</v>
      </c>
      <c r="P272" s="1">
        <f ca="1">IFERROR(__xludf.DUMMYFUNCTION("""COMPUTED_VALUE"""),1450)</f>
        <v>1450</v>
      </c>
      <c r="Q272" s="1">
        <f ca="1">IFERROR(__xludf.DUMMYFUNCTION("""COMPUTED_VALUE"""),849)</f>
        <v>849</v>
      </c>
      <c r="R272" s="1">
        <f ca="1">IFERROR(__xludf.DUMMYFUNCTION("""COMPUTED_VALUE"""),1984)</f>
        <v>1984</v>
      </c>
      <c r="S272" s="1">
        <f ca="1">IFERROR(__xludf.DUMMYFUNCTION("""COMPUTED_VALUE"""),0.428)</f>
        <v>0.42799999999999999</v>
      </c>
      <c r="T272" s="1">
        <f ca="1">IFERROR(__xludf.DUMMYFUNCTION("""COMPUTED_VALUE"""),218)</f>
        <v>218</v>
      </c>
      <c r="U272" s="1">
        <f ca="1">IFERROR(__xludf.DUMMYFUNCTION("""COMPUTED_VALUE"""),628)</f>
        <v>628</v>
      </c>
      <c r="V272" s="1">
        <f ca="1">IFERROR(__xludf.DUMMYFUNCTION("""COMPUTED_VALUE"""),0.347)</f>
        <v>0.34699999999999998</v>
      </c>
      <c r="W272" s="1">
        <f ca="1">IFERROR(__xludf.DUMMYFUNCTION("""COMPUTED_VALUE"""),650)</f>
        <v>650</v>
      </c>
      <c r="X272" s="1">
        <f ca="1">IFERROR(__xludf.DUMMYFUNCTION("""COMPUTED_VALUE"""),831)</f>
        <v>831</v>
      </c>
      <c r="Y272" s="1">
        <f ca="1">IFERROR(__xludf.DUMMYFUNCTION("""COMPUTED_VALUE"""),0.782)</f>
        <v>0.78200000000000003</v>
      </c>
      <c r="Z272" s="1">
        <f ca="1">IFERROR(__xludf.DUMMYFUNCTION("""COMPUTED_VALUE"""),432)</f>
        <v>432</v>
      </c>
      <c r="AA272" s="1">
        <f ca="1">IFERROR(__xludf.DUMMYFUNCTION("""COMPUTED_VALUE"""),1278)</f>
        <v>1278</v>
      </c>
      <c r="AB272" s="1">
        <f ca="1">IFERROR(__xludf.DUMMYFUNCTION("""COMPUTED_VALUE"""),476)</f>
        <v>476</v>
      </c>
      <c r="AC272" s="1">
        <f ca="1">IFERROR(__xludf.DUMMYFUNCTION("""COMPUTED_VALUE"""),194)</f>
        <v>194</v>
      </c>
      <c r="AD272" s="1">
        <f ca="1">IFERROR(__xludf.DUMMYFUNCTION("""COMPUTED_VALUE"""),173)</f>
        <v>173</v>
      </c>
      <c r="AE272" s="1">
        <f ca="1">IFERROR(__xludf.DUMMYFUNCTION("""COMPUTED_VALUE"""),406)</f>
        <v>406</v>
      </c>
      <c r="AF272" s="1">
        <f ca="1">IFERROR(__xludf.DUMMYFUNCTION("""COMPUTED_VALUE"""),603)</f>
        <v>603</v>
      </c>
    </row>
    <row r="273" spans="1:32" ht="12.5" x14ac:dyDescent="0.25">
      <c r="A273" s="1" t="str">
        <f ca="1">IFERROR(__xludf.DUMMYFUNCTION("""COMPUTED_VALUE"""),"Purdue")</f>
        <v>Purdue</v>
      </c>
      <c r="B273" s="1">
        <f ca="1">IFERROR(__xludf.DUMMYFUNCTION("""COMPUTED_VALUE"""),32)</f>
        <v>32</v>
      </c>
      <c r="C273" s="1">
        <f ca="1">IFERROR(__xludf.DUMMYFUNCTION("""COMPUTED_VALUE"""),15)</f>
        <v>15</v>
      </c>
      <c r="D273" s="1">
        <f ca="1">IFERROR(__xludf.DUMMYFUNCTION("""COMPUTED_VALUE"""),17)</f>
        <v>17</v>
      </c>
      <c r="E273" s="1">
        <f ca="1">IFERROR(__xludf.DUMMYFUNCTION("""COMPUTED_VALUE"""),0.469)</f>
        <v>0.46899999999999997</v>
      </c>
      <c r="F273" s="1">
        <f ca="1">IFERROR(__xludf.DUMMYFUNCTION("""COMPUTED_VALUE"""),8.21)</f>
        <v>8.2100000000000009</v>
      </c>
      <c r="G273" s="1">
        <f ca="1">IFERROR(__xludf.DUMMYFUNCTION("""COMPUTED_VALUE"""),7.62)</f>
        <v>7.62</v>
      </c>
      <c r="H273" s="1">
        <f ca="1">IFERROR(__xludf.DUMMYFUNCTION("""COMPUTED_VALUE"""),5)</f>
        <v>5</v>
      </c>
      <c r="I273" s="1">
        <f ca="1">IFERROR(__xludf.DUMMYFUNCTION("""COMPUTED_VALUE"""),13)</f>
        <v>13</v>
      </c>
      <c r="J273" s="1">
        <f ca="1">IFERROR(__xludf.DUMMYFUNCTION("""COMPUTED_VALUE"""),12)</f>
        <v>12</v>
      </c>
      <c r="K273" s="1">
        <f ca="1">IFERROR(__xludf.DUMMYFUNCTION("""COMPUTED_VALUE"""),5)</f>
        <v>5</v>
      </c>
      <c r="L273" s="1">
        <f ca="1">IFERROR(__xludf.DUMMYFUNCTION("""COMPUTED_VALUE"""),2)</f>
        <v>2</v>
      </c>
      <c r="M273" s="1">
        <f ca="1">IFERROR(__xludf.DUMMYFUNCTION("""COMPUTED_VALUE"""),8)</f>
        <v>8</v>
      </c>
      <c r="N273" s="1">
        <f ca="1">IFERROR(__xludf.DUMMYFUNCTION("""COMPUTED_VALUE"""),2312)</f>
        <v>2312</v>
      </c>
      <c r="O273" s="1">
        <f ca="1">IFERROR(__xludf.DUMMYFUNCTION("""COMPUTED_VALUE"""),2293)</f>
        <v>2293</v>
      </c>
      <c r="P273" s="1">
        <f ca="1">IFERROR(__xludf.DUMMYFUNCTION("""COMPUTED_VALUE"""),1310)</f>
        <v>1310</v>
      </c>
      <c r="Q273" s="1">
        <f ca="1">IFERROR(__xludf.DUMMYFUNCTION("""COMPUTED_VALUE"""),822)</f>
        <v>822</v>
      </c>
      <c r="R273" s="1">
        <f ca="1">IFERROR(__xludf.DUMMYFUNCTION("""COMPUTED_VALUE"""),1926)</f>
        <v>1926</v>
      </c>
      <c r="S273" s="1">
        <f ca="1">IFERROR(__xludf.DUMMYFUNCTION("""COMPUTED_VALUE"""),0.427)</f>
        <v>0.42699999999999999</v>
      </c>
      <c r="T273" s="1">
        <f ca="1">IFERROR(__xludf.DUMMYFUNCTION("""COMPUTED_VALUE"""),176)</f>
        <v>176</v>
      </c>
      <c r="U273" s="1">
        <f ca="1">IFERROR(__xludf.DUMMYFUNCTION("""COMPUTED_VALUE"""),538)</f>
        <v>538</v>
      </c>
      <c r="V273" s="1">
        <f ca="1">IFERROR(__xludf.DUMMYFUNCTION("""COMPUTED_VALUE"""),0.327)</f>
        <v>0.32700000000000001</v>
      </c>
      <c r="W273" s="1">
        <f ca="1">IFERROR(__xludf.DUMMYFUNCTION("""COMPUTED_VALUE"""),492)</f>
        <v>492</v>
      </c>
      <c r="X273" s="1">
        <f ca="1">IFERROR(__xludf.DUMMYFUNCTION("""COMPUTED_VALUE"""),733)</f>
        <v>733</v>
      </c>
      <c r="Y273" s="1">
        <f ca="1">IFERROR(__xludf.DUMMYFUNCTION("""COMPUTED_VALUE"""),0.671)</f>
        <v>0.67100000000000004</v>
      </c>
      <c r="Z273" s="1">
        <f ca="1">IFERROR(__xludf.DUMMYFUNCTION("""COMPUTED_VALUE"""),446)</f>
        <v>446</v>
      </c>
      <c r="AA273" s="1">
        <f ca="1">IFERROR(__xludf.DUMMYFUNCTION("""COMPUTED_VALUE"""),1256)</f>
        <v>1256</v>
      </c>
      <c r="AB273" s="1">
        <f ca="1">IFERROR(__xludf.DUMMYFUNCTION("""COMPUTED_VALUE"""),419)</f>
        <v>419</v>
      </c>
      <c r="AC273" s="1">
        <f ca="1">IFERROR(__xludf.DUMMYFUNCTION("""COMPUTED_VALUE"""),179)</f>
        <v>179</v>
      </c>
      <c r="AD273" s="1">
        <f ca="1">IFERROR(__xludf.DUMMYFUNCTION("""COMPUTED_VALUE"""),168)</f>
        <v>168</v>
      </c>
      <c r="AE273" s="1">
        <f ca="1">IFERROR(__xludf.DUMMYFUNCTION("""COMPUTED_VALUE"""),393)</f>
        <v>393</v>
      </c>
      <c r="AF273" s="1">
        <f ca="1">IFERROR(__xludf.DUMMYFUNCTION("""COMPUTED_VALUE"""),662)</f>
        <v>662</v>
      </c>
    </row>
    <row r="274" spans="1:32" ht="12.5" x14ac:dyDescent="0.25">
      <c r="A274" s="1" t="str">
        <f ca="1">IFERROR(__xludf.DUMMYFUNCTION("""COMPUTED_VALUE"""),"Quinnipiac")</f>
        <v>Quinnipiac</v>
      </c>
      <c r="B274" s="1">
        <f ca="1">IFERROR(__xludf.DUMMYFUNCTION("""COMPUTED_VALUE"""),32)</f>
        <v>32</v>
      </c>
      <c r="C274" s="1">
        <f ca="1">IFERROR(__xludf.DUMMYFUNCTION("""COMPUTED_VALUE"""),20)</f>
        <v>20</v>
      </c>
      <c r="D274" s="1">
        <f ca="1">IFERROR(__xludf.DUMMYFUNCTION("""COMPUTED_VALUE"""),12)</f>
        <v>12</v>
      </c>
      <c r="E274" s="1">
        <f ca="1">IFERROR(__xludf.DUMMYFUNCTION("""COMPUTED_VALUE"""),0.625)</f>
        <v>0.625</v>
      </c>
      <c r="F274" s="1">
        <f ca="1">IFERROR(__xludf.DUMMYFUNCTION("""COMPUTED_VALUE"""),-0.13)</f>
        <v>-0.13</v>
      </c>
      <c r="G274" s="1">
        <f ca="1">IFERROR(__xludf.DUMMYFUNCTION("""COMPUTED_VALUE"""),-2.41)</f>
        <v>-2.41</v>
      </c>
      <c r="H274" s="1">
        <f ca="1">IFERROR(__xludf.DUMMYFUNCTION("""COMPUTED_VALUE"""),14)</f>
        <v>14</v>
      </c>
      <c r="I274" s="1">
        <f ca="1">IFERROR(__xludf.DUMMYFUNCTION("""COMPUTED_VALUE"""),6)</f>
        <v>6</v>
      </c>
      <c r="J274" s="1">
        <f ca="1">IFERROR(__xludf.DUMMYFUNCTION("""COMPUTED_VALUE"""),10)</f>
        <v>10</v>
      </c>
      <c r="K274" s="1">
        <f ca="1">IFERROR(__xludf.DUMMYFUNCTION("""COMPUTED_VALUE"""),3)</f>
        <v>3</v>
      </c>
      <c r="L274" s="1">
        <f ca="1">IFERROR(__xludf.DUMMYFUNCTION("""COMPUTED_VALUE"""),8)</f>
        <v>8</v>
      </c>
      <c r="M274" s="1">
        <f ca="1">IFERROR(__xludf.DUMMYFUNCTION("""COMPUTED_VALUE"""),8)</f>
        <v>8</v>
      </c>
      <c r="N274" s="1">
        <f ca="1">IFERROR(__xludf.DUMMYFUNCTION("""COMPUTED_VALUE"""),2521)</f>
        <v>2521</v>
      </c>
      <c r="O274" s="1">
        <f ca="1">IFERROR(__xludf.DUMMYFUNCTION("""COMPUTED_VALUE"""),2448)</f>
        <v>2448</v>
      </c>
      <c r="P274" s="1">
        <f ca="1">IFERROR(__xludf.DUMMYFUNCTION("""COMPUTED_VALUE"""),1290)</f>
        <v>1290</v>
      </c>
      <c r="Q274" s="1">
        <f ca="1">IFERROR(__xludf.DUMMYFUNCTION("""COMPUTED_VALUE"""),835)</f>
        <v>835</v>
      </c>
      <c r="R274" s="1">
        <f ca="1">IFERROR(__xludf.DUMMYFUNCTION("""COMPUTED_VALUE"""),1968)</f>
        <v>1968</v>
      </c>
      <c r="S274" s="1">
        <f ca="1">IFERROR(__xludf.DUMMYFUNCTION("""COMPUTED_VALUE"""),0.424)</f>
        <v>0.42399999999999999</v>
      </c>
      <c r="T274" s="1">
        <f ca="1">IFERROR(__xludf.DUMMYFUNCTION("""COMPUTED_VALUE"""),173)</f>
        <v>173</v>
      </c>
      <c r="U274" s="1">
        <f ca="1">IFERROR(__xludf.DUMMYFUNCTION("""COMPUTED_VALUE"""),485)</f>
        <v>485</v>
      </c>
      <c r="V274" s="1">
        <f ca="1">IFERROR(__xludf.DUMMYFUNCTION("""COMPUTED_VALUE"""),0.357)</f>
        <v>0.35699999999999998</v>
      </c>
      <c r="W274" s="1">
        <f ca="1">IFERROR(__xludf.DUMMYFUNCTION("""COMPUTED_VALUE"""),678)</f>
        <v>678</v>
      </c>
      <c r="X274" s="1">
        <f ca="1">IFERROR(__xludf.DUMMYFUNCTION("""COMPUTED_VALUE"""),947)</f>
        <v>947</v>
      </c>
      <c r="Y274" s="1">
        <f ca="1">IFERROR(__xludf.DUMMYFUNCTION("""COMPUTED_VALUE"""),0.716)</f>
        <v>0.71599999999999997</v>
      </c>
      <c r="Z274" s="1">
        <f ca="1">IFERROR(__xludf.DUMMYFUNCTION("""COMPUTED_VALUE"""),535)</f>
        <v>535</v>
      </c>
      <c r="AA274" s="1">
        <f ca="1">IFERROR(__xludf.DUMMYFUNCTION("""COMPUTED_VALUE"""),1454)</f>
        <v>1454</v>
      </c>
      <c r="AB274" s="1">
        <f ca="1">IFERROR(__xludf.DUMMYFUNCTION("""COMPUTED_VALUE"""),404)</f>
        <v>404</v>
      </c>
      <c r="AC274" s="1">
        <f ca="1">IFERROR(__xludf.DUMMYFUNCTION("""COMPUTED_VALUE"""),115)</f>
        <v>115</v>
      </c>
      <c r="AD274" s="1">
        <f ca="1">IFERROR(__xludf.DUMMYFUNCTION("""COMPUTED_VALUE"""),147)</f>
        <v>147</v>
      </c>
      <c r="AE274" s="1">
        <f ca="1">IFERROR(__xludf.DUMMYFUNCTION("""COMPUTED_VALUE"""),402)</f>
        <v>402</v>
      </c>
      <c r="AF274" s="1">
        <f ca="1">IFERROR(__xludf.DUMMYFUNCTION("""COMPUTED_VALUE"""),623)</f>
        <v>623</v>
      </c>
    </row>
    <row r="275" spans="1:32" ht="12.5" x14ac:dyDescent="0.25">
      <c r="A275" s="1" t="str">
        <f ca="1">IFERROR(__xludf.DUMMYFUNCTION("""COMPUTED_VALUE"""),"Radford")</f>
        <v>Radford</v>
      </c>
      <c r="B275" s="1">
        <f ca="1">IFERROR(__xludf.DUMMYFUNCTION("""COMPUTED_VALUE"""),35)</f>
        <v>35</v>
      </c>
      <c r="C275" s="1">
        <f ca="1">IFERROR(__xludf.DUMMYFUNCTION("""COMPUTED_VALUE"""),22)</f>
        <v>22</v>
      </c>
      <c r="D275" s="1">
        <f ca="1">IFERROR(__xludf.DUMMYFUNCTION("""COMPUTED_VALUE"""),13)</f>
        <v>13</v>
      </c>
      <c r="E275" s="1">
        <f ca="1">IFERROR(__xludf.DUMMYFUNCTION("""COMPUTED_VALUE"""),0.629)</f>
        <v>0.629</v>
      </c>
      <c r="F275" s="1">
        <f ca="1">IFERROR(__xludf.DUMMYFUNCTION("""COMPUTED_VALUE"""),-7.9)</f>
        <v>-7.9</v>
      </c>
      <c r="G275" s="1">
        <f ca="1">IFERROR(__xludf.DUMMYFUNCTION("""COMPUTED_VALUE"""),-8.31)</f>
        <v>-8.31</v>
      </c>
      <c r="H275" s="1">
        <f ca="1">IFERROR(__xludf.DUMMYFUNCTION("""COMPUTED_VALUE"""),10)</f>
        <v>10</v>
      </c>
      <c r="I275" s="1">
        <f ca="1">IFERROR(__xludf.DUMMYFUNCTION("""COMPUTED_VALUE"""),6)</f>
        <v>6</v>
      </c>
      <c r="J275" s="1">
        <f ca="1">IFERROR(__xludf.DUMMYFUNCTION("""COMPUTED_VALUE"""),10)</f>
        <v>10</v>
      </c>
      <c r="K275" s="1">
        <f ca="1">IFERROR(__xludf.DUMMYFUNCTION("""COMPUTED_VALUE"""),4)</f>
        <v>4</v>
      </c>
      <c r="L275" s="1">
        <f ca="1">IFERROR(__xludf.DUMMYFUNCTION("""COMPUTED_VALUE"""),9)</f>
        <v>9</v>
      </c>
      <c r="M275" s="1">
        <f ca="1">IFERROR(__xludf.DUMMYFUNCTION("""COMPUTED_VALUE"""),8)</f>
        <v>8</v>
      </c>
      <c r="N275" s="1">
        <f ca="1">IFERROR(__xludf.DUMMYFUNCTION("""COMPUTED_VALUE"""),2729)</f>
        <v>2729</v>
      </c>
      <c r="O275" s="1">
        <f ca="1">IFERROR(__xludf.DUMMYFUNCTION("""COMPUTED_VALUE"""),2600)</f>
        <v>2600</v>
      </c>
      <c r="P275" s="1">
        <f ca="1">IFERROR(__xludf.DUMMYFUNCTION("""COMPUTED_VALUE"""),1405)</f>
        <v>1405</v>
      </c>
      <c r="Q275" s="1">
        <f ca="1">IFERROR(__xludf.DUMMYFUNCTION("""COMPUTED_VALUE"""),972)</f>
        <v>972</v>
      </c>
      <c r="R275" s="1">
        <f ca="1">IFERROR(__xludf.DUMMYFUNCTION("""COMPUTED_VALUE"""),2035)</f>
        <v>2035</v>
      </c>
      <c r="S275" s="1">
        <f ca="1">IFERROR(__xludf.DUMMYFUNCTION("""COMPUTED_VALUE"""),0.478)</f>
        <v>0.47799999999999998</v>
      </c>
      <c r="T275" s="1">
        <f ca="1">IFERROR(__xludf.DUMMYFUNCTION("""COMPUTED_VALUE"""),221)</f>
        <v>221</v>
      </c>
      <c r="U275" s="1">
        <f ca="1">IFERROR(__xludf.DUMMYFUNCTION("""COMPUTED_VALUE"""),610)</f>
        <v>610</v>
      </c>
      <c r="V275" s="1">
        <f ca="1">IFERROR(__xludf.DUMMYFUNCTION("""COMPUTED_VALUE"""),0.362)</f>
        <v>0.36199999999999999</v>
      </c>
      <c r="W275" s="1">
        <f ca="1">IFERROR(__xludf.DUMMYFUNCTION("""COMPUTED_VALUE"""),564)</f>
        <v>564</v>
      </c>
      <c r="X275" s="1">
        <f ca="1">IFERROR(__xludf.DUMMYFUNCTION("""COMPUTED_VALUE"""),820)</f>
        <v>820</v>
      </c>
      <c r="Y275" s="1">
        <f ca="1">IFERROR(__xludf.DUMMYFUNCTION("""COMPUTED_VALUE"""),0.688)</f>
        <v>0.68799999999999994</v>
      </c>
      <c r="Z275" s="1">
        <f ca="1">IFERROR(__xludf.DUMMYFUNCTION("""COMPUTED_VALUE"""),397)</f>
        <v>397</v>
      </c>
      <c r="AA275" s="1">
        <f ca="1">IFERROR(__xludf.DUMMYFUNCTION("""COMPUTED_VALUE"""),1213)</f>
        <v>1213</v>
      </c>
      <c r="AB275" s="1">
        <f ca="1">IFERROR(__xludf.DUMMYFUNCTION("""COMPUTED_VALUE"""),460)</f>
        <v>460</v>
      </c>
      <c r="AC275" s="1">
        <f ca="1">IFERROR(__xludf.DUMMYFUNCTION("""COMPUTED_VALUE"""),247)</f>
        <v>247</v>
      </c>
      <c r="AD275" s="1">
        <f ca="1">IFERROR(__xludf.DUMMYFUNCTION("""COMPUTED_VALUE"""),128)</f>
        <v>128</v>
      </c>
      <c r="AE275" s="1">
        <f ca="1">IFERROR(__xludf.DUMMYFUNCTION("""COMPUTED_VALUE"""),383)</f>
        <v>383</v>
      </c>
      <c r="AF275" s="1">
        <f ca="1">IFERROR(__xludf.DUMMYFUNCTION("""COMPUTED_VALUE"""),662)</f>
        <v>662</v>
      </c>
    </row>
    <row r="276" spans="1:32" ht="12.5" x14ac:dyDescent="0.25">
      <c r="A276" s="1" t="str">
        <f ca="1">IFERROR(__xludf.DUMMYFUNCTION("""COMPUTED_VALUE"""),"Rhode Island")</f>
        <v>Rhode Island</v>
      </c>
      <c r="B276" s="1">
        <f ca="1">IFERROR(__xludf.DUMMYFUNCTION("""COMPUTED_VALUE"""),32)</f>
        <v>32</v>
      </c>
      <c r="C276" s="1">
        <f ca="1">IFERROR(__xludf.DUMMYFUNCTION("""COMPUTED_VALUE"""),14)</f>
        <v>14</v>
      </c>
      <c r="D276" s="1">
        <f ca="1">IFERROR(__xludf.DUMMYFUNCTION("""COMPUTED_VALUE"""),18)</f>
        <v>18</v>
      </c>
      <c r="E276" s="1">
        <f ca="1">IFERROR(__xludf.DUMMYFUNCTION("""COMPUTED_VALUE"""),0.438)</f>
        <v>0.438</v>
      </c>
      <c r="F276" s="1">
        <f ca="1">IFERROR(__xludf.DUMMYFUNCTION("""COMPUTED_VALUE"""),2.87)</f>
        <v>2.87</v>
      </c>
      <c r="G276" s="1">
        <f ca="1">IFERROR(__xludf.DUMMYFUNCTION("""COMPUTED_VALUE"""),3.26)</f>
        <v>3.26</v>
      </c>
      <c r="H276" s="1">
        <f ca="1">IFERROR(__xludf.DUMMYFUNCTION("""COMPUTED_VALUE"""),5)</f>
        <v>5</v>
      </c>
      <c r="I276" s="1">
        <f ca="1">IFERROR(__xludf.DUMMYFUNCTION("""COMPUTED_VALUE"""),12)</f>
        <v>12</v>
      </c>
      <c r="J276" s="1">
        <f ca="1">IFERROR(__xludf.DUMMYFUNCTION("""COMPUTED_VALUE"""),10)</f>
        <v>10</v>
      </c>
      <c r="K276" s="1">
        <f ca="1">IFERROR(__xludf.DUMMYFUNCTION("""COMPUTED_VALUE"""),6)</f>
        <v>6</v>
      </c>
      <c r="L276" s="1">
        <f ca="1">IFERROR(__xludf.DUMMYFUNCTION("""COMPUTED_VALUE"""),3)</f>
        <v>3</v>
      </c>
      <c r="M276" s="1">
        <f ca="1">IFERROR(__xludf.DUMMYFUNCTION("""COMPUTED_VALUE"""),11)</f>
        <v>11</v>
      </c>
      <c r="N276" s="1">
        <f ca="1">IFERROR(__xludf.DUMMYFUNCTION("""COMPUTED_VALUE"""),2169)</f>
        <v>2169</v>
      </c>
      <c r="O276" s="1">
        <f ca="1">IFERROR(__xludf.DUMMYFUNCTION("""COMPUTED_VALUE"""),2178)</f>
        <v>2178</v>
      </c>
      <c r="P276" s="1">
        <f ca="1">IFERROR(__xludf.DUMMYFUNCTION("""COMPUTED_VALUE"""),1285)</f>
        <v>1285</v>
      </c>
      <c r="Q276" s="1">
        <f ca="1">IFERROR(__xludf.DUMMYFUNCTION("""COMPUTED_VALUE"""),754)</f>
        <v>754</v>
      </c>
      <c r="R276" s="1">
        <f ca="1">IFERROR(__xludf.DUMMYFUNCTION("""COMPUTED_VALUE"""),1703)</f>
        <v>1703</v>
      </c>
      <c r="S276" s="1">
        <f ca="1">IFERROR(__xludf.DUMMYFUNCTION("""COMPUTED_VALUE"""),0.443)</f>
        <v>0.443</v>
      </c>
      <c r="T276" s="1">
        <f ca="1">IFERROR(__xludf.DUMMYFUNCTION("""COMPUTED_VALUE"""),152)</f>
        <v>152</v>
      </c>
      <c r="U276" s="1">
        <f ca="1">IFERROR(__xludf.DUMMYFUNCTION("""COMPUTED_VALUE"""),474)</f>
        <v>474</v>
      </c>
      <c r="V276" s="1">
        <f ca="1">IFERROR(__xludf.DUMMYFUNCTION("""COMPUTED_VALUE"""),0.321)</f>
        <v>0.32100000000000001</v>
      </c>
      <c r="W276" s="1">
        <f ca="1">IFERROR(__xludf.DUMMYFUNCTION("""COMPUTED_VALUE"""),509)</f>
        <v>509</v>
      </c>
      <c r="X276" s="1">
        <f ca="1">IFERROR(__xludf.DUMMYFUNCTION("""COMPUTED_VALUE"""),779)</f>
        <v>779</v>
      </c>
      <c r="Y276" s="1">
        <f ca="1">IFERROR(__xludf.DUMMYFUNCTION("""COMPUTED_VALUE"""),0.653)</f>
        <v>0.65300000000000002</v>
      </c>
      <c r="Z276" s="1">
        <f ca="1">IFERROR(__xludf.DUMMYFUNCTION("""COMPUTED_VALUE"""),356)</f>
        <v>356</v>
      </c>
      <c r="AA276" s="1">
        <f ca="1">IFERROR(__xludf.DUMMYFUNCTION("""COMPUTED_VALUE"""),1154)</f>
        <v>1154</v>
      </c>
      <c r="AB276" s="1">
        <f ca="1">IFERROR(__xludf.DUMMYFUNCTION("""COMPUTED_VALUE"""),385)</f>
        <v>385</v>
      </c>
      <c r="AC276" s="1">
        <f ca="1">IFERROR(__xludf.DUMMYFUNCTION("""COMPUTED_VALUE"""),158)</f>
        <v>158</v>
      </c>
      <c r="AD276" s="1">
        <f ca="1">IFERROR(__xludf.DUMMYFUNCTION("""COMPUTED_VALUE"""),166)</f>
        <v>166</v>
      </c>
      <c r="AE276" s="1">
        <f ca="1">IFERROR(__xludf.DUMMYFUNCTION("""COMPUTED_VALUE"""),451)</f>
        <v>451</v>
      </c>
      <c r="AF276" s="1">
        <f ca="1">IFERROR(__xludf.DUMMYFUNCTION("""COMPUTED_VALUE"""),651)</f>
        <v>651</v>
      </c>
    </row>
    <row r="277" spans="1:32" ht="12.5" x14ac:dyDescent="0.25">
      <c r="A277" s="1" t="str">
        <f ca="1">IFERROR(__xludf.DUMMYFUNCTION("""COMPUTED_VALUE"""),"Rice")</f>
        <v>Rice</v>
      </c>
      <c r="B277" s="1">
        <f ca="1">IFERROR(__xludf.DUMMYFUNCTION("""COMPUTED_VALUE"""),30)</f>
        <v>30</v>
      </c>
      <c r="C277" s="1">
        <f ca="1">IFERROR(__xludf.DUMMYFUNCTION("""COMPUTED_VALUE"""),7)</f>
        <v>7</v>
      </c>
      <c r="D277" s="1">
        <f ca="1">IFERROR(__xludf.DUMMYFUNCTION("""COMPUTED_VALUE"""),23)</f>
        <v>23</v>
      </c>
      <c r="E277" s="1">
        <f ca="1">IFERROR(__xludf.DUMMYFUNCTION("""COMPUTED_VALUE"""),0.233)</f>
        <v>0.23300000000000001</v>
      </c>
      <c r="F277" s="1">
        <f ca="1">IFERROR(__xludf.DUMMYFUNCTION("""COMPUTED_VALUE"""),-9.43)</f>
        <v>-9.43</v>
      </c>
      <c r="G277" s="1">
        <f ca="1">IFERROR(__xludf.DUMMYFUNCTION("""COMPUTED_VALUE"""),-0.43)</f>
        <v>-0.43</v>
      </c>
      <c r="H277" s="1">
        <f ca="1">IFERROR(__xludf.DUMMYFUNCTION("""COMPUTED_VALUE"""),2)</f>
        <v>2</v>
      </c>
      <c r="I277" s="1">
        <f ca="1">IFERROR(__xludf.DUMMYFUNCTION("""COMPUTED_VALUE"""),14)</f>
        <v>14</v>
      </c>
      <c r="J277" s="1">
        <f ca="1">IFERROR(__xludf.DUMMYFUNCTION("""COMPUTED_VALUE"""),5)</f>
        <v>5</v>
      </c>
      <c r="K277" s="1">
        <f ca="1">IFERROR(__xludf.DUMMYFUNCTION("""COMPUTED_VALUE"""),9)</f>
        <v>9</v>
      </c>
      <c r="L277" s="1">
        <f ca="1">IFERROR(__xludf.DUMMYFUNCTION("""COMPUTED_VALUE"""),1)</f>
        <v>1</v>
      </c>
      <c r="M277" s="1">
        <f ca="1">IFERROR(__xludf.DUMMYFUNCTION("""COMPUTED_VALUE"""),11)</f>
        <v>11</v>
      </c>
      <c r="N277" s="1">
        <f ca="1">IFERROR(__xludf.DUMMYFUNCTION("""COMPUTED_VALUE"""),1853)</f>
        <v>1853</v>
      </c>
      <c r="O277" s="1">
        <f ca="1">IFERROR(__xludf.DUMMYFUNCTION("""COMPUTED_VALUE"""),2083)</f>
        <v>2083</v>
      </c>
      <c r="P277" s="1">
        <f ca="1">IFERROR(__xludf.DUMMYFUNCTION("""COMPUTED_VALUE"""),1225)</f>
        <v>1225</v>
      </c>
      <c r="Q277" s="1">
        <f ca="1">IFERROR(__xludf.DUMMYFUNCTION("""COMPUTED_VALUE"""),637)</f>
        <v>637</v>
      </c>
      <c r="R277" s="1">
        <f ca="1">IFERROR(__xludf.DUMMYFUNCTION("""COMPUTED_VALUE"""),1582)</f>
        <v>1582</v>
      </c>
      <c r="S277" s="1">
        <f ca="1">IFERROR(__xludf.DUMMYFUNCTION("""COMPUTED_VALUE"""),0.403)</f>
        <v>0.40300000000000002</v>
      </c>
      <c r="T277" s="1">
        <f ca="1">IFERROR(__xludf.DUMMYFUNCTION("""COMPUTED_VALUE"""),237)</f>
        <v>237</v>
      </c>
      <c r="U277" s="1">
        <f ca="1">IFERROR(__xludf.DUMMYFUNCTION("""COMPUTED_VALUE"""),733)</f>
        <v>733</v>
      </c>
      <c r="V277" s="1">
        <f ca="1">IFERROR(__xludf.DUMMYFUNCTION("""COMPUTED_VALUE"""),0.323)</f>
        <v>0.32300000000000001</v>
      </c>
      <c r="W277" s="1">
        <f ca="1">IFERROR(__xludf.DUMMYFUNCTION("""COMPUTED_VALUE"""),342)</f>
        <v>342</v>
      </c>
      <c r="X277" s="1">
        <f ca="1">IFERROR(__xludf.DUMMYFUNCTION("""COMPUTED_VALUE"""),527)</f>
        <v>527</v>
      </c>
      <c r="Y277" s="1">
        <f ca="1">IFERROR(__xludf.DUMMYFUNCTION("""COMPUTED_VALUE"""),0.649)</f>
        <v>0.64900000000000002</v>
      </c>
      <c r="Z277" s="1">
        <f ca="1">IFERROR(__xludf.DUMMYFUNCTION("""COMPUTED_VALUE"""),233)</f>
        <v>233</v>
      </c>
      <c r="AA277" s="1">
        <f ca="1">IFERROR(__xludf.DUMMYFUNCTION("""COMPUTED_VALUE"""),971)</f>
        <v>971</v>
      </c>
      <c r="AB277" s="1">
        <f ca="1">IFERROR(__xludf.DUMMYFUNCTION("""COMPUTED_VALUE"""),414)</f>
        <v>414</v>
      </c>
      <c r="AC277" s="1">
        <f ca="1">IFERROR(__xludf.DUMMYFUNCTION("""COMPUTED_VALUE"""),140)</f>
        <v>140</v>
      </c>
      <c r="AD277" s="1">
        <f ca="1">IFERROR(__xludf.DUMMYFUNCTION("""COMPUTED_VALUE"""),57)</f>
        <v>57</v>
      </c>
      <c r="AE277" s="1">
        <f ca="1">IFERROR(__xludf.DUMMYFUNCTION("""COMPUTED_VALUE"""),394)</f>
        <v>394</v>
      </c>
      <c r="AF277" s="1">
        <f ca="1">IFERROR(__xludf.DUMMYFUNCTION("""COMPUTED_VALUE"""),569)</f>
        <v>569</v>
      </c>
    </row>
    <row r="278" spans="1:32" ht="12.5" x14ac:dyDescent="0.25">
      <c r="A278" s="1" t="str">
        <f ca="1">IFERROR(__xludf.DUMMYFUNCTION("""COMPUTED_VALUE"""),"Richmond")</f>
        <v>Richmond</v>
      </c>
      <c r="B278" s="1">
        <f ca="1">IFERROR(__xludf.DUMMYFUNCTION("""COMPUTED_VALUE"""),33)</f>
        <v>33</v>
      </c>
      <c r="C278" s="1">
        <f ca="1">IFERROR(__xludf.DUMMYFUNCTION("""COMPUTED_VALUE"""),19)</f>
        <v>19</v>
      </c>
      <c r="D278" s="1">
        <f ca="1">IFERROR(__xludf.DUMMYFUNCTION("""COMPUTED_VALUE"""),14)</f>
        <v>14</v>
      </c>
      <c r="E278" s="1">
        <f ca="1">IFERROR(__xludf.DUMMYFUNCTION("""COMPUTED_VALUE"""),0.576)</f>
        <v>0.57599999999999996</v>
      </c>
      <c r="F278" s="1">
        <f ca="1">IFERROR(__xludf.DUMMYFUNCTION("""COMPUTED_VALUE"""),5.7)</f>
        <v>5.7</v>
      </c>
      <c r="G278" s="1">
        <f ca="1">IFERROR(__xludf.DUMMYFUNCTION("""COMPUTED_VALUE"""),4.3)</f>
        <v>4.3</v>
      </c>
      <c r="H278" s="1">
        <f ca="1">IFERROR(__xludf.DUMMYFUNCTION("""COMPUTED_VALUE"""),8)</f>
        <v>8</v>
      </c>
      <c r="I278" s="1">
        <f ca="1">IFERROR(__xludf.DUMMYFUNCTION("""COMPUTED_VALUE"""),8)</f>
        <v>8</v>
      </c>
      <c r="J278" s="1">
        <f ca="1">IFERROR(__xludf.DUMMYFUNCTION("""COMPUTED_VALUE"""),12)</f>
        <v>12</v>
      </c>
      <c r="K278" s="1">
        <f ca="1">IFERROR(__xludf.DUMMYFUNCTION("""COMPUTED_VALUE"""),4)</f>
        <v>4</v>
      </c>
      <c r="L278" s="1">
        <f ca="1">IFERROR(__xludf.DUMMYFUNCTION("""COMPUTED_VALUE"""),5)</f>
        <v>5</v>
      </c>
      <c r="M278" s="1">
        <f ca="1">IFERROR(__xludf.DUMMYFUNCTION("""COMPUTED_VALUE"""),8)</f>
        <v>8</v>
      </c>
      <c r="N278" s="1">
        <f ca="1">IFERROR(__xludf.DUMMYFUNCTION("""COMPUTED_VALUE"""),2196)</f>
        <v>2196</v>
      </c>
      <c r="O278" s="1">
        <f ca="1">IFERROR(__xludf.DUMMYFUNCTION("""COMPUTED_VALUE"""),2150)</f>
        <v>2150</v>
      </c>
      <c r="P278" s="1">
        <f ca="1">IFERROR(__xludf.DUMMYFUNCTION("""COMPUTED_VALUE"""),1340)</f>
        <v>1340</v>
      </c>
      <c r="Q278" s="1">
        <f ca="1">IFERROR(__xludf.DUMMYFUNCTION("""COMPUTED_VALUE"""),750)</f>
        <v>750</v>
      </c>
      <c r="R278" s="1">
        <f ca="1">IFERROR(__xludf.DUMMYFUNCTION("""COMPUTED_VALUE"""),1777)</f>
        <v>1777</v>
      </c>
      <c r="S278" s="1">
        <f ca="1">IFERROR(__xludf.DUMMYFUNCTION("""COMPUTED_VALUE"""),0.422)</f>
        <v>0.42199999999999999</v>
      </c>
      <c r="T278" s="1">
        <f ca="1">IFERROR(__xludf.DUMMYFUNCTION("""COMPUTED_VALUE"""),209)</f>
        <v>209</v>
      </c>
      <c r="U278" s="1">
        <f ca="1">IFERROR(__xludf.DUMMYFUNCTION("""COMPUTED_VALUE"""),649)</f>
        <v>649</v>
      </c>
      <c r="V278" s="1">
        <f ca="1">IFERROR(__xludf.DUMMYFUNCTION("""COMPUTED_VALUE"""),0.322)</f>
        <v>0.32200000000000001</v>
      </c>
      <c r="W278" s="1">
        <f ca="1">IFERROR(__xludf.DUMMYFUNCTION("""COMPUTED_VALUE"""),487)</f>
        <v>487</v>
      </c>
      <c r="X278" s="1">
        <f ca="1">IFERROR(__xludf.DUMMYFUNCTION("""COMPUTED_VALUE"""),728)</f>
        <v>728</v>
      </c>
      <c r="Y278" s="1">
        <f ca="1">IFERROR(__xludf.DUMMYFUNCTION("""COMPUTED_VALUE"""),0.669)</f>
        <v>0.66900000000000004</v>
      </c>
      <c r="Z278" s="1">
        <f ca="1">IFERROR(__xludf.DUMMYFUNCTION("""COMPUTED_VALUE"""),304)</f>
        <v>304</v>
      </c>
      <c r="AA278" s="1">
        <f ca="1">IFERROR(__xludf.DUMMYFUNCTION("""COMPUTED_VALUE"""),1074)</f>
        <v>1074</v>
      </c>
      <c r="AB278" s="1">
        <f ca="1">IFERROR(__xludf.DUMMYFUNCTION("""COMPUTED_VALUE"""),349)</f>
        <v>349</v>
      </c>
      <c r="AC278" s="1">
        <f ca="1">IFERROR(__xludf.DUMMYFUNCTION("""COMPUTED_VALUE"""),193)</f>
        <v>193</v>
      </c>
      <c r="AD278" s="1">
        <f ca="1">IFERROR(__xludf.DUMMYFUNCTION("""COMPUTED_VALUE"""),142)</f>
        <v>142</v>
      </c>
      <c r="AE278" s="1">
        <f ca="1">IFERROR(__xludf.DUMMYFUNCTION("""COMPUTED_VALUE"""),351)</f>
        <v>351</v>
      </c>
      <c r="AF278" s="1">
        <f ca="1">IFERROR(__xludf.DUMMYFUNCTION("""COMPUTED_VALUE"""),636)</f>
        <v>636</v>
      </c>
    </row>
    <row r="279" spans="1:32" ht="12.5" x14ac:dyDescent="0.25">
      <c r="A279" s="1" t="str">
        <f ca="1">IFERROR(__xludf.DUMMYFUNCTION("""COMPUTED_VALUE"""),"Rider")</f>
        <v>Rider</v>
      </c>
      <c r="B279" s="1">
        <f ca="1">IFERROR(__xludf.DUMMYFUNCTION("""COMPUTED_VALUE"""),31)</f>
        <v>31</v>
      </c>
      <c r="C279" s="1">
        <f ca="1">IFERROR(__xludf.DUMMYFUNCTION("""COMPUTED_VALUE"""),14)</f>
        <v>14</v>
      </c>
      <c r="D279" s="1">
        <f ca="1">IFERROR(__xludf.DUMMYFUNCTION("""COMPUTED_VALUE"""),17)</f>
        <v>17</v>
      </c>
      <c r="E279" s="1">
        <f ca="1">IFERROR(__xludf.DUMMYFUNCTION("""COMPUTED_VALUE"""),0.452)</f>
        <v>0.45200000000000001</v>
      </c>
      <c r="F279" s="1">
        <f ca="1">IFERROR(__xludf.DUMMYFUNCTION("""COMPUTED_VALUE"""),-4.34)</f>
        <v>-4.34</v>
      </c>
      <c r="G279" s="1">
        <f ca="1">IFERROR(__xludf.DUMMYFUNCTION("""COMPUTED_VALUE"""),-1.69)</f>
        <v>-1.69</v>
      </c>
      <c r="H279" s="1">
        <f ca="1">IFERROR(__xludf.DUMMYFUNCTION("""COMPUTED_VALUE"""),9)</f>
        <v>9</v>
      </c>
      <c r="I279" s="1">
        <f ca="1">IFERROR(__xludf.DUMMYFUNCTION("""COMPUTED_VALUE"""),11)</f>
        <v>11</v>
      </c>
      <c r="J279" s="1">
        <f ca="1">IFERROR(__xludf.DUMMYFUNCTION("""COMPUTED_VALUE"""),6)</f>
        <v>6</v>
      </c>
      <c r="K279" s="1">
        <f ca="1">IFERROR(__xludf.DUMMYFUNCTION("""COMPUTED_VALUE"""),7)</f>
        <v>7</v>
      </c>
      <c r="L279" s="1">
        <f ca="1">IFERROR(__xludf.DUMMYFUNCTION("""COMPUTED_VALUE"""),6)</f>
        <v>6</v>
      </c>
      <c r="M279" s="1">
        <f ca="1">IFERROR(__xludf.DUMMYFUNCTION("""COMPUTED_VALUE"""),8)</f>
        <v>8</v>
      </c>
      <c r="N279" s="1">
        <f ca="1">IFERROR(__xludf.DUMMYFUNCTION("""COMPUTED_VALUE"""),2292)</f>
        <v>2292</v>
      </c>
      <c r="O279" s="1">
        <f ca="1">IFERROR(__xludf.DUMMYFUNCTION("""COMPUTED_VALUE"""),2374)</f>
        <v>2374</v>
      </c>
      <c r="P279" s="1">
        <f ca="1">IFERROR(__xludf.DUMMYFUNCTION("""COMPUTED_VALUE"""),1260)</f>
        <v>1260</v>
      </c>
      <c r="Q279" s="1">
        <f ca="1">IFERROR(__xludf.DUMMYFUNCTION("""COMPUTED_VALUE"""),743)</f>
        <v>743</v>
      </c>
      <c r="R279" s="1">
        <f ca="1">IFERROR(__xludf.DUMMYFUNCTION("""COMPUTED_VALUE"""),1704)</f>
        <v>1704</v>
      </c>
      <c r="S279" s="1">
        <f ca="1">IFERROR(__xludf.DUMMYFUNCTION("""COMPUTED_VALUE"""),0.436)</f>
        <v>0.436</v>
      </c>
      <c r="T279" s="1">
        <f ca="1">IFERROR(__xludf.DUMMYFUNCTION("""COMPUTED_VALUE"""),237)</f>
        <v>237</v>
      </c>
      <c r="U279" s="1">
        <f ca="1">IFERROR(__xludf.DUMMYFUNCTION("""COMPUTED_VALUE"""),597)</f>
        <v>597</v>
      </c>
      <c r="V279" s="1">
        <f ca="1">IFERROR(__xludf.DUMMYFUNCTION("""COMPUTED_VALUE"""),0.397)</f>
        <v>0.39700000000000002</v>
      </c>
      <c r="W279" s="1">
        <f ca="1">IFERROR(__xludf.DUMMYFUNCTION("""COMPUTED_VALUE"""),569)</f>
        <v>569</v>
      </c>
      <c r="X279" s="1">
        <f ca="1">IFERROR(__xludf.DUMMYFUNCTION("""COMPUTED_VALUE"""),778)</f>
        <v>778</v>
      </c>
      <c r="Y279" s="1">
        <f ca="1">IFERROR(__xludf.DUMMYFUNCTION("""COMPUTED_VALUE"""),0.731)</f>
        <v>0.73099999999999998</v>
      </c>
      <c r="Z279" s="1">
        <f ca="1">IFERROR(__xludf.DUMMYFUNCTION("""COMPUTED_VALUE"""),338)</f>
        <v>338</v>
      </c>
      <c r="AA279" s="1">
        <f ca="1">IFERROR(__xludf.DUMMYFUNCTION("""COMPUTED_VALUE"""),1040)</f>
        <v>1040</v>
      </c>
      <c r="AB279" s="1">
        <f ca="1">IFERROR(__xludf.DUMMYFUNCTION("""COMPUTED_VALUE"""),377)</f>
        <v>377</v>
      </c>
      <c r="AC279" s="1">
        <f ca="1">IFERROR(__xludf.DUMMYFUNCTION("""COMPUTED_VALUE"""),188)</f>
        <v>188</v>
      </c>
      <c r="AD279" s="1">
        <f ca="1">IFERROR(__xludf.DUMMYFUNCTION("""COMPUTED_VALUE"""),89)</f>
        <v>89</v>
      </c>
      <c r="AE279" s="1">
        <f ca="1">IFERROR(__xludf.DUMMYFUNCTION("""COMPUTED_VALUE"""),409)</f>
        <v>409</v>
      </c>
      <c r="AF279" s="1">
        <f ca="1">IFERROR(__xludf.DUMMYFUNCTION("""COMPUTED_VALUE"""),623)</f>
        <v>623</v>
      </c>
    </row>
    <row r="280" spans="1:32" ht="12.5" x14ac:dyDescent="0.25">
      <c r="A280" s="1" t="str">
        <f ca="1">IFERROR(__xludf.DUMMYFUNCTION("""COMPUTED_VALUE"""),"Robert Morris")</f>
        <v>Robert Morris</v>
      </c>
      <c r="B280" s="1">
        <f ca="1">IFERROR(__xludf.DUMMYFUNCTION("""COMPUTED_VALUE"""),36)</f>
        <v>36</v>
      </c>
      <c r="C280" s="1">
        <f ca="1">IFERROR(__xludf.DUMMYFUNCTION("""COMPUTED_VALUE"""),22)</f>
        <v>22</v>
      </c>
      <c r="D280" s="1">
        <f ca="1">IFERROR(__xludf.DUMMYFUNCTION("""COMPUTED_VALUE"""),14)</f>
        <v>14</v>
      </c>
      <c r="E280" s="1">
        <f ca="1">IFERROR(__xludf.DUMMYFUNCTION("""COMPUTED_VALUE"""),0.611)</f>
        <v>0.61099999999999999</v>
      </c>
      <c r="F280" s="1">
        <f ca="1">IFERROR(__xludf.DUMMYFUNCTION("""COMPUTED_VALUE"""),-3.52)</f>
        <v>-3.52</v>
      </c>
      <c r="G280" s="1">
        <f ca="1">IFERROR(__xludf.DUMMYFUNCTION("""COMPUTED_VALUE"""),-3.79)</f>
        <v>-3.79</v>
      </c>
      <c r="H280" s="1">
        <f ca="1">IFERROR(__xludf.DUMMYFUNCTION("""COMPUTED_VALUE"""),14)</f>
        <v>14</v>
      </c>
      <c r="I280" s="1">
        <f ca="1">IFERROR(__xludf.DUMMYFUNCTION("""COMPUTED_VALUE"""),2)</f>
        <v>2</v>
      </c>
      <c r="J280" s="1">
        <f ca="1">IFERROR(__xludf.DUMMYFUNCTION("""COMPUTED_VALUE"""),12)</f>
        <v>12</v>
      </c>
      <c r="K280" s="1">
        <f ca="1">IFERROR(__xludf.DUMMYFUNCTION("""COMPUTED_VALUE"""),3)</f>
        <v>3</v>
      </c>
      <c r="L280" s="1">
        <f ca="1">IFERROR(__xludf.DUMMYFUNCTION("""COMPUTED_VALUE"""),10)</f>
        <v>10</v>
      </c>
      <c r="M280" s="1">
        <f ca="1">IFERROR(__xludf.DUMMYFUNCTION("""COMPUTED_VALUE"""),11)</f>
        <v>11</v>
      </c>
      <c r="N280" s="1">
        <f ca="1">IFERROR(__xludf.DUMMYFUNCTION("""COMPUTED_VALUE"""),2593)</f>
        <v>2593</v>
      </c>
      <c r="O280" s="1">
        <f ca="1">IFERROR(__xludf.DUMMYFUNCTION("""COMPUTED_VALUE"""),2583)</f>
        <v>2583</v>
      </c>
      <c r="P280" s="1">
        <f ca="1">IFERROR(__xludf.DUMMYFUNCTION("""COMPUTED_VALUE"""),1445)</f>
        <v>1445</v>
      </c>
      <c r="Q280" s="1">
        <f ca="1">IFERROR(__xludf.DUMMYFUNCTION("""COMPUTED_VALUE"""),890)</f>
        <v>890</v>
      </c>
      <c r="R280" s="1">
        <f ca="1">IFERROR(__xludf.DUMMYFUNCTION("""COMPUTED_VALUE"""),2033)</f>
        <v>2033</v>
      </c>
      <c r="S280" s="1">
        <f ca="1">IFERROR(__xludf.DUMMYFUNCTION("""COMPUTED_VALUE"""),0.438)</f>
        <v>0.438</v>
      </c>
      <c r="T280" s="1">
        <f ca="1">IFERROR(__xludf.DUMMYFUNCTION("""COMPUTED_VALUE"""),271)</f>
        <v>271</v>
      </c>
      <c r="U280" s="1">
        <f ca="1">IFERROR(__xludf.DUMMYFUNCTION("""COMPUTED_VALUE"""),703)</f>
        <v>703</v>
      </c>
      <c r="V280" s="1">
        <f ca="1">IFERROR(__xludf.DUMMYFUNCTION("""COMPUTED_VALUE"""),0.385)</f>
        <v>0.38500000000000001</v>
      </c>
      <c r="W280" s="1">
        <f ca="1">IFERROR(__xludf.DUMMYFUNCTION("""COMPUTED_VALUE"""),542)</f>
        <v>542</v>
      </c>
      <c r="X280" s="1">
        <f ca="1">IFERROR(__xludf.DUMMYFUNCTION("""COMPUTED_VALUE"""),745)</f>
        <v>745</v>
      </c>
      <c r="Y280" s="1">
        <f ca="1">IFERROR(__xludf.DUMMYFUNCTION("""COMPUTED_VALUE"""),0.728)</f>
        <v>0.72799999999999998</v>
      </c>
      <c r="Z280" s="1">
        <f ca="1">IFERROR(__xludf.DUMMYFUNCTION("""COMPUTED_VALUE"""),384)</f>
        <v>384</v>
      </c>
      <c r="AA280" s="1">
        <f ca="1">IFERROR(__xludf.DUMMYFUNCTION("""COMPUTED_VALUE"""),1205)</f>
        <v>1205</v>
      </c>
      <c r="AB280" s="1">
        <f ca="1">IFERROR(__xludf.DUMMYFUNCTION("""COMPUTED_VALUE"""),445)</f>
        <v>445</v>
      </c>
      <c r="AC280" s="1">
        <f ca="1">IFERROR(__xludf.DUMMYFUNCTION("""COMPUTED_VALUE"""),255)</f>
        <v>255</v>
      </c>
      <c r="AD280" s="1">
        <f ca="1">IFERROR(__xludf.DUMMYFUNCTION("""COMPUTED_VALUE"""),65)</f>
        <v>65</v>
      </c>
      <c r="AE280" s="1">
        <f ca="1">IFERROR(__xludf.DUMMYFUNCTION("""COMPUTED_VALUE"""),411)</f>
        <v>411</v>
      </c>
      <c r="AF280" s="1">
        <f ca="1">IFERROR(__xludf.DUMMYFUNCTION("""COMPUTED_VALUE"""),656)</f>
        <v>656</v>
      </c>
    </row>
    <row r="281" spans="1:32" ht="12.5" x14ac:dyDescent="0.25">
      <c r="A281" s="1" t="str">
        <f ca="1">IFERROR(__xludf.DUMMYFUNCTION("""COMPUTED_VALUE"""),"Rutgers")</f>
        <v>Rutgers</v>
      </c>
      <c r="B281" s="1">
        <f ca="1">IFERROR(__xludf.DUMMYFUNCTION("""COMPUTED_VALUE"""),33)</f>
        <v>33</v>
      </c>
      <c r="C281" s="1">
        <f ca="1">IFERROR(__xludf.DUMMYFUNCTION("""COMPUTED_VALUE"""),12)</f>
        <v>12</v>
      </c>
      <c r="D281" s="1">
        <f ca="1">IFERROR(__xludf.DUMMYFUNCTION("""COMPUTED_VALUE"""),21)</f>
        <v>21</v>
      </c>
      <c r="E281" s="1">
        <f ca="1">IFERROR(__xludf.DUMMYFUNCTION("""COMPUTED_VALUE"""),0.364)</f>
        <v>0.36399999999999999</v>
      </c>
      <c r="F281" s="1">
        <f ca="1">IFERROR(__xludf.DUMMYFUNCTION("""COMPUTED_VALUE"""),-0.29)</f>
        <v>-0.28999999999999998</v>
      </c>
      <c r="G281" s="1">
        <f ca="1">IFERROR(__xludf.DUMMYFUNCTION("""COMPUTED_VALUE"""),5.8)</f>
        <v>5.8</v>
      </c>
      <c r="H281" s="1">
        <f ca="1">IFERROR(__xludf.DUMMYFUNCTION("""COMPUTED_VALUE"""),5)</f>
        <v>5</v>
      </c>
      <c r="I281" s="1">
        <f ca="1">IFERROR(__xludf.DUMMYFUNCTION("""COMPUTED_VALUE"""),13)</f>
        <v>13</v>
      </c>
      <c r="J281" s="1">
        <f ca="1">IFERROR(__xludf.DUMMYFUNCTION("""COMPUTED_VALUE"""),10)</f>
        <v>10</v>
      </c>
      <c r="K281" s="1">
        <f ca="1">IFERROR(__xludf.DUMMYFUNCTION("""COMPUTED_VALUE"""),10)</f>
        <v>10</v>
      </c>
      <c r="L281" s="1">
        <f ca="1">IFERROR(__xludf.DUMMYFUNCTION("""COMPUTED_VALUE"""),1)</f>
        <v>1</v>
      </c>
      <c r="M281" s="1">
        <f ca="1">IFERROR(__xludf.DUMMYFUNCTION("""COMPUTED_VALUE"""),10)</f>
        <v>10</v>
      </c>
      <c r="N281" s="1">
        <f ca="1">IFERROR(__xludf.DUMMYFUNCTION("""COMPUTED_VALUE"""),2347)</f>
        <v>2347</v>
      </c>
      <c r="O281" s="1">
        <f ca="1">IFERROR(__xludf.DUMMYFUNCTION("""COMPUTED_VALUE"""),2515)</f>
        <v>2515</v>
      </c>
      <c r="P281" s="1">
        <f ca="1">IFERROR(__xludf.DUMMYFUNCTION("""COMPUTED_VALUE"""),1320)</f>
        <v>1320</v>
      </c>
      <c r="Q281" s="1">
        <f ca="1">IFERROR(__xludf.DUMMYFUNCTION("""COMPUTED_VALUE"""),823)</f>
        <v>823</v>
      </c>
      <c r="R281" s="1">
        <f ca="1">IFERROR(__xludf.DUMMYFUNCTION("""COMPUTED_VALUE"""),1931)</f>
        <v>1931</v>
      </c>
      <c r="S281" s="1">
        <f ca="1">IFERROR(__xludf.DUMMYFUNCTION("""COMPUTED_VALUE"""),0.426)</f>
        <v>0.42599999999999999</v>
      </c>
      <c r="T281" s="1">
        <f ca="1">IFERROR(__xludf.DUMMYFUNCTION("""COMPUTED_VALUE"""),199)</f>
        <v>199</v>
      </c>
      <c r="U281" s="1">
        <f ca="1">IFERROR(__xludf.DUMMYFUNCTION("""COMPUTED_VALUE"""),593)</f>
        <v>593</v>
      </c>
      <c r="V281" s="1">
        <f ca="1">IFERROR(__xludf.DUMMYFUNCTION("""COMPUTED_VALUE"""),0.336)</f>
        <v>0.33600000000000002</v>
      </c>
      <c r="W281" s="1">
        <f ca="1">IFERROR(__xludf.DUMMYFUNCTION("""COMPUTED_VALUE"""),502)</f>
        <v>502</v>
      </c>
      <c r="X281" s="1">
        <f ca="1">IFERROR(__xludf.DUMMYFUNCTION("""COMPUTED_VALUE"""),711)</f>
        <v>711</v>
      </c>
      <c r="Y281" s="1">
        <f ca="1">IFERROR(__xludf.DUMMYFUNCTION("""COMPUTED_VALUE"""),0.706)</f>
        <v>0.70599999999999996</v>
      </c>
      <c r="Z281" s="1">
        <f ca="1">IFERROR(__xludf.DUMMYFUNCTION("""COMPUTED_VALUE"""),399)</f>
        <v>399</v>
      </c>
      <c r="AA281" s="1">
        <f ca="1">IFERROR(__xludf.DUMMYFUNCTION("""COMPUTED_VALUE"""),1169)</f>
        <v>1169</v>
      </c>
      <c r="AB281" s="1">
        <f ca="1">IFERROR(__xludf.DUMMYFUNCTION("""COMPUTED_VALUE"""),418)</f>
        <v>418</v>
      </c>
      <c r="AC281" s="1">
        <f ca="1">IFERROR(__xludf.DUMMYFUNCTION("""COMPUTED_VALUE"""),190)</f>
        <v>190</v>
      </c>
      <c r="AD281" s="1">
        <f ca="1">IFERROR(__xludf.DUMMYFUNCTION("""COMPUTED_VALUE"""),140)</f>
        <v>140</v>
      </c>
      <c r="AE281" s="1">
        <f ca="1">IFERROR(__xludf.DUMMYFUNCTION("""COMPUTED_VALUE"""),417)</f>
        <v>417</v>
      </c>
      <c r="AF281" s="1">
        <f ca="1">IFERROR(__xludf.DUMMYFUNCTION("""COMPUTED_VALUE"""),681)</f>
        <v>681</v>
      </c>
    </row>
    <row r="282" spans="1:32" ht="12.5" x14ac:dyDescent="0.25">
      <c r="A282" s="1" t="str">
        <f ca="1">IFERROR(__xludf.DUMMYFUNCTION("""COMPUTED_VALUE"""),"Sacramento State")</f>
        <v>Sacramento State</v>
      </c>
      <c r="B282" s="1">
        <f ca="1">IFERROR(__xludf.DUMMYFUNCTION("""COMPUTED_VALUE"""),30)</f>
        <v>30</v>
      </c>
      <c r="C282" s="1">
        <f ca="1">IFERROR(__xludf.DUMMYFUNCTION("""COMPUTED_VALUE"""),14)</f>
        <v>14</v>
      </c>
      <c r="D282" s="1">
        <f ca="1">IFERROR(__xludf.DUMMYFUNCTION("""COMPUTED_VALUE"""),16)</f>
        <v>16</v>
      </c>
      <c r="E282" s="1">
        <f ca="1">IFERROR(__xludf.DUMMYFUNCTION("""COMPUTED_VALUE"""),0.467)</f>
        <v>0.46700000000000003</v>
      </c>
      <c r="F282" s="1">
        <f ca="1">IFERROR(__xludf.DUMMYFUNCTION("""COMPUTED_VALUE"""),-8.04)</f>
        <v>-8.0399999999999991</v>
      </c>
      <c r="G282" s="1">
        <f ca="1">IFERROR(__xludf.DUMMYFUNCTION("""COMPUTED_VALUE"""),-5.54)</f>
        <v>-5.54</v>
      </c>
      <c r="H282" s="1">
        <f ca="1">IFERROR(__xludf.DUMMYFUNCTION("""COMPUTED_VALUE"""),10)</f>
        <v>10</v>
      </c>
      <c r="I282" s="1">
        <f ca="1">IFERROR(__xludf.DUMMYFUNCTION("""COMPUTED_VALUE"""),10)</f>
        <v>10</v>
      </c>
      <c r="J282" s="1">
        <f ca="1">IFERROR(__xludf.DUMMYFUNCTION("""COMPUTED_VALUE"""),11)</f>
        <v>11</v>
      </c>
      <c r="K282" s="1">
        <f ca="1">IFERROR(__xludf.DUMMYFUNCTION("""COMPUTED_VALUE"""),3)</f>
        <v>3</v>
      </c>
      <c r="L282" s="1">
        <f ca="1">IFERROR(__xludf.DUMMYFUNCTION("""COMPUTED_VALUE"""),3)</f>
        <v>3</v>
      </c>
      <c r="M282" s="1">
        <f ca="1">IFERROR(__xludf.DUMMYFUNCTION("""COMPUTED_VALUE"""),12)</f>
        <v>12</v>
      </c>
      <c r="N282" s="1">
        <f ca="1">IFERROR(__xludf.DUMMYFUNCTION("""COMPUTED_VALUE"""),2070)</f>
        <v>2070</v>
      </c>
      <c r="O282" s="1">
        <f ca="1">IFERROR(__xludf.DUMMYFUNCTION("""COMPUTED_VALUE"""),2079)</f>
        <v>2079</v>
      </c>
      <c r="P282" s="1">
        <f ca="1">IFERROR(__xludf.DUMMYFUNCTION("""COMPUTED_VALUE"""),1210)</f>
        <v>1210</v>
      </c>
      <c r="Q282" s="1">
        <f ca="1">IFERROR(__xludf.DUMMYFUNCTION("""COMPUTED_VALUE"""),735)</f>
        <v>735</v>
      </c>
      <c r="R282" s="1">
        <f ca="1">IFERROR(__xludf.DUMMYFUNCTION("""COMPUTED_VALUE"""),1598)</f>
        <v>1598</v>
      </c>
      <c r="S282" s="1">
        <f ca="1">IFERROR(__xludf.DUMMYFUNCTION("""COMPUTED_VALUE"""),0.46)</f>
        <v>0.46</v>
      </c>
      <c r="T282" s="1">
        <f ca="1">IFERROR(__xludf.DUMMYFUNCTION("""COMPUTED_VALUE"""),183)</f>
        <v>183</v>
      </c>
      <c r="U282" s="1">
        <f ca="1">IFERROR(__xludf.DUMMYFUNCTION("""COMPUTED_VALUE"""),491)</f>
        <v>491</v>
      </c>
      <c r="V282" s="1">
        <f ca="1">IFERROR(__xludf.DUMMYFUNCTION("""COMPUTED_VALUE"""),0.373)</f>
        <v>0.373</v>
      </c>
      <c r="W282" s="1">
        <f ca="1">IFERROR(__xludf.DUMMYFUNCTION("""COMPUTED_VALUE"""),417)</f>
        <v>417</v>
      </c>
      <c r="X282" s="1">
        <f ca="1">IFERROR(__xludf.DUMMYFUNCTION("""COMPUTED_VALUE"""),575)</f>
        <v>575</v>
      </c>
      <c r="Y282" s="1">
        <f ca="1">IFERROR(__xludf.DUMMYFUNCTION("""COMPUTED_VALUE"""),0.725)</f>
        <v>0.72499999999999998</v>
      </c>
      <c r="Z282" s="1">
        <f ca="1">IFERROR(__xludf.DUMMYFUNCTION("""COMPUTED_VALUE"""),281)</f>
        <v>281</v>
      </c>
      <c r="AA282" s="1">
        <f ca="1">IFERROR(__xludf.DUMMYFUNCTION("""COMPUTED_VALUE"""),947)</f>
        <v>947</v>
      </c>
      <c r="AB282" s="1">
        <f ca="1">IFERROR(__xludf.DUMMYFUNCTION("""COMPUTED_VALUE"""),402)</f>
        <v>402</v>
      </c>
      <c r="AC282" s="1">
        <f ca="1">IFERROR(__xludf.DUMMYFUNCTION("""COMPUTED_VALUE"""),158)</f>
        <v>158</v>
      </c>
      <c r="AD282" s="1">
        <f ca="1">IFERROR(__xludf.DUMMYFUNCTION("""COMPUTED_VALUE"""),42)</f>
        <v>42</v>
      </c>
      <c r="AE282" s="1">
        <f ca="1">IFERROR(__xludf.DUMMYFUNCTION("""COMPUTED_VALUE"""),338)</f>
        <v>338</v>
      </c>
      <c r="AF282" s="1">
        <f ca="1">IFERROR(__xludf.DUMMYFUNCTION("""COMPUTED_VALUE"""),634)</f>
        <v>634</v>
      </c>
    </row>
    <row r="283" spans="1:32" ht="12.5" x14ac:dyDescent="0.25">
      <c r="A283" s="1" t="str">
        <f ca="1">IFERROR(__xludf.DUMMYFUNCTION("""COMPUTED_VALUE"""),"Sacred Heart")</f>
        <v>Sacred Heart</v>
      </c>
      <c r="B283" s="1">
        <f ca="1">IFERROR(__xludf.DUMMYFUNCTION("""COMPUTED_VALUE"""),31)</f>
        <v>31</v>
      </c>
      <c r="C283" s="1">
        <f ca="1">IFERROR(__xludf.DUMMYFUNCTION("""COMPUTED_VALUE"""),5)</f>
        <v>5</v>
      </c>
      <c r="D283" s="1">
        <f ca="1">IFERROR(__xludf.DUMMYFUNCTION("""COMPUTED_VALUE"""),26)</f>
        <v>26</v>
      </c>
      <c r="E283" s="1">
        <f ca="1">IFERROR(__xludf.DUMMYFUNCTION("""COMPUTED_VALUE"""),0.161)</f>
        <v>0.161</v>
      </c>
      <c r="F283" s="1">
        <f ca="1">IFERROR(__xludf.DUMMYFUNCTION("""COMPUTED_VALUE"""),-12.93)</f>
        <v>-12.93</v>
      </c>
      <c r="G283" s="1">
        <f ca="1">IFERROR(__xludf.DUMMYFUNCTION("""COMPUTED_VALUE"""),-5.97)</f>
        <v>-5.97</v>
      </c>
      <c r="H283" s="1">
        <f ca="1">IFERROR(__xludf.DUMMYFUNCTION("""COMPUTED_VALUE"""),2)</f>
        <v>2</v>
      </c>
      <c r="I283" s="1">
        <f ca="1">IFERROR(__xludf.DUMMYFUNCTION("""COMPUTED_VALUE"""),14)</f>
        <v>14</v>
      </c>
      <c r="J283" s="1">
        <f ca="1">IFERROR(__xludf.DUMMYFUNCTION("""COMPUTED_VALUE"""),1)</f>
        <v>1</v>
      </c>
      <c r="K283" s="1">
        <f ca="1">IFERROR(__xludf.DUMMYFUNCTION("""COMPUTED_VALUE"""),10)</f>
        <v>10</v>
      </c>
      <c r="L283" s="1">
        <f ca="1">IFERROR(__xludf.DUMMYFUNCTION("""COMPUTED_VALUE"""),4)</f>
        <v>4</v>
      </c>
      <c r="M283" s="1">
        <f ca="1">IFERROR(__xludf.DUMMYFUNCTION("""COMPUTED_VALUE"""),13)</f>
        <v>13</v>
      </c>
      <c r="N283" s="1">
        <f ca="1">IFERROR(__xludf.DUMMYFUNCTION("""COMPUTED_VALUE"""),2162)</f>
        <v>2162</v>
      </c>
      <c r="O283" s="1">
        <f ca="1">IFERROR(__xludf.DUMMYFUNCTION("""COMPUTED_VALUE"""),2378)</f>
        <v>2378</v>
      </c>
      <c r="P283" s="1">
        <f ca="1">IFERROR(__xludf.DUMMYFUNCTION("""COMPUTED_VALUE"""),1255)</f>
        <v>1255</v>
      </c>
      <c r="Q283" s="1">
        <f ca="1">IFERROR(__xludf.DUMMYFUNCTION("""COMPUTED_VALUE"""),758)</f>
        <v>758</v>
      </c>
      <c r="R283" s="1">
        <f ca="1">IFERROR(__xludf.DUMMYFUNCTION("""COMPUTED_VALUE"""),1836)</f>
        <v>1836</v>
      </c>
      <c r="S283" s="1">
        <f ca="1">IFERROR(__xludf.DUMMYFUNCTION("""COMPUTED_VALUE"""),0.413)</f>
        <v>0.41299999999999998</v>
      </c>
      <c r="T283" s="1">
        <f ca="1">IFERROR(__xludf.DUMMYFUNCTION("""COMPUTED_VALUE"""),197)</f>
        <v>197</v>
      </c>
      <c r="U283" s="1">
        <f ca="1">IFERROR(__xludf.DUMMYFUNCTION("""COMPUTED_VALUE"""),603)</f>
        <v>603</v>
      </c>
      <c r="V283" s="1">
        <f ca="1">IFERROR(__xludf.DUMMYFUNCTION("""COMPUTED_VALUE"""),0.327)</f>
        <v>0.32700000000000001</v>
      </c>
      <c r="W283" s="1">
        <f ca="1">IFERROR(__xludf.DUMMYFUNCTION("""COMPUTED_VALUE"""),449)</f>
        <v>449</v>
      </c>
      <c r="X283" s="1">
        <f ca="1">IFERROR(__xludf.DUMMYFUNCTION("""COMPUTED_VALUE"""),655)</f>
        <v>655</v>
      </c>
      <c r="Y283" s="1">
        <f ca="1">IFERROR(__xludf.DUMMYFUNCTION("""COMPUTED_VALUE"""),0.685)</f>
        <v>0.68500000000000005</v>
      </c>
      <c r="Z283" s="1">
        <f ca="1">IFERROR(__xludf.DUMMYFUNCTION("""COMPUTED_VALUE"""),379)</f>
        <v>379</v>
      </c>
      <c r="AA283" s="1">
        <f ca="1">IFERROR(__xludf.DUMMYFUNCTION("""COMPUTED_VALUE"""),1070)</f>
        <v>1070</v>
      </c>
      <c r="AB283" s="1">
        <f ca="1">IFERROR(__xludf.DUMMYFUNCTION("""COMPUTED_VALUE"""),388)</f>
        <v>388</v>
      </c>
      <c r="AC283" s="1">
        <f ca="1">IFERROR(__xludf.DUMMYFUNCTION("""COMPUTED_VALUE"""),166)</f>
        <v>166</v>
      </c>
      <c r="AD283" s="1">
        <f ca="1">IFERROR(__xludf.DUMMYFUNCTION("""COMPUTED_VALUE"""),65)</f>
        <v>65</v>
      </c>
      <c r="AE283" s="1">
        <f ca="1">IFERROR(__xludf.DUMMYFUNCTION("""COMPUTED_VALUE"""),378)</f>
        <v>378</v>
      </c>
      <c r="AF283" s="1">
        <f ca="1">IFERROR(__xludf.DUMMYFUNCTION("""COMPUTED_VALUE"""),618)</f>
        <v>618</v>
      </c>
    </row>
    <row r="284" spans="1:32" ht="12.5" x14ac:dyDescent="0.25">
      <c r="A284" s="1" t="str">
        <f ca="1">IFERROR(__xludf.DUMMYFUNCTION("""COMPUTED_VALUE"""),"Saint Francis (PA)")</f>
        <v>Saint Francis (PA)</v>
      </c>
      <c r="B284" s="1">
        <f ca="1">IFERROR(__xludf.DUMMYFUNCTION("""COMPUTED_VALUE"""),31)</f>
        <v>31</v>
      </c>
      <c r="C284" s="1">
        <f ca="1">IFERROR(__xludf.DUMMYFUNCTION("""COMPUTED_VALUE"""),10)</f>
        <v>10</v>
      </c>
      <c r="D284" s="1">
        <f ca="1">IFERROR(__xludf.DUMMYFUNCTION("""COMPUTED_VALUE"""),21)</f>
        <v>21</v>
      </c>
      <c r="E284" s="1">
        <f ca="1">IFERROR(__xludf.DUMMYFUNCTION("""COMPUTED_VALUE"""),0.323)</f>
        <v>0.32300000000000001</v>
      </c>
      <c r="F284" s="1">
        <f ca="1">IFERROR(__xludf.DUMMYFUNCTION("""COMPUTED_VALUE"""),-13.2)</f>
        <v>-13.2</v>
      </c>
      <c r="G284" s="1">
        <f ca="1">IFERROR(__xludf.DUMMYFUNCTION("""COMPUTED_VALUE"""),-5.65)</f>
        <v>-5.65</v>
      </c>
      <c r="H284" s="1">
        <f ca="1">IFERROR(__xludf.DUMMYFUNCTION("""COMPUTED_VALUE"""),7)</f>
        <v>7</v>
      </c>
      <c r="I284" s="1">
        <f ca="1">IFERROR(__xludf.DUMMYFUNCTION("""COMPUTED_VALUE"""),9)</f>
        <v>9</v>
      </c>
      <c r="J284" s="1">
        <f ca="1">IFERROR(__xludf.DUMMYFUNCTION("""COMPUTED_VALUE"""),5)</f>
        <v>5</v>
      </c>
      <c r="K284" s="1">
        <f ca="1">IFERROR(__xludf.DUMMYFUNCTION("""COMPUTED_VALUE"""),8)</f>
        <v>8</v>
      </c>
      <c r="L284" s="1">
        <f ca="1">IFERROR(__xludf.DUMMYFUNCTION("""COMPUTED_VALUE"""),5)</f>
        <v>5</v>
      </c>
      <c r="M284" s="1">
        <f ca="1">IFERROR(__xludf.DUMMYFUNCTION("""COMPUTED_VALUE"""),13)</f>
        <v>13</v>
      </c>
      <c r="N284" s="1">
        <f ca="1">IFERROR(__xludf.DUMMYFUNCTION("""COMPUTED_VALUE"""),1916)</f>
        <v>1916</v>
      </c>
      <c r="O284" s="1">
        <f ca="1">IFERROR(__xludf.DUMMYFUNCTION("""COMPUTED_VALUE"""),2150)</f>
        <v>2150</v>
      </c>
      <c r="P284" s="1">
        <f ca="1">IFERROR(__xludf.DUMMYFUNCTION("""COMPUTED_VALUE"""),1240)</f>
        <v>1240</v>
      </c>
      <c r="Q284" s="1">
        <f ca="1">IFERROR(__xludf.DUMMYFUNCTION("""COMPUTED_VALUE"""),675)</f>
        <v>675</v>
      </c>
      <c r="R284" s="1">
        <f ca="1">IFERROR(__xludf.DUMMYFUNCTION("""COMPUTED_VALUE"""),1649)</f>
        <v>1649</v>
      </c>
      <c r="S284" s="1">
        <f ca="1">IFERROR(__xludf.DUMMYFUNCTION("""COMPUTED_VALUE"""),0.409)</f>
        <v>0.40899999999999997</v>
      </c>
      <c r="T284" s="1">
        <f ca="1">IFERROR(__xludf.DUMMYFUNCTION("""COMPUTED_VALUE"""),220)</f>
        <v>220</v>
      </c>
      <c r="U284" s="1">
        <f ca="1">IFERROR(__xludf.DUMMYFUNCTION("""COMPUTED_VALUE"""),688)</f>
        <v>688</v>
      </c>
      <c r="V284" s="1">
        <f ca="1">IFERROR(__xludf.DUMMYFUNCTION("""COMPUTED_VALUE"""),0.32)</f>
        <v>0.32</v>
      </c>
      <c r="W284" s="1">
        <f ca="1">IFERROR(__xludf.DUMMYFUNCTION("""COMPUTED_VALUE"""),346)</f>
        <v>346</v>
      </c>
      <c r="X284" s="1">
        <f ca="1">IFERROR(__xludf.DUMMYFUNCTION("""COMPUTED_VALUE"""),539)</f>
        <v>539</v>
      </c>
      <c r="Y284" s="1">
        <f ca="1">IFERROR(__xludf.DUMMYFUNCTION("""COMPUTED_VALUE"""),0.642)</f>
        <v>0.64200000000000002</v>
      </c>
      <c r="Z284" s="1">
        <f ca="1">IFERROR(__xludf.DUMMYFUNCTION("""COMPUTED_VALUE"""),280)</f>
        <v>280</v>
      </c>
      <c r="AA284" s="1">
        <f ca="1">IFERROR(__xludf.DUMMYFUNCTION("""COMPUTED_VALUE"""),934)</f>
        <v>934</v>
      </c>
      <c r="AB284" s="1">
        <f ca="1">IFERROR(__xludf.DUMMYFUNCTION("""COMPUTED_VALUE"""),361)</f>
        <v>361</v>
      </c>
      <c r="AC284" s="1">
        <f ca="1">IFERROR(__xludf.DUMMYFUNCTION("""COMPUTED_VALUE"""),176)</f>
        <v>176</v>
      </c>
      <c r="AD284" s="1">
        <f ca="1">IFERROR(__xludf.DUMMYFUNCTION("""COMPUTED_VALUE"""),85)</f>
        <v>85</v>
      </c>
      <c r="AE284" s="1">
        <f ca="1">IFERROR(__xludf.DUMMYFUNCTION("""COMPUTED_VALUE"""),333)</f>
        <v>333</v>
      </c>
      <c r="AF284" s="1">
        <f ca="1">IFERROR(__xludf.DUMMYFUNCTION("""COMPUTED_VALUE"""),481)</f>
        <v>481</v>
      </c>
    </row>
    <row r="285" spans="1:32" ht="12.5" x14ac:dyDescent="0.25">
      <c r="A285" s="1" t="str">
        <f ca="1">IFERROR(__xludf.DUMMYFUNCTION("""COMPUTED_VALUE"""),"Saint Joseph'sNCAA")</f>
        <v>Saint Joseph'sNCAA</v>
      </c>
      <c r="B285" s="1">
        <f ca="1">IFERROR(__xludf.DUMMYFUNCTION("""COMPUTED_VALUE"""),34)</f>
        <v>34</v>
      </c>
      <c r="C285" s="1">
        <f ca="1">IFERROR(__xludf.DUMMYFUNCTION("""COMPUTED_VALUE"""),24)</f>
        <v>24</v>
      </c>
      <c r="D285" s="1">
        <f ca="1">IFERROR(__xludf.DUMMYFUNCTION("""COMPUTED_VALUE"""),10)</f>
        <v>10</v>
      </c>
      <c r="E285" s="1">
        <f ca="1">IFERROR(__xludf.DUMMYFUNCTION("""COMPUTED_VALUE"""),0.706)</f>
        <v>0.70599999999999996</v>
      </c>
      <c r="F285" s="1">
        <f ca="1">IFERROR(__xludf.DUMMYFUNCTION("""COMPUTED_VALUE"""),9.05)</f>
        <v>9.0500000000000007</v>
      </c>
      <c r="G285" s="1">
        <f ca="1">IFERROR(__xludf.DUMMYFUNCTION("""COMPUTED_VALUE"""),5.08)</f>
        <v>5.08</v>
      </c>
      <c r="H285" s="1">
        <f ca="1">IFERROR(__xludf.DUMMYFUNCTION("""COMPUTED_VALUE"""),11)</f>
        <v>11</v>
      </c>
      <c r="I285" s="1">
        <f ca="1">IFERROR(__xludf.DUMMYFUNCTION("""COMPUTED_VALUE"""),5)</f>
        <v>5</v>
      </c>
      <c r="J285" s="1">
        <f ca="1">IFERROR(__xludf.DUMMYFUNCTION("""COMPUTED_VALUE"""),11)</f>
        <v>11</v>
      </c>
      <c r="K285" s="1">
        <f ca="1">IFERROR(__xludf.DUMMYFUNCTION("""COMPUTED_VALUE"""),4)</f>
        <v>4</v>
      </c>
      <c r="L285" s="1">
        <f ca="1">IFERROR(__xludf.DUMMYFUNCTION("""COMPUTED_VALUE"""),8)</f>
        <v>8</v>
      </c>
      <c r="M285" s="1">
        <f ca="1">IFERROR(__xludf.DUMMYFUNCTION("""COMPUTED_VALUE"""),4)</f>
        <v>4</v>
      </c>
      <c r="N285" s="1">
        <f ca="1">IFERROR(__xludf.DUMMYFUNCTION("""COMPUTED_VALUE"""),2433)</f>
        <v>2433</v>
      </c>
      <c r="O285" s="1">
        <f ca="1">IFERROR(__xludf.DUMMYFUNCTION("""COMPUTED_VALUE"""),2298)</f>
        <v>2298</v>
      </c>
      <c r="P285" s="1">
        <f ca="1">IFERROR(__xludf.DUMMYFUNCTION("""COMPUTED_VALUE"""),1365)</f>
        <v>1365</v>
      </c>
      <c r="Q285" s="1">
        <f ca="1">IFERROR(__xludf.DUMMYFUNCTION("""COMPUTED_VALUE"""),840)</f>
        <v>840</v>
      </c>
      <c r="R285" s="1">
        <f ca="1">IFERROR(__xludf.DUMMYFUNCTION("""COMPUTED_VALUE"""),1789)</f>
        <v>1789</v>
      </c>
      <c r="S285" s="1">
        <f ca="1">IFERROR(__xludf.DUMMYFUNCTION("""COMPUTED_VALUE"""),0.47)</f>
        <v>0.47</v>
      </c>
      <c r="T285" s="1">
        <f ca="1">IFERROR(__xludf.DUMMYFUNCTION("""COMPUTED_VALUE"""),250)</f>
        <v>250</v>
      </c>
      <c r="U285" s="1">
        <f ca="1">IFERROR(__xludf.DUMMYFUNCTION("""COMPUTED_VALUE"""),660)</f>
        <v>660</v>
      </c>
      <c r="V285" s="1">
        <f ca="1">IFERROR(__xludf.DUMMYFUNCTION("""COMPUTED_VALUE"""),0.379)</f>
        <v>0.379</v>
      </c>
      <c r="W285" s="1">
        <f ca="1">IFERROR(__xludf.DUMMYFUNCTION("""COMPUTED_VALUE"""),503)</f>
        <v>503</v>
      </c>
      <c r="X285" s="1">
        <f ca="1">IFERROR(__xludf.DUMMYFUNCTION("""COMPUTED_VALUE"""),780)</f>
        <v>780</v>
      </c>
      <c r="Y285" s="1">
        <f ca="1">IFERROR(__xludf.DUMMYFUNCTION("""COMPUTED_VALUE"""),0.645)</f>
        <v>0.64500000000000002</v>
      </c>
      <c r="Z285" s="1">
        <f ca="1">IFERROR(__xludf.DUMMYFUNCTION("""COMPUTED_VALUE"""),319)</f>
        <v>319</v>
      </c>
      <c r="AA285" s="1">
        <f ca="1">IFERROR(__xludf.DUMMYFUNCTION("""COMPUTED_VALUE"""),1218)</f>
        <v>1218</v>
      </c>
      <c r="AB285" s="1">
        <f ca="1">IFERROR(__xludf.DUMMYFUNCTION("""COMPUTED_VALUE"""),476)</f>
        <v>476</v>
      </c>
      <c r="AC285" s="1">
        <f ca="1">IFERROR(__xludf.DUMMYFUNCTION("""COMPUTED_VALUE"""),151)</f>
        <v>151</v>
      </c>
      <c r="AD285" s="1">
        <f ca="1">IFERROR(__xludf.DUMMYFUNCTION("""COMPUTED_VALUE"""),154)</f>
        <v>154</v>
      </c>
      <c r="AE285" s="1">
        <f ca="1">IFERROR(__xludf.DUMMYFUNCTION("""COMPUTED_VALUE"""),409)</f>
        <v>409</v>
      </c>
      <c r="AF285" s="1">
        <f ca="1">IFERROR(__xludf.DUMMYFUNCTION("""COMPUTED_VALUE"""),544)</f>
        <v>544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IFERROR(__xludf.DUMMYFUNCTION("""COMPUTED_VALUE"""),"Saint LouisNCAA")</f>
        <v>Saint LouisNCAA</v>
      </c>
      <c r="B288" s="1">
        <f ca="1">IFERROR(__xludf.DUMMYFUNCTION("""COMPUTED_VALUE"""),34)</f>
        <v>34</v>
      </c>
      <c r="C288" s="1">
        <f ca="1">IFERROR(__xludf.DUMMYFUNCTION("""COMPUTED_VALUE"""),27)</f>
        <v>27</v>
      </c>
      <c r="D288" s="1">
        <f ca="1">IFERROR(__xludf.DUMMYFUNCTION("""COMPUTED_VALUE"""),7)</f>
        <v>7</v>
      </c>
      <c r="E288" s="1">
        <f ca="1">IFERROR(__xludf.DUMMYFUNCTION("""COMPUTED_VALUE"""),0.794)</f>
        <v>0.79400000000000004</v>
      </c>
      <c r="F288" s="1">
        <f ca="1">IFERROR(__xludf.DUMMYFUNCTION("""COMPUTED_VALUE"""),11.63)</f>
        <v>11.63</v>
      </c>
      <c r="G288" s="1">
        <f ca="1">IFERROR(__xludf.DUMMYFUNCTION("""COMPUTED_VALUE"""),4.24)</f>
        <v>4.24</v>
      </c>
      <c r="H288" s="1">
        <f ca="1">IFERROR(__xludf.DUMMYFUNCTION("""COMPUTED_VALUE"""),13)</f>
        <v>13</v>
      </c>
      <c r="I288" s="1">
        <f ca="1">IFERROR(__xludf.DUMMYFUNCTION("""COMPUTED_VALUE"""),3)</f>
        <v>3</v>
      </c>
      <c r="J288" s="1">
        <f ca="1">IFERROR(__xludf.DUMMYFUNCTION("""COMPUTED_VALUE"""),14)</f>
        <v>14</v>
      </c>
      <c r="K288" s="1">
        <f ca="1">IFERROR(__xludf.DUMMYFUNCTION("""COMPUTED_VALUE"""),3)</f>
        <v>3</v>
      </c>
      <c r="L288" s="1">
        <f ca="1">IFERROR(__xludf.DUMMYFUNCTION("""COMPUTED_VALUE"""),11)</f>
        <v>11</v>
      </c>
      <c r="M288" s="1">
        <f ca="1">IFERROR(__xludf.DUMMYFUNCTION("""COMPUTED_VALUE"""),1)</f>
        <v>1</v>
      </c>
      <c r="N288" s="1">
        <f ca="1">IFERROR(__xludf.DUMMYFUNCTION("""COMPUTED_VALUE"""),2374)</f>
        <v>2374</v>
      </c>
      <c r="O288" s="1">
        <f ca="1">IFERROR(__xludf.DUMMYFUNCTION("""COMPUTED_VALUE"""),2105)</f>
        <v>2105</v>
      </c>
      <c r="P288" s="1">
        <f ca="1">IFERROR(__xludf.DUMMYFUNCTION("""COMPUTED_VALUE"""),1375)</f>
        <v>1375</v>
      </c>
      <c r="Q288" s="1">
        <f ca="1">IFERROR(__xludf.DUMMYFUNCTION("""COMPUTED_VALUE"""),829)</f>
        <v>829</v>
      </c>
      <c r="R288" s="1">
        <f ca="1">IFERROR(__xludf.DUMMYFUNCTION("""COMPUTED_VALUE"""),1869)</f>
        <v>1869</v>
      </c>
      <c r="S288" s="1">
        <f ca="1">IFERROR(__xludf.DUMMYFUNCTION("""COMPUTED_VALUE"""),0.444)</f>
        <v>0.44400000000000001</v>
      </c>
      <c r="T288" s="1">
        <f ca="1">IFERROR(__xludf.DUMMYFUNCTION("""COMPUTED_VALUE"""),190)</f>
        <v>190</v>
      </c>
      <c r="U288" s="1">
        <f ca="1">IFERROR(__xludf.DUMMYFUNCTION("""COMPUTED_VALUE"""),601)</f>
        <v>601</v>
      </c>
      <c r="V288" s="1">
        <f ca="1">IFERROR(__xludf.DUMMYFUNCTION("""COMPUTED_VALUE"""),0.316)</f>
        <v>0.316</v>
      </c>
      <c r="W288" s="1">
        <f ca="1">IFERROR(__xludf.DUMMYFUNCTION("""COMPUTED_VALUE"""),526)</f>
        <v>526</v>
      </c>
      <c r="X288" s="1">
        <f ca="1">IFERROR(__xludf.DUMMYFUNCTION("""COMPUTED_VALUE"""),755)</f>
        <v>755</v>
      </c>
      <c r="Y288" s="1">
        <f ca="1">IFERROR(__xludf.DUMMYFUNCTION("""COMPUTED_VALUE"""),0.697)</f>
        <v>0.69699999999999995</v>
      </c>
      <c r="Z288" s="1">
        <f ca="1">IFERROR(__xludf.DUMMYFUNCTION("""COMPUTED_VALUE"""),345)</f>
        <v>345</v>
      </c>
      <c r="AA288" s="1">
        <f ca="1">IFERROR(__xludf.DUMMYFUNCTION("""COMPUTED_VALUE"""),1231)</f>
        <v>1231</v>
      </c>
      <c r="AB288" s="1">
        <f ca="1">IFERROR(__xludf.DUMMYFUNCTION("""COMPUTED_VALUE"""),482)</f>
        <v>482</v>
      </c>
      <c r="AC288" s="1">
        <f ca="1">IFERROR(__xludf.DUMMYFUNCTION("""COMPUTED_VALUE"""),253)</f>
        <v>253</v>
      </c>
      <c r="AD288" s="1">
        <f ca="1">IFERROR(__xludf.DUMMYFUNCTION("""COMPUTED_VALUE"""),138)</f>
        <v>138</v>
      </c>
      <c r="AE288" s="1">
        <f ca="1">IFERROR(__xludf.DUMMYFUNCTION("""COMPUTED_VALUE"""),431)</f>
        <v>431</v>
      </c>
      <c r="AF288" s="1">
        <f ca="1">IFERROR(__xludf.DUMMYFUNCTION("""COMPUTED_VALUE"""),597)</f>
        <v>597</v>
      </c>
    </row>
    <row r="289" spans="1:32" ht="12.5" x14ac:dyDescent="0.25">
      <c r="A289" s="1" t="str">
        <f ca="1">IFERROR(__xludf.DUMMYFUNCTION("""COMPUTED_VALUE"""),"Saint Mary's (CA)")</f>
        <v>Saint Mary's (CA)</v>
      </c>
      <c r="B289" s="1">
        <f ca="1">IFERROR(__xludf.DUMMYFUNCTION("""COMPUTED_VALUE"""),35)</f>
        <v>35</v>
      </c>
      <c r="C289" s="1">
        <f ca="1">IFERROR(__xludf.DUMMYFUNCTION("""COMPUTED_VALUE"""),23)</f>
        <v>23</v>
      </c>
      <c r="D289" s="1">
        <f ca="1">IFERROR(__xludf.DUMMYFUNCTION("""COMPUTED_VALUE"""),12)</f>
        <v>12</v>
      </c>
      <c r="E289" s="1">
        <f ca="1">IFERROR(__xludf.DUMMYFUNCTION("""COMPUTED_VALUE"""),0.657)</f>
        <v>0.65700000000000003</v>
      </c>
      <c r="F289" s="1">
        <f ca="1">IFERROR(__xludf.DUMMYFUNCTION("""COMPUTED_VALUE"""),9.35)</f>
        <v>9.35</v>
      </c>
      <c r="G289" s="1">
        <f ca="1">IFERROR(__xludf.DUMMYFUNCTION("""COMPUTED_VALUE"""),4.29)</f>
        <v>4.29</v>
      </c>
      <c r="H289" s="1">
        <f ca="1">IFERROR(__xludf.DUMMYFUNCTION("""COMPUTED_VALUE"""),11)</f>
        <v>11</v>
      </c>
      <c r="I289" s="1">
        <f ca="1">IFERROR(__xludf.DUMMYFUNCTION("""COMPUTED_VALUE"""),7)</f>
        <v>7</v>
      </c>
      <c r="J289" s="1">
        <f ca="1">IFERROR(__xludf.DUMMYFUNCTION("""COMPUTED_VALUE"""),16)</f>
        <v>16</v>
      </c>
      <c r="K289" s="1">
        <f ca="1">IFERROR(__xludf.DUMMYFUNCTION("""COMPUTED_VALUE"""),3)</f>
        <v>3</v>
      </c>
      <c r="L289" s="1">
        <f ca="1">IFERROR(__xludf.DUMMYFUNCTION("""COMPUTED_VALUE"""),6)</f>
        <v>6</v>
      </c>
      <c r="M289" s="1">
        <f ca="1">IFERROR(__xludf.DUMMYFUNCTION("""COMPUTED_VALUE"""),6)</f>
        <v>6</v>
      </c>
      <c r="N289" s="1">
        <f ca="1">IFERROR(__xludf.DUMMYFUNCTION("""COMPUTED_VALUE"""),2502)</f>
        <v>2502</v>
      </c>
      <c r="O289" s="1">
        <f ca="1">IFERROR(__xludf.DUMMYFUNCTION("""COMPUTED_VALUE"""),2292)</f>
        <v>2292</v>
      </c>
      <c r="P289" s="1">
        <f ca="1">IFERROR(__xludf.DUMMYFUNCTION("""COMPUTED_VALUE"""),1406)</f>
        <v>1406</v>
      </c>
      <c r="Q289" s="1">
        <f ca="1">IFERROR(__xludf.DUMMYFUNCTION("""COMPUTED_VALUE"""),819)</f>
        <v>819</v>
      </c>
      <c r="R289" s="1">
        <f ca="1">IFERROR(__xludf.DUMMYFUNCTION("""COMPUTED_VALUE"""),1818)</f>
        <v>1818</v>
      </c>
      <c r="S289" s="1">
        <f ca="1">IFERROR(__xludf.DUMMYFUNCTION("""COMPUTED_VALUE"""),0.45)</f>
        <v>0.45</v>
      </c>
      <c r="T289" s="1">
        <f ca="1">IFERROR(__xludf.DUMMYFUNCTION("""COMPUTED_VALUE"""),246)</f>
        <v>246</v>
      </c>
      <c r="U289" s="1">
        <f ca="1">IFERROR(__xludf.DUMMYFUNCTION("""COMPUTED_VALUE"""),640)</f>
        <v>640</v>
      </c>
      <c r="V289" s="1">
        <f ca="1">IFERROR(__xludf.DUMMYFUNCTION("""COMPUTED_VALUE"""),0.384)</f>
        <v>0.38400000000000001</v>
      </c>
      <c r="W289" s="1">
        <f ca="1">IFERROR(__xludf.DUMMYFUNCTION("""COMPUTED_VALUE"""),618)</f>
        <v>618</v>
      </c>
      <c r="X289" s="1">
        <f ca="1">IFERROR(__xludf.DUMMYFUNCTION("""COMPUTED_VALUE"""),873)</f>
        <v>873</v>
      </c>
      <c r="Y289" s="1">
        <f ca="1">IFERROR(__xludf.DUMMYFUNCTION("""COMPUTED_VALUE"""),0.708)</f>
        <v>0.70799999999999996</v>
      </c>
      <c r="Z289" s="1">
        <f ca="1">IFERROR(__xludf.DUMMYFUNCTION("""COMPUTED_VALUE"""),407)</f>
        <v>407</v>
      </c>
      <c r="AA289" s="1">
        <f ca="1">IFERROR(__xludf.DUMMYFUNCTION("""COMPUTED_VALUE"""),1188)</f>
        <v>1188</v>
      </c>
      <c r="AB289" s="1">
        <f ca="1">IFERROR(__xludf.DUMMYFUNCTION("""COMPUTED_VALUE"""),430)</f>
        <v>430</v>
      </c>
      <c r="AC289" s="1">
        <f ca="1">IFERROR(__xludf.DUMMYFUNCTION("""COMPUTED_VALUE"""),203)</f>
        <v>203</v>
      </c>
      <c r="AD289" s="1">
        <f ca="1">IFERROR(__xludf.DUMMYFUNCTION("""COMPUTED_VALUE"""),117)</f>
        <v>117</v>
      </c>
      <c r="AE289" s="1">
        <f ca="1">IFERROR(__xludf.DUMMYFUNCTION("""COMPUTED_VALUE"""),409)</f>
        <v>409</v>
      </c>
      <c r="AF289" s="1">
        <f ca="1">IFERROR(__xludf.DUMMYFUNCTION("""COMPUTED_VALUE"""),678)</f>
        <v>678</v>
      </c>
    </row>
    <row r="290" spans="1:32" ht="12.5" x14ac:dyDescent="0.25">
      <c r="A290" s="1" t="str">
        <f ca="1">IFERROR(__xludf.DUMMYFUNCTION("""COMPUTED_VALUE"""),"Saint Peter's")</f>
        <v>Saint Peter's</v>
      </c>
      <c r="B290" s="1">
        <f ca="1">IFERROR(__xludf.DUMMYFUNCTION("""COMPUTED_VALUE"""),31)</f>
        <v>31</v>
      </c>
      <c r="C290" s="1">
        <f ca="1">IFERROR(__xludf.DUMMYFUNCTION("""COMPUTED_VALUE"""),14)</f>
        <v>14</v>
      </c>
      <c r="D290" s="1">
        <f ca="1">IFERROR(__xludf.DUMMYFUNCTION("""COMPUTED_VALUE"""),17)</f>
        <v>17</v>
      </c>
      <c r="E290" s="1">
        <f ca="1">IFERROR(__xludf.DUMMYFUNCTION("""COMPUTED_VALUE"""),0.452)</f>
        <v>0.45200000000000001</v>
      </c>
      <c r="F290" s="1">
        <f ca="1">IFERROR(__xludf.DUMMYFUNCTION("""COMPUTED_VALUE"""),-5.88)</f>
        <v>-5.88</v>
      </c>
      <c r="G290" s="1">
        <f ca="1">IFERROR(__xludf.DUMMYFUNCTION("""COMPUTED_VALUE"""),-3.27)</f>
        <v>-3.27</v>
      </c>
      <c r="H290" s="1">
        <f ca="1">IFERROR(__xludf.DUMMYFUNCTION("""COMPUTED_VALUE"""),9)</f>
        <v>9</v>
      </c>
      <c r="I290" s="1">
        <f ca="1">IFERROR(__xludf.DUMMYFUNCTION("""COMPUTED_VALUE"""),11)</f>
        <v>11</v>
      </c>
      <c r="J290" s="1">
        <f ca="1">IFERROR(__xludf.DUMMYFUNCTION("""COMPUTED_VALUE"""),8)</f>
        <v>8</v>
      </c>
      <c r="K290" s="1">
        <f ca="1">IFERROR(__xludf.DUMMYFUNCTION("""COMPUTED_VALUE"""),5)</f>
        <v>5</v>
      </c>
      <c r="L290" s="1">
        <f ca="1">IFERROR(__xludf.DUMMYFUNCTION("""COMPUTED_VALUE"""),5)</f>
        <v>5</v>
      </c>
      <c r="M290" s="1">
        <f ca="1">IFERROR(__xludf.DUMMYFUNCTION("""COMPUTED_VALUE"""),11)</f>
        <v>11</v>
      </c>
      <c r="N290" s="1">
        <f ca="1">IFERROR(__xludf.DUMMYFUNCTION("""COMPUTED_VALUE"""),1961)</f>
        <v>1961</v>
      </c>
      <c r="O290" s="1">
        <f ca="1">IFERROR(__xludf.DUMMYFUNCTION("""COMPUTED_VALUE"""),2042)</f>
        <v>2042</v>
      </c>
      <c r="P290" s="1">
        <f ca="1">IFERROR(__xludf.DUMMYFUNCTION("""COMPUTED_VALUE"""),1250)</f>
        <v>1250</v>
      </c>
      <c r="Q290" s="1">
        <f ca="1">IFERROR(__xludf.DUMMYFUNCTION("""COMPUTED_VALUE"""),659)</f>
        <v>659</v>
      </c>
      <c r="R290" s="1">
        <f ca="1">IFERROR(__xludf.DUMMYFUNCTION("""COMPUTED_VALUE"""),1618)</f>
        <v>1618</v>
      </c>
      <c r="S290" s="1">
        <f ca="1">IFERROR(__xludf.DUMMYFUNCTION("""COMPUTED_VALUE"""),0.407)</f>
        <v>0.40699999999999997</v>
      </c>
      <c r="T290" s="1">
        <f ca="1">IFERROR(__xludf.DUMMYFUNCTION("""COMPUTED_VALUE"""),163)</f>
        <v>163</v>
      </c>
      <c r="U290" s="1">
        <f ca="1">IFERROR(__xludf.DUMMYFUNCTION("""COMPUTED_VALUE"""),516)</f>
        <v>516</v>
      </c>
      <c r="V290" s="1">
        <f ca="1">IFERROR(__xludf.DUMMYFUNCTION("""COMPUTED_VALUE"""),0.316)</f>
        <v>0.316</v>
      </c>
      <c r="W290" s="1">
        <f ca="1">IFERROR(__xludf.DUMMYFUNCTION("""COMPUTED_VALUE"""),480)</f>
        <v>480</v>
      </c>
      <c r="X290" s="1">
        <f ca="1">IFERROR(__xludf.DUMMYFUNCTION("""COMPUTED_VALUE"""),682)</f>
        <v>682</v>
      </c>
      <c r="Y290" s="1">
        <f ca="1">IFERROR(__xludf.DUMMYFUNCTION("""COMPUTED_VALUE"""),0.704)</f>
        <v>0.70399999999999996</v>
      </c>
      <c r="Z290" s="1">
        <f ca="1">IFERROR(__xludf.DUMMYFUNCTION("""COMPUTED_VALUE"""),329)</f>
        <v>329</v>
      </c>
      <c r="AA290" s="1">
        <f ca="1">IFERROR(__xludf.DUMMYFUNCTION("""COMPUTED_VALUE"""),1053)</f>
        <v>1053</v>
      </c>
      <c r="AB290" s="1">
        <f ca="1">IFERROR(__xludf.DUMMYFUNCTION("""COMPUTED_VALUE"""),303)</f>
        <v>303</v>
      </c>
      <c r="AC290" s="1">
        <f ca="1">IFERROR(__xludf.DUMMYFUNCTION("""COMPUTED_VALUE"""),199)</f>
        <v>199</v>
      </c>
      <c r="AD290" s="1">
        <f ca="1">IFERROR(__xludf.DUMMYFUNCTION("""COMPUTED_VALUE"""),135)</f>
        <v>135</v>
      </c>
      <c r="AE290" s="1">
        <f ca="1">IFERROR(__xludf.DUMMYFUNCTION("""COMPUTED_VALUE"""),373)</f>
        <v>373</v>
      </c>
      <c r="AF290" s="1">
        <f ca="1">IFERROR(__xludf.DUMMYFUNCTION("""COMPUTED_VALUE"""),568)</f>
        <v>568</v>
      </c>
    </row>
    <row r="291" spans="1:32" ht="12.5" x14ac:dyDescent="0.25">
      <c r="A291" s="1" t="str">
        <f ca="1">IFERROR(__xludf.DUMMYFUNCTION("""COMPUTED_VALUE"""),"Sam Houston State")</f>
        <v>Sam Houston State</v>
      </c>
      <c r="B291" s="1">
        <f ca="1">IFERROR(__xludf.DUMMYFUNCTION("""COMPUTED_VALUE"""),35)</f>
        <v>35</v>
      </c>
      <c r="C291" s="1">
        <f ca="1">IFERROR(__xludf.DUMMYFUNCTION("""COMPUTED_VALUE"""),24)</f>
        <v>24</v>
      </c>
      <c r="D291" s="1">
        <f ca="1">IFERROR(__xludf.DUMMYFUNCTION("""COMPUTED_VALUE"""),11)</f>
        <v>11</v>
      </c>
      <c r="E291" s="1">
        <f ca="1">IFERROR(__xludf.DUMMYFUNCTION("""COMPUTED_VALUE"""),0.686)</f>
        <v>0.68600000000000005</v>
      </c>
      <c r="F291" s="1">
        <f ca="1">IFERROR(__xludf.DUMMYFUNCTION("""COMPUTED_VALUE"""),-4.45)</f>
        <v>-4.45</v>
      </c>
      <c r="G291" s="1">
        <f ca="1">IFERROR(__xludf.DUMMYFUNCTION("""COMPUTED_VALUE"""),-7.6)</f>
        <v>-7.6</v>
      </c>
      <c r="H291" s="1">
        <f ca="1">IFERROR(__xludf.DUMMYFUNCTION("""COMPUTED_VALUE"""),13)</f>
        <v>13</v>
      </c>
      <c r="I291" s="1">
        <f ca="1">IFERROR(__xludf.DUMMYFUNCTION("""COMPUTED_VALUE"""),5)</f>
        <v>5</v>
      </c>
      <c r="J291" s="1">
        <f ca="1">IFERROR(__xludf.DUMMYFUNCTION("""COMPUTED_VALUE"""),12)</f>
        <v>12</v>
      </c>
      <c r="K291" s="1">
        <f ca="1">IFERROR(__xludf.DUMMYFUNCTION("""COMPUTED_VALUE"""),2)</f>
        <v>2</v>
      </c>
      <c r="L291" s="1">
        <f ca="1">IFERROR(__xludf.DUMMYFUNCTION("""COMPUTED_VALUE"""),7)</f>
        <v>7</v>
      </c>
      <c r="M291" s="1">
        <f ca="1">IFERROR(__xludf.DUMMYFUNCTION("""COMPUTED_VALUE"""),7)</f>
        <v>7</v>
      </c>
      <c r="N291" s="1">
        <f ca="1">IFERROR(__xludf.DUMMYFUNCTION("""COMPUTED_VALUE"""),2647)</f>
        <v>2647</v>
      </c>
      <c r="O291" s="1">
        <f ca="1">IFERROR(__xludf.DUMMYFUNCTION("""COMPUTED_VALUE"""),2431)</f>
        <v>2431</v>
      </c>
      <c r="P291" s="1">
        <f ca="1">IFERROR(__xludf.DUMMYFUNCTION("""COMPUTED_VALUE"""),1420)</f>
        <v>1420</v>
      </c>
      <c r="Q291" s="1">
        <f ca="1">IFERROR(__xludf.DUMMYFUNCTION("""COMPUTED_VALUE"""),875)</f>
        <v>875</v>
      </c>
      <c r="R291" s="1">
        <f ca="1">IFERROR(__xludf.DUMMYFUNCTION("""COMPUTED_VALUE"""),1893)</f>
        <v>1893</v>
      </c>
      <c r="S291" s="1">
        <f ca="1">IFERROR(__xludf.DUMMYFUNCTION("""COMPUTED_VALUE"""),0.462)</f>
        <v>0.46200000000000002</v>
      </c>
      <c r="T291" s="1">
        <f ca="1">IFERROR(__xludf.DUMMYFUNCTION("""COMPUTED_VALUE"""),250)</f>
        <v>250</v>
      </c>
      <c r="U291" s="1">
        <f ca="1">IFERROR(__xludf.DUMMYFUNCTION("""COMPUTED_VALUE"""),638)</f>
        <v>638</v>
      </c>
      <c r="V291" s="1">
        <f ca="1">IFERROR(__xludf.DUMMYFUNCTION("""COMPUTED_VALUE"""),0.392)</f>
        <v>0.39200000000000002</v>
      </c>
      <c r="W291" s="1">
        <f ca="1">IFERROR(__xludf.DUMMYFUNCTION("""COMPUTED_VALUE"""),647)</f>
        <v>647</v>
      </c>
      <c r="X291" s="1">
        <f ca="1">IFERROR(__xludf.DUMMYFUNCTION("""COMPUTED_VALUE"""),969)</f>
        <v>969</v>
      </c>
      <c r="Y291" s="1">
        <f ca="1">IFERROR(__xludf.DUMMYFUNCTION("""COMPUTED_VALUE"""),0.668)</f>
        <v>0.66800000000000004</v>
      </c>
      <c r="Z291" s="1">
        <f ca="1">IFERROR(__xludf.DUMMYFUNCTION("""COMPUTED_VALUE"""),416)</f>
        <v>416</v>
      </c>
      <c r="AA291" s="1">
        <f ca="1">IFERROR(__xludf.DUMMYFUNCTION("""COMPUTED_VALUE"""),1220)</f>
        <v>1220</v>
      </c>
      <c r="AB291" s="1">
        <f ca="1">IFERROR(__xludf.DUMMYFUNCTION("""COMPUTED_VALUE"""),551)</f>
        <v>551</v>
      </c>
      <c r="AC291" s="1">
        <f ca="1">IFERROR(__xludf.DUMMYFUNCTION("""COMPUTED_VALUE"""),236)</f>
        <v>236</v>
      </c>
      <c r="AD291" s="1">
        <f ca="1">IFERROR(__xludf.DUMMYFUNCTION("""COMPUTED_VALUE"""),122)</f>
        <v>122</v>
      </c>
      <c r="AE291" s="1">
        <f ca="1">IFERROR(__xludf.DUMMYFUNCTION("""COMPUTED_VALUE"""),447)</f>
        <v>447</v>
      </c>
      <c r="AF291" s="1">
        <f ca="1">IFERROR(__xludf.DUMMYFUNCTION("""COMPUTED_VALUE"""),746)</f>
        <v>746</v>
      </c>
    </row>
    <row r="292" spans="1:32" ht="12.5" x14ac:dyDescent="0.25">
      <c r="A292" s="1" t="str">
        <f ca="1">IFERROR(__xludf.DUMMYFUNCTION("""COMPUTED_VALUE"""),"Samford")</f>
        <v>Samford</v>
      </c>
      <c r="B292" s="1">
        <f ca="1">IFERROR(__xludf.DUMMYFUNCTION("""COMPUTED_VALUE"""),33)</f>
        <v>33</v>
      </c>
      <c r="C292" s="1">
        <f ca="1">IFERROR(__xludf.DUMMYFUNCTION("""COMPUTED_VALUE"""),13)</f>
        <v>13</v>
      </c>
      <c r="D292" s="1">
        <f ca="1">IFERROR(__xludf.DUMMYFUNCTION("""COMPUTED_VALUE"""),20)</f>
        <v>20</v>
      </c>
      <c r="E292" s="1">
        <f ca="1">IFERROR(__xludf.DUMMYFUNCTION("""COMPUTED_VALUE"""),0.394)</f>
        <v>0.39400000000000002</v>
      </c>
      <c r="F292" s="1">
        <f ca="1">IFERROR(__xludf.DUMMYFUNCTION("""COMPUTED_VALUE"""),-14.91)</f>
        <v>-14.91</v>
      </c>
      <c r="G292" s="1">
        <f ca="1">IFERROR(__xludf.DUMMYFUNCTION("""COMPUTED_VALUE"""),-7.41)</f>
        <v>-7.41</v>
      </c>
      <c r="H292" s="1">
        <f ca="1">IFERROR(__xludf.DUMMYFUNCTION("""COMPUTED_VALUE"""),6)</f>
        <v>6</v>
      </c>
      <c r="I292" s="1">
        <f ca="1">IFERROR(__xludf.DUMMYFUNCTION("""COMPUTED_VALUE"""),10)</f>
        <v>10</v>
      </c>
      <c r="J292" s="1">
        <f ca="1">IFERROR(__xludf.DUMMYFUNCTION("""COMPUTED_VALUE"""),10)</f>
        <v>10</v>
      </c>
      <c r="K292" s="1">
        <f ca="1">IFERROR(__xludf.DUMMYFUNCTION("""COMPUTED_VALUE"""),4)</f>
        <v>4</v>
      </c>
      <c r="L292" s="1">
        <f ca="1">IFERROR(__xludf.DUMMYFUNCTION("""COMPUTED_VALUE"""),2)</f>
        <v>2</v>
      </c>
      <c r="M292" s="1">
        <f ca="1">IFERROR(__xludf.DUMMYFUNCTION("""COMPUTED_VALUE"""),15)</f>
        <v>15</v>
      </c>
      <c r="N292" s="1">
        <f ca="1">IFERROR(__xludf.DUMMYFUNCTION("""COMPUTED_VALUE"""),2327)</f>
        <v>2327</v>
      </c>
      <c r="O292" s="1">
        <f ca="1">IFERROR(__xludf.DUMMYFUNCTION("""COMPUTED_VALUE"""),2521)</f>
        <v>2521</v>
      </c>
      <c r="P292" s="1">
        <f ca="1">IFERROR(__xludf.DUMMYFUNCTION("""COMPUTED_VALUE"""),1325)</f>
        <v>1325</v>
      </c>
      <c r="Q292" s="1">
        <f ca="1">IFERROR(__xludf.DUMMYFUNCTION("""COMPUTED_VALUE"""),849)</f>
        <v>849</v>
      </c>
      <c r="R292" s="1">
        <f ca="1">IFERROR(__xludf.DUMMYFUNCTION("""COMPUTED_VALUE"""),1792)</f>
        <v>1792</v>
      </c>
      <c r="S292" s="1">
        <f ca="1">IFERROR(__xludf.DUMMYFUNCTION("""COMPUTED_VALUE"""),0.474)</f>
        <v>0.47399999999999998</v>
      </c>
      <c r="T292" s="1">
        <f ca="1">IFERROR(__xludf.DUMMYFUNCTION("""COMPUTED_VALUE"""),161)</f>
        <v>161</v>
      </c>
      <c r="U292" s="1">
        <f ca="1">IFERROR(__xludf.DUMMYFUNCTION("""COMPUTED_VALUE"""),488)</f>
        <v>488</v>
      </c>
      <c r="V292" s="1">
        <f ca="1">IFERROR(__xludf.DUMMYFUNCTION("""COMPUTED_VALUE"""),0.33)</f>
        <v>0.33</v>
      </c>
      <c r="W292" s="1">
        <f ca="1">IFERROR(__xludf.DUMMYFUNCTION("""COMPUTED_VALUE"""),468)</f>
        <v>468</v>
      </c>
      <c r="X292" s="1">
        <f ca="1">IFERROR(__xludf.DUMMYFUNCTION("""COMPUTED_VALUE"""),692)</f>
        <v>692</v>
      </c>
      <c r="Y292" s="1">
        <f ca="1">IFERROR(__xludf.DUMMYFUNCTION("""COMPUTED_VALUE"""),0.676)</f>
        <v>0.67600000000000005</v>
      </c>
      <c r="Z292" s="1">
        <f ca="1">IFERROR(__xludf.DUMMYFUNCTION("""COMPUTED_VALUE"""),299)</f>
        <v>299</v>
      </c>
      <c r="AA292" s="1">
        <f ca="1">IFERROR(__xludf.DUMMYFUNCTION("""COMPUTED_VALUE"""),1058)</f>
        <v>1058</v>
      </c>
      <c r="AB292" s="1">
        <f ca="1">IFERROR(__xludf.DUMMYFUNCTION("""COMPUTED_VALUE"""),450)</f>
        <v>450</v>
      </c>
      <c r="AC292" s="1">
        <f ca="1">IFERROR(__xludf.DUMMYFUNCTION("""COMPUTED_VALUE"""),185)</f>
        <v>185</v>
      </c>
      <c r="AD292" s="1">
        <f ca="1">IFERROR(__xludf.DUMMYFUNCTION("""COMPUTED_VALUE"""),99)</f>
        <v>99</v>
      </c>
      <c r="AE292" s="1">
        <f ca="1">IFERROR(__xludf.DUMMYFUNCTION("""COMPUTED_VALUE"""),421)</f>
        <v>421</v>
      </c>
      <c r="AF292" s="1">
        <f ca="1">IFERROR(__xludf.DUMMYFUNCTION("""COMPUTED_VALUE"""),694)</f>
        <v>694</v>
      </c>
    </row>
    <row r="293" spans="1:32" ht="12.5" x14ac:dyDescent="0.25">
      <c r="A293" s="1" t="str">
        <f ca="1">IFERROR(__xludf.DUMMYFUNCTION("""COMPUTED_VALUE"""),"San Diego StateNCAA")</f>
        <v>San Diego StateNCAA</v>
      </c>
      <c r="B293" s="1">
        <f ca="1">IFERROR(__xludf.DUMMYFUNCTION("""COMPUTED_VALUE"""),36)</f>
        <v>36</v>
      </c>
      <c r="C293" s="1">
        <f ca="1">IFERROR(__xludf.DUMMYFUNCTION("""COMPUTED_VALUE"""),31)</f>
        <v>31</v>
      </c>
      <c r="D293" s="1">
        <f ca="1">IFERROR(__xludf.DUMMYFUNCTION("""COMPUTED_VALUE"""),5)</f>
        <v>5</v>
      </c>
      <c r="E293" s="1">
        <f ca="1">IFERROR(__xludf.DUMMYFUNCTION("""COMPUTED_VALUE"""),0.861)</f>
        <v>0.86099999999999999</v>
      </c>
      <c r="F293" s="1">
        <f ca="1">IFERROR(__xludf.DUMMYFUNCTION("""COMPUTED_VALUE"""),14.95)</f>
        <v>14.95</v>
      </c>
      <c r="G293" s="1">
        <f ca="1">IFERROR(__xludf.DUMMYFUNCTION("""COMPUTED_VALUE"""),4.86)</f>
        <v>4.8600000000000003</v>
      </c>
      <c r="H293" s="1">
        <f ca="1">IFERROR(__xludf.DUMMYFUNCTION("""COMPUTED_VALUE"""),16)</f>
        <v>16</v>
      </c>
      <c r="I293" s="1">
        <f ca="1">IFERROR(__xludf.DUMMYFUNCTION("""COMPUTED_VALUE"""),2)</f>
        <v>2</v>
      </c>
      <c r="J293" s="1">
        <f ca="1">IFERROR(__xludf.DUMMYFUNCTION("""COMPUTED_VALUE"""),15)</f>
        <v>15</v>
      </c>
      <c r="K293" s="1">
        <f ca="1">IFERROR(__xludf.DUMMYFUNCTION("""COMPUTED_VALUE"""),1)</f>
        <v>1</v>
      </c>
      <c r="L293" s="1">
        <f ca="1">IFERROR(__xludf.DUMMYFUNCTION("""COMPUTED_VALUE"""),9)</f>
        <v>9</v>
      </c>
      <c r="M293" s="1">
        <f ca="1">IFERROR(__xludf.DUMMYFUNCTION("""COMPUTED_VALUE"""),2)</f>
        <v>2</v>
      </c>
      <c r="N293" s="1">
        <f ca="1">IFERROR(__xludf.DUMMYFUNCTION("""COMPUTED_VALUE"""),2530)</f>
        <v>2530</v>
      </c>
      <c r="O293" s="1">
        <f ca="1">IFERROR(__xludf.DUMMYFUNCTION("""COMPUTED_VALUE"""),2052)</f>
        <v>2052</v>
      </c>
      <c r="P293" s="1">
        <f ca="1">IFERROR(__xludf.DUMMYFUNCTION("""COMPUTED_VALUE"""),1450)</f>
        <v>1450</v>
      </c>
      <c r="Q293" s="1">
        <f ca="1">IFERROR(__xludf.DUMMYFUNCTION("""COMPUTED_VALUE"""),873)</f>
        <v>873</v>
      </c>
      <c r="R293" s="1">
        <f ca="1">IFERROR(__xludf.DUMMYFUNCTION("""COMPUTED_VALUE"""),2009)</f>
        <v>2009</v>
      </c>
      <c r="S293" s="1">
        <f ca="1">IFERROR(__xludf.DUMMYFUNCTION("""COMPUTED_VALUE"""),0.435)</f>
        <v>0.435</v>
      </c>
      <c r="T293" s="1">
        <f ca="1">IFERROR(__xludf.DUMMYFUNCTION("""COMPUTED_VALUE"""),186)</f>
        <v>186</v>
      </c>
      <c r="U293" s="1">
        <f ca="1">IFERROR(__xludf.DUMMYFUNCTION("""COMPUTED_VALUE"""),519)</f>
        <v>519</v>
      </c>
      <c r="V293" s="1">
        <f ca="1">IFERROR(__xludf.DUMMYFUNCTION("""COMPUTED_VALUE"""),0.358)</f>
        <v>0.35799999999999998</v>
      </c>
      <c r="W293" s="1">
        <f ca="1">IFERROR(__xludf.DUMMYFUNCTION("""COMPUTED_VALUE"""),598)</f>
        <v>598</v>
      </c>
      <c r="X293" s="1">
        <f ca="1">IFERROR(__xludf.DUMMYFUNCTION("""COMPUTED_VALUE"""),902)</f>
        <v>902</v>
      </c>
      <c r="Y293" s="1">
        <f ca="1">IFERROR(__xludf.DUMMYFUNCTION("""COMPUTED_VALUE"""),0.663)</f>
        <v>0.66300000000000003</v>
      </c>
      <c r="Z293" s="1">
        <f ca="1">IFERROR(__xludf.DUMMYFUNCTION("""COMPUTED_VALUE"""),470)</f>
        <v>470</v>
      </c>
      <c r="AA293" s="1">
        <f ca="1">IFERROR(__xludf.DUMMYFUNCTION("""COMPUTED_VALUE"""),1364)</f>
        <v>1364</v>
      </c>
      <c r="AB293" s="1">
        <f ca="1">IFERROR(__xludf.DUMMYFUNCTION("""COMPUTED_VALUE"""),356)</f>
        <v>356</v>
      </c>
      <c r="AC293" s="1">
        <f ca="1">IFERROR(__xludf.DUMMYFUNCTION("""COMPUTED_VALUE"""),274)</f>
        <v>274</v>
      </c>
      <c r="AD293" s="1">
        <f ca="1">IFERROR(__xludf.DUMMYFUNCTION("""COMPUTED_VALUE"""),183)</f>
        <v>183</v>
      </c>
      <c r="AE293" s="1">
        <f ca="1">IFERROR(__xludf.DUMMYFUNCTION("""COMPUTED_VALUE"""),355)</f>
        <v>355</v>
      </c>
      <c r="AF293" s="1">
        <f ca="1">IFERROR(__xludf.DUMMYFUNCTION("""COMPUTED_VALUE"""),600)</f>
        <v>600</v>
      </c>
    </row>
    <row r="294" spans="1:32" ht="12.5" x14ac:dyDescent="0.25">
      <c r="A294" s="1" t="str">
        <f ca="1">IFERROR(__xludf.DUMMYFUNCTION("""COMPUTED_VALUE"""),"San Diego")</f>
        <v>San Diego</v>
      </c>
      <c r="B294" s="1">
        <f ca="1">IFERROR(__xludf.DUMMYFUNCTION("""COMPUTED_VALUE"""),35)</f>
        <v>35</v>
      </c>
      <c r="C294" s="1">
        <f ca="1">IFERROR(__xludf.DUMMYFUNCTION("""COMPUTED_VALUE"""),18)</f>
        <v>18</v>
      </c>
      <c r="D294" s="1">
        <f ca="1">IFERROR(__xludf.DUMMYFUNCTION("""COMPUTED_VALUE"""),17)</f>
        <v>17</v>
      </c>
      <c r="E294" s="1">
        <f ca="1">IFERROR(__xludf.DUMMYFUNCTION("""COMPUTED_VALUE"""),0.514)</f>
        <v>0.51400000000000001</v>
      </c>
      <c r="F294" s="1">
        <f ca="1">IFERROR(__xludf.DUMMYFUNCTION("""COMPUTED_VALUE"""),2.16)</f>
        <v>2.16</v>
      </c>
      <c r="G294" s="1">
        <f ca="1">IFERROR(__xludf.DUMMYFUNCTION("""COMPUTED_VALUE"""),1.97)</f>
        <v>1.97</v>
      </c>
      <c r="H294" s="1">
        <f ca="1">IFERROR(__xludf.DUMMYFUNCTION("""COMPUTED_VALUE"""),7)</f>
        <v>7</v>
      </c>
      <c r="I294" s="1">
        <f ca="1">IFERROR(__xludf.DUMMYFUNCTION("""COMPUTED_VALUE"""),11)</f>
        <v>11</v>
      </c>
      <c r="J294" s="1">
        <f ca="1">IFERROR(__xludf.DUMMYFUNCTION("""COMPUTED_VALUE"""),10)</f>
        <v>10</v>
      </c>
      <c r="K294" s="1">
        <f ca="1">IFERROR(__xludf.DUMMYFUNCTION("""COMPUTED_VALUE"""),7)</f>
        <v>7</v>
      </c>
      <c r="L294" s="1">
        <f ca="1">IFERROR(__xludf.DUMMYFUNCTION("""COMPUTED_VALUE"""),6)</f>
        <v>6</v>
      </c>
      <c r="M294" s="1">
        <f ca="1">IFERROR(__xludf.DUMMYFUNCTION("""COMPUTED_VALUE"""),8)</f>
        <v>8</v>
      </c>
      <c r="N294" s="1">
        <f ca="1">IFERROR(__xludf.DUMMYFUNCTION("""COMPUTED_VALUE"""),2362)</f>
        <v>2362</v>
      </c>
      <c r="O294" s="1">
        <f ca="1">IFERROR(__xludf.DUMMYFUNCTION("""COMPUTED_VALUE"""),2283)</f>
        <v>2283</v>
      </c>
      <c r="P294" s="1">
        <f ca="1">IFERROR(__xludf.DUMMYFUNCTION("""COMPUTED_VALUE"""),1400)</f>
        <v>1400</v>
      </c>
      <c r="Q294" s="1">
        <f ca="1">IFERROR(__xludf.DUMMYFUNCTION("""COMPUTED_VALUE"""),816)</f>
        <v>816</v>
      </c>
      <c r="R294" s="1">
        <f ca="1">IFERROR(__xludf.DUMMYFUNCTION("""COMPUTED_VALUE"""),1815)</f>
        <v>1815</v>
      </c>
      <c r="S294" s="1">
        <f ca="1">IFERROR(__xludf.DUMMYFUNCTION("""COMPUTED_VALUE"""),0.45)</f>
        <v>0.45</v>
      </c>
      <c r="T294" s="1">
        <f ca="1">IFERROR(__xludf.DUMMYFUNCTION("""COMPUTED_VALUE"""),225)</f>
        <v>225</v>
      </c>
      <c r="U294" s="1">
        <f ca="1">IFERROR(__xludf.DUMMYFUNCTION("""COMPUTED_VALUE"""),600)</f>
        <v>600</v>
      </c>
      <c r="V294" s="1">
        <f ca="1">IFERROR(__xludf.DUMMYFUNCTION("""COMPUTED_VALUE"""),0.375)</f>
        <v>0.375</v>
      </c>
      <c r="W294" s="1">
        <f ca="1">IFERROR(__xludf.DUMMYFUNCTION("""COMPUTED_VALUE"""),505)</f>
        <v>505</v>
      </c>
      <c r="X294" s="1">
        <f ca="1">IFERROR(__xludf.DUMMYFUNCTION("""COMPUTED_VALUE"""),726)</f>
        <v>726</v>
      </c>
      <c r="Y294" s="1">
        <f ca="1">IFERROR(__xludf.DUMMYFUNCTION("""COMPUTED_VALUE"""),0.696)</f>
        <v>0.69599999999999995</v>
      </c>
      <c r="Z294" s="1">
        <f ca="1">IFERROR(__xludf.DUMMYFUNCTION("""COMPUTED_VALUE"""),335)</f>
        <v>335</v>
      </c>
      <c r="AA294" s="1">
        <f ca="1">IFERROR(__xludf.DUMMYFUNCTION("""COMPUTED_VALUE"""),1160)</f>
        <v>1160</v>
      </c>
      <c r="AB294" s="1">
        <f ca="1">IFERROR(__xludf.DUMMYFUNCTION("""COMPUTED_VALUE"""),410)</f>
        <v>410</v>
      </c>
      <c r="AC294" s="1">
        <f ca="1">IFERROR(__xludf.DUMMYFUNCTION("""COMPUTED_VALUE"""),202)</f>
        <v>202</v>
      </c>
      <c r="AD294" s="1">
        <f ca="1">IFERROR(__xludf.DUMMYFUNCTION("""COMPUTED_VALUE"""),137)</f>
        <v>137</v>
      </c>
      <c r="AE294" s="1">
        <f ca="1">IFERROR(__xludf.DUMMYFUNCTION("""COMPUTED_VALUE"""),415)</f>
        <v>415</v>
      </c>
      <c r="AF294" s="1">
        <f ca="1">IFERROR(__xludf.DUMMYFUNCTION("""COMPUTED_VALUE"""),652)</f>
        <v>652</v>
      </c>
    </row>
    <row r="295" spans="1:32" ht="12.5" x14ac:dyDescent="0.25">
      <c r="A295" s="1" t="str">
        <f ca="1">IFERROR(__xludf.DUMMYFUNCTION("""COMPUTED_VALUE"""),"San Francisco")</f>
        <v>San Francisco</v>
      </c>
      <c r="B295" s="1">
        <f ca="1">IFERROR(__xludf.DUMMYFUNCTION("""COMPUTED_VALUE"""),33)</f>
        <v>33</v>
      </c>
      <c r="C295" s="1">
        <f ca="1">IFERROR(__xludf.DUMMYFUNCTION("""COMPUTED_VALUE"""),21)</f>
        <v>21</v>
      </c>
      <c r="D295" s="1">
        <f ca="1">IFERROR(__xludf.DUMMYFUNCTION("""COMPUTED_VALUE"""),12)</f>
        <v>12</v>
      </c>
      <c r="E295" s="1">
        <f ca="1">IFERROR(__xludf.DUMMYFUNCTION("""COMPUTED_VALUE"""),0.636)</f>
        <v>0.63600000000000001</v>
      </c>
      <c r="F295" s="1">
        <f ca="1">IFERROR(__xludf.DUMMYFUNCTION("""COMPUTED_VALUE"""),5.92)</f>
        <v>5.92</v>
      </c>
      <c r="G295" s="1">
        <f ca="1">IFERROR(__xludf.DUMMYFUNCTION("""COMPUTED_VALUE"""),4.28)</f>
        <v>4.28</v>
      </c>
      <c r="H295" s="1">
        <f ca="1">IFERROR(__xludf.DUMMYFUNCTION("""COMPUTED_VALUE"""),13)</f>
        <v>13</v>
      </c>
      <c r="I295" s="1">
        <f ca="1">IFERROR(__xludf.DUMMYFUNCTION("""COMPUTED_VALUE"""),5)</f>
        <v>5</v>
      </c>
      <c r="J295" s="1">
        <f ca="1">IFERROR(__xludf.DUMMYFUNCTION("""COMPUTED_VALUE"""),13)</f>
        <v>13</v>
      </c>
      <c r="K295" s="1">
        <f ca="1">IFERROR(__xludf.DUMMYFUNCTION("""COMPUTED_VALUE"""),6)</f>
        <v>6</v>
      </c>
      <c r="L295" s="1">
        <f ca="1">IFERROR(__xludf.DUMMYFUNCTION("""COMPUTED_VALUE"""),7)</f>
        <v>7</v>
      </c>
      <c r="M295" s="1">
        <f ca="1">IFERROR(__xludf.DUMMYFUNCTION("""COMPUTED_VALUE"""),5)</f>
        <v>5</v>
      </c>
      <c r="N295" s="1">
        <f ca="1">IFERROR(__xludf.DUMMYFUNCTION("""COMPUTED_VALUE"""),2469)</f>
        <v>2469</v>
      </c>
      <c r="O295" s="1">
        <f ca="1">IFERROR(__xludf.DUMMYFUNCTION("""COMPUTED_VALUE"""),2357)</f>
        <v>2357</v>
      </c>
      <c r="P295" s="1">
        <f ca="1">IFERROR(__xludf.DUMMYFUNCTION("""COMPUTED_VALUE"""),1341)</f>
        <v>1341</v>
      </c>
      <c r="Q295" s="1">
        <f ca="1">IFERROR(__xludf.DUMMYFUNCTION("""COMPUTED_VALUE"""),861)</f>
        <v>861</v>
      </c>
      <c r="R295" s="1">
        <f ca="1">IFERROR(__xludf.DUMMYFUNCTION("""COMPUTED_VALUE"""),1819)</f>
        <v>1819</v>
      </c>
      <c r="S295" s="1">
        <f ca="1">IFERROR(__xludf.DUMMYFUNCTION("""COMPUTED_VALUE"""),0.473)</f>
        <v>0.47299999999999998</v>
      </c>
      <c r="T295" s="1">
        <f ca="1">IFERROR(__xludf.DUMMYFUNCTION("""COMPUTED_VALUE"""),224)</f>
        <v>224</v>
      </c>
      <c r="U295" s="1">
        <f ca="1">IFERROR(__xludf.DUMMYFUNCTION("""COMPUTED_VALUE"""),618)</f>
        <v>618</v>
      </c>
      <c r="V295" s="1">
        <f ca="1">IFERROR(__xludf.DUMMYFUNCTION("""COMPUTED_VALUE"""),0.362)</f>
        <v>0.36199999999999999</v>
      </c>
      <c r="W295" s="1">
        <f ca="1">IFERROR(__xludf.DUMMYFUNCTION("""COMPUTED_VALUE"""),523)</f>
        <v>523</v>
      </c>
      <c r="X295" s="1">
        <f ca="1">IFERROR(__xludf.DUMMYFUNCTION("""COMPUTED_VALUE"""),807)</f>
        <v>807</v>
      </c>
      <c r="Y295" s="1">
        <f ca="1">IFERROR(__xludf.DUMMYFUNCTION("""COMPUTED_VALUE"""),0.648)</f>
        <v>0.64800000000000002</v>
      </c>
      <c r="Z295" s="1">
        <f ca="1">IFERROR(__xludf.DUMMYFUNCTION("""COMPUTED_VALUE"""),372)</f>
        <v>372</v>
      </c>
      <c r="AA295" s="1">
        <f ca="1">IFERROR(__xludf.DUMMYFUNCTION("""COMPUTED_VALUE"""),1176)</f>
        <v>1176</v>
      </c>
      <c r="AB295" s="1">
        <f ca="1">IFERROR(__xludf.DUMMYFUNCTION("""COMPUTED_VALUE"""),479)</f>
        <v>479</v>
      </c>
      <c r="AC295" s="1">
        <f ca="1">IFERROR(__xludf.DUMMYFUNCTION("""COMPUTED_VALUE"""),177)</f>
        <v>177</v>
      </c>
      <c r="AD295" s="1">
        <f ca="1">IFERROR(__xludf.DUMMYFUNCTION("""COMPUTED_VALUE"""),85)</f>
        <v>85</v>
      </c>
      <c r="AE295" s="1">
        <f ca="1">IFERROR(__xludf.DUMMYFUNCTION("""COMPUTED_VALUE"""),381)</f>
        <v>381</v>
      </c>
      <c r="AF295" s="1">
        <f ca="1">IFERROR(__xludf.DUMMYFUNCTION("""COMPUTED_VALUE"""),644)</f>
        <v>644</v>
      </c>
    </row>
    <row r="296" spans="1:32" ht="12.5" x14ac:dyDescent="0.25">
      <c r="A296" s="1" t="str">
        <f ca="1">IFERROR(__xludf.DUMMYFUNCTION("""COMPUTED_VALUE"""),"San Jose State")</f>
        <v>San Jose State</v>
      </c>
      <c r="B296" s="1">
        <f ca="1">IFERROR(__xludf.DUMMYFUNCTION("""COMPUTED_VALUE"""),31)</f>
        <v>31</v>
      </c>
      <c r="C296" s="1">
        <f ca="1">IFERROR(__xludf.DUMMYFUNCTION("""COMPUTED_VALUE"""),7)</f>
        <v>7</v>
      </c>
      <c r="D296" s="1">
        <f ca="1">IFERROR(__xludf.DUMMYFUNCTION("""COMPUTED_VALUE"""),24)</f>
        <v>24</v>
      </c>
      <c r="E296" s="1">
        <f ca="1">IFERROR(__xludf.DUMMYFUNCTION("""COMPUTED_VALUE"""),0.226)</f>
        <v>0.22600000000000001</v>
      </c>
      <c r="F296" s="1">
        <f ca="1">IFERROR(__xludf.DUMMYFUNCTION("""COMPUTED_VALUE"""),-7.96)</f>
        <v>-7.96</v>
      </c>
      <c r="G296" s="1">
        <f ca="1">IFERROR(__xludf.DUMMYFUNCTION("""COMPUTED_VALUE"""),3.05)</f>
        <v>3.05</v>
      </c>
      <c r="H296" s="1">
        <f ca="1">IFERROR(__xludf.DUMMYFUNCTION("""COMPUTED_VALUE"""),1)</f>
        <v>1</v>
      </c>
      <c r="I296" s="1">
        <f ca="1">IFERROR(__xludf.DUMMYFUNCTION("""COMPUTED_VALUE"""),17)</f>
        <v>17</v>
      </c>
      <c r="J296" s="1">
        <f ca="1">IFERROR(__xludf.DUMMYFUNCTION("""COMPUTED_VALUE"""),4)</f>
        <v>4</v>
      </c>
      <c r="K296" s="1">
        <f ca="1">IFERROR(__xludf.DUMMYFUNCTION("""COMPUTED_VALUE"""),9)</f>
        <v>9</v>
      </c>
      <c r="L296" s="1">
        <f ca="1">IFERROR(__xludf.DUMMYFUNCTION("""COMPUTED_VALUE"""),3)</f>
        <v>3</v>
      </c>
      <c r="M296" s="1">
        <f ca="1">IFERROR(__xludf.DUMMYFUNCTION("""COMPUTED_VALUE"""),12)</f>
        <v>12</v>
      </c>
      <c r="N296" s="1">
        <f ca="1">IFERROR(__xludf.DUMMYFUNCTION("""COMPUTED_VALUE"""),1938)</f>
        <v>1938</v>
      </c>
      <c r="O296" s="1">
        <f ca="1">IFERROR(__xludf.DUMMYFUNCTION("""COMPUTED_VALUE"""),2222)</f>
        <v>2222</v>
      </c>
      <c r="P296" s="1">
        <f ca="1">IFERROR(__xludf.DUMMYFUNCTION("""COMPUTED_VALUE"""),1255)</f>
        <v>1255</v>
      </c>
      <c r="Q296" s="1">
        <f ca="1">IFERROR(__xludf.DUMMYFUNCTION("""COMPUTED_VALUE"""),631)</f>
        <v>631</v>
      </c>
      <c r="R296" s="1">
        <f ca="1">IFERROR(__xludf.DUMMYFUNCTION("""COMPUTED_VALUE"""),1686)</f>
        <v>1686</v>
      </c>
      <c r="S296" s="1">
        <f ca="1">IFERROR(__xludf.DUMMYFUNCTION("""COMPUTED_VALUE"""),0.374)</f>
        <v>0.374</v>
      </c>
      <c r="T296" s="1">
        <f ca="1">IFERROR(__xludf.DUMMYFUNCTION("""COMPUTED_VALUE"""),265)</f>
        <v>265</v>
      </c>
      <c r="U296" s="1">
        <f ca="1">IFERROR(__xludf.DUMMYFUNCTION("""COMPUTED_VALUE"""),797)</f>
        <v>797</v>
      </c>
      <c r="V296" s="1">
        <f ca="1">IFERROR(__xludf.DUMMYFUNCTION("""COMPUTED_VALUE"""),0.332)</f>
        <v>0.33200000000000002</v>
      </c>
      <c r="W296" s="1">
        <f ca="1">IFERROR(__xludf.DUMMYFUNCTION("""COMPUTED_VALUE"""),411)</f>
        <v>411</v>
      </c>
      <c r="X296" s="1">
        <f ca="1">IFERROR(__xludf.DUMMYFUNCTION("""COMPUTED_VALUE"""),569)</f>
        <v>569</v>
      </c>
      <c r="Y296" s="1">
        <f ca="1">IFERROR(__xludf.DUMMYFUNCTION("""COMPUTED_VALUE"""),0.722)</f>
        <v>0.72199999999999998</v>
      </c>
      <c r="Z296" s="1">
        <f ca="1">IFERROR(__xludf.DUMMYFUNCTION("""COMPUTED_VALUE"""),322)</f>
        <v>322</v>
      </c>
      <c r="AA296" s="1">
        <f ca="1">IFERROR(__xludf.DUMMYFUNCTION("""COMPUTED_VALUE"""),1106)</f>
        <v>1106</v>
      </c>
      <c r="AB296" s="1">
        <f ca="1">IFERROR(__xludf.DUMMYFUNCTION("""COMPUTED_VALUE"""),346)</f>
        <v>346</v>
      </c>
      <c r="AC296" s="1">
        <f ca="1">IFERROR(__xludf.DUMMYFUNCTION("""COMPUTED_VALUE"""),133)</f>
        <v>133</v>
      </c>
      <c r="AD296" s="1">
        <f ca="1">IFERROR(__xludf.DUMMYFUNCTION("""COMPUTED_VALUE"""),86)</f>
        <v>86</v>
      </c>
      <c r="AE296" s="1">
        <f ca="1">IFERROR(__xludf.DUMMYFUNCTION("""COMPUTED_VALUE"""),416)</f>
        <v>416</v>
      </c>
      <c r="AF296" s="1">
        <f ca="1">IFERROR(__xludf.DUMMYFUNCTION("""COMPUTED_VALUE"""),637)</f>
        <v>637</v>
      </c>
    </row>
    <row r="297" spans="1:32" ht="12.5" x14ac:dyDescent="0.25">
      <c r="A297" s="1" t="str">
        <f ca="1">IFERROR(__xludf.DUMMYFUNCTION("""COMPUTED_VALUE"""),"Santa Clara")</f>
        <v>Santa Clara</v>
      </c>
      <c r="B297" s="1">
        <f ca="1">IFERROR(__xludf.DUMMYFUNCTION("""COMPUTED_VALUE"""),33)</f>
        <v>33</v>
      </c>
      <c r="C297" s="1">
        <f ca="1">IFERROR(__xludf.DUMMYFUNCTION("""COMPUTED_VALUE"""),14)</f>
        <v>14</v>
      </c>
      <c r="D297" s="1">
        <f ca="1">IFERROR(__xludf.DUMMYFUNCTION("""COMPUTED_VALUE"""),19)</f>
        <v>19</v>
      </c>
      <c r="E297" s="1">
        <f ca="1">IFERROR(__xludf.DUMMYFUNCTION("""COMPUTED_VALUE"""),0.424)</f>
        <v>0.42399999999999999</v>
      </c>
      <c r="F297" s="1">
        <f ca="1">IFERROR(__xludf.DUMMYFUNCTION("""COMPUTED_VALUE"""),0.88)</f>
        <v>0.88</v>
      </c>
      <c r="G297" s="1">
        <f ca="1">IFERROR(__xludf.DUMMYFUNCTION("""COMPUTED_VALUE"""),3.01)</f>
        <v>3.01</v>
      </c>
      <c r="H297" s="1">
        <f ca="1">IFERROR(__xludf.DUMMYFUNCTION("""COMPUTED_VALUE"""),6)</f>
        <v>6</v>
      </c>
      <c r="I297" s="1">
        <f ca="1">IFERROR(__xludf.DUMMYFUNCTION("""COMPUTED_VALUE"""),12)</f>
        <v>12</v>
      </c>
      <c r="J297" s="1">
        <f ca="1">IFERROR(__xludf.DUMMYFUNCTION("""COMPUTED_VALUE"""),7)</f>
        <v>7</v>
      </c>
      <c r="K297" s="1">
        <f ca="1">IFERROR(__xludf.DUMMYFUNCTION("""COMPUTED_VALUE"""),8)</f>
        <v>8</v>
      </c>
      <c r="L297" s="1">
        <f ca="1">IFERROR(__xludf.DUMMYFUNCTION("""COMPUTED_VALUE"""),5)</f>
        <v>5</v>
      </c>
      <c r="M297" s="1">
        <f ca="1">IFERROR(__xludf.DUMMYFUNCTION("""COMPUTED_VALUE"""),8)</f>
        <v>8</v>
      </c>
      <c r="N297" s="1">
        <f ca="1">IFERROR(__xludf.DUMMYFUNCTION("""COMPUTED_VALUE"""),2340)</f>
        <v>2340</v>
      </c>
      <c r="O297" s="1">
        <f ca="1">IFERROR(__xludf.DUMMYFUNCTION("""COMPUTED_VALUE"""),2325)</f>
        <v>2325</v>
      </c>
      <c r="P297" s="1">
        <f ca="1">IFERROR(__xludf.DUMMYFUNCTION("""COMPUTED_VALUE"""),1325)</f>
        <v>1325</v>
      </c>
      <c r="Q297" s="1">
        <f ca="1">IFERROR(__xludf.DUMMYFUNCTION("""COMPUTED_VALUE"""),788)</f>
        <v>788</v>
      </c>
      <c r="R297" s="1">
        <f ca="1">IFERROR(__xludf.DUMMYFUNCTION("""COMPUTED_VALUE"""),1853)</f>
        <v>1853</v>
      </c>
      <c r="S297" s="1">
        <f ca="1">IFERROR(__xludf.DUMMYFUNCTION("""COMPUTED_VALUE"""),0.425)</f>
        <v>0.42499999999999999</v>
      </c>
      <c r="T297" s="1">
        <f ca="1">IFERROR(__xludf.DUMMYFUNCTION("""COMPUTED_VALUE"""),248)</f>
        <v>248</v>
      </c>
      <c r="U297" s="1">
        <f ca="1">IFERROR(__xludf.DUMMYFUNCTION("""COMPUTED_VALUE"""),678)</f>
        <v>678</v>
      </c>
      <c r="V297" s="1">
        <f ca="1">IFERROR(__xludf.DUMMYFUNCTION("""COMPUTED_VALUE"""),0.366)</f>
        <v>0.36599999999999999</v>
      </c>
      <c r="W297" s="1">
        <f ca="1">IFERROR(__xludf.DUMMYFUNCTION("""COMPUTED_VALUE"""),516)</f>
        <v>516</v>
      </c>
      <c r="X297" s="1">
        <f ca="1">IFERROR(__xludf.DUMMYFUNCTION("""COMPUTED_VALUE"""),704)</f>
        <v>704</v>
      </c>
      <c r="Y297" s="1">
        <f ca="1">IFERROR(__xludf.DUMMYFUNCTION("""COMPUTED_VALUE"""),0.733)</f>
        <v>0.73299999999999998</v>
      </c>
      <c r="Z297" s="1">
        <f ca="1">IFERROR(__xludf.DUMMYFUNCTION("""COMPUTED_VALUE"""),343)</f>
        <v>343</v>
      </c>
      <c r="AA297" s="1">
        <f ca="1">IFERROR(__xludf.DUMMYFUNCTION("""COMPUTED_VALUE"""),1057)</f>
        <v>1057</v>
      </c>
      <c r="AB297" s="1">
        <f ca="1">IFERROR(__xludf.DUMMYFUNCTION("""COMPUTED_VALUE"""),403)</f>
        <v>403</v>
      </c>
      <c r="AC297" s="1">
        <f ca="1">IFERROR(__xludf.DUMMYFUNCTION("""COMPUTED_VALUE"""),200)</f>
        <v>200</v>
      </c>
      <c r="AD297" s="1">
        <f ca="1">IFERROR(__xludf.DUMMYFUNCTION("""COMPUTED_VALUE"""),137)</f>
        <v>137</v>
      </c>
      <c r="AE297" s="1">
        <f ca="1">IFERROR(__xludf.DUMMYFUNCTION("""COMPUTED_VALUE"""),329)</f>
        <v>329</v>
      </c>
      <c r="AF297" s="1">
        <f ca="1">IFERROR(__xludf.DUMMYFUNCTION("""COMPUTED_VALUE"""),663)</f>
        <v>663</v>
      </c>
    </row>
    <row r="298" spans="1:32" ht="12.5" x14ac:dyDescent="0.25">
      <c r="A298" s="1" t="str">
        <f ca="1">IFERROR(__xludf.DUMMYFUNCTION("""COMPUTED_VALUE"""),"Savannah State")</f>
        <v>Savannah State</v>
      </c>
      <c r="B298" s="1">
        <f ca="1">IFERROR(__xludf.DUMMYFUNCTION("""COMPUTED_VALUE"""),32)</f>
        <v>32</v>
      </c>
      <c r="C298" s="1">
        <f ca="1">IFERROR(__xludf.DUMMYFUNCTION("""COMPUTED_VALUE"""),13)</f>
        <v>13</v>
      </c>
      <c r="D298" s="1">
        <f ca="1">IFERROR(__xludf.DUMMYFUNCTION("""COMPUTED_VALUE"""),19)</f>
        <v>19</v>
      </c>
      <c r="E298" s="1">
        <f ca="1">IFERROR(__xludf.DUMMYFUNCTION("""COMPUTED_VALUE"""),0.406)</f>
        <v>0.40600000000000003</v>
      </c>
      <c r="F298" s="1">
        <f ca="1">IFERROR(__xludf.DUMMYFUNCTION("""COMPUTED_VALUE"""),-9.57)</f>
        <v>-9.57</v>
      </c>
      <c r="G298" s="1">
        <f ca="1">IFERROR(__xludf.DUMMYFUNCTION("""COMPUTED_VALUE"""),-5.37)</f>
        <v>-5.37</v>
      </c>
      <c r="H298" s="1">
        <f ca="1">IFERROR(__xludf.DUMMYFUNCTION("""COMPUTED_VALUE"""),10)</f>
        <v>10</v>
      </c>
      <c r="I298" s="1">
        <f ca="1">IFERROR(__xludf.DUMMYFUNCTION("""COMPUTED_VALUE"""),6)</f>
        <v>6</v>
      </c>
      <c r="J298" s="1">
        <f ca="1">IFERROR(__xludf.DUMMYFUNCTION("""COMPUTED_VALUE"""),7)</f>
        <v>7</v>
      </c>
      <c r="K298" s="1">
        <f ca="1">IFERROR(__xludf.DUMMYFUNCTION("""COMPUTED_VALUE"""),5)</f>
        <v>5</v>
      </c>
      <c r="L298" s="1">
        <f ca="1">IFERROR(__xludf.DUMMYFUNCTION("""COMPUTED_VALUE"""),5)</f>
        <v>5</v>
      </c>
      <c r="M298" s="1">
        <f ca="1">IFERROR(__xludf.DUMMYFUNCTION("""COMPUTED_VALUE"""),11)</f>
        <v>11</v>
      </c>
      <c r="N298" s="1">
        <f ca="1">IFERROR(__xludf.DUMMYFUNCTION("""COMPUTED_VALUE"""),1968)</f>
        <v>1968</v>
      </c>
      <c r="O298" s="1">
        <f ca="1">IFERROR(__xludf.DUMMYFUNCTION("""COMPUTED_VALUE"""),2057)</f>
        <v>2057</v>
      </c>
      <c r="P298" s="1">
        <f ca="1">IFERROR(__xludf.DUMMYFUNCTION("""COMPUTED_VALUE"""),1295)</f>
        <v>1295</v>
      </c>
      <c r="Q298" s="1">
        <f ca="1">IFERROR(__xludf.DUMMYFUNCTION("""COMPUTED_VALUE"""),693)</f>
        <v>693</v>
      </c>
      <c r="R298" s="1">
        <f ca="1">IFERROR(__xludf.DUMMYFUNCTION("""COMPUTED_VALUE"""),1653)</f>
        <v>1653</v>
      </c>
      <c r="S298" s="1">
        <f ca="1">IFERROR(__xludf.DUMMYFUNCTION("""COMPUTED_VALUE"""),0.419)</f>
        <v>0.41899999999999998</v>
      </c>
      <c r="T298" s="1">
        <f ca="1">IFERROR(__xludf.DUMMYFUNCTION("""COMPUTED_VALUE"""),157)</f>
        <v>157</v>
      </c>
      <c r="U298" s="1">
        <f ca="1">IFERROR(__xludf.DUMMYFUNCTION("""COMPUTED_VALUE"""),502)</f>
        <v>502</v>
      </c>
      <c r="V298" s="1">
        <f ca="1">IFERROR(__xludf.DUMMYFUNCTION("""COMPUTED_VALUE"""),0.313)</f>
        <v>0.313</v>
      </c>
      <c r="W298" s="1">
        <f ca="1">IFERROR(__xludf.DUMMYFUNCTION("""COMPUTED_VALUE"""),425)</f>
        <v>425</v>
      </c>
      <c r="X298" s="1">
        <f ca="1">IFERROR(__xludf.DUMMYFUNCTION("""COMPUTED_VALUE"""),652)</f>
        <v>652</v>
      </c>
      <c r="Y298" s="1">
        <f ca="1">IFERROR(__xludf.DUMMYFUNCTION("""COMPUTED_VALUE"""),0.652)</f>
        <v>0.65200000000000002</v>
      </c>
      <c r="Z298" s="1">
        <f ca="1">IFERROR(__xludf.DUMMYFUNCTION("""COMPUTED_VALUE"""),352)</f>
        <v>352</v>
      </c>
      <c r="AA298" s="1">
        <f ca="1">IFERROR(__xludf.DUMMYFUNCTION("""COMPUTED_VALUE"""),1072)</f>
        <v>1072</v>
      </c>
      <c r="AB298" s="1">
        <f ca="1">IFERROR(__xludf.DUMMYFUNCTION("""COMPUTED_VALUE"""),334)</f>
        <v>334</v>
      </c>
      <c r="AC298" s="1">
        <f ca="1">IFERROR(__xludf.DUMMYFUNCTION("""COMPUTED_VALUE"""),223)</f>
        <v>223</v>
      </c>
      <c r="AD298" s="1">
        <f ca="1">IFERROR(__xludf.DUMMYFUNCTION("""COMPUTED_VALUE"""),157)</f>
        <v>157</v>
      </c>
      <c r="AE298" s="1">
        <f ca="1">IFERROR(__xludf.DUMMYFUNCTION("""COMPUTED_VALUE"""),502)</f>
        <v>502</v>
      </c>
      <c r="AF298" s="1">
        <f ca="1">IFERROR(__xludf.DUMMYFUNCTION("""COMPUTED_VALUE"""),669)</f>
        <v>669</v>
      </c>
    </row>
    <row r="299" spans="1:32" ht="12.5" x14ac:dyDescent="0.25">
      <c r="A299" s="1" t="str">
        <f ca="1">IFERROR(__xludf.DUMMYFUNCTION("""COMPUTED_VALUE"""),"Seattle")</f>
        <v>Seattle</v>
      </c>
      <c r="B299" s="1">
        <f ca="1">IFERROR(__xludf.DUMMYFUNCTION("""COMPUTED_VALUE"""),30)</f>
        <v>30</v>
      </c>
      <c r="C299" s="1">
        <f ca="1">IFERROR(__xludf.DUMMYFUNCTION("""COMPUTED_VALUE"""),13)</f>
        <v>13</v>
      </c>
      <c r="D299" s="1">
        <f ca="1">IFERROR(__xludf.DUMMYFUNCTION("""COMPUTED_VALUE"""),17)</f>
        <v>17</v>
      </c>
      <c r="E299" s="1">
        <f ca="1">IFERROR(__xludf.DUMMYFUNCTION("""COMPUTED_VALUE"""),0.433)</f>
        <v>0.433</v>
      </c>
      <c r="F299" s="1">
        <f ca="1">IFERROR(__xludf.DUMMYFUNCTION("""COMPUTED_VALUE"""),-5.86)</f>
        <v>-5.86</v>
      </c>
      <c r="G299" s="1">
        <f ca="1">IFERROR(__xludf.DUMMYFUNCTION("""COMPUTED_VALUE"""),-4.11)</f>
        <v>-4.1100000000000003</v>
      </c>
      <c r="H299" s="1">
        <f ca="1">IFERROR(__xludf.DUMMYFUNCTION("""COMPUTED_VALUE"""),5)</f>
        <v>5</v>
      </c>
      <c r="I299" s="1">
        <f ca="1">IFERROR(__xludf.DUMMYFUNCTION("""COMPUTED_VALUE"""),11)</f>
        <v>11</v>
      </c>
      <c r="J299" s="1">
        <f ca="1">IFERROR(__xludf.DUMMYFUNCTION("""COMPUTED_VALUE"""),7)</f>
        <v>7</v>
      </c>
      <c r="K299" s="1">
        <f ca="1">IFERROR(__xludf.DUMMYFUNCTION("""COMPUTED_VALUE"""),7)</f>
        <v>7</v>
      </c>
      <c r="L299" s="1">
        <f ca="1">IFERROR(__xludf.DUMMYFUNCTION("""COMPUTED_VALUE"""),5)</f>
        <v>5</v>
      </c>
      <c r="M299" s="1">
        <f ca="1">IFERROR(__xludf.DUMMYFUNCTION("""COMPUTED_VALUE"""),9)</f>
        <v>9</v>
      </c>
      <c r="N299" s="1">
        <f ca="1">IFERROR(__xludf.DUMMYFUNCTION("""COMPUTED_VALUE"""),2139)</f>
        <v>2139</v>
      </c>
      <c r="O299" s="1">
        <f ca="1">IFERROR(__xludf.DUMMYFUNCTION("""COMPUTED_VALUE"""),2119)</f>
        <v>2119</v>
      </c>
      <c r="P299" s="1">
        <f ca="1">IFERROR(__xludf.DUMMYFUNCTION("""COMPUTED_VALUE"""),1215)</f>
        <v>1215</v>
      </c>
      <c r="Q299" s="1">
        <f ca="1">IFERROR(__xludf.DUMMYFUNCTION("""COMPUTED_VALUE"""),760)</f>
        <v>760</v>
      </c>
      <c r="R299" s="1">
        <f ca="1">IFERROR(__xludf.DUMMYFUNCTION("""COMPUTED_VALUE"""),1798)</f>
        <v>1798</v>
      </c>
      <c r="S299" s="1">
        <f ca="1">IFERROR(__xludf.DUMMYFUNCTION("""COMPUTED_VALUE"""),0.423)</f>
        <v>0.42299999999999999</v>
      </c>
      <c r="T299" s="1">
        <f ca="1">IFERROR(__xludf.DUMMYFUNCTION("""COMPUTED_VALUE"""),222)</f>
        <v>222</v>
      </c>
      <c r="U299" s="1">
        <f ca="1">IFERROR(__xludf.DUMMYFUNCTION("""COMPUTED_VALUE"""),657)</f>
        <v>657</v>
      </c>
      <c r="V299" s="1">
        <f ca="1">IFERROR(__xludf.DUMMYFUNCTION("""COMPUTED_VALUE"""),0.338)</f>
        <v>0.33800000000000002</v>
      </c>
      <c r="W299" s="1">
        <f ca="1">IFERROR(__xludf.DUMMYFUNCTION("""COMPUTED_VALUE"""),397)</f>
        <v>397</v>
      </c>
      <c r="X299" s="1">
        <f ca="1">IFERROR(__xludf.DUMMYFUNCTION("""COMPUTED_VALUE"""),609)</f>
        <v>609</v>
      </c>
      <c r="Y299" s="1">
        <f ca="1">IFERROR(__xludf.DUMMYFUNCTION("""COMPUTED_VALUE"""),0.652)</f>
        <v>0.65200000000000002</v>
      </c>
      <c r="Z299" s="1">
        <f ca="1">IFERROR(__xludf.DUMMYFUNCTION("""COMPUTED_VALUE"""),421)</f>
        <v>421</v>
      </c>
      <c r="AA299" s="1">
        <f ca="1">IFERROR(__xludf.DUMMYFUNCTION("""COMPUTED_VALUE"""),1151)</f>
        <v>1151</v>
      </c>
      <c r="AB299" s="1">
        <f ca="1">IFERROR(__xludf.DUMMYFUNCTION("""COMPUTED_VALUE"""),394)</f>
        <v>394</v>
      </c>
      <c r="AC299" s="1">
        <f ca="1">IFERROR(__xludf.DUMMYFUNCTION("""COMPUTED_VALUE"""),192)</f>
        <v>192</v>
      </c>
      <c r="AD299" s="1">
        <f ca="1">IFERROR(__xludf.DUMMYFUNCTION("""COMPUTED_VALUE"""),91)</f>
        <v>91</v>
      </c>
      <c r="AE299" s="1">
        <f ca="1">IFERROR(__xludf.DUMMYFUNCTION("""COMPUTED_VALUE"""),419)</f>
        <v>419</v>
      </c>
      <c r="AF299" s="1">
        <f ca="1">IFERROR(__xludf.DUMMYFUNCTION("""COMPUTED_VALUE"""),662)</f>
        <v>662</v>
      </c>
    </row>
    <row r="300" spans="1:32" ht="12.5" x14ac:dyDescent="0.25">
      <c r="A300" s="1" t="str">
        <f ca="1">IFERROR(__xludf.DUMMYFUNCTION("""COMPUTED_VALUE"""),"Seton Hall")</f>
        <v>Seton Hall</v>
      </c>
      <c r="B300" s="1">
        <f ca="1">IFERROR(__xludf.DUMMYFUNCTION("""COMPUTED_VALUE"""),34)</f>
        <v>34</v>
      </c>
      <c r="C300" s="1">
        <f ca="1">IFERROR(__xludf.DUMMYFUNCTION("""COMPUTED_VALUE"""),17)</f>
        <v>17</v>
      </c>
      <c r="D300" s="1">
        <f ca="1">IFERROR(__xludf.DUMMYFUNCTION("""COMPUTED_VALUE"""),17)</f>
        <v>17</v>
      </c>
      <c r="E300" s="1">
        <f ca="1">IFERROR(__xludf.DUMMYFUNCTION("""COMPUTED_VALUE"""),0.5)</f>
        <v>0.5</v>
      </c>
      <c r="F300" s="1">
        <f ca="1">IFERROR(__xludf.DUMMYFUNCTION("""COMPUTED_VALUE"""),7.53)</f>
        <v>7.53</v>
      </c>
      <c r="G300" s="1">
        <f ca="1">IFERROR(__xludf.DUMMYFUNCTION("""COMPUTED_VALUE"""),5.56)</f>
        <v>5.56</v>
      </c>
      <c r="H300" s="1">
        <f ca="1">IFERROR(__xludf.DUMMYFUNCTION("""COMPUTED_VALUE"""),6)</f>
        <v>6</v>
      </c>
      <c r="I300" s="1">
        <f ca="1">IFERROR(__xludf.DUMMYFUNCTION("""COMPUTED_VALUE"""),12)</f>
        <v>12</v>
      </c>
      <c r="J300" s="1">
        <f ca="1">IFERROR(__xludf.DUMMYFUNCTION("""COMPUTED_VALUE"""),10)</f>
        <v>10</v>
      </c>
      <c r="K300" s="1">
        <f ca="1">IFERROR(__xludf.DUMMYFUNCTION("""COMPUTED_VALUE"""),8)</f>
        <v>8</v>
      </c>
      <c r="L300" s="1">
        <f ca="1">IFERROR(__xludf.DUMMYFUNCTION("""COMPUTED_VALUE"""),4)</f>
        <v>4</v>
      </c>
      <c r="M300" s="1">
        <f ca="1">IFERROR(__xludf.DUMMYFUNCTION("""COMPUTED_VALUE"""),7)</f>
        <v>7</v>
      </c>
      <c r="N300" s="1">
        <f ca="1">IFERROR(__xludf.DUMMYFUNCTION("""COMPUTED_VALUE"""),2442)</f>
        <v>2442</v>
      </c>
      <c r="O300" s="1">
        <f ca="1">IFERROR(__xludf.DUMMYFUNCTION("""COMPUTED_VALUE"""),2375)</f>
        <v>2375</v>
      </c>
      <c r="P300" s="1">
        <f ca="1">IFERROR(__xludf.DUMMYFUNCTION("""COMPUTED_VALUE"""),1385)</f>
        <v>1385</v>
      </c>
      <c r="Q300" s="1">
        <f ca="1">IFERROR(__xludf.DUMMYFUNCTION("""COMPUTED_VALUE"""),816)</f>
        <v>816</v>
      </c>
      <c r="R300" s="1">
        <f ca="1">IFERROR(__xludf.DUMMYFUNCTION("""COMPUTED_VALUE"""),1797)</f>
        <v>1797</v>
      </c>
      <c r="S300" s="1">
        <f ca="1">IFERROR(__xludf.DUMMYFUNCTION("""COMPUTED_VALUE"""),0.454)</f>
        <v>0.45400000000000001</v>
      </c>
      <c r="T300" s="1">
        <f ca="1">IFERROR(__xludf.DUMMYFUNCTION("""COMPUTED_VALUE"""),252)</f>
        <v>252</v>
      </c>
      <c r="U300" s="1">
        <f ca="1">IFERROR(__xludf.DUMMYFUNCTION("""COMPUTED_VALUE"""),704)</f>
        <v>704</v>
      </c>
      <c r="V300" s="1">
        <f ca="1">IFERROR(__xludf.DUMMYFUNCTION("""COMPUTED_VALUE"""),0.358)</f>
        <v>0.35799999999999998</v>
      </c>
      <c r="W300" s="1">
        <f ca="1">IFERROR(__xludf.DUMMYFUNCTION("""COMPUTED_VALUE"""),558)</f>
        <v>558</v>
      </c>
      <c r="X300" s="1">
        <f ca="1">IFERROR(__xludf.DUMMYFUNCTION("""COMPUTED_VALUE"""),774)</f>
        <v>774</v>
      </c>
      <c r="Y300" s="1">
        <f ca="1">IFERROR(__xludf.DUMMYFUNCTION("""COMPUTED_VALUE"""),0.721)</f>
        <v>0.72099999999999997</v>
      </c>
      <c r="Z300" s="1">
        <f ca="1">IFERROR(__xludf.DUMMYFUNCTION("""COMPUTED_VALUE"""),288)</f>
        <v>288</v>
      </c>
      <c r="AA300" s="1">
        <f ca="1">IFERROR(__xludf.DUMMYFUNCTION("""COMPUTED_VALUE"""),1103)</f>
        <v>1103</v>
      </c>
      <c r="AB300" s="1">
        <f ca="1">IFERROR(__xludf.DUMMYFUNCTION("""COMPUTED_VALUE"""),452)</f>
        <v>452</v>
      </c>
      <c r="AC300" s="1">
        <f ca="1">IFERROR(__xludf.DUMMYFUNCTION("""COMPUTED_VALUE"""),226)</f>
        <v>226</v>
      </c>
      <c r="AD300" s="1">
        <f ca="1">IFERROR(__xludf.DUMMYFUNCTION("""COMPUTED_VALUE"""),93)</f>
        <v>93</v>
      </c>
      <c r="AE300" s="1">
        <f ca="1">IFERROR(__xludf.DUMMYFUNCTION("""COMPUTED_VALUE"""),415)</f>
        <v>415</v>
      </c>
      <c r="AF300" s="1">
        <f ca="1">IFERROR(__xludf.DUMMYFUNCTION("""COMPUTED_VALUE"""),675)</f>
        <v>675</v>
      </c>
    </row>
    <row r="301" spans="1:32" ht="12.5" x14ac:dyDescent="0.25">
      <c r="A301" s="1" t="str">
        <f ca="1">IFERROR(__xludf.DUMMYFUNCTION("""COMPUTED_VALUE"""),"Siena")</f>
        <v>Siena</v>
      </c>
      <c r="B301" s="1">
        <f ca="1">IFERROR(__xludf.DUMMYFUNCTION("""COMPUTED_VALUE"""),38)</f>
        <v>38</v>
      </c>
      <c r="C301" s="1">
        <f ca="1">IFERROR(__xludf.DUMMYFUNCTION("""COMPUTED_VALUE"""),20)</f>
        <v>20</v>
      </c>
      <c r="D301" s="1">
        <f ca="1">IFERROR(__xludf.DUMMYFUNCTION("""COMPUTED_VALUE"""),18)</f>
        <v>18</v>
      </c>
      <c r="E301" s="1">
        <f ca="1">IFERROR(__xludf.DUMMYFUNCTION("""COMPUTED_VALUE"""),0.526)</f>
        <v>0.52600000000000002</v>
      </c>
      <c r="F301" s="1">
        <f ca="1">IFERROR(__xludf.DUMMYFUNCTION("""COMPUTED_VALUE"""),-0.86)</f>
        <v>-0.86</v>
      </c>
      <c r="G301" s="1">
        <f ca="1">IFERROR(__xludf.DUMMYFUNCTION("""COMPUTED_VALUE"""),-0.15)</f>
        <v>-0.15</v>
      </c>
      <c r="H301" s="1">
        <f ca="1">IFERROR(__xludf.DUMMYFUNCTION("""COMPUTED_VALUE"""),11)</f>
        <v>11</v>
      </c>
      <c r="I301" s="1">
        <f ca="1">IFERROR(__xludf.DUMMYFUNCTION("""COMPUTED_VALUE"""),9)</f>
        <v>9</v>
      </c>
      <c r="J301" s="1">
        <f ca="1">IFERROR(__xludf.DUMMYFUNCTION("""COMPUTED_VALUE"""),14)</f>
        <v>14</v>
      </c>
      <c r="K301" s="1">
        <f ca="1">IFERROR(__xludf.DUMMYFUNCTION("""COMPUTED_VALUE"""),5)</f>
        <v>5</v>
      </c>
      <c r="L301" s="1">
        <f ca="1">IFERROR(__xludf.DUMMYFUNCTION("""COMPUTED_VALUE"""),6)</f>
        <v>6</v>
      </c>
      <c r="M301" s="1">
        <f ca="1">IFERROR(__xludf.DUMMYFUNCTION("""COMPUTED_VALUE"""),9)</f>
        <v>9</v>
      </c>
      <c r="N301" s="1">
        <f ca="1">IFERROR(__xludf.DUMMYFUNCTION("""COMPUTED_VALUE"""),2635)</f>
        <v>2635</v>
      </c>
      <c r="O301" s="1">
        <f ca="1">IFERROR(__xludf.DUMMYFUNCTION("""COMPUTED_VALUE"""),2662)</f>
        <v>2662</v>
      </c>
      <c r="P301" s="1">
        <f ca="1">IFERROR(__xludf.DUMMYFUNCTION("""COMPUTED_VALUE"""),1540)</f>
        <v>1540</v>
      </c>
      <c r="Q301" s="1">
        <f ca="1">IFERROR(__xludf.DUMMYFUNCTION("""COMPUTED_VALUE"""),908)</f>
        <v>908</v>
      </c>
      <c r="R301" s="1">
        <f ca="1">IFERROR(__xludf.DUMMYFUNCTION("""COMPUTED_VALUE"""),2165)</f>
        <v>2165</v>
      </c>
      <c r="S301" s="1">
        <f ca="1">IFERROR(__xludf.DUMMYFUNCTION("""COMPUTED_VALUE"""),0.419)</f>
        <v>0.41899999999999998</v>
      </c>
      <c r="T301" s="1">
        <f ca="1">IFERROR(__xludf.DUMMYFUNCTION("""COMPUTED_VALUE"""),169)</f>
        <v>169</v>
      </c>
      <c r="U301" s="1">
        <f ca="1">IFERROR(__xludf.DUMMYFUNCTION("""COMPUTED_VALUE"""),516)</f>
        <v>516</v>
      </c>
      <c r="V301" s="1">
        <f ca="1">IFERROR(__xludf.DUMMYFUNCTION("""COMPUTED_VALUE"""),0.328)</f>
        <v>0.32800000000000001</v>
      </c>
      <c r="W301" s="1">
        <f ca="1">IFERROR(__xludf.DUMMYFUNCTION("""COMPUTED_VALUE"""),650)</f>
        <v>650</v>
      </c>
      <c r="X301" s="1">
        <f ca="1">IFERROR(__xludf.DUMMYFUNCTION("""COMPUTED_VALUE"""),903)</f>
        <v>903</v>
      </c>
      <c r="Y301" s="1">
        <f ca="1">IFERROR(__xludf.DUMMYFUNCTION("""COMPUTED_VALUE"""),0.72)</f>
        <v>0.72</v>
      </c>
      <c r="Z301" s="1">
        <f ca="1">IFERROR(__xludf.DUMMYFUNCTION("""COMPUTED_VALUE"""),525)</f>
        <v>525</v>
      </c>
      <c r="AA301" s="1">
        <f ca="1">IFERROR(__xludf.DUMMYFUNCTION("""COMPUTED_VALUE"""),1429)</f>
        <v>1429</v>
      </c>
      <c r="AB301" s="1">
        <f ca="1">IFERROR(__xludf.DUMMYFUNCTION("""COMPUTED_VALUE"""),514)</f>
        <v>514</v>
      </c>
      <c r="AC301" s="1">
        <f ca="1">IFERROR(__xludf.DUMMYFUNCTION("""COMPUTED_VALUE"""),222)</f>
        <v>222</v>
      </c>
      <c r="AD301" s="1">
        <f ca="1">IFERROR(__xludf.DUMMYFUNCTION("""COMPUTED_VALUE"""),178)</f>
        <v>178</v>
      </c>
      <c r="AE301" s="1">
        <f ca="1">IFERROR(__xludf.DUMMYFUNCTION("""COMPUTED_VALUE"""),523)</f>
        <v>523</v>
      </c>
      <c r="AF301" s="1">
        <f ca="1">IFERROR(__xludf.DUMMYFUNCTION("""COMPUTED_VALUE"""),854)</f>
        <v>854</v>
      </c>
    </row>
    <row r="302" spans="1:32" ht="12.5" x14ac:dyDescent="0.25">
      <c r="A302" s="1" t="str">
        <f ca="1">IFERROR(__xludf.DUMMYFUNCTION("""COMPUTED_VALUE"""),"South Alabama")</f>
        <v>South Alabama</v>
      </c>
      <c r="B302" s="1">
        <f ca="1">IFERROR(__xludf.DUMMYFUNCTION("""COMPUTED_VALUE"""),31)</f>
        <v>31</v>
      </c>
      <c r="C302" s="1">
        <f ca="1">IFERROR(__xludf.DUMMYFUNCTION("""COMPUTED_VALUE"""),11)</f>
        <v>11</v>
      </c>
      <c r="D302" s="1">
        <f ca="1">IFERROR(__xludf.DUMMYFUNCTION("""COMPUTED_VALUE"""),20)</f>
        <v>20</v>
      </c>
      <c r="E302" s="1">
        <f ca="1">IFERROR(__xludf.DUMMYFUNCTION("""COMPUTED_VALUE"""),0.355)</f>
        <v>0.35499999999999998</v>
      </c>
      <c r="F302" s="1">
        <f ca="1">IFERROR(__xludf.DUMMYFUNCTION("""COMPUTED_VALUE"""),-5.08)</f>
        <v>-5.08</v>
      </c>
      <c r="G302" s="1">
        <f ca="1">IFERROR(__xludf.DUMMYFUNCTION("""COMPUTED_VALUE"""),-0.51)</f>
        <v>-0.51</v>
      </c>
      <c r="H302" s="1">
        <f ca="1">IFERROR(__xludf.DUMMYFUNCTION("""COMPUTED_VALUE"""),5)</f>
        <v>5</v>
      </c>
      <c r="I302" s="1">
        <f ca="1">IFERROR(__xludf.DUMMYFUNCTION("""COMPUTED_VALUE"""),13)</f>
        <v>13</v>
      </c>
      <c r="J302" s="1">
        <f ca="1">IFERROR(__xludf.DUMMYFUNCTION("""COMPUTED_VALUE"""),10)</f>
        <v>10</v>
      </c>
      <c r="K302" s="1">
        <f ca="1">IFERROR(__xludf.DUMMYFUNCTION("""COMPUTED_VALUE"""),6)</f>
        <v>6</v>
      </c>
      <c r="L302" s="1">
        <f ca="1">IFERROR(__xludf.DUMMYFUNCTION("""COMPUTED_VALUE"""),1)</f>
        <v>1</v>
      </c>
      <c r="M302" s="1">
        <f ca="1">IFERROR(__xludf.DUMMYFUNCTION("""COMPUTED_VALUE"""),12)</f>
        <v>12</v>
      </c>
      <c r="N302" s="1">
        <f ca="1">IFERROR(__xludf.DUMMYFUNCTION("""COMPUTED_VALUE"""),2136)</f>
        <v>2136</v>
      </c>
      <c r="O302" s="1">
        <f ca="1">IFERROR(__xludf.DUMMYFUNCTION("""COMPUTED_VALUE"""),2182)</f>
        <v>2182</v>
      </c>
      <c r="P302" s="1">
        <f ca="1">IFERROR(__xludf.DUMMYFUNCTION("""COMPUTED_VALUE"""),1260)</f>
        <v>1260</v>
      </c>
      <c r="Q302" s="1">
        <f ca="1">IFERROR(__xludf.DUMMYFUNCTION("""COMPUTED_VALUE"""),716)</f>
        <v>716</v>
      </c>
      <c r="R302" s="1">
        <f ca="1">IFERROR(__xludf.DUMMYFUNCTION("""COMPUTED_VALUE"""),1776)</f>
        <v>1776</v>
      </c>
      <c r="S302" s="1">
        <f ca="1">IFERROR(__xludf.DUMMYFUNCTION("""COMPUTED_VALUE"""),0.403)</f>
        <v>0.40300000000000002</v>
      </c>
      <c r="T302" s="1">
        <f ca="1">IFERROR(__xludf.DUMMYFUNCTION("""COMPUTED_VALUE"""),241)</f>
        <v>241</v>
      </c>
      <c r="U302" s="1">
        <f ca="1">IFERROR(__xludf.DUMMYFUNCTION("""COMPUTED_VALUE"""),724)</f>
        <v>724</v>
      </c>
      <c r="V302" s="1">
        <f ca="1">IFERROR(__xludf.DUMMYFUNCTION("""COMPUTED_VALUE"""),0.333)</f>
        <v>0.33300000000000002</v>
      </c>
      <c r="W302" s="1">
        <f ca="1">IFERROR(__xludf.DUMMYFUNCTION("""COMPUTED_VALUE"""),463)</f>
        <v>463</v>
      </c>
      <c r="X302" s="1">
        <f ca="1">IFERROR(__xludf.DUMMYFUNCTION("""COMPUTED_VALUE"""),679)</f>
        <v>679</v>
      </c>
      <c r="Y302" s="1">
        <f ca="1">IFERROR(__xludf.DUMMYFUNCTION("""COMPUTED_VALUE"""),0.682)</f>
        <v>0.68200000000000005</v>
      </c>
      <c r="Z302" s="1">
        <f ca="1">IFERROR(__xludf.DUMMYFUNCTION("""COMPUTED_VALUE"""),379)</f>
        <v>379</v>
      </c>
      <c r="AA302" s="1">
        <f ca="1">IFERROR(__xludf.DUMMYFUNCTION("""COMPUTED_VALUE"""),1155)</f>
        <v>1155</v>
      </c>
      <c r="AB302" s="1">
        <f ca="1">IFERROR(__xludf.DUMMYFUNCTION("""COMPUTED_VALUE"""),349)</f>
        <v>349</v>
      </c>
      <c r="AC302" s="1">
        <f ca="1">IFERROR(__xludf.DUMMYFUNCTION("""COMPUTED_VALUE"""),153)</f>
        <v>153</v>
      </c>
      <c r="AD302" s="1">
        <f ca="1">IFERROR(__xludf.DUMMYFUNCTION("""COMPUTED_VALUE"""),123)</f>
        <v>123</v>
      </c>
      <c r="AE302" s="1">
        <f ca="1">IFERROR(__xludf.DUMMYFUNCTION("""COMPUTED_VALUE"""),380)</f>
        <v>380</v>
      </c>
      <c r="AF302" s="1">
        <f ca="1">IFERROR(__xludf.DUMMYFUNCTION("""COMPUTED_VALUE"""),621)</f>
        <v>621</v>
      </c>
    </row>
    <row r="303" spans="1:32" ht="12.5" x14ac:dyDescent="0.25">
      <c r="A303" s="1" t="str">
        <f ca="1">IFERROR(__xludf.DUMMYFUNCTION("""COMPUTED_VALUE"""),"South Carolina State")</f>
        <v>South Carolina State</v>
      </c>
      <c r="B303" s="1">
        <f ca="1">IFERROR(__xludf.DUMMYFUNCTION("""COMPUTED_VALUE"""),30)</f>
        <v>30</v>
      </c>
      <c r="C303" s="1">
        <f ca="1">IFERROR(__xludf.DUMMYFUNCTION("""COMPUTED_VALUE"""),9)</f>
        <v>9</v>
      </c>
      <c r="D303" s="1">
        <f ca="1">IFERROR(__xludf.DUMMYFUNCTION("""COMPUTED_VALUE"""),21)</f>
        <v>21</v>
      </c>
      <c r="E303" s="1">
        <f ca="1">IFERROR(__xludf.DUMMYFUNCTION("""COMPUTED_VALUE"""),0.3)</f>
        <v>0.3</v>
      </c>
      <c r="F303" s="1">
        <f ca="1">IFERROR(__xludf.DUMMYFUNCTION("""COMPUTED_VALUE"""),-17.21)</f>
        <v>-17.21</v>
      </c>
      <c r="G303" s="1">
        <f ca="1">IFERROR(__xludf.DUMMYFUNCTION("""COMPUTED_VALUE"""),-5.96)</f>
        <v>-5.96</v>
      </c>
      <c r="H303" s="1">
        <f ca="1">IFERROR(__xludf.DUMMYFUNCTION("""COMPUTED_VALUE"""),5)</f>
        <v>5</v>
      </c>
      <c r="I303" s="1">
        <f ca="1">IFERROR(__xludf.DUMMYFUNCTION("""COMPUTED_VALUE"""),11)</f>
        <v>11</v>
      </c>
      <c r="J303" s="1">
        <f ca="1">IFERROR(__xludf.DUMMYFUNCTION("""COMPUTED_VALUE"""),7)</f>
        <v>7</v>
      </c>
      <c r="K303" s="1">
        <f ca="1">IFERROR(__xludf.DUMMYFUNCTION("""COMPUTED_VALUE"""),6)</f>
        <v>6</v>
      </c>
      <c r="L303" s="1">
        <f ca="1">IFERROR(__xludf.DUMMYFUNCTION("""COMPUTED_VALUE"""),2)</f>
        <v>2</v>
      </c>
      <c r="M303" s="1">
        <f ca="1">IFERROR(__xludf.DUMMYFUNCTION("""COMPUTED_VALUE"""),14)</f>
        <v>14</v>
      </c>
      <c r="N303" s="1">
        <f ca="1">IFERROR(__xludf.DUMMYFUNCTION("""COMPUTED_VALUE"""),1883)</f>
        <v>1883</v>
      </c>
      <c r="O303" s="1">
        <f ca="1">IFERROR(__xludf.DUMMYFUNCTION("""COMPUTED_VALUE"""),2180)</f>
        <v>2180</v>
      </c>
      <c r="P303" s="1">
        <f ca="1">IFERROR(__xludf.DUMMYFUNCTION("""COMPUTED_VALUE"""),1220)</f>
        <v>1220</v>
      </c>
      <c r="Q303" s="1">
        <f ca="1">IFERROR(__xludf.DUMMYFUNCTION("""COMPUTED_VALUE"""),676)</f>
        <v>676</v>
      </c>
      <c r="R303" s="1">
        <f ca="1">IFERROR(__xludf.DUMMYFUNCTION("""COMPUTED_VALUE"""),1709)</f>
        <v>1709</v>
      </c>
      <c r="S303" s="1">
        <f ca="1">IFERROR(__xludf.DUMMYFUNCTION("""COMPUTED_VALUE"""),0.396)</f>
        <v>0.39600000000000002</v>
      </c>
      <c r="T303" s="1">
        <f ca="1">IFERROR(__xludf.DUMMYFUNCTION("""COMPUTED_VALUE"""),148)</f>
        <v>148</v>
      </c>
      <c r="U303" s="1">
        <f ca="1">IFERROR(__xludf.DUMMYFUNCTION("""COMPUTED_VALUE"""),524)</f>
        <v>524</v>
      </c>
      <c r="V303" s="1">
        <f ca="1">IFERROR(__xludf.DUMMYFUNCTION("""COMPUTED_VALUE"""),0.282)</f>
        <v>0.28199999999999997</v>
      </c>
      <c r="W303" s="1">
        <f ca="1">IFERROR(__xludf.DUMMYFUNCTION("""COMPUTED_VALUE"""),383)</f>
        <v>383</v>
      </c>
      <c r="X303" s="1">
        <f ca="1">IFERROR(__xludf.DUMMYFUNCTION("""COMPUTED_VALUE"""),587)</f>
        <v>587</v>
      </c>
      <c r="Y303" s="1">
        <f ca="1">IFERROR(__xludf.DUMMYFUNCTION("""COMPUTED_VALUE"""),0.652)</f>
        <v>0.65200000000000002</v>
      </c>
      <c r="Z303" s="1">
        <f ca="1">IFERROR(__xludf.DUMMYFUNCTION("""COMPUTED_VALUE"""),401)</f>
        <v>401</v>
      </c>
      <c r="AA303" s="1">
        <f ca="1">IFERROR(__xludf.DUMMYFUNCTION("""COMPUTED_VALUE"""),1090)</f>
        <v>1090</v>
      </c>
      <c r="AB303" s="1">
        <f ca="1">IFERROR(__xludf.DUMMYFUNCTION("""COMPUTED_VALUE"""),364)</f>
        <v>364</v>
      </c>
      <c r="AC303" s="1">
        <f ca="1">IFERROR(__xludf.DUMMYFUNCTION("""COMPUTED_VALUE"""),168)</f>
        <v>168</v>
      </c>
      <c r="AD303" s="1">
        <f ca="1">IFERROR(__xludf.DUMMYFUNCTION("""COMPUTED_VALUE"""),99)</f>
        <v>99</v>
      </c>
      <c r="AE303" s="1">
        <f ca="1">IFERROR(__xludf.DUMMYFUNCTION("""COMPUTED_VALUE"""),452)</f>
        <v>452</v>
      </c>
      <c r="AF303" s="1">
        <f ca="1">IFERROR(__xludf.DUMMYFUNCTION("""COMPUTED_VALUE"""),577)</f>
        <v>577</v>
      </c>
    </row>
    <row r="304" spans="1:32" ht="12.5" x14ac:dyDescent="0.25">
      <c r="A304" s="1" t="str">
        <f ca="1">IFERROR(__xludf.DUMMYFUNCTION("""COMPUTED_VALUE"""),"South Carolina Upstate")</f>
        <v>South Carolina Upstate</v>
      </c>
      <c r="B304" s="1">
        <f ca="1">IFERROR(__xludf.DUMMYFUNCTION("""COMPUTED_VALUE"""),34)</f>
        <v>34</v>
      </c>
      <c r="C304" s="1">
        <f ca="1">IFERROR(__xludf.DUMMYFUNCTION("""COMPUTED_VALUE"""),19)</f>
        <v>19</v>
      </c>
      <c r="D304" s="1">
        <f ca="1">IFERROR(__xludf.DUMMYFUNCTION("""COMPUTED_VALUE"""),15)</f>
        <v>15</v>
      </c>
      <c r="E304" s="1">
        <f ca="1">IFERROR(__xludf.DUMMYFUNCTION("""COMPUTED_VALUE"""),0.559)</f>
        <v>0.55900000000000005</v>
      </c>
      <c r="F304" s="1">
        <f ca="1">IFERROR(__xludf.DUMMYFUNCTION("""COMPUTED_VALUE"""),-2.02)</f>
        <v>-2.02</v>
      </c>
      <c r="G304" s="1">
        <f ca="1">IFERROR(__xludf.DUMMYFUNCTION("""COMPUTED_VALUE"""),-4.61)</f>
        <v>-4.6100000000000003</v>
      </c>
      <c r="H304" s="1">
        <f ca="1">IFERROR(__xludf.DUMMYFUNCTION("""COMPUTED_VALUE"""),11)</f>
        <v>11</v>
      </c>
      <c r="I304" s="1">
        <f ca="1">IFERROR(__xludf.DUMMYFUNCTION("""COMPUTED_VALUE"""),7)</f>
        <v>7</v>
      </c>
      <c r="J304" s="1">
        <f ca="1">IFERROR(__xludf.DUMMYFUNCTION("""COMPUTED_VALUE"""),12)</f>
        <v>12</v>
      </c>
      <c r="K304" s="1">
        <f ca="1">IFERROR(__xludf.DUMMYFUNCTION("""COMPUTED_VALUE"""),3)</f>
        <v>3</v>
      </c>
      <c r="L304" s="1">
        <f ca="1">IFERROR(__xludf.DUMMYFUNCTION("""COMPUTED_VALUE"""),5)</f>
        <v>5</v>
      </c>
      <c r="M304" s="1">
        <f ca="1">IFERROR(__xludf.DUMMYFUNCTION("""COMPUTED_VALUE"""),12)</f>
        <v>12</v>
      </c>
      <c r="N304" s="1">
        <f ca="1">IFERROR(__xludf.DUMMYFUNCTION("""COMPUTED_VALUE"""),2398)</f>
        <v>2398</v>
      </c>
      <c r="O304" s="1">
        <f ca="1">IFERROR(__xludf.DUMMYFUNCTION("""COMPUTED_VALUE"""),2282)</f>
        <v>2282</v>
      </c>
      <c r="P304" s="1">
        <f ca="1">IFERROR(__xludf.DUMMYFUNCTION("""COMPUTED_VALUE"""),1338)</f>
        <v>1338</v>
      </c>
      <c r="Q304" s="1">
        <f ca="1">IFERROR(__xludf.DUMMYFUNCTION("""COMPUTED_VALUE"""),855)</f>
        <v>855</v>
      </c>
      <c r="R304" s="1">
        <f ca="1">IFERROR(__xludf.DUMMYFUNCTION("""COMPUTED_VALUE"""),1888)</f>
        <v>1888</v>
      </c>
      <c r="S304" s="1">
        <f ca="1">IFERROR(__xludf.DUMMYFUNCTION("""COMPUTED_VALUE"""),0.453)</f>
        <v>0.45300000000000001</v>
      </c>
      <c r="T304" s="1">
        <f ca="1">IFERROR(__xludf.DUMMYFUNCTION("""COMPUTED_VALUE"""),205)</f>
        <v>205</v>
      </c>
      <c r="U304" s="1">
        <f ca="1">IFERROR(__xludf.DUMMYFUNCTION("""COMPUTED_VALUE"""),645)</f>
        <v>645</v>
      </c>
      <c r="V304" s="1">
        <f ca="1">IFERROR(__xludf.DUMMYFUNCTION("""COMPUTED_VALUE"""),0.318)</f>
        <v>0.318</v>
      </c>
      <c r="W304" s="1">
        <f ca="1">IFERROR(__xludf.DUMMYFUNCTION("""COMPUTED_VALUE"""),483)</f>
        <v>483</v>
      </c>
      <c r="X304" s="1">
        <f ca="1">IFERROR(__xludf.DUMMYFUNCTION("""COMPUTED_VALUE"""),716)</f>
        <v>716</v>
      </c>
      <c r="Y304" s="1">
        <f ca="1">IFERROR(__xludf.DUMMYFUNCTION("""COMPUTED_VALUE"""),0.675)</f>
        <v>0.67500000000000004</v>
      </c>
      <c r="Z304" s="1">
        <f ca="1">IFERROR(__xludf.DUMMYFUNCTION("""COMPUTED_VALUE"""),424)</f>
        <v>424</v>
      </c>
      <c r="AA304" s="1">
        <f ca="1">IFERROR(__xludf.DUMMYFUNCTION("""COMPUTED_VALUE"""),1240)</f>
        <v>1240</v>
      </c>
      <c r="AB304" s="1">
        <f ca="1">IFERROR(__xludf.DUMMYFUNCTION("""COMPUTED_VALUE"""),511)</f>
        <v>511</v>
      </c>
      <c r="AC304" s="1">
        <f ca="1">IFERROR(__xludf.DUMMYFUNCTION("""COMPUTED_VALUE"""),219)</f>
        <v>219</v>
      </c>
      <c r="AD304" s="1">
        <f ca="1">IFERROR(__xludf.DUMMYFUNCTION("""COMPUTED_VALUE"""),116)</f>
        <v>116</v>
      </c>
      <c r="AE304" s="1">
        <f ca="1">IFERROR(__xludf.DUMMYFUNCTION("""COMPUTED_VALUE"""),413)</f>
        <v>413</v>
      </c>
      <c r="AF304" s="1">
        <f ca="1">IFERROR(__xludf.DUMMYFUNCTION("""COMPUTED_VALUE"""),608)</f>
        <v>608</v>
      </c>
    </row>
    <row r="305" spans="1:32" ht="12.5" x14ac:dyDescent="0.25">
      <c r="A305" s="1" t="str">
        <f ca="1">IFERROR(__xludf.DUMMYFUNCTION("""COMPUTED_VALUE"""),"South Carolina")</f>
        <v>South Carolina</v>
      </c>
      <c r="B305" s="1">
        <f ca="1">IFERROR(__xludf.DUMMYFUNCTION("""COMPUTED_VALUE"""),34)</f>
        <v>34</v>
      </c>
      <c r="C305" s="1">
        <f ca="1">IFERROR(__xludf.DUMMYFUNCTION("""COMPUTED_VALUE"""),14)</f>
        <v>14</v>
      </c>
      <c r="D305" s="1">
        <f ca="1">IFERROR(__xludf.DUMMYFUNCTION("""COMPUTED_VALUE"""),20)</f>
        <v>20</v>
      </c>
      <c r="E305" s="1">
        <f ca="1">IFERROR(__xludf.DUMMYFUNCTION("""COMPUTED_VALUE"""),0.412)</f>
        <v>0.41199999999999998</v>
      </c>
      <c r="F305" s="1">
        <f ca="1">IFERROR(__xludf.DUMMYFUNCTION("""COMPUTED_VALUE"""),5.41)</f>
        <v>5.41</v>
      </c>
      <c r="G305" s="1">
        <f ca="1">IFERROR(__xludf.DUMMYFUNCTION("""COMPUTED_VALUE"""),6.96)</f>
        <v>6.96</v>
      </c>
      <c r="H305" s="1">
        <f ca="1">IFERROR(__xludf.DUMMYFUNCTION("""COMPUTED_VALUE"""),5)</f>
        <v>5</v>
      </c>
      <c r="I305" s="1">
        <f ca="1">IFERROR(__xludf.DUMMYFUNCTION("""COMPUTED_VALUE"""),13)</f>
        <v>13</v>
      </c>
      <c r="J305" s="1">
        <f ca="1">IFERROR(__xludf.DUMMYFUNCTION("""COMPUTED_VALUE"""),9)</f>
        <v>9</v>
      </c>
      <c r="K305" s="1">
        <f ca="1">IFERROR(__xludf.DUMMYFUNCTION("""COMPUTED_VALUE"""),7)</f>
        <v>7</v>
      </c>
      <c r="L305" s="1">
        <f ca="1">IFERROR(__xludf.DUMMYFUNCTION("""COMPUTED_VALUE"""),1)</f>
        <v>1</v>
      </c>
      <c r="M305" s="1">
        <f ca="1">IFERROR(__xludf.DUMMYFUNCTION("""COMPUTED_VALUE"""),11)</f>
        <v>11</v>
      </c>
      <c r="N305" s="1">
        <f ca="1">IFERROR(__xludf.DUMMYFUNCTION("""COMPUTED_VALUE"""),2323)</f>
        <v>2323</v>
      </c>
      <c r="O305" s="1">
        <f ca="1">IFERROR(__xludf.DUMMYFUNCTION("""COMPUTED_VALUE"""),2376)</f>
        <v>2376</v>
      </c>
      <c r="P305" s="1">
        <f ca="1">IFERROR(__xludf.DUMMYFUNCTION("""COMPUTED_VALUE"""),1360)</f>
        <v>1360</v>
      </c>
      <c r="Q305" s="1">
        <f ca="1">IFERROR(__xludf.DUMMYFUNCTION("""COMPUTED_VALUE"""),765)</f>
        <v>765</v>
      </c>
      <c r="R305" s="1">
        <f ca="1">IFERROR(__xludf.DUMMYFUNCTION("""COMPUTED_VALUE"""),1853)</f>
        <v>1853</v>
      </c>
      <c r="S305" s="1">
        <f ca="1">IFERROR(__xludf.DUMMYFUNCTION("""COMPUTED_VALUE"""),0.413)</f>
        <v>0.41299999999999998</v>
      </c>
      <c r="T305" s="1">
        <f ca="1">IFERROR(__xludf.DUMMYFUNCTION("""COMPUTED_VALUE"""),195)</f>
        <v>195</v>
      </c>
      <c r="U305" s="1">
        <f ca="1">IFERROR(__xludf.DUMMYFUNCTION("""COMPUTED_VALUE"""),516)</f>
        <v>516</v>
      </c>
      <c r="V305" s="1">
        <f ca="1">IFERROR(__xludf.DUMMYFUNCTION("""COMPUTED_VALUE"""),0.378)</f>
        <v>0.378</v>
      </c>
      <c r="W305" s="1">
        <f ca="1">IFERROR(__xludf.DUMMYFUNCTION("""COMPUTED_VALUE"""),598)</f>
        <v>598</v>
      </c>
      <c r="X305" s="1">
        <f ca="1">IFERROR(__xludf.DUMMYFUNCTION("""COMPUTED_VALUE"""),847)</f>
        <v>847</v>
      </c>
      <c r="Y305" s="1">
        <f ca="1">IFERROR(__xludf.DUMMYFUNCTION("""COMPUTED_VALUE"""),0.706)</f>
        <v>0.70599999999999996</v>
      </c>
      <c r="Z305" s="1">
        <f ca="1">IFERROR(__xludf.DUMMYFUNCTION("""COMPUTED_VALUE"""),468)</f>
        <v>468</v>
      </c>
      <c r="AA305" s="1">
        <f ca="1">IFERROR(__xludf.DUMMYFUNCTION("""COMPUTED_VALUE"""),1202)</f>
        <v>1202</v>
      </c>
      <c r="AB305" s="1">
        <f ca="1">IFERROR(__xludf.DUMMYFUNCTION("""COMPUTED_VALUE"""),416)</f>
        <v>416</v>
      </c>
      <c r="AC305" s="1">
        <f ca="1">IFERROR(__xludf.DUMMYFUNCTION("""COMPUTED_VALUE"""),214)</f>
        <v>214</v>
      </c>
      <c r="AD305" s="1">
        <f ca="1">IFERROR(__xludf.DUMMYFUNCTION("""COMPUTED_VALUE"""),128)</f>
        <v>128</v>
      </c>
      <c r="AE305" s="1">
        <f ca="1">IFERROR(__xludf.DUMMYFUNCTION("""COMPUTED_VALUE"""),485)</f>
        <v>485</v>
      </c>
      <c r="AF305" s="1">
        <f ca="1">IFERROR(__xludf.DUMMYFUNCTION("""COMPUTED_VALUE"""),771)</f>
        <v>771</v>
      </c>
    </row>
    <row r="306" spans="1:32" ht="12.5" x14ac:dyDescent="0.25">
      <c r="A306" s="1" t="str">
        <f ca="1">IFERROR(__xludf.DUMMYFUNCTION("""COMPUTED_VALUE"""),"South Dakota State")</f>
        <v>South Dakota State</v>
      </c>
      <c r="B306" s="1">
        <f ca="1">IFERROR(__xludf.DUMMYFUNCTION("""COMPUTED_VALUE"""),32)</f>
        <v>32</v>
      </c>
      <c r="C306" s="1">
        <f ca="1">IFERROR(__xludf.DUMMYFUNCTION("""COMPUTED_VALUE"""),19)</f>
        <v>19</v>
      </c>
      <c r="D306" s="1">
        <f ca="1">IFERROR(__xludf.DUMMYFUNCTION("""COMPUTED_VALUE"""),13)</f>
        <v>13</v>
      </c>
      <c r="E306" s="1">
        <f ca="1">IFERROR(__xludf.DUMMYFUNCTION("""COMPUTED_VALUE"""),0.594)</f>
        <v>0.59399999999999997</v>
      </c>
      <c r="F306" s="1">
        <f ca="1">IFERROR(__xludf.DUMMYFUNCTION("""COMPUTED_VALUE"""),-0.17)</f>
        <v>-0.17</v>
      </c>
      <c r="G306" s="1">
        <f ca="1">IFERROR(__xludf.DUMMYFUNCTION("""COMPUTED_VALUE"""),-1.93)</f>
        <v>-1.93</v>
      </c>
      <c r="H306" s="1">
        <f ca="1">IFERROR(__xludf.DUMMYFUNCTION("""COMPUTED_VALUE"""),10)</f>
        <v>10</v>
      </c>
      <c r="I306" s="1">
        <f ca="1">IFERROR(__xludf.DUMMYFUNCTION("""COMPUTED_VALUE"""),4)</f>
        <v>4</v>
      </c>
      <c r="J306" s="1">
        <f ca="1">IFERROR(__xludf.DUMMYFUNCTION("""COMPUTED_VALUE"""),10)</f>
        <v>10</v>
      </c>
      <c r="K306" s="1">
        <f ca="1">IFERROR(__xludf.DUMMYFUNCTION("""COMPUTED_VALUE"""),3)</f>
        <v>3</v>
      </c>
      <c r="L306" s="1">
        <f ca="1">IFERROR(__xludf.DUMMYFUNCTION("""COMPUTED_VALUE"""),7)</f>
        <v>7</v>
      </c>
      <c r="M306" s="1">
        <f ca="1">IFERROR(__xludf.DUMMYFUNCTION("""COMPUTED_VALUE"""),8)</f>
        <v>8</v>
      </c>
      <c r="N306" s="1">
        <f ca="1">IFERROR(__xludf.DUMMYFUNCTION("""COMPUTED_VALUE"""),2315)</f>
        <v>2315</v>
      </c>
      <c r="O306" s="1">
        <f ca="1">IFERROR(__xludf.DUMMYFUNCTION("""COMPUTED_VALUE"""),2198)</f>
        <v>2198</v>
      </c>
      <c r="P306" s="1">
        <f ca="1">IFERROR(__xludf.DUMMYFUNCTION("""COMPUTED_VALUE"""),1280)</f>
        <v>1280</v>
      </c>
      <c r="Q306" s="1">
        <f ca="1">IFERROR(__xludf.DUMMYFUNCTION("""COMPUTED_VALUE"""),769)</f>
        <v>769</v>
      </c>
      <c r="R306" s="1">
        <f ca="1">IFERROR(__xludf.DUMMYFUNCTION("""COMPUTED_VALUE"""),1719)</f>
        <v>1719</v>
      </c>
      <c r="S306" s="1">
        <f ca="1">IFERROR(__xludf.DUMMYFUNCTION("""COMPUTED_VALUE"""),0.447)</f>
        <v>0.44700000000000001</v>
      </c>
      <c r="T306" s="1">
        <f ca="1">IFERROR(__xludf.DUMMYFUNCTION("""COMPUTED_VALUE"""),209)</f>
        <v>209</v>
      </c>
      <c r="U306" s="1">
        <f ca="1">IFERROR(__xludf.DUMMYFUNCTION("""COMPUTED_VALUE"""),605)</f>
        <v>605</v>
      </c>
      <c r="V306" s="1">
        <f ca="1">IFERROR(__xludf.DUMMYFUNCTION("""COMPUTED_VALUE"""),0.345)</f>
        <v>0.34499999999999997</v>
      </c>
      <c r="W306" s="1">
        <f ca="1">IFERROR(__xludf.DUMMYFUNCTION("""COMPUTED_VALUE"""),568)</f>
        <v>568</v>
      </c>
      <c r="X306" s="1">
        <f ca="1">IFERROR(__xludf.DUMMYFUNCTION("""COMPUTED_VALUE"""),751)</f>
        <v>751</v>
      </c>
      <c r="Y306" s="1">
        <f ca="1">IFERROR(__xludf.DUMMYFUNCTION("""COMPUTED_VALUE"""),0.756)</f>
        <v>0.75600000000000001</v>
      </c>
      <c r="Z306" s="1">
        <f ca="1">IFERROR(__xludf.DUMMYFUNCTION("""COMPUTED_VALUE"""),317)</f>
        <v>317</v>
      </c>
      <c r="AA306" s="1">
        <f ca="1">IFERROR(__xludf.DUMMYFUNCTION("""COMPUTED_VALUE"""),1138)</f>
        <v>1138</v>
      </c>
      <c r="AB306" s="1">
        <f ca="1">IFERROR(__xludf.DUMMYFUNCTION("""COMPUTED_VALUE"""),421)</f>
        <v>421</v>
      </c>
      <c r="AC306" s="1">
        <f ca="1">IFERROR(__xludf.DUMMYFUNCTION("""COMPUTED_VALUE"""),174)</f>
        <v>174</v>
      </c>
      <c r="AD306" s="1">
        <f ca="1">IFERROR(__xludf.DUMMYFUNCTION("""COMPUTED_VALUE"""),102)</f>
        <v>102</v>
      </c>
      <c r="AE306" s="1">
        <f ca="1">IFERROR(__xludf.DUMMYFUNCTION("""COMPUTED_VALUE"""),381)</f>
        <v>381</v>
      </c>
      <c r="AF306" s="1">
        <f ca="1">IFERROR(__xludf.DUMMYFUNCTION("""COMPUTED_VALUE"""),561)</f>
        <v>561</v>
      </c>
    </row>
    <row r="307" spans="1:32" ht="12.5" x14ac:dyDescent="0.25">
      <c r="A307" s="1" t="str">
        <f ca="1">IFERROR(__xludf.DUMMYFUNCTION("""COMPUTED_VALUE"""),"South Dakota")</f>
        <v>South Dakota</v>
      </c>
      <c r="B307" s="1">
        <f ca="1">IFERROR(__xludf.DUMMYFUNCTION("""COMPUTED_VALUE"""),30)</f>
        <v>30</v>
      </c>
      <c r="C307" s="1">
        <f ca="1">IFERROR(__xludf.DUMMYFUNCTION("""COMPUTED_VALUE"""),12)</f>
        <v>12</v>
      </c>
      <c r="D307" s="1">
        <f ca="1">IFERROR(__xludf.DUMMYFUNCTION("""COMPUTED_VALUE"""),18)</f>
        <v>18</v>
      </c>
      <c r="E307" s="1">
        <f ca="1">IFERROR(__xludf.DUMMYFUNCTION("""COMPUTED_VALUE"""),0.4)</f>
        <v>0.4</v>
      </c>
      <c r="F307" s="1">
        <f ca="1">IFERROR(__xludf.DUMMYFUNCTION("""COMPUTED_VALUE"""),-7.07)</f>
        <v>-7.07</v>
      </c>
      <c r="G307" s="1">
        <f ca="1">IFERROR(__xludf.DUMMYFUNCTION("""COMPUTED_VALUE"""),-0.81)</f>
        <v>-0.81</v>
      </c>
      <c r="H307" s="1">
        <f ca="1">IFERROR(__xludf.DUMMYFUNCTION("""COMPUTED_VALUE"""),6)</f>
        <v>6</v>
      </c>
      <c r="I307" s="1">
        <f ca="1">IFERROR(__xludf.DUMMYFUNCTION("""COMPUTED_VALUE"""),8)</f>
        <v>8</v>
      </c>
      <c r="J307" s="1">
        <f ca="1">IFERROR(__xludf.DUMMYFUNCTION("""COMPUTED_VALUE"""),10)</f>
        <v>10</v>
      </c>
      <c r="K307" s="1">
        <f ca="1">IFERROR(__xludf.DUMMYFUNCTION("""COMPUTED_VALUE"""),3)</f>
        <v>3</v>
      </c>
      <c r="L307" s="1">
        <f ca="1">IFERROR(__xludf.DUMMYFUNCTION("""COMPUTED_VALUE"""),2)</f>
        <v>2</v>
      </c>
      <c r="M307" s="1">
        <f ca="1">IFERROR(__xludf.DUMMYFUNCTION("""COMPUTED_VALUE"""),13)</f>
        <v>13</v>
      </c>
      <c r="N307" s="1">
        <f ca="1">IFERROR(__xludf.DUMMYFUNCTION("""COMPUTED_VALUE"""),2084)</f>
        <v>2084</v>
      </c>
      <c r="O307" s="1">
        <f ca="1">IFERROR(__xludf.DUMMYFUNCTION("""COMPUTED_VALUE"""),2152)</f>
        <v>2152</v>
      </c>
      <c r="P307" s="1">
        <f ca="1">IFERROR(__xludf.DUMMYFUNCTION("""COMPUTED_VALUE"""),1205)</f>
        <v>1205</v>
      </c>
      <c r="Q307" s="1">
        <f ca="1">IFERROR(__xludf.DUMMYFUNCTION("""COMPUTED_VALUE"""),713)</f>
        <v>713</v>
      </c>
      <c r="R307" s="1">
        <f ca="1">IFERROR(__xludf.DUMMYFUNCTION("""COMPUTED_VALUE"""),1613)</f>
        <v>1613</v>
      </c>
      <c r="S307" s="1">
        <f ca="1">IFERROR(__xludf.DUMMYFUNCTION("""COMPUTED_VALUE"""),0.442)</f>
        <v>0.442</v>
      </c>
      <c r="T307" s="1">
        <f ca="1">IFERROR(__xludf.DUMMYFUNCTION("""COMPUTED_VALUE"""),191)</f>
        <v>191</v>
      </c>
      <c r="U307" s="1">
        <f ca="1">IFERROR(__xludf.DUMMYFUNCTION("""COMPUTED_VALUE"""),539)</f>
        <v>539</v>
      </c>
      <c r="V307" s="1">
        <f ca="1">IFERROR(__xludf.DUMMYFUNCTION("""COMPUTED_VALUE"""),0.354)</f>
        <v>0.35399999999999998</v>
      </c>
      <c r="W307" s="1">
        <f ca="1">IFERROR(__xludf.DUMMYFUNCTION("""COMPUTED_VALUE"""),467)</f>
        <v>467</v>
      </c>
      <c r="X307" s="1">
        <f ca="1">IFERROR(__xludf.DUMMYFUNCTION("""COMPUTED_VALUE"""),622)</f>
        <v>622</v>
      </c>
      <c r="Y307" s="1">
        <f ca="1">IFERROR(__xludf.DUMMYFUNCTION("""COMPUTED_VALUE"""),0.751)</f>
        <v>0.751</v>
      </c>
      <c r="Z307" s="1">
        <f ca="1">IFERROR(__xludf.DUMMYFUNCTION("""COMPUTED_VALUE"""),263)</f>
        <v>263</v>
      </c>
      <c r="AA307" s="1">
        <f ca="1">IFERROR(__xludf.DUMMYFUNCTION("""COMPUTED_VALUE"""),983)</f>
        <v>983</v>
      </c>
      <c r="AB307" s="1">
        <f ca="1">IFERROR(__xludf.DUMMYFUNCTION("""COMPUTED_VALUE"""),381)</f>
        <v>381</v>
      </c>
      <c r="AC307" s="1">
        <f ca="1">IFERROR(__xludf.DUMMYFUNCTION("""COMPUTED_VALUE"""),163)</f>
        <v>163</v>
      </c>
      <c r="AD307" s="1">
        <f ca="1">IFERROR(__xludf.DUMMYFUNCTION("""COMPUTED_VALUE"""),113)</f>
        <v>113</v>
      </c>
      <c r="AE307" s="1">
        <f ca="1">IFERROR(__xludf.DUMMYFUNCTION("""COMPUTED_VALUE"""),371)</f>
        <v>371</v>
      </c>
      <c r="AF307" s="1">
        <f ca="1">IFERROR(__xludf.DUMMYFUNCTION("""COMPUTED_VALUE"""),522)</f>
        <v>522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 Florida")</f>
        <v>South Florida</v>
      </c>
      <c r="B310" s="1">
        <f ca="1">IFERROR(__xludf.DUMMYFUNCTION("""COMPUTED_VALUE"""),32)</f>
        <v>32</v>
      </c>
      <c r="C310" s="1">
        <f ca="1">IFERROR(__xludf.DUMMYFUNCTION("""COMPUTED_VALUE"""),12)</f>
        <v>12</v>
      </c>
      <c r="D310" s="1">
        <f ca="1">IFERROR(__xludf.DUMMYFUNCTION("""COMPUTED_VALUE"""),20)</f>
        <v>20</v>
      </c>
      <c r="E310" s="1">
        <f ca="1">IFERROR(__xludf.DUMMYFUNCTION("""COMPUTED_VALUE"""),0.375)</f>
        <v>0.375</v>
      </c>
      <c r="F310" s="1">
        <f ca="1">IFERROR(__xludf.DUMMYFUNCTION("""COMPUTED_VALUE"""),-0.52)</f>
        <v>-0.52</v>
      </c>
      <c r="G310" s="1">
        <f ca="1">IFERROR(__xludf.DUMMYFUNCTION("""COMPUTED_VALUE"""),4.6)</f>
        <v>4.5999999999999996</v>
      </c>
      <c r="H310" s="1">
        <f ca="1">IFERROR(__xludf.DUMMYFUNCTION("""COMPUTED_VALUE"""),3)</f>
        <v>3</v>
      </c>
      <c r="I310" s="1">
        <f ca="1">IFERROR(__xludf.DUMMYFUNCTION("""COMPUTED_VALUE"""),15)</f>
        <v>15</v>
      </c>
      <c r="J310" s="1">
        <f ca="1">IFERROR(__xludf.DUMMYFUNCTION("""COMPUTED_VALUE"""),7)</f>
        <v>7</v>
      </c>
      <c r="K310" s="1">
        <f ca="1">IFERROR(__xludf.DUMMYFUNCTION("""COMPUTED_VALUE"""),10)</f>
        <v>10</v>
      </c>
      <c r="L310" s="1">
        <f ca="1">IFERROR(__xludf.DUMMYFUNCTION("""COMPUTED_VALUE"""),5)</f>
        <v>5</v>
      </c>
      <c r="M310" s="1">
        <f ca="1">IFERROR(__xludf.DUMMYFUNCTION("""COMPUTED_VALUE"""),7)</f>
        <v>7</v>
      </c>
      <c r="N310" s="1">
        <f ca="1">IFERROR(__xludf.DUMMYFUNCTION("""COMPUTED_VALUE"""),2100)</f>
        <v>2100</v>
      </c>
      <c r="O310" s="1">
        <f ca="1">IFERROR(__xludf.DUMMYFUNCTION("""COMPUTED_VALUE"""),2264)</f>
        <v>2264</v>
      </c>
      <c r="P310" s="1">
        <f ca="1">IFERROR(__xludf.DUMMYFUNCTION("""COMPUTED_VALUE"""),1295)</f>
        <v>1295</v>
      </c>
      <c r="Q310" s="1">
        <f ca="1">IFERROR(__xludf.DUMMYFUNCTION("""COMPUTED_VALUE"""),751)</f>
        <v>751</v>
      </c>
      <c r="R310" s="1">
        <f ca="1">IFERROR(__xludf.DUMMYFUNCTION("""COMPUTED_VALUE"""),1729)</f>
        <v>1729</v>
      </c>
      <c r="S310" s="1">
        <f ca="1">IFERROR(__xludf.DUMMYFUNCTION("""COMPUTED_VALUE"""),0.434)</f>
        <v>0.434</v>
      </c>
      <c r="T310" s="1">
        <f ca="1">IFERROR(__xludf.DUMMYFUNCTION("""COMPUTED_VALUE"""),97)</f>
        <v>97</v>
      </c>
      <c r="U310" s="1">
        <f ca="1">IFERROR(__xludf.DUMMYFUNCTION("""COMPUTED_VALUE"""),376)</f>
        <v>376</v>
      </c>
      <c r="V310" s="1">
        <f ca="1">IFERROR(__xludf.DUMMYFUNCTION("""COMPUTED_VALUE"""),0.258)</f>
        <v>0.25800000000000001</v>
      </c>
      <c r="W310" s="1">
        <f ca="1">IFERROR(__xludf.DUMMYFUNCTION("""COMPUTED_VALUE"""),501)</f>
        <v>501</v>
      </c>
      <c r="X310" s="1">
        <f ca="1">IFERROR(__xludf.DUMMYFUNCTION("""COMPUTED_VALUE"""),757)</f>
        <v>757</v>
      </c>
      <c r="Y310" s="1">
        <f ca="1">IFERROR(__xludf.DUMMYFUNCTION("""COMPUTED_VALUE"""),0.662)</f>
        <v>0.66200000000000003</v>
      </c>
      <c r="Z310" s="1">
        <f ca="1">IFERROR(__xludf.DUMMYFUNCTION("""COMPUTED_VALUE"""),354)</f>
        <v>354</v>
      </c>
      <c r="AA310" s="1">
        <f ca="1">IFERROR(__xludf.DUMMYFUNCTION("""COMPUTED_VALUE"""),1122)</f>
        <v>1122</v>
      </c>
      <c r="AB310" s="1">
        <f ca="1">IFERROR(__xludf.DUMMYFUNCTION("""COMPUTED_VALUE"""),402)</f>
        <v>402</v>
      </c>
      <c r="AC310" s="1">
        <f ca="1">IFERROR(__xludf.DUMMYFUNCTION("""COMPUTED_VALUE"""),186)</f>
        <v>186</v>
      </c>
      <c r="AD310" s="1">
        <f ca="1">IFERROR(__xludf.DUMMYFUNCTION("""COMPUTED_VALUE"""),118)</f>
        <v>118</v>
      </c>
      <c r="AE310" s="1">
        <f ca="1">IFERROR(__xludf.DUMMYFUNCTION("""COMPUTED_VALUE"""),411)</f>
        <v>411</v>
      </c>
      <c r="AF310" s="1">
        <f ca="1">IFERROR(__xludf.DUMMYFUNCTION("""COMPUTED_VALUE"""),566)</f>
        <v>566</v>
      </c>
    </row>
    <row r="311" spans="1:32" ht="12.5" x14ac:dyDescent="0.25">
      <c r="A311" s="1" t="str">
        <f ca="1">IFERROR(__xludf.DUMMYFUNCTION("""COMPUTED_VALUE"""),"Southeast Missouri State")</f>
        <v>Southeast Missouri State</v>
      </c>
      <c r="B311" s="1">
        <f ca="1">IFERROR(__xludf.DUMMYFUNCTION("""COMPUTED_VALUE"""),32)</f>
        <v>32</v>
      </c>
      <c r="C311" s="1">
        <f ca="1">IFERROR(__xludf.DUMMYFUNCTION("""COMPUTED_VALUE"""),18)</f>
        <v>18</v>
      </c>
      <c r="D311" s="1">
        <f ca="1">IFERROR(__xludf.DUMMYFUNCTION("""COMPUTED_VALUE"""),14)</f>
        <v>14</v>
      </c>
      <c r="E311" s="1">
        <f ca="1">IFERROR(__xludf.DUMMYFUNCTION("""COMPUTED_VALUE"""),0.563)</f>
        <v>0.56299999999999994</v>
      </c>
      <c r="F311" s="1">
        <f ca="1">IFERROR(__xludf.DUMMYFUNCTION("""COMPUTED_VALUE"""),-5.49)</f>
        <v>-5.49</v>
      </c>
      <c r="G311" s="1">
        <f ca="1">IFERROR(__xludf.DUMMYFUNCTION("""COMPUTED_VALUE"""),-6.59)</f>
        <v>-6.59</v>
      </c>
      <c r="H311" s="1">
        <f ca="1">IFERROR(__xludf.DUMMYFUNCTION("""COMPUTED_VALUE"""),8)</f>
        <v>8</v>
      </c>
      <c r="I311" s="1">
        <f ca="1">IFERROR(__xludf.DUMMYFUNCTION("""COMPUTED_VALUE"""),8)</f>
        <v>8</v>
      </c>
      <c r="J311" s="1">
        <f ca="1">IFERROR(__xludf.DUMMYFUNCTION("""COMPUTED_VALUE"""),9)</f>
        <v>9</v>
      </c>
      <c r="K311" s="1">
        <f ca="1">IFERROR(__xludf.DUMMYFUNCTION("""COMPUTED_VALUE"""),4)</f>
        <v>4</v>
      </c>
      <c r="L311" s="1">
        <f ca="1">IFERROR(__xludf.DUMMYFUNCTION("""COMPUTED_VALUE"""),5)</f>
        <v>5</v>
      </c>
      <c r="M311" s="1">
        <f ca="1">IFERROR(__xludf.DUMMYFUNCTION("""COMPUTED_VALUE"""),9)</f>
        <v>9</v>
      </c>
      <c r="N311" s="1">
        <f ca="1">IFERROR(__xludf.DUMMYFUNCTION("""COMPUTED_VALUE"""),2654)</f>
        <v>2654</v>
      </c>
      <c r="O311" s="1">
        <f ca="1">IFERROR(__xludf.DUMMYFUNCTION("""COMPUTED_VALUE"""),2514)</f>
        <v>2514</v>
      </c>
      <c r="P311" s="1">
        <f ca="1">IFERROR(__xludf.DUMMYFUNCTION("""COMPUTED_VALUE"""),1297)</f>
        <v>1297</v>
      </c>
      <c r="Q311" s="1">
        <f ca="1">IFERROR(__xludf.DUMMYFUNCTION("""COMPUTED_VALUE"""),961)</f>
        <v>961</v>
      </c>
      <c r="R311" s="1">
        <f ca="1">IFERROR(__xludf.DUMMYFUNCTION("""COMPUTED_VALUE"""),1924)</f>
        <v>1924</v>
      </c>
      <c r="S311" s="1">
        <f ca="1">IFERROR(__xludf.DUMMYFUNCTION("""COMPUTED_VALUE"""),0.499)</f>
        <v>0.499</v>
      </c>
      <c r="T311" s="1">
        <f ca="1">IFERROR(__xludf.DUMMYFUNCTION("""COMPUTED_VALUE"""),218)</f>
        <v>218</v>
      </c>
      <c r="U311" s="1">
        <f ca="1">IFERROR(__xludf.DUMMYFUNCTION("""COMPUTED_VALUE"""),607)</f>
        <v>607</v>
      </c>
      <c r="V311" s="1">
        <f ca="1">IFERROR(__xludf.DUMMYFUNCTION("""COMPUTED_VALUE"""),0.359)</f>
        <v>0.35899999999999999</v>
      </c>
      <c r="W311" s="1">
        <f ca="1">IFERROR(__xludf.DUMMYFUNCTION("""COMPUTED_VALUE"""),514)</f>
        <v>514</v>
      </c>
      <c r="X311" s="1">
        <f ca="1">IFERROR(__xludf.DUMMYFUNCTION("""COMPUTED_VALUE"""),743)</f>
        <v>743</v>
      </c>
      <c r="Y311" s="1">
        <f ca="1">IFERROR(__xludf.DUMMYFUNCTION("""COMPUTED_VALUE"""),0.692)</f>
        <v>0.69199999999999995</v>
      </c>
      <c r="Z311" s="1">
        <f ca="1">IFERROR(__xludf.DUMMYFUNCTION("""COMPUTED_VALUE"""),360)</f>
        <v>360</v>
      </c>
      <c r="AA311" s="1">
        <f ca="1">IFERROR(__xludf.DUMMYFUNCTION("""COMPUTED_VALUE"""),1191)</f>
        <v>1191</v>
      </c>
      <c r="AB311" s="1">
        <f ca="1">IFERROR(__xludf.DUMMYFUNCTION("""COMPUTED_VALUE"""),533)</f>
        <v>533</v>
      </c>
      <c r="AC311" s="1">
        <f ca="1">IFERROR(__xludf.DUMMYFUNCTION("""COMPUTED_VALUE"""),228)</f>
        <v>228</v>
      </c>
      <c r="AD311" s="1">
        <f ca="1">IFERROR(__xludf.DUMMYFUNCTION("""COMPUTED_VALUE"""),136)</f>
        <v>136</v>
      </c>
      <c r="AE311" s="1">
        <f ca="1">IFERROR(__xludf.DUMMYFUNCTION("""COMPUTED_VALUE"""),419)</f>
        <v>419</v>
      </c>
      <c r="AF311" s="1">
        <f ca="1">IFERROR(__xludf.DUMMYFUNCTION("""COMPUTED_VALUE"""),641)</f>
        <v>641</v>
      </c>
    </row>
    <row r="312" spans="1:32" ht="12.5" x14ac:dyDescent="0.25">
      <c r="A312" s="1" t="str">
        <f ca="1">IFERROR(__xludf.DUMMYFUNCTION("""COMPUTED_VALUE"""),"Southeastern Louisiana")</f>
        <v>Southeastern Louisiana</v>
      </c>
      <c r="B312" s="1">
        <f ca="1">IFERROR(__xludf.DUMMYFUNCTION("""COMPUTED_VALUE"""),30)</f>
        <v>30</v>
      </c>
      <c r="C312" s="1">
        <f ca="1">IFERROR(__xludf.DUMMYFUNCTION("""COMPUTED_VALUE"""),12)</f>
        <v>12</v>
      </c>
      <c r="D312" s="1">
        <f ca="1">IFERROR(__xludf.DUMMYFUNCTION("""COMPUTED_VALUE"""),18)</f>
        <v>18</v>
      </c>
      <c r="E312" s="1">
        <f ca="1">IFERROR(__xludf.DUMMYFUNCTION("""COMPUTED_VALUE"""),0.4)</f>
        <v>0.4</v>
      </c>
      <c r="F312" s="1">
        <f ca="1">IFERROR(__xludf.DUMMYFUNCTION("""COMPUTED_VALUE"""),-13.06)</f>
        <v>-13.06</v>
      </c>
      <c r="G312" s="1">
        <f ca="1">IFERROR(__xludf.DUMMYFUNCTION("""COMPUTED_VALUE"""),-7.67)</f>
        <v>-7.67</v>
      </c>
      <c r="H312" s="1">
        <f ca="1">IFERROR(__xludf.DUMMYFUNCTION("""COMPUTED_VALUE"""),7)</f>
        <v>7</v>
      </c>
      <c r="I312" s="1">
        <f ca="1">IFERROR(__xludf.DUMMYFUNCTION("""COMPUTED_VALUE"""),11)</f>
        <v>11</v>
      </c>
      <c r="J312" s="1">
        <f ca="1">IFERROR(__xludf.DUMMYFUNCTION("""COMPUTED_VALUE"""),8)</f>
        <v>8</v>
      </c>
      <c r="K312" s="1">
        <f ca="1">IFERROR(__xludf.DUMMYFUNCTION("""COMPUTED_VALUE"""),5)</f>
        <v>5</v>
      </c>
      <c r="L312" s="1">
        <f ca="1">IFERROR(__xludf.DUMMYFUNCTION("""COMPUTED_VALUE"""),4)</f>
        <v>4</v>
      </c>
      <c r="M312" s="1">
        <f ca="1">IFERROR(__xludf.DUMMYFUNCTION("""COMPUTED_VALUE"""),11)</f>
        <v>11</v>
      </c>
      <c r="N312" s="1">
        <f ca="1">IFERROR(__xludf.DUMMYFUNCTION("""COMPUTED_VALUE"""),2085)</f>
        <v>2085</v>
      </c>
      <c r="O312" s="1">
        <f ca="1">IFERROR(__xludf.DUMMYFUNCTION("""COMPUTED_VALUE"""),2172)</f>
        <v>2172</v>
      </c>
      <c r="P312" s="1">
        <f ca="1">IFERROR(__xludf.DUMMYFUNCTION("""COMPUTED_VALUE"""),1210)</f>
        <v>1210</v>
      </c>
      <c r="Q312" s="1">
        <f ca="1">IFERROR(__xludf.DUMMYFUNCTION("""COMPUTED_VALUE"""),714)</f>
        <v>714</v>
      </c>
      <c r="R312" s="1">
        <f ca="1">IFERROR(__xludf.DUMMYFUNCTION("""COMPUTED_VALUE"""),1612)</f>
        <v>1612</v>
      </c>
      <c r="S312" s="1">
        <f ca="1">IFERROR(__xludf.DUMMYFUNCTION("""COMPUTED_VALUE"""),0.443)</f>
        <v>0.443</v>
      </c>
      <c r="T312" s="1">
        <f ca="1">IFERROR(__xludf.DUMMYFUNCTION("""COMPUTED_VALUE"""),204)</f>
        <v>204</v>
      </c>
      <c r="U312" s="1">
        <f ca="1">IFERROR(__xludf.DUMMYFUNCTION("""COMPUTED_VALUE"""),560)</f>
        <v>560</v>
      </c>
      <c r="V312" s="1">
        <f ca="1">IFERROR(__xludf.DUMMYFUNCTION("""COMPUTED_VALUE"""),0.364)</f>
        <v>0.36399999999999999</v>
      </c>
      <c r="W312" s="1">
        <f ca="1">IFERROR(__xludf.DUMMYFUNCTION("""COMPUTED_VALUE"""),453)</f>
        <v>453</v>
      </c>
      <c r="X312" s="1">
        <f ca="1">IFERROR(__xludf.DUMMYFUNCTION("""COMPUTED_VALUE"""),650)</f>
        <v>650</v>
      </c>
      <c r="Y312" s="1">
        <f ca="1">IFERROR(__xludf.DUMMYFUNCTION("""COMPUTED_VALUE"""),0.697)</f>
        <v>0.69699999999999995</v>
      </c>
      <c r="Z312" s="1">
        <f ca="1">IFERROR(__xludf.DUMMYFUNCTION("""COMPUTED_VALUE"""),256)</f>
        <v>256</v>
      </c>
      <c r="AA312" s="1">
        <f ca="1">IFERROR(__xludf.DUMMYFUNCTION("""COMPUTED_VALUE"""),958)</f>
        <v>958</v>
      </c>
      <c r="AB312" s="1">
        <f ca="1">IFERROR(__xludf.DUMMYFUNCTION("""COMPUTED_VALUE"""),351)</f>
        <v>351</v>
      </c>
      <c r="AC312" s="1">
        <f ca="1">IFERROR(__xludf.DUMMYFUNCTION("""COMPUTED_VALUE"""),137)</f>
        <v>137</v>
      </c>
      <c r="AD312" s="1">
        <f ca="1">IFERROR(__xludf.DUMMYFUNCTION("""COMPUTED_VALUE"""),124)</f>
        <v>124</v>
      </c>
      <c r="AE312" s="1">
        <f ca="1">IFERROR(__xludf.DUMMYFUNCTION("""COMPUTED_VALUE"""),363)</f>
        <v>363</v>
      </c>
      <c r="AF312" s="1">
        <f ca="1">IFERROR(__xludf.DUMMYFUNCTION("""COMPUTED_VALUE"""),593)</f>
        <v>593</v>
      </c>
    </row>
    <row r="313" spans="1:32" ht="12.5" x14ac:dyDescent="0.25">
      <c r="A313" s="1" t="str">
        <f ca="1">IFERROR(__xludf.DUMMYFUNCTION("""COMPUTED_VALUE"""),"Southern California")</f>
        <v>Southern California</v>
      </c>
      <c r="B313" s="1">
        <f ca="1">IFERROR(__xludf.DUMMYFUNCTION("""COMPUTED_VALUE"""),32)</f>
        <v>32</v>
      </c>
      <c r="C313" s="1">
        <f ca="1">IFERROR(__xludf.DUMMYFUNCTION("""COMPUTED_VALUE"""),11)</f>
        <v>11</v>
      </c>
      <c r="D313" s="1">
        <f ca="1">IFERROR(__xludf.DUMMYFUNCTION("""COMPUTED_VALUE"""),21)</f>
        <v>21</v>
      </c>
      <c r="E313" s="1">
        <f ca="1">IFERROR(__xludf.DUMMYFUNCTION("""COMPUTED_VALUE"""),0.344)</f>
        <v>0.34399999999999997</v>
      </c>
      <c r="F313" s="1">
        <f ca="1">IFERROR(__xludf.DUMMYFUNCTION("""COMPUTED_VALUE"""),2.6)</f>
        <v>2.6</v>
      </c>
      <c r="G313" s="1">
        <f ca="1">IFERROR(__xludf.DUMMYFUNCTION("""COMPUTED_VALUE"""),8.02)</f>
        <v>8.02</v>
      </c>
      <c r="H313" s="1">
        <f ca="1">IFERROR(__xludf.DUMMYFUNCTION("""COMPUTED_VALUE"""),2)</f>
        <v>2</v>
      </c>
      <c r="I313" s="1">
        <f ca="1">IFERROR(__xludf.DUMMYFUNCTION("""COMPUTED_VALUE"""),16)</f>
        <v>16</v>
      </c>
      <c r="J313" s="1">
        <f ca="1">IFERROR(__xludf.DUMMYFUNCTION("""COMPUTED_VALUE"""),8)</f>
        <v>8</v>
      </c>
      <c r="K313" s="1">
        <f ca="1">IFERROR(__xludf.DUMMYFUNCTION("""COMPUTED_VALUE"""),8)</f>
        <v>8</v>
      </c>
      <c r="L313" s="1">
        <f ca="1">IFERROR(__xludf.DUMMYFUNCTION("""COMPUTED_VALUE"""),2)</f>
        <v>2</v>
      </c>
      <c r="M313" s="1">
        <f ca="1">IFERROR(__xludf.DUMMYFUNCTION("""COMPUTED_VALUE"""),10)</f>
        <v>10</v>
      </c>
      <c r="N313" s="1">
        <f ca="1">IFERROR(__xludf.DUMMYFUNCTION("""COMPUTED_VALUE"""),2258)</f>
        <v>2258</v>
      </c>
      <c r="O313" s="1">
        <f ca="1">IFERROR(__xludf.DUMMYFUNCTION("""COMPUTED_VALUE"""),2410)</f>
        <v>2410</v>
      </c>
      <c r="P313" s="1">
        <f ca="1">IFERROR(__xludf.DUMMYFUNCTION("""COMPUTED_VALUE"""),1295)</f>
        <v>1295</v>
      </c>
      <c r="Q313" s="1">
        <f ca="1">IFERROR(__xludf.DUMMYFUNCTION("""COMPUTED_VALUE"""),801)</f>
        <v>801</v>
      </c>
      <c r="R313" s="1">
        <f ca="1">IFERROR(__xludf.DUMMYFUNCTION("""COMPUTED_VALUE"""),1824)</f>
        <v>1824</v>
      </c>
      <c r="S313" s="1">
        <f ca="1">IFERROR(__xludf.DUMMYFUNCTION("""COMPUTED_VALUE"""),0.439)</f>
        <v>0.439</v>
      </c>
      <c r="T313" s="1">
        <f ca="1">IFERROR(__xludf.DUMMYFUNCTION("""COMPUTED_VALUE"""),146)</f>
        <v>146</v>
      </c>
      <c r="U313" s="1">
        <f ca="1">IFERROR(__xludf.DUMMYFUNCTION("""COMPUTED_VALUE"""),501)</f>
        <v>501</v>
      </c>
      <c r="V313" s="1">
        <f ca="1">IFERROR(__xludf.DUMMYFUNCTION("""COMPUTED_VALUE"""),0.291)</f>
        <v>0.29099999999999998</v>
      </c>
      <c r="W313" s="1">
        <f ca="1">IFERROR(__xludf.DUMMYFUNCTION("""COMPUTED_VALUE"""),510)</f>
        <v>510</v>
      </c>
      <c r="X313" s="1">
        <f ca="1">IFERROR(__xludf.DUMMYFUNCTION("""COMPUTED_VALUE"""),761)</f>
        <v>761</v>
      </c>
      <c r="Y313" s="1">
        <f ca="1">IFERROR(__xludf.DUMMYFUNCTION("""COMPUTED_VALUE"""),0.67)</f>
        <v>0.67</v>
      </c>
      <c r="Z313" s="1">
        <f ca="1">IFERROR(__xludf.DUMMYFUNCTION("""COMPUTED_VALUE"""),354)</f>
        <v>354</v>
      </c>
      <c r="AA313" s="1">
        <f ca="1">IFERROR(__xludf.DUMMYFUNCTION("""COMPUTED_VALUE"""),1185)</f>
        <v>1185</v>
      </c>
      <c r="AB313" s="1">
        <f ca="1">IFERROR(__xludf.DUMMYFUNCTION("""COMPUTED_VALUE"""),404)</f>
        <v>404</v>
      </c>
      <c r="AC313" s="1">
        <f ca="1">IFERROR(__xludf.DUMMYFUNCTION("""COMPUTED_VALUE"""),174)</f>
        <v>174</v>
      </c>
      <c r="AD313" s="1">
        <f ca="1">IFERROR(__xludf.DUMMYFUNCTION("""COMPUTED_VALUE"""),141)</f>
        <v>141</v>
      </c>
      <c r="AE313" s="1">
        <f ca="1">IFERROR(__xludf.DUMMYFUNCTION("""COMPUTED_VALUE"""),449)</f>
        <v>449</v>
      </c>
      <c r="AF313" s="1">
        <f ca="1">IFERROR(__xludf.DUMMYFUNCTION("""COMPUTED_VALUE"""),628)</f>
        <v>628</v>
      </c>
    </row>
    <row r="314" spans="1:32" ht="12.5" x14ac:dyDescent="0.25">
      <c r="A314" s="1" t="str">
        <f ca="1">IFERROR(__xludf.DUMMYFUNCTION("""COMPUTED_VALUE"""),"SIU Edwardsville")</f>
        <v>SIU Edwardsville</v>
      </c>
      <c r="B314" s="1">
        <f ca="1">IFERROR(__xludf.DUMMYFUNCTION("""COMPUTED_VALUE"""),31)</f>
        <v>31</v>
      </c>
      <c r="C314" s="1">
        <f ca="1">IFERROR(__xludf.DUMMYFUNCTION("""COMPUTED_VALUE"""),11)</f>
        <v>11</v>
      </c>
      <c r="D314" s="1">
        <f ca="1">IFERROR(__xludf.DUMMYFUNCTION("""COMPUTED_VALUE"""),20)</f>
        <v>20</v>
      </c>
      <c r="E314" s="1">
        <f ca="1">IFERROR(__xludf.DUMMYFUNCTION("""COMPUTED_VALUE"""),0.355)</f>
        <v>0.35499999999999998</v>
      </c>
      <c r="F314" s="1">
        <f ca="1">IFERROR(__xludf.DUMMYFUNCTION("""COMPUTED_VALUE"""),-10.61)</f>
        <v>-10.61</v>
      </c>
      <c r="G314" s="1">
        <f ca="1">IFERROR(__xludf.DUMMYFUNCTION("""COMPUTED_VALUE"""),-5.33)</f>
        <v>-5.33</v>
      </c>
      <c r="H314" s="1">
        <f ca="1">IFERROR(__xludf.DUMMYFUNCTION("""COMPUTED_VALUE"""),7)</f>
        <v>7</v>
      </c>
      <c r="I314" s="1">
        <f ca="1">IFERROR(__xludf.DUMMYFUNCTION("""COMPUTED_VALUE"""),9)</f>
        <v>9</v>
      </c>
      <c r="J314" s="1">
        <f ca="1">IFERROR(__xludf.DUMMYFUNCTION("""COMPUTED_VALUE"""),9)</f>
        <v>9</v>
      </c>
      <c r="K314" s="1">
        <f ca="1">IFERROR(__xludf.DUMMYFUNCTION("""COMPUTED_VALUE"""),5)</f>
        <v>5</v>
      </c>
      <c r="L314" s="1">
        <f ca="1">IFERROR(__xludf.DUMMYFUNCTION("""COMPUTED_VALUE"""),2)</f>
        <v>2</v>
      </c>
      <c r="M314" s="1">
        <f ca="1">IFERROR(__xludf.DUMMYFUNCTION("""COMPUTED_VALUE"""),12)</f>
        <v>12</v>
      </c>
      <c r="N314" s="1">
        <f ca="1">IFERROR(__xludf.DUMMYFUNCTION("""COMPUTED_VALUE"""),2264)</f>
        <v>2264</v>
      </c>
      <c r="O314" s="1">
        <f ca="1">IFERROR(__xludf.DUMMYFUNCTION("""COMPUTED_VALUE"""),2364)</f>
        <v>2364</v>
      </c>
      <c r="P314" s="1">
        <f ca="1">IFERROR(__xludf.DUMMYFUNCTION("""COMPUTED_VALUE"""),1245)</f>
        <v>1245</v>
      </c>
      <c r="Q314" s="1">
        <f ca="1">IFERROR(__xludf.DUMMYFUNCTION("""COMPUTED_VALUE"""),806)</f>
        <v>806</v>
      </c>
      <c r="R314" s="1">
        <f ca="1">IFERROR(__xludf.DUMMYFUNCTION("""COMPUTED_VALUE"""),1715)</f>
        <v>1715</v>
      </c>
      <c r="S314" s="1">
        <f ca="1">IFERROR(__xludf.DUMMYFUNCTION("""COMPUTED_VALUE"""),0.47)</f>
        <v>0.47</v>
      </c>
      <c r="T314" s="1">
        <f ca="1">IFERROR(__xludf.DUMMYFUNCTION("""COMPUTED_VALUE"""),223)</f>
        <v>223</v>
      </c>
      <c r="U314" s="1">
        <f ca="1">IFERROR(__xludf.DUMMYFUNCTION("""COMPUTED_VALUE"""),590)</f>
        <v>590</v>
      </c>
      <c r="V314" s="1">
        <f ca="1">IFERROR(__xludf.DUMMYFUNCTION("""COMPUTED_VALUE"""),0.378)</f>
        <v>0.378</v>
      </c>
      <c r="W314" s="1">
        <f ca="1">IFERROR(__xludf.DUMMYFUNCTION("""COMPUTED_VALUE"""),429)</f>
        <v>429</v>
      </c>
      <c r="X314" s="1">
        <f ca="1">IFERROR(__xludf.DUMMYFUNCTION("""COMPUTED_VALUE"""),645)</f>
        <v>645</v>
      </c>
      <c r="Y314" s="1">
        <f ca="1">IFERROR(__xludf.DUMMYFUNCTION("""COMPUTED_VALUE"""),0.665)</f>
        <v>0.66500000000000004</v>
      </c>
      <c r="Z314" s="1">
        <f ca="1">IFERROR(__xludf.DUMMYFUNCTION("""COMPUTED_VALUE"""),298)</f>
        <v>298</v>
      </c>
      <c r="AA314" s="1">
        <f ca="1">IFERROR(__xludf.DUMMYFUNCTION("""COMPUTED_VALUE"""),963)</f>
        <v>963</v>
      </c>
      <c r="AB314" s="1">
        <f ca="1">IFERROR(__xludf.DUMMYFUNCTION("""COMPUTED_VALUE"""),436)</f>
        <v>436</v>
      </c>
      <c r="AC314" s="1">
        <f ca="1">IFERROR(__xludf.DUMMYFUNCTION("""COMPUTED_VALUE"""),212)</f>
        <v>212</v>
      </c>
      <c r="AD314" s="1">
        <f ca="1">IFERROR(__xludf.DUMMYFUNCTION("""COMPUTED_VALUE"""),94)</f>
        <v>94</v>
      </c>
      <c r="AE314" s="1">
        <f ca="1">IFERROR(__xludf.DUMMYFUNCTION("""COMPUTED_VALUE"""),429)</f>
        <v>429</v>
      </c>
      <c r="AF314" s="1">
        <f ca="1">IFERROR(__xludf.DUMMYFUNCTION("""COMPUTED_VALUE"""),627)</f>
        <v>627</v>
      </c>
    </row>
    <row r="315" spans="1:32" ht="12.5" x14ac:dyDescent="0.25">
      <c r="A315" s="1" t="str">
        <f ca="1">IFERROR(__xludf.DUMMYFUNCTION("""COMPUTED_VALUE"""),"Southern Illinois")</f>
        <v>Southern Illinois</v>
      </c>
      <c r="B315" s="1">
        <f ca="1">IFERROR(__xludf.DUMMYFUNCTION("""COMPUTED_VALUE"""),33)</f>
        <v>33</v>
      </c>
      <c r="C315" s="1">
        <f ca="1">IFERROR(__xludf.DUMMYFUNCTION("""COMPUTED_VALUE"""),14)</f>
        <v>14</v>
      </c>
      <c r="D315" s="1">
        <f ca="1">IFERROR(__xludf.DUMMYFUNCTION("""COMPUTED_VALUE"""),19)</f>
        <v>19</v>
      </c>
      <c r="E315" s="1">
        <f ca="1">IFERROR(__xludf.DUMMYFUNCTION("""COMPUTED_VALUE"""),0.424)</f>
        <v>0.42399999999999999</v>
      </c>
      <c r="F315" s="1">
        <f ca="1">IFERROR(__xludf.DUMMYFUNCTION("""COMPUTED_VALUE"""),-0.46)</f>
        <v>-0.46</v>
      </c>
      <c r="G315" s="1">
        <f ca="1">IFERROR(__xludf.DUMMYFUNCTION("""COMPUTED_VALUE"""),0.23)</f>
        <v>0.23</v>
      </c>
      <c r="H315" s="1">
        <f ca="1">IFERROR(__xludf.DUMMYFUNCTION("""COMPUTED_VALUE"""),9)</f>
        <v>9</v>
      </c>
      <c r="I315" s="1">
        <f ca="1">IFERROR(__xludf.DUMMYFUNCTION("""COMPUTED_VALUE"""),9)</f>
        <v>9</v>
      </c>
      <c r="J315" s="1">
        <f ca="1">IFERROR(__xludf.DUMMYFUNCTION("""COMPUTED_VALUE"""),9)</f>
        <v>9</v>
      </c>
      <c r="K315" s="1">
        <f ca="1">IFERROR(__xludf.DUMMYFUNCTION("""COMPUTED_VALUE"""),5)</f>
        <v>5</v>
      </c>
      <c r="L315" s="1">
        <f ca="1">IFERROR(__xludf.DUMMYFUNCTION("""COMPUTED_VALUE"""),3)</f>
        <v>3</v>
      </c>
      <c r="M315" s="1">
        <f ca="1">IFERROR(__xludf.DUMMYFUNCTION("""COMPUTED_VALUE"""),11)</f>
        <v>11</v>
      </c>
      <c r="N315" s="1">
        <f ca="1">IFERROR(__xludf.DUMMYFUNCTION("""COMPUTED_VALUE"""),2208)</f>
        <v>2208</v>
      </c>
      <c r="O315" s="1">
        <f ca="1">IFERROR(__xludf.DUMMYFUNCTION("""COMPUTED_VALUE"""),2208)</f>
        <v>2208</v>
      </c>
      <c r="P315" s="1">
        <f ca="1">IFERROR(__xludf.DUMMYFUNCTION("""COMPUTED_VALUE"""),1325)</f>
        <v>1325</v>
      </c>
      <c r="Q315" s="1">
        <f ca="1">IFERROR(__xludf.DUMMYFUNCTION("""COMPUTED_VALUE"""),781)</f>
        <v>781</v>
      </c>
      <c r="R315" s="1">
        <f ca="1">IFERROR(__xludf.DUMMYFUNCTION("""COMPUTED_VALUE"""),1717)</f>
        <v>1717</v>
      </c>
      <c r="S315" s="1">
        <f ca="1">IFERROR(__xludf.DUMMYFUNCTION("""COMPUTED_VALUE"""),0.455)</f>
        <v>0.45500000000000002</v>
      </c>
      <c r="T315" s="1">
        <f ca="1">IFERROR(__xludf.DUMMYFUNCTION("""COMPUTED_VALUE"""),148)</f>
        <v>148</v>
      </c>
      <c r="U315" s="1">
        <f ca="1">IFERROR(__xludf.DUMMYFUNCTION("""COMPUTED_VALUE"""),449)</f>
        <v>449</v>
      </c>
      <c r="V315" s="1">
        <f ca="1">IFERROR(__xludf.DUMMYFUNCTION("""COMPUTED_VALUE"""),0.33)</f>
        <v>0.33</v>
      </c>
      <c r="W315" s="1">
        <f ca="1">IFERROR(__xludf.DUMMYFUNCTION("""COMPUTED_VALUE"""),498)</f>
        <v>498</v>
      </c>
      <c r="X315" s="1">
        <f ca="1">IFERROR(__xludf.DUMMYFUNCTION("""COMPUTED_VALUE"""),741)</f>
        <v>741</v>
      </c>
      <c r="Y315" s="1">
        <f ca="1">IFERROR(__xludf.DUMMYFUNCTION("""COMPUTED_VALUE"""),0.672)</f>
        <v>0.67200000000000004</v>
      </c>
      <c r="Z315" s="1">
        <f ca="1">IFERROR(__xludf.DUMMYFUNCTION("""COMPUTED_VALUE"""),371)</f>
        <v>371</v>
      </c>
      <c r="AA315" s="1">
        <f ca="1">IFERROR(__xludf.DUMMYFUNCTION("""COMPUTED_VALUE"""),1104)</f>
        <v>1104</v>
      </c>
      <c r="AB315" s="1">
        <f ca="1">IFERROR(__xludf.DUMMYFUNCTION("""COMPUTED_VALUE"""),330)</f>
        <v>330</v>
      </c>
      <c r="AC315" s="1">
        <f ca="1">IFERROR(__xludf.DUMMYFUNCTION("""COMPUTED_VALUE"""),237)</f>
        <v>237</v>
      </c>
      <c r="AD315" s="1">
        <f ca="1">IFERROR(__xludf.DUMMYFUNCTION("""COMPUTED_VALUE"""),70)</f>
        <v>70</v>
      </c>
      <c r="AE315" s="1">
        <f ca="1">IFERROR(__xludf.DUMMYFUNCTION("""COMPUTED_VALUE"""),404)</f>
        <v>404</v>
      </c>
      <c r="AF315" s="1">
        <f ca="1">IFERROR(__xludf.DUMMYFUNCTION("""COMPUTED_VALUE"""),632)</f>
        <v>632</v>
      </c>
    </row>
    <row r="316" spans="1:32" ht="12.5" x14ac:dyDescent="0.25">
      <c r="A316" s="1" t="str">
        <f ca="1">IFERROR(__xludf.DUMMYFUNCTION("""COMPUTED_VALUE"""),"Southern Methodist")</f>
        <v>Southern Methodist</v>
      </c>
      <c r="B316" s="1">
        <f ca="1">IFERROR(__xludf.DUMMYFUNCTION("""COMPUTED_VALUE"""),37)</f>
        <v>37</v>
      </c>
      <c r="C316" s="1">
        <f ca="1">IFERROR(__xludf.DUMMYFUNCTION("""COMPUTED_VALUE"""),27)</f>
        <v>27</v>
      </c>
      <c r="D316" s="1">
        <f ca="1">IFERROR(__xludf.DUMMYFUNCTION("""COMPUTED_VALUE"""),10)</f>
        <v>10</v>
      </c>
      <c r="E316" s="1">
        <f ca="1">IFERROR(__xludf.DUMMYFUNCTION("""COMPUTED_VALUE"""),0.73)</f>
        <v>0.73</v>
      </c>
      <c r="F316" s="1">
        <f ca="1">IFERROR(__xludf.DUMMYFUNCTION("""COMPUTED_VALUE"""),13.73)</f>
        <v>13.73</v>
      </c>
      <c r="G316" s="1">
        <f ca="1">IFERROR(__xludf.DUMMYFUNCTION("""COMPUTED_VALUE"""),4.97)</f>
        <v>4.97</v>
      </c>
      <c r="H316" s="1">
        <f ca="1">IFERROR(__xludf.DUMMYFUNCTION("""COMPUTED_VALUE"""),12)</f>
        <v>12</v>
      </c>
      <c r="I316" s="1">
        <f ca="1">IFERROR(__xludf.DUMMYFUNCTION("""COMPUTED_VALUE"""),6)</f>
        <v>6</v>
      </c>
      <c r="J316" s="1">
        <f ca="1">IFERROR(__xludf.DUMMYFUNCTION("""COMPUTED_VALUE"""),18)</f>
        <v>18</v>
      </c>
      <c r="K316" s="1">
        <f ca="1">IFERROR(__xludf.DUMMYFUNCTION("""COMPUTED_VALUE"""),1)</f>
        <v>1</v>
      </c>
      <c r="L316" s="1">
        <f ca="1">IFERROR(__xludf.DUMMYFUNCTION("""COMPUTED_VALUE"""),6)</f>
        <v>6</v>
      </c>
      <c r="M316" s="1">
        <f ca="1">IFERROR(__xludf.DUMMYFUNCTION("""COMPUTED_VALUE"""),6)</f>
        <v>6</v>
      </c>
      <c r="N316" s="1">
        <f ca="1">IFERROR(__xludf.DUMMYFUNCTION("""COMPUTED_VALUE"""),2627)</f>
        <v>2627</v>
      </c>
      <c r="O316" s="1">
        <f ca="1">IFERROR(__xludf.DUMMYFUNCTION("""COMPUTED_VALUE"""),2303)</f>
        <v>2303</v>
      </c>
      <c r="P316" s="1">
        <f ca="1">IFERROR(__xludf.DUMMYFUNCTION("""COMPUTED_VALUE"""),1480)</f>
        <v>1480</v>
      </c>
      <c r="Q316" s="1">
        <f ca="1">IFERROR(__xludf.DUMMYFUNCTION("""COMPUTED_VALUE"""),937)</f>
        <v>937</v>
      </c>
      <c r="R316" s="1">
        <f ca="1">IFERROR(__xludf.DUMMYFUNCTION("""COMPUTED_VALUE"""),1938)</f>
        <v>1938</v>
      </c>
      <c r="S316" s="1">
        <f ca="1">IFERROR(__xludf.DUMMYFUNCTION("""COMPUTED_VALUE"""),0.483)</f>
        <v>0.48299999999999998</v>
      </c>
      <c r="T316" s="1">
        <f ca="1">IFERROR(__xludf.DUMMYFUNCTION("""COMPUTED_VALUE"""),174)</f>
        <v>174</v>
      </c>
      <c r="U316" s="1">
        <f ca="1">IFERROR(__xludf.DUMMYFUNCTION("""COMPUTED_VALUE"""),459)</f>
        <v>459</v>
      </c>
      <c r="V316" s="1">
        <f ca="1">IFERROR(__xludf.DUMMYFUNCTION("""COMPUTED_VALUE"""),0.379)</f>
        <v>0.379</v>
      </c>
      <c r="W316" s="1">
        <f ca="1">IFERROR(__xludf.DUMMYFUNCTION("""COMPUTED_VALUE"""),579)</f>
        <v>579</v>
      </c>
      <c r="X316" s="1">
        <f ca="1">IFERROR(__xludf.DUMMYFUNCTION("""COMPUTED_VALUE"""),848)</f>
        <v>848</v>
      </c>
      <c r="Y316" s="1">
        <f ca="1">IFERROR(__xludf.DUMMYFUNCTION("""COMPUTED_VALUE"""),0.683)</f>
        <v>0.68300000000000005</v>
      </c>
      <c r="Z316" s="1">
        <f ca="1">IFERROR(__xludf.DUMMYFUNCTION("""COMPUTED_VALUE"""),402)</f>
        <v>402</v>
      </c>
      <c r="AA316" s="1">
        <f ca="1">IFERROR(__xludf.DUMMYFUNCTION("""COMPUTED_VALUE"""),1333)</f>
        <v>1333</v>
      </c>
      <c r="AB316" s="1">
        <f ca="1">IFERROR(__xludf.DUMMYFUNCTION("""COMPUTED_VALUE"""),560)</f>
        <v>560</v>
      </c>
      <c r="AC316" s="1">
        <f ca="1">IFERROR(__xludf.DUMMYFUNCTION("""COMPUTED_VALUE"""),282)</f>
        <v>282</v>
      </c>
      <c r="AD316" s="1">
        <f ca="1">IFERROR(__xludf.DUMMYFUNCTION("""COMPUTED_VALUE"""),165)</f>
        <v>165</v>
      </c>
      <c r="AE316" s="1">
        <f ca="1">IFERROR(__xludf.DUMMYFUNCTION("""COMPUTED_VALUE"""),493)</f>
        <v>493</v>
      </c>
      <c r="AF316" s="1">
        <f ca="1">IFERROR(__xludf.DUMMYFUNCTION("""COMPUTED_VALUE"""),692)</f>
        <v>692</v>
      </c>
    </row>
    <row r="317" spans="1:32" ht="12.5" x14ac:dyDescent="0.25">
      <c r="A317" s="1" t="str">
        <f ca="1">IFERROR(__xludf.DUMMYFUNCTION("""COMPUTED_VALUE"""),"Southern Mississippi")</f>
        <v>Southern Mississippi</v>
      </c>
      <c r="B317" s="1">
        <f ca="1">IFERROR(__xludf.DUMMYFUNCTION("""COMPUTED_VALUE"""),36)</f>
        <v>36</v>
      </c>
      <c r="C317" s="1">
        <f ca="1">IFERROR(__xludf.DUMMYFUNCTION("""COMPUTED_VALUE"""),29)</f>
        <v>29</v>
      </c>
      <c r="D317" s="1">
        <f ca="1">IFERROR(__xludf.DUMMYFUNCTION("""COMPUTED_VALUE"""),7)</f>
        <v>7</v>
      </c>
      <c r="E317" s="1">
        <f ca="1">IFERROR(__xludf.DUMMYFUNCTION("""COMPUTED_VALUE"""),0.806)</f>
        <v>0.80600000000000005</v>
      </c>
      <c r="F317" s="1">
        <f ca="1">IFERROR(__xludf.DUMMYFUNCTION("""COMPUTED_VALUE"""),6.84)</f>
        <v>6.84</v>
      </c>
      <c r="G317" s="1">
        <f ca="1">IFERROR(__xludf.DUMMYFUNCTION("""COMPUTED_VALUE"""),-0.08)</f>
        <v>-0.08</v>
      </c>
      <c r="H317" s="1">
        <f ca="1">IFERROR(__xludf.DUMMYFUNCTION("""COMPUTED_VALUE"""),13)</f>
        <v>13</v>
      </c>
      <c r="I317" s="1">
        <f ca="1">IFERROR(__xludf.DUMMYFUNCTION("""COMPUTED_VALUE"""),3)</f>
        <v>3</v>
      </c>
      <c r="J317" s="1">
        <f ca="1">IFERROR(__xludf.DUMMYFUNCTION("""COMPUTED_VALUE"""),15)</f>
        <v>15</v>
      </c>
      <c r="K317" s="1">
        <f ca="1">IFERROR(__xludf.DUMMYFUNCTION("""COMPUTED_VALUE"""),0)</f>
        <v>0</v>
      </c>
      <c r="L317" s="1">
        <f ca="1">IFERROR(__xludf.DUMMYFUNCTION("""COMPUTED_VALUE"""),10)</f>
        <v>10</v>
      </c>
      <c r="M317" s="1">
        <f ca="1">IFERROR(__xludf.DUMMYFUNCTION("""COMPUTED_VALUE"""),6)</f>
        <v>6</v>
      </c>
      <c r="N317" s="1">
        <f ca="1">IFERROR(__xludf.DUMMYFUNCTION("""COMPUTED_VALUE"""),2596)</f>
        <v>2596</v>
      </c>
      <c r="O317" s="1">
        <f ca="1">IFERROR(__xludf.DUMMYFUNCTION("""COMPUTED_VALUE"""),2280)</f>
        <v>2280</v>
      </c>
      <c r="P317" s="1">
        <f ca="1">IFERROR(__xludf.DUMMYFUNCTION("""COMPUTED_VALUE"""),1445)</f>
        <v>1445</v>
      </c>
      <c r="Q317" s="1">
        <f ca="1">IFERROR(__xludf.DUMMYFUNCTION("""COMPUTED_VALUE"""),873)</f>
        <v>873</v>
      </c>
      <c r="R317" s="1">
        <f ca="1">IFERROR(__xludf.DUMMYFUNCTION("""COMPUTED_VALUE"""),1884)</f>
        <v>1884</v>
      </c>
      <c r="S317" s="1">
        <f ca="1">IFERROR(__xludf.DUMMYFUNCTION("""COMPUTED_VALUE"""),0.463)</f>
        <v>0.46300000000000002</v>
      </c>
      <c r="T317" s="1">
        <f ca="1">IFERROR(__xludf.DUMMYFUNCTION("""COMPUTED_VALUE"""),201)</f>
        <v>201</v>
      </c>
      <c r="U317" s="1">
        <f ca="1">IFERROR(__xludf.DUMMYFUNCTION("""COMPUTED_VALUE"""),576)</f>
        <v>576</v>
      </c>
      <c r="V317" s="1">
        <f ca="1">IFERROR(__xludf.DUMMYFUNCTION("""COMPUTED_VALUE"""),0.349)</f>
        <v>0.34899999999999998</v>
      </c>
      <c r="W317" s="1">
        <f ca="1">IFERROR(__xludf.DUMMYFUNCTION("""COMPUTED_VALUE"""),649)</f>
        <v>649</v>
      </c>
      <c r="X317" s="1">
        <f ca="1">IFERROR(__xludf.DUMMYFUNCTION("""COMPUTED_VALUE"""),956)</f>
        <v>956</v>
      </c>
      <c r="Y317" s="1">
        <f ca="1">IFERROR(__xludf.DUMMYFUNCTION("""COMPUTED_VALUE"""),0.679)</f>
        <v>0.67900000000000005</v>
      </c>
      <c r="Z317" s="1">
        <f ca="1">IFERROR(__xludf.DUMMYFUNCTION("""COMPUTED_VALUE"""),443)</f>
        <v>443</v>
      </c>
      <c r="AA317" s="1">
        <f ca="1">IFERROR(__xludf.DUMMYFUNCTION("""COMPUTED_VALUE"""),1286)</f>
        <v>1286</v>
      </c>
      <c r="AB317" s="1">
        <f ca="1">IFERROR(__xludf.DUMMYFUNCTION("""COMPUTED_VALUE"""),507)</f>
        <v>507</v>
      </c>
      <c r="AC317" s="1">
        <f ca="1">IFERROR(__xludf.DUMMYFUNCTION("""COMPUTED_VALUE"""),294)</f>
        <v>294</v>
      </c>
      <c r="AD317" s="1">
        <f ca="1">IFERROR(__xludf.DUMMYFUNCTION("""COMPUTED_VALUE"""),74)</f>
        <v>74</v>
      </c>
      <c r="AE317" s="1">
        <f ca="1">IFERROR(__xludf.DUMMYFUNCTION("""COMPUTED_VALUE"""),466)</f>
        <v>466</v>
      </c>
      <c r="AF317" s="1">
        <f ca="1">IFERROR(__xludf.DUMMYFUNCTION("""COMPUTED_VALUE"""),743)</f>
        <v>743</v>
      </c>
    </row>
    <row r="318" spans="1:32" ht="12.5" x14ac:dyDescent="0.25">
      <c r="A318" s="1" t="str">
        <f ca="1">IFERROR(__xludf.DUMMYFUNCTION("""COMPUTED_VALUE"""),"Southern Utah")</f>
        <v>Southern Utah</v>
      </c>
      <c r="B318" s="1">
        <f ca="1">IFERROR(__xludf.DUMMYFUNCTION("""COMPUTED_VALUE"""),29)</f>
        <v>29</v>
      </c>
      <c r="C318" s="1">
        <f ca="1">IFERROR(__xludf.DUMMYFUNCTION("""COMPUTED_VALUE"""),2)</f>
        <v>2</v>
      </c>
      <c r="D318" s="1">
        <f ca="1">IFERROR(__xludf.DUMMYFUNCTION("""COMPUTED_VALUE"""),27)</f>
        <v>27</v>
      </c>
      <c r="E318" s="1">
        <f ca="1">IFERROR(__xludf.DUMMYFUNCTION("""COMPUTED_VALUE"""),0.069)</f>
        <v>6.9000000000000006E-2</v>
      </c>
      <c r="F318" s="1">
        <f ca="1">IFERROR(__xludf.DUMMYFUNCTION("""COMPUTED_VALUE"""),-19.9)</f>
        <v>-19.899999999999999</v>
      </c>
      <c r="G318" s="1">
        <f ca="1">IFERROR(__xludf.DUMMYFUNCTION("""COMPUTED_VALUE"""),-3.19)</f>
        <v>-3.19</v>
      </c>
      <c r="H318" s="1">
        <f ca="1">IFERROR(__xludf.DUMMYFUNCTION("""COMPUTED_VALUE"""),1)</f>
        <v>1</v>
      </c>
      <c r="I318" s="1">
        <f ca="1">IFERROR(__xludf.DUMMYFUNCTION("""COMPUTED_VALUE"""),19)</f>
        <v>19</v>
      </c>
      <c r="J318" s="1">
        <f ca="1">IFERROR(__xludf.DUMMYFUNCTION("""COMPUTED_VALUE"""),2)</f>
        <v>2</v>
      </c>
      <c r="K318" s="1">
        <f ca="1">IFERROR(__xludf.DUMMYFUNCTION("""COMPUTED_VALUE"""),11)</f>
        <v>11</v>
      </c>
      <c r="L318" s="1">
        <f ca="1">IFERROR(__xludf.DUMMYFUNCTION("""COMPUTED_VALUE"""),0)</f>
        <v>0</v>
      </c>
      <c r="M318" s="1">
        <f ca="1">IFERROR(__xludf.DUMMYFUNCTION("""COMPUTED_VALUE"""),16)</f>
        <v>16</v>
      </c>
      <c r="N318" s="1">
        <f ca="1">IFERROR(__xludf.DUMMYFUNCTION("""COMPUTED_VALUE"""),1710)</f>
        <v>1710</v>
      </c>
      <c r="O318" s="1">
        <f ca="1">IFERROR(__xludf.DUMMYFUNCTION("""COMPUTED_VALUE"""),2171)</f>
        <v>2171</v>
      </c>
      <c r="P318" s="1">
        <f ca="1">IFERROR(__xludf.DUMMYFUNCTION("""COMPUTED_VALUE"""),1165)</f>
        <v>1165</v>
      </c>
      <c r="Q318" s="1">
        <f ca="1">IFERROR(__xludf.DUMMYFUNCTION("""COMPUTED_VALUE"""),591)</f>
        <v>591</v>
      </c>
      <c r="R318" s="1">
        <f ca="1">IFERROR(__xludf.DUMMYFUNCTION("""COMPUTED_VALUE"""),1462)</f>
        <v>1462</v>
      </c>
      <c r="S318" s="1">
        <f ca="1">IFERROR(__xludf.DUMMYFUNCTION("""COMPUTED_VALUE"""),0.404)</f>
        <v>0.40400000000000003</v>
      </c>
      <c r="T318" s="1">
        <f ca="1">IFERROR(__xludf.DUMMYFUNCTION("""COMPUTED_VALUE"""),131)</f>
        <v>131</v>
      </c>
      <c r="U318" s="1">
        <f ca="1">IFERROR(__xludf.DUMMYFUNCTION("""COMPUTED_VALUE"""),401)</f>
        <v>401</v>
      </c>
      <c r="V318" s="1">
        <f ca="1">IFERROR(__xludf.DUMMYFUNCTION("""COMPUTED_VALUE"""),0.327)</f>
        <v>0.32700000000000001</v>
      </c>
      <c r="W318" s="1">
        <f ca="1">IFERROR(__xludf.DUMMYFUNCTION("""COMPUTED_VALUE"""),397)</f>
        <v>397</v>
      </c>
      <c r="X318" s="1">
        <f ca="1">IFERROR(__xludf.DUMMYFUNCTION("""COMPUTED_VALUE"""),576)</f>
        <v>576</v>
      </c>
      <c r="Y318" s="1">
        <f ca="1">IFERROR(__xludf.DUMMYFUNCTION("""COMPUTED_VALUE"""),0.689)</f>
        <v>0.68899999999999995</v>
      </c>
      <c r="Z318" s="1">
        <f ca="1">IFERROR(__xludf.DUMMYFUNCTION("""COMPUTED_VALUE"""),234)</f>
        <v>234</v>
      </c>
      <c r="AA318" s="1">
        <f ca="1">IFERROR(__xludf.DUMMYFUNCTION("""COMPUTED_VALUE"""),827)</f>
        <v>827</v>
      </c>
      <c r="AB318" s="1">
        <f ca="1">IFERROR(__xludf.DUMMYFUNCTION("""COMPUTED_VALUE"""),313)</f>
        <v>313</v>
      </c>
      <c r="AC318" s="1">
        <f ca="1">IFERROR(__xludf.DUMMYFUNCTION("""COMPUTED_VALUE"""),129)</f>
        <v>129</v>
      </c>
      <c r="AD318" s="1">
        <f ca="1">IFERROR(__xludf.DUMMYFUNCTION("""COMPUTED_VALUE"""),94)</f>
        <v>94</v>
      </c>
      <c r="AE318" s="1">
        <f ca="1">IFERROR(__xludf.DUMMYFUNCTION("""COMPUTED_VALUE"""),403)</f>
        <v>403</v>
      </c>
      <c r="AF318" s="1">
        <f ca="1">IFERROR(__xludf.DUMMYFUNCTION("""COMPUTED_VALUE"""),675)</f>
        <v>675</v>
      </c>
    </row>
    <row r="319" spans="1:32" ht="12.5" x14ac:dyDescent="0.25">
      <c r="A319" s="1" t="str">
        <f ca="1">IFERROR(__xludf.DUMMYFUNCTION("""COMPUTED_VALUE"""),"Southern")</f>
        <v>Southern</v>
      </c>
      <c r="B319" s="1">
        <f ca="1">IFERROR(__xludf.DUMMYFUNCTION("""COMPUTED_VALUE"""),32)</f>
        <v>32</v>
      </c>
      <c r="C319" s="1">
        <f ca="1">IFERROR(__xludf.DUMMYFUNCTION("""COMPUTED_VALUE"""),19)</f>
        <v>19</v>
      </c>
      <c r="D319" s="1">
        <f ca="1">IFERROR(__xludf.DUMMYFUNCTION("""COMPUTED_VALUE"""),13)</f>
        <v>13</v>
      </c>
      <c r="E319" s="1">
        <f ca="1">IFERROR(__xludf.DUMMYFUNCTION("""COMPUTED_VALUE"""),0.594)</f>
        <v>0.59399999999999997</v>
      </c>
      <c r="F319" s="1">
        <f ca="1">IFERROR(__xludf.DUMMYFUNCTION("""COMPUTED_VALUE"""),-4.22)</f>
        <v>-4.22</v>
      </c>
      <c r="G319" s="1">
        <f ca="1">IFERROR(__xludf.DUMMYFUNCTION("""COMPUTED_VALUE"""),-7.95)</f>
        <v>-7.95</v>
      </c>
      <c r="H319" s="1">
        <f ca="1">IFERROR(__xludf.DUMMYFUNCTION("""COMPUTED_VALUE"""),15)</f>
        <v>15</v>
      </c>
      <c r="I319" s="1">
        <f ca="1">IFERROR(__xludf.DUMMYFUNCTION("""COMPUTED_VALUE"""),3)</f>
        <v>3</v>
      </c>
      <c r="J319" s="1">
        <f ca="1">IFERROR(__xludf.DUMMYFUNCTION("""COMPUTED_VALUE"""),10)</f>
        <v>10</v>
      </c>
      <c r="K319" s="1">
        <f ca="1">IFERROR(__xludf.DUMMYFUNCTION("""COMPUTED_VALUE"""),4)</f>
        <v>4</v>
      </c>
      <c r="L319" s="1">
        <f ca="1">IFERROR(__xludf.DUMMYFUNCTION("""COMPUTED_VALUE"""),9)</f>
        <v>9</v>
      </c>
      <c r="M319" s="1">
        <f ca="1">IFERROR(__xludf.DUMMYFUNCTION("""COMPUTED_VALUE"""),8)</f>
        <v>8</v>
      </c>
      <c r="N319" s="1">
        <f ca="1">IFERROR(__xludf.DUMMYFUNCTION("""COMPUTED_VALUE"""),2278)</f>
        <v>2278</v>
      </c>
      <c r="O319" s="1">
        <f ca="1">IFERROR(__xludf.DUMMYFUNCTION("""COMPUTED_VALUE"""),2006)</f>
        <v>2006</v>
      </c>
      <c r="P319" s="1">
        <f ca="1">IFERROR(__xludf.DUMMYFUNCTION("""COMPUTED_VALUE"""),1290)</f>
        <v>1290</v>
      </c>
      <c r="Q319" s="1">
        <f ca="1">IFERROR(__xludf.DUMMYFUNCTION("""COMPUTED_VALUE"""),823)</f>
        <v>823</v>
      </c>
      <c r="R319" s="1">
        <f ca="1">IFERROR(__xludf.DUMMYFUNCTION("""COMPUTED_VALUE"""),1822)</f>
        <v>1822</v>
      </c>
      <c r="S319" s="1">
        <f ca="1">IFERROR(__xludf.DUMMYFUNCTION("""COMPUTED_VALUE"""),0.452)</f>
        <v>0.45200000000000001</v>
      </c>
      <c r="T319" s="1">
        <f ca="1">IFERROR(__xludf.DUMMYFUNCTION("""COMPUTED_VALUE"""),188)</f>
        <v>188</v>
      </c>
      <c r="U319" s="1">
        <f ca="1">IFERROR(__xludf.DUMMYFUNCTION("""COMPUTED_VALUE"""),554)</f>
        <v>554</v>
      </c>
      <c r="V319" s="1">
        <f ca="1">IFERROR(__xludf.DUMMYFUNCTION("""COMPUTED_VALUE"""),0.339)</f>
        <v>0.33900000000000002</v>
      </c>
      <c r="W319" s="1">
        <f ca="1">IFERROR(__xludf.DUMMYFUNCTION("""COMPUTED_VALUE"""),444)</f>
        <v>444</v>
      </c>
      <c r="X319" s="1">
        <f ca="1">IFERROR(__xludf.DUMMYFUNCTION("""COMPUTED_VALUE"""),718)</f>
        <v>718</v>
      </c>
      <c r="Y319" s="1">
        <f ca="1">IFERROR(__xludf.DUMMYFUNCTION("""COMPUTED_VALUE"""),0.618)</f>
        <v>0.61799999999999999</v>
      </c>
      <c r="Z319" s="1">
        <f ca="1">IFERROR(__xludf.DUMMYFUNCTION("""COMPUTED_VALUE"""),380)</f>
        <v>380</v>
      </c>
      <c r="AA319" s="1">
        <f ca="1">IFERROR(__xludf.DUMMYFUNCTION("""COMPUTED_VALUE"""),1236)</f>
        <v>1236</v>
      </c>
      <c r="AB319" s="1">
        <f ca="1">IFERROR(__xludf.DUMMYFUNCTION("""COMPUTED_VALUE"""),419)</f>
        <v>419</v>
      </c>
      <c r="AC319" s="1">
        <f ca="1">IFERROR(__xludf.DUMMYFUNCTION("""COMPUTED_VALUE"""),199)</f>
        <v>199</v>
      </c>
      <c r="AD319" s="1">
        <f ca="1">IFERROR(__xludf.DUMMYFUNCTION("""COMPUTED_VALUE"""),156)</f>
        <v>156</v>
      </c>
      <c r="AE319" s="1">
        <f ca="1">IFERROR(__xludf.DUMMYFUNCTION("""COMPUTED_VALUE"""),425)</f>
        <v>425</v>
      </c>
      <c r="AF319" s="1">
        <f ca="1">IFERROR(__xludf.DUMMYFUNCTION("""COMPUTED_VALUE"""),685)</f>
        <v>685</v>
      </c>
    </row>
    <row r="320" spans="1:32" ht="12.5" x14ac:dyDescent="0.25">
      <c r="A320" s="1" t="str">
        <f ca="1">IFERROR(__xludf.DUMMYFUNCTION("""COMPUTED_VALUE"""),"St. Bonaventure")</f>
        <v>St. Bonaventure</v>
      </c>
      <c r="B320" s="1">
        <f ca="1">IFERROR(__xludf.DUMMYFUNCTION("""COMPUTED_VALUE"""),33)</f>
        <v>33</v>
      </c>
      <c r="C320" s="1">
        <f ca="1">IFERROR(__xludf.DUMMYFUNCTION("""COMPUTED_VALUE"""),18)</f>
        <v>18</v>
      </c>
      <c r="D320" s="1">
        <f ca="1">IFERROR(__xludf.DUMMYFUNCTION("""COMPUTED_VALUE"""),15)</f>
        <v>15</v>
      </c>
      <c r="E320" s="1">
        <f ca="1">IFERROR(__xludf.DUMMYFUNCTION("""COMPUTED_VALUE"""),0.545)</f>
        <v>0.54500000000000004</v>
      </c>
      <c r="F320" s="1">
        <f ca="1">IFERROR(__xludf.DUMMYFUNCTION("""COMPUTED_VALUE"""),5.92)</f>
        <v>5.92</v>
      </c>
      <c r="G320" s="1">
        <f ca="1">IFERROR(__xludf.DUMMYFUNCTION("""COMPUTED_VALUE"""),2.64)</f>
        <v>2.64</v>
      </c>
      <c r="H320" s="1">
        <f ca="1">IFERROR(__xludf.DUMMYFUNCTION("""COMPUTED_VALUE"""),6)</f>
        <v>6</v>
      </c>
      <c r="I320" s="1">
        <f ca="1">IFERROR(__xludf.DUMMYFUNCTION("""COMPUTED_VALUE"""),10)</f>
        <v>10</v>
      </c>
      <c r="J320" s="1">
        <f ca="1">IFERROR(__xludf.DUMMYFUNCTION("""COMPUTED_VALUE"""),10)</f>
        <v>10</v>
      </c>
      <c r="K320" s="1">
        <f ca="1">IFERROR(__xludf.DUMMYFUNCTION("""COMPUTED_VALUE"""),4)</f>
        <v>4</v>
      </c>
      <c r="L320" s="1">
        <f ca="1">IFERROR(__xludf.DUMMYFUNCTION("""COMPUTED_VALUE"""),4)</f>
        <v>4</v>
      </c>
      <c r="M320" s="1">
        <f ca="1">IFERROR(__xludf.DUMMYFUNCTION("""COMPUTED_VALUE"""),9)</f>
        <v>9</v>
      </c>
      <c r="N320" s="1">
        <f ca="1">IFERROR(__xludf.DUMMYFUNCTION("""COMPUTED_VALUE"""),2421)</f>
        <v>2421</v>
      </c>
      <c r="O320" s="1">
        <f ca="1">IFERROR(__xludf.DUMMYFUNCTION("""COMPUTED_VALUE"""),2313)</f>
        <v>2313</v>
      </c>
      <c r="P320" s="1">
        <f ca="1">IFERROR(__xludf.DUMMYFUNCTION("""COMPUTED_VALUE"""),1320)</f>
        <v>1320</v>
      </c>
      <c r="Q320" s="1">
        <f ca="1">IFERROR(__xludf.DUMMYFUNCTION("""COMPUTED_VALUE"""),856)</f>
        <v>856</v>
      </c>
      <c r="R320" s="1">
        <f ca="1">IFERROR(__xludf.DUMMYFUNCTION("""COMPUTED_VALUE"""),1881)</f>
        <v>1881</v>
      </c>
      <c r="S320" s="1">
        <f ca="1">IFERROR(__xludf.DUMMYFUNCTION("""COMPUTED_VALUE"""),0.455)</f>
        <v>0.45500000000000002</v>
      </c>
      <c r="T320" s="1">
        <f ca="1">IFERROR(__xludf.DUMMYFUNCTION("""COMPUTED_VALUE"""),155)</f>
        <v>155</v>
      </c>
      <c r="U320" s="1">
        <f ca="1">IFERROR(__xludf.DUMMYFUNCTION("""COMPUTED_VALUE"""),475)</f>
        <v>475</v>
      </c>
      <c r="V320" s="1">
        <f ca="1">IFERROR(__xludf.DUMMYFUNCTION("""COMPUTED_VALUE"""),0.326)</f>
        <v>0.32600000000000001</v>
      </c>
      <c r="W320" s="1">
        <f ca="1">IFERROR(__xludf.DUMMYFUNCTION("""COMPUTED_VALUE"""),554)</f>
        <v>554</v>
      </c>
      <c r="X320" s="1">
        <f ca="1">IFERROR(__xludf.DUMMYFUNCTION("""COMPUTED_VALUE"""),774)</f>
        <v>774</v>
      </c>
      <c r="Y320" s="1">
        <f ca="1">IFERROR(__xludf.DUMMYFUNCTION("""COMPUTED_VALUE"""),0.716)</f>
        <v>0.71599999999999997</v>
      </c>
      <c r="Z320" s="1">
        <f ca="1">IFERROR(__xludf.DUMMYFUNCTION("""COMPUTED_VALUE"""),418)</f>
        <v>418</v>
      </c>
      <c r="AA320" s="1">
        <f ca="1">IFERROR(__xludf.DUMMYFUNCTION("""COMPUTED_VALUE"""),1164)</f>
        <v>1164</v>
      </c>
      <c r="AB320" s="1">
        <f ca="1">IFERROR(__xludf.DUMMYFUNCTION("""COMPUTED_VALUE"""),443)</f>
        <v>443</v>
      </c>
      <c r="AC320" s="1">
        <f ca="1">IFERROR(__xludf.DUMMYFUNCTION("""COMPUTED_VALUE"""),230)</f>
        <v>230</v>
      </c>
      <c r="AD320" s="1">
        <f ca="1">IFERROR(__xludf.DUMMYFUNCTION("""COMPUTED_VALUE"""),139)</f>
        <v>139</v>
      </c>
      <c r="AE320" s="1">
        <f ca="1">IFERROR(__xludf.DUMMYFUNCTION("""COMPUTED_VALUE"""),423)</f>
        <v>423</v>
      </c>
      <c r="AF320" s="1">
        <f ca="1">IFERROR(__xludf.DUMMYFUNCTION("""COMPUTED_VALUE"""),668)</f>
        <v>668</v>
      </c>
    </row>
    <row r="321" spans="1:32" ht="12.5" x14ac:dyDescent="0.25">
      <c r="A321" s="1" t="str">
        <f ca="1">IFERROR(__xludf.DUMMYFUNCTION("""COMPUTED_VALUE"""),"St. Francis (NY)")</f>
        <v>St. Francis (NY)</v>
      </c>
      <c r="B321" s="1">
        <f ca="1">IFERROR(__xludf.DUMMYFUNCTION("""COMPUTED_VALUE"""),32)</f>
        <v>32</v>
      </c>
      <c r="C321" s="1">
        <f ca="1">IFERROR(__xludf.DUMMYFUNCTION("""COMPUTED_VALUE"""),18)</f>
        <v>18</v>
      </c>
      <c r="D321" s="1">
        <f ca="1">IFERROR(__xludf.DUMMYFUNCTION("""COMPUTED_VALUE"""),14)</f>
        <v>14</v>
      </c>
      <c r="E321" s="1">
        <f ca="1">IFERROR(__xludf.DUMMYFUNCTION("""COMPUTED_VALUE"""),0.563)</f>
        <v>0.56299999999999994</v>
      </c>
      <c r="F321" s="1">
        <f ca="1">IFERROR(__xludf.DUMMYFUNCTION("""COMPUTED_VALUE"""),-4.64)</f>
        <v>-4.6399999999999997</v>
      </c>
      <c r="G321" s="1">
        <f ca="1">IFERROR(__xludf.DUMMYFUNCTION("""COMPUTED_VALUE"""),-5.9)</f>
        <v>-5.9</v>
      </c>
      <c r="H321" s="1">
        <f ca="1">IFERROR(__xludf.DUMMYFUNCTION("""COMPUTED_VALUE"""),9)</f>
        <v>9</v>
      </c>
      <c r="I321" s="1">
        <f ca="1">IFERROR(__xludf.DUMMYFUNCTION("""COMPUTED_VALUE"""),7)</f>
        <v>7</v>
      </c>
      <c r="J321" s="1">
        <f ca="1">IFERROR(__xludf.DUMMYFUNCTION("""COMPUTED_VALUE"""),10)</f>
        <v>10</v>
      </c>
      <c r="K321" s="1">
        <f ca="1">IFERROR(__xludf.DUMMYFUNCTION("""COMPUTED_VALUE"""),3)</f>
        <v>3</v>
      </c>
      <c r="L321" s="1">
        <f ca="1">IFERROR(__xludf.DUMMYFUNCTION("""COMPUTED_VALUE"""),7)</f>
        <v>7</v>
      </c>
      <c r="M321" s="1">
        <f ca="1">IFERROR(__xludf.DUMMYFUNCTION("""COMPUTED_VALUE"""),11)</f>
        <v>11</v>
      </c>
      <c r="N321" s="1">
        <f ca="1">IFERROR(__xludf.DUMMYFUNCTION("""COMPUTED_VALUE"""),2207)</f>
        <v>2207</v>
      </c>
      <c r="O321" s="1">
        <f ca="1">IFERROR(__xludf.DUMMYFUNCTION("""COMPUTED_VALUE"""),2139)</f>
        <v>2139</v>
      </c>
      <c r="P321" s="1">
        <f ca="1">IFERROR(__xludf.DUMMYFUNCTION("""COMPUTED_VALUE"""),1295)</f>
        <v>1295</v>
      </c>
      <c r="Q321" s="1">
        <f ca="1">IFERROR(__xludf.DUMMYFUNCTION("""COMPUTED_VALUE"""),781)</f>
        <v>781</v>
      </c>
      <c r="R321" s="1">
        <f ca="1">IFERROR(__xludf.DUMMYFUNCTION("""COMPUTED_VALUE"""),1813)</f>
        <v>1813</v>
      </c>
      <c r="S321" s="1">
        <f ca="1">IFERROR(__xludf.DUMMYFUNCTION("""COMPUTED_VALUE"""),0.431)</f>
        <v>0.43099999999999999</v>
      </c>
      <c r="T321" s="1">
        <f ca="1">IFERROR(__xludf.DUMMYFUNCTION("""COMPUTED_VALUE"""),195)</f>
        <v>195</v>
      </c>
      <c r="U321" s="1">
        <f ca="1">IFERROR(__xludf.DUMMYFUNCTION("""COMPUTED_VALUE"""),619)</f>
        <v>619</v>
      </c>
      <c r="V321" s="1">
        <f ca="1">IFERROR(__xludf.DUMMYFUNCTION("""COMPUTED_VALUE"""),0.315)</f>
        <v>0.315</v>
      </c>
      <c r="W321" s="1">
        <f ca="1">IFERROR(__xludf.DUMMYFUNCTION("""COMPUTED_VALUE"""),450)</f>
        <v>450</v>
      </c>
      <c r="X321" s="1">
        <f ca="1">IFERROR(__xludf.DUMMYFUNCTION("""COMPUTED_VALUE"""),659)</f>
        <v>659</v>
      </c>
      <c r="Y321" s="1">
        <f ca="1">IFERROR(__xludf.DUMMYFUNCTION("""COMPUTED_VALUE"""),0.683)</f>
        <v>0.68300000000000005</v>
      </c>
      <c r="Z321" s="1">
        <f ca="1">IFERROR(__xludf.DUMMYFUNCTION("""COMPUTED_VALUE"""),383)</f>
        <v>383</v>
      </c>
      <c r="AA321" s="1">
        <f ca="1">IFERROR(__xludf.DUMMYFUNCTION("""COMPUTED_VALUE"""),1189)</f>
        <v>1189</v>
      </c>
      <c r="AB321" s="1">
        <f ca="1">IFERROR(__xludf.DUMMYFUNCTION("""COMPUTED_VALUE"""),399)</f>
        <v>399</v>
      </c>
      <c r="AC321" s="1">
        <f ca="1">IFERROR(__xludf.DUMMYFUNCTION("""COMPUTED_VALUE"""),181)</f>
        <v>181</v>
      </c>
      <c r="AD321" s="1">
        <f ca="1">IFERROR(__xludf.DUMMYFUNCTION("""COMPUTED_VALUE"""),170)</f>
        <v>170</v>
      </c>
      <c r="AE321" s="1">
        <f ca="1">IFERROR(__xludf.DUMMYFUNCTION("""COMPUTED_VALUE"""),421)</f>
        <v>421</v>
      </c>
      <c r="AF321" s="1">
        <f ca="1">IFERROR(__xludf.DUMMYFUNCTION("""COMPUTED_VALUE"""),639)</f>
        <v>639</v>
      </c>
    </row>
    <row r="322" spans="1:32" ht="12.5" x14ac:dyDescent="0.25">
      <c r="A322" s="1" t="str">
        <f ca="1">IFERROR(__xludf.DUMMYFUNCTION("""COMPUTED_VALUE"""),"St. John's (NY)")</f>
        <v>St. John's (NY)</v>
      </c>
      <c r="B322" s="1">
        <f ca="1">IFERROR(__xludf.DUMMYFUNCTION("""COMPUTED_VALUE"""),33)</f>
        <v>33</v>
      </c>
      <c r="C322" s="1">
        <f ca="1">IFERROR(__xludf.DUMMYFUNCTION("""COMPUTED_VALUE"""),20)</f>
        <v>20</v>
      </c>
      <c r="D322" s="1">
        <f ca="1">IFERROR(__xludf.DUMMYFUNCTION("""COMPUTED_VALUE"""),13)</f>
        <v>13</v>
      </c>
      <c r="E322" s="1">
        <f ca="1">IFERROR(__xludf.DUMMYFUNCTION("""COMPUTED_VALUE"""),0.606)</f>
        <v>0.60599999999999998</v>
      </c>
      <c r="F322" s="1">
        <f ca="1">IFERROR(__xludf.DUMMYFUNCTION("""COMPUTED_VALUE"""),11.68)</f>
        <v>11.68</v>
      </c>
      <c r="G322" s="1">
        <f ca="1">IFERROR(__xludf.DUMMYFUNCTION("""COMPUTED_VALUE"""),6.56)</f>
        <v>6.56</v>
      </c>
      <c r="H322" s="1">
        <f ca="1">IFERROR(__xludf.DUMMYFUNCTION("""COMPUTED_VALUE"""),10)</f>
        <v>10</v>
      </c>
      <c r="I322" s="1">
        <f ca="1">IFERROR(__xludf.DUMMYFUNCTION("""COMPUTED_VALUE"""),8)</f>
        <v>8</v>
      </c>
      <c r="J322" s="1">
        <f ca="1">IFERROR(__xludf.DUMMYFUNCTION("""COMPUTED_VALUE"""),14)</f>
        <v>14</v>
      </c>
      <c r="K322" s="1">
        <f ca="1">IFERROR(__xludf.DUMMYFUNCTION("""COMPUTED_VALUE"""),5)</f>
        <v>5</v>
      </c>
      <c r="L322" s="1">
        <f ca="1">IFERROR(__xludf.DUMMYFUNCTION("""COMPUTED_VALUE"""),4)</f>
        <v>4</v>
      </c>
      <c r="M322" s="1">
        <f ca="1">IFERROR(__xludf.DUMMYFUNCTION("""COMPUTED_VALUE"""),5)</f>
        <v>5</v>
      </c>
      <c r="N322" s="1">
        <f ca="1">IFERROR(__xludf.DUMMYFUNCTION("""COMPUTED_VALUE"""),2403)</f>
        <v>2403</v>
      </c>
      <c r="O322" s="1">
        <f ca="1">IFERROR(__xludf.DUMMYFUNCTION("""COMPUTED_VALUE"""),2234)</f>
        <v>2234</v>
      </c>
      <c r="P322" s="1">
        <f ca="1">IFERROR(__xludf.DUMMYFUNCTION("""COMPUTED_VALUE"""),1345)</f>
        <v>1345</v>
      </c>
      <c r="Q322" s="1">
        <f ca="1">IFERROR(__xludf.DUMMYFUNCTION("""COMPUTED_VALUE"""),867)</f>
        <v>867</v>
      </c>
      <c r="R322" s="1">
        <f ca="1">IFERROR(__xludf.DUMMYFUNCTION("""COMPUTED_VALUE"""),1948)</f>
        <v>1948</v>
      </c>
      <c r="S322" s="1">
        <f ca="1">IFERROR(__xludf.DUMMYFUNCTION("""COMPUTED_VALUE"""),0.445)</f>
        <v>0.44500000000000001</v>
      </c>
      <c r="T322" s="1">
        <f ca="1">IFERROR(__xludf.DUMMYFUNCTION("""COMPUTED_VALUE"""),164)</f>
        <v>164</v>
      </c>
      <c r="U322" s="1">
        <f ca="1">IFERROR(__xludf.DUMMYFUNCTION("""COMPUTED_VALUE"""),470)</f>
        <v>470</v>
      </c>
      <c r="V322" s="1">
        <f ca="1">IFERROR(__xludf.DUMMYFUNCTION("""COMPUTED_VALUE"""),0.349)</f>
        <v>0.34899999999999998</v>
      </c>
      <c r="W322" s="1">
        <f ca="1">IFERROR(__xludf.DUMMYFUNCTION("""COMPUTED_VALUE"""),505)</f>
        <v>505</v>
      </c>
      <c r="X322" s="1">
        <f ca="1">IFERROR(__xludf.DUMMYFUNCTION("""COMPUTED_VALUE"""),722)</f>
        <v>722</v>
      </c>
      <c r="Y322" s="1">
        <f ca="1">IFERROR(__xludf.DUMMYFUNCTION("""COMPUTED_VALUE"""),0.699)</f>
        <v>0.69899999999999995</v>
      </c>
      <c r="Z322" s="1">
        <f ca="1">IFERROR(__xludf.DUMMYFUNCTION("""COMPUTED_VALUE"""),372)</f>
        <v>372</v>
      </c>
      <c r="AA322" s="1">
        <f ca="1">IFERROR(__xludf.DUMMYFUNCTION("""COMPUTED_VALUE"""),1216)</f>
        <v>1216</v>
      </c>
      <c r="AB322" s="1">
        <f ca="1">IFERROR(__xludf.DUMMYFUNCTION("""COMPUTED_VALUE"""),434)</f>
        <v>434</v>
      </c>
      <c r="AC322" s="1">
        <f ca="1">IFERROR(__xludf.DUMMYFUNCTION("""COMPUTED_VALUE"""),224)</f>
        <v>224</v>
      </c>
      <c r="AD322" s="1">
        <f ca="1">IFERROR(__xludf.DUMMYFUNCTION("""COMPUTED_VALUE"""),249)</f>
        <v>249</v>
      </c>
      <c r="AE322" s="1">
        <f ca="1">IFERROR(__xludf.DUMMYFUNCTION("""COMPUTED_VALUE"""),353)</f>
        <v>353</v>
      </c>
      <c r="AF322" s="1">
        <f ca="1">IFERROR(__xludf.DUMMYFUNCTION("""COMPUTED_VALUE"""),623)</f>
        <v>623</v>
      </c>
    </row>
    <row r="323" spans="1:32" ht="12.5" x14ac:dyDescent="0.25">
      <c r="A323" s="1" t="str">
        <f ca="1">IFERROR(__xludf.DUMMYFUNCTION("""COMPUTED_VALUE"""),"StanfordNCAA")</f>
        <v>StanfordNCAA</v>
      </c>
      <c r="B323" s="1">
        <f ca="1">IFERROR(__xludf.DUMMYFUNCTION("""COMPUTED_VALUE"""),36)</f>
        <v>36</v>
      </c>
      <c r="C323" s="1">
        <f ca="1">IFERROR(__xludf.DUMMYFUNCTION("""COMPUTED_VALUE"""),23)</f>
        <v>23</v>
      </c>
      <c r="D323" s="1">
        <f ca="1">IFERROR(__xludf.DUMMYFUNCTION("""COMPUTED_VALUE"""),13)</f>
        <v>13</v>
      </c>
      <c r="E323" s="1">
        <f ca="1">IFERROR(__xludf.DUMMYFUNCTION("""COMPUTED_VALUE"""),0.639)</f>
        <v>0.63900000000000001</v>
      </c>
      <c r="F323" s="1">
        <f ca="1">IFERROR(__xludf.DUMMYFUNCTION("""COMPUTED_VALUE"""),13.42)</f>
        <v>13.42</v>
      </c>
      <c r="G323" s="1">
        <f ca="1">IFERROR(__xludf.DUMMYFUNCTION("""COMPUTED_VALUE"""),9)</f>
        <v>9</v>
      </c>
      <c r="H323" s="1">
        <f ca="1">IFERROR(__xludf.DUMMYFUNCTION("""COMPUTED_VALUE"""),10)</f>
        <v>10</v>
      </c>
      <c r="I323" s="1">
        <f ca="1">IFERROR(__xludf.DUMMYFUNCTION("""COMPUTED_VALUE"""),8)</f>
        <v>8</v>
      </c>
      <c r="J323" s="1">
        <f ca="1">IFERROR(__xludf.DUMMYFUNCTION("""COMPUTED_VALUE"""),12)</f>
        <v>12</v>
      </c>
      <c r="K323" s="1">
        <f ca="1">IFERROR(__xludf.DUMMYFUNCTION("""COMPUTED_VALUE"""),4)</f>
        <v>4</v>
      </c>
      <c r="L323" s="1">
        <f ca="1">IFERROR(__xludf.DUMMYFUNCTION("""COMPUTED_VALUE"""),6)</f>
        <v>6</v>
      </c>
      <c r="M323" s="1">
        <f ca="1">IFERROR(__xludf.DUMMYFUNCTION("""COMPUTED_VALUE"""),5)</f>
        <v>5</v>
      </c>
      <c r="N323" s="1">
        <f ca="1">IFERROR(__xludf.DUMMYFUNCTION("""COMPUTED_VALUE"""),2616)</f>
        <v>2616</v>
      </c>
      <c r="O323" s="1">
        <f ca="1">IFERROR(__xludf.DUMMYFUNCTION("""COMPUTED_VALUE"""),2457)</f>
        <v>2457</v>
      </c>
      <c r="P323" s="1">
        <f ca="1">IFERROR(__xludf.DUMMYFUNCTION("""COMPUTED_VALUE"""),1445)</f>
        <v>1445</v>
      </c>
      <c r="Q323" s="1">
        <f ca="1">IFERROR(__xludf.DUMMYFUNCTION("""COMPUTED_VALUE"""),896)</f>
        <v>896</v>
      </c>
      <c r="R323" s="1">
        <f ca="1">IFERROR(__xludf.DUMMYFUNCTION("""COMPUTED_VALUE"""),1950)</f>
        <v>1950</v>
      </c>
      <c r="S323" s="1">
        <f ca="1">IFERROR(__xludf.DUMMYFUNCTION("""COMPUTED_VALUE"""),0.459)</f>
        <v>0.45900000000000002</v>
      </c>
      <c r="T323" s="1">
        <f ca="1">IFERROR(__xludf.DUMMYFUNCTION("""COMPUTED_VALUE"""),208)</f>
        <v>208</v>
      </c>
      <c r="U323" s="1">
        <f ca="1">IFERROR(__xludf.DUMMYFUNCTION("""COMPUTED_VALUE"""),571)</f>
        <v>571</v>
      </c>
      <c r="V323" s="1">
        <f ca="1">IFERROR(__xludf.DUMMYFUNCTION("""COMPUTED_VALUE"""),0.364)</f>
        <v>0.36399999999999999</v>
      </c>
      <c r="W323" s="1">
        <f ca="1">IFERROR(__xludf.DUMMYFUNCTION("""COMPUTED_VALUE"""),616)</f>
        <v>616</v>
      </c>
      <c r="X323" s="1">
        <f ca="1">IFERROR(__xludf.DUMMYFUNCTION("""COMPUTED_VALUE"""),877)</f>
        <v>877</v>
      </c>
      <c r="Y323" s="1">
        <f ca="1">IFERROR(__xludf.DUMMYFUNCTION("""COMPUTED_VALUE"""),0.702)</f>
        <v>0.70199999999999996</v>
      </c>
      <c r="Z323" s="1">
        <f ca="1">IFERROR(__xludf.DUMMYFUNCTION("""COMPUTED_VALUE"""),347)</f>
        <v>347</v>
      </c>
      <c r="AA323" s="1">
        <f ca="1">IFERROR(__xludf.DUMMYFUNCTION("""COMPUTED_VALUE"""),1257)</f>
        <v>1257</v>
      </c>
      <c r="AB323" s="1">
        <f ca="1">IFERROR(__xludf.DUMMYFUNCTION("""COMPUTED_VALUE"""),415)</f>
        <v>415</v>
      </c>
      <c r="AC323" s="1">
        <f ca="1">IFERROR(__xludf.DUMMYFUNCTION("""COMPUTED_VALUE"""),191)</f>
        <v>191</v>
      </c>
      <c r="AD323" s="1">
        <f ca="1">IFERROR(__xludf.DUMMYFUNCTION("""COMPUTED_VALUE"""),154)</f>
        <v>154</v>
      </c>
      <c r="AE323" s="1">
        <f ca="1">IFERROR(__xludf.DUMMYFUNCTION("""COMPUTED_VALUE"""),409)</f>
        <v>409</v>
      </c>
      <c r="AF323" s="1">
        <f ca="1">IFERROR(__xludf.DUMMYFUNCTION("""COMPUTED_VALUE"""),655)</f>
        <v>655</v>
      </c>
    </row>
    <row r="324" spans="1:32" ht="12.5" x14ac:dyDescent="0.25">
      <c r="A324" s="1" t="str">
        <f ca="1">IFERROR(__xludf.DUMMYFUNCTION("""COMPUTED_VALUE"""),"Stephen F. AustinNCAA")</f>
        <v>Stephen F. AustinNCAA</v>
      </c>
      <c r="B324" s="1">
        <f ca="1">IFERROR(__xludf.DUMMYFUNCTION("""COMPUTED_VALUE"""),35)</f>
        <v>35</v>
      </c>
      <c r="C324" s="1">
        <f ca="1">IFERROR(__xludf.DUMMYFUNCTION("""COMPUTED_VALUE"""),32)</f>
        <v>32</v>
      </c>
      <c r="D324" s="1">
        <f ca="1">IFERROR(__xludf.DUMMYFUNCTION("""COMPUTED_VALUE"""),3)</f>
        <v>3</v>
      </c>
      <c r="E324" s="1">
        <f ca="1">IFERROR(__xludf.DUMMYFUNCTION("""COMPUTED_VALUE"""),0.914)</f>
        <v>0.91400000000000003</v>
      </c>
      <c r="F324" s="1">
        <f ca="1">IFERROR(__xludf.DUMMYFUNCTION("""COMPUTED_VALUE"""),4.82)</f>
        <v>4.82</v>
      </c>
      <c r="G324" s="1">
        <f ca="1">IFERROR(__xludf.DUMMYFUNCTION("""COMPUTED_VALUE"""),-6.76)</f>
        <v>-6.76</v>
      </c>
      <c r="H324" s="1">
        <f ca="1">IFERROR(__xludf.DUMMYFUNCTION("""COMPUTED_VALUE"""),18)</f>
        <v>18</v>
      </c>
      <c r="I324" s="1">
        <f ca="1">IFERROR(__xludf.DUMMYFUNCTION("""COMPUTED_VALUE"""),0)</f>
        <v>0</v>
      </c>
      <c r="J324" s="1">
        <f ca="1">IFERROR(__xludf.DUMMYFUNCTION("""COMPUTED_VALUE"""),15)</f>
        <v>15</v>
      </c>
      <c r="K324" s="1">
        <f ca="1">IFERROR(__xludf.DUMMYFUNCTION("""COMPUTED_VALUE"""),0)</f>
        <v>0</v>
      </c>
      <c r="L324" s="1">
        <f ca="1">IFERROR(__xludf.DUMMYFUNCTION("""COMPUTED_VALUE"""),14)</f>
        <v>14</v>
      </c>
      <c r="M324" s="1">
        <f ca="1">IFERROR(__xludf.DUMMYFUNCTION("""COMPUTED_VALUE"""),2)</f>
        <v>2</v>
      </c>
      <c r="N324" s="1">
        <f ca="1">IFERROR(__xludf.DUMMYFUNCTION("""COMPUTED_VALUE"""),2661)</f>
        <v>2661</v>
      </c>
      <c r="O324" s="1">
        <f ca="1">IFERROR(__xludf.DUMMYFUNCTION("""COMPUTED_VALUE"""),2219)</f>
        <v>2219</v>
      </c>
      <c r="P324" s="1">
        <f ca="1">IFERROR(__xludf.DUMMYFUNCTION("""COMPUTED_VALUE"""),1410)</f>
        <v>1410</v>
      </c>
      <c r="Q324" s="1">
        <f ca="1">IFERROR(__xludf.DUMMYFUNCTION("""COMPUTED_VALUE"""),922)</f>
        <v>922</v>
      </c>
      <c r="R324" s="1">
        <f ca="1">IFERROR(__xludf.DUMMYFUNCTION("""COMPUTED_VALUE"""),1992)</f>
        <v>1992</v>
      </c>
      <c r="S324" s="1">
        <f ca="1">IFERROR(__xludf.DUMMYFUNCTION("""COMPUTED_VALUE"""),0.463)</f>
        <v>0.46300000000000002</v>
      </c>
      <c r="T324" s="1">
        <f ca="1">IFERROR(__xludf.DUMMYFUNCTION("""COMPUTED_VALUE"""),248)</f>
        <v>248</v>
      </c>
      <c r="U324" s="1">
        <f ca="1">IFERROR(__xludf.DUMMYFUNCTION("""COMPUTED_VALUE"""),718)</f>
        <v>718</v>
      </c>
      <c r="V324" s="1">
        <f ca="1">IFERROR(__xludf.DUMMYFUNCTION("""COMPUTED_VALUE"""),0.345)</f>
        <v>0.34499999999999997</v>
      </c>
      <c r="W324" s="1">
        <f ca="1">IFERROR(__xludf.DUMMYFUNCTION("""COMPUTED_VALUE"""),569)</f>
        <v>569</v>
      </c>
      <c r="X324" s="1">
        <f ca="1">IFERROR(__xludf.DUMMYFUNCTION("""COMPUTED_VALUE"""),800)</f>
        <v>800</v>
      </c>
      <c r="Y324" s="1">
        <f ca="1">IFERROR(__xludf.DUMMYFUNCTION("""COMPUTED_VALUE"""),0.711)</f>
        <v>0.71099999999999997</v>
      </c>
      <c r="Z324" s="1">
        <f ca="1">IFERROR(__xludf.DUMMYFUNCTION("""COMPUTED_VALUE"""),451)</f>
        <v>451</v>
      </c>
      <c r="AA324" s="1">
        <f ca="1">IFERROR(__xludf.DUMMYFUNCTION("""COMPUTED_VALUE"""),1186)</f>
        <v>1186</v>
      </c>
      <c r="AB324" s="1">
        <f ca="1">IFERROR(__xludf.DUMMYFUNCTION("""COMPUTED_VALUE"""),574)</f>
        <v>574</v>
      </c>
      <c r="AC324" s="1">
        <f ca="1">IFERROR(__xludf.DUMMYFUNCTION("""COMPUTED_VALUE"""),257)</f>
        <v>257</v>
      </c>
      <c r="AD324" s="1">
        <f ca="1">IFERROR(__xludf.DUMMYFUNCTION("""COMPUTED_VALUE"""),104)</f>
        <v>104</v>
      </c>
      <c r="AE324" s="1">
        <f ca="1">IFERROR(__xludf.DUMMYFUNCTION("""COMPUTED_VALUE"""),393)</f>
        <v>393</v>
      </c>
      <c r="AF324" s="1">
        <f ca="1">IFERROR(__xludf.DUMMYFUNCTION("""COMPUTED_VALUE"""),730)</f>
        <v>730</v>
      </c>
    </row>
    <row r="325" spans="1:32" ht="12.5" x14ac:dyDescent="0.25">
      <c r="A325" s="1" t="str">
        <f ca="1">IFERROR(__xludf.DUMMYFUNCTION("""COMPUTED_VALUE"""),"Stetson")</f>
        <v>Stetson</v>
      </c>
      <c r="B325" s="1">
        <f ca="1">IFERROR(__xludf.DUMMYFUNCTION("""COMPUTED_VALUE"""),31)</f>
        <v>31</v>
      </c>
      <c r="C325" s="1">
        <f ca="1">IFERROR(__xludf.DUMMYFUNCTION("""COMPUTED_VALUE"""),7)</f>
        <v>7</v>
      </c>
      <c r="D325" s="1">
        <f ca="1">IFERROR(__xludf.DUMMYFUNCTION("""COMPUTED_VALUE"""),24)</f>
        <v>24</v>
      </c>
      <c r="E325" s="1">
        <f ca="1">IFERROR(__xludf.DUMMYFUNCTION("""COMPUTED_VALUE"""),0.226)</f>
        <v>0.22600000000000001</v>
      </c>
      <c r="F325" s="1">
        <f ca="1">IFERROR(__xludf.DUMMYFUNCTION("""COMPUTED_VALUE"""),-15.81)</f>
        <v>-15.81</v>
      </c>
      <c r="G325" s="1">
        <f ca="1">IFERROR(__xludf.DUMMYFUNCTION("""COMPUTED_VALUE"""),-4.97)</f>
        <v>-4.97</v>
      </c>
      <c r="H325" s="1">
        <f ca="1">IFERROR(__xludf.DUMMYFUNCTION("""COMPUTED_VALUE"""),5)</f>
        <v>5</v>
      </c>
      <c r="I325" s="1">
        <f ca="1">IFERROR(__xludf.DUMMYFUNCTION("""COMPUTED_VALUE"""),13)</f>
        <v>13</v>
      </c>
      <c r="J325" s="1">
        <f ca="1">IFERROR(__xludf.DUMMYFUNCTION("""COMPUTED_VALUE"""),6)</f>
        <v>6</v>
      </c>
      <c r="K325" s="1">
        <f ca="1">IFERROR(__xludf.DUMMYFUNCTION("""COMPUTED_VALUE"""),6)</f>
        <v>6</v>
      </c>
      <c r="L325" s="1">
        <f ca="1">IFERROR(__xludf.DUMMYFUNCTION("""COMPUTED_VALUE"""),1)</f>
        <v>1</v>
      </c>
      <c r="M325" s="1">
        <f ca="1">IFERROR(__xludf.DUMMYFUNCTION("""COMPUTED_VALUE"""),15)</f>
        <v>15</v>
      </c>
      <c r="N325" s="1">
        <f ca="1">IFERROR(__xludf.DUMMYFUNCTION("""COMPUTED_VALUE"""),1916)</f>
        <v>1916</v>
      </c>
      <c r="O325" s="1">
        <f ca="1">IFERROR(__xludf.DUMMYFUNCTION("""COMPUTED_VALUE"""),2252)</f>
        <v>2252</v>
      </c>
      <c r="P325" s="1">
        <f ca="1">IFERROR(__xludf.DUMMYFUNCTION("""COMPUTED_VALUE"""),1248)</f>
        <v>1248</v>
      </c>
      <c r="Q325" s="1">
        <f ca="1">IFERROR(__xludf.DUMMYFUNCTION("""COMPUTED_VALUE"""),683)</f>
        <v>683</v>
      </c>
      <c r="R325" s="1">
        <f ca="1">IFERROR(__xludf.DUMMYFUNCTION("""COMPUTED_VALUE"""),1628)</f>
        <v>1628</v>
      </c>
      <c r="S325" s="1">
        <f ca="1">IFERROR(__xludf.DUMMYFUNCTION("""COMPUTED_VALUE"""),0.42)</f>
        <v>0.42</v>
      </c>
      <c r="T325" s="1">
        <f ca="1">IFERROR(__xludf.DUMMYFUNCTION("""COMPUTED_VALUE"""),159)</f>
        <v>159</v>
      </c>
      <c r="U325" s="1">
        <f ca="1">IFERROR(__xludf.DUMMYFUNCTION("""COMPUTED_VALUE"""),541)</f>
        <v>541</v>
      </c>
      <c r="V325" s="1">
        <f ca="1">IFERROR(__xludf.DUMMYFUNCTION("""COMPUTED_VALUE"""),0.294)</f>
        <v>0.29399999999999998</v>
      </c>
      <c r="W325" s="1">
        <f ca="1">IFERROR(__xludf.DUMMYFUNCTION("""COMPUTED_VALUE"""),391)</f>
        <v>391</v>
      </c>
      <c r="X325" s="1">
        <f ca="1">IFERROR(__xludf.DUMMYFUNCTION("""COMPUTED_VALUE"""),590)</f>
        <v>590</v>
      </c>
      <c r="Y325" s="1">
        <f ca="1">IFERROR(__xludf.DUMMYFUNCTION("""COMPUTED_VALUE"""),0.663)</f>
        <v>0.66300000000000003</v>
      </c>
      <c r="Z325" s="1">
        <f ca="1">IFERROR(__xludf.DUMMYFUNCTION("""COMPUTED_VALUE"""),294)</f>
        <v>294</v>
      </c>
      <c r="AA325" s="1">
        <f ca="1">IFERROR(__xludf.DUMMYFUNCTION("""COMPUTED_VALUE"""),926)</f>
        <v>926</v>
      </c>
      <c r="AB325" s="1">
        <f ca="1">IFERROR(__xludf.DUMMYFUNCTION("""COMPUTED_VALUE"""),370)</f>
        <v>370</v>
      </c>
      <c r="AC325" s="1">
        <f ca="1">IFERROR(__xludf.DUMMYFUNCTION("""COMPUTED_VALUE"""),174)</f>
        <v>174</v>
      </c>
      <c r="AD325" s="1">
        <f ca="1">IFERROR(__xludf.DUMMYFUNCTION("""COMPUTED_VALUE"""),116)</f>
        <v>116</v>
      </c>
      <c r="AE325" s="1">
        <f ca="1">IFERROR(__xludf.DUMMYFUNCTION("""COMPUTED_VALUE"""),383)</f>
        <v>383</v>
      </c>
      <c r="AF325" s="1">
        <f ca="1">IFERROR(__xludf.DUMMYFUNCTION("""COMPUTED_VALUE"""),529)</f>
        <v>529</v>
      </c>
    </row>
    <row r="326" spans="1:32" ht="12.5" x14ac:dyDescent="0.25">
      <c r="A326" s="1" t="str">
        <f ca="1">IFERROR(__xludf.DUMMYFUNCTION("""COMPUTED_VALUE"""),"Stony Brook")</f>
        <v>Stony Brook</v>
      </c>
      <c r="B326" s="1">
        <f ca="1">IFERROR(__xludf.DUMMYFUNCTION("""COMPUTED_VALUE"""),34)</f>
        <v>34</v>
      </c>
      <c r="C326" s="1">
        <f ca="1">IFERROR(__xludf.DUMMYFUNCTION("""COMPUTED_VALUE"""),23)</f>
        <v>23</v>
      </c>
      <c r="D326" s="1">
        <f ca="1">IFERROR(__xludf.DUMMYFUNCTION("""COMPUTED_VALUE"""),11)</f>
        <v>11</v>
      </c>
      <c r="E326" s="1">
        <f ca="1">IFERROR(__xludf.DUMMYFUNCTION("""COMPUTED_VALUE"""),0.676)</f>
        <v>0.67600000000000005</v>
      </c>
      <c r="F326" s="1">
        <f ca="1">IFERROR(__xludf.DUMMYFUNCTION("""COMPUTED_VALUE"""),-1.71)</f>
        <v>-1.71</v>
      </c>
      <c r="G326" s="1">
        <f ca="1">IFERROR(__xludf.DUMMYFUNCTION("""COMPUTED_VALUE"""),-6.47)</f>
        <v>-6.47</v>
      </c>
      <c r="H326" s="1">
        <f ca="1">IFERROR(__xludf.DUMMYFUNCTION("""COMPUTED_VALUE"""),13)</f>
        <v>13</v>
      </c>
      <c r="I326" s="1">
        <f ca="1">IFERROR(__xludf.DUMMYFUNCTION("""COMPUTED_VALUE"""),3)</f>
        <v>3</v>
      </c>
      <c r="J326" s="1">
        <f ca="1">IFERROR(__xludf.DUMMYFUNCTION("""COMPUTED_VALUE"""),12)</f>
        <v>12</v>
      </c>
      <c r="K326" s="1">
        <f ca="1">IFERROR(__xludf.DUMMYFUNCTION("""COMPUTED_VALUE"""),3)</f>
        <v>3</v>
      </c>
      <c r="L326" s="1">
        <f ca="1">IFERROR(__xludf.DUMMYFUNCTION("""COMPUTED_VALUE"""),8)</f>
        <v>8</v>
      </c>
      <c r="M326" s="1">
        <f ca="1">IFERROR(__xludf.DUMMYFUNCTION("""COMPUTED_VALUE"""),6)</f>
        <v>6</v>
      </c>
      <c r="N326" s="1">
        <f ca="1">IFERROR(__xludf.DUMMYFUNCTION("""COMPUTED_VALUE"""),2426)</f>
        <v>2426</v>
      </c>
      <c r="O326" s="1">
        <f ca="1">IFERROR(__xludf.DUMMYFUNCTION("""COMPUTED_VALUE"""),2253)</f>
        <v>2253</v>
      </c>
      <c r="P326" s="1">
        <f ca="1">IFERROR(__xludf.DUMMYFUNCTION("""COMPUTED_VALUE"""),1367)</f>
        <v>1367</v>
      </c>
      <c r="Q326" s="1">
        <f ca="1">IFERROR(__xludf.DUMMYFUNCTION("""COMPUTED_VALUE"""),860)</f>
        <v>860</v>
      </c>
      <c r="R326" s="1">
        <f ca="1">IFERROR(__xludf.DUMMYFUNCTION("""COMPUTED_VALUE"""),1900)</f>
        <v>1900</v>
      </c>
      <c r="S326" s="1">
        <f ca="1">IFERROR(__xludf.DUMMYFUNCTION("""COMPUTED_VALUE"""),0.453)</f>
        <v>0.45300000000000001</v>
      </c>
      <c r="T326" s="1">
        <f ca="1">IFERROR(__xludf.DUMMYFUNCTION("""COMPUTED_VALUE"""),184)</f>
        <v>184</v>
      </c>
      <c r="U326" s="1">
        <f ca="1">IFERROR(__xludf.DUMMYFUNCTION("""COMPUTED_VALUE"""),518)</f>
        <v>518</v>
      </c>
      <c r="V326" s="1">
        <f ca="1">IFERROR(__xludf.DUMMYFUNCTION("""COMPUTED_VALUE"""),0.355)</f>
        <v>0.35499999999999998</v>
      </c>
      <c r="W326" s="1">
        <f ca="1">IFERROR(__xludf.DUMMYFUNCTION("""COMPUTED_VALUE"""),522)</f>
        <v>522</v>
      </c>
      <c r="X326" s="1">
        <f ca="1">IFERROR(__xludf.DUMMYFUNCTION("""COMPUTED_VALUE"""),725)</f>
        <v>725</v>
      </c>
      <c r="Y326" s="1">
        <f ca="1">IFERROR(__xludf.DUMMYFUNCTION("""COMPUTED_VALUE"""),0.72)</f>
        <v>0.72</v>
      </c>
      <c r="Z326" s="1">
        <f ca="1">IFERROR(__xludf.DUMMYFUNCTION("""COMPUTED_VALUE"""),394)</f>
        <v>394</v>
      </c>
      <c r="AA326" s="1">
        <f ca="1">IFERROR(__xludf.DUMMYFUNCTION("""COMPUTED_VALUE"""),1251)</f>
        <v>1251</v>
      </c>
      <c r="AB326" s="1">
        <f ca="1">IFERROR(__xludf.DUMMYFUNCTION("""COMPUTED_VALUE"""),434)</f>
        <v>434</v>
      </c>
      <c r="AC326" s="1">
        <f ca="1">IFERROR(__xludf.DUMMYFUNCTION("""COMPUTED_VALUE"""),200)</f>
        <v>200</v>
      </c>
      <c r="AD326" s="1">
        <f ca="1">IFERROR(__xludf.DUMMYFUNCTION("""COMPUTED_VALUE"""),108)</f>
        <v>108</v>
      </c>
      <c r="AE326" s="1">
        <f ca="1">IFERROR(__xludf.DUMMYFUNCTION("""COMPUTED_VALUE"""),426)</f>
        <v>426</v>
      </c>
      <c r="AF326" s="1">
        <f ca="1">IFERROR(__xludf.DUMMYFUNCTION("""COMPUTED_VALUE"""),647)</f>
        <v>647</v>
      </c>
    </row>
    <row r="327" spans="1:32" ht="12.5" x14ac:dyDescent="0.25">
      <c r="A327" s="1" t="str">
        <f ca="1">IFERROR(__xludf.DUMMYFUNCTION("""COMPUTED_VALUE"""),"SyracuseNCAA")</f>
        <v>SyracuseNCAA</v>
      </c>
      <c r="B327" s="1">
        <f ca="1">IFERROR(__xludf.DUMMYFUNCTION("""COMPUTED_VALUE"""),34)</f>
        <v>34</v>
      </c>
      <c r="C327" s="1">
        <f ca="1">IFERROR(__xludf.DUMMYFUNCTION("""COMPUTED_VALUE"""),28)</f>
        <v>28</v>
      </c>
      <c r="D327" s="1">
        <f ca="1">IFERROR(__xludf.DUMMYFUNCTION("""COMPUTED_VALUE"""),6)</f>
        <v>6</v>
      </c>
      <c r="E327" s="1">
        <f ca="1">IFERROR(__xludf.DUMMYFUNCTION("""COMPUTED_VALUE"""),0.824)</f>
        <v>0.82399999999999995</v>
      </c>
      <c r="F327" s="1">
        <f ca="1">IFERROR(__xludf.DUMMYFUNCTION("""COMPUTED_VALUE"""),16.05)</f>
        <v>16.05</v>
      </c>
      <c r="G327" s="1">
        <f ca="1">IFERROR(__xludf.DUMMYFUNCTION("""COMPUTED_VALUE"""),7.25)</f>
        <v>7.25</v>
      </c>
      <c r="H327" s="1">
        <f ca="1">IFERROR(__xludf.DUMMYFUNCTION("""COMPUTED_VALUE"""),14)</f>
        <v>14</v>
      </c>
      <c r="I327" s="1">
        <f ca="1">IFERROR(__xludf.DUMMYFUNCTION("""COMPUTED_VALUE"""),4)</f>
        <v>4</v>
      </c>
      <c r="J327" s="1">
        <f ca="1">IFERROR(__xludf.DUMMYFUNCTION("""COMPUTED_VALUE"""),16)</f>
        <v>16</v>
      </c>
      <c r="K327" s="1">
        <f ca="1">IFERROR(__xludf.DUMMYFUNCTION("""COMPUTED_VALUE"""),2)</f>
        <v>2</v>
      </c>
      <c r="L327" s="1">
        <f ca="1">IFERROR(__xludf.DUMMYFUNCTION("""COMPUTED_VALUE"""),8)</f>
        <v>8</v>
      </c>
      <c r="M327" s="1">
        <f ca="1">IFERROR(__xludf.DUMMYFUNCTION("""COMPUTED_VALUE"""),2)</f>
        <v>2</v>
      </c>
      <c r="N327" s="1">
        <f ca="1">IFERROR(__xludf.DUMMYFUNCTION("""COMPUTED_VALUE"""),2311)</f>
        <v>2311</v>
      </c>
      <c r="O327" s="1">
        <f ca="1">IFERROR(__xludf.DUMMYFUNCTION("""COMPUTED_VALUE"""),2012)</f>
        <v>2012</v>
      </c>
      <c r="P327" s="1">
        <f ca="1">IFERROR(__xludf.DUMMYFUNCTION("""COMPUTED_VALUE"""),1370)</f>
        <v>1370</v>
      </c>
      <c r="Q327" s="1">
        <f ca="1">IFERROR(__xludf.DUMMYFUNCTION("""COMPUTED_VALUE"""),819)</f>
        <v>819</v>
      </c>
      <c r="R327" s="1">
        <f ca="1">IFERROR(__xludf.DUMMYFUNCTION("""COMPUTED_VALUE"""),1873)</f>
        <v>1873</v>
      </c>
      <c r="S327" s="1">
        <f ca="1">IFERROR(__xludf.DUMMYFUNCTION("""COMPUTED_VALUE"""),0.437)</f>
        <v>0.437</v>
      </c>
      <c r="T327" s="1">
        <f ca="1">IFERROR(__xludf.DUMMYFUNCTION("""COMPUTED_VALUE"""),167)</f>
        <v>167</v>
      </c>
      <c r="U327" s="1">
        <f ca="1">IFERROR(__xludf.DUMMYFUNCTION("""COMPUTED_VALUE"""),505)</f>
        <v>505</v>
      </c>
      <c r="V327" s="1">
        <f ca="1">IFERROR(__xludf.DUMMYFUNCTION("""COMPUTED_VALUE"""),0.331)</f>
        <v>0.33100000000000002</v>
      </c>
      <c r="W327" s="1">
        <f ca="1">IFERROR(__xludf.DUMMYFUNCTION("""COMPUTED_VALUE"""),506)</f>
        <v>506</v>
      </c>
      <c r="X327" s="1">
        <f ca="1">IFERROR(__xludf.DUMMYFUNCTION("""COMPUTED_VALUE"""),715)</f>
        <v>715</v>
      </c>
      <c r="Y327" s="1">
        <f ca="1">IFERROR(__xludf.DUMMYFUNCTION("""COMPUTED_VALUE"""),0.708)</f>
        <v>0.70799999999999996</v>
      </c>
      <c r="Z327" s="1">
        <f ca="1">IFERROR(__xludf.DUMMYFUNCTION("""COMPUTED_VALUE"""),446)</f>
        <v>446</v>
      </c>
      <c r="AA327" s="1">
        <f ca="1">IFERROR(__xludf.DUMMYFUNCTION("""COMPUTED_VALUE"""),1200)</f>
        <v>1200</v>
      </c>
      <c r="AB327" s="1">
        <f ca="1">IFERROR(__xludf.DUMMYFUNCTION("""COMPUTED_VALUE"""),402)</f>
        <v>402</v>
      </c>
      <c r="AC327" s="1">
        <f ca="1">IFERROR(__xludf.DUMMYFUNCTION("""COMPUTED_VALUE"""),271)</f>
        <v>271</v>
      </c>
      <c r="AD327" s="1">
        <f ca="1">IFERROR(__xludf.DUMMYFUNCTION("""COMPUTED_VALUE"""),171)</f>
        <v>171</v>
      </c>
      <c r="AE327" s="1">
        <f ca="1">IFERROR(__xludf.DUMMYFUNCTION("""COMPUTED_VALUE"""),306)</f>
        <v>306</v>
      </c>
      <c r="AF327" s="1">
        <f ca="1">IFERROR(__xludf.DUMMYFUNCTION("""COMPUTED_VALUE"""),546)</f>
        <v>546</v>
      </c>
    </row>
    <row r="328" spans="1:32" ht="12.5" x14ac:dyDescent="0.25">
      <c r="A328" s="1" t="str">
        <f ca="1">IFERROR(__xludf.DUMMYFUNCTION("""COMPUTED_VALUE"""),"Temple")</f>
        <v>Temple</v>
      </c>
      <c r="B328" s="1">
        <f ca="1">IFERROR(__xludf.DUMMYFUNCTION("""COMPUTED_VALUE"""),31)</f>
        <v>31</v>
      </c>
      <c r="C328" s="1">
        <f ca="1">IFERROR(__xludf.DUMMYFUNCTION("""COMPUTED_VALUE"""),9)</f>
        <v>9</v>
      </c>
      <c r="D328" s="1">
        <f ca="1">IFERROR(__xludf.DUMMYFUNCTION("""COMPUTED_VALUE"""),22)</f>
        <v>22</v>
      </c>
      <c r="E328" s="1">
        <f ca="1">IFERROR(__xludf.DUMMYFUNCTION("""COMPUTED_VALUE"""),0.29)</f>
        <v>0.28999999999999998</v>
      </c>
      <c r="F328" s="1">
        <f ca="1">IFERROR(__xludf.DUMMYFUNCTION("""COMPUTED_VALUE"""),2.69)</f>
        <v>2.69</v>
      </c>
      <c r="G328" s="1">
        <f ca="1">IFERROR(__xludf.DUMMYFUNCTION("""COMPUTED_VALUE"""),6.88)</f>
        <v>6.88</v>
      </c>
      <c r="H328" s="1">
        <f ca="1">IFERROR(__xludf.DUMMYFUNCTION("""COMPUTED_VALUE"""),4)</f>
        <v>4</v>
      </c>
      <c r="I328" s="1">
        <f ca="1">IFERROR(__xludf.DUMMYFUNCTION("""COMPUTED_VALUE"""),14)</f>
        <v>14</v>
      </c>
      <c r="J328" s="1">
        <f ca="1">IFERROR(__xludf.DUMMYFUNCTION("""COMPUTED_VALUE"""),4)</f>
        <v>4</v>
      </c>
      <c r="K328" s="1">
        <f ca="1">IFERROR(__xludf.DUMMYFUNCTION("""COMPUTED_VALUE"""),9)</f>
        <v>9</v>
      </c>
      <c r="L328" s="1">
        <f ca="1">IFERROR(__xludf.DUMMYFUNCTION("""COMPUTED_VALUE"""),2)</f>
        <v>2</v>
      </c>
      <c r="M328" s="1">
        <f ca="1">IFERROR(__xludf.DUMMYFUNCTION("""COMPUTED_VALUE"""),9)</f>
        <v>9</v>
      </c>
      <c r="N328" s="1">
        <f ca="1">IFERROR(__xludf.DUMMYFUNCTION("""COMPUTED_VALUE"""),2291)</f>
        <v>2291</v>
      </c>
      <c r="O328" s="1">
        <f ca="1">IFERROR(__xludf.DUMMYFUNCTION("""COMPUTED_VALUE"""),2421)</f>
        <v>2421</v>
      </c>
      <c r="P328" s="1">
        <f ca="1">IFERROR(__xludf.DUMMYFUNCTION("""COMPUTED_VALUE"""),1265)</f>
        <v>1265</v>
      </c>
      <c r="Q328" s="1">
        <f ca="1">IFERROR(__xludf.DUMMYFUNCTION("""COMPUTED_VALUE"""),828)</f>
        <v>828</v>
      </c>
      <c r="R328" s="1">
        <f ca="1">IFERROR(__xludf.DUMMYFUNCTION("""COMPUTED_VALUE"""),1934)</f>
        <v>1934</v>
      </c>
      <c r="S328" s="1">
        <f ca="1">IFERROR(__xludf.DUMMYFUNCTION("""COMPUTED_VALUE"""),0.428)</f>
        <v>0.42799999999999999</v>
      </c>
      <c r="T328" s="1">
        <f ca="1">IFERROR(__xludf.DUMMYFUNCTION("""COMPUTED_VALUE"""),201)</f>
        <v>201</v>
      </c>
      <c r="U328" s="1">
        <f ca="1">IFERROR(__xludf.DUMMYFUNCTION("""COMPUTED_VALUE"""),594)</f>
        <v>594</v>
      </c>
      <c r="V328" s="1">
        <f ca="1">IFERROR(__xludf.DUMMYFUNCTION("""COMPUTED_VALUE"""),0.338)</f>
        <v>0.33800000000000002</v>
      </c>
      <c r="W328" s="1">
        <f ca="1">IFERROR(__xludf.DUMMYFUNCTION("""COMPUTED_VALUE"""),434)</f>
        <v>434</v>
      </c>
      <c r="X328" s="1">
        <f ca="1">IFERROR(__xludf.DUMMYFUNCTION("""COMPUTED_VALUE"""),614)</f>
        <v>614</v>
      </c>
      <c r="Y328" s="1">
        <f ca="1">IFERROR(__xludf.DUMMYFUNCTION("""COMPUTED_VALUE"""),0.707)</f>
        <v>0.70699999999999996</v>
      </c>
      <c r="Z328" s="1">
        <f ca="1">IFERROR(__xludf.DUMMYFUNCTION("""COMPUTED_VALUE"""),383)</f>
        <v>383</v>
      </c>
      <c r="AA328" s="1">
        <f ca="1">IFERROR(__xludf.DUMMYFUNCTION("""COMPUTED_VALUE"""),1102)</f>
        <v>1102</v>
      </c>
      <c r="AB328" s="1">
        <f ca="1">IFERROR(__xludf.DUMMYFUNCTION("""COMPUTED_VALUE"""),421)</f>
        <v>421</v>
      </c>
      <c r="AC328" s="1">
        <f ca="1">IFERROR(__xludf.DUMMYFUNCTION("""COMPUTED_VALUE"""),180)</f>
        <v>180</v>
      </c>
      <c r="AD328" s="1">
        <f ca="1">IFERROR(__xludf.DUMMYFUNCTION("""COMPUTED_VALUE"""),109)</f>
        <v>109</v>
      </c>
      <c r="AE328" s="1">
        <f ca="1">IFERROR(__xludf.DUMMYFUNCTION("""COMPUTED_VALUE"""),327)</f>
        <v>327</v>
      </c>
      <c r="AF328" s="1">
        <f ca="1">IFERROR(__xludf.DUMMYFUNCTION("""COMPUTED_VALUE"""),573)</f>
        <v>573</v>
      </c>
    </row>
    <row r="329" spans="1:32" ht="12.5" x14ac:dyDescent="0.25">
      <c r="A329" s="1" t="str">
        <f ca="1">IFERROR(__xludf.DUMMYFUNCTION("""COMPUTED_VALUE"""),"Tennessee-Martin")</f>
        <v>Tennessee-Martin</v>
      </c>
      <c r="B329" s="1">
        <f ca="1">IFERROR(__xludf.DUMMYFUNCTION("""COMPUTED_VALUE"""),31)</f>
        <v>31</v>
      </c>
      <c r="C329" s="1">
        <f ca="1">IFERROR(__xludf.DUMMYFUNCTION("""COMPUTED_VALUE"""),8)</f>
        <v>8</v>
      </c>
      <c r="D329" s="1">
        <f ca="1">IFERROR(__xludf.DUMMYFUNCTION("""COMPUTED_VALUE"""),23)</f>
        <v>23</v>
      </c>
      <c r="E329" s="1">
        <f ca="1">IFERROR(__xludf.DUMMYFUNCTION("""COMPUTED_VALUE"""),0.258)</f>
        <v>0.25800000000000001</v>
      </c>
      <c r="F329" s="1">
        <f ca="1">IFERROR(__xludf.DUMMYFUNCTION("""COMPUTED_VALUE"""),-13.45)</f>
        <v>-13.45</v>
      </c>
      <c r="G329" s="1">
        <f ca="1">IFERROR(__xludf.DUMMYFUNCTION("""COMPUTED_VALUE"""),-4.82)</f>
        <v>-4.82</v>
      </c>
      <c r="H329" s="1">
        <f ca="1">IFERROR(__xludf.DUMMYFUNCTION("""COMPUTED_VALUE"""),3)</f>
        <v>3</v>
      </c>
      <c r="I329" s="1">
        <f ca="1">IFERROR(__xludf.DUMMYFUNCTION("""COMPUTED_VALUE"""),13)</f>
        <v>13</v>
      </c>
      <c r="J329" s="1">
        <f ca="1">IFERROR(__xludf.DUMMYFUNCTION("""COMPUTED_VALUE"""),5)</f>
        <v>5</v>
      </c>
      <c r="K329" s="1">
        <f ca="1">IFERROR(__xludf.DUMMYFUNCTION("""COMPUTED_VALUE"""),10)</f>
        <v>10</v>
      </c>
      <c r="L329" s="1">
        <f ca="1">IFERROR(__xludf.DUMMYFUNCTION("""COMPUTED_VALUE"""),3)</f>
        <v>3</v>
      </c>
      <c r="M329" s="1">
        <f ca="1">IFERROR(__xludf.DUMMYFUNCTION("""COMPUTED_VALUE"""),13)</f>
        <v>13</v>
      </c>
      <c r="N329" s="1">
        <f ca="1">IFERROR(__xludf.DUMMYFUNCTION("""COMPUTED_VALUE"""),2304)</f>
        <v>2304</v>
      </c>
      <c r="O329" s="1">
        <f ca="1">IFERROR(__xludf.DUMMYFUNCTION("""COMPUTED_VALUE"""),2526)</f>
        <v>2526</v>
      </c>
      <c r="P329" s="1">
        <f ca="1">IFERROR(__xludf.DUMMYFUNCTION("""COMPUTED_VALUE"""),1240)</f>
        <v>1240</v>
      </c>
      <c r="Q329" s="1">
        <f ca="1">IFERROR(__xludf.DUMMYFUNCTION("""COMPUTED_VALUE"""),792)</f>
        <v>792</v>
      </c>
      <c r="R329" s="1">
        <f ca="1">IFERROR(__xludf.DUMMYFUNCTION("""COMPUTED_VALUE"""),1870)</f>
        <v>1870</v>
      </c>
      <c r="S329" s="1">
        <f ca="1">IFERROR(__xludf.DUMMYFUNCTION("""COMPUTED_VALUE"""),0.424)</f>
        <v>0.42399999999999999</v>
      </c>
      <c r="T329" s="1">
        <f ca="1">IFERROR(__xludf.DUMMYFUNCTION("""COMPUTED_VALUE"""),218)</f>
        <v>218</v>
      </c>
      <c r="U329" s="1">
        <f ca="1">IFERROR(__xludf.DUMMYFUNCTION("""COMPUTED_VALUE"""),636)</f>
        <v>636</v>
      </c>
      <c r="V329" s="1">
        <f ca="1">IFERROR(__xludf.DUMMYFUNCTION("""COMPUTED_VALUE"""),0.343)</f>
        <v>0.34300000000000003</v>
      </c>
      <c r="W329" s="1">
        <f ca="1">IFERROR(__xludf.DUMMYFUNCTION("""COMPUTED_VALUE"""),502)</f>
        <v>502</v>
      </c>
      <c r="X329" s="1">
        <f ca="1">IFERROR(__xludf.DUMMYFUNCTION("""COMPUTED_VALUE"""),692)</f>
        <v>692</v>
      </c>
      <c r="Y329" s="1">
        <f ca="1">IFERROR(__xludf.DUMMYFUNCTION("""COMPUTED_VALUE"""),0.725)</f>
        <v>0.72499999999999998</v>
      </c>
      <c r="Z329" s="1">
        <f ca="1">IFERROR(__xludf.DUMMYFUNCTION("""COMPUTED_VALUE"""),350)</f>
        <v>350</v>
      </c>
      <c r="AA329" s="1">
        <f ca="1">IFERROR(__xludf.DUMMYFUNCTION("""COMPUTED_VALUE"""),982)</f>
        <v>982</v>
      </c>
      <c r="AB329" s="1">
        <f ca="1">IFERROR(__xludf.DUMMYFUNCTION("""COMPUTED_VALUE"""),426)</f>
        <v>426</v>
      </c>
      <c r="AC329" s="1">
        <f ca="1">IFERROR(__xludf.DUMMYFUNCTION("""COMPUTED_VALUE"""),234)</f>
        <v>234</v>
      </c>
      <c r="AD329" s="1">
        <f ca="1">IFERROR(__xludf.DUMMYFUNCTION("""COMPUTED_VALUE"""),82)</f>
        <v>82</v>
      </c>
      <c r="AE329" s="1">
        <f ca="1">IFERROR(__xludf.DUMMYFUNCTION("""COMPUTED_VALUE"""),361)</f>
        <v>361</v>
      </c>
      <c r="AF329" s="1">
        <f ca="1">IFERROR(__xludf.DUMMYFUNCTION("""COMPUTED_VALUE"""),654)</f>
        <v>654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IFERROR(__xludf.DUMMYFUNCTION("""COMPUTED_VALUE"""),"Tennessee State")</f>
        <v>Tennessee State</v>
      </c>
      <c r="B332" s="1">
        <f ca="1">IFERROR(__xludf.DUMMYFUNCTION("""COMPUTED_VALUE"""),30)</f>
        <v>30</v>
      </c>
      <c r="C332" s="1">
        <f ca="1">IFERROR(__xludf.DUMMYFUNCTION("""COMPUTED_VALUE"""),5)</f>
        <v>5</v>
      </c>
      <c r="D332" s="1">
        <f ca="1">IFERROR(__xludf.DUMMYFUNCTION("""COMPUTED_VALUE"""),25)</f>
        <v>25</v>
      </c>
      <c r="E332" s="1">
        <f ca="1">IFERROR(__xludf.DUMMYFUNCTION("""COMPUTED_VALUE"""),0.167)</f>
        <v>0.16700000000000001</v>
      </c>
      <c r="F332" s="1">
        <f ca="1">IFERROR(__xludf.DUMMYFUNCTION("""COMPUTED_VALUE"""),-9.82)</f>
        <v>-9.82</v>
      </c>
      <c r="G332" s="1">
        <f ca="1">IFERROR(__xludf.DUMMYFUNCTION("""COMPUTED_VALUE"""),-1.99)</f>
        <v>-1.99</v>
      </c>
      <c r="H332" s="1">
        <f ca="1">IFERROR(__xludf.DUMMYFUNCTION("""COMPUTED_VALUE"""),4)</f>
        <v>4</v>
      </c>
      <c r="I332" s="1">
        <f ca="1">IFERROR(__xludf.DUMMYFUNCTION("""COMPUTED_VALUE"""),12)</f>
        <v>12</v>
      </c>
      <c r="J332" s="1">
        <f ca="1">IFERROR(__xludf.DUMMYFUNCTION("""COMPUTED_VALUE"""),3)</f>
        <v>3</v>
      </c>
      <c r="K332" s="1">
        <f ca="1">IFERROR(__xludf.DUMMYFUNCTION("""COMPUTED_VALUE"""),10)</f>
        <v>10</v>
      </c>
      <c r="L332" s="1">
        <f ca="1">IFERROR(__xludf.DUMMYFUNCTION("""COMPUTED_VALUE"""),2)</f>
        <v>2</v>
      </c>
      <c r="M332" s="1">
        <f ca="1">IFERROR(__xludf.DUMMYFUNCTION("""COMPUTED_VALUE"""),13)</f>
        <v>13</v>
      </c>
      <c r="N332" s="1">
        <f ca="1">IFERROR(__xludf.DUMMYFUNCTION("""COMPUTED_VALUE"""),2061)</f>
        <v>2061</v>
      </c>
      <c r="O332" s="1">
        <f ca="1">IFERROR(__xludf.DUMMYFUNCTION("""COMPUTED_VALUE"""),2265)</f>
        <v>2265</v>
      </c>
      <c r="P332" s="1">
        <f ca="1">IFERROR(__xludf.DUMMYFUNCTION("""COMPUTED_VALUE"""),1205)</f>
        <v>1205</v>
      </c>
      <c r="Q332" s="1">
        <f ca="1">IFERROR(__xludf.DUMMYFUNCTION("""COMPUTED_VALUE"""),707)</f>
        <v>707</v>
      </c>
      <c r="R332" s="1">
        <f ca="1">IFERROR(__xludf.DUMMYFUNCTION("""COMPUTED_VALUE"""),1647)</f>
        <v>1647</v>
      </c>
      <c r="S332" s="1">
        <f ca="1">IFERROR(__xludf.DUMMYFUNCTION("""COMPUTED_VALUE"""),0.429)</f>
        <v>0.42899999999999999</v>
      </c>
      <c r="T332" s="1">
        <f ca="1">IFERROR(__xludf.DUMMYFUNCTION("""COMPUTED_VALUE"""),147)</f>
        <v>147</v>
      </c>
      <c r="U332" s="1">
        <f ca="1">IFERROR(__xludf.DUMMYFUNCTION("""COMPUTED_VALUE"""),502)</f>
        <v>502</v>
      </c>
      <c r="V332" s="1">
        <f ca="1">IFERROR(__xludf.DUMMYFUNCTION("""COMPUTED_VALUE"""),0.293)</f>
        <v>0.29299999999999998</v>
      </c>
      <c r="W332" s="1">
        <f ca="1">IFERROR(__xludf.DUMMYFUNCTION("""COMPUTED_VALUE"""),500)</f>
        <v>500</v>
      </c>
      <c r="X332" s="1">
        <f ca="1">IFERROR(__xludf.DUMMYFUNCTION("""COMPUTED_VALUE"""),714)</f>
        <v>714</v>
      </c>
      <c r="Y332" s="1">
        <f ca="1">IFERROR(__xludf.DUMMYFUNCTION("""COMPUTED_VALUE"""),0.7)</f>
        <v>0.7</v>
      </c>
      <c r="Z332" s="1">
        <f ca="1">IFERROR(__xludf.DUMMYFUNCTION("""COMPUTED_VALUE"""),344)</f>
        <v>344</v>
      </c>
      <c r="AA332" s="1">
        <f ca="1">IFERROR(__xludf.DUMMYFUNCTION("""COMPUTED_VALUE"""),1007)</f>
        <v>1007</v>
      </c>
      <c r="AB332" s="1">
        <f ca="1">IFERROR(__xludf.DUMMYFUNCTION("""COMPUTED_VALUE"""),314)</f>
        <v>314</v>
      </c>
      <c r="AC332" s="1">
        <f ca="1">IFERROR(__xludf.DUMMYFUNCTION("""COMPUTED_VALUE"""),163)</f>
        <v>163</v>
      </c>
      <c r="AD332" s="1">
        <f ca="1">IFERROR(__xludf.DUMMYFUNCTION("""COMPUTED_VALUE"""),84)</f>
        <v>84</v>
      </c>
      <c r="AE332" s="1">
        <f ca="1">IFERROR(__xludf.DUMMYFUNCTION("""COMPUTED_VALUE"""),371)</f>
        <v>371</v>
      </c>
      <c r="AF332" s="1">
        <f ca="1">IFERROR(__xludf.DUMMYFUNCTION("""COMPUTED_VALUE"""),641)</f>
        <v>641</v>
      </c>
    </row>
    <row r="333" spans="1:32" ht="12.5" x14ac:dyDescent="0.25">
      <c r="A333" s="1" t="str">
        <f ca="1">IFERROR(__xludf.DUMMYFUNCTION("""COMPUTED_VALUE"""),"Tennessee Tech")</f>
        <v>Tennessee Tech</v>
      </c>
      <c r="B333" s="1">
        <f ca="1">IFERROR(__xludf.DUMMYFUNCTION("""COMPUTED_VALUE"""),33)</f>
        <v>33</v>
      </c>
      <c r="C333" s="1">
        <f ca="1">IFERROR(__xludf.DUMMYFUNCTION("""COMPUTED_VALUE"""),17)</f>
        <v>17</v>
      </c>
      <c r="D333" s="1">
        <f ca="1">IFERROR(__xludf.DUMMYFUNCTION("""COMPUTED_VALUE"""),16)</f>
        <v>16</v>
      </c>
      <c r="E333" s="1">
        <f ca="1">IFERROR(__xludf.DUMMYFUNCTION("""COMPUTED_VALUE"""),0.515)</f>
        <v>0.51500000000000001</v>
      </c>
      <c r="F333" s="1">
        <f ca="1">IFERROR(__xludf.DUMMYFUNCTION("""COMPUTED_VALUE"""),-8.09)</f>
        <v>-8.09</v>
      </c>
      <c r="G333" s="1">
        <f ca="1">IFERROR(__xludf.DUMMYFUNCTION("""COMPUTED_VALUE"""),-4.57)</f>
        <v>-4.57</v>
      </c>
      <c r="H333" s="1">
        <f ca="1">IFERROR(__xludf.DUMMYFUNCTION("""COMPUTED_VALUE"""),9)</f>
        <v>9</v>
      </c>
      <c r="I333" s="1">
        <f ca="1">IFERROR(__xludf.DUMMYFUNCTION("""COMPUTED_VALUE"""),7)</f>
        <v>7</v>
      </c>
      <c r="J333" s="1">
        <f ca="1">IFERROR(__xludf.DUMMYFUNCTION("""COMPUTED_VALUE"""),10)</f>
        <v>10</v>
      </c>
      <c r="K333" s="1">
        <f ca="1">IFERROR(__xludf.DUMMYFUNCTION("""COMPUTED_VALUE"""),4)</f>
        <v>4</v>
      </c>
      <c r="L333" s="1">
        <f ca="1">IFERROR(__xludf.DUMMYFUNCTION("""COMPUTED_VALUE"""),6)</f>
        <v>6</v>
      </c>
      <c r="M333" s="1">
        <f ca="1">IFERROR(__xludf.DUMMYFUNCTION("""COMPUTED_VALUE"""),9)</f>
        <v>9</v>
      </c>
      <c r="N333" s="1">
        <f ca="1">IFERROR(__xludf.DUMMYFUNCTION("""COMPUTED_VALUE"""),2376)</f>
        <v>2376</v>
      </c>
      <c r="O333" s="1">
        <f ca="1">IFERROR(__xludf.DUMMYFUNCTION("""COMPUTED_VALUE"""),2376)</f>
        <v>2376</v>
      </c>
      <c r="P333" s="1">
        <f ca="1">IFERROR(__xludf.DUMMYFUNCTION("""COMPUTED_VALUE"""),1319)</f>
        <v>1319</v>
      </c>
      <c r="Q333" s="1">
        <f ca="1">IFERROR(__xludf.DUMMYFUNCTION("""COMPUTED_VALUE"""),822)</f>
        <v>822</v>
      </c>
      <c r="R333" s="1">
        <f ca="1">IFERROR(__xludf.DUMMYFUNCTION("""COMPUTED_VALUE"""),1810)</f>
        <v>1810</v>
      </c>
      <c r="S333" s="1">
        <f ca="1">IFERROR(__xludf.DUMMYFUNCTION("""COMPUTED_VALUE"""),0.454)</f>
        <v>0.45400000000000001</v>
      </c>
      <c r="T333" s="1">
        <f ca="1">IFERROR(__xludf.DUMMYFUNCTION("""COMPUTED_VALUE"""),185)</f>
        <v>185</v>
      </c>
      <c r="U333" s="1">
        <f ca="1">IFERROR(__xludf.DUMMYFUNCTION("""COMPUTED_VALUE"""),565)</f>
        <v>565</v>
      </c>
      <c r="V333" s="1">
        <f ca="1">IFERROR(__xludf.DUMMYFUNCTION("""COMPUTED_VALUE"""),0.327)</f>
        <v>0.32700000000000001</v>
      </c>
      <c r="W333" s="1">
        <f ca="1">IFERROR(__xludf.DUMMYFUNCTION("""COMPUTED_VALUE"""),547)</f>
        <v>547</v>
      </c>
      <c r="X333" s="1">
        <f ca="1">IFERROR(__xludf.DUMMYFUNCTION("""COMPUTED_VALUE"""),808)</f>
        <v>808</v>
      </c>
      <c r="Y333" s="1">
        <f ca="1">IFERROR(__xludf.DUMMYFUNCTION("""COMPUTED_VALUE"""),0.677)</f>
        <v>0.67700000000000005</v>
      </c>
      <c r="Z333" s="1">
        <f ca="1">IFERROR(__xludf.DUMMYFUNCTION("""COMPUTED_VALUE"""),390)</f>
        <v>390</v>
      </c>
      <c r="AA333" s="1">
        <f ca="1">IFERROR(__xludf.DUMMYFUNCTION("""COMPUTED_VALUE"""),1171)</f>
        <v>1171</v>
      </c>
      <c r="AB333" s="1">
        <f ca="1">IFERROR(__xludf.DUMMYFUNCTION("""COMPUTED_VALUE"""),408)</f>
        <v>408</v>
      </c>
      <c r="AC333" s="1">
        <f ca="1">IFERROR(__xludf.DUMMYFUNCTION("""COMPUTED_VALUE"""),245)</f>
        <v>245</v>
      </c>
      <c r="AD333" s="1">
        <f ca="1">IFERROR(__xludf.DUMMYFUNCTION("""COMPUTED_VALUE"""),154)</f>
        <v>154</v>
      </c>
      <c r="AE333" s="1">
        <f ca="1">IFERROR(__xludf.DUMMYFUNCTION("""COMPUTED_VALUE"""),487)</f>
        <v>487</v>
      </c>
      <c r="AF333" s="1">
        <f ca="1">IFERROR(__xludf.DUMMYFUNCTION("""COMPUTED_VALUE"""),729)</f>
        <v>729</v>
      </c>
    </row>
    <row r="334" spans="1:32" ht="12.5" x14ac:dyDescent="0.25">
      <c r="A334" s="1" t="str">
        <f ca="1">IFERROR(__xludf.DUMMYFUNCTION("""COMPUTED_VALUE"""),"TennesseeNCAA")</f>
        <v>TennesseeNCAA</v>
      </c>
      <c r="B334" s="1">
        <f ca="1">IFERROR(__xludf.DUMMYFUNCTION("""COMPUTED_VALUE"""),37)</f>
        <v>37</v>
      </c>
      <c r="C334" s="1">
        <f ca="1">IFERROR(__xludf.DUMMYFUNCTION("""COMPUTED_VALUE"""),24)</f>
        <v>24</v>
      </c>
      <c r="D334" s="1">
        <f ca="1">IFERROR(__xludf.DUMMYFUNCTION("""COMPUTED_VALUE"""),13)</f>
        <v>13</v>
      </c>
      <c r="E334" s="1">
        <f ca="1">IFERROR(__xludf.DUMMYFUNCTION("""COMPUTED_VALUE"""),0.649)</f>
        <v>0.64900000000000002</v>
      </c>
      <c r="F334" s="1">
        <f ca="1">IFERROR(__xludf.DUMMYFUNCTION("""COMPUTED_VALUE"""),17.34)</f>
        <v>17.34</v>
      </c>
      <c r="G334" s="1">
        <f ca="1">IFERROR(__xludf.DUMMYFUNCTION("""COMPUTED_VALUE"""),7.84)</f>
        <v>7.84</v>
      </c>
      <c r="H334" s="1">
        <f ca="1">IFERROR(__xludf.DUMMYFUNCTION("""COMPUTED_VALUE"""),11)</f>
        <v>11</v>
      </c>
      <c r="I334" s="1">
        <f ca="1">IFERROR(__xludf.DUMMYFUNCTION("""COMPUTED_VALUE"""),7)</f>
        <v>7</v>
      </c>
      <c r="J334" s="1">
        <f ca="1">IFERROR(__xludf.DUMMYFUNCTION("""COMPUTED_VALUE"""),14)</f>
        <v>14</v>
      </c>
      <c r="K334" s="1">
        <f ca="1">IFERROR(__xludf.DUMMYFUNCTION("""COMPUTED_VALUE"""),3)</f>
        <v>3</v>
      </c>
      <c r="L334" s="1">
        <f ca="1">IFERROR(__xludf.DUMMYFUNCTION("""COMPUTED_VALUE"""),4)</f>
        <v>4</v>
      </c>
      <c r="M334" s="1">
        <f ca="1">IFERROR(__xludf.DUMMYFUNCTION("""COMPUTED_VALUE"""),7)</f>
        <v>7</v>
      </c>
      <c r="N334" s="1">
        <f ca="1">IFERROR(__xludf.DUMMYFUNCTION("""COMPUTED_VALUE"""),2672)</f>
        <v>2672</v>
      </c>
      <c r="O334" s="1">
        <f ca="1">IFERROR(__xludf.DUMMYFUNCTION("""COMPUTED_VALUE"""),2283)</f>
        <v>2283</v>
      </c>
      <c r="P334" s="1">
        <f ca="1">IFERROR(__xludf.DUMMYFUNCTION("""COMPUTED_VALUE"""),1490)</f>
        <v>1490</v>
      </c>
      <c r="Q334" s="1">
        <f ca="1">IFERROR(__xludf.DUMMYFUNCTION("""COMPUTED_VALUE"""),927)</f>
        <v>927</v>
      </c>
      <c r="R334" s="1">
        <f ca="1">IFERROR(__xludf.DUMMYFUNCTION("""COMPUTED_VALUE"""),2048)</f>
        <v>2048</v>
      </c>
      <c r="S334" s="1">
        <f ca="1">IFERROR(__xludf.DUMMYFUNCTION("""COMPUTED_VALUE"""),0.453)</f>
        <v>0.45300000000000001</v>
      </c>
      <c r="T334" s="1">
        <f ca="1">IFERROR(__xludf.DUMMYFUNCTION("""COMPUTED_VALUE"""),205)</f>
        <v>205</v>
      </c>
      <c r="U334" s="1">
        <f ca="1">IFERROR(__xludf.DUMMYFUNCTION("""COMPUTED_VALUE"""),631)</f>
        <v>631</v>
      </c>
      <c r="V334" s="1">
        <f ca="1">IFERROR(__xludf.DUMMYFUNCTION("""COMPUTED_VALUE"""),0.325)</f>
        <v>0.32500000000000001</v>
      </c>
      <c r="W334" s="1">
        <f ca="1">IFERROR(__xludf.DUMMYFUNCTION("""COMPUTED_VALUE"""),613)</f>
        <v>613</v>
      </c>
      <c r="X334" s="1">
        <f ca="1">IFERROR(__xludf.DUMMYFUNCTION("""COMPUTED_VALUE"""),852)</f>
        <v>852</v>
      </c>
      <c r="Y334" s="1">
        <f ca="1">IFERROR(__xludf.DUMMYFUNCTION("""COMPUTED_VALUE"""),0.719)</f>
        <v>0.71899999999999997</v>
      </c>
      <c r="Z334" s="1">
        <f ca="1">IFERROR(__xludf.DUMMYFUNCTION("""COMPUTED_VALUE"""),501)</f>
        <v>501</v>
      </c>
      <c r="AA334" s="1">
        <f ca="1">IFERROR(__xludf.DUMMYFUNCTION("""COMPUTED_VALUE"""),1424)</f>
        <v>1424</v>
      </c>
      <c r="AB334" s="1">
        <f ca="1">IFERROR(__xludf.DUMMYFUNCTION("""COMPUTED_VALUE"""),472)</f>
        <v>472</v>
      </c>
      <c r="AC334" s="1">
        <f ca="1">IFERROR(__xludf.DUMMYFUNCTION("""COMPUTED_VALUE"""),192)</f>
        <v>192</v>
      </c>
      <c r="AD334" s="1">
        <f ca="1">IFERROR(__xludf.DUMMYFUNCTION("""COMPUTED_VALUE"""),172)</f>
        <v>172</v>
      </c>
      <c r="AE334" s="1">
        <f ca="1">IFERROR(__xludf.DUMMYFUNCTION("""COMPUTED_VALUE"""),388)</f>
        <v>388</v>
      </c>
      <c r="AF334" s="1">
        <f ca="1">IFERROR(__xludf.DUMMYFUNCTION("""COMPUTED_VALUE"""),617)</f>
        <v>617</v>
      </c>
    </row>
    <row r="335" spans="1:32" ht="12.5" x14ac:dyDescent="0.25">
      <c r="A335" s="1" t="str">
        <f ca="1">IFERROR(__xludf.DUMMYFUNCTION("""COMPUTED_VALUE"""),"Texas A&amp;M-Corpus Christi")</f>
        <v>Texas A&amp;M-Corpus Christi</v>
      </c>
      <c r="B335" s="1">
        <f ca="1">IFERROR(__xludf.DUMMYFUNCTION("""COMPUTED_VALUE"""),34)</f>
        <v>34</v>
      </c>
      <c r="C335" s="1">
        <f ca="1">IFERROR(__xludf.DUMMYFUNCTION("""COMPUTED_VALUE"""),18)</f>
        <v>18</v>
      </c>
      <c r="D335" s="1">
        <f ca="1">IFERROR(__xludf.DUMMYFUNCTION("""COMPUTED_VALUE"""),16)</f>
        <v>16</v>
      </c>
      <c r="E335" s="1">
        <f ca="1">IFERROR(__xludf.DUMMYFUNCTION("""COMPUTED_VALUE"""),0.529)</f>
        <v>0.52900000000000003</v>
      </c>
      <c r="F335" s="1">
        <f ca="1">IFERROR(__xludf.DUMMYFUNCTION("""COMPUTED_VALUE"""),-6.41)</f>
        <v>-6.41</v>
      </c>
      <c r="G335" s="1">
        <f ca="1">IFERROR(__xludf.DUMMYFUNCTION("""COMPUTED_VALUE"""),-6.69)</f>
        <v>-6.69</v>
      </c>
      <c r="H335" s="1">
        <f ca="1">IFERROR(__xludf.DUMMYFUNCTION("""COMPUTED_VALUE"""),14)</f>
        <v>14</v>
      </c>
      <c r="I335" s="1">
        <f ca="1">IFERROR(__xludf.DUMMYFUNCTION("""COMPUTED_VALUE"""),4)</f>
        <v>4</v>
      </c>
      <c r="J335" s="1">
        <f ca="1">IFERROR(__xludf.DUMMYFUNCTION("""COMPUTED_VALUE"""),10)</f>
        <v>10</v>
      </c>
      <c r="K335" s="1">
        <f ca="1">IFERROR(__xludf.DUMMYFUNCTION("""COMPUTED_VALUE"""),7)</f>
        <v>7</v>
      </c>
      <c r="L335" s="1">
        <f ca="1">IFERROR(__xludf.DUMMYFUNCTION("""COMPUTED_VALUE"""),8)</f>
        <v>8</v>
      </c>
      <c r="M335" s="1">
        <f ca="1">IFERROR(__xludf.DUMMYFUNCTION("""COMPUTED_VALUE"""),8)</f>
        <v>8</v>
      </c>
      <c r="N335" s="1">
        <f ca="1">IFERROR(__xludf.DUMMYFUNCTION("""COMPUTED_VALUE"""),2350)</f>
        <v>2350</v>
      </c>
      <c r="O335" s="1">
        <f ca="1">IFERROR(__xludf.DUMMYFUNCTION("""COMPUTED_VALUE"""),2312)</f>
        <v>2312</v>
      </c>
      <c r="P335" s="1">
        <f ca="1">IFERROR(__xludf.DUMMYFUNCTION("""COMPUTED_VALUE"""),1365)</f>
        <v>1365</v>
      </c>
      <c r="Q335" s="1">
        <f ca="1">IFERROR(__xludf.DUMMYFUNCTION("""COMPUTED_VALUE"""),837)</f>
        <v>837</v>
      </c>
      <c r="R335" s="1">
        <f ca="1">IFERROR(__xludf.DUMMYFUNCTION("""COMPUTED_VALUE"""),1764)</f>
        <v>1764</v>
      </c>
      <c r="S335" s="1">
        <f ca="1">IFERROR(__xludf.DUMMYFUNCTION("""COMPUTED_VALUE"""),0.474)</f>
        <v>0.47399999999999998</v>
      </c>
      <c r="T335" s="1">
        <f ca="1">IFERROR(__xludf.DUMMYFUNCTION("""COMPUTED_VALUE"""),148)</f>
        <v>148</v>
      </c>
      <c r="U335" s="1">
        <f ca="1">IFERROR(__xludf.DUMMYFUNCTION("""COMPUTED_VALUE"""),405)</f>
        <v>405</v>
      </c>
      <c r="V335" s="1">
        <f ca="1">IFERROR(__xludf.DUMMYFUNCTION("""COMPUTED_VALUE"""),0.365)</f>
        <v>0.36499999999999999</v>
      </c>
      <c r="W335" s="1">
        <f ca="1">IFERROR(__xludf.DUMMYFUNCTION("""COMPUTED_VALUE"""),528)</f>
        <v>528</v>
      </c>
      <c r="X335" s="1">
        <f ca="1">IFERROR(__xludf.DUMMYFUNCTION("""COMPUTED_VALUE"""),796)</f>
        <v>796</v>
      </c>
      <c r="Y335" s="1">
        <f ca="1">IFERROR(__xludf.DUMMYFUNCTION("""COMPUTED_VALUE"""),0.663)</f>
        <v>0.66300000000000003</v>
      </c>
      <c r="Z335" s="1">
        <f ca="1">IFERROR(__xludf.DUMMYFUNCTION("""COMPUTED_VALUE"""),365)</f>
        <v>365</v>
      </c>
      <c r="AA335" s="1">
        <f ca="1">IFERROR(__xludf.DUMMYFUNCTION("""COMPUTED_VALUE"""),1135)</f>
        <v>1135</v>
      </c>
      <c r="AB335" s="1">
        <f ca="1">IFERROR(__xludf.DUMMYFUNCTION("""COMPUTED_VALUE"""),425)</f>
        <v>425</v>
      </c>
      <c r="AC335" s="1">
        <f ca="1">IFERROR(__xludf.DUMMYFUNCTION("""COMPUTED_VALUE"""),224)</f>
        <v>224</v>
      </c>
      <c r="AD335" s="1">
        <f ca="1">IFERROR(__xludf.DUMMYFUNCTION("""COMPUTED_VALUE"""),98)</f>
        <v>98</v>
      </c>
      <c r="AE335" s="1">
        <f ca="1">IFERROR(__xludf.DUMMYFUNCTION("""COMPUTED_VALUE"""),405)</f>
        <v>405</v>
      </c>
      <c r="AF335" s="1">
        <f ca="1">IFERROR(__xludf.DUMMYFUNCTION("""COMPUTED_VALUE"""),685)</f>
        <v>685</v>
      </c>
    </row>
    <row r="336" spans="1:32" ht="12.5" x14ac:dyDescent="0.25">
      <c r="A336" s="1" t="str">
        <f ca="1">IFERROR(__xludf.DUMMYFUNCTION("""COMPUTED_VALUE"""),"Texas A&amp;M")</f>
        <v>Texas A&amp;M</v>
      </c>
      <c r="B336" s="1">
        <f ca="1">IFERROR(__xludf.DUMMYFUNCTION("""COMPUTED_VALUE"""),34)</f>
        <v>34</v>
      </c>
      <c r="C336" s="1">
        <f ca="1">IFERROR(__xludf.DUMMYFUNCTION("""COMPUTED_VALUE"""),18)</f>
        <v>18</v>
      </c>
      <c r="D336" s="1">
        <f ca="1">IFERROR(__xludf.DUMMYFUNCTION("""COMPUTED_VALUE"""),16)</f>
        <v>16</v>
      </c>
      <c r="E336" s="1">
        <f ca="1">IFERROR(__xludf.DUMMYFUNCTION("""COMPUTED_VALUE"""),0.529)</f>
        <v>0.52900000000000003</v>
      </c>
      <c r="F336" s="1">
        <f ca="1">IFERROR(__xludf.DUMMYFUNCTION("""COMPUTED_VALUE"""),5.5)</f>
        <v>5.5</v>
      </c>
      <c r="G336" s="1">
        <f ca="1">IFERROR(__xludf.DUMMYFUNCTION("""COMPUTED_VALUE"""),3.62)</f>
        <v>3.62</v>
      </c>
      <c r="H336" s="1">
        <f ca="1">IFERROR(__xludf.DUMMYFUNCTION("""COMPUTED_VALUE"""),8)</f>
        <v>8</v>
      </c>
      <c r="I336" s="1">
        <f ca="1">IFERROR(__xludf.DUMMYFUNCTION("""COMPUTED_VALUE"""),10)</f>
        <v>10</v>
      </c>
      <c r="J336" s="1">
        <f ca="1">IFERROR(__xludf.DUMMYFUNCTION("""COMPUTED_VALUE"""),17)</f>
        <v>17</v>
      </c>
      <c r="K336" s="1">
        <f ca="1">IFERROR(__xludf.DUMMYFUNCTION("""COMPUTED_VALUE"""),3)</f>
        <v>3</v>
      </c>
      <c r="L336" s="1">
        <f ca="1">IFERROR(__xludf.DUMMYFUNCTION("""COMPUTED_VALUE"""),1)</f>
        <v>1</v>
      </c>
      <c r="M336" s="1">
        <f ca="1">IFERROR(__xludf.DUMMYFUNCTION("""COMPUTED_VALUE"""),9)</f>
        <v>9</v>
      </c>
      <c r="N336" s="1">
        <f ca="1">IFERROR(__xludf.DUMMYFUNCTION("""COMPUTED_VALUE"""),2199)</f>
        <v>2199</v>
      </c>
      <c r="O336" s="1">
        <f ca="1">IFERROR(__xludf.DUMMYFUNCTION("""COMPUTED_VALUE"""),2135)</f>
        <v>2135</v>
      </c>
      <c r="P336" s="1">
        <f ca="1">IFERROR(__xludf.DUMMYFUNCTION("""COMPUTED_VALUE"""),1385)</f>
        <v>1385</v>
      </c>
      <c r="Q336" s="1">
        <f ca="1">IFERROR(__xludf.DUMMYFUNCTION("""COMPUTED_VALUE"""),774)</f>
        <v>774</v>
      </c>
      <c r="R336" s="1">
        <f ca="1">IFERROR(__xludf.DUMMYFUNCTION("""COMPUTED_VALUE"""),1821)</f>
        <v>1821</v>
      </c>
      <c r="S336" s="1">
        <f ca="1">IFERROR(__xludf.DUMMYFUNCTION("""COMPUTED_VALUE"""),0.425)</f>
        <v>0.42499999999999999</v>
      </c>
      <c r="T336" s="1">
        <f ca="1">IFERROR(__xludf.DUMMYFUNCTION("""COMPUTED_VALUE"""),197)</f>
        <v>197</v>
      </c>
      <c r="U336" s="1">
        <f ca="1">IFERROR(__xludf.DUMMYFUNCTION("""COMPUTED_VALUE"""),621)</f>
        <v>621</v>
      </c>
      <c r="V336" s="1">
        <f ca="1">IFERROR(__xludf.DUMMYFUNCTION("""COMPUTED_VALUE"""),0.317)</f>
        <v>0.317</v>
      </c>
      <c r="W336" s="1">
        <f ca="1">IFERROR(__xludf.DUMMYFUNCTION("""COMPUTED_VALUE"""),454)</f>
        <v>454</v>
      </c>
      <c r="X336" s="1">
        <f ca="1">IFERROR(__xludf.DUMMYFUNCTION("""COMPUTED_VALUE"""),707)</f>
        <v>707</v>
      </c>
      <c r="Y336" s="1">
        <f ca="1">IFERROR(__xludf.DUMMYFUNCTION("""COMPUTED_VALUE"""),0.642)</f>
        <v>0.64200000000000002</v>
      </c>
      <c r="Z336" s="1">
        <f ca="1">IFERROR(__xludf.DUMMYFUNCTION("""COMPUTED_VALUE"""),325)</f>
        <v>325</v>
      </c>
      <c r="AA336" s="1">
        <f ca="1">IFERROR(__xludf.DUMMYFUNCTION("""COMPUTED_VALUE"""),1147)</f>
        <v>1147</v>
      </c>
      <c r="AB336" s="1">
        <f ca="1">IFERROR(__xludf.DUMMYFUNCTION("""COMPUTED_VALUE"""),439)</f>
        <v>439</v>
      </c>
      <c r="AC336" s="1">
        <f ca="1">IFERROR(__xludf.DUMMYFUNCTION("""COMPUTED_VALUE"""),218)</f>
        <v>218</v>
      </c>
      <c r="AD336" s="1">
        <f ca="1">IFERROR(__xludf.DUMMYFUNCTION("""COMPUTED_VALUE"""),130)</f>
        <v>130</v>
      </c>
      <c r="AE336" s="1">
        <f ca="1">IFERROR(__xludf.DUMMYFUNCTION("""COMPUTED_VALUE"""),386)</f>
        <v>386</v>
      </c>
      <c r="AF336" s="1">
        <f ca="1">IFERROR(__xludf.DUMMYFUNCTION("""COMPUTED_VALUE"""),609)</f>
        <v>609</v>
      </c>
    </row>
    <row r="337" spans="1:32" ht="12.5" x14ac:dyDescent="0.25">
      <c r="A337" s="1" t="str">
        <f ca="1">IFERROR(__xludf.DUMMYFUNCTION("""COMPUTED_VALUE"""),"Texas-Arlington")</f>
        <v>Texas-Arlington</v>
      </c>
      <c r="B337" s="1">
        <f ca="1">IFERROR(__xludf.DUMMYFUNCTION("""COMPUTED_VALUE"""),32)</f>
        <v>32</v>
      </c>
      <c r="C337" s="1">
        <f ca="1">IFERROR(__xludf.DUMMYFUNCTION("""COMPUTED_VALUE"""),15)</f>
        <v>15</v>
      </c>
      <c r="D337" s="1">
        <f ca="1">IFERROR(__xludf.DUMMYFUNCTION("""COMPUTED_VALUE"""),17)</f>
        <v>17</v>
      </c>
      <c r="E337" s="1">
        <f ca="1">IFERROR(__xludf.DUMMYFUNCTION("""COMPUTED_VALUE"""),0.469)</f>
        <v>0.46899999999999997</v>
      </c>
      <c r="F337" s="1">
        <f ca="1">IFERROR(__xludf.DUMMYFUNCTION("""COMPUTED_VALUE"""),-4.92)</f>
        <v>-4.92</v>
      </c>
      <c r="G337" s="1">
        <f ca="1">IFERROR(__xludf.DUMMYFUNCTION("""COMPUTED_VALUE"""),-0.92)</f>
        <v>-0.92</v>
      </c>
      <c r="H337" s="1">
        <f ca="1">IFERROR(__xludf.DUMMYFUNCTION("""COMPUTED_VALUE"""),9)</f>
        <v>9</v>
      </c>
      <c r="I337" s="1">
        <f ca="1">IFERROR(__xludf.DUMMYFUNCTION("""COMPUTED_VALUE"""),9)</f>
        <v>9</v>
      </c>
      <c r="J337" s="1">
        <f ca="1">IFERROR(__xludf.DUMMYFUNCTION("""COMPUTED_VALUE"""),9)</f>
        <v>9</v>
      </c>
      <c r="K337" s="1">
        <f ca="1">IFERROR(__xludf.DUMMYFUNCTION("""COMPUTED_VALUE"""),5)</f>
        <v>5</v>
      </c>
      <c r="L337" s="1">
        <f ca="1">IFERROR(__xludf.DUMMYFUNCTION("""COMPUTED_VALUE"""),5)</f>
        <v>5</v>
      </c>
      <c r="M337" s="1">
        <f ca="1">IFERROR(__xludf.DUMMYFUNCTION("""COMPUTED_VALUE"""),11)</f>
        <v>11</v>
      </c>
      <c r="N337" s="1">
        <f ca="1">IFERROR(__xludf.DUMMYFUNCTION("""COMPUTED_VALUE"""),2443)</f>
        <v>2443</v>
      </c>
      <c r="O337" s="1">
        <f ca="1">IFERROR(__xludf.DUMMYFUNCTION("""COMPUTED_VALUE"""),2488)</f>
        <v>2488</v>
      </c>
      <c r="P337" s="1">
        <f ca="1">IFERROR(__xludf.DUMMYFUNCTION("""COMPUTED_VALUE"""),1304)</f>
        <v>1304</v>
      </c>
      <c r="Q337" s="1">
        <f ca="1">IFERROR(__xludf.DUMMYFUNCTION("""COMPUTED_VALUE"""),815)</f>
        <v>815</v>
      </c>
      <c r="R337" s="1">
        <f ca="1">IFERROR(__xludf.DUMMYFUNCTION("""COMPUTED_VALUE"""),1865)</f>
        <v>1865</v>
      </c>
      <c r="S337" s="1">
        <f ca="1">IFERROR(__xludf.DUMMYFUNCTION("""COMPUTED_VALUE"""),0.437)</f>
        <v>0.437</v>
      </c>
      <c r="T337" s="1">
        <f ca="1">IFERROR(__xludf.DUMMYFUNCTION("""COMPUTED_VALUE"""),259)</f>
        <v>259</v>
      </c>
      <c r="U337" s="1">
        <f ca="1">IFERROR(__xludf.DUMMYFUNCTION("""COMPUTED_VALUE"""),748)</f>
        <v>748</v>
      </c>
      <c r="V337" s="1">
        <f ca="1">IFERROR(__xludf.DUMMYFUNCTION("""COMPUTED_VALUE"""),0.346)</f>
        <v>0.34599999999999997</v>
      </c>
      <c r="W337" s="1">
        <f ca="1">IFERROR(__xludf.DUMMYFUNCTION("""COMPUTED_VALUE"""),554)</f>
        <v>554</v>
      </c>
      <c r="X337" s="1">
        <f ca="1">IFERROR(__xludf.DUMMYFUNCTION("""COMPUTED_VALUE"""),785)</f>
        <v>785</v>
      </c>
      <c r="Y337" s="1">
        <f ca="1">IFERROR(__xludf.DUMMYFUNCTION("""COMPUTED_VALUE"""),0.706)</f>
        <v>0.70599999999999996</v>
      </c>
      <c r="Z337" s="1">
        <f ca="1">IFERROR(__xludf.DUMMYFUNCTION("""COMPUTED_VALUE"""),373)</f>
        <v>373</v>
      </c>
      <c r="AA337" s="1">
        <f ca="1">IFERROR(__xludf.DUMMYFUNCTION("""COMPUTED_VALUE"""),1185)</f>
        <v>1185</v>
      </c>
      <c r="AB337" s="1">
        <f ca="1">IFERROR(__xludf.DUMMYFUNCTION("""COMPUTED_VALUE"""),390)</f>
        <v>390</v>
      </c>
      <c r="AC337" s="1">
        <f ca="1">IFERROR(__xludf.DUMMYFUNCTION("""COMPUTED_VALUE"""),163)</f>
        <v>163</v>
      </c>
      <c r="AD337" s="1">
        <f ca="1">IFERROR(__xludf.DUMMYFUNCTION("""COMPUTED_VALUE"""),120)</f>
        <v>120</v>
      </c>
      <c r="AE337" s="1">
        <f ca="1">IFERROR(__xludf.DUMMYFUNCTION("""COMPUTED_VALUE"""),431)</f>
        <v>431</v>
      </c>
      <c r="AF337" s="1">
        <f ca="1">IFERROR(__xludf.DUMMYFUNCTION("""COMPUTED_VALUE"""),634)</f>
        <v>634</v>
      </c>
    </row>
    <row r="338" spans="1:32" ht="12.5" x14ac:dyDescent="0.25">
      <c r="A338" s="1" t="str">
        <f ca="1">IFERROR(__xludf.DUMMYFUNCTION("""COMPUTED_VALUE"""),"Texas Christian")</f>
        <v>Texas Christian</v>
      </c>
      <c r="B338" s="1">
        <f ca="1">IFERROR(__xludf.DUMMYFUNCTION("""COMPUTED_VALUE"""),31)</f>
        <v>31</v>
      </c>
      <c r="C338" s="1">
        <f ca="1">IFERROR(__xludf.DUMMYFUNCTION("""COMPUTED_VALUE"""),9)</f>
        <v>9</v>
      </c>
      <c r="D338" s="1">
        <f ca="1">IFERROR(__xludf.DUMMYFUNCTION("""COMPUTED_VALUE"""),22)</f>
        <v>22</v>
      </c>
      <c r="E338" s="1">
        <f ca="1">IFERROR(__xludf.DUMMYFUNCTION("""COMPUTED_VALUE"""),0.29)</f>
        <v>0.28999999999999998</v>
      </c>
      <c r="F338" s="1">
        <f ca="1">IFERROR(__xludf.DUMMYFUNCTION("""COMPUTED_VALUE"""),-1.33)</f>
        <v>-1.33</v>
      </c>
      <c r="G338" s="1">
        <f ca="1">IFERROR(__xludf.DUMMYFUNCTION("""COMPUTED_VALUE"""),7.9)</f>
        <v>7.9</v>
      </c>
      <c r="H338" s="1">
        <f ca="1">IFERROR(__xludf.DUMMYFUNCTION("""COMPUTED_VALUE"""),0)</f>
        <v>0</v>
      </c>
      <c r="I338" s="1">
        <f ca="1">IFERROR(__xludf.DUMMYFUNCTION("""COMPUTED_VALUE"""),18)</f>
        <v>18</v>
      </c>
      <c r="J338" s="1">
        <f ca="1">IFERROR(__xludf.DUMMYFUNCTION("""COMPUTED_VALUE"""),5)</f>
        <v>5</v>
      </c>
      <c r="K338" s="1">
        <f ca="1">IFERROR(__xludf.DUMMYFUNCTION("""COMPUTED_VALUE"""),10)</f>
        <v>10</v>
      </c>
      <c r="L338" s="1">
        <f ca="1">IFERROR(__xludf.DUMMYFUNCTION("""COMPUTED_VALUE"""),3)</f>
        <v>3</v>
      </c>
      <c r="M338" s="1">
        <f ca="1">IFERROR(__xludf.DUMMYFUNCTION("""COMPUTED_VALUE"""),9)</f>
        <v>9</v>
      </c>
      <c r="N338" s="1">
        <f ca="1">IFERROR(__xludf.DUMMYFUNCTION("""COMPUTED_VALUE"""),1973)</f>
        <v>1973</v>
      </c>
      <c r="O338" s="1">
        <f ca="1">IFERROR(__xludf.DUMMYFUNCTION("""COMPUTED_VALUE"""),2247)</f>
        <v>2247</v>
      </c>
      <c r="P338" s="1">
        <f ca="1">IFERROR(__xludf.DUMMYFUNCTION("""COMPUTED_VALUE"""),1240)</f>
        <v>1240</v>
      </c>
      <c r="Q338" s="1">
        <f ca="1">IFERROR(__xludf.DUMMYFUNCTION("""COMPUTED_VALUE"""),654)</f>
        <v>654</v>
      </c>
      <c r="R338" s="1">
        <f ca="1">IFERROR(__xludf.DUMMYFUNCTION("""COMPUTED_VALUE"""),1623)</f>
        <v>1623</v>
      </c>
      <c r="S338" s="1">
        <f ca="1">IFERROR(__xludf.DUMMYFUNCTION("""COMPUTED_VALUE"""),0.403)</f>
        <v>0.40300000000000002</v>
      </c>
      <c r="T338" s="1">
        <f ca="1">IFERROR(__xludf.DUMMYFUNCTION("""COMPUTED_VALUE"""),146)</f>
        <v>146</v>
      </c>
      <c r="U338" s="1">
        <f ca="1">IFERROR(__xludf.DUMMYFUNCTION("""COMPUTED_VALUE"""),454)</f>
        <v>454</v>
      </c>
      <c r="V338" s="1">
        <f ca="1">IFERROR(__xludf.DUMMYFUNCTION("""COMPUTED_VALUE"""),0.322)</f>
        <v>0.32200000000000001</v>
      </c>
      <c r="W338" s="1">
        <f ca="1">IFERROR(__xludf.DUMMYFUNCTION("""COMPUTED_VALUE"""),519)</f>
        <v>519</v>
      </c>
      <c r="X338" s="1">
        <f ca="1">IFERROR(__xludf.DUMMYFUNCTION("""COMPUTED_VALUE"""),709)</f>
        <v>709</v>
      </c>
      <c r="Y338" s="1">
        <f ca="1">IFERROR(__xludf.DUMMYFUNCTION("""COMPUTED_VALUE"""),0.732)</f>
        <v>0.73199999999999998</v>
      </c>
      <c r="Z338" s="1">
        <f ca="1">IFERROR(__xludf.DUMMYFUNCTION("""COMPUTED_VALUE"""),259)</f>
        <v>259</v>
      </c>
      <c r="AA338" s="1">
        <f ca="1">IFERROR(__xludf.DUMMYFUNCTION("""COMPUTED_VALUE"""),928)</f>
        <v>928</v>
      </c>
      <c r="AB338" s="1">
        <f ca="1">IFERROR(__xludf.DUMMYFUNCTION("""COMPUTED_VALUE"""),354)</f>
        <v>354</v>
      </c>
      <c r="AC338" s="1">
        <f ca="1">IFERROR(__xludf.DUMMYFUNCTION("""COMPUTED_VALUE"""),185)</f>
        <v>185</v>
      </c>
      <c r="AD338" s="1">
        <f ca="1">IFERROR(__xludf.DUMMYFUNCTION("""COMPUTED_VALUE"""),100)</f>
        <v>100</v>
      </c>
      <c r="AE338" s="1">
        <f ca="1">IFERROR(__xludf.DUMMYFUNCTION("""COMPUTED_VALUE"""),362)</f>
        <v>362</v>
      </c>
      <c r="AF338" s="1">
        <f ca="1">IFERROR(__xludf.DUMMYFUNCTION("""COMPUTED_VALUE"""),534)</f>
        <v>534</v>
      </c>
    </row>
    <row r="339" spans="1:32" ht="12.5" x14ac:dyDescent="0.25">
      <c r="A339" s="1" t="str">
        <f ca="1">IFERROR(__xludf.DUMMYFUNCTION("""COMPUTED_VALUE"""),"Texas-El Paso")</f>
        <v>Texas-El Paso</v>
      </c>
      <c r="B339" s="1">
        <f ca="1">IFERROR(__xludf.DUMMYFUNCTION("""COMPUTED_VALUE"""),34)</f>
        <v>34</v>
      </c>
      <c r="C339" s="1">
        <f ca="1">IFERROR(__xludf.DUMMYFUNCTION("""COMPUTED_VALUE"""),23)</f>
        <v>23</v>
      </c>
      <c r="D339" s="1">
        <f ca="1">IFERROR(__xludf.DUMMYFUNCTION("""COMPUTED_VALUE"""),11)</f>
        <v>11</v>
      </c>
      <c r="E339" s="1">
        <f ca="1">IFERROR(__xludf.DUMMYFUNCTION("""COMPUTED_VALUE"""),0.676)</f>
        <v>0.67600000000000005</v>
      </c>
      <c r="F339" s="1">
        <f ca="1">IFERROR(__xludf.DUMMYFUNCTION("""COMPUTED_VALUE"""),4.39)</f>
        <v>4.3899999999999997</v>
      </c>
      <c r="G339" s="1">
        <f ca="1">IFERROR(__xludf.DUMMYFUNCTION("""COMPUTED_VALUE"""),0.05)</f>
        <v>0.05</v>
      </c>
      <c r="H339" s="1">
        <f ca="1">IFERROR(__xludf.DUMMYFUNCTION("""COMPUTED_VALUE"""),12)</f>
        <v>12</v>
      </c>
      <c r="I339" s="1">
        <f ca="1">IFERROR(__xludf.DUMMYFUNCTION("""COMPUTED_VALUE"""),4)</f>
        <v>4</v>
      </c>
      <c r="J339" s="1">
        <f ca="1">IFERROR(__xludf.DUMMYFUNCTION("""COMPUTED_VALUE"""),14)</f>
        <v>14</v>
      </c>
      <c r="K339" s="1">
        <f ca="1">IFERROR(__xludf.DUMMYFUNCTION("""COMPUTED_VALUE"""),6)</f>
        <v>6</v>
      </c>
      <c r="L339" s="1">
        <f ca="1">IFERROR(__xludf.DUMMYFUNCTION("""COMPUTED_VALUE"""),8)</f>
        <v>8</v>
      </c>
      <c r="M339" s="1">
        <f ca="1">IFERROR(__xludf.DUMMYFUNCTION("""COMPUTED_VALUE"""),2)</f>
        <v>2</v>
      </c>
      <c r="N339" s="1">
        <f ca="1">IFERROR(__xludf.DUMMYFUNCTION("""COMPUTED_VALUE"""),2347)</f>
        <v>2347</v>
      </c>
      <c r="O339" s="1">
        <f ca="1">IFERROR(__xludf.DUMMYFUNCTION("""COMPUTED_VALUE"""),2152)</f>
        <v>2152</v>
      </c>
      <c r="P339" s="1">
        <f ca="1">IFERROR(__xludf.DUMMYFUNCTION("""COMPUTED_VALUE"""),1370)</f>
        <v>1370</v>
      </c>
      <c r="Q339" s="1">
        <f ca="1">IFERROR(__xludf.DUMMYFUNCTION("""COMPUTED_VALUE"""),797)</f>
        <v>797</v>
      </c>
      <c r="R339" s="1">
        <f ca="1">IFERROR(__xludf.DUMMYFUNCTION("""COMPUTED_VALUE"""),1714)</f>
        <v>1714</v>
      </c>
      <c r="S339" s="1">
        <f ca="1">IFERROR(__xludf.DUMMYFUNCTION("""COMPUTED_VALUE"""),0.465)</f>
        <v>0.46500000000000002</v>
      </c>
      <c r="T339" s="1">
        <f ca="1">IFERROR(__xludf.DUMMYFUNCTION("""COMPUTED_VALUE"""),151)</f>
        <v>151</v>
      </c>
      <c r="U339" s="1">
        <f ca="1">IFERROR(__xludf.DUMMYFUNCTION("""COMPUTED_VALUE"""),457)</f>
        <v>457</v>
      </c>
      <c r="V339" s="1">
        <f ca="1">IFERROR(__xludf.DUMMYFUNCTION("""COMPUTED_VALUE"""),0.33)</f>
        <v>0.33</v>
      </c>
      <c r="W339" s="1">
        <f ca="1">IFERROR(__xludf.DUMMYFUNCTION("""COMPUTED_VALUE"""),602)</f>
        <v>602</v>
      </c>
      <c r="X339" s="1">
        <f ca="1">IFERROR(__xludf.DUMMYFUNCTION("""COMPUTED_VALUE"""),880)</f>
        <v>880</v>
      </c>
      <c r="Y339" s="1">
        <f ca="1">IFERROR(__xludf.DUMMYFUNCTION("""COMPUTED_VALUE"""),0.684)</f>
        <v>0.68400000000000005</v>
      </c>
      <c r="Z339" s="1">
        <f ca="1">IFERROR(__xludf.DUMMYFUNCTION("""COMPUTED_VALUE"""),348)</f>
        <v>348</v>
      </c>
      <c r="AA339" s="1">
        <f ca="1">IFERROR(__xludf.DUMMYFUNCTION("""COMPUTED_VALUE"""),1233)</f>
        <v>1233</v>
      </c>
      <c r="AB339" s="1">
        <f ca="1">IFERROR(__xludf.DUMMYFUNCTION("""COMPUTED_VALUE"""),458)</f>
        <v>458</v>
      </c>
      <c r="AC339" s="1">
        <f ca="1">IFERROR(__xludf.DUMMYFUNCTION("""COMPUTED_VALUE"""),170)</f>
        <v>170</v>
      </c>
      <c r="AD339" s="1">
        <f ca="1">IFERROR(__xludf.DUMMYFUNCTION("""COMPUTED_VALUE"""),138)</f>
        <v>138</v>
      </c>
      <c r="AE339" s="1">
        <f ca="1">IFERROR(__xludf.DUMMYFUNCTION("""COMPUTED_VALUE"""),451)</f>
        <v>451</v>
      </c>
      <c r="AF339" s="1">
        <f ca="1">IFERROR(__xludf.DUMMYFUNCTION("""COMPUTED_VALUE"""),618)</f>
        <v>618</v>
      </c>
    </row>
    <row r="340" spans="1:32" ht="12.5" x14ac:dyDescent="0.25">
      <c r="A340" s="1" t="str">
        <f ca="1">IFERROR(__xludf.DUMMYFUNCTION("""COMPUTED_VALUE"""),"Texas-Rio Grande Valley")</f>
        <v>Texas-Rio Grande Valley</v>
      </c>
      <c r="B340" s="1">
        <f ca="1">IFERROR(__xludf.DUMMYFUNCTION("""COMPUTED_VALUE"""),32)</f>
        <v>32</v>
      </c>
      <c r="C340" s="1">
        <f ca="1">IFERROR(__xludf.DUMMYFUNCTION("""COMPUTED_VALUE"""),9)</f>
        <v>9</v>
      </c>
      <c r="D340" s="1">
        <f ca="1">IFERROR(__xludf.DUMMYFUNCTION("""COMPUTED_VALUE"""),23)</f>
        <v>23</v>
      </c>
      <c r="E340" s="1">
        <f ca="1">IFERROR(__xludf.DUMMYFUNCTION("""COMPUTED_VALUE"""),0.281)</f>
        <v>0.28100000000000003</v>
      </c>
      <c r="F340" s="1">
        <f ca="1">IFERROR(__xludf.DUMMYFUNCTION("""COMPUTED_VALUE"""),-10.65)</f>
        <v>-10.65</v>
      </c>
      <c r="G340" s="1">
        <f ca="1">IFERROR(__xludf.DUMMYFUNCTION("""COMPUTED_VALUE"""),-4.42)</f>
        <v>-4.42</v>
      </c>
      <c r="H340" s="1">
        <f ca="1">IFERROR(__xludf.DUMMYFUNCTION("""COMPUTED_VALUE"""),5)</f>
        <v>5</v>
      </c>
      <c r="I340" s="1">
        <f ca="1">IFERROR(__xludf.DUMMYFUNCTION("""COMPUTED_VALUE"""),11)</f>
        <v>11</v>
      </c>
      <c r="J340" s="1">
        <f ca="1">IFERROR(__xludf.DUMMYFUNCTION("""COMPUTED_VALUE"""),3)</f>
        <v>3</v>
      </c>
      <c r="K340" s="1">
        <f ca="1">IFERROR(__xludf.DUMMYFUNCTION("""COMPUTED_VALUE"""),10)</f>
        <v>10</v>
      </c>
      <c r="L340" s="1">
        <f ca="1">IFERROR(__xludf.DUMMYFUNCTION("""COMPUTED_VALUE"""),5)</f>
        <v>5</v>
      </c>
      <c r="M340" s="1">
        <f ca="1">IFERROR(__xludf.DUMMYFUNCTION("""COMPUTED_VALUE"""),11)</f>
        <v>11</v>
      </c>
      <c r="N340" s="1">
        <f ca="1">IFERROR(__xludf.DUMMYFUNCTION("""COMPUTED_VALUE"""),2101)</f>
        <v>2101</v>
      </c>
      <c r="O340" s="1">
        <f ca="1">IFERROR(__xludf.DUMMYFUNCTION("""COMPUTED_VALUE"""),2262)</f>
        <v>2262</v>
      </c>
      <c r="P340" s="1">
        <f ca="1">IFERROR(__xludf.DUMMYFUNCTION("""COMPUTED_VALUE"""),1305)</f>
        <v>1305</v>
      </c>
      <c r="Q340" s="1">
        <f ca="1">IFERROR(__xludf.DUMMYFUNCTION("""COMPUTED_VALUE"""),755)</f>
        <v>755</v>
      </c>
      <c r="R340" s="1">
        <f ca="1">IFERROR(__xludf.DUMMYFUNCTION("""COMPUTED_VALUE"""),1828)</f>
        <v>1828</v>
      </c>
      <c r="S340" s="1">
        <f ca="1">IFERROR(__xludf.DUMMYFUNCTION("""COMPUTED_VALUE"""),0.413)</f>
        <v>0.41299999999999998</v>
      </c>
      <c r="T340" s="1">
        <f ca="1">IFERROR(__xludf.DUMMYFUNCTION("""COMPUTED_VALUE"""),155)</f>
        <v>155</v>
      </c>
      <c r="U340" s="1">
        <f ca="1">IFERROR(__xludf.DUMMYFUNCTION("""COMPUTED_VALUE"""),555)</f>
        <v>555</v>
      </c>
      <c r="V340" s="1">
        <f ca="1">IFERROR(__xludf.DUMMYFUNCTION("""COMPUTED_VALUE"""),0.279)</f>
        <v>0.27900000000000003</v>
      </c>
      <c r="W340" s="1">
        <f ca="1">IFERROR(__xludf.DUMMYFUNCTION("""COMPUTED_VALUE"""),436)</f>
        <v>436</v>
      </c>
      <c r="X340" s="1">
        <f ca="1">IFERROR(__xludf.DUMMYFUNCTION("""COMPUTED_VALUE"""),660)</f>
        <v>660</v>
      </c>
      <c r="Y340" s="1">
        <f ca="1">IFERROR(__xludf.DUMMYFUNCTION("""COMPUTED_VALUE"""),0.661)</f>
        <v>0.66100000000000003</v>
      </c>
      <c r="Z340" s="1">
        <f ca="1">IFERROR(__xludf.DUMMYFUNCTION("""COMPUTED_VALUE"""),349)</f>
        <v>349</v>
      </c>
      <c r="AA340" s="1">
        <f ca="1">IFERROR(__xludf.DUMMYFUNCTION("""COMPUTED_VALUE"""),1058)</f>
        <v>1058</v>
      </c>
      <c r="AB340" s="1">
        <f ca="1">IFERROR(__xludf.DUMMYFUNCTION("""COMPUTED_VALUE"""),400)</f>
        <v>400</v>
      </c>
      <c r="AC340" s="1">
        <f ca="1">IFERROR(__xludf.DUMMYFUNCTION("""COMPUTED_VALUE"""),224)</f>
        <v>224</v>
      </c>
      <c r="AD340" s="1">
        <f ca="1">IFERROR(__xludf.DUMMYFUNCTION("""COMPUTED_VALUE"""),75)</f>
        <v>75</v>
      </c>
      <c r="AE340" s="1">
        <f ca="1">IFERROR(__xludf.DUMMYFUNCTION("""COMPUTED_VALUE"""),391)</f>
        <v>391</v>
      </c>
      <c r="AF340" s="1">
        <f ca="1">IFERROR(__xludf.DUMMYFUNCTION("""COMPUTED_VALUE"""),663)</f>
        <v>663</v>
      </c>
    </row>
    <row r="341" spans="1:32" ht="12.5" x14ac:dyDescent="0.25">
      <c r="A341" s="1" t="str">
        <f ca="1">IFERROR(__xludf.DUMMYFUNCTION("""COMPUTED_VALUE"""),"Texas-San Antonio")</f>
        <v>Texas-San Antonio</v>
      </c>
      <c r="B341" s="1">
        <f ca="1">IFERROR(__xludf.DUMMYFUNCTION("""COMPUTED_VALUE"""),30)</f>
        <v>30</v>
      </c>
      <c r="C341" s="1">
        <f ca="1">IFERROR(__xludf.DUMMYFUNCTION("""COMPUTED_VALUE"""),8)</f>
        <v>8</v>
      </c>
      <c r="D341" s="1">
        <f ca="1">IFERROR(__xludf.DUMMYFUNCTION("""COMPUTED_VALUE"""),22)</f>
        <v>22</v>
      </c>
      <c r="E341" s="1">
        <f ca="1">IFERROR(__xludf.DUMMYFUNCTION("""COMPUTED_VALUE"""),0.267)</f>
        <v>0.26700000000000002</v>
      </c>
      <c r="F341" s="1">
        <f ca="1">IFERROR(__xludf.DUMMYFUNCTION("""COMPUTED_VALUE"""),-11.1)</f>
        <v>-11.1</v>
      </c>
      <c r="G341" s="1">
        <f ca="1">IFERROR(__xludf.DUMMYFUNCTION("""COMPUTED_VALUE"""),-1.03)</f>
        <v>-1.03</v>
      </c>
      <c r="H341" s="1">
        <f ca="1">IFERROR(__xludf.DUMMYFUNCTION("""COMPUTED_VALUE"""),4)</f>
        <v>4</v>
      </c>
      <c r="I341" s="1">
        <f ca="1">IFERROR(__xludf.DUMMYFUNCTION("""COMPUTED_VALUE"""),12)</f>
        <v>12</v>
      </c>
      <c r="J341" s="1">
        <f ca="1">IFERROR(__xludf.DUMMYFUNCTION("""COMPUTED_VALUE"""),7)</f>
        <v>7</v>
      </c>
      <c r="K341" s="1">
        <f ca="1">IFERROR(__xludf.DUMMYFUNCTION("""COMPUTED_VALUE"""),9)</f>
        <v>9</v>
      </c>
      <c r="L341" s="1">
        <f ca="1">IFERROR(__xludf.DUMMYFUNCTION("""COMPUTED_VALUE"""),1)</f>
        <v>1</v>
      </c>
      <c r="M341" s="1">
        <f ca="1">IFERROR(__xludf.DUMMYFUNCTION("""COMPUTED_VALUE"""),12)</f>
        <v>12</v>
      </c>
      <c r="N341" s="1">
        <f ca="1">IFERROR(__xludf.DUMMYFUNCTION("""COMPUTED_VALUE"""),2066)</f>
        <v>2066</v>
      </c>
      <c r="O341" s="1">
        <f ca="1">IFERROR(__xludf.DUMMYFUNCTION("""COMPUTED_VALUE"""),2304)</f>
        <v>2304</v>
      </c>
      <c r="P341" s="1">
        <f ca="1">IFERROR(__xludf.DUMMYFUNCTION("""COMPUTED_VALUE"""),1205)</f>
        <v>1205</v>
      </c>
      <c r="Q341" s="1">
        <f ca="1">IFERROR(__xludf.DUMMYFUNCTION("""COMPUTED_VALUE"""),654)</f>
        <v>654</v>
      </c>
      <c r="R341" s="1">
        <f ca="1">IFERROR(__xludf.DUMMYFUNCTION("""COMPUTED_VALUE"""),1545)</f>
        <v>1545</v>
      </c>
      <c r="S341" s="1">
        <f ca="1">IFERROR(__xludf.DUMMYFUNCTION("""COMPUTED_VALUE"""),0.423)</f>
        <v>0.42299999999999999</v>
      </c>
      <c r="T341" s="1">
        <f ca="1">IFERROR(__xludf.DUMMYFUNCTION("""COMPUTED_VALUE"""),181)</f>
        <v>181</v>
      </c>
      <c r="U341" s="1">
        <f ca="1">IFERROR(__xludf.DUMMYFUNCTION("""COMPUTED_VALUE"""),547)</f>
        <v>547</v>
      </c>
      <c r="V341" s="1">
        <f ca="1">IFERROR(__xludf.DUMMYFUNCTION("""COMPUTED_VALUE"""),0.331)</f>
        <v>0.33100000000000002</v>
      </c>
      <c r="W341" s="1">
        <f ca="1">IFERROR(__xludf.DUMMYFUNCTION("""COMPUTED_VALUE"""),577)</f>
        <v>577</v>
      </c>
      <c r="X341" s="1">
        <f ca="1">IFERROR(__xludf.DUMMYFUNCTION("""COMPUTED_VALUE"""),836)</f>
        <v>836</v>
      </c>
      <c r="Y341" s="1">
        <f ca="1">IFERROR(__xludf.DUMMYFUNCTION("""COMPUTED_VALUE"""),0.69)</f>
        <v>0.69</v>
      </c>
      <c r="Z341" s="1">
        <f ca="1">IFERROR(__xludf.DUMMYFUNCTION("""COMPUTED_VALUE"""),360)</f>
        <v>360</v>
      </c>
      <c r="AA341" s="1">
        <f ca="1">IFERROR(__xludf.DUMMYFUNCTION("""COMPUTED_VALUE"""),1038)</f>
        <v>1038</v>
      </c>
      <c r="AB341" s="1">
        <f ca="1">IFERROR(__xludf.DUMMYFUNCTION("""COMPUTED_VALUE"""),316)</f>
        <v>316</v>
      </c>
      <c r="AC341" s="1">
        <f ca="1">IFERROR(__xludf.DUMMYFUNCTION("""COMPUTED_VALUE"""),181)</f>
        <v>181</v>
      </c>
      <c r="AD341" s="1">
        <f ca="1">IFERROR(__xludf.DUMMYFUNCTION("""COMPUTED_VALUE"""),55)</f>
        <v>55</v>
      </c>
      <c r="AE341" s="1">
        <f ca="1">IFERROR(__xludf.DUMMYFUNCTION("""COMPUTED_VALUE"""),473)</f>
        <v>473</v>
      </c>
      <c r="AF341" s="1">
        <f ca="1">IFERROR(__xludf.DUMMYFUNCTION("""COMPUTED_VALUE"""),619)</f>
        <v>619</v>
      </c>
    </row>
    <row r="342" spans="1:32" ht="12.5" x14ac:dyDescent="0.25">
      <c r="A342" s="1" t="str">
        <f ca="1">IFERROR(__xludf.DUMMYFUNCTION("""COMPUTED_VALUE"""),"Texas SouthernNCAA")</f>
        <v>Texas SouthernNCAA</v>
      </c>
      <c r="B342" s="1">
        <f ca="1">IFERROR(__xludf.DUMMYFUNCTION("""COMPUTED_VALUE"""),34)</f>
        <v>34</v>
      </c>
      <c r="C342" s="1">
        <f ca="1">IFERROR(__xludf.DUMMYFUNCTION("""COMPUTED_VALUE"""),19)</f>
        <v>19</v>
      </c>
      <c r="D342" s="1">
        <f ca="1">IFERROR(__xludf.DUMMYFUNCTION("""COMPUTED_VALUE"""),15)</f>
        <v>15</v>
      </c>
      <c r="E342" s="1">
        <f ca="1">IFERROR(__xludf.DUMMYFUNCTION("""COMPUTED_VALUE"""),0.559)</f>
        <v>0.55900000000000005</v>
      </c>
      <c r="F342" s="1">
        <f ca="1">IFERROR(__xludf.DUMMYFUNCTION("""COMPUTED_VALUE"""),-8.41)</f>
        <v>-8.41</v>
      </c>
      <c r="G342" s="1">
        <f ca="1">IFERROR(__xludf.DUMMYFUNCTION("""COMPUTED_VALUE"""),-10.07)</f>
        <v>-10.07</v>
      </c>
      <c r="H342" s="1">
        <f ca="1">IFERROR(__xludf.DUMMYFUNCTION("""COMPUTED_VALUE"""),12)</f>
        <v>12</v>
      </c>
      <c r="I342" s="1">
        <f ca="1">IFERROR(__xludf.DUMMYFUNCTION("""COMPUTED_VALUE"""),6)</f>
        <v>6</v>
      </c>
      <c r="J342" s="1">
        <f ca="1">IFERROR(__xludf.DUMMYFUNCTION("""COMPUTED_VALUE"""),9)</f>
        <v>9</v>
      </c>
      <c r="K342" s="1">
        <f ca="1">IFERROR(__xludf.DUMMYFUNCTION("""COMPUTED_VALUE"""),2)</f>
        <v>2</v>
      </c>
      <c r="L342" s="1">
        <f ca="1">IFERROR(__xludf.DUMMYFUNCTION("""COMPUTED_VALUE"""),6)</f>
        <v>6</v>
      </c>
      <c r="M342" s="1">
        <f ca="1">IFERROR(__xludf.DUMMYFUNCTION("""COMPUTED_VALUE"""),11)</f>
        <v>11</v>
      </c>
      <c r="N342" s="1">
        <f ca="1">IFERROR(__xludf.DUMMYFUNCTION("""COMPUTED_VALUE"""),2584)</f>
        <v>2584</v>
      </c>
      <c r="O342" s="1">
        <f ca="1">IFERROR(__xludf.DUMMYFUNCTION("""COMPUTED_VALUE"""),2512)</f>
        <v>2512</v>
      </c>
      <c r="P342" s="1">
        <f ca="1">IFERROR(__xludf.DUMMYFUNCTION("""COMPUTED_VALUE"""),1380)</f>
        <v>1380</v>
      </c>
      <c r="Q342" s="1">
        <f ca="1">IFERROR(__xludf.DUMMYFUNCTION("""COMPUTED_VALUE"""),857)</f>
        <v>857</v>
      </c>
      <c r="R342" s="1">
        <f ca="1">IFERROR(__xludf.DUMMYFUNCTION("""COMPUTED_VALUE"""),1854)</f>
        <v>1854</v>
      </c>
      <c r="S342" s="1">
        <f ca="1">IFERROR(__xludf.DUMMYFUNCTION("""COMPUTED_VALUE"""),0.462)</f>
        <v>0.46200000000000002</v>
      </c>
      <c r="T342" s="1">
        <f ca="1">IFERROR(__xludf.DUMMYFUNCTION("""COMPUTED_VALUE"""),217)</f>
        <v>217</v>
      </c>
      <c r="U342" s="1">
        <f ca="1">IFERROR(__xludf.DUMMYFUNCTION("""COMPUTED_VALUE"""),603)</f>
        <v>603</v>
      </c>
      <c r="V342" s="1">
        <f ca="1">IFERROR(__xludf.DUMMYFUNCTION("""COMPUTED_VALUE"""),0.36)</f>
        <v>0.36</v>
      </c>
      <c r="W342" s="1">
        <f ca="1">IFERROR(__xludf.DUMMYFUNCTION("""COMPUTED_VALUE"""),653)</f>
        <v>653</v>
      </c>
      <c r="X342" s="1">
        <f ca="1">IFERROR(__xludf.DUMMYFUNCTION("""COMPUTED_VALUE"""),910)</f>
        <v>910</v>
      </c>
      <c r="Y342" s="1">
        <f ca="1">IFERROR(__xludf.DUMMYFUNCTION("""COMPUTED_VALUE"""),0.718)</f>
        <v>0.71799999999999997</v>
      </c>
      <c r="Z342" s="1">
        <f ca="1">IFERROR(__xludf.DUMMYFUNCTION("""COMPUTED_VALUE"""),386)</f>
        <v>386</v>
      </c>
      <c r="AA342" s="1">
        <f ca="1">IFERROR(__xludf.DUMMYFUNCTION("""COMPUTED_VALUE"""),1246)</f>
        <v>1246</v>
      </c>
      <c r="AB342" s="1">
        <f ca="1">IFERROR(__xludf.DUMMYFUNCTION("""COMPUTED_VALUE"""),476)</f>
        <v>476</v>
      </c>
      <c r="AC342" s="1">
        <f ca="1">IFERROR(__xludf.DUMMYFUNCTION("""COMPUTED_VALUE"""),155)</f>
        <v>155</v>
      </c>
      <c r="AD342" s="1">
        <f ca="1">IFERROR(__xludf.DUMMYFUNCTION("""COMPUTED_VALUE"""),124)</f>
        <v>124</v>
      </c>
      <c r="AE342" s="1">
        <f ca="1">IFERROR(__xludf.DUMMYFUNCTION("""COMPUTED_VALUE"""),454)</f>
        <v>454</v>
      </c>
      <c r="AF342" s="1">
        <f ca="1">IFERROR(__xludf.DUMMYFUNCTION("""COMPUTED_VALUE"""),561)</f>
        <v>561</v>
      </c>
    </row>
    <row r="343" spans="1:32" ht="12.5" x14ac:dyDescent="0.25">
      <c r="A343" s="1" t="str">
        <f ca="1">IFERROR(__xludf.DUMMYFUNCTION("""COMPUTED_VALUE"""),"Texas State")</f>
        <v>Texas State</v>
      </c>
      <c r="B343" s="1">
        <f ca="1">IFERROR(__xludf.DUMMYFUNCTION("""COMPUTED_VALUE"""),31)</f>
        <v>31</v>
      </c>
      <c r="C343" s="1">
        <f ca="1">IFERROR(__xludf.DUMMYFUNCTION("""COMPUTED_VALUE"""),8)</f>
        <v>8</v>
      </c>
      <c r="D343" s="1">
        <f ca="1">IFERROR(__xludf.DUMMYFUNCTION("""COMPUTED_VALUE"""),23)</f>
        <v>23</v>
      </c>
      <c r="E343" s="1">
        <f ca="1">IFERROR(__xludf.DUMMYFUNCTION("""COMPUTED_VALUE"""),0.258)</f>
        <v>0.25800000000000001</v>
      </c>
      <c r="F343" s="1">
        <f ca="1">IFERROR(__xludf.DUMMYFUNCTION("""COMPUTED_VALUE"""),-7.74)</f>
        <v>-7.74</v>
      </c>
      <c r="G343" s="1">
        <f ca="1">IFERROR(__xludf.DUMMYFUNCTION("""COMPUTED_VALUE"""),-1.4)</f>
        <v>-1.4</v>
      </c>
      <c r="H343" s="1">
        <f ca="1">IFERROR(__xludf.DUMMYFUNCTION("""COMPUTED_VALUE"""),4)</f>
        <v>4</v>
      </c>
      <c r="I343" s="1">
        <f ca="1">IFERROR(__xludf.DUMMYFUNCTION("""COMPUTED_VALUE"""),14)</f>
        <v>14</v>
      </c>
      <c r="J343" s="1">
        <f ca="1">IFERROR(__xludf.DUMMYFUNCTION("""COMPUTED_VALUE"""),5)</f>
        <v>5</v>
      </c>
      <c r="K343" s="1">
        <f ca="1">IFERROR(__xludf.DUMMYFUNCTION("""COMPUTED_VALUE"""),9)</f>
        <v>9</v>
      </c>
      <c r="L343" s="1">
        <f ca="1">IFERROR(__xludf.DUMMYFUNCTION("""COMPUTED_VALUE"""),1)</f>
        <v>1</v>
      </c>
      <c r="M343" s="1">
        <f ca="1">IFERROR(__xludf.DUMMYFUNCTION("""COMPUTED_VALUE"""),13)</f>
        <v>13</v>
      </c>
      <c r="N343" s="1">
        <f ca="1">IFERROR(__xludf.DUMMYFUNCTION("""COMPUTED_VALUE"""),1903)</f>
        <v>1903</v>
      </c>
      <c r="O343" s="1">
        <f ca="1">IFERROR(__xludf.DUMMYFUNCTION("""COMPUTED_VALUE"""),2047)</f>
        <v>2047</v>
      </c>
      <c r="P343" s="1">
        <f ca="1">IFERROR(__xludf.DUMMYFUNCTION("""COMPUTED_VALUE"""),1245)</f>
        <v>1245</v>
      </c>
      <c r="Q343" s="1">
        <f ca="1">IFERROR(__xludf.DUMMYFUNCTION("""COMPUTED_VALUE"""),697)</f>
        <v>697</v>
      </c>
      <c r="R343" s="1">
        <f ca="1">IFERROR(__xludf.DUMMYFUNCTION("""COMPUTED_VALUE"""),1604)</f>
        <v>1604</v>
      </c>
      <c r="S343" s="1">
        <f ca="1">IFERROR(__xludf.DUMMYFUNCTION("""COMPUTED_VALUE"""),0.435)</f>
        <v>0.435</v>
      </c>
      <c r="T343" s="1">
        <f ca="1">IFERROR(__xludf.DUMMYFUNCTION("""COMPUTED_VALUE"""),145)</f>
        <v>145</v>
      </c>
      <c r="U343" s="1">
        <f ca="1">IFERROR(__xludf.DUMMYFUNCTION("""COMPUTED_VALUE"""),474)</f>
        <v>474</v>
      </c>
      <c r="V343" s="1">
        <f ca="1">IFERROR(__xludf.DUMMYFUNCTION("""COMPUTED_VALUE"""),0.306)</f>
        <v>0.30599999999999999</v>
      </c>
      <c r="W343" s="1">
        <f ca="1">IFERROR(__xludf.DUMMYFUNCTION("""COMPUTED_VALUE"""),364)</f>
        <v>364</v>
      </c>
      <c r="X343" s="1">
        <f ca="1">IFERROR(__xludf.DUMMYFUNCTION("""COMPUTED_VALUE"""),549)</f>
        <v>549</v>
      </c>
      <c r="Y343" s="1">
        <f ca="1">IFERROR(__xludf.DUMMYFUNCTION("""COMPUTED_VALUE"""),0.663)</f>
        <v>0.66300000000000003</v>
      </c>
      <c r="Z343" s="1">
        <f ca="1">IFERROR(__xludf.DUMMYFUNCTION("""COMPUTED_VALUE"""),313)</f>
        <v>313</v>
      </c>
      <c r="AA343" s="1">
        <f ca="1">IFERROR(__xludf.DUMMYFUNCTION("""COMPUTED_VALUE"""),1004)</f>
        <v>1004</v>
      </c>
      <c r="AB343" s="1">
        <f ca="1">IFERROR(__xludf.DUMMYFUNCTION("""COMPUTED_VALUE"""),344)</f>
        <v>344</v>
      </c>
      <c r="AC343" s="1">
        <f ca="1">IFERROR(__xludf.DUMMYFUNCTION("""COMPUTED_VALUE"""),182)</f>
        <v>182</v>
      </c>
      <c r="AD343" s="1">
        <f ca="1">IFERROR(__xludf.DUMMYFUNCTION("""COMPUTED_VALUE"""),87)</f>
        <v>87</v>
      </c>
      <c r="AE343" s="1">
        <f ca="1">IFERROR(__xludf.DUMMYFUNCTION("""COMPUTED_VALUE"""),425)</f>
        <v>425</v>
      </c>
      <c r="AF343" s="1">
        <f ca="1">IFERROR(__xludf.DUMMYFUNCTION("""COMPUTED_VALUE"""),561)</f>
        <v>561</v>
      </c>
    </row>
    <row r="344" spans="1:32" ht="12.5" x14ac:dyDescent="0.25">
      <c r="A344" s="1" t="str">
        <f ca="1">IFERROR(__xludf.DUMMYFUNCTION("""COMPUTED_VALUE"""),"Texas Tech")</f>
        <v>Texas Tech</v>
      </c>
      <c r="B344" s="1">
        <f ca="1">IFERROR(__xludf.DUMMYFUNCTION("""COMPUTED_VALUE"""),32)</f>
        <v>32</v>
      </c>
      <c r="C344" s="1">
        <f ca="1">IFERROR(__xludf.DUMMYFUNCTION("""COMPUTED_VALUE"""),14)</f>
        <v>14</v>
      </c>
      <c r="D344" s="1">
        <f ca="1">IFERROR(__xludf.DUMMYFUNCTION("""COMPUTED_VALUE"""),18)</f>
        <v>18</v>
      </c>
      <c r="E344" s="1">
        <f ca="1">IFERROR(__xludf.DUMMYFUNCTION("""COMPUTED_VALUE"""),0.438)</f>
        <v>0.438</v>
      </c>
      <c r="F344" s="1">
        <f ca="1">IFERROR(__xludf.DUMMYFUNCTION("""COMPUTED_VALUE"""),8.61)</f>
        <v>8.61</v>
      </c>
      <c r="G344" s="1">
        <f ca="1">IFERROR(__xludf.DUMMYFUNCTION("""COMPUTED_VALUE"""),8.61)</f>
        <v>8.61</v>
      </c>
      <c r="H344" s="1">
        <f ca="1">IFERROR(__xludf.DUMMYFUNCTION("""COMPUTED_VALUE"""),6)</f>
        <v>6</v>
      </c>
      <c r="I344" s="1">
        <f ca="1">IFERROR(__xludf.DUMMYFUNCTION("""COMPUTED_VALUE"""),12)</f>
        <v>12</v>
      </c>
      <c r="J344" s="1">
        <f ca="1">IFERROR(__xludf.DUMMYFUNCTION("""COMPUTED_VALUE"""),11)</f>
        <v>11</v>
      </c>
      <c r="K344" s="1">
        <f ca="1">IFERROR(__xludf.DUMMYFUNCTION("""COMPUTED_VALUE"""),6)</f>
        <v>6</v>
      </c>
      <c r="L344" s="1">
        <f ca="1">IFERROR(__xludf.DUMMYFUNCTION("""COMPUTED_VALUE"""),2)</f>
        <v>2</v>
      </c>
      <c r="M344" s="1">
        <f ca="1">IFERROR(__xludf.DUMMYFUNCTION("""COMPUTED_VALUE"""),10)</f>
        <v>10</v>
      </c>
      <c r="N344" s="1">
        <f ca="1">IFERROR(__xludf.DUMMYFUNCTION("""COMPUTED_VALUE"""),2190)</f>
        <v>2190</v>
      </c>
      <c r="O344" s="1">
        <f ca="1">IFERROR(__xludf.DUMMYFUNCTION("""COMPUTED_VALUE"""),2190)</f>
        <v>2190</v>
      </c>
      <c r="P344" s="1">
        <f ca="1">IFERROR(__xludf.DUMMYFUNCTION("""COMPUTED_VALUE"""),1285)</f>
        <v>1285</v>
      </c>
      <c r="Q344" s="1">
        <f ca="1">IFERROR(__xludf.DUMMYFUNCTION("""COMPUTED_VALUE"""),783)</f>
        <v>783</v>
      </c>
      <c r="R344" s="1">
        <f ca="1">IFERROR(__xludf.DUMMYFUNCTION("""COMPUTED_VALUE"""),1718)</f>
        <v>1718</v>
      </c>
      <c r="S344" s="1">
        <f ca="1">IFERROR(__xludf.DUMMYFUNCTION("""COMPUTED_VALUE"""),0.456)</f>
        <v>0.45600000000000002</v>
      </c>
      <c r="T344" s="1">
        <f ca="1">IFERROR(__xludf.DUMMYFUNCTION("""COMPUTED_VALUE"""),140)</f>
        <v>140</v>
      </c>
      <c r="U344" s="1">
        <f ca="1">IFERROR(__xludf.DUMMYFUNCTION("""COMPUTED_VALUE"""),450)</f>
        <v>450</v>
      </c>
      <c r="V344" s="1">
        <f ca="1">IFERROR(__xludf.DUMMYFUNCTION("""COMPUTED_VALUE"""),0.311)</f>
        <v>0.311</v>
      </c>
      <c r="W344" s="1">
        <f ca="1">IFERROR(__xludf.DUMMYFUNCTION("""COMPUTED_VALUE"""),484)</f>
        <v>484</v>
      </c>
      <c r="X344" s="1">
        <f ca="1">IFERROR(__xludf.DUMMYFUNCTION("""COMPUTED_VALUE"""),665)</f>
        <v>665</v>
      </c>
      <c r="Y344" s="1">
        <f ca="1">IFERROR(__xludf.DUMMYFUNCTION("""COMPUTED_VALUE"""),0.728)</f>
        <v>0.72799999999999998</v>
      </c>
      <c r="Z344" s="1">
        <f ca="1">IFERROR(__xludf.DUMMYFUNCTION("""COMPUTED_VALUE"""),377)</f>
        <v>377</v>
      </c>
      <c r="AA344" s="1">
        <f ca="1">IFERROR(__xludf.DUMMYFUNCTION("""COMPUTED_VALUE"""),1054)</f>
        <v>1054</v>
      </c>
      <c r="AB344" s="1">
        <f ca="1">IFERROR(__xludf.DUMMYFUNCTION("""COMPUTED_VALUE"""),366)</f>
        <v>366</v>
      </c>
      <c r="AC344" s="1">
        <f ca="1">IFERROR(__xludf.DUMMYFUNCTION("""COMPUTED_VALUE"""),196)</f>
        <v>196</v>
      </c>
      <c r="AD344" s="1">
        <f ca="1">IFERROR(__xludf.DUMMYFUNCTION("""COMPUTED_VALUE"""),117)</f>
        <v>117</v>
      </c>
      <c r="AE344" s="1">
        <f ca="1">IFERROR(__xludf.DUMMYFUNCTION("""COMPUTED_VALUE"""),385)</f>
        <v>385</v>
      </c>
      <c r="AF344" s="1">
        <f ca="1">IFERROR(__xludf.DUMMYFUNCTION("""COMPUTED_VALUE"""),605)</f>
        <v>605</v>
      </c>
    </row>
    <row r="345" spans="1:32" ht="12.5" x14ac:dyDescent="0.25">
      <c r="A345" s="1" t="str">
        <f ca="1">IFERROR(__xludf.DUMMYFUNCTION("""COMPUTED_VALUE"""),"TexasNCAA")</f>
        <v>TexasNCAA</v>
      </c>
      <c r="B345" s="1">
        <f ca="1">IFERROR(__xludf.DUMMYFUNCTION("""COMPUTED_VALUE"""),35)</f>
        <v>35</v>
      </c>
      <c r="C345" s="1">
        <f ca="1">IFERROR(__xludf.DUMMYFUNCTION("""COMPUTED_VALUE"""),24)</f>
        <v>24</v>
      </c>
      <c r="D345" s="1">
        <f ca="1">IFERROR(__xludf.DUMMYFUNCTION("""COMPUTED_VALUE"""),11)</f>
        <v>11</v>
      </c>
      <c r="E345" s="1">
        <f ca="1">IFERROR(__xludf.DUMMYFUNCTION("""COMPUTED_VALUE"""),0.686)</f>
        <v>0.68600000000000005</v>
      </c>
      <c r="F345" s="1">
        <f ca="1">IFERROR(__xludf.DUMMYFUNCTION("""COMPUTED_VALUE"""),12.67)</f>
        <v>12.67</v>
      </c>
      <c r="G345" s="1">
        <f ca="1">IFERROR(__xludf.DUMMYFUNCTION("""COMPUTED_VALUE"""),9.15)</f>
        <v>9.15</v>
      </c>
      <c r="H345" s="1">
        <f ca="1">IFERROR(__xludf.DUMMYFUNCTION("""COMPUTED_VALUE"""),11)</f>
        <v>11</v>
      </c>
      <c r="I345" s="1">
        <f ca="1">IFERROR(__xludf.DUMMYFUNCTION("""COMPUTED_VALUE"""),7)</f>
        <v>7</v>
      </c>
      <c r="J345" s="1">
        <f ca="1">IFERROR(__xludf.DUMMYFUNCTION("""COMPUTED_VALUE"""),16)</f>
        <v>16</v>
      </c>
      <c r="K345" s="1">
        <f ca="1">IFERROR(__xludf.DUMMYFUNCTION("""COMPUTED_VALUE"""),2)</f>
        <v>2</v>
      </c>
      <c r="L345" s="1">
        <f ca="1">IFERROR(__xludf.DUMMYFUNCTION("""COMPUTED_VALUE"""),4)</f>
        <v>4</v>
      </c>
      <c r="M345" s="1">
        <f ca="1">IFERROR(__xludf.DUMMYFUNCTION("""COMPUTED_VALUE"""),6)</f>
        <v>6</v>
      </c>
      <c r="N345" s="1">
        <f ca="1">IFERROR(__xludf.DUMMYFUNCTION("""COMPUTED_VALUE"""),2598)</f>
        <v>2598</v>
      </c>
      <c r="O345" s="1">
        <f ca="1">IFERROR(__xludf.DUMMYFUNCTION("""COMPUTED_VALUE"""),2475)</f>
        <v>2475</v>
      </c>
      <c r="P345" s="1">
        <f ca="1">IFERROR(__xludf.DUMMYFUNCTION("""COMPUTED_VALUE"""),1405)</f>
        <v>1405</v>
      </c>
      <c r="Q345" s="1">
        <f ca="1">IFERROR(__xludf.DUMMYFUNCTION("""COMPUTED_VALUE"""),905)</f>
        <v>905</v>
      </c>
      <c r="R345" s="1">
        <f ca="1">IFERROR(__xludf.DUMMYFUNCTION("""COMPUTED_VALUE"""),2095)</f>
        <v>2095</v>
      </c>
      <c r="S345" s="1">
        <f ca="1">IFERROR(__xludf.DUMMYFUNCTION("""COMPUTED_VALUE"""),0.432)</f>
        <v>0.432</v>
      </c>
      <c r="T345" s="1">
        <f ca="1">IFERROR(__xludf.DUMMYFUNCTION("""COMPUTED_VALUE"""),178)</f>
        <v>178</v>
      </c>
      <c r="U345" s="1">
        <f ca="1">IFERROR(__xludf.DUMMYFUNCTION("""COMPUTED_VALUE"""),545)</f>
        <v>545</v>
      </c>
      <c r="V345" s="1">
        <f ca="1">IFERROR(__xludf.DUMMYFUNCTION("""COMPUTED_VALUE"""),0.327)</f>
        <v>0.32700000000000001</v>
      </c>
      <c r="W345" s="1">
        <f ca="1">IFERROR(__xludf.DUMMYFUNCTION("""COMPUTED_VALUE"""),610)</f>
        <v>610</v>
      </c>
      <c r="X345" s="1">
        <f ca="1">IFERROR(__xludf.DUMMYFUNCTION("""COMPUTED_VALUE"""),909)</f>
        <v>909</v>
      </c>
      <c r="Y345" s="1">
        <f ca="1">IFERROR(__xludf.DUMMYFUNCTION("""COMPUTED_VALUE"""),0.671)</f>
        <v>0.67100000000000004</v>
      </c>
      <c r="Z345" s="1">
        <f ca="1">IFERROR(__xludf.DUMMYFUNCTION("""COMPUTED_VALUE"""),528)</f>
        <v>528</v>
      </c>
      <c r="AA345" s="1">
        <f ca="1">IFERROR(__xludf.DUMMYFUNCTION("""COMPUTED_VALUE"""),1449)</f>
        <v>1449</v>
      </c>
      <c r="AB345" s="1">
        <f ca="1">IFERROR(__xludf.DUMMYFUNCTION("""COMPUTED_VALUE"""),452)</f>
        <v>452</v>
      </c>
      <c r="AC345" s="1">
        <f ca="1">IFERROR(__xludf.DUMMYFUNCTION("""COMPUTED_VALUE"""),199)</f>
        <v>199</v>
      </c>
      <c r="AD345" s="1">
        <f ca="1">IFERROR(__xludf.DUMMYFUNCTION("""COMPUTED_VALUE"""),206)</f>
        <v>206</v>
      </c>
      <c r="AE345" s="1">
        <f ca="1">IFERROR(__xludf.DUMMYFUNCTION("""COMPUTED_VALUE"""),426)</f>
        <v>426</v>
      </c>
      <c r="AF345" s="1">
        <f ca="1">IFERROR(__xludf.DUMMYFUNCTION("""COMPUTED_VALUE"""),669)</f>
        <v>669</v>
      </c>
    </row>
    <row r="346" spans="1:32" ht="12.5" x14ac:dyDescent="0.25">
      <c r="A346" s="1" t="str">
        <f ca="1">IFERROR(__xludf.DUMMYFUNCTION("""COMPUTED_VALUE"""),"Toledo")</f>
        <v>Toledo</v>
      </c>
      <c r="B346" s="1">
        <f ca="1">IFERROR(__xludf.DUMMYFUNCTION("""COMPUTED_VALUE"""),34)</f>
        <v>34</v>
      </c>
      <c r="C346" s="1">
        <f ca="1">IFERROR(__xludf.DUMMYFUNCTION("""COMPUTED_VALUE"""),27)</f>
        <v>27</v>
      </c>
      <c r="D346" s="1">
        <f ca="1">IFERROR(__xludf.DUMMYFUNCTION("""COMPUTED_VALUE"""),7)</f>
        <v>7</v>
      </c>
      <c r="E346" s="1">
        <f ca="1">IFERROR(__xludf.DUMMYFUNCTION("""COMPUTED_VALUE"""),0.794)</f>
        <v>0.79400000000000004</v>
      </c>
      <c r="F346" s="1">
        <f ca="1">IFERROR(__xludf.DUMMYFUNCTION("""COMPUTED_VALUE"""),3.3)</f>
        <v>3.3</v>
      </c>
      <c r="G346" s="1">
        <f ca="1">IFERROR(__xludf.DUMMYFUNCTION("""COMPUTED_VALUE"""),-1.46)</f>
        <v>-1.46</v>
      </c>
      <c r="H346" s="1">
        <f ca="1">IFERROR(__xludf.DUMMYFUNCTION("""COMPUTED_VALUE"""),14)</f>
        <v>14</v>
      </c>
      <c r="I346" s="1">
        <f ca="1">IFERROR(__xludf.DUMMYFUNCTION("""COMPUTED_VALUE"""),4)</f>
        <v>4</v>
      </c>
      <c r="J346" s="1">
        <f ca="1">IFERROR(__xludf.DUMMYFUNCTION("""COMPUTED_VALUE"""),15)</f>
        <v>15</v>
      </c>
      <c r="K346" s="1">
        <f ca="1">IFERROR(__xludf.DUMMYFUNCTION("""COMPUTED_VALUE"""),0)</f>
        <v>0</v>
      </c>
      <c r="L346" s="1">
        <f ca="1">IFERROR(__xludf.DUMMYFUNCTION("""COMPUTED_VALUE"""),9)</f>
        <v>9</v>
      </c>
      <c r="M346" s="1">
        <f ca="1">IFERROR(__xludf.DUMMYFUNCTION("""COMPUTED_VALUE"""),6)</f>
        <v>6</v>
      </c>
      <c r="N346" s="1">
        <f ca="1">IFERROR(__xludf.DUMMYFUNCTION("""COMPUTED_VALUE"""),2694)</f>
        <v>2694</v>
      </c>
      <c r="O346" s="1">
        <f ca="1">IFERROR(__xludf.DUMMYFUNCTION("""COMPUTED_VALUE"""),2490)</f>
        <v>2490</v>
      </c>
      <c r="P346" s="1">
        <f ca="1">IFERROR(__xludf.DUMMYFUNCTION("""COMPUTED_VALUE"""),1370)</f>
        <v>1370</v>
      </c>
      <c r="Q346" s="1">
        <f ca="1">IFERROR(__xludf.DUMMYFUNCTION("""COMPUTED_VALUE"""),929)</f>
        <v>929</v>
      </c>
      <c r="R346" s="1">
        <f ca="1">IFERROR(__xludf.DUMMYFUNCTION("""COMPUTED_VALUE"""),1996)</f>
        <v>1996</v>
      </c>
      <c r="S346" s="1">
        <f ca="1">IFERROR(__xludf.DUMMYFUNCTION("""COMPUTED_VALUE"""),0.465)</f>
        <v>0.46500000000000002</v>
      </c>
      <c r="T346" s="1">
        <f ca="1">IFERROR(__xludf.DUMMYFUNCTION("""COMPUTED_VALUE"""),193)</f>
        <v>193</v>
      </c>
      <c r="U346" s="1">
        <f ca="1">IFERROR(__xludf.DUMMYFUNCTION("""COMPUTED_VALUE"""),560)</f>
        <v>560</v>
      </c>
      <c r="V346" s="1">
        <f ca="1">IFERROR(__xludf.DUMMYFUNCTION("""COMPUTED_VALUE"""),0.345)</f>
        <v>0.34499999999999997</v>
      </c>
      <c r="W346" s="1">
        <f ca="1">IFERROR(__xludf.DUMMYFUNCTION("""COMPUTED_VALUE"""),643)</f>
        <v>643</v>
      </c>
      <c r="X346" s="1">
        <f ca="1">IFERROR(__xludf.DUMMYFUNCTION("""COMPUTED_VALUE"""),887)</f>
        <v>887</v>
      </c>
      <c r="Y346" s="1">
        <f ca="1">IFERROR(__xludf.DUMMYFUNCTION("""COMPUTED_VALUE"""),0.725)</f>
        <v>0.72499999999999998</v>
      </c>
      <c r="Z346" s="1">
        <f ca="1">IFERROR(__xludf.DUMMYFUNCTION("""COMPUTED_VALUE"""),421)</f>
        <v>421</v>
      </c>
      <c r="AA346" s="1">
        <f ca="1">IFERROR(__xludf.DUMMYFUNCTION("""COMPUTED_VALUE"""),1218)</f>
        <v>1218</v>
      </c>
      <c r="AB346" s="1">
        <f ca="1">IFERROR(__xludf.DUMMYFUNCTION("""COMPUTED_VALUE"""),508)</f>
        <v>508</v>
      </c>
      <c r="AC346" s="1">
        <f ca="1">IFERROR(__xludf.DUMMYFUNCTION("""COMPUTED_VALUE"""),231)</f>
        <v>231</v>
      </c>
      <c r="AD346" s="1">
        <f ca="1">IFERROR(__xludf.DUMMYFUNCTION("""COMPUTED_VALUE"""),101)</f>
        <v>101</v>
      </c>
      <c r="AE346" s="1">
        <f ca="1">IFERROR(__xludf.DUMMYFUNCTION("""COMPUTED_VALUE"""),346)</f>
        <v>346</v>
      </c>
      <c r="AF346" s="1">
        <f ca="1">IFERROR(__xludf.DUMMYFUNCTION("""COMPUTED_VALUE"""),592)</f>
        <v>592</v>
      </c>
    </row>
    <row r="347" spans="1:32" ht="12.5" x14ac:dyDescent="0.25">
      <c r="A347" s="1" t="str">
        <f ca="1">IFERROR(__xludf.DUMMYFUNCTION("""COMPUTED_VALUE"""),"Towson")</f>
        <v>Towson</v>
      </c>
      <c r="B347" s="1">
        <f ca="1">IFERROR(__xludf.DUMMYFUNCTION("""COMPUTED_VALUE"""),36)</f>
        <v>36</v>
      </c>
      <c r="C347" s="1">
        <f ca="1">IFERROR(__xludf.DUMMYFUNCTION("""COMPUTED_VALUE"""),25)</f>
        <v>25</v>
      </c>
      <c r="D347" s="1">
        <f ca="1">IFERROR(__xludf.DUMMYFUNCTION("""COMPUTED_VALUE"""),11)</f>
        <v>11</v>
      </c>
      <c r="E347" s="1">
        <f ca="1">IFERROR(__xludf.DUMMYFUNCTION("""COMPUTED_VALUE"""),0.694)</f>
        <v>0.69399999999999995</v>
      </c>
      <c r="F347" s="1">
        <f ca="1">IFERROR(__xludf.DUMMYFUNCTION("""COMPUTED_VALUE"""),0.55)</f>
        <v>0.55000000000000004</v>
      </c>
      <c r="G347" s="1">
        <f ca="1">IFERROR(__xludf.DUMMYFUNCTION("""COMPUTED_VALUE"""),-3.06)</f>
        <v>-3.06</v>
      </c>
      <c r="H347" s="1">
        <f ca="1">IFERROR(__xludf.DUMMYFUNCTION("""COMPUTED_VALUE"""),13)</f>
        <v>13</v>
      </c>
      <c r="I347" s="1">
        <f ca="1">IFERROR(__xludf.DUMMYFUNCTION("""COMPUTED_VALUE"""),3)</f>
        <v>3</v>
      </c>
      <c r="J347" s="1">
        <f ca="1">IFERROR(__xludf.DUMMYFUNCTION("""COMPUTED_VALUE"""),15)</f>
        <v>15</v>
      </c>
      <c r="K347" s="1">
        <f ca="1">IFERROR(__xludf.DUMMYFUNCTION("""COMPUTED_VALUE"""),1)</f>
        <v>1</v>
      </c>
      <c r="L347" s="1">
        <f ca="1">IFERROR(__xludf.DUMMYFUNCTION("""COMPUTED_VALUE"""),9)</f>
        <v>9</v>
      </c>
      <c r="M347" s="1">
        <f ca="1">IFERROR(__xludf.DUMMYFUNCTION("""COMPUTED_VALUE"""),8)</f>
        <v>8</v>
      </c>
      <c r="N347" s="1">
        <f ca="1">IFERROR(__xludf.DUMMYFUNCTION("""COMPUTED_VALUE"""),2633)</f>
        <v>2633</v>
      </c>
      <c r="O347" s="1">
        <f ca="1">IFERROR(__xludf.DUMMYFUNCTION("""COMPUTED_VALUE"""),2477)</f>
        <v>2477</v>
      </c>
      <c r="P347" s="1">
        <f ca="1">IFERROR(__xludf.DUMMYFUNCTION("""COMPUTED_VALUE"""),1445)</f>
        <v>1445</v>
      </c>
      <c r="Q347" s="1">
        <f ca="1">IFERROR(__xludf.DUMMYFUNCTION("""COMPUTED_VALUE"""),867)</f>
        <v>867</v>
      </c>
      <c r="R347" s="1">
        <f ca="1">IFERROR(__xludf.DUMMYFUNCTION("""COMPUTED_VALUE"""),1910)</f>
        <v>1910</v>
      </c>
      <c r="S347" s="1">
        <f ca="1">IFERROR(__xludf.DUMMYFUNCTION("""COMPUTED_VALUE"""),0.454)</f>
        <v>0.45400000000000001</v>
      </c>
      <c r="T347" s="1">
        <f ca="1">IFERROR(__xludf.DUMMYFUNCTION("""COMPUTED_VALUE"""),213)</f>
        <v>213</v>
      </c>
      <c r="U347" s="1">
        <f ca="1">IFERROR(__xludf.DUMMYFUNCTION("""COMPUTED_VALUE"""),596)</f>
        <v>596</v>
      </c>
      <c r="V347" s="1">
        <f ca="1">IFERROR(__xludf.DUMMYFUNCTION("""COMPUTED_VALUE"""),0.357)</f>
        <v>0.35699999999999998</v>
      </c>
      <c r="W347" s="1">
        <f ca="1">IFERROR(__xludf.DUMMYFUNCTION("""COMPUTED_VALUE"""),686)</f>
        <v>686</v>
      </c>
      <c r="X347" s="1">
        <f ca="1">IFERROR(__xludf.DUMMYFUNCTION("""COMPUTED_VALUE"""),998)</f>
        <v>998</v>
      </c>
      <c r="Y347" s="1">
        <f ca="1">IFERROR(__xludf.DUMMYFUNCTION("""COMPUTED_VALUE"""),0.687)</f>
        <v>0.68700000000000006</v>
      </c>
      <c r="Z347" s="1">
        <f ca="1">IFERROR(__xludf.DUMMYFUNCTION("""COMPUTED_VALUE"""),433)</f>
        <v>433</v>
      </c>
      <c r="AA347" s="1">
        <f ca="1">IFERROR(__xludf.DUMMYFUNCTION("""COMPUTED_VALUE"""),1395)</f>
        <v>1395</v>
      </c>
      <c r="AB347" s="1">
        <f ca="1">IFERROR(__xludf.DUMMYFUNCTION("""COMPUTED_VALUE"""),355)</f>
        <v>355</v>
      </c>
      <c r="AC347" s="1">
        <f ca="1">IFERROR(__xludf.DUMMYFUNCTION("""COMPUTED_VALUE"""),147)</f>
        <v>147</v>
      </c>
      <c r="AD347" s="1">
        <f ca="1">IFERROR(__xludf.DUMMYFUNCTION("""COMPUTED_VALUE"""),177)</f>
        <v>177</v>
      </c>
      <c r="AE347" s="1">
        <f ca="1">IFERROR(__xludf.DUMMYFUNCTION("""COMPUTED_VALUE"""),415)</f>
        <v>415</v>
      </c>
      <c r="AF347" s="1">
        <f ca="1">IFERROR(__xludf.DUMMYFUNCTION("""COMPUTED_VALUE"""),711)</f>
        <v>711</v>
      </c>
    </row>
    <row r="348" spans="1:32" ht="12.5" x14ac:dyDescent="0.25">
      <c r="A348" s="1" t="str">
        <f ca="1">IFERROR(__xludf.DUMMYFUNCTION("""COMPUTED_VALUE"""),"Troy")</f>
        <v>Troy</v>
      </c>
      <c r="B348" s="1">
        <f ca="1">IFERROR(__xludf.DUMMYFUNCTION("""COMPUTED_VALUE"""),31)</f>
        <v>31</v>
      </c>
      <c r="C348" s="1">
        <f ca="1">IFERROR(__xludf.DUMMYFUNCTION("""COMPUTED_VALUE"""),11)</f>
        <v>11</v>
      </c>
      <c r="D348" s="1">
        <f ca="1">IFERROR(__xludf.DUMMYFUNCTION("""COMPUTED_VALUE"""),20)</f>
        <v>20</v>
      </c>
      <c r="E348" s="1">
        <f ca="1">IFERROR(__xludf.DUMMYFUNCTION("""COMPUTED_VALUE"""),0.355)</f>
        <v>0.35499999999999998</v>
      </c>
      <c r="F348" s="1">
        <f ca="1">IFERROR(__xludf.DUMMYFUNCTION("""COMPUTED_VALUE"""),-6.17)</f>
        <v>-6.17</v>
      </c>
      <c r="G348" s="1">
        <f ca="1">IFERROR(__xludf.DUMMYFUNCTION("""COMPUTED_VALUE"""),-2.9)</f>
        <v>-2.9</v>
      </c>
      <c r="H348" s="1">
        <f ca="1">IFERROR(__xludf.DUMMYFUNCTION("""COMPUTED_VALUE"""),6)</f>
        <v>6</v>
      </c>
      <c r="I348" s="1">
        <f ca="1">IFERROR(__xludf.DUMMYFUNCTION("""COMPUTED_VALUE"""),12)</f>
        <v>12</v>
      </c>
      <c r="J348" s="1">
        <f ca="1">IFERROR(__xludf.DUMMYFUNCTION("""COMPUTED_VALUE"""),8)</f>
        <v>8</v>
      </c>
      <c r="K348" s="1">
        <f ca="1">IFERROR(__xludf.DUMMYFUNCTION("""COMPUTED_VALUE"""),6)</f>
        <v>6</v>
      </c>
      <c r="L348" s="1">
        <f ca="1">IFERROR(__xludf.DUMMYFUNCTION("""COMPUTED_VALUE"""),3)</f>
        <v>3</v>
      </c>
      <c r="M348" s="1">
        <f ca="1">IFERROR(__xludf.DUMMYFUNCTION("""COMPUTED_VALUE"""),11)</f>
        <v>11</v>
      </c>
      <c r="N348" s="1">
        <f ca="1">IFERROR(__xludf.DUMMYFUNCTION("""COMPUTED_VALUE"""),2121)</f>
        <v>2121</v>
      </c>
      <c r="O348" s="1">
        <f ca="1">IFERROR(__xludf.DUMMYFUNCTION("""COMPUTED_VALUE"""),2171)</f>
        <v>2171</v>
      </c>
      <c r="P348" s="1">
        <f ca="1">IFERROR(__xludf.DUMMYFUNCTION("""COMPUTED_VALUE"""),1259)</f>
        <v>1259</v>
      </c>
      <c r="Q348" s="1">
        <f ca="1">IFERROR(__xludf.DUMMYFUNCTION("""COMPUTED_VALUE"""),703)</f>
        <v>703</v>
      </c>
      <c r="R348" s="1">
        <f ca="1">IFERROR(__xludf.DUMMYFUNCTION("""COMPUTED_VALUE"""),1688)</f>
        <v>1688</v>
      </c>
      <c r="S348" s="1">
        <f ca="1">IFERROR(__xludf.DUMMYFUNCTION("""COMPUTED_VALUE"""),0.416)</f>
        <v>0.41599999999999998</v>
      </c>
      <c r="T348" s="1">
        <f ca="1">IFERROR(__xludf.DUMMYFUNCTION("""COMPUTED_VALUE"""),219)</f>
        <v>219</v>
      </c>
      <c r="U348" s="1">
        <f ca="1">IFERROR(__xludf.DUMMYFUNCTION("""COMPUTED_VALUE"""),645)</f>
        <v>645</v>
      </c>
      <c r="V348" s="1">
        <f ca="1">IFERROR(__xludf.DUMMYFUNCTION("""COMPUTED_VALUE"""),0.34)</f>
        <v>0.34</v>
      </c>
      <c r="W348" s="1">
        <f ca="1">IFERROR(__xludf.DUMMYFUNCTION("""COMPUTED_VALUE"""),496)</f>
        <v>496</v>
      </c>
      <c r="X348" s="1">
        <f ca="1">IFERROR(__xludf.DUMMYFUNCTION("""COMPUTED_VALUE"""),750)</f>
        <v>750</v>
      </c>
      <c r="Y348" s="1">
        <f ca="1">IFERROR(__xludf.DUMMYFUNCTION("""COMPUTED_VALUE"""),0.661)</f>
        <v>0.66100000000000003</v>
      </c>
      <c r="Z348" s="1">
        <f ca="1">IFERROR(__xludf.DUMMYFUNCTION("""COMPUTED_VALUE"""),361)</f>
        <v>361</v>
      </c>
      <c r="AA348" s="1">
        <f ca="1">IFERROR(__xludf.DUMMYFUNCTION("""COMPUTED_VALUE"""),1102)</f>
        <v>1102</v>
      </c>
      <c r="AB348" s="1">
        <f ca="1">IFERROR(__xludf.DUMMYFUNCTION("""COMPUTED_VALUE"""),343)</f>
        <v>343</v>
      </c>
      <c r="AC348" s="1">
        <f ca="1">IFERROR(__xludf.DUMMYFUNCTION("""COMPUTED_VALUE"""),182)</f>
        <v>182</v>
      </c>
      <c r="AD348" s="1">
        <f ca="1">IFERROR(__xludf.DUMMYFUNCTION("""COMPUTED_VALUE"""),78)</f>
        <v>78</v>
      </c>
      <c r="AE348" s="1">
        <f ca="1">IFERROR(__xludf.DUMMYFUNCTION("""COMPUTED_VALUE"""),377)</f>
        <v>377</v>
      </c>
      <c r="AF348" s="1">
        <f ca="1">IFERROR(__xludf.DUMMYFUNCTION("""COMPUTED_VALUE"""),493)</f>
        <v>493</v>
      </c>
    </row>
    <row r="349" spans="1:32" ht="12.5" x14ac:dyDescent="0.25">
      <c r="A349" s="1" t="str">
        <f ca="1">IFERROR(__xludf.DUMMYFUNCTION("""COMPUTED_VALUE"""),"Tulane")</f>
        <v>Tulane</v>
      </c>
      <c r="B349" s="1">
        <f ca="1">IFERROR(__xludf.DUMMYFUNCTION("""COMPUTED_VALUE"""),34)</f>
        <v>34</v>
      </c>
      <c r="C349" s="1">
        <f ca="1">IFERROR(__xludf.DUMMYFUNCTION("""COMPUTED_VALUE"""),17)</f>
        <v>17</v>
      </c>
      <c r="D349" s="1">
        <f ca="1">IFERROR(__xludf.DUMMYFUNCTION("""COMPUTED_VALUE"""),17)</f>
        <v>17</v>
      </c>
      <c r="E349" s="1">
        <f ca="1">IFERROR(__xludf.DUMMYFUNCTION("""COMPUTED_VALUE"""),0.5)</f>
        <v>0.5</v>
      </c>
      <c r="F349" s="1">
        <f ca="1">IFERROR(__xludf.DUMMYFUNCTION("""COMPUTED_VALUE"""),-7.89)</f>
        <v>-7.89</v>
      </c>
      <c r="G349" s="1">
        <f ca="1">IFERROR(__xludf.DUMMYFUNCTION("""COMPUTED_VALUE"""),-1.73)</f>
        <v>-1.73</v>
      </c>
      <c r="H349" s="1">
        <f ca="1">IFERROR(__xludf.DUMMYFUNCTION("""COMPUTED_VALUE"""),8)</f>
        <v>8</v>
      </c>
      <c r="I349" s="1">
        <f ca="1">IFERROR(__xludf.DUMMYFUNCTION("""COMPUTED_VALUE"""),8)</f>
        <v>8</v>
      </c>
      <c r="J349" s="1">
        <f ca="1">IFERROR(__xludf.DUMMYFUNCTION("""COMPUTED_VALUE"""),12)</f>
        <v>12</v>
      </c>
      <c r="K349" s="1">
        <f ca="1">IFERROR(__xludf.DUMMYFUNCTION("""COMPUTED_VALUE"""),7)</f>
        <v>7</v>
      </c>
      <c r="L349" s="1">
        <f ca="1">IFERROR(__xludf.DUMMYFUNCTION("""COMPUTED_VALUE"""),4)</f>
        <v>4</v>
      </c>
      <c r="M349" s="1">
        <f ca="1">IFERROR(__xludf.DUMMYFUNCTION("""COMPUTED_VALUE"""),6)</f>
        <v>6</v>
      </c>
      <c r="N349" s="1">
        <f ca="1">IFERROR(__xludf.DUMMYFUNCTION("""COMPUTED_VALUE"""),2164)</f>
        <v>2164</v>
      </c>
      <c r="O349" s="1">
        <f ca="1">IFERROR(__xludf.DUMMYFUNCTION("""COMPUTED_VALUE"""),2357)</f>
        <v>2357</v>
      </c>
      <c r="P349" s="1">
        <f ca="1">IFERROR(__xludf.DUMMYFUNCTION("""COMPUTED_VALUE"""),1365)</f>
        <v>1365</v>
      </c>
      <c r="Q349" s="1">
        <f ca="1">IFERROR(__xludf.DUMMYFUNCTION("""COMPUTED_VALUE"""),694)</f>
        <v>694</v>
      </c>
      <c r="R349" s="1">
        <f ca="1">IFERROR(__xludf.DUMMYFUNCTION("""COMPUTED_VALUE"""),1681)</f>
        <v>1681</v>
      </c>
      <c r="S349" s="1">
        <f ca="1">IFERROR(__xludf.DUMMYFUNCTION("""COMPUTED_VALUE"""),0.413)</f>
        <v>0.41299999999999998</v>
      </c>
      <c r="T349" s="1">
        <f ca="1">IFERROR(__xludf.DUMMYFUNCTION("""COMPUTED_VALUE"""),205)</f>
        <v>205</v>
      </c>
      <c r="U349" s="1">
        <f ca="1">IFERROR(__xludf.DUMMYFUNCTION("""COMPUTED_VALUE"""),584)</f>
        <v>584</v>
      </c>
      <c r="V349" s="1">
        <f ca="1">IFERROR(__xludf.DUMMYFUNCTION("""COMPUTED_VALUE"""),0.351)</f>
        <v>0.35099999999999998</v>
      </c>
      <c r="W349" s="1">
        <f ca="1">IFERROR(__xludf.DUMMYFUNCTION("""COMPUTED_VALUE"""),571)</f>
        <v>571</v>
      </c>
      <c r="X349" s="1">
        <f ca="1">IFERROR(__xludf.DUMMYFUNCTION("""COMPUTED_VALUE"""),823)</f>
        <v>823</v>
      </c>
      <c r="Y349" s="1">
        <f ca="1">IFERROR(__xludf.DUMMYFUNCTION("""COMPUTED_VALUE"""),0.694)</f>
        <v>0.69399999999999995</v>
      </c>
      <c r="Z349" s="1">
        <f ca="1">IFERROR(__xludf.DUMMYFUNCTION("""COMPUTED_VALUE"""),351)</f>
        <v>351</v>
      </c>
      <c r="AA349" s="1">
        <f ca="1">IFERROR(__xludf.DUMMYFUNCTION("""COMPUTED_VALUE"""),1146)</f>
        <v>1146</v>
      </c>
      <c r="AB349" s="1">
        <f ca="1">IFERROR(__xludf.DUMMYFUNCTION("""COMPUTED_VALUE"""),314)</f>
        <v>314</v>
      </c>
      <c r="AC349" s="1">
        <f ca="1">IFERROR(__xludf.DUMMYFUNCTION("""COMPUTED_VALUE"""),163)</f>
        <v>163</v>
      </c>
      <c r="AD349" s="1">
        <f ca="1">IFERROR(__xludf.DUMMYFUNCTION("""COMPUTED_VALUE"""),97)</f>
        <v>97</v>
      </c>
      <c r="AE349" s="1">
        <f ca="1">IFERROR(__xludf.DUMMYFUNCTION("""COMPUTED_VALUE"""),436)</f>
        <v>436</v>
      </c>
      <c r="AF349" s="1">
        <f ca="1">IFERROR(__xludf.DUMMYFUNCTION("""COMPUTED_VALUE"""),630)</f>
        <v>630</v>
      </c>
    </row>
    <row r="350" spans="1:32" ht="12.5" x14ac:dyDescent="0.25">
      <c r="A350" s="1" t="str">
        <f ca="1">IFERROR(__xludf.DUMMYFUNCTION("""COMPUTED_VALUE"""),"TulsaNCAA")</f>
        <v>TulsaNCAA</v>
      </c>
      <c r="B350" s="1">
        <f ca="1">IFERROR(__xludf.DUMMYFUNCTION("""COMPUTED_VALUE"""),34)</f>
        <v>34</v>
      </c>
      <c r="C350" s="1">
        <f ca="1">IFERROR(__xludf.DUMMYFUNCTION("""COMPUTED_VALUE"""),21)</f>
        <v>21</v>
      </c>
      <c r="D350" s="1">
        <f ca="1">IFERROR(__xludf.DUMMYFUNCTION("""COMPUTED_VALUE"""),13)</f>
        <v>13</v>
      </c>
      <c r="E350" s="1">
        <f ca="1">IFERROR(__xludf.DUMMYFUNCTION("""COMPUTED_VALUE"""),0.618)</f>
        <v>0.61799999999999999</v>
      </c>
      <c r="F350" s="1">
        <f ca="1">IFERROR(__xludf.DUMMYFUNCTION("""COMPUTED_VALUE"""),6.23)</f>
        <v>6.23</v>
      </c>
      <c r="G350" s="1">
        <f ca="1">IFERROR(__xludf.DUMMYFUNCTION("""COMPUTED_VALUE"""),1.17)</f>
        <v>1.17</v>
      </c>
      <c r="H350" s="1">
        <f ca="1">IFERROR(__xludf.DUMMYFUNCTION("""COMPUTED_VALUE"""),13)</f>
        <v>13</v>
      </c>
      <c r="I350" s="1">
        <f ca="1">IFERROR(__xludf.DUMMYFUNCTION("""COMPUTED_VALUE"""),3)</f>
        <v>3</v>
      </c>
      <c r="J350" s="1">
        <f ca="1">IFERROR(__xludf.DUMMYFUNCTION("""COMPUTED_VALUE"""),11)</f>
        <v>11</v>
      </c>
      <c r="K350" s="1">
        <f ca="1">IFERROR(__xludf.DUMMYFUNCTION("""COMPUTED_VALUE"""),3)</f>
        <v>3</v>
      </c>
      <c r="L350" s="1">
        <f ca="1">IFERROR(__xludf.DUMMYFUNCTION("""COMPUTED_VALUE"""),6)</f>
        <v>6</v>
      </c>
      <c r="M350" s="1">
        <f ca="1">IFERROR(__xludf.DUMMYFUNCTION("""COMPUTED_VALUE"""),7)</f>
        <v>7</v>
      </c>
      <c r="N350" s="1">
        <f ca="1">IFERROR(__xludf.DUMMYFUNCTION("""COMPUTED_VALUE"""),2471)</f>
        <v>2471</v>
      </c>
      <c r="O350" s="1">
        <f ca="1">IFERROR(__xludf.DUMMYFUNCTION("""COMPUTED_VALUE"""),2299)</f>
        <v>2299</v>
      </c>
      <c r="P350" s="1">
        <f ca="1">IFERROR(__xludf.DUMMYFUNCTION("""COMPUTED_VALUE"""),1370)</f>
        <v>1370</v>
      </c>
      <c r="Q350" s="1">
        <f ca="1">IFERROR(__xludf.DUMMYFUNCTION("""COMPUTED_VALUE"""),835)</f>
        <v>835</v>
      </c>
      <c r="R350" s="1">
        <f ca="1">IFERROR(__xludf.DUMMYFUNCTION("""COMPUTED_VALUE"""),1899)</f>
        <v>1899</v>
      </c>
      <c r="S350" s="1">
        <f ca="1">IFERROR(__xludf.DUMMYFUNCTION("""COMPUTED_VALUE"""),0.44)</f>
        <v>0.44</v>
      </c>
      <c r="T350" s="1">
        <f ca="1">IFERROR(__xludf.DUMMYFUNCTION("""COMPUTED_VALUE"""),197)</f>
        <v>197</v>
      </c>
      <c r="U350" s="1">
        <f ca="1">IFERROR(__xludf.DUMMYFUNCTION("""COMPUTED_VALUE"""),603)</f>
        <v>603</v>
      </c>
      <c r="V350" s="1">
        <f ca="1">IFERROR(__xludf.DUMMYFUNCTION("""COMPUTED_VALUE"""),0.327)</f>
        <v>0.32700000000000001</v>
      </c>
      <c r="W350" s="1">
        <f ca="1">IFERROR(__xludf.DUMMYFUNCTION("""COMPUTED_VALUE"""),604)</f>
        <v>604</v>
      </c>
      <c r="X350" s="1">
        <f ca="1">IFERROR(__xludf.DUMMYFUNCTION("""COMPUTED_VALUE"""),894)</f>
        <v>894</v>
      </c>
      <c r="Y350" s="1">
        <f ca="1">IFERROR(__xludf.DUMMYFUNCTION("""COMPUTED_VALUE"""),0.676)</f>
        <v>0.67600000000000005</v>
      </c>
      <c r="Z350" s="1">
        <f ca="1">IFERROR(__xludf.DUMMYFUNCTION("""COMPUTED_VALUE"""),368)</f>
        <v>368</v>
      </c>
      <c r="AA350" s="1">
        <f ca="1">IFERROR(__xludf.DUMMYFUNCTION("""COMPUTED_VALUE"""),1231)</f>
        <v>1231</v>
      </c>
      <c r="AB350" s="1">
        <f ca="1">IFERROR(__xludf.DUMMYFUNCTION("""COMPUTED_VALUE"""),427)</f>
        <v>427</v>
      </c>
      <c r="AC350" s="1">
        <f ca="1">IFERROR(__xludf.DUMMYFUNCTION("""COMPUTED_VALUE"""),232)</f>
        <v>232</v>
      </c>
      <c r="AD350" s="1">
        <f ca="1">IFERROR(__xludf.DUMMYFUNCTION("""COMPUTED_VALUE"""),127)</f>
        <v>127</v>
      </c>
      <c r="AE350" s="1">
        <f ca="1">IFERROR(__xludf.DUMMYFUNCTION("""COMPUTED_VALUE"""),394)</f>
        <v>394</v>
      </c>
      <c r="AF350" s="1">
        <f ca="1">IFERROR(__xludf.DUMMYFUNCTION("""COMPUTED_VALUE"""),725)</f>
        <v>725</v>
      </c>
    </row>
    <row r="351" spans="1:32" ht="12.5" x14ac:dyDescent="0.25">
      <c r="A351" s="1" t="str">
        <f ca="1">IFERROR(__xludf.DUMMYFUNCTION("""COMPUTED_VALUE"""),"UCLANCAA")</f>
        <v>UCLANCAA</v>
      </c>
      <c r="B351" s="1">
        <f ca="1">IFERROR(__xludf.DUMMYFUNCTION("""COMPUTED_VALUE"""),37)</f>
        <v>37</v>
      </c>
      <c r="C351" s="1">
        <f ca="1">IFERROR(__xludf.DUMMYFUNCTION("""COMPUTED_VALUE"""),28)</f>
        <v>28</v>
      </c>
      <c r="D351" s="1">
        <f ca="1">IFERROR(__xludf.DUMMYFUNCTION("""COMPUTED_VALUE"""),9)</f>
        <v>9</v>
      </c>
      <c r="E351" s="1">
        <f ca="1">IFERROR(__xludf.DUMMYFUNCTION("""COMPUTED_VALUE"""),0.757)</f>
        <v>0.75700000000000001</v>
      </c>
      <c r="F351" s="1">
        <f ca="1">IFERROR(__xludf.DUMMYFUNCTION("""COMPUTED_VALUE"""),18.4)</f>
        <v>18.399999999999999</v>
      </c>
      <c r="G351" s="1">
        <f ca="1">IFERROR(__xludf.DUMMYFUNCTION("""COMPUTED_VALUE"""),7.62)</f>
        <v>7.62</v>
      </c>
      <c r="H351" s="1">
        <f ca="1">IFERROR(__xludf.DUMMYFUNCTION("""COMPUTED_VALUE"""),12)</f>
        <v>12</v>
      </c>
      <c r="I351" s="1">
        <f ca="1">IFERROR(__xludf.DUMMYFUNCTION("""COMPUTED_VALUE"""),6)</f>
        <v>6</v>
      </c>
      <c r="J351" s="1">
        <f ca="1">IFERROR(__xludf.DUMMYFUNCTION("""COMPUTED_VALUE"""),16)</f>
        <v>16</v>
      </c>
      <c r="K351" s="1">
        <f ca="1">IFERROR(__xludf.DUMMYFUNCTION("""COMPUTED_VALUE"""),2)</f>
        <v>2</v>
      </c>
      <c r="L351" s="1">
        <f ca="1">IFERROR(__xludf.DUMMYFUNCTION("""COMPUTED_VALUE"""),5)</f>
        <v>5</v>
      </c>
      <c r="M351" s="1">
        <f ca="1">IFERROR(__xludf.DUMMYFUNCTION("""COMPUTED_VALUE"""),5)</f>
        <v>5</v>
      </c>
      <c r="N351" s="1">
        <f ca="1">IFERROR(__xludf.DUMMYFUNCTION("""COMPUTED_VALUE"""),3003)</f>
        <v>3003</v>
      </c>
      <c r="O351" s="1">
        <f ca="1">IFERROR(__xludf.DUMMYFUNCTION("""COMPUTED_VALUE"""),2604)</f>
        <v>2604</v>
      </c>
      <c r="P351" s="1">
        <f ca="1">IFERROR(__xludf.DUMMYFUNCTION("""COMPUTED_VALUE"""),1490)</f>
        <v>1490</v>
      </c>
      <c r="Q351" s="1">
        <f ca="1">IFERROR(__xludf.DUMMYFUNCTION("""COMPUTED_VALUE"""),1073)</f>
        <v>1073</v>
      </c>
      <c r="R351" s="1">
        <f ca="1">IFERROR(__xludf.DUMMYFUNCTION("""COMPUTED_VALUE"""),2196)</f>
        <v>2196</v>
      </c>
      <c r="S351" s="1">
        <f ca="1">IFERROR(__xludf.DUMMYFUNCTION("""COMPUTED_VALUE"""),0.489)</f>
        <v>0.48899999999999999</v>
      </c>
      <c r="T351" s="1">
        <f ca="1">IFERROR(__xludf.DUMMYFUNCTION("""COMPUTED_VALUE"""),229)</f>
        <v>229</v>
      </c>
      <c r="U351" s="1">
        <f ca="1">IFERROR(__xludf.DUMMYFUNCTION("""COMPUTED_VALUE"""),603)</f>
        <v>603</v>
      </c>
      <c r="V351" s="1">
        <f ca="1">IFERROR(__xludf.DUMMYFUNCTION("""COMPUTED_VALUE"""),0.38)</f>
        <v>0.38</v>
      </c>
      <c r="W351" s="1">
        <f ca="1">IFERROR(__xludf.DUMMYFUNCTION("""COMPUTED_VALUE"""),628)</f>
        <v>628</v>
      </c>
      <c r="X351" s="1">
        <f ca="1">IFERROR(__xludf.DUMMYFUNCTION("""COMPUTED_VALUE"""),839)</f>
        <v>839</v>
      </c>
      <c r="Y351" s="1">
        <f ca="1">IFERROR(__xludf.DUMMYFUNCTION("""COMPUTED_VALUE"""),0.749)</f>
        <v>0.749</v>
      </c>
      <c r="Z351" s="1">
        <f ca="1">IFERROR(__xludf.DUMMYFUNCTION("""COMPUTED_VALUE"""),368)</f>
        <v>368</v>
      </c>
      <c r="AA351" s="1">
        <f ca="1">IFERROR(__xludf.DUMMYFUNCTION("""COMPUTED_VALUE"""),1308)</f>
        <v>1308</v>
      </c>
      <c r="AB351" s="1">
        <f ca="1">IFERROR(__xludf.DUMMYFUNCTION("""COMPUTED_VALUE"""),636)</f>
        <v>636</v>
      </c>
      <c r="AC351" s="1">
        <f ca="1">IFERROR(__xludf.DUMMYFUNCTION("""COMPUTED_VALUE"""),341)</f>
        <v>341</v>
      </c>
      <c r="AD351" s="1">
        <f ca="1">IFERROR(__xludf.DUMMYFUNCTION("""COMPUTED_VALUE"""),111)</f>
        <v>111</v>
      </c>
      <c r="AE351" s="1">
        <f ca="1">IFERROR(__xludf.DUMMYFUNCTION("""COMPUTED_VALUE"""),379)</f>
        <v>379</v>
      </c>
      <c r="AF351" s="1">
        <f ca="1">IFERROR(__xludf.DUMMYFUNCTION("""COMPUTED_VALUE"""),652)</f>
        <v>652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IFERROR(__xludf.DUMMYFUNCTION("""COMPUTED_VALUE"""),"Utah State")</f>
        <v>Utah State</v>
      </c>
      <c r="B354" s="1">
        <f ca="1">IFERROR(__xludf.DUMMYFUNCTION("""COMPUTED_VALUE"""),32)</f>
        <v>32</v>
      </c>
      <c r="C354" s="1">
        <f ca="1">IFERROR(__xludf.DUMMYFUNCTION("""COMPUTED_VALUE"""),18)</f>
        <v>18</v>
      </c>
      <c r="D354" s="1">
        <f ca="1">IFERROR(__xludf.DUMMYFUNCTION("""COMPUTED_VALUE"""),14)</f>
        <v>14</v>
      </c>
      <c r="E354" s="1">
        <f ca="1">IFERROR(__xludf.DUMMYFUNCTION("""COMPUTED_VALUE"""),0.563)</f>
        <v>0.56299999999999994</v>
      </c>
      <c r="F354" s="1">
        <f ca="1">IFERROR(__xludf.DUMMYFUNCTION("""COMPUTED_VALUE"""),4.77)</f>
        <v>4.7699999999999996</v>
      </c>
      <c r="G354" s="1">
        <f ca="1">IFERROR(__xludf.DUMMYFUNCTION("""COMPUTED_VALUE"""),3.09)</f>
        <v>3.09</v>
      </c>
      <c r="H354" s="1">
        <f ca="1">IFERROR(__xludf.DUMMYFUNCTION("""COMPUTED_VALUE"""),7)</f>
        <v>7</v>
      </c>
      <c r="I354" s="1">
        <f ca="1">IFERROR(__xludf.DUMMYFUNCTION("""COMPUTED_VALUE"""),11)</f>
        <v>11</v>
      </c>
      <c r="J354" s="1">
        <f ca="1">IFERROR(__xludf.DUMMYFUNCTION("""COMPUTED_VALUE"""),13)</f>
        <v>13</v>
      </c>
      <c r="K354" s="1">
        <f ca="1">IFERROR(__xludf.DUMMYFUNCTION("""COMPUTED_VALUE"""),5)</f>
        <v>5</v>
      </c>
      <c r="L354" s="1">
        <f ca="1">IFERROR(__xludf.DUMMYFUNCTION("""COMPUTED_VALUE"""),4)</f>
        <v>4</v>
      </c>
      <c r="M354" s="1">
        <f ca="1">IFERROR(__xludf.DUMMYFUNCTION("""COMPUTED_VALUE"""),7)</f>
        <v>7</v>
      </c>
      <c r="N354" s="1">
        <f ca="1">IFERROR(__xludf.DUMMYFUNCTION("""COMPUTED_VALUE"""),2215)</f>
        <v>2215</v>
      </c>
      <c r="O354" s="1">
        <f ca="1">IFERROR(__xludf.DUMMYFUNCTION("""COMPUTED_VALUE"""),2132)</f>
        <v>2132</v>
      </c>
      <c r="P354" s="1">
        <f ca="1">IFERROR(__xludf.DUMMYFUNCTION("""COMPUTED_VALUE"""),1290)</f>
        <v>1290</v>
      </c>
      <c r="Q354" s="1">
        <f ca="1">IFERROR(__xludf.DUMMYFUNCTION("""COMPUTED_VALUE"""),782)</f>
        <v>782</v>
      </c>
      <c r="R354" s="1">
        <f ca="1">IFERROR(__xludf.DUMMYFUNCTION("""COMPUTED_VALUE"""),1732)</f>
        <v>1732</v>
      </c>
      <c r="S354" s="1">
        <f ca="1">IFERROR(__xludf.DUMMYFUNCTION("""COMPUTED_VALUE"""),0.452)</f>
        <v>0.45200000000000001</v>
      </c>
      <c r="T354" s="1">
        <f ca="1">IFERROR(__xludf.DUMMYFUNCTION("""COMPUTED_VALUE"""),220)</f>
        <v>220</v>
      </c>
      <c r="U354" s="1">
        <f ca="1">IFERROR(__xludf.DUMMYFUNCTION("""COMPUTED_VALUE"""),542)</f>
        <v>542</v>
      </c>
      <c r="V354" s="1">
        <f ca="1">IFERROR(__xludf.DUMMYFUNCTION("""COMPUTED_VALUE"""),0.406)</f>
        <v>0.40600000000000003</v>
      </c>
      <c r="W354" s="1">
        <f ca="1">IFERROR(__xludf.DUMMYFUNCTION("""COMPUTED_VALUE"""),431)</f>
        <v>431</v>
      </c>
      <c r="X354" s="1">
        <f ca="1">IFERROR(__xludf.DUMMYFUNCTION("""COMPUTED_VALUE"""),587)</f>
        <v>587</v>
      </c>
      <c r="Y354" s="1">
        <f ca="1">IFERROR(__xludf.DUMMYFUNCTION("""COMPUTED_VALUE"""),0.734)</f>
        <v>0.73399999999999999</v>
      </c>
      <c r="Z354" s="1">
        <f ca="1">IFERROR(__xludf.DUMMYFUNCTION("""COMPUTED_VALUE"""),347)</f>
        <v>347</v>
      </c>
      <c r="AA354" s="1">
        <f ca="1">IFERROR(__xludf.DUMMYFUNCTION("""COMPUTED_VALUE"""),1166)</f>
        <v>1166</v>
      </c>
      <c r="AB354" s="1">
        <f ca="1">IFERROR(__xludf.DUMMYFUNCTION("""COMPUTED_VALUE"""),510)</f>
        <v>510</v>
      </c>
      <c r="AC354" s="1">
        <f ca="1">IFERROR(__xludf.DUMMYFUNCTION("""COMPUTED_VALUE"""),110)</f>
        <v>110</v>
      </c>
      <c r="AD354" s="1">
        <f ca="1">IFERROR(__xludf.DUMMYFUNCTION("""COMPUTED_VALUE"""),116)</f>
        <v>116</v>
      </c>
      <c r="AE354" s="1">
        <f ca="1">IFERROR(__xludf.DUMMYFUNCTION("""COMPUTED_VALUE"""),353)</f>
        <v>353</v>
      </c>
      <c r="AF354" s="1">
        <f ca="1">IFERROR(__xludf.DUMMYFUNCTION("""COMPUTED_VALUE"""),565)</f>
        <v>565</v>
      </c>
    </row>
    <row r="355" spans="1:32" ht="12.5" x14ac:dyDescent="0.25">
      <c r="A355" s="1" t="str">
        <f ca="1">IFERROR(__xludf.DUMMYFUNCTION("""COMPUTED_VALUE"""),"Utah Valley")</f>
        <v>Utah Valley</v>
      </c>
      <c r="B355" s="1">
        <f ca="1">IFERROR(__xludf.DUMMYFUNCTION("""COMPUTED_VALUE"""),32)</f>
        <v>32</v>
      </c>
      <c r="C355" s="1">
        <f ca="1">IFERROR(__xludf.DUMMYFUNCTION("""COMPUTED_VALUE"""),20)</f>
        <v>20</v>
      </c>
      <c r="D355" s="1">
        <f ca="1">IFERROR(__xludf.DUMMYFUNCTION("""COMPUTED_VALUE"""),12)</f>
        <v>12</v>
      </c>
      <c r="E355" s="1">
        <f ca="1">IFERROR(__xludf.DUMMYFUNCTION("""COMPUTED_VALUE"""),0.625)</f>
        <v>0.625</v>
      </c>
      <c r="F355" s="1">
        <f ca="1">IFERROR(__xludf.DUMMYFUNCTION("""COMPUTED_VALUE"""),-4.42)</f>
        <v>-4.42</v>
      </c>
      <c r="G355" s="1">
        <f ca="1">IFERROR(__xludf.DUMMYFUNCTION("""COMPUTED_VALUE"""),-3.65)</f>
        <v>-3.65</v>
      </c>
      <c r="H355" s="1">
        <f ca="1">IFERROR(__xludf.DUMMYFUNCTION("""COMPUTED_VALUE"""),13)</f>
        <v>13</v>
      </c>
      <c r="I355" s="1">
        <f ca="1">IFERROR(__xludf.DUMMYFUNCTION("""COMPUTED_VALUE"""),3)</f>
        <v>3</v>
      </c>
      <c r="J355" s="1">
        <f ca="1">IFERROR(__xludf.DUMMYFUNCTION("""COMPUTED_VALUE"""),13)</f>
        <v>13</v>
      </c>
      <c r="K355" s="1">
        <f ca="1">IFERROR(__xludf.DUMMYFUNCTION("""COMPUTED_VALUE"""),2)</f>
        <v>2</v>
      </c>
      <c r="L355" s="1">
        <f ca="1">IFERROR(__xludf.DUMMYFUNCTION("""COMPUTED_VALUE"""),6)</f>
        <v>6</v>
      </c>
      <c r="M355" s="1">
        <f ca="1">IFERROR(__xludf.DUMMYFUNCTION("""COMPUTED_VALUE"""),9)</f>
        <v>9</v>
      </c>
      <c r="N355" s="1">
        <f ca="1">IFERROR(__xludf.DUMMYFUNCTION("""COMPUTED_VALUE"""),2161)</f>
        <v>2161</v>
      </c>
      <c r="O355" s="1">
        <f ca="1">IFERROR(__xludf.DUMMYFUNCTION("""COMPUTED_VALUE"""),2093)</f>
        <v>2093</v>
      </c>
      <c r="P355" s="1">
        <f ca="1">IFERROR(__xludf.DUMMYFUNCTION("""COMPUTED_VALUE"""),1285)</f>
        <v>1285</v>
      </c>
      <c r="Q355" s="1">
        <f ca="1">IFERROR(__xludf.DUMMYFUNCTION("""COMPUTED_VALUE"""),731)</f>
        <v>731</v>
      </c>
      <c r="R355" s="1">
        <f ca="1">IFERROR(__xludf.DUMMYFUNCTION("""COMPUTED_VALUE"""),1676)</f>
        <v>1676</v>
      </c>
      <c r="S355" s="1">
        <f ca="1">IFERROR(__xludf.DUMMYFUNCTION("""COMPUTED_VALUE"""),0.436)</f>
        <v>0.436</v>
      </c>
      <c r="T355" s="1">
        <f ca="1">IFERROR(__xludf.DUMMYFUNCTION("""COMPUTED_VALUE"""),208)</f>
        <v>208</v>
      </c>
      <c r="U355" s="1">
        <f ca="1">IFERROR(__xludf.DUMMYFUNCTION("""COMPUTED_VALUE"""),600)</f>
        <v>600</v>
      </c>
      <c r="V355" s="1">
        <f ca="1">IFERROR(__xludf.DUMMYFUNCTION("""COMPUTED_VALUE"""),0.347)</f>
        <v>0.34699999999999998</v>
      </c>
      <c r="W355" s="1">
        <f ca="1">IFERROR(__xludf.DUMMYFUNCTION("""COMPUTED_VALUE"""),491)</f>
        <v>491</v>
      </c>
      <c r="X355" s="1">
        <f ca="1">IFERROR(__xludf.DUMMYFUNCTION("""COMPUTED_VALUE"""),650)</f>
        <v>650</v>
      </c>
      <c r="Y355" s="1">
        <f ca="1">IFERROR(__xludf.DUMMYFUNCTION("""COMPUTED_VALUE"""),0.755)</f>
        <v>0.755</v>
      </c>
      <c r="Z355" s="1">
        <f ca="1">IFERROR(__xludf.DUMMYFUNCTION("""COMPUTED_VALUE"""),294)</f>
        <v>294</v>
      </c>
      <c r="AA355" s="1">
        <f ca="1">IFERROR(__xludf.DUMMYFUNCTION("""COMPUTED_VALUE"""),1087)</f>
        <v>1087</v>
      </c>
      <c r="AB355" s="1">
        <f ca="1">IFERROR(__xludf.DUMMYFUNCTION("""COMPUTED_VALUE"""),453)</f>
        <v>453</v>
      </c>
      <c r="AC355" s="1">
        <f ca="1">IFERROR(__xludf.DUMMYFUNCTION("""COMPUTED_VALUE"""),159)</f>
        <v>159</v>
      </c>
      <c r="AD355" s="1">
        <f ca="1">IFERROR(__xludf.DUMMYFUNCTION("""COMPUTED_VALUE"""),89)</f>
        <v>89</v>
      </c>
      <c r="AE355" s="1">
        <f ca="1">IFERROR(__xludf.DUMMYFUNCTION("""COMPUTED_VALUE"""),355)</f>
        <v>355</v>
      </c>
      <c r="AF355" s="1">
        <f ca="1">IFERROR(__xludf.DUMMYFUNCTION("""COMPUTED_VALUE"""),536)</f>
        <v>536</v>
      </c>
    </row>
    <row r="356" spans="1:32" ht="12.5" x14ac:dyDescent="0.25">
      <c r="A356" s="1" t="str">
        <f ca="1">IFERROR(__xludf.DUMMYFUNCTION("""COMPUTED_VALUE"""),"Utah")</f>
        <v>Utah</v>
      </c>
      <c r="B356" s="1">
        <f ca="1">IFERROR(__xludf.DUMMYFUNCTION("""COMPUTED_VALUE"""),33)</f>
        <v>33</v>
      </c>
      <c r="C356" s="1">
        <f ca="1">IFERROR(__xludf.DUMMYFUNCTION("""COMPUTED_VALUE"""),21)</f>
        <v>21</v>
      </c>
      <c r="D356" s="1">
        <f ca="1">IFERROR(__xludf.DUMMYFUNCTION("""COMPUTED_VALUE"""),12)</f>
        <v>12</v>
      </c>
      <c r="E356" s="1">
        <f ca="1">IFERROR(__xludf.DUMMYFUNCTION("""COMPUTED_VALUE"""),0.636)</f>
        <v>0.63600000000000001</v>
      </c>
      <c r="F356" s="1">
        <f ca="1">IFERROR(__xludf.DUMMYFUNCTION("""COMPUTED_VALUE"""),12.66)</f>
        <v>12.66</v>
      </c>
      <c r="G356" s="1">
        <f ca="1">IFERROR(__xludf.DUMMYFUNCTION("""COMPUTED_VALUE"""),6.21)</f>
        <v>6.21</v>
      </c>
      <c r="H356" s="1">
        <f ca="1">IFERROR(__xludf.DUMMYFUNCTION("""COMPUTED_VALUE"""),9)</f>
        <v>9</v>
      </c>
      <c r="I356" s="1">
        <f ca="1">IFERROR(__xludf.DUMMYFUNCTION("""COMPUTED_VALUE"""),9)</f>
        <v>9</v>
      </c>
      <c r="J356" s="1">
        <f ca="1">IFERROR(__xludf.DUMMYFUNCTION("""COMPUTED_VALUE"""),18)</f>
        <v>18</v>
      </c>
      <c r="K356" s="1">
        <f ca="1">IFERROR(__xludf.DUMMYFUNCTION("""COMPUTED_VALUE"""),2)</f>
        <v>2</v>
      </c>
      <c r="L356" s="1">
        <f ca="1">IFERROR(__xludf.DUMMYFUNCTION("""COMPUTED_VALUE"""),2)</f>
        <v>2</v>
      </c>
      <c r="M356" s="1">
        <f ca="1">IFERROR(__xludf.DUMMYFUNCTION("""COMPUTED_VALUE"""),9)</f>
        <v>9</v>
      </c>
      <c r="N356" s="1">
        <f ca="1">IFERROR(__xludf.DUMMYFUNCTION("""COMPUTED_VALUE"""),2479)</f>
        <v>2479</v>
      </c>
      <c r="O356" s="1">
        <f ca="1">IFERROR(__xludf.DUMMYFUNCTION("""COMPUTED_VALUE"""),2122)</f>
        <v>2122</v>
      </c>
      <c r="P356" s="1">
        <f ca="1">IFERROR(__xludf.DUMMYFUNCTION("""COMPUTED_VALUE"""),1335)</f>
        <v>1335</v>
      </c>
      <c r="Q356" s="1">
        <f ca="1">IFERROR(__xludf.DUMMYFUNCTION("""COMPUTED_VALUE"""),869)</f>
        <v>869</v>
      </c>
      <c r="R356" s="1">
        <f ca="1">IFERROR(__xludf.DUMMYFUNCTION("""COMPUTED_VALUE"""),1781)</f>
        <v>1781</v>
      </c>
      <c r="S356" s="1">
        <f ca="1">IFERROR(__xludf.DUMMYFUNCTION("""COMPUTED_VALUE"""),0.488)</f>
        <v>0.48799999999999999</v>
      </c>
      <c r="T356" s="1">
        <f ca="1">IFERROR(__xludf.DUMMYFUNCTION("""COMPUTED_VALUE"""),204)</f>
        <v>204</v>
      </c>
      <c r="U356" s="1">
        <f ca="1">IFERROR(__xludf.DUMMYFUNCTION("""COMPUTED_VALUE"""),581)</f>
        <v>581</v>
      </c>
      <c r="V356" s="1">
        <f ca="1">IFERROR(__xludf.DUMMYFUNCTION("""COMPUTED_VALUE"""),0.351)</f>
        <v>0.35099999999999998</v>
      </c>
      <c r="W356" s="1">
        <f ca="1">IFERROR(__xludf.DUMMYFUNCTION("""COMPUTED_VALUE"""),537)</f>
        <v>537</v>
      </c>
      <c r="X356" s="1">
        <f ca="1">IFERROR(__xludf.DUMMYFUNCTION("""COMPUTED_VALUE"""),723)</f>
        <v>723</v>
      </c>
      <c r="Y356" s="1">
        <f ca="1">IFERROR(__xludf.DUMMYFUNCTION("""COMPUTED_VALUE"""),0.743)</f>
        <v>0.74299999999999999</v>
      </c>
      <c r="Z356" s="1">
        <f ca="1">IFERROR(__xludf.DUMMYFUNCTION("""COMPUTED_VALUE"""),299)</f>
        <v>299</v>
      </c>
      <c r="AA356" s="1">
        <f ca="1">IFERROR(__xludf.DUMMYFUNCTION("""COMPUTED_VALUE"""),1162)</f>
        <v>1162</v>
      </c>
      <c r="AB356" s="1">
        <f ca="1">IFERROR(__xludf.DUMMYFUNCTION("""COMPUTED_VALUE"""),504)</f>
        <v>504</v>
      </c>
      <c r="AC356" s="1">
        <f ca="1">IFERROR(__xludf.DUMMYFUNCTION("""COMPUTED_VALUE"""),222)</f>
        <v>222</v>
      </c>
      <c r="AD356" s="1">
        <f ca="1">IFERROR(__xludf.DUMMYFUNCTION("""COMPUTED_VALUE"""),149)</f>
        <v>149</v>
      </c>
      <c r="AE356" s="1">
        <f ca="1">IFERROR(__xludf.DUMMYFUNCTION("""COMPUTED_VALUE"""),396)</f>
        <v>396</v>
      </c>
      <c r="AF356" s="1">
        <f ca="1">IFERROR(__xludf.DUMMYFUNCTION("""COMPUTED_VALUE"""),563)</f>
        <v>563</v>
      </c>
    </row>
    <row r="357" spans="1:32" ht="12.5" x14ac:dyDescent="0.25">
      <c r="A357" s="1" t="str">
        <f ca="1">IFERROR(__xludf.DUMMYFUNCTION("""COMPUTED_VALUE"""),"Valparaiso")</f>
        <v>Valparaiso</v>
      </c>
      <c r="B357" s="1">
        <f ca="1">IFERROR(__xludf.DUMMYFUNCTION("""COMPUTED_VALUE"""),34)</f>
        <v>34</v>
      </c>
      <c r="C357" s="1">
        <f ca="1">IFERROR(__xludf.DUMMYFUNCTION("""COMPUTED_VALUE"""),18)</f>
        <v>18</v>
      </c>
      <c r="D357" s="1">
        <f ca="1">IFERROR(__xludf.DUMMYFUNCTION("""COMPUTED_VALUE"""),16)</f>
        <v>16</v>
      </c>
      <c r="E357" s="1">
        <f ca="1">IFERROR(__xludf.DUMMYFUNCTION("""COMPUTED_VALUE"""),0.529)</f>
        <v>0.52900000000000003</v>
      </c>
      <c r="F357" s="1">
        <f ca="1">IFERROR(__xludf.DUMMYFUNCTION("""COMPUTED_VALUE"""),0.21)</f>
        <v>0.21</v>
      </c>
      <c r="G357" s="1">
        <f ca="1">IFERROR(__xludf.DUMMYFUNCTION("""COMPUTED_VALUE"""),-0.24)</f>
        <v>-0.24</v>
      </c>
      <c r="H357" s="1">
        <f ca="1">IFERROR(__xludf.DUMMYFUNCTION("""COMPUTED_VALUE"""),9)</f>
        <v>9</v>
      </c>
      <c r="I357" s="1">
        <f ca="1">IFERROR(__xludf.DUMMYFUNCTION("""COMPUTED_VALUE"""),7)</f>
        <v>7</v>
      </c>
      <c r="J357" s="1">
        <f ca="1">IFERROR(__xludf.DUMMYFUNCTION("""COMPUTED_VALUE"""),12)</f>
        <v>12</v>
      </c>
      <c r="K357" s="1">
        <f ca="1">IFERROR(__xludf.DUMMYFUNCTION("""COMPUTED_VALUE"""),6)</f>
        <v>6</v>
      </c>
      <c r="L357" s="1">
        <f ca="1">IFERROR(__xludf.DUMMYFUNCTION("""COMPUTED_VALUE"""),5)</f>
        <v>5</v>
      </c>
      <c r="M357" s="1">
        <f ca="1">IFERROR(__xludf.DUMMYFUNCTION("""COMPUTED_VALUE"""),9)</f>
        <v>9</v>
      </c>
      <c r="N357" s="1">
        <f ca="1">IFERROR(__xludf.DUMMYFUNCTION("""COMPUTED_VALUE"""),2439)</f>
        <v>2439</v>
      </c>
      <c r="O357" s="1">
        <f ca="1">IFERROR(__xludf.DUMMYFUNCTION("""COMPUTED_VALUE"""),2283)</f>
        <v>2283</v>
      </c>
      <c r="P357" s="1">
        <f ca="1">IFERROR(__xludf.DUMMYFUNCTION("""COMPUTED_VALUE"""),1375)</f>
        <v>1375</v>
      </c>
      <c r="Q357" s="1">
        <f ca="1">IFERROR(__xludf.DUMMYFUNCTION("""COMPUTED_VALUE"""),813)</f>
        <v>813</v>
      </c>
      <c r="R357" s="1">
        <f ca="1">IFERROR(__xludf.DUMMYFUNCTION("""COMPUTED_VALUE"""),1738)</f>
        <v>1738</v>
      </c>
      <c r="S357" s="1">
        <f ca="1">IFERROR(__xludf.DUMMYFUNCTION("""COMPUTED_VALUE"""),0.468)</f>
        <v>0.46800000000000003</v>
      </c>
      <c r="T357" s="1">
        <f ca="1">IFERROR(__xludf.DUMMYFUNCTION("""COMPUTED_VALUE"""),233)</f>
        <v>233</v>
      </c>
      <c r="U357" s="1">
        <f ca="1">IFERROR(__xludf.DUMMYFUNCTION("""COMPUTED_VALUE"""),624)</f>
        <v>624</v>
      </c>
      <c r="V357" s="1">
        <f ca="1">IFERROR(__xludf.DUMMYFUNCTION("""COMPUTED_VALUE"""),0.373)</f>
        <v>0.373</v>
      </c>
      <c r="W357" s="1">
        <f ca="1">IFERROR(__xludf.DUMMYFUNCTION("""COMPUTED_VALUE"""),580)</f>
        <v>580</v>
      </c>
      <c r="X357" s="1">
        <f ca="1">IFERROR(__xludf.DUMMYFUNCTION("""COMPUTED_VALUE"""),790)</f>
        <v>790</v>
      </c>
      <c r="Y357" s="1">
        <f ca="1">IFERROR(__xludf.DUMMYFUNCTION("""COMPUTED_VALUE"""),0.734)</f>
        <v>0.73399999999999999</v>
      </c>
      <c r="Z357" s="1">
        <f ca="1">IFERROR(__xludf.DUMMYFUNCTION("""COMPUTED_VALUE"""),337)</f>
        <v>337</v>
      </c>
      <c r="AA357" s="1">
        <f ca="1">IFERROR(__xludf.DUMMYFUNCTION("""COMPUTED_VALUE"""),1220)</f>
        <v>1220</v>
      </c>
      <c r="AB357" s="1">
        <f ca="1">IFERROR(__xludf.DUMMYFUNCTION("""COMPUTED_VALUE"""),437)</f>
        <v>437</v>
      </c>
      <c r="AC357" s="1">
        <f ca="1">IFERROR(__xludf.DUMMYFUNCTION("""COMPUTED_VALUE"""),190)</f>
        <v>190</v>
      </c>
      <c r="AD357" s="1">
        <f ca="1">IFERROR(__xludf.DUMMYFUNCTION("""COMPUTED_VALUE"""),173)</f>
        <v>173</v>
      </c>
      <c r="AE357" s="1">
        <f ca="1">IFERROR(__xludf.DUMMYFUNCTION("""COMPUTED_VALUE"""),506)</f>
        <v>506</v>
      </c>
      <c r="AF357" s="1">
        <f ca="1">IFERROR(__xludf.DUMMYFUNCTION("""COMPUTED_VALUE"""),706)</f>
        <v>706</v>
      </c>
    </row>
    <row r="358" spans="1:32" ht="12.5" x14ac:dyDescent="0.25">
      <c r="A358" s="1" t="str">
        <f ca="1">IFERROR(__xludf.DUMMYFUNCTION("""COMPUTED_VALUE"""),"Vanderbilt")</f>
        <v>Vanderbilt</v>
      </c>
      <c r="B358" s="1">
        <f ca="1">IFERROR(__xludf.DUMMYFUNCTION("""COMPUTED_VALUE"""),31)</f>
        <v>31</v>
      </c>
      <c r="C358" s="1">
        <f ca="1">IFERROR(__xludf.DUMMYFUNCTION("""COMPUTED_VALUE"""),15)</f>
        <v>15</v>
      </c>
      <c r="D358" s="1">
        <f ca="1">IFERROR(__xludf.DUMMYFUNCTION("""COMPUTED_VALUE"""),16)</f>
        <v>16</v>
      </c>
      <c r="E358" s="1">
        <f ca="1">IFERROR(__xludf.DUMMYFUNCTION("""COMPUTED_VALUE"""),0.484)</f>
        <v>0.48399999999999999</v>
      </c>
      <c r="F358" s="1">
        <f ca="1">IFERROR(__xludf.DUMMYFUNCTION("""COMPUTED_VALUE"""),5.52)</f>
        <v>5.52</v>
      </c>
      <c r="G358" s="1">
        <f ca="1">IFERROR(__xludf.DUMMYFUNCTION("""COMPUTED_VALUE"""),6.49)</f>
        <v>6.49</v>
      </c>
      <c r="H358" s="1">
        <f ca="1">IFERROR(__xludf.DUMMYFUNCTION("""COMPUTED_VALUE"""),7)</f>
        <v>7</v>
      </c>
      <c r="I358" s="1">
        <f ca="1">IFERROR(__xludf.DUMMYFUNCTION("""COMPUTED_VALUE"""),11)</f>
        <v>11</v>
      </c>
      <c r="J358" s="1">
        <f ca="1">IFERROR(__xludf.DUMMYFUNCTION("""COMPUTED_VALUE"""),10)</f>
        <v>10</v>
      </c>
      <c r="K358" s="1">
        <f ca="1">IFERROR(__xludf.DUMMYFUNCTION("""COMPUTED_VALUE"""),6)</f>
        <v>6</v>
      </c>
      <c r="L358" s="1">
        <f ca="1">IFERROR(__xludf.DUMMYFUNCTION("""COMPUTED_VALUE"""),3)</f>
        <v>3</v>
      </c>
      <c r="M358" s="1">
        <f ca="1">IFERROR(__xludf.DUMMYFUNCTION("""COMPUTED_VALUE"""),8)</f>
        <v>8</v>
      </c>
      <c r="N358" s="1">
        <f ca="1">IFERROR(__xludf.DUMMYFUNCTION("""COMPUTED_VALUE"""),2002)</f>
        <v>2002</v>
      </c>
      <c r="O358" s="1">
        <f ca="1">IFERROR(__xludf.DUMMYFUNCTION("""COMPUTED_VALUE"""),2032)</f>
        <v>2032</v>
      </c>
      <c r="P358" s="1">
        <f ca="1">IFERROR(__xludf.DUMMYFUNCTION("""COMPUTED_VALUE"""),1250)</f>
        <v>1250</v>
      </c>
      <c r="Q358" s="1">
        <f ca="1">IFERROR(__xludf.DUMMYFUNCTION("""COMPUTED_VALUE"""),689)</f>
        <v>689</v>
      </c>
      <c r="R358" s="1">
        <f ca="1">IFERROR(__xludf.DUMMYFUNCTION("""COMPUTED_VALUE"""),1598)</f>
        <v>1598</v>
      </c>
      <c r="S358" s="1">
        <f ca="1">IFERROR(__xludf.DUMMYFUNCTION("""COMPUTED_VALUE"""),0.431)</f>
        <v>0.43099999999999999</v>
      </c>
      <c r="T358" s="1">
        <f ca="1">IFERROR(__xludf.DUMMYFUNCTION("""COMPUTED_VALUE"""),191)</f>
        <v>191</v>
      </c>
      <c r="U358" s="1">
        <f ca="1">IFERROR(__xludf.DUMMYFUNCTION("""COMPUTED_VALUE"""),599)</f>
        <v>599</v>
      </c>
      <c r="V358" s="1">
        <f ca="1">IFERROR(__xludf.DUMMYFUNCTION("""COMPUTED_VALUE"""),0.319)</f>
        <v>0.31900000000000001</v>
      </c>
      <c r="W358" s="1">
        <f ca="1">IFERROR(__xludf.DUMMYFUNCTION("""COMPUTED_VALUE"""),433)</f>
        <v>433</v>
      </c>
      <c r="X358" s="1">
        <f ca="1">IFERROR(__xludf.DUMMYFUNCTION("""COMPUTED_VALUE"""),658)</f>
        <v>658</v>
      </c>
      <c r="Y358" s="1">
        <f ca="1">IFERROR(__xludf.DUMMYFUNCTION("""COMPUTED_VALUE"""),0.658)</f>
        <v>0.65800000000000003</v>
      </c>
      <c r="Z358" s="1">
        <f ca="1">IFERROR(__xludf.DUMMYFUNCTION("""COMPUTED_VALUE"""),305)</f>
        <v>305</v>
      </c>
      <c r="AA358" s="1">
        <f ca="1">IFERROR(__xludf.DUMMYFUNCTION("""COMPUTED_VALUE"""),1069)</f>
        <v>1069</v>
      </c>
      <c r="AB358" s="1">
        <f ca="1">IFERROR(__xludf.DUMMYFUNCTION("""COMPUTED_VALUE"""),404)</f>
        <v>404</v>
      </c>
      <c r="AC358" s="1">
        <f ca="1">IFERROR(__xludf.DUMMYFUNCTION("""COMPUTED_VALUE"""),145)</f>
        <v>145</v>
      </c>
      <c r="AD358" s="1">
        <f ca="1">IFERROR(__xludf.DUMMYFUNCTION("""COMPUTED_VALUE"""),138)</f>
        <v>138</v>
      </c>
      <c r="AE358" s="1">
        <f ca="1">IFERROR(__xludf.DUMMYFUNCTION("""COMPUTED_VALUE"""),414)</f>
        <v>414</v>
      </c>
      <c r="AF358" s="1">
        <f ca="1">IFERROR(__xludf.DUMMYFUNCTION("""COMPUTED_VALUE"""),541)</f>
        <v>541</v>
      </c>
    </row>
    <row r="359" spans="1:32" ht="12.5" x14ac:dyDescent="0.25">
      <c r="A359" s="1" t="str">
        <f ca="1">IFERROR(__xludf.DUMMYFUNCTION("""COMPUTED_VALUE"""),"Vermont")</f>
        <v>Vermont</v>
      </c>
      <c r="B359" s="1">
        <f ca="1">IFERROR(__xludf.DUMMYFUNCTION("""COMPUTED_VALUE"""),33)</f>
        <v>33</v>
      </c>
      <c r="C359" s="1">
        <f ca="1">IFERROR(__xludf.DUMMYFUNCTION("""COMPUTED_VALUE"""),22)</f>
        <v>22</v>
      </c>
      <c r="D359" s="1">
        <f ca="1">IFERROR(__xludf.DUMMYFUNCTION("""COMPUTED_VALUE"""),11)</f>
        <v>11</v>
      </c>
      <c r="E359" s="1">
        <f ca="1">IFERROR(__xludf.DUMMYFUNCTION("""COMPUTED_VALUE"""),0.667)</f>
        <v>0.66700000000000004</v>
      </c>
      <c r="F359" s="1">
        <f ca="1">IFERROR(__xludf.DUMMYFUNCTION("""COMPUTED_VALUE"""),4.52)</f>
        <v>4.5199999999999996</v>
      </c>
      <c r="G359" s="1">
        <f ca="1">IFERROR(__xludf.DUMMYFUNCTION("""COMPUTED_VALUE"""),-4.57)</f>
        <v>-4.57</v>
      </c>
      <c r="H359" s="1">
        <f ca="1">IFERROR(__xludf.DUMMYFUNCTION("""COMPUTED_VALUE"""),15)</f>
        <v>15</v>
      </c>
      <c r="I359" s="1">
        <f ca="1">IFERROR(__xludf.DUMMYFUNCTION("""COMPUTED_VALUE"""),1)</f>
        <v>1</v>
      </c>
      <c r="J359" s="1">
        <f ca="1">IFERROR(__xludf.DUMMYFUNCTION("""COMPUTED_VALUE"""),10)</f>
        <v>10</v>
      </c>
      <c r="K359" s="1">
        <f ca="1">IFERROR(__xludf.DUMMYFUNCTION("""COMPUTED_VALUE"""),2)</f>
        <v>2</v>
      </c>
      <c r="L359" s="1">
        <f ca="1">IFERROR(__xludf.DUMMYFUNCTION("""COMPUTED_VALUE"""),9)</f>
        <v>9</v>
      </c>
      <c r="M359" s="1">
        <f ca="1">IFERROR(__xludf.DUMMYFUNCTION("""COMPUTED_VALUE"""),8)</f>
        <v>8</v>
      </c>
      <c r="N359" s="1">
        <f ca="1">IFERROR(__xludf.DUMMYFUNCTION("""COMPUTED_VALUE"""),2334)</f>
        <v>2334</v>
      </c>
      <c r="O359" s="1">
        <f ca="1">IFERROR(__xludf.DUMMYFUNCTION("""COMPUTED_VALUE"""),2000)</f>
        <v>2000</v>
      </c>
      <c r="P359" s="1">
        <f ca="1">IFERROR(__xludf.DUMMYFUNCTION("""COMPUTED_VALUE"""),1325)</f>
        <v>1325</v>
      </c>
      <c r="Q359" s="1">
        <f ca="1">IFERROR(__xludf.DUMMYFUNCTION("""COMPUTED_VALUE"""),785)</f>
        <v>785</v>
      </c>
      <c r="R359" s="1">
        <f ca="1">IFERROR(__xludf.DUMMYFUNCTION("""COMPUTED_VALUE"""),1673)</f>
        <v>1673</v>
      </c>
      <c r="S359" s="1">
        <f ca="1">IFERROR(__xludf.DUMMYFUNCTION("""COMPUTED_VALUE"""),0.469)</f>
        <v>0.46899999999999997</v>
      </c>
      <c r="T359" s="1">
        <f ca="1">IFERROR(__xludf.DUMMYFUNCTION("""COMPUTED_VALUE"""),195)</f>
        <v>195</v>
      </c>
      <c r="U359" s="1">
        <f ca="1">IFERROR(__xludf.DUMMYFUNCTION("""COMPUTED_VALUE"""),487)</f>
        <v>487</v>
      </c>
      <c r="V359" s="1">
        <f ca="1">IFERROR(__xludf.DUMMYFUNCTION("""COMPUTED_VALUE"""),0.4)</f>
        <v>0.4</v>
      </c>
      <c r="W359" s="1">
        <f ca="1">IFERROR(__xludf.DUMMYFUNCTION("""COMPUTED_VALUE"""),569)</f>
        <v>569</v>
      </c>
      <c r="X359" s="1">
        <f ca="1">IFERROR(__xludf.DUMMYFUNCTION("""COMPUTED_VALUE"""),785)</f>
        <v>785</v>
      </c>
      <c r="Y359" s="1">
        <f ca="1">IFERROR(__xludf.DUMMYFUNCTION("""COMPUTED_VALUE"""),0.725)</f>
        <v>0.72499999999999998</v>
      </c>
      <c r="Z359" s="1">
        <f ca="1">IFERROR(__xludf.DUMMYFUNCTION("""COMPUTED_VALUE"""),327)</f>
        <v>327</v>
      </c>
      <c r="AA359" s="1">
        <f ca="1">IFERROR(__xludf.DUMMYFUNCTION("""COMPUTED_VALUE"""),1131)</f>
        <v>1131</v>
      </c>
      <c r="AB359" s="1">
        <f ca="1">IFERROR(__xludf.DUMMYFUNCTION("""COMPUTED_VALUE"""),424)</f>
        <v>424</v>
      </c>
      <c r="AC359" s="1">
        <f ca="1">IFERROR(__xludf.DUMMYFUNCTION("""COMPUTED_VALUE"""),238)</f>
        <v>238</v>
      </c>
      <c r="AD359" s="1">
        <f ca="1">IFERROR(__xludf.DUMMYFUNCTION("""COMPUTED_VALUE"""),140)</f>
        <v>140</v>
      </c>
      <c r="AE359" s="1">
        <f ca="1">IFERROR(__xludf.DUMMYFUNCTION("""COMPUTED_VALUE"""),396)</f>
        <v>396</v>
      </c>
      <c r="AF359" s="1">
        <f ca="1">IFERROR(__xludf.DUMMYFUNCTION("""COMPUTED_VALUE"""),615)</f>
        <v>615</v>
      </c>
    </row>
    <row r="360" spans="1:32" ht="12.5" x14ac:dyDescent="0.25">
      <c r="A360" s="1" t="str">
        <f ca="1">IFERROR(__xludf.DUMMYFUNCTION("""COMPUTED_VALUE"""),"VillanovaNCAA")</f>
        <v>VillanovaNCAA</v>
      </c>
      <c r="B360" s="1">
        <f ca="1">IFERROR(__xludf.DUMMYFUNCTION("""COMPUTED_VALUE"""),34)</f>
        <v>34</v>
      </c>
      <c r="C360" s="1">
        <f ca="1">IFERROR(__xludf.DUMMYFUNCTION("""COMPUTED_VALUE"""),29)</f>
        <v>29</v>
      </c>
      <c r="D360" s="1">
        <f ca="1">IFERROR(__xludf.DUMMYFUNCTION("""COMPUTED_VALUE"""),5)</f>
        <v>5</v>
      </c>
      <c r="E360" s="1">
        <f ca="1">IFERROR(__xludf.DUMMYFUNCTION("""COMPUTED_VALUE"""),0.853)</f>
        <v>0.85299999999999998</v>
      </c>
      <c r="F360" s="1">
        <f ca="1">IFERROR(__xludf.DUMMYFUNCTION("""COMPUTED_VALUE"""),18.97)</f>
        <v>18.97</v>
      </c>
      <c r="G360" s="1">
        <f ca="1">IFERROR(__xludf.DUMMYFUNCTION("""COMPUTED_VALUE"""),7.5)</f>
        <v>7.5</v>
      </c>
      <c r="H360" s="1">
        <f ca="1">IFERROR(__xludf.DUMMYFUNCTION("""COMPUTED_VALUE"""),16)</f>
        <v>16</v>
      </c>
      <c r="I360" s="1">
        <f ca="1">IFERROR(__xludf.DUMMYFUNCTION("""COMPUTED_VALUE"""),2)</f>
        <v>2</v>
      </c>
      <c r="J360" s="1">
        <f ca="1">IFERROR(__xludf.DUMMYFUNCTION("""COMPUTED_VALUE"""),15)</f>
        <v>15</v>
      </c>
      <c r="K360" s="1">
        <f ca="1">IFERROR(__xludf.DUMMYFUNCTION("""COMPUTED_VALUE"""),1)</f>
        <v>1</v>
      </c>
      <c r="L360" s="1">
        <f ca="1">IFERROR(__xludf.DUMMYFUNCTION("""COMPUTED_VALUE"""),10)</f>
        <v>10</v>
      </c>
      <c r="M360" s="1">
        <f ca="1">IFERROR(__xludf.DUMMYFUNCTION("""COMPUTED_VALUE"""),2)</f>
        <v>2</v>
      </c>
      <c r="N360" s="1">
        <f ca="1">IFERROR(__xludf.DUMMYFUNCTION("""COMPUTED_VALUE"""),2651)</f>
        <v>2651</v>
      </c>
      <c r="O360" s="1">
        <f ca="1">IFERROR(__xludf.DUMMYFUNCTION("""COMPUTED_VALUE"""),2261)</f>
        <v>2261</v>
      </c>
      <c r="P360" s="1">
        <f ca="1">IFERROR(__xludf.DUMMYFUNCTION("""COMPUTED_VALUE"""),1385)</f>
        <v>1385</v>
      </c>
      <c r="Q360" s="1">
        <f ca="1">IFERROR(__xludf.DUMMYFUNCTION("""COMPUTED_VALUE"""),870)</f>
        <v>870</v>
      </c>
      <c r="R360" s="1">
        <f ca="1">IFERROR(__xludf.DUMMYFUNCTION("""COMPUTED_VALUE"""),1907)</f>
        <v>1907</v>
      </c>
      <c r="S360" s="1">
        <f ca="1">IFERROR(__xludf.DUMMYFUNCTION("""COMPUTED_VALUE"""),0.456)</f>
        <v>0.45600000000000002</v>
      </c>
      <c r="T360" s="1">
        <f ca="1">IFERROR(__xludf.DUMMYFUNCTION("""COMPUTED_VALUE"""),304)</f>
        <v>304</v>
      </c>
      <c r="U360" s="1">
        <f ca="1">IFERROR(__xludf.DUMMYFUNCTION("""COMPUTED_VALUE"""),855)</f>
        <v>855</v>
      </c>
      <c r="V360" s="1">
        <f ca="1">IFERROR(__xludf.DUMMYFUNCTION("""COMPUTED_VALUE"""),0.356)</f>
        <v>0.35599999999999998</v>
      </c>
      <c r="W360" s="1">
        <f ca="1">IFERROR(__xludf.DUMMYFUNCTION("""COMPUTED_VALUE"""),607)</f>
        <v>607</v>
      </c>
      <c r="X360" s="1">
        <f ca="1">IFERROR(__xludf.DUMMYFUNCTION("""COMPUTED_VALUE"""),848)</f>
        <v>848</v>
      </c>
      <c r="Y360" s="1">
        <f ca="1">IFERROR(__xludf.DUMMYFUNCTION("""COMPUTED_VALUE"""),0.716)</f>
        <v>0.71599999999999997</v>
      </c>
      <c r="Z360" s="1">
        <f ca="1">IFERROR(__xludf.DUMMYFUNCTION("""COMPUTED_VALUE"""),379)</f>
        <v>379</v>
      </c>
      <c r="AA360" s="1">
        <f ca="1">IFERROR(__xludf.DUMMYFUNCTION("""COMPUTED_VALUE"""),1263)</f>
        <v>1263</v>
      </c>
      <c r="AB360" s="1">
        <f ca="1">IFERROR(__xludf.DUMMYFUNCTION("""COMPUTED_VALUE"""),523)</f>
        <v>523</v>
      </c>
      <c r="AC360" s="1">
        <f ca="1">IFERROR(__xludf.DUMMYFUNCTION("""COMPUTED_VALUE"""),236)</f>
        <v>236</v>
      </c>
      <c r="AD360" s="1">
        <f ca="1">IFERROR(__xludf.DUMMYFUNCTION("""COMPUTED_VALUE"""),141)</f>
        <v>141</v>
      </c>
      <c r="AE360" s="1">
        <f ca="1">IFERROR(__xludf.DUMMYFUNCTION("""COMPUTED_VALUE"""),406)</f>
        <v>406</v>
      </c>
      <c r="AF360" s="1">
        <f ca="1">IFERROR(__xludf.DUMMYFUNCTION("""COMPUTED_VALUE"""),672)</f>
        <v>672</v>
      </c>
    </row>
    <row r="361" spans="1:32" ht="12.5" x14ac:dyDescent="0.25">
      <c r="A361" s="1" t="str">
        <f ca="1">IFERROR(__xludf.DUMMYFUNCTION("""COMPUTED_VALUE"""),"Virginia CommonwealthNCAA")</f>
        <v>Virginia CommonwealthNCAA</v>
      </c>
      <c r="B361" s="1">
        <f ca="1">IFERROR(__xludf.DUMMYFUNCTION("""COMPUTED_VALUE"""),35)</f>
        <v>35</v>
      </c>
      <c r="C361" s="1">
        <f ca="1">IFERROR(__xludf.DUMMYFUNCTION("""COMPUTED_VALUE"""),26)</f>
        <v>26</v>
      </c>
      <c r="D361" s="1">
        <f ca="1">IFERROR(__xludf.DUMMYFUNCTION("""COMPUTED_VALUE"""),9)</f>
        <v>9</v>
      </c>
      <c r="E361" s="1">
        <f ca="1">IFERROR(__xludf.DUMMYFUNCTION("""COMPUTED_VALUE"""),0.743)</f>
        <v>0.74299999999999999</v>
      </c>
      <c r="F361" s="1">
        <f ca="1">IFERROR(__xludf.DUMMYFUNCTION("""COMPUTED_VALUE"""),14.55)</f>
        <v>14.55</v>
      </c>
      <c r="G361" s="1">
        <f ca="1">IFERROR(__xludf.DUMMYFUNCTION("""COMPUTED_VALUE"""),4.78)</f>
        <v>4.78</v>
      </c>
      <c r="H361" s="1">
        <f ca="1">IFERROR(__xludf.DUMMYFUNCTION("""COMPUTED_VALUE"""),12)</f>
        <v>12</v>
      </c>
      <c r="I361" s="1">
        <f ca="1">IFERROR(__xludf.DUMMYFUNCTION("""COMPUTED_VALUE"""),4)</f>
        <v>4</v>
      </c>
      <c r="J361" s="1">
        <f ca="1">IFERROR(__xludf.DUMMYFUNCTION("""COMPUTED_VALUE"""),15)</f>
        <v>15</v>
      </c>
      <c r="K361" s="1">
        <f ca="1">IFERROR(__xludf.DUMMYFUNCTION("""COMPUTED_VALUE"""),0)</f>
        <v>0</v>
      </c>
      <c r="L361" s="1">
        <f ca="1">IFERROR(__xludf.DUMMYFUNCTION("""COMPUTED_VALUE"""),6)</f>
        <v>6</v>
      </c>
      <c r="M361" s="1">
        <f ca="1">IFERROR(__xludf.DUMMYFUNCTION("""COMPUTED_VALUE"""),5)</f>
        <v>5</v>
      </c>
      <c r="N361" s="1">
        <f ca="1">IFERROR(__xludf.DUMMYFUNCTION("""COMPUTED_VALUE"""),2624)</f>
        <v>2624</v>
      </c>
      <c r="O361" s="1">
        <f ca="1">IFERROR(__xludf.DUMMYFUNCTION("""COMPUTED_VALUE"""),2282)</f>
        <v>2282</v>
      </c>
      <c r="P361" s="1">
        <f ca="1">IFERROR(__xludf.DUMMYFUNCTION("""COMPUTED_VALUE"""),1420)</f>
        <v>1420</v>
      </c>
      <c r="Q361" s="1">
        <f ca="1">IFERROR(__xludf.DUMMYFUNCTION("""COMPUTED_VALUE"""),922)</f>
        <v>922</v>
      </c>
      <c r="R361" s="1">
        <f ca="1">IFERROR(__xludf.DUMMYFUNCTION("""COMPUTED_VALUE"""),2196)</f>
        <v>2196</v>
      </c>
      <c r="S361" s="1">
        <f ca="1">IFERROR(__xludf.DUMMYFUNCTION("""COMPUTED_VALUE"""),0.42)</f>
        <v>0.42</v>
      </c>
      <c r="T361" s="1">
        <f ca="1">IFERROR(__xludf.DUMMYFUNCTION("""COMPUTED_VALUE"""),260)</f>
        <v>260</v>
      </c>
      <c r="U361" s="1">
        <f ca="1">IFERROR(__xludf.DUMMYFUNCTION("""COMPUTED_VALUE"""),744)</f>
        <v>744</v>
      </c>
      <c r="V361" s="1">
        <f ca="1">IFERROR(__xludf.DUMMYFUNCTION("""COMPUTED_VALUE"""),0.349)</f>
        <v>0.34899999999999998</v>
      </c>
      <c r="W361" s="1">
        <f ca="1">IFERROR(__xludf.DUMMYFUNCTION("""COMPUTED_VALUE"""),520)</f>
        <v>520</v>
      </c>
      <c r="X361" s="1">
        <f ca="1">IFERROR(__xludf.DUMMYFUNCTION("""COMPUTED_VALUE"""),772)</f>
        <v>772</v>
      </c>
      <c r="Y361" s="1">
        <f ca="1">IFERROR(__xludf.DUMMYFUNCTION("""COMPUTED_VALUE"""),0.674)</f>
        <v>0.67400000000000004</v>
      </c>
      <c r="Z361" s="1">
        <f ca="1">IFERROR(__xludf.DUMMYFUNCTION("""COMPUTED_VALUE"""),479)</f>
        <v>479</v>
      </c>
      <c r="AA361" s="1">
        <f ca="1">IFERROR(__xludf.DUMMYFUNCTION("""COMPUTED_VALUE"""),1317)</f>
        <v>1317</v>
      </c>
      <c r="AB361" s="1">
        <f ca="1">IFERROR(__xludf.DUMMYFUNCTION("""COMPUTED_VALUE"""),459)</f>
        <v>459</v>
      </c>
      <c r="AC361" s="1">
        <f ca="1">IFERROR(__xludf.DUMMYFUNCTION("""COMPUTED_VALUE"""),391)</f>
        <v>391</v>
      </c>
      <c r="AD361" s="1">
        <f ca="1">IFERROR(__xludf.DUMMYFUNCTION("""COMPUTED_VALUE"""),150)</f>
        <v>150</v>
      </c>
      <c r="AE361" s="1">
        <f ca="1">IFERROR(__xludf.DUMMYFUNCTION("""COMPUTED_VALUE"""),423)</f>
        <v>423</v>
      </c>
      <c r="AF361" s="1">
        <f ca="1">IFERROR(__xludf.DUMMYFUNCTION("""COMPUTED_VALUE"""),686)</f>
        <v>686</v>
      </c>
    </row>
    <row r="362" spans="1:32" ht="12.5" x14ac:dyDescent="0.25">
      <c r="A362" s="1" t="str">
        <f ca="1">IFERROR(__xludf.DUMMYFUNCTION("""COMPUTED_VALUE"""),"VMI")</f>
        <v>VMI</v>
      </c>
      <c r="B362" s="1">
        <f ca="1">IFERROR(__xludf.DUMMYFUNCTION("""COMPUTED_VALUE"""),35)</f>
        <v>35</v>
      </c>
      <c r="C362" s="1">
        <f ca="1">IFERROR(__xludf.DUMMYFUNCTION("""COMPUTED_VALUE"""),22)</f>
        <v>22</v>
      </c>
      <c r="D362" s="1">
        <f ca="1">IFERROR(__xludf.DUMMYFUNCTION("""COMPUTED_VALUE"""),13)</f>
        <v>13</v>
      </c>
      <c r="E362" s="1">
        <f ca="1">IFERROR(__xludf.DUMMYFUNCTION("""COMPUTED_VALUE"""),0.629)</f>
        <v>0.629</v>
      </c>
      <c r="F362" s="1">
        <f ca="1">IFERROR(__xludf.DUMMYFUNCTION("""COMPUTED_VALUE"""),-5.53)</f>
        <v>-5.53</v>
      </c>
      <c r="G362" s="1">
        <f ca="1">IFERROR(__xludf.DUMMYFUNCTION("""COMPUTED_VALUE"""),-6.33)</f>
        <v>-6.33</v>
      </c>
      <c r="H362" s="1">
        <f ca="1">IFERROR(__xludf.DUMMYFUNCTION("""COMPUTED_VALUE"""),11)</f>
        <v>11</v>
      </c>
      <c r="I362" s="1">
        <f ca="1">IFERROR(__xludf.DUMMYFUNCTION("""COMPUTED_VALUE"""),5)</f>
        <v>5</v>
      </c>
      <c r="J362" s="1">
        <f ca="1">IFERROR(__xludf.DUMMYFUNCTION("""COMPUTED_VALUE"""),14)</f>
        <v>14</v>
      </c>
      <c r="K362" s="1">
        <f ca="1">IFERROR(__xludf.DUMMYFUNCTION("""COMPUTED_VALUE"""),3)</f>
        <v>3</v>
      </c>
      <c r="L362" s="1">
        <f ca="1">IFERROR(__xludf.DUMMYFUNCTION("""COMPUTED_VALUE"""),7)</f>
        <v>7</v>
      </c>
      <c r="M362" s="1">
        <f ca="1">IFERROR(__xludf.DUMMYFUNCTION("""COMPUTED_VALUE"""),9)</f>
        <v>9</v>
      </c>
      <c r="N362" s="1">
        <f ca="1">IFERROR(__xludf.DUMMYFUNCTION("""COMPUTED_VALUE"""),3089)</f>
        <v>3089</v>
      </c>
      <c r="O362" s="1">
        <f ca="1">IFERROR(__xludf.DUMMYFUNCTION("""COMPUTED_VALUE"""),2891)</f>
        <v>2891</v>
      </c>
      <c r="P362" s="1">
        <f ca="1">IFERROR(__xludf.DUMMYFUNCTION("""COMPUTED_VALUE"""),1430)</f>
        <v>1430</v>
      </c>
      <c r="Q362" s="1">
        <f ca="1">IFERROR(__xludf.DUMMYFUNCTION("""COMPUTED_VALUE"""),1088)</f>
        <v>1088</v>
      </c>
      <c r="R362" s="1">
        <f ca="1">IFERROR(__xludf.DUMMYFUNCTION("""COMPUTED_VALUE"""),2441)</f>
        <v>2441</v>
      </c>
      <c r="S362" s="1">
        <f ca="1">IFERROR(__xludf.DUMMYFUNCTION("""COMPUTED_VALUE"""),0.446)</f>
        <v>0.44600000000000001</v>
      </c>
      <c r="T362" s="1">
        <f ca="1">IFERROR(__xludf.DUMMYFUNCTION("""COMPUTED_VALUE"""),313)</f>
        <v>313</v>
      </c>
      <c r="U362" s="1">
        <f ca="1">IFERROR(__xludf.DUMMYFUNCTION("""COMPUTED_VALUE"""),962)</f>
        <v>962</v>
      </c>
      <c r="V362" s="1">
        <f ca="1">IFERROR(__xludf.DUMMYFUNCTION("""COMPUTED_VALUE"""),0.325)</f>
        <v>0.32500000000000001</v>
      </c>
      <c r="W362" s="1">
        <f ca="1">IFERROR(__xludf.DUMMYFUNCTION("""COMPUTED_VALUE"""),600)</f>
        <v>600</v>
      </c>
      <c r="X362" s="1">
        <f ca="1">IFERROR(__xludf.DUMMYFUNCTION("""COMPUTED_VALUE"""),842)</f>
        <v>842</v>
      </c>
      <c r="Y362" s="1">
        <f ca="1">IFERROR(__xludf.DUMMYFUNCTION("""COMPUTED_VALUE"""),0.713)</f>
        <v>0.71299999999999997</v>
      </c>
      <c r="Z362" s="1">
        <f ca="1">IFERROR(__xludf.DUMMYFUNCTION("""COMPUTED_VALUE"""),503)</f>
        <v>503</v>
      </c>
      <c r="AA362" s="1">
        <f ca="1">IFERROR(__xludf.DUMMYFUNCTION("""COMPUTED_VALUE"""),1452)</f>
        <v>1452</v>
      </c>
      <c r="AB362" s="1">
        <f ca="1">IFERROR(__xludf.DUMMYFUNCTION("""COMPUTED_VALUE"""),491)</f>
        <v>491</v>
      </c>
      <c r="AC362" s="1">
        <f ca="1">IFERROR(__xludf.DUMMYFUNCTION("""COMPUTED_VALUE"""),254)</f>
        <v>254</v>
      </c>
      <c r="AD362" s="1">
        <f ca="1">IFERROR(__xludf.DUMMYFUNCTION("""COMPUTED_VALUE"""),218)</f>
        <v>218</v>
      </c>
      <c r="AE362" s="1">
        <f ca="1">IFERROR(__xludf.DUMMYFUNCTION("""COMPUTED_VALUE"""),371)</f>
        <v>371</v>
      </c>
      <c r="AF362" s="1">
        <f ca="1">IFERROR(__xludf.DUMMYFUNCTION("""COMPUTED_VALUE"""),661)</f>
        <v>661</v>
      </c>
    </row>
    <row r="363" spans="1:32" ht="12.5" x14ac:dyDescent="0.25">
      <c r="A363" s="1" t="str">
        <f ca="1">IFERROR(__xludf.DUMMYFUNCTION("""COMPUTED_VALUE"""),"Virginia Tech")</f>
        <v>Virginia Tech</v>
      </c>
      <c r="B363" s="1">
        <f ca="1">IFERROR(__xludf.DUMMYFUNCTION("""COMPUTED_VALUE"""),31)</f>
        <v>31</v>
      </c>
      <c r="C363" s="1">
        <f ca="1">IFERROR(__xludf.DUMMYFUNCTION("""COMPUTED_VALUE"""),9)</f>
        <v>9</v>
      </c>
      <c r="D363" s="1">
        <f ca="1">IFERROR(__xludf.DUMMYFUNCTION("""COMPUTED_VALUE"""),22)</f>
        <v>22</v>
      </c>
      <c r="E363" s="1">
        <f ca="1">IFERROR(__xludf.DUMMYFUNCTION("""COMPUTED_VALUE"""),0.29)</f>
        <v>0.28999999999999998</v>
      </c>
      <c r="F363" s="1">
        <f ca="1">IFERROR(__xludf.DUMMYFUNCTION("""COMPUTED_VALUE"""),1.9)</f>
        <v>1.9</v>
      </c>
      <c r="G363" s="1">
        <f ca="1">IFERROR(__xludf.DUMMYFUNCTION("""COMPUTED_VALUE"""),5.99)</f>
        <v>5.99</v>
      </c>
      <c r="H363" s="1">
        <f ca="1">IFERROR(__xludf.DUMMYFUNCTION("""COMPUTED_VALUE"""),2)</f>
        <v>2</v>
      </c>
      <c r="I363" s="1">
        <f ca="1">IFERROR(__xludf.DUMMYFUNCTION("""COMPUTED_VALUE"""),16)</f>
        <v>16</v>
      </c>
      <c r="J363" s="1">
        <f ca="1">IFERROR(__xludf.DUMMYFUNCTION("""COMPUTED_VALUE"""),8)</f>
        <v>8</v>
      </c>
      <c r="K363" s="1">
        <f ca="1">IFERROR(__xludf.DUMMYFUNCTION("""COMPUTED_VALUE"""),10)</f>
        <v>10</v>
      </c>
      <c r="L363" s="1">
        <f ca="1">IFERROR(__xludf.DUMMYFUNCTION("""COMPUTED_VALUE"""),1)</f>
        <v>1</v>
      </c>
      <c r="M363" s="1">
        <f ca="1">IFERROR(__xludf.DUMMYFUNCTION("""COMPUTED_VALUE"""),8)</f>
        <v>8</v>
      </c>
      <c r="N363" s="1">
        <f ca="1">IFERROR(__xludf.DUMMYFUNCTION("""COMPUTED_VALUE"""),1950)</f>
        <v>1950</v>
      </c>
      <c r="O363" s="1">
        <f ca="1">IFERROR(__xludf.DUMMYFUNCTION("""COMPUTED_VALUE"""),2077)</f>
        <v>2077</v>
      </c>
      <c r="P363" s="1">
        <f ca="1">IFERROR(__xludf.DUMMYFUNCTION("""COMPUTED_VALUE"""),1255)</f>
        <v>1255</v>
      </c>
      <c r="Q363" s="1">
        <f ca="1">IFERROR(__xludf.DUMMYFUNCTION("""COMPUTED_VALUE"""),665)</f>
        <v>665</v>
      </c>
      <c r="R363" s="1">
        <f ca="1">IFERROR(__xludf.DUMMYFUNCTION("""COMPUTED_VALUE"""),1639)</f>
        <v>1639</v>
      </c>
      <c r="S363" s="1">
        <f ca="1">IFERROR(__xludf.DUMMYFUNCTION("""COMPUTED_VALUE"""),0.406)</f>
        <v>0.40600000000000003</v>
      </c>
      <c r="T363" s="1">
        <f ca="1">IFERROR(__xludf.DUMMYFUNCTION("""COMPUTED_VALUE"""),215)</f>
        <v>215</v>
      </c>
      <c r="U363" s="1">
        <f ca="1">IFERROR(__xludf.DUMMYFUNCTION("""COMPUTED_VALUE"""),596)</f>
        <v>596</v>
      </c>
      <c r="V363" s="1">
        <f ca="1">IFERROR(__xludf.DUMMYFUNCTION("""COMPUTED_VALUE"""),0.361)</f>
        <v>0.36099999999999999</v>
      </c>
      <c r="W363" s="1">
        <f ca="1">IFERROR(__xludf.DUMMYFUNCTION("""COMPUTED_VALUE"""),405)</f>
        <v>405</v>
      </c>
      <c r="X363" s="1">
        <f ca="1">IFERROR(__xludf.DUMMYFUNCTION("""COMPUTED_VALUE"""),625)</f>
        <v>625</v>
      </c>
      <c r="Y363" s="1">
        <f ca="1">IFERROR(__xludf.DUMMYFUNCTION("""COMPUTED_VALUE"""),0.648)</f>
        <v>0.64800000000000002</v>
      </c>
      <c r="Z363" s="1">
        <f ca="1">IFERROR(__xludf.DUMMYFUNCTION("""COMPUTED_VALUE"""),336)</f>
        <v>336</v>
      </c>
      <c r="AA363" s="1">
        <f ca="1">IFERROR(__xludf.DUMMYFUNCTION("""COMPUTED_VALUE"""),1138)</f>
        <v>1138</v>
      </c>
      <c r="AB363" s="1">
        <f ca="1">IFERROR(__xludf.DUMMYFUNCTION("""COMPUTED_VALUE"""),338)</f>
        <v>338</v>
      </c>
      <c r="AC363" s="1">
        <f ca="1">IFERROR(__xludf.DUMMYFUNCTION("""COMPUTED_VALUE"""),101)</f>
        <v>101</v>
      </c>
      <c r="AD363" s="1">
        <f ca="1">IFERROR(__xludf.DUMMYFUNCTION("""COMPUTED_VALUE"""),141)</f>
        <v>141</v>
      </c>
      <c r="AE363" s="1">
        <f ca="1">IFERROR(__xludf.DUMMYFUNCTION("""COMPUTED_VALUE"""),392)</f>
        <v>392</v>
      </c>
      <c r="AF363" s="1">
        <f ca="1">IFERROR(__xludf.DUMMYFUNCTION("""COMPUTED_VALUE"""),524)</f>
        <v>524</v>
      </c>
    </row>
    <row r="364" spans="1:32" ht="12.5" x14ac:dyDescent="0.25">
      <c r="A364" s="1" t="str">
        <f ca="1">IFERROR(__xludf.DUMMYFUNCTION("""COMPUTED_VALUE"""),"VirginiaNCAA")</f>
        <v>VirginiaNCAA</v>
      </c>
      <c r="B364" s="1">
        <f ca="1">IFERROR(__xludf.DUMMYFUNCTION("""COMPUTED_VALUE"""),37)</f>
        <v>37</v>
      </c>
      <c r="C364" s="1">
        <f ca="1">IFERROR(__xludf.DUMMYFUNCTION("""COMPUTED_VALUE"""),30)</f>
        <v>30</v>
      </c>
      <c r="D364" s="1">
        <f ca="1">IFERROR(__xludf.DUMMYFUNCTION("""COMPUTED_VALUE"""),7)</f>
        <v>7</v>
      </c>
      <c r="E364" s="1">
        <f ca="1">IFERROR(__xludf.DUMMYFUNCTION("""COMPUTED_VALUE"""),0.811)</f>
        <v>0.81100000000000005</v>
      </c>
      <c r="F364" s="1">
        <f ca="1">IFERROR(__xludf.DUMMYFUNCTION("""COMPUTED_VALUE"""),18.38)</f>
        <v>18.38</v>
      </c>
      <c r="G364" s="1">
        <f ca="1">IFERROR(__xludf.DUMMYFUNCTION("""COMPUTED_VALUE"""),7.86)</f>
        <v>7.86</v>
      </c>
      <c r="H364" s="1">
        <f ca="1">IFERROR(__xludf.DUMMYFUNCTION("""COMPUTED_VALUE"""),16)</f>
        <v>16</v>
      </c>
      <c r="I364" s="1">
        <f ca="1">IFERROR(__xludf.DUMMYFUNCTION("""COMPUTED_VALUE"""),2)</f>
        <v>2</v>
      </c>
      <c r="J364" s="1">
        <f ca="1">IFERROR(__xludf.DUMMYFUNCTION("""COMPUTED_VALUE"""),15)</f>
        <v>15</v>
      </c>
      <c r="K364" s="1">
        <f ca="1">IFERROR(__xludf.DUMMYFUNCTION("""COMPUTED_VALUE"""),2)</f>
        <v>2</v>
      </c>
      <c r="L364" s="1">
        <f ca="1">IFERROR(__xludf.DUMMYFUNCTION("""COMPUTED_VALUE"""),7)</f>
        <v>7</v>
      </c>
      <c r="M364" s="1">
        <f ca="1">IFERROR(__xludf.DUMMYFUNCTION("""COMPUTED_VALUE"""),4)</f>
        <v>4</v>
      </c>
      <c r="N364" s="1">
        <f ca="1">IFERROR(__xludf.DUMMYFUNCTION("""COMPUTED_VALUE"""),2449)</f>
        <v>2449</v>
      </c>
      <c r="O364" s="1">
        <f ca="1">IFERROR(__xludf.DUMMYFUNCTION("""COMPUTED_VALUE"""),2060)</f>
        <v>2060</v>
      </c>
      <c r="P364" s="1">
        <f ca="1">IFERROR(__xludf.DUMMYFUNCTION("""COMPUTED_VALUE"""),1486)</f>
        <v>1486</v>
      </c>
      <c r="Q364" s="1">
        <f ca="1">IFERROR(__xludf.DUMMYFUNCTION("""COMPUTED_VALUE"""),855)</f>
        <v>855</v>
      </c>
      <c r="R364" s="1">
        <f ca="1">IFERROR(__xludf.DUMMYFUNCTION("""COMPUTED_VALUE"""),1884)</f>
        <v>1884</v>
      </c>
      <c r="S364" s="1">
        <f ca="1">IFERROR(__xludf.DUMMYFUNCTION("""COMPUTED_VALUE"""),0.454)</f>
        <v>0.45400000000000001</v>
      </c>
      <c r="T364" s="1">
        <f ca="1">IFERROR(__xludf.DUMMYFUNCTION("""COMPUTED_VALUE"""),206)</f>
        <v>206</v>
      </c>
      <c r="U364" s="1">
        <f ca="1">IFERROR(__xludf.DUMMYFUNCTION("""COMPUTED_VALUE"""),559)</f>
        <v>559</v>
      </c>
      <c r="V364" s="1">
        <f ca="1">IFERROR(__xludf.DUMMYFUNCTION("""COMPUTED_VALUE"""),0.369)</f>
        <v>0.36899999999999999</v>
      </c>
      <c r="W364" s="1">
        <f ca="1">IFERROR(__xludf.DUMMYFUNCTION("""COMPUTED_VALUE"""),533)</f>
        <v>533</v>
      </c>
      <c r="X364" s="1">
        <f ca="1">IFERROR(__xludf.DUMMYFUNCTION("""COMPUTED_VALUE"""),792)</f>
        <v>792</v>
      </c>
      <c r="Y364" s="1">
        <f ca="1">IFERROR(__xludf.DUMMYFUNCTION("""COMPUTED_VALUE"""),0.673)</f>
        <v>0.67300000000000004</v>
      </c>
      <c r="Z364" s="1">
        <f ca="1">IFERROR(__xludf.DUMMYFUNCTION("""COMPUTED_VALUE"""),379)</f>
        <v>379</v>
      </c>
      <c r="AA364" s="1">
        <f ca="1">IFERROR(__xludf.DUMMYFUNCTION("""COMPUTED_VALUE"""),1312)</f>
        <v>1312</v>
      </c>
      <c r="AB364" s="1">
        <f ca="1">IFERROR(__xludf.DUMMYFUNCTION("""COMPUTED_VALUE"""),484)</f>
        <v>484</v>
      </c>
      <c r="AC364" s="1">
        <f ca="1">IFERROR(__xludf.DUMMYFUNCTION("""COMPUTED_VALUE"""),193)</f>
        <v>193</v>
      </c>
      <c r="AD364" s="1">
        <f ca="1">IFERROR(__xludf.DUMMYFUNCTION("""COMPUTED_VALUE"""),150)</f>
        <v>150</v>
      </c>
      <c r="AE364" s="1">
        <f ca="1">IFERROR(__xludf.DUMMYFUNCTION("""COMPUTED_VALUE"""),362)</f>
        <v>362</v>
      </c>
      <c r="AF364" s="1">
        <f ca="1">IFERROR(__xludf.DUMMYFUNCTION("""COMPUTED_VALUE"""),594)</f>
        <v>594</v>
      </c>
    </row>
    <row r="365" spans="1:32" ht="12.5" x14ac:dyDescent="0.25">
      <c r="A365" s="1" t="str">
        <f ca="1">IFERROR(__xludf.DUMMYFUNCTION("""COMPUTED_VALUE"""),"Wagner")</f>
        <v>Wagner</v>
      </c>
      <c r="B365" s="1">
        <f ca="1">IFERROR(__xludf.DUMMYFUNCTION("""COMPUTED_VALUE"""),31)</f>
        <v>31</v>
      </c>
      <c r="C365" s="1">
        <f ca="1">IFERROR(__xludf.DUMMYFUNCTION("""COMPUTED_VALUE"""),19)</f>
        <v>19</v>
      </c>
      <c r="D365" s="1">
        <f ca="1">IFERROR(__xludf.DUMMYFUNCTION("""COMPUTED_VALUE"""),12)</f>
        <v>12</v>
      </c>
      <c r="E365" s="1">
        <f ca="1">IFERROR(__xludf.DUMMYFUNCTION("""COMPUTED_VALUE"""),0.613)</f>
        <v>0.61299999999999999</v>
      </c>
      <c r="F365" s="1">
        <f ca="1">IFERROR(__xludf.DUMMYFUNCTION("""COMPUTED_VALUE"""),-3.83)</f>
        <v>-3.83</v>
      </c>
      <c r="G365" s="1">
        <f ca="1">IFERROR(__xludf.DUMMYFUNCTION("""COMPUTED_VALUE"""),-6.73)</f>
        <v>-6.73</v>
      </c>
      <c r="H365" s="1">
        <f ca="1">IFERROR(__xludf.DUMMYFUNCTION("""COMPUTED_VALUE"""),12)</f>
        <v>12</v>
      </c>
      <c r="I365" s="1">
        <f ca="1">IFERROR(__xludf.DUMMYFUNCTION("""COMPUTED_VALUE"""),4)</f>
        <v>4</v>
      </c>
      <c r="J365" s="1">
        <f ca="1">IFERROR(__xludf.DUMMYFUNCTION("""COMPUTED_VALUE"""),10)</f>
        <v>10</v>
      </c>
      <c r="K365" s="1">
        <f ca="1">IFERROR(__xludf.DUMMYFUNCTION("""COMPUTED_VALUE"""),3)</f>
        <v>3</v>
      </c>
      <c r="L365" s="1">
        <f ca="1">IFERROR(__xludf.DUMMYFUNCTION("""COMPUTED_VALUE"""),8)</f>
        <v>8</v>
      </c>
      <c r="M365" s="1">
        <f ca="1">IFERROR(__xludf.DUMMYFUNCTION("""COMPUTED_VALUE"""),7)</f>
        <v>7</v>
      </c>
      <c r="N365" s="1">
        <f ca="1">IFERROR(__xludf.DUMMYFUNCTION("""COMPUTED_VALUE"""),2217)</f>
        <v>2217</v>
      </c>
      <c r="O365" s="1">
        <f ca="1">IFERROR(__xludf.DUMMYFUNCTION("""COMPUTED_VALUE"""),2122)</f>
        <v>2122</v>
      </c>
      <c r="P365" s="1">
        <f ca="1">IFERROR(__xludf.DUMMYFUNCTION("""COMPUTED_VALUE"""),1250)</f>
        <v>1250</v>
      </c>
      <c r="Q365" s="1">
        <f ca="1">IFERROR(__xludf.DUMMYFUNCTION("""COMPUTED_VALUE"""),776)</f>
        <v>776</v>
      </c>
      <c r="R365" s="1">
        <f ca="1">IFERROR(__xludf.DUMMYFUNCTION("""COMPUTED_VALUE"""),1849)</f>
        <v>1849</v>
      </c>
      <c r="S365" s="1">
        <f ca="1">IFERROR(__xludf.DUMMYFUNCTION("""COMPUTED_VALUE"""),0.42)</f>
        <v>0.42</v>
      </c>
      <c r="T365" s="1">
        <f ca="1">IFERROR(__xludf.DUMMYFUNCTION("""COMPUTED_VALUE"""),169)</f>
        <v>169</v>
      </c>
      <c r="U365" s="1">
        <f ca="1">IFERROR(__xludf.DUMMYFUNCTION("""COMPUTED_VALUE"""),505)</f>
        <v>505</v>
      </c>
      <c r="V365" s="1">
        <f ca="1">IFERROR(__xludf.DUMMYFUNCTION("""COMPUTED_VALUE"""),0.335)</f>
        <v>0.33500000000000002</v>
      </c>
      <c r="W365" s="1">
        <f ca="1">IFERROR(__xludf.DUMMYFUNCTION("""COMPUTED_VALUE"""),496)</f>
        <v>496</v>
      </c>
      <c r="X365" s="1">
        <f ca="1">IFERROR(__xludf.DUMMYFUNCTION("""COMPUTED_VALUE"""),679)</f>
        <v>679</v>
      </c>
      <c r="Y365" s="1">
        <f ca="1">IFERROR(__xludf.DUMMYFUNCTION("""COMPUTED_VALUE"""),0.73)</f>
        <v>0.73</v>
      </c>
      <c r="Z365" s="1">
        <f ca="1">IFERROR(__xludf.DUMMYFUNCTION("""COMPUTED_VALUE"""),404)</f>
        <v>404</v>
      </c>
      <c r="AA365" s="1">
        <f ca="1">IFERROR(__xludf.DUMMYFUNCTION("""COMPUTED_VALUE"""),1221)</f>
        <v>1221</v>
      </c>
      <c r="AB365" s="1">
        <f ca="1">IFERROR(__xludf.DUMMYFUNCTION("""COMPUTED_VALUE"""),356)</f>
        <v>356</v>
      </c>
      <c r="AC365" s="1">
        <f ca="1">IFERROR(__xludf.DUMMYFUNCTION("""COMPUTED_VALUE"""),195)</f>
        <v>195</v>
      </c>
      <c r="AD365" s="1">
        <f ca="1">IFERROR(__xludf.DUMMYFUNCTION("""COMPUTED_VALUE"""),200)</f>
        <v>200</v>
      </c>
      <c r="AE365" s="1">
        <f ca="1">IFERROR(__xludf.DUMMYFUNCTION("""COMPUTED_VALUE"""),395)</f>
        <v>395</v>
      </c>
      <c r="AF365" s="1">
        <f ca="1">IFERROR(__xludf.DUMMYFUNCTION("""COMPUTED_VALUE"""),634)</f>
        <v>634</v>
      </c>
    </row>
    <row r="366" spans="1:32" ht="12.5" x14ac:dyDescent="0.25">
      <c r="A366" s="1" t="str">
        <f ca="1">IFERROR(__xludf.DUMMYFUNCTION("""COMPUTED_VALUE"""),"Wake Forest")</f>
        <v>Wake Forest</v>
      </c>
      <c r="B366" s="1">
        <f ca="1">IFERROR(__xludf.DUMMYFUNCTION("""COMPUTED_VALUE"""),33)</f>
        <v>33</v>
      </c>
      <c r="C366" s="1">
        <f ca="1">IFERROR(__xludf.DUMMYFUNCTION("""COMPUTED_VALUE"""),17)</f>
        <v>17</v>
      </c>
      <c r="D366" s="1">
        <f ca="1">IFERROR(__xludf.DUMMYFUNCTION("""COMPUTED_VALUE"""),16)</f>
        <v>16</v>
      </c>
      <c r="E366" s="1">
        <f ca="1">IFERROR(__xludf.DUMMYFUNCTION("""COMPUTED_VALUE"""),0.515)</f>
        <v>0.51500000000000001</v>
      </c>
      <c r="F366" s="1">
        <f ca="1">IFERROR(__xludf.DUMMYFUNCTION("""COMPUTED_VALUE"""),5.49)</f>
        <v>5.49</v>
      </c>
      <c r="G366" s="1">
        <f ca="1">IFERROR(__xludf.DUMMYFUNCTION("""COMPUTED_VALUE"""),6.73)</f>
        <v>6.73</v>
      </c>
      <c r="H366" s="1">
        <f ca="1">IFERROR(__xludf.DUMMYFUNCTION("""COMPUTED_VALUE"""),6)</f>
        <v>6</v>
      </c>
      <c r="I366" s="1">
        <f ca="1">IFERROR(__xludf.DUMMYFUNCTION("""COMPUTED_VALUE"""),12)</f>
        <v>12</v>
      </c>
      <c r="J366" s="1">
        <f ca="1">IFERROR(__xludf.DUMMYFUNCTION("""COMPUTED_VALUE"""),14)</f>
        <v>14</v>
      </c>
      <c r="K366" s="1">
        <f ca="1">IFERROR(__xludf.DUMMYFUNCTION("""COMPUTED_VALUE"""),4)</f>
        <v>4</v>
      </c>
      <c r="L366" s="1">
        <f ca="1">IFERROR(__xludf.DUMMYFUNCTION("""COMPUTED_VALUE"""),1)</f>
        <v>1</v>
      </c>
      <c r="M366" s="1">
        <f ca="1">IFERROR(__xludf.DUMMYFUNCTION("""COMPUTED_VALUE"""),9)</f>
        <v>9</v>
      </c>
      <c r="N366" s="1">
        <f ca="1">IFERROR(__xludf.DUMMYFUNCTION("""COMPUTED_VALUE"""),2300)</f>
        <v>2300</v>
      </c>
      <c r="O366" s="1">
        <f ca="1">IFERROR(__xludf.DUMMYFUNCTION("""COMPUTED_VALUE"""),2341)</f>
        <v>2341</v>
      </c>
      <c r="P366" s="1">
        <f ca="1">IFERROR(__xludf.DUMMYFUNCTION("""COMPUTED_VALUE"""),1324)</f>
        <v>1324</v>
      </c>
      <c r="Q366" s="1">
        <f ca="1">IFERROR(__xludf.DUMMYFUNCTION("""COMPUTED_VALUE"""),784)</f>
        <v>784</v>
      </c>
      <c r="R366" s="1">
        <f ca="1">IFERROR(__xludf.DUMMYFUNCTION("""COMPUTED_VALUE"""),1740)</f>
        <v>1740</v>
      </c>
      <c r="S366" s="1">
        <f ca="1">IFERROR(__xludf.DUMMYFUNCTION("""COMPUTED_VALUE"""),0.451)</f>
        <v>0.45100000000000001</v>
      </c>
      <c r="T366" s="1">
        <f ca="1">IFERROR(__xludf.DUMMYFUNCTION("""COMPUTED_VALUE"""),166)</f>
        <v>166</v>
      </c>
      <c r="U366" s="1">
        <f ca="1">IFERROR(__xludf.DUMMYFUNCTION("""COMPUTED_VALUE"""),505)</f>
        <v>505</v>
      </c>
      <c r="V366" s="1">
        <f ca="1">IFERROR(__xludf.DUMMYFUNCTION("""COMPUTED_VALUE"""),0.329)</f>
        <v>0.32900000000000001</v>
      </c>
      <c r="W366" s="1">
        <f ca="1">IFERROR(__xludf.DUMMYFUNCTION("""COMPUTED_VALUE"""),566)</f>
        <v>566</v>
      </c>
      <c r="X366" s="1">
        <f ca="1">IFERROR(__xludf.DUMMYFUNCTION("""COMPUTED_VALUE"""),871)</f>
        <v>871</v>
      </c>
      <c r="Y366" s="1">
        <f ca="1">IFERROR(__xludf.DUMMYFUNCTION("""COMPUTED_VALUE"""),0.65)</f>
        <v>0.65</v>
      </c>
      <c r="Z366" s="1">
        <f ca="1">IFERROR(__xludf.DUMMYFUNCTION("""COMPUTED_VALUE"""),336)</f>
        <v>336</v>
      </c>
      <c r="AA366" s="1">
        <f ca="1">IFERROR(__xludf.DUMMYFUNCTION("""COMPUTED_VALUE"""),1143)</f>
        <v>1143</v>
      </c>
      <c r="AB366" s="1">
        <f ca="1">IFERROR(__xludf.DUMMYFUNCTION("""COMPUTED_VALUE"""),440)</f>
        <v>440</v>
      </c>
      <c r="AC366" s="1">
        <f ca="1">IFERROR(__xludf.DUMMYFUNCTION("""COMPUTED_VALUE"""),181)</f>
        <v>181</v>
      </c>
      <c r="AD366" s="1">
        <f ca="1">IFERROR(__xludf.DUMMYFUNCTION("""COMPUTED_VALUE"""),132)</f>
        <v>132</v>
      </c>
      <c r="AE366" s="1">
        <f ca="1">IFERROR(__xludf.DUMMYFUNCTION("""COMPUTED_VALUE"""),410)</f>
        <v>410</v>
      </c>
      <c r="AF366" s="1">
        <f ca="1">IFERROR(__xludf.DUMMYFUNCTION("""COMPUTED_VALUE"""),636)</f>
        <v>636</v>
      </c>
    </row>
    <row r="367" spans="1:32" ht="12.5" x14ac:dyDescent="0.25">
      <c r="A367" s="1" t="str">
        <f ca="1">IFERROR(__xludf.DUMMYFUNCTION("""COMPUTED_VALUE"""),"Washington State")</f>
        <v>Washington State</v>
      </c>
      <c r="B367" s="1">
        <f ca="1">IFERROR(__xludf.DUMMYFUNCTION("""COMPUTED_VALUE"""),31)</f>
        <v>31</v>
      </c>
      <c r="C367" s="1">
        <f ca="1">IFERROR(__xludf.DUMMYFUNCTION("""COMPUTED_VALUE"""),10)</f>
        <v>10</v>
      </c>
      <c r="D367" s="1">
        <f ca="1">IFERROR(__xludf.DUMMYFUNCTION("""COMPUTED_VALUE"""),21)</f>
        <v>21</v>
      </c>
      <c r="E367" s="1">
        <f ca="1">IFERROR(__xludf.DUMMYFUNCTION("""COMPUTED_VALUE"""),0.323)</f>
        <v>0.32300000000000001</v>
      </c>
      <c r="F367" s="1">
        <f ca="1">IFERROR(__xludf.DUMMYFUNCTION("""COMPUTED_VALUE"""),1.34)</f>
        <v>1.34</v>
      </c>
      <c r="G367" s="1">
        <f ca="1">IFERROR(__xludf.DUMMYFUNCTION("""COMPUTED_VALUE"""),7.24)</f>
        <v>7.24</v>
      </c>
      <c r="H367" s="1">
        <f ca="1">IFERROR(__xludf.DUMMYFUNCTION("""COMPUTED_VALUE"""),3)</f>
        <v>3</v>
      </c>
      <c r="I367" s="1">
        <f ca="1">IFERROR(__xludf.DUMMYFUNCTION("""COMPUTED_VALUE"""),15)</f>
        <v>15</v>
      </c>
      <c r="J367" s="1">
        <f ca="1">IFERROR(__xludf.DUMMYFUNCTION("""COMPUTED_VALUE"""),7)</f>
        <v>7</v>
      </c>
      <c r="K367" s="1">
        <f ca="1">IFERROR(__xludf.DUMMYFUNCTION("""COMPUTED_VALUE"""),8)</f>
        <v>8</v>
      </c>
      <c r="L367" s="1">
        <f ca="1">IFERROR(__xludf.DUMMYFUNCTION("""COMPUTED_VALUE"""),1)</f>
        <v>1</v>
      </c>
      <c r="M367" s="1">
        <f ca="1">IFERROR(__xludf.DUMMYFUNCTION("""COMPUTED_VALUE"""),10)</f>
        <v>10</v>
      </c>
      <c r="N367" s="1">
        <f ca="1">IFERROR(__xludf.DUMMYFUNCTION("""COMPUTED_VALUE"""),1934)</f>
        <v>1934</v>
      </c>
      <c r="O367" s="1">
        <f ca="1">IFERROR(__xludf.DUMMYFUNCTION("""COMPUTED_VALUE"""),2081)</f>
        <v>2081</v>
      </c>
      <c r="P367" s="1">
        <f ca="1">IFERROR(__xludf.DUMMYFUNCTION("""COMPUTED_VALUE"""),1250)</f>
        <v>1250</v>
      </c>
      <c r="Q367" s="1">
        <f ca="1">IFERROR(__xludf.DUMMYFUNCTION("""COMPUTED_VALUE"""),654)</f>
        <v>654</v>
      </c>
      <c r="R367" s="1">
        <f ca="1">IFERROR(__xludf.DUMMYFUNCTION("""COMPUTED_VALUE"""),1633)</f>
        <v>1633</v>
      </c>
      <c r="S367" s="1">
        <f ca="1">IFERROR(__xludf.DUMMYFUNCTION("""COMPUTED_VALUE"""),0.4)</f>
        <v>0.4</v>
      </c>
      <c r="T367" s="1">
        <f ca="1">IFERROR(__xludf.DUMMYFUNCTION("""COMPUTED_VALUE"""),234)</f>
        <v>234</v>
      </c>
      <c r="U367" s="1">
        <f ca="1">IFERROR(__xludf.DUMMYFUNCTION("""COMPUTED_VALUE"""),713)</f>
        <v>713</v>
      </c>
      <c r="V367" s="1">
        <f ca="1">IFERROR(__xludf.DUMMYFUNCTION("""COMPUTED_VALUE"""),0.328)</f>
        <v>0.32800000000000001</v>
      </c>
      <c r="W367" s="1">
        <f ca="1">IFERROR(__xludf.DUMMYFUNCTION("""COMPUTED_VALUE"""),392)</f>
        <v>392</v>
      </c>
      <c r="X367" s="1">
        <f ca="1">IFERROR(__xludf.DUMMYFUNCTION("""COMPUTED_VALUE"""),596)</f>
        <v>596</v>
      </c>
      <c r="Y367" s="1">
        <f ca="1">IFERROR(__xludf.DUMMYFUNCTION("""COMPUTED_VALUE"""),0.658)</f>
        <v>0.65800000000000003</v>
      </c>
      <c r="Z367" s="1">
        <f ca="1">IFERROR(__xludf.DUMMYFUNCTION("""COMPUTED_VALUE"""),308)</f>
        <v>308</v>
      </c>
      <c r="AA367" s="1">
        <f ca="1">IFERROR(__xludf.DUMMYFUNCTION("""COMPUTED_VALUE"""),1016)</f>
        <v>1016</v>
      </c>
      <c r="AB367" s="1">
        <f ca="1">IFERROR(__xludf.DUMMYFUNCTION("""COMPUTED_VALUE"""),325)</f>
        <v>325</v>
      </c>
      <c r="AC367" s="1">
        <f ca="1">IFERROR(__xludf.DUMMYFUNCTION("""COMPUTED_VALUE"""),159)</f>
        <v>159</v>
      </c>
      <c r="AD367" s="1">
        <f ca="1">IFERROR(__xludf.DUMMYFUNCTION("""COMPUTED_VALUE"""),89)</f>
        <v>89</v>
      </c>
      <c r="AE367" s="1">
        <f ca="1">IFERROR(__xludf.DUMMYFUNCTION("""COMPUTED_VALUE"""),355)</f>
        <v>355</v>
      </c>
      <c r="AF367" s="1">
        <f ca="1">IFERROR(__xludf.DUMMYFUNCTION("""COMPUTED_VALUE"""),565)</f>
        <v>565</v>
      </c>
    </row>
    <row r="368" spans="1:32" ht="12.5" x14ac:dyDescent="0.25">
      <c r="A368" s="1" t="str">
        <f ca="1">IFERROR(__xludf.DUMMYFUNCTION("""COMPUTED_VALUE"""),"Washington")</f>
        <v>Washington</v>
      </c>
      <c r="B368" s="1">
        <f ca="1">IFERROR(__xludf.DUMMYFUNCTION("""COMPUTED_VALUE"""),32)</f>
        <v>32</v>
      </c>
      <c r="C368" s="1">
        <f ca="1">IFERROR(__xludf.DUMMYFUNCTION("""COMPUTED_VALUE"""),17)</f>
        <v>17</v>
      </c>
      <c r="D368" s="1">
        <f ca="1">IFERROR(__xludf.DUMMYFUNCTION("""COMPUTED_VALUE"""),15)</f>
        <v>15</v>
      </c>
      <c r="E368" s="1">
        <f ca="1">IFERROR(__xludf.DUMMYFUNCTION("""COMPUTED_VALUE"""),0.531)</f>
        <v>0.53100000000000003</v>
      </c>
      <c r="F368" s="1">
        <f ca="1">IFERROR(__xludf.DUMMYFUNCTION("""COMPUTED_VALUE"""),6.26)</f>
        <v>6.26</v>
      </c>
      <c r="G368" s="1">
        <f ca="1">IFERROR(__xludf.DUMMYFUNCTION("""COMPUTED_VALUE"""),6.45)</f>
        <v>6.45</v>
      </c>
      <c r="H368" s="1">
        <f ca="1">IFERROR(__xludf.DUMMYFUNCTION("""COMPUTED_VALUE"""),9)</f>
        <v>9</v>
      </c>
      <c r="I368" s="1">
        <f ca="1">IFERROR(__xludf.DUMMYFUNCTION("""COMPUTED_VALUE"""),9)</f>
        <v>9</v>
      </c>
      <c r="J368" s="1">
        <f ca="1">IFERROR(__xludf.DUMMYFUNCTION("""COMPUTED_VALUE"""),14)</f>
        <v>14</v>
      </c>
      <c r="K368" s="1">
        <f ca="1">IFERROR(__xludf.DUMMYFUNCTION("""COMPUTED_VALUE"""),4)</f>
        <v>4</v>
      </c>
      <c r="L368" s="1">
        <f ca="1">IFERROR(__xludf.DUMMYFUNCTION("""COMPUTED_VALUE"""),3)</f>
        <v>3</v>
      </c>
      <c r="M368" s="1">
        <f ca="1">IFERROR(__xludf.DUMMYFUNCTION("""COMPUTED_VALUE"""),8)</f>
        <v>8</v>
      </c>
      <c r="N368" s="1">
        <f ca="1">IFERROR(__xludf.DUMMYFUNCTION("""COMPUTED_VALUE"""),2384)</f>
        <v>2384</v>
      </c>
      <c r="O368" s="1">
        <f ca="1">IFERROR(__xludf.DUMMYFUNCTION("""COMPUTED_VALUE"""),2390)</f>
        <v>2390</v>
      </c>
      <c r="P368" s="1">
        <f ca="1">IFERROR(__xludf.DUMMYFUNCTION("""COMPUTED_VALUE"""),1290)</f>
        <v>1290</v>
      </c>
      <c r="Q368" s="1">
        <f ca="1">IFERROR(__xludf.DUMMYFUNCTION("""COMPUTED_VALUE"""),835)</f>
        <v>835</v>
      </c>
      <c r="R368" s="1">
        <f ca="1">IFERROR(__xludf.DUMMYFUNCTION("""COMPUTED_VALUE"""),1871)</f>
        <v>1871</v>
      </c>
      <c r="S368" s="1">
        <f ca="1">IFERROR(__xludf.DUMMYFUNCTION("""COMPUTED_VALUE"""),0.446)</f>
        <v>0.44600000000000001</v>
      </c>
      <c r="T368" s="1">
        <f ca="1">IFERROR(__xludf.DUMMYFUNCTION("""COMPUTED_VALUE"""),187)</f>
        <v>187</v>
      </c>
      <c r="U368" s="1">
        <f ca="1">IFERROR(__xludf.DUMMYFUNCTION("""COMPUTED_VALUE"""),552)</f>
        <v>552</v>
      </c>
      <c r="V368" s="1">
        <f ca="1">IFERROR(__xludf.DUMMYFUNCTION("""COMPUTED_VALUE"""),0.339)</f>
        <v>0.33900000000000002</v>
      </c>
      <c r="W368" s="1">
        <f ca="1">IFERROR(__xludf.DUMMYFUNCTION("""COMPUTED_VALUE"""),527)</f>
        <v>527</v>
      </c>
      <c r="X368" s="1">
        <f ca="1">IFERROR(__xludf.DUMMYFUNCTION("""COMPUTED_VALUE"""),695)</f>
        <v>695</v>
      </c>
      <c r="Y368" s="1">
        <f ca="1">IFERROR(__xludf.DUMMYFUNCTION("""COMPUTED_VALUE"""),0.758)</f>
        <v>0.75800000000000001</v>
      </c>
      <c r="Z368" s="1">
        <f ca="1">IFERROR(__xludf.DUMMYFUNCTION("""COMPUTED_VALUE"""),354)</f>
        <v>354</v>
      </c>
      <c r="AA368" s="1">
        <f ca="1">IFERROR(__xludf.DUMMYFUNCTION("""COMPUTED_VALUE"""),1105)</f>
        <v>1105</v>
      </c>
      <c r="AB368" s="1">
        <f ca="1">IFERROR(__xludf.DUMMYFUNCTION("""COMPUTED_VALUE"""),427)</f>
        <v>427</v>
      </c>
      <c r="AC368" s="1">
        <f ca="1">IFERROR(__xludf.DUMMYFUNCTION("""COMPUTED_VALUE"""),172)</f>
        <v>172</v>
      </c>
      <c r="AD368" s="1">
        <f ca="1">IFERROR(__xludf.DUMMYFUNCTION("""COMPUTED_VALUE"""),92)</f>
        <v>92</v>
      </c>
      <c r="AE368" s="1">
        <f ca="1">IFERROR(__xludf.DUMMYFUNCTION("""COMPUTED_VALUE"""),365)</f>
        <v>365</v>
      </c>
      <c r="AF368" s="1">
        <f ca="1">IFERROR(__xludf.DUMMYFUNCTION("""COMPUTED_VALUE"""),618)</f>
        <v>618</v>
      </c>
    </row>
    <row r="369" spans="1:32" ht="12.5" x14ac:dyDescent="0.25">
      <c r="A369" s="1" t="str">
        <f ca="1">IFERROR(__xludf.DUMMYFUNCTION("""COMPUTED_VALUE"""),"Weber StateNCAA")</f>
        <v>Weber StateNCAA</v>
      </c>
      <c r="B369" s="1">
        <f ca="1">IFERROR(__xludf.DUMMYFUNCTION("""COMPUTED_VALUE"""),31)</f>
        <v>31</v>
      </c>
      <c r="C369" s="1">
        <f ca="1">IFERROR(__xludf.DUMMYFUNCTION("""COMPUTED_VALUE"""),19)</f>
        <v>19</v>
      </c>
      <c r="D369" s="1">
        <f ca="1">IFERROR(__xludf.DUMMYFUNCTION("""COMPUTED_VALUE"""),12)</f>
        <v>12</v>
      </c>
      <c r="E369" s="1">
        <f ca="1">IFERROR(__xludf.DUMMYFUNCTION("""COMPUTED_VALUE"""),0.613)</f>
        <v>0.61299999999999999</v>
      </c>
      <c r="F369" s="1">
        <f ca="1">IFERROR(__xludf.DUMMYFUNCTION("""COMPUTED_VALUE"""),-0.92)</f>
        <v>-0.92</v>
      </c>
      <c r="G369" s="1">
        <f ca="1">IFERROR(__xludf.DUMMYFUNCTION("""COMPUTED_VALUE"""),-4.23)</f>
        <v>-4.2300000000000004</v>
      </c>
      <c r="H369" s="1">
        <f ca="1">IFERROR(__xludf.DUMMYFUNCTION("""COMPUTED_VALUE"""),14)</f>
        <v>14</v>
      </c>
      <c r="I369" s="1">
        <f ca="1">IFERROR(__xludf.DUMMYFUNCTION("""COMPUTED_VALUE"""),6)</f>
        <v>6</v>
      </c>
      <c r="J369" s="1">
        <f ca="1">IFERROR(__xludf.DUMMYFUNCTION("""COMPUTED_VALUE"""),13)</f>
        <v>13</v>
      </c>
      <c r="K369" s="1">
        <f ca="1">IFERROR(__xludf.DUMMYFUNCTION("""COMPUTED_VALUE"""),2)</f>
        <v>2</v>
      </c>
      <c r="L369" s="1">
        <f ca="1">IFERROR(__xludf.DUMMYFUNCTION("""COMPUTED_VALUE"""),5)</f>
        <v>5</v>
      </c>
      <c r="M369" s="1">
        <f ca="1">IFERROR(__xludf.DUMMYFUNCTION("""COMPUTED_VALUE"""),9)</f>
        <v>9</v>
      </c>
      <c r="N369" s="1">
        <f ca="1">IFERROR(__xludf.DUMMYFUNCTION("""COMPUTED_VALUE"""),2254)</f>
        <v>2254</v>
      </c>
      <c r="O369" s="1">
        <f ca="1">IFERROR(__xludf.DUMMYFUNCTION("""COMPUTED_VALUE"""),2061)</f>
        <v>2061</v>
      </c>
      <c r="P369" s="1">
        <f ca="1">IFERROR(__xludf.DUMMYFUNCTION("""COMPUTED_VALUE"""),1260)</f>
        <v>1260</v>
      </c>
      <c r="Q369" s="1">
        <f ca="1">IFERROR(__xludf.DUMMYFUNCTION("""COMPUTED_VALUE"""),732)</f>
        <v>732</v>
      </c>
      <c r="R369" s="1">
        <f ca="1">IFERROR(__xludf.DUMMYFUNCTION("""COMPUTED_VALUE"""),1541)</f>
        <v>1541</v>
      </c>
      <c r="S369" s="1">
        <f ca="1">IFERROR(__xludf.DUMMYFUNCTION("""COMPUTED_VALUE"""),0.475)</f>
        <v>0.47499999999999998</v>
      </c>
      <c r="T369" s="1">
        <f ca="1">IFERROR(__xludf.DUMMYFUNCTION("""COMPUTED_VALUE"""),222)</f>
        <v>222</v>
      </c>
      <c r="U369" s="1">
        <f ca="1">IFERROR(__xludf.DUMMYFUNCTION("""COMPUTED_VALUE"""),566)</f>
        <v>566</v>
      </c>
      <c r="V369" s="1">
        <f ca="1">IFERROR(__xludf.DUMMYFUNCTION("""COMPUTED_VALUE"""),0.392)</f>
        <v>0.39200000000000002</v>
      </c>
      <c r="W369" s="1">
        <f ca="1">IFERROR(__xludf.DUMMYFUNCTION("""COMPUTED_VALUE"""),568)</f>
        <v>568</v>
      </c>
      <c r="X369" s="1">
        <f ca="1">IFERROR(__xludf.DUMMYFUNCTION("""COMPUTED_VALUE"""),767)</f>
        <v>767</v>
      </c>
      <c r="Y369" s="1">
        <f ca="1">IFERROR(__xludf.DUMMYFUNCTION("""COMPUTED_VALUE"""),0.741)</f>
        <v>0.74099999999999999</v>
      </c>
      <c r="Z369" s="1">
        <f ca="1">IFERROR(__xludf.DUMMYFUNCTION("""COMPUTED_VALUE"""),265)</f>
        <v>265</v>
      </c>
      <c r="AA369" s="1">
        <f ca="1">IFERROR(__xludf.DUMMYFUNCTION("""COMPUTED_VALUE"""),1065)</f>
        <v>1065</v>
      </c>
      <c r="AB369" s="1">
        <f ca="1">IFERROR(__xludf.DUMMYFUNCTION("""COMPUTED_VALUE"""),407)</f>
        <v>407</v>
      </c>
      <c r="AC369" s="1">
        <f ca="1">IFERROR(__xludf.DUMMYFUNCTION("""COMPUTED_VALUE"""),131)</f>
        <v>131</v>
      </c>
      <c r="AD369" s="1">
        <f ca="1">IFERROR(__xludf.DUMMYFUNCTION("""COMPUTED_VALUE"""),123)</f>
        <v>123</v>
      </c>
      <c r="AE369" s="1">
        <f ca="1">IFERROR(__xludf.DUMMYFUNCTION("""COMPUTED_VALUE"""),382)</f>
        <v>382</v>
      </c>
      <c r="AF369" s="1">
        <f ca="1">IFERROR(__xludf.DUMMYFUNCTION("""COMPUTED_VALUE"""),558)</f>
        <v>558</v>
      </c>
    </row>
    <row r="370" spans="1:32" ht="12.5" x14ac:dyDescent="0.25">
      <c r="A370" s="1" t="str">
        <f ca="1">IFERROR(__xludf.DUMMYFUNCTION("""COMPUTED_VALUE"""),"West Virginia")</f>
        <v>West Virginia</v>
      </c>
      <c r="B370" s="1">
        <f ca="1">IFERROR(__xludf.DUMMYFUNCTION("""COMPUTED_VALUE"""),33)</f>
        <v>33</v>
      </c>
      <c r="C370" s="1">
        <f ca="1">IFERROR(__xludf.DUMMYFUNCTION("""COMPUTED_VALUE"""),17)</f>
        <v>17</v>
      </c>
      <c r="D370" s="1">
        <f ca="1">IFERROR(__xludf.DUMMYFUNCTION("""COMPUTED_VALUE"""),16)</f>
        <v>16</v>
      </c>
      <c r="E370" s="1">
        <f ca="1">IFERROR(__xludf.DUMMYFUNCTION("""COMPUTED_VALUE"""),0.515)</f>
        <v>0.51500000000000001</v>
      </c>
      <c r="F370" s="1">
        <f ca="1">IFERROR(__xludf.DUMMYFUNCTION("""COMPUTED_VALUE"""),11.78)</f>
        <v>11.78</v>
      </c>
      <c r="G370" s="1">
        <f ca="1">IFERROR(__xludf.DUMMYFUNCTION("""COMPUTED_VALUE"""),8.02)</f>
        <v>8.02</v>
      </c>
      <c r="H370" s="1">
        <f ca="1">IFERROR(__xludf.DUMMYFUNCTION("""COMPUTED_VALUE"""),9)</f>
        <v>9</v>
      </c>
      <c r="I370" s="1">
        <f ca="1">IFERROR(__xludf.DUMMYFUNCTION("""COMPUTED_VALUE"""),9)</f>
        <v>9</v>
      </c>
      <c r="J370" s="1">
        <f ca="1">IFERROR(__xludf.DUMMYFUNCTION("""COMPUTED_VALUE"""),11)</f>
        <v>11</v>
      </c>
      <c r="K370" s="1">
        <f ca="1">IFERROR(__xludf.DUMMYFUNCTION("""COMPUTED_VALUE"""),5)</f>
        <v>5</v>
      </c>
      <c r="L370" s="1">
        <f ca="1">IFERROR(__xludf.DUMMYFUNCTION("""COMPUTED_VALUE"""),3)</f>
        <v>3</v>
      </c>
      <c r="M370" s="1">
        <f ca="1">IFERROR(__xludf.DUMMYFUNCTION("""COMPUTED_VALUE"""),9)</f>
        <v>9</v>
      </c>
      <c r="N370" s="1">
        <f ca="1">IFERROR(__xludf.DUMMYFUNCTION("""COMPUTED_VALUE"""),2546)</f>
        <v>2546</v>
      </c>
      <c r="O370" s="1">
        <f ca="1">IFERROR(__xludf.DUMMYFUNCTION("""COMPUTED_VALUE"""),2422)</f>
        <v>2422</v>
      </c>
      <c r="P370" s="1">
        <f ca="1">IFERROR(__xludf.DUMMYFUNCTION("""COMPUTED_VALUE"""),1330)</f>
        <v>1330</v>
      </c>
      <c r="Q370" s="1">
        <f ca="1">IFERROR(__xludf.DUMMYFUNCTION("""COMPUTED_VALUE"""),866)</f>
        <v>866</v>
      </c>
      <c r="R370" s="1">
        <f ca="1">IFERROR(__xludf.DUMMYFUNCTION("""COMPUTED_VALUE"""),1973)</f>
        <v>1973</v>
      </c>
      <c r="S370" s="1">
        <f ca="1">IFERROR(__xludf.DUMMYFUNCTION("""COMPUTED_VALUE"""),0.439)</f>
        <v>0.439</v>
      </c>
      <c r="T370" s="1">
        <f ca="1">IFERROR(__xludf.DUMMYFUNCTION("""COMPUTED_VALUE"""),258)</f>
        <v>258</v>
      </c>
      <c r="U370" s="1">
        <f ca="1">IFERROR(__xludf.DUMMYFUNCTION("""COMPUTED_VALUE"""),678)</f>
        <v>678</v>
      </c>
      <c r="V370" s="1">
        <f ca="1">IFERROR(__xludf.DUMMYFUNCTION("""COMPUTED_VALUE"""),0.381)</f>
        <v>0.38100000000000001</v>
      </c>
      <c r="W370" s="1">
        <f ca="1">IFERROR(__xludf.DUMMYFUNCTION("""COMPUTED_VALUE"""),556)</f>
        <v>556</v>
      </c>
      <c r="X370" s="1">
        <f ca="1">IFERROR(__xludf.DUMMYFUNCTION("""COMPUTED_VALUE"""),771)</f>
        <v>771</v>
      </c>
      <c r="Y370" s="1">
        <f ca="1">IFERROR(__xludf.DUMMYFUNCTION("""COMPUTED_VALUE"""),0.721)</f>
        <v>0.72099999999999997</v>
      </c>
      <c r="Z370" s="1">
        <f ca="1">IFERROR(__xludf.DUMMYFUNCTION("""COMPUTED_VALUE"""),393)</f>
        <v>393</v>
      </c>
      <c r="AA370" s="1">
        <f ca="1">IFERROR(__xludf.DUMMYFUNCTION("""COMPUTED_VALUE"""),1176)</f>
        <v>1176</v>
      </c>
      <c r="AB370" s="1">
        <f ca="1">IFERROR(__xludf.DUMMYFUNCTION("""COMPUTED_VALUE"""),432)</f>
        <v>432</v>
      </c>
      <c r="AC370" s="1">
        <f ca="1">IFERROR(__xludf.DUMMYFUNCTION("""COMPUTED_VALUE"""),206)</f>
        <v>206</v>
      </c>
      <c r="AD370" s="1">
        <f ca="1">IFERROR(__xludf.DUMMYFUNCTION("""COMPUTED_VALUE"""),99)</f>
        <v>99</v>
      </c>
      <c r="AE370" s="1">
        <f ca="1">IFERROR(__xludf.DUMMYFUNCTION("""COMPUTED_VALUE"""),323)</f>
        <v>323</v>
      </c>
      <c r="AF370" s="1">
        <f ca="1">IFERROR(__xludf.DUMMYFUNCTION("""COMPUTED_VALUE"""),684)</f>
        <v>684</v>
      </c>
    </row>
    <row r="371" spans="1:32" ht="12.5" x14ac:dyDescent="0.25">
      <c r="A371" s="1" t="str">
        <f ca="1">IFERROR(__xludf.DUMMYFUNCTION("""COMPUTED_VALUE"""),"Western Carolina")</f>
        <v>Western Carolina</v>
      </c>
      <c r="B371" s="1">
        <f ca="1">IFERROR(__xludf.DUMMYFUNCTION("""COMPUTED_VALUE"""),34)</f>
        <v>34</v>
      </c>
      <c r="C371" s="1">
        <f ca="1">IFERROR(__xludf.DUMMYFUNCTION("""COMPUTED_VALUE"""),19)</f>
        <v>19</v>
      </c>
      <c r="D371" s="1">
        <f ca="1">IFERROR(__xludf.DUMMYFUNCTION("""COMPUTED_VALUE"""),15)</f>
        <v>15</v>
      </c>
      <c r="E371" s="1">
        <f ca="1">IFERROR(__xludf.DUMMYFUNCTION("""COMPUTED_VALUE"""),0.559)</f>
        <v>0.55900000000000005</v>
      </c>
      <c r="F371" s="1">
        <f ca="1">IFERROR(__xludf.DUMMYFUNCTION("""COMPUTED_VALUE"""),-6.75)</f>
        <v>-6.75</v>
      </c>
      <c r="G371" s="1">
        <f ca="1">IFERROR(__xludf.DUMMYFUNCTION("""COMPUTED_VALUE"""),-6.43)</f>
        <v>-6.43</v>
      </c>
      <c r="H371" s="1">
        <f ca="1">IFERROR(__xludf.DUMMYFUNCTION("""COMPUTED_VALUE"""),10)</f>
        <v>10</v>
      </c>
      <c r="I371" s="1">
        <f ca="1">IFERROR(__xludf.DUMMYFUNCTION("""COMPUTED_VALUE"""),6)</f>
        <v>6</v>
      </c>
      <c r="J371" s="1">
        <f ca="1">IFERROR(__xludf.DUMMYFUNCTION("""COMPUTED_VALUE"""),11)</f>
        <v>11</v>
      </c>
      <c r="K371" s="1">
        <f ca="1">IFERROR(__xludf.DUMMYFUNCTION("""COMPUTED_VALUE"""),2)</f>
        <v>2</v>
      </c>
      <c r="L371" s="1">
        <f ca="1">IFERROR(__xludf.DUMMYFUNCTION("""COMPUTED_VALUE"""),5)</f>
        <v>5</v>
      </c>
      <c r="M371" s="1">
        <f ca="1">IFERROR(__xludf.DUMMYFUNCTION("""COMPUTED_VALUE"""),11)</f>
        <v>11</v>
      </c>
      <c r="N371" s="1">
        <f ca="1">IFERROR(__xludf.DUMMYFUNCTION("""COMPUTED_VALUE"""),2524)</f>
        <v>2524</v>
      </c>
      <c r="O371" s="1">
        <f ca="1">IFERROR(__xludf.DUMMYFUNCTION("""COMPUTED_VALUE"""),2469)</f>
        <v>2469</v>
      </c>
      <c r="P371" s="1">
        <f ca="1">IFERROR(__xludf.DUMMYFUNCTION("""COMPUTED_VALUE"""),1381)</f>
        <v>1381</v>
      </c>
      <c r="Q371" s="1">
        <f ca="1">IFERROR(__xludf.DUMMYFUNCTION("""COMPUTED_VALUE"""),868)</f>
        <v>868</v>
      </c>
      <c r="R371" s="1">
        <f ca="1">IFERROR(__xludf.DUMMYFUNCTION("""COMPUTED_VALUE"""),2041)</f>
        <v>2041</v>
      </c>
      <c r="S371" s="1">
        <f ca="1">IFERROR(__xludf.DUMMYFUNCTION("""COMPUTED_VALUE"""),0.425)</f>
        <v>0.42499999999999999</v>
      </c>
      <c r="T371" s="1">
        <f ca="1">IFERROR(__xludf.DUMMYFUNCTION("""COMPUTED_VALUE"""),248)</f>
        <v>248</v>
      </c>
      <c r="U371" s="1">
        <f ca="1">IFERROR(__xludf.DUMMYFUNCTION("""COMPUTED_VALUE"""),706)</f>
        <v>706</v>
      </c>
      <c r="V371" s="1">
        <f ca="1">IFERROR(__xludf.DUMMYFUNCTION("""COMPUTED_VALUE"""),0.351)</f>
        <v>0.35099999999999998</v>
      </c>
      <c r="W371" s="1">
        <f ca="1">IFERROR(__xludf.DUMMYFUNCTION("""COMPUTED_VALUE"""),540)</f>
        <v>540</v>
      </c>
      <c r="X371" s="1">
        <f ca="1">IFERROR(__xludf.DUMMYFUNCTION("""COMPUTED_VALUE"""),754)</f>
        <v>754</v>
      </c>
      <c r="Y371" s="1">
        <f ca="1">IFERROR(__xludf.DUMMYFUNCTION("""COMPUTED_VALUE"""),0.716)</f>
        <v>0.71599999999999997</v>
      </c>
      <c r="Z371" s="1">
        <f ca="1">IFERROR(__xludf.DUMMYFUNCTION("""COMPUTED_VALUE"""),461)</f>
        <v>461</v>
      </c>
      <c r="AA371" s="1">
        <f ca="1">IFERROR(__xludf.DUMMYFUNCTION("""COMPUTED_VALUE"""),1226)</f>
        <v>1226</v>
      </c>
      <c r="AB371" s="1">
        <f ca="1">IFERROR(__xludf.DUMMYFUNCTION("""COMPUTED_VALUE"""),415)</f>
        <v>415</v>
      </c>
      <c r="AC371" s="1">
        <f ca="1">IFERROR(__xludf.DUMMYFUNCTION("""COMPUTED_VALUE"""),248)</f>
        <v>248</v>
      </c>
      <c r="AD371" s="1">
        <f ca="1">IFERROR(__xludf.DUMMYFUNCTION("""COMPUTED_VALUE"""),165)</f>
        <v>165</v>
      </c>
      <c r="AE371" s="1">
        <f ca="1">IFERROR(__xludf.DUMMYFUNCTION("""COMPUTED_VALUE"""),413)</f>
        <v>413</v>
      </c>
      <c r="AF371" s="1">
        <f ca="1">IFERROR(__xludf.DUMMYFUNCTION("""COMPUTED_VALUE"""),759)</f>
        <v>759</v>
      </c>
    </row>
    <row r="372" spans="1:32" ht="12.5" x14ac:dyDescent="0.25">
      <c r="A372" s="1" t="str">
        <f ca="1">IFERROR(__xludf.DUMMYFUNCTION("""COMPUTED_VALUE"""),"Western Illinois")</f>
        <v>Western Illinois</v>
      </c>
      <c r="B372" s="1">
        <f ca="1">IFERROR(__xludf.DUMMYFUNCTION("""COMPUTED_VALUE"""),30)</f>
        <v>30</v>
      </c>
      <c r="C372" s="1">
        <f ca="1">IFERROR(__xludf.DUMMYFUNCTION("""COMPUTED_VALUE"""),10)</f>
        <v>10</v>
      </c>
      <c r="D372" s="1">
        <f ca="1">IFERROR(__xludf.DUMMYFUNCTION("""COMPUTED_VALUE"""),20)</f>
        <v>20</v>
      </c>
      <c r="E372" s="1">
        <f ca="1">IFERROR(__xludf.DUMMYFUNCTION("""COMPUTED_VALUE"""),0.333)</f>
        <v>0.33300000000000002</v>
      </c>
      <c r="F372" s="1">
        <f ca="1">IFERROR(__xludf.DUMMYFUNCTION("""COMPUTED_VALUE"""),-7.55)</f>
        <v>-7.55</v>
      </c>
      <c r="G372" s="1">
        <f ca="1">IFERROR(__xludf.DUMMYFUNCTION("""COMPUTED_VALUE"""),-2.74)</f>
        <v>-2.74</v>
      </c>
      <c r="H372" s="1">
        <f ca="1">IFERROR(__xludf.DUMMYFUNCTION("""COMPUTED_VALUE"""),4)</f>
        <v>4</v>
      </c>
      <c r="I372" s="1">
        <f ca="1">IFERROR(__xludf.DUMMYFUNCTION("""COMPUTED_VALUE"""),10)</f>
        <v>10</v>
      </c>
      <c r="J372" s="1">
        <f ca="1">IFERROR(__xludf.DUMMYFUNCTION("""COMPUTED_VALUE"""),7)</f>
        <v>7</v>
      </c>
      <c r="K372" s="1">
        <f ca="1">IFERROR(__xludf.DUMMYFUNCTION("""COMPUTED_VALUE"""),5)</f>
        <v>5</v>
      </c>
      <c r="L372" s="1">
        <f ca="1">IFERROR(__xludf.DUMMYFUNCTION("""COMPUTED_VALUE"""),1)</f>
        <v>1</v>
      </c>
      <c r="M372" s="1">
        <f ca="1">IFERROR(__xludf.DUMMYFUNCTION("""COMPUTED_VALUE"""),13)</f>
        <v>13</v>
      </c>
      <c r="N372" s="1">
        <f ca="1">IFERROR(__xludf.DUMMYFUNCTION("""COMPUTED_VALUE"""),1838)</f>
        <v>1838</v>
      </c>
      <c r="O372" s="1">
        <f ca="1">IFERROR(__xludf.DUMMYFUNCTION("""COMPUTED_VALUE"""),1880)</f>
        <v>1880</v>
      </c>
      <c r="P372" s="1">
        <f ca="1">IFERROR(__xludf.DUMMYFUNCTION("""COMPUTED_VALUE"""),1210)</f>
        <v>1210</v>
      </c>
      <c r="Q372" s="1">
        <f ca="1">IFERROR(__xludf.DUMMYFUNCTION("""COMPUTED_VALUE"""),667)</f>
        <v>667</v>
      </c>
      <c r="R372" s="1">
        <f ca="1">IFERROR(__xludf.DUMMYFUNCTION("""COMPUTED_VALUE"""),1467)</f>
        <v>1467</v>
      </c>
      <c r="S372" s="1">
        <f ca="1">IFERROR(__xludf.DUMMYFUNCTION("""COMPUTED_VALUE"""),0.455)</f>
        <v>0.45500000000000002</v>
      </c>
      <c r="T372" s="1">
        <f ca="1">IFERROR(__xludf.DUMMYFUNCTION("""COMPUTED_VALUE"""),142)</f>
        <v>142</v>
      </c>
      <c r="U372" s="1">
        <f ca="1">IFERROR(__xludf.DUMMYFUNCTION("""COMPUTED_VALUE"""),418)</f>
        <v>418</v>
      </c>
      <c r="V372" s="1">
        <f ca="1">IFERROR(__xludf.DUMMYFUNCTION("""COMPUTED_VALUE"""),0.34)</f>
        <v>0.34</v>
      </c>
      <c r="W372" s="1">
        <f ca="1">IFERROR(__xludf.DUMMYFUNCTION("""COMPUTED_VALUE"""),362)</f>
        <v>362</v>
      </c>
      <c r="X372" s="1">
        <f ca="1">IFERROR(__xludf.DUMMYFUNCTION("""COMPUTED_VALUE"""),545)</f>
        <v>545</v>
      </c>
      <c r="Y372" s="1">
        <f ca="1">IFERROR(__xludf.DUMMYFUNCTION("""COMPUTED_VALUE"""),0.664)</f>
        <v>0.66400000000000003</v>
      </c>
      <c r="Z372" s="1">
        <f ca="1">IFERROR(__xludf.DUMMYFUNCTION("""COMPUTED_VALUE"""),238)</f>
        <v>238</v>
      </c>
      <c r="AA372" s="1">
        <f ca="1">IFERROR(__xludf.DUMMYFUNCTION("""COMPUTED_VALUE"""),914)</f>
        <v>914</v>
      </c>
      <c r="AB372" s="1">
        <f ca="1">IFERROR(__xludf.DUMMYFUNCTION("""COMPUTED_VALUE"""),373)</f>
        <v>373</v>
      </c>
      <c r="AC372" s="1">
        <f ca="1">IFERROR(__xludf.DUMMYFUNCTION("""COMPUTED_VALUE"""),180)</f>
        <v>180</v>
      </c>
      <c r="AD372" s="1">
        <f ca="1">IFERROR(__xludf.DUMMYFUNCTION("""COMPUTED_VALUE"""),87)</f>
        <v>87</v>
      </c>
      <c r="AE372" s="1">
        <f ca="1">IFERROR(__xludf.DUMMYFUNCTION("""COMPUTED_VALUE"""),400)</f>
        <v>400</v>
      </c>
      <c r="AF372" s="1">
        <f ca="1">IFERROR(__xludf.DUMMYFUNCTION("""COMPUTED_VALUE"""),553)</f>
        <v>553</v>
      </c>
    </row>
    <row r="373" spans="1:32" ht="12.5" x14ac:dyDescent="0.25">
      <c r="A373" s="1" t="str">
        <f ca="1">IFERROR(__xludf.DUMMYFUNCTION("""COMPUTED_VALUE"""),"Western Kentucky")</f>
        <v>Western Kentucky</v>
      </c>
      <c r="B373" s="1">
        <f ca="1">IFERROR(__xludf.DUMMYFUNCTION("""COMPUTED_VALUE"""),32)</f>
        <v>32</v>
      </c>
      <c r="C373" s="1">
        <f ca="1">IFERROR(__xludf.DUMMYFUNCTION("""COMPUTED_VALUE"""),20)</f>
        <v>20</v>
      </c>
      <c r="D373" s="1">
        <f ca="1">IFERROR(__xludf.DUMMYFUNCTION("""COMPUTED_VALUE"""),12)</f>
        <v>12</v>
      </c>
      <c r="E373" s="1">
        <f ca="1">IFERROR(__xludf.DUMMYFUNCTION("""COMPUTED_VALUE"""),0.625)</f>
        <v>0.625</v>
      </c>
      <c r="F373" s="1">
        <f ca="1">IFERROR(__xludf.DUMMYFUNCTION("""COMPUTED_VALUE"""),-1.47)</f>
        <v>-1.47</v>
      </c>
      <c r="G373" s="1">
        <f ca="1">IFERROR(__xludf.DUMMYFUNCTION("""COMPUTED_VALUE"""),-1.34)</f>
        <v>-1.34</v>
      </c>
      <c r="H373" s="1">
        <f ca="1">IFERROR(__xludf.DUMMYFUNCTION("""COMPUTED_VALUE"""),12)</f>
        <v>12</v>
      </c>
      <c r="I373" s="1">
        <f ca="1">IFERROR(__xludf.DUMMYFUNCTION("""COMPUTED_VALUE"""),6)</f>
        <v>6</v>
      </c>
      <c r="J373" s="1">
        <f ca="1">IFERROR(__xludf.DUMMYFUNCTION("""COMPUTED_VALUE"""),13)</f>
        <v>13</v>
      </c>
      <c r="K373" s="1">
        <f ca="1">IFERROR(__xludf.DUMMYFUNCTION("""COMPUTED_VALUE"""),4)</f>
        <v>4</v>
      </c>
      <c r="L373" s="1">
        <f ca="1">IFERROR(__xludf.DUMMYFUNCTION("""COMPUTED_VALUE"""),7)</f>
        <v>7</v>
      </c>
      <c r="M373" s="1">
        <f ca="1">IFERROR(__xludf.DUMMYFUNCTION("""COMPUTED_VALUE"""),7)</f>
        <v>7</v>
      </c>
      <c r="N373" s="1">
        <f ca="1">IFERROR(__xludf.DUMMYFUNCTION("""COMPUTED_VALUE"""),2196)</f>
        <v>2196</v>
      </c>
      <c r="O373" s="1">
        <f ca="1">IFERROR(__xludf.DUMMYFUNCTION("""COMPUTED_VALUE"""),2162)</f>
        <v>2162</v>
      </c>
      <c r="P373" s="1">
        <f ca="1">IFERROR(__xludf.DUMMYFUNCTION("""COMPUTED_VALUE"""),1295)</f>
        <v>1295</v>
      </c>
      <c r="Q373" s="1">
        <f ca="1">IFERROR(__xludf.DUMMYFUNCTION("""COMPUTED_VALUE"""),732)</f>
        <v>732</v>
      </c>
      <c r="R373" s="1">
        <f ca="1">IFERROR(__xludf.DUMMYFUNCTION("""COMPUTED_VALUE"""),1766)</f>
        <v>1766</v>
      </c>
      <c r="S373" s="1">
        <f ca="1">IFERROR(__xludf.DUMMYFUNCTION("""COMPUTED_VALUE"""),0.414)</f>
        <v>0.41399999999999998</v>
      </c>
      <c r="T373" s="1">
        <f ca="1">IFERROR(__xludf.DUMMYFUNCTION("""COMPUTED_VALUE"""),235)</f>
        <v>235</v>
      </c>
      <c r="U373" s="1">
        <f ca="1">IFERROR(__xludf.DUMMYFUNCTION("""COMPUTED_VALUE"""),698)</f>
        <v>698</v>
      </c>
      <c r="V373" s="1">
        <f ca="1">IFERROR(__xludf.DUMMYFUNCTION("""COMPUTED_VALUE"""),0.337)</f>
        <v>0.33700000000000002</v>
      </c>
      <c r="W373" s="1">
        <f ca="1">IFERROR(__xludf.DUMMYFUNCTION("""COMPUTED_VALUE"""),495)</f>
        <v>495</v>
      </c>
      <c r="X373" s="1">
        <f ca="1">IFERROR(__xludf.DUMMYFUNCTION("""COMPUTED_VALUE"""),755)</f>
        <v>755</v>
      </c>
      <c r="Y373" s="1">
        <f ca="1">IFERROR(__xludf.DUMMYFUNCTION("""COMPUTED_VALUE"""),0.656)</f>
        <v>0.65600000000000003</v>
      </c>
      <c r="Z373" s="1">
        <f ca="1">IFERROR(__xludf.DUMMYFUNCTION("""COMPUTED_VALUE"""),401)</f>
        <v>401</v>
      </c>
      <c r="AA373" s="1">
        <f ca="1">IFERROR(__xludf.DUMMYFUNCTION("""COMPUTED_VALUE"""),1171)</f>
        <v>1171</v>
      </c>
      <c r="AB373" s="1">
        <f ca="1">IFERROR(__xludf.DUMMYFUNCTION("""COMPUTED_VALUE"""),361)</f>
        <v>361</v>
      </c>
      <c r="AC373" s="1">
        <f ca="1">IFERROR(__xludf.DUMMYFUNCTION("""COMPUTED_VALUE"""),165)</f>
        <v>165</v>
      </c>
      <c r="AD373" s="1">
        <f ca="1">IFERROR(__xludf.DUMMYFUNCTION("""COMPUTED_VALUE"""),78)</f>
        <v>78</v>
      </c>
      <c r="AE373" s="1">
        <f ca="1">IFERROR(__xludf.DUMMYFUNCTION("""COMPUTED_VALUE"""),434)</f>
        <v>434</v>
      </c>
      <c r="AF373" s="1">
        <f ca="1">IFERROR(__xludf.DUMMYFUNCTION("""COMPUTED_VALUE"""),608)</f>
        <v>608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IFERROR(__xludf.DUMMYFUNCTION("""COMPUTED_VALUE"""),"Western MichiganNCAA")</f>
        <v>Western MichiganNCAA</v>
      </c>
      <c r="B376" s="1">
        <f ca="1">IFERROR(__xludf.DUMMYFUNCTION("""COMPUTED_VALUE"""),33)</f>
        <v>33</v>
      </c>
      <c r="C376" s="1">
        <f ca="1">IFERROR(__xludf.DUMMYFUNCTION("""COMPUTED_VALUE"""),23)</f>
        <v>23</v>
      </c>
      <c r="D376" s="1">
        <f ca="1">IFERROR(__xludf.DUMMYFUNCTION("""COMPUTED_VALUE"""),10)</f>
        <v>10</v>
      </c>
      <c r="E376" s="1">
        <f ca="1">IFERROR(__xludf.DUMMYFUNCTION("""COMPUTED_VALUE"""),0.697)</f>
        <v>0.69699999999999995</v>
      </c>
      <c r="F376" s="1">
        <f ca="1">IFERROR(__xludf.DUMMYFUNCTION("""COMPUTED_VALUE"""),1.73)</f>
        <v>1.73</v>
      </c>
      <c r="G376" s="1">
        <f ca="1">IFERROR(__xludf.DUMMYFUNCTION("""COMPUTED_VALUE"""),-1.45)</f>
        <v>-1.45</v>
      </c>
      <c r="H376" s="1">
        <f ca="1">IFERROR(__xludf.DUMMYFUNCTION("""COMPUTED_VALUE"""),14)</f>
        <v>14</v>
      </c>
      <c r="I376" s="1">
        <f ca="1">IFERROR(__xludf.DUMMYFUNCTION("""COMPUTED_VALUE"""),4)</f>
        <v>4</v>
      </c>
      <c r="J376" s="1">
        <f ca="1">IFERROR(__xludf.DUMMYFUNCTION("""COMPUTED_VALUE"""),13)</f>
        <v>13</v>
      </c>
      <c r="K376" s="1">
        <f ca="1">IFERROR(__xludf.DUMMYFUNCTION("""COMPUTED_VALUE"""),2)</f>
        <v>2</v>
      </c>
      <c r="L376" s="1">
        <f ca="1">IFERROR(__xludf.DUMMYFUNCTION("""COMPUTED_VALUE"""),6)</f>
        <v>6</v>
      </c>
      <c r="M376" s="1">
        <f ca="1">IFERROR(__xludf.DUMMYFUNCTION("""COMPUTED_VALUE"""),7)</f>
        <v>7</v>
      </c>
      <c r="N376" s="1">
        <f ca="1">IFERROR(__xludf.DUMMYFUNCTION("""COMPUTED_VALUE"""),2373)</f>
        <v>2373</v>
      </c>
      <c r="O376" s="1">
        <f ca="1">IFERROR(__xludf.DUMMYFUNCTION("""COMPUTED_VALUE"""),2235)</f>
        <v>2235</v>
      </c>
      <c r="P376" s="1">
        <f ca="1">IFERROR(__xludf.DUMMYFUNCTION("""COMPUTED_VALUE"""),1340)</f>
        <v>1340</v>
      </c>
      <c r="Q376" s="1">
        <f ca="1">IFERROR(__xludf.DUMMYFUNCTION("""COMPUTED_VALUE"""),779)</f>
        <v>779</v>
      </c>
      <c r="R376" s="1">
        <f ca="1">IFERROR(__xludf.DUMMYFUNCTION("""COMPUTED_VALUE"""),1684)</f>
        <v>1684</v>
      </c>
      <c r="S376" s="1">
        <f ca="1">IFERROR(__xludf.DUMMYFUNCTION("""COMPUTED_VALUE"""),0.463)</f>
        <v>0.46300000000000002</v>
      </c>
      <c r="T376" s="1">
        <f ca="1">IFERROR(__xludf.DUMMYFUNCTION("""COMPUTED_VALUE"""),195)</f>
        <v>195</v>
      </c>
      <c r="U376" s="1">
        <f ca="1">IFERROR(__xludf.DUMMYFUNCTION("""COMPUTED_VALUE"""),593)</f>
        <v>593</v>
      </c>
      <c r="V376" s="1">
        <f ca="1">IFERROR(__xludf.DUMMYFUNCTION("""COMPUTED_VALUE"""),0.329)</f>
        <v>0.32900000000000001</v>
      </c>
      <c r="W376" s="1">
        <f ca="1">IFERROR(__xludf.DUMMYFUNCTION("""COMPUTED_VALUE"""),620)</f>
        <v>620</v>
      </c>
      <c r="X376" s="1">
        <f ca="1">IFERROR(__xludf.DUMMYFUNCTION("""COMPUTED_VALUE"""),856)</f>
        <v>856</v>
      </c>
      <c r="Y376" s="1">
        <f ca="1">IFERROR(__xludf.DUMMYFUNCTION("""COMPUTED_VALUE"""),0.724)</f>
        <v>0.72399999999999998</v>
      </c>
      <c r="Z376" s="1">
        <f ca="1">IFERROR(__xludf.DUMMYFUNCTION("""COMPUTED_VALUE"""),323)</f>
        <v>323</v>
      </c>
      <c r="AA376" s="1">
        <f ca="1">IFERROR(__xludf.DUMMYFUNCTION("""COMPUTED_VALUE"""),1143)</f>
        <v>1143</v>
      </c>
      <c r="AB376" s="1">
        <f ca="1">IFERROR(__xludf.DUMMYFUNCTION("""COMPUTED_VALUE"""),376)</f>
        <v>376</v>
      </c>
      <c r="AC376" s="1">
        <f ca="1">IFERROR(__xludf.DUMMYFUNCTION("""COMPUTED_VALUE"""),194)</f>
        <v>194</v>
      </c>
      <c r="AD376" s="1">
        <f ca="1">IFERROR(__xludf.DUMMYFUNCTION("""COMPUTED_VALUE"""),111)</f>
        <v>111</v>
      </c>
      <c r="AE376" s="1">
        <f ca="1">IFERROR(__xludf.DUMMYFUNCTION("""COMPUTED_VALUE"""),464)</f>
        <v>464</v>
      </c>
      <c r="AF376" s="1">
        <f ca="1">IFERROR(__xludf.DUMMYFUNCTION("""COMPUTED_VALUE"""),602)</f>
        <v>602</v>
      </c>
    </row>
    <row r="377" spans="1:32" ht="12.5" x14ac:dyDescent="0.25">
      <c r="A377" s="1" t="str">
        <f ca="1">IFERROR(__xludf.DUMMYFUNCTION("""COMPUTED_VALUE"""),"Wichita StateNCAA")</f>
        <v>Wichita StateNCAA</v>
      </c>
      <c r="B377" s="1">
        <f ca="1">IFERROR(__xludf.DUMMYFUNCTION("""COMPUTED_VALUE"""),36)</f>
        <v>36</v>
      </c>
      <c r="C377" s="1">
        <f ca="1">IFERROR(__xludf.DUMMYFUNCTION("""COMPUTED_VALUE"""),35)</f>
        <v>35</v>
      </c>
      <c r="D377" s="1">
        <f ca="1">IFERROR(__xludf.DUMMYFUNCTION("""COMPUTED_VALUE"""),1)</f>
        <v>1</v>
      </c>
      <c r="E377" s="1">
        <f ca="1">IFERROR(__xludf.DUMMYFUNCTION("""COMPUTED_VALUE"""),0.972)</f>
        <v>0.97199999999999998</v>
      </c>
      <c r="F377" s="1">
        <f ca="1">IFERROR(__xludf.DUMMYFUNCTION("""COMPUTED_VALUE"""),16.65)</f>
        <v>16.649999999999999</v>
      </c>
      <c r="G377" s="1">
        <f ca="1">IFERROR(__xludf.DUMMYFUNCTION("""COMPUTED_VALUE"""),1.74)</f>
        <v>1.74</v>
      </c>
      <c r="H377" s="1">
        <f ca="1">IFERROR(__xludf.DUMMYFUNCTION("""COMPUTED_VALUE"""),18)</f>
        <v>18</v>
      </c>
      <c r="I377" s="1">
        <f ca="1">IFERROR(__xludf.DUMMYFUNCTION("""COMPUTED_VALUE"""),0)</f>
        <v>0</v>
      </c>
      <c r="J377" s="1">
        <f ca="1">IFERROR(__xludf.DUMMYFUNCTION("""COMPUTED_VALUE"""),17)</f>
        <v>17</v>
      </c>
      <c r="K377" s="1">
        <f ca="1">IFERROR(__xludf.DUMMYFUNCTION("""COMPUTED_VALUE"""),0)</f>
        <v>0</v>
      </c>
      <c r="L377" s="1">
        <f ca="1">IFERROR(__xludf.DUMMYFUNCTION("""COMPUTED_VALUE"""),12)</f>
        <v>12</v>
      </c>
      <c r="M377" s="1">
        <f ca="1">IFERROR(__xludf.DUMMYFUNCTION("""COMPUTED_VALUE"""),0)</f>
        <v>0</v>
      </c>
      <c r="N377" s="1">
        <f ca="1">IFERROR(__xludf.DUMMYFUNCTION("""COMPUTED_VALUE"""),2706)</f>
        <v>2706</v>
      </c>
      <c r="O377" s="1">
        <f ca="1">IFERROR(__xludf.DUMMYFUNCTION("""COMPUTED_VALUE"""),2141)</f>
        <v>2141</v>
      </c>
      <c r="P377" s="1">
        <f ca="1">IFERROR(__xludf.DUMMYFUNCTION("""COMPUTED_VALUE"""),1445)</f>
        <v>1445</v>
      </c>
      <c r="Q377" s="1">
        <f ca="1">IFERROR(__xludf.DUMMYFUNCTION("""COMPUTED_VALUE"""),896)</f>
        <v>896</v>
      </c>
      <c r="R377" s="1">
        <f ca="1">IFERROR(__xludf.DUMMYFUNCTION("""COMPUTED_VALUE"""),1942)</f>
        <v>1942</v>
      </c>
      <c r="S377" s="1">
        <f ca="1">IFERROR(__xludf.DUMMYFUNCTION("""COMPUTED_VALUE"""),0.461)</f>
        <v>0.46100000000000002</v>
      </c>
      <c r="T377" s="1">
        <f ca="1">IFERROR(__xludf.DUMMYFUNCTION("""COMPUTED_VALUE"""),250)</f>
        <v>250</v>
      </c>
      <c r="U377" s="1">
        <f ca="1">IFERROR(__xludf.DUMMYFUNCTION("""COMPUTED_VALUE"""),713)</f>
        <v>713</v>
      </c>
      <c r="V377" s="1">
        <f ca="1">IFERROR(__xludf.DUMMYFUNCTION("""COMPUTED_VALUE"""),0.351)</f>
        <v>0.35099999999999998</v>
      </c>
      <c r="W377" s="1">
        <f ca="1">IFERROR(__xludf.DUMMYFUNCTION("""COMPUTED_VALUE"""),664)</f>
        <v>664</v>
      </c>
      <c r="X377" s="1">
        <f ca="1">IFERROR(__xludf.DUMMYFUNCTION("""COMPUTED_VALUE"""),916)</f>
        <v>916</v>
      </c>
      <c r="Y377" s="1">
        <f ca="1">IFERROR(__xludf.DUMMYFUNCTION("""COMPUTED_VALUE"""),0.725)</f>
        <v>0.72499999999999998</v>
      </c>
      <c r="Z377" s="1">
        <f ca="1">IFERROR(__xludf.DUMMYFUNCTION("""COMPUTED_VALUE"""),419)</f>
        <v>419</v>
      </c>
      <c r="AA377" s="1">
        <f ca="1">IFERROR(__xludf.DUMMYFUNCTION("""COMPUTED_VALUE"""),1381)</f>
        <v>1381</v>
      </c>
      <c r="AB377" s="1">
        <f ca="1">IFERROR(__xludf.DUMMYFUNCTION("""COMPUTED_VALUE"""),491)</f>
        <v>491</v>
      </c>
      <c r="AC377" s="1">
        <f ca="1">IFERROR(__xludf.DUMMYFUNCTION("""COMPUTED_VALUE"""),247)</f>
        <v>247</v>
      </c>
      <c r="AD377" s="1">
        <f ca="1">IFERROR(__xludf.DUMMYFUNCTION("""COMPUTED_VALUE"""),184)</f>
        <v>184</v>
      </c>
      <c r="AE377" s="1">
        <f ca="1">IFERROR(__xludf.DUMMYFUNCTION("""COMPUTED_VALUE"""),374)</f>
        <v>374</v>
      </c>
      <c r="AF377" s="1">
        <f ca="1">IFERROR(__xludf.DUMMYFUNCTION("""COMPUTED_VALUE"""),611)</f>
        <v>611</v>
      </c>
    </row>
    <row r="378" spans="1:32" ht="12.5" x14ac:dyDescent="0.25">
      <c r="A378" s="1" t="str">
        <f ca="1">IFERROR(__xludf.DUMMYFUNCTION("""COMPUTED_VALUE"""),"William &amp; Mary")</f>
        <v>William &amp; Mary</v>
      </c>
      <c r="B378" s="1">
        <f ca="1">IFERROR(__xludf.DUMMYFUNCTION("""COMPUTED_VALUE"""),32)</f>
        <v>32</v>
      </c>
      <c r="C378" s="1">
        <f ca="1">IFERROR(__xludf.DUMMYFUNCTION("""COMPUTED_VALUE"""),20)</f>
        <v>20</v>
      </c>
      <c r="D378" s="1">
        <f ca="1">IFERROR(__xludf.DUMMYFUNCTION("""COMPUTED_VALUE"""),12)</f>
        <v>12</v>
      </c>
      <c r="E378" s="1">
        <f ca="1">IFERROR(__xludf.DUMMYFUNCTION("""COMPUTED_VALUE"""),0.625)</f>
        <v>0.625</v>
      </c>
      <c r="F378" s="1">
        <f ca="1">IFERROR(__xludf.DUMMYFUNCTION("""COMPUTED_VALUE"""),-1.48)</f>
        <v>-1.48</v>
      </c>
      <c r="G378" s="1">
        <f ca="1">IFERROR(__xludf.DUMMYFUNCTION("""COMPUTED_VALUE"""),-2.29)</f>
        <v>-2.29</v>
      </c>
      <c r="H378" s="1">
        <f ca="1">IFERROR(__xludf.DUMMYFUNCTION("""COMPUTED_VALUE"""),10)</f>
        <v>10</v>
      </c>
      <c r="I378" s="1">
        <f ca="1">IFERROR(__xludf.DUMMYFUNCTION("""COMPUTED_VALUE"""),6)</f>
        <v>6</v>
      </c>
      <c r="J378" s="1">
        <f ca="1">IFERROR(__xludf.DUMMYFUNCTION("""COMPUTED_VALUE"""),10)</f>
        <v>10</v>
      </c>
      <c r="K378" s="1">
        <f ca="1">IFERROR(__xludf.DUMMYFUNCTION("""COMPUTED_VALUE"""),4)</f>
        <v>4</v>
      </c>
      <c r="L378" s="1">
        <f ca="1">IFERROR(__xludf.DUMMYFUNCTION("""COMPUTED_VALUE"""),8)</f>
        <v>8</v>
      </c>
      <c r="M378" s="1">
        <f ca="1">IFERROR(__xludf.DUMMYFUNCTION("""COMPUTED_VALUE"""),6)</f>
        <v>6</v>
      </c>
      <c r="N378" s="1">
        <f ca="1">IFERROR(__xludf.DUMMYFUNCTION("""COMPUTED_VALUE"""),2340)</f>
        <v>2340</v>
      </c>
      <c r="O378" s="1">
        <f ca="1">IFERROR(__xludf.DUMMYFUNCTION("""COMPUTED_VALUE"""),2281)</f>
        <v>2281</v>
      </c>
      <c r="P378" s="1">
        <f ca="1">IFERROR(__xludf.DUMMYFUNCTION("""COMPUTED_VALUE"""),1285)</f>
        <v>1285</v>
      </c>
      <c r="Q378" s="1">
        <f ca="1">IFERROR(__xludf.DUMMYFUNCTION("""COMPUTED_VALUE"""),798)</f>
        <v>798</v>
      </c>
      <c r="R378" s="1">
        <f ca="1">IFERROR(__xludf.DUMMYFUNCTION("""COMPUTED_VALUE"""),1676)</f>
        <v>1676</v>
      </c>
      <c r="S378" s="1">
        <f ca="1">IFERROR(__xludf.DUMMYFUNCTION("""COMPUTED_VALUE"""),0.476)</f>
        <v>0.47599999999999998</v>
      </c>
      <c r="T378" s="1">
        <f ca="1">IFERROR(__xludf.DUMMYFUNCTION("""COMPUTED_VALUE"""),281)</f>
        <v>281</v>
      </c>
      <c r="U378" s="1">
        <f ca="1">IFERROR(__xludf.DUMMYFUNCTION("""COMPUTED_VALUE"""),705)</f>
        <v>705</v>
      </c>
      <c r="V378" s="1">
        <f ca="1">IFERROR(__xludf.DUMMYFUNCTION("""COMPUTED_VALUE"""),0.399)</f>
        <v>0.39900000000000002</v>
      </c>
      <c r="W378" s="1">
        <f ca="1">IFERROR(__xludf.DUMMYFUNCTION("""COMPUTED_VALUE"""),463)</f>
        <v>463</v>
      </c>
      <c r="X378" s="1">
        <f ca="1">IFERROR(__xludf.DUMMYFUNCTION("""COMPUTED_VALUE"""),667)</f>
        <v>667</v>
      </c>
      <c r="Y378" s="1">
        <f ca="1">IFERROR(__xludf.DUMMYFUNCTION("""COMPUTED_VALUE"""),0.694)</f>
        <v>0.69399999999999995</v>
      </c>
      <c r="Z378" s="1">
        <f ca="1">IFERROR(__xludf.DUMMYFUNCTION("""COMPUTED_VALUE"""),250)</f>
        <v>250</v>
      </c>
      <c r="AA378" s="1">
        <f ca="1">IFERROR(__xludf.DUMMYFUNCTION("""COMPUTED_VALUE"""),994)</f>
        <v>994</v>
      </c>
      <c r="AB378" s="1">
        <f ca="1">IFERROR(__xludf.DUMMYFUNCTION("""COMPUTED_VALUE"""),447)</f>
        <v>447</v>
      </c>
      <c r="AC378" s="1">
        <f ca="1">IFERROR(__xludf.DUMMYFUNCTION("""COMPUTED_VALUE"""),177)</f>
        <v>177</v>
      </c>
      <c r="AD378" s="1">
        <f ca="1">IFERROR(__xludf.DUMMYFUNCTION("""COMPUTED_VALUE"""),104)</f>
        <v>104</v>
      </c>
      <c r="AE378" s="1">
        <f ca="1">IFERROR(__xludf.DUMMYFUNCTION("""COMPUTED_VALUE"""),331)</f>
        <v>331</v>
      </c>
      <c r="AF378" s="1">
        <f ca="1">IFERROR(__xludf.DUMMYFUNCTION("""COMPUTED_VALUE"""),519)</f>
        <v>519</v>
      </c>
    </row>
    <row r="379" spans="1:32" ht="12.5" x14ac:dyDescent="0.25">
      <c r="A379" s="1" t="str">
        <f ca="1">IFERROR(__xludf.DUMMYFUNCTION("""COMPUTED_VALUE"""),"Winthrop")</f>
        <v>Winthrop</v>
      </c>
      <c r="B379" s="1">
        <f ca="1">IFERROR(__xludf.DUMMYFUNCTION("""COMPUTED_VALUE"""),33)</f>
        <v>33</v>
      </c>
      <c r="C379" s="1">
        <f ca="1">IFERROR(__xludf.DUMMYFUNCTION("""COMPUTED_VALUE"""),20)</f>
        <v>20</v>
      </c>
      <c r="D379" s="1">
        <f ca="1">IFERROR(__xludf.DUMMYFUNCTION("""COMPUTED_VALUE"""),13)</f>
        <v>13</v>
      </c>
      <c r="E379" s="1">
        <f ca="1">IFERROR(__xludf.DUMMYFUNCTION("""COMPUTED_VALUE"""),0.606)</f>
        <v>0.60599999999999998</v>
      </c>
      <c r="F379" s="1">
        <f ca="1">IFERROR(__xludf.DUMMYFUNCTION("""COMPUTED_VALUE"""),-6.43)</f>
        <v>-6.43</v>
      </c>
      <c r="G379" s="1">
        <f ca="1">IFERROR(__xludf.DUMMYFUNCTION("""COMPUTED_VALUE"""),-6.56)</f>
        <v>-6.56</v>
      </c>
      <c r="H379" s="1">
        <f ca="1">IFERROR(__xludf.DUMMYFUNCTION("""COMPUTED_VALUE"""),10)</f>
        <v>10</v>
      </c>
      <c r="I379" s="1">
        <f ca="1">IFERROR(__xludf.DUMMYFUNCTION("""COMPUTED_VALUE"""),6)</f>
        <v>6</v>
      </c>
      <c r="J379" s="1">
        <f ca="1">IFERROR(__xludf.DUMMYFUNCTION("""COMPUTED_VALUE"""),12)</f>
        <v>12</v>
      </c>
      <c r="K379" s="1">
        <f ca="1">IFERROR(__xludf.DUMMYFUNCTION("""COMPUTED_VALUE"""),3)</f>
        <v>3</v>
      </c>
      <c r="L379" s="1">
        <f ca="1">IFERROR(__xludf.DUMMYFUNCTION("""COMPUTED_VALUE"""),5)</f>
        <v>5</v>
      </c>
      <c r="M379" s="1">
        <f ca="1">IFERROR(__xludf.DUMMYFUNCTION("""COMPUTED_VALUE"""),10)</f>
        <v>10</v>
      </c>
      <c r="N379" s="1">
        <f ca="1">IFERROR(__xludf.DUMMYFUNCTION("""COMPUTED_VALUE"""),2442)</f>
        <v>2442</v>
      </c>
      <c r="O379" s="1">
        <f ca="1">IFERROR(__xludf.DUMMYFUNCTION("""COMPUTED_VALUE"""),2355)</f>
        <v>2355</v>
      </c>
      <c r="P379" s="1">
        <f ca="1">IFERROR(__xludf.DUMMYFUNCTION("""COMPUTED_VALUE"""),1345)</f>
        <v>1345</v>
      </c>
      <c r="Q379" s="1">
        <f ca="1">IFERROR(__xludf.DUMMYFUNCTION("""COMPUTED_VALUE"""),821)</f>
        <v>821</v>
      </c>
      <c r="R379" s="1">
        <f ca="1">IFERROR(__xludf.DUMMYFUNCTION("""COMPUTED_VALUE"""),1843)</f>
        <v>1843</v>
      </c>
      <c r="S379" s="1">
        <f ca="1">IFERROR(__xludf.DUMMYFUNCTION("""COMPUTED_VALUE"""),0.445)</f>
        <v>0.44500000000000001</v>
      </c>
      <c r="T379" s="1">
        <f ca="1">IFERROR(__xludf.DUMMYFUNCTION("""COMPUTED_VALUE"""),272)</f>
        <v>272</v>
      </c>
      <c r="U379" s="1">
        <f ca="1">IFERROR(__xludf.DUMMYFUNCTION("""COMPUTED_VALUE"""),686)</f>
        <v>686</v>
      </c>
      <c r="V379" s="1">
        <f ca="1">IFERROR(__xludf.DUMMYFUNCTION("""COMPUTED_VALUE"""),0.397)</f>
        <v>0.39700000000000002</v>
      </c>
      <c r="W379" s="1">
        <f ca="1">IFERROR(__xludf.DUMMYFUNCTION("""COMPUTED_VALUE"""),528)</f>
        <v>528</v>
      </c>
      <c r="X379" s="1">
        <f ca="1">IFERROR(__xludf.DUMMYFUNCTION("""COMPUTED_VALUE"""),741)</f>
        <v>741</v>
      </c>
      <c r="Y379" s="1">
        <f ca="1">IFERROR(__xludf.DUMMYFUNCTION("""COMPUTED_VALUE"""),0.713)</f>
        <v>0.71299999999999997</v>
      </c>
      <c r="Z379" s="1">
        <f ca="1">IFERROR(__xludf.DUMMYFUNCTION("""COMPUTED_VALUE"""),333)</f>
        <v>333</v>
      </c>
      <c r="AA379" s="1">
        <f ca="1">IFERROR(__xludf.DUMMYFUNCTION("""COMPUTED_VALUE"""),1072)</f>
        <v>1072</v>
      </c>
      <c r="AB379" s="1">
        <f ca="1">IFERROR(__xludf.DUMMYFUNCTION("""COMPUTED_VALUE"""),378)</f>
        <v>378</v>
      </c>
      <c r="AC379" s="1">
        <f ca="1">IFERROR(__xludf.DUMMYFUNCTION("""COMPUTED_VALUE"""),211)</f>
        <v>211</v>
      </c>
      <c r="AD379" s="1">
        <f ca="1">IFERROR(__xludf.DUMMYFUNCTION("""COMPUTED_VALUE"""),89)</f>
        <v>89</v>
      </c>
      <c r="AE379" s="1">
        <f ca="1">IFERROR(__xludf.DUMMYFUNCTION("""COMPUTED_VALUE"""),412)</f>
        <v>412</v>
      </c>
      <c r="AF379" s="1">
        <f ca="1">IFERROR(__xludf.DUMMYFUNCTION("""COMPUTED_VALUE"""),649)</f>
        <v>649</v>
      </c>
    </row>
    <row r="380" spans="1:32" ht="12.5" x14ac:dyDescent="0.25">
      <c r="A380" s="1" t="str">
        <f ca="1">IFERROR(__xludf.DUMMYFUNCTION("""COMPUTED_VALUE"""),"WisconsinNCAA")</f>
        <v>WisconsinNCAA</v>
      </c>
      <c r="B380" s="1">
        <f ca="1">IFERROR(__xludf.DUMMYFUNCTION("""COMPUTED_VALUE"""),38)</f>
        <v>38</v>
      </c>
      <c r="C380" s="1">
        <f ca="1">IFERROR(__xludf.DUMMYFUNCTION("""COMPUTED_VALUE"""),30)</f>
        <v>30</v>
      </c>
      <c r="D380" s="1">
        <f ca="1">IFERROR(__xludf.DUMMYFUNCTION("""COMPUTED_VALUE"""),8)</f>
        <v>8</v>
      </c>
      <c r="E380" s="1">
        <f ca="1">IFERROR(__xludf.DUMMYFUNCTION("""COMPUTED_VALUE"""),0.789)</f>
        <v>0.78900000000000003</v>
      </c>
      <c r="F380" s="1">
        <f ca="1">IFERROR(__xludf.DUMMYFUNCTION("""COMPUTED_VALUE"""),19.69)</f>
        <v>19.690000000000001</v>
      </c>
      <c r="G380" s="1">
        <f ca="1">IFERROR(__xludf.DUMMYFUNCTION("""COMPUTED_VALUE"""),10.19)</f>
        <v>10.19</v>
      </c>
      <c r="H380" s="1">
        <f ca="1">IFERROR(__xludf.DUMMYFUNCTION("""COMPUTED_VALUE"""),12)</f>
        <v>12</v>
      </c>
      <c r="I380" s="1">
        <f ca="1">IFERROR(__xludf.DUMMYFUNCTION("""COMPUTED_VALUE"""),6)</f>
        <v>6</v>
      </c>
      <c r="J380" s="1">
        <f ca="1">IFERROR(__xludf.DUMMYFUNCTION("""COMPUTED_VALUE"""),14)</f>
        <v>14</v>
      </c>
      <c r="K380" s="1">
        <f ca="1">IFERROR(__xludf.DUMMYFUNCTION("""COMPUTED_VALUE"""),3)</f>
        <v>3</v>
      </c>
      <c r="L380" s="1">
        <f ca="1">IFERROR(__xludf.DUMMYFUNCTION("""COMPUTED_VALUE"""),8)</f>
        <v>8</v>
      </c>
      <c r="M380" s="1">
        <f ca="1">IFERROR(__xludf.DUMMYFUNCTION("""COMPUTED_VALUE"""),3)</f>
        <v>3</v>
      </c>
      <c r="N380" s="1">
        <f ca="1">IFERROR(__xludf.DUMMYFUNCTION("""COMPUTED_VALUE"""),2793)</f>
        <v>2793</v>
      </c>
      <c r="O380" s="1">
        <f ca="1">IFERROR(__xludf.DUMMYFUNCTION("""COMPUTED_VALUE"""),2432)</f>
        <v>2432</v>
      </c>
      <c r="P380" s="1">
        <f ca="1">IFERROR(__xludf.DUMMYFUNCTION("""COMPUTED_VALUE"""),1525)</f>
        <v>1525</v>
      </c>
      <c r="Q380" s="1">
        <f ca="1">IFERROR(__xludf.DUMMYFUNCTION("""COMPUTED_VALUE"""),927)</f>
        <v>927</v>
      </c>
      <c r="R380" s="1">
        <f ca="1">IFERROR(__xludf.DUMMYFUNCTION("""COMPUTED_VALUE"""),2019)</f>
        <v>2019</v>
      </c>
      <c r="S380" s="1">
        <f ca="1">IFERROR(__xludf.DUMMYFUNCTION("""COMPUTED_VALUE"""),0.459)</f>
        <v>0.45900000000000002</v>
      </c>
      <c r="T380" s="1">
        <f ca="1">IFERROR(__xludf.DUMMYFUNCTION("""COMPUTED_VALUE"""),297)</f>
        <v>297</v>
      </c>
      <c r="U380" s="1">
        <f ca="1">IFERROR(__xludf.DUMMYFUNCTION("""COMPUTED_VALUE"""),790)</f>
        <v>790</v>
      </c>
      <c r="V380" s="1">
        <f ca="1">IFERROR(__xludf.DUMMYFUNCTION("""COMPUTED_VALUE"""),0.376)</f>
        <v>0.376</v>
      </c>
      <c r="W380" s="1">
        <f ca="1">IFERROR(__xludf.DUMMYFUNCTION("""COMPUTED_VALUE"""),642)</f>
        <v>642</v>
      </c>
      <c r="X380" s="1">
        <f ca="1">IFERROR(__xludf.DUMMYFUNCTION("""COMPUTED_VALUE"""),861)</f>
        <v>861</v>
      </c>
      <c r="Y380" s="1">
        <f ca="1">IFERROR(__xludf.DUMMYFUNCTION("""COMPUTED_VALUE"""),0.746)</f>
        <v>0.746</v>
      </c>
      <c r="Z380" s="1">
        <f ca="1">IFERROR(__xludf.DUMMYFUNCTION("""COMPUTED_VALUE"""),337)</f>
        <v>337</v>
      </c>
      <c r="AA380" s="1">
        <f ca="1">IFERROR(__xludf.DUMMYFUNCTION("""COMPUTED_VALUE"""),1266)</f>
        <v>1266</v>
      </c>
      <c r="AB380" s="1">
        <f ca="1">IFERROR(__xludf.DUMMYFUNCTION("""COMPUTED_VALUE"""),468)</f>
        <v>468</v>
      </c>
      <c r="AC380" s="1">
        <f ca="1">IFERROR(__xludf.DUMMYFUNCTION("""COMPUTED_VALUE"""),183)</f>
        <v>183</v>
      </c>
      <c r="AD380" s="1">
        <f ca="1">IFERROR(__xludf.DUMMYFUNCTION("""COMPUTED_VALUE"""),127)</f>
        <v>127</v>
      </c>
      <c r="AE380" s="1">
        <f ca="1">IFERROR(__xludf.DUMMYFUNCTION("""COMPUTED_VALUE"""),307)</f>
        <v>307</v>
      </c>
      <c r="AF380" s="1">
        <f ca="1">IFERROR(__xludf.DUMMYFUNCTION("""COMPUTED_VALUE"""),574)</f>
        <v>574</v>
      </c>
    </row>
    <row r="381" spans="1:32" ht="12.5" x14ac:dyDescent="0.25">
      <c r="A381" s="1" t="str">
        <f ca="1">IFERROR(__xludf.DUMMYFUNCTION("""COMPUTED_VALUE"""),"WoffordNCAA")</f>
        <v>WoffordNCAA</v>
      </c>
      <c r="B381" s="1">
        <f ca="1">IFERROR(__xludf.DUMMYFUNCTION("""COMPUTED_VALUE"""),33)</f>
        <v>33</v>
      </c>
      <c r="C381" s="1">
        <f ca="1">IFERROR(__xludf.DUMMYFUNCTION("""COMPUTED_VALUE"""),20)</f>
        <v>20</v>
      </c>
      <c r="D381" s="1">
        <f ca="1">IFERROR(__xludf.DUMMYFUNCTION("""COMPUTED_VALUE"""),13)</f>
        <v>13</v>
      </c>
      <c r="E381" s="1">
        <f ca="1">IFERROR(__xludf.DUMMYFUNCTION("""COMPUTED_VALUE"""),0.606)</f>
        <v>0.60599999999999998</v>
      </c>
      <c r="F381" s="1">
        <f ca="1">IFERROR(__xludf.DUMMYFUNCTION("""COMPUTED_VALUE"""),-4.32)</f>
        <v>-4.32</v>
      </c>
      <c r="G381" s="1">
        <f ca="1">IFERROR(__xludf.DUMMYFUNCTION("""COMPUTED_VALUE"""),-5.95)</f>
        <v>-5.95</v>
      </c>
      <c r="H381" s="1">
        <f ca="1">IFERROR(__xludf.DUMMYFUNCTION("""COMPUTED_VALUE"""),11)</f>
        <v>11</v>
      </c>
      <c r="I381" s="1">
        <f ca="1">IFERROR(__xludf.DUMMYFUNCTION("""COMPUTED_VALUE"""),5)</f>
        <v>5</v>
      </c>
      <c r="J381" s="1">
        <f ca="1">IFERROR(__xludf.DUMMYFUNCTION("""COMPUTED_VALUE"""),9)</f>
        <v>9</v>
      </c>
      <c r="K381" s="1">
        <f ca="1">IFERROR(__xludf.DUMMYFUNCTION("""COMPUTED_VALUE"""),4)</f>
        <v>4</v>
      </c>
      <c r="L381" s="1">
        <f ca="1">IFERROR(__xludf.DUMMYFUNCTION("""COMPUTED_VALUE"""),8)</f>
        <v>8</v>
      </c>
      <c r="M381" s="1">
        <f ca="1">IFERROR(__xludf.DUMMYFUNCTION("""COMPUTED_VALUE"""),8)</f>
        <v>8</v>
      </c>
      <c r="N381" s="1">
        <f ca="1">IFERROR(__xludf.DUMMYFUNCTION("""COMPUTED_VALUE"""),2205)</f>
        <v>2205</v>
      </c>
      <c r="O381" s="1">
        <f ca="1">IFERROR(__xludf.DUMMYFUNCTION("""COMPUTED_VALUE"""),2054)</f>
        <v>2054</v>
      </c>
      <c r="P381" s="1">
        <f ca="1">IFERROR(__xludf.DUMMYFUNCTION("""COMPUTED_VALUE"""),1325)</f>
        <v>1325</v>
      </c>
      <c r="Q381" s="1">
        <f ca="1">IFERROR(__xludf.DUMMYFUNCTION("""COMPUTED_VALUE"""),808)</f>
        <v>808</v>
      </c>
      <c r="R381" s="1">
        <f ca="1">IFERROR(__xludf.DUMMYFUNCTION("""COMPUTED_VALUE"""),1804)</f>
        <v>1804</v>
      </c>
      <c r="S381" s="1">
        <f ca="1">IFERROR(__xludf.DUMMYFUNCTION("""COMPUTED_VALUE"""),0.448)</f>
        <v>0.44800000000000001</v>
      </c>
      <c r="T381" s="1">
        <f ca="1">IFERROR(__xludf.DUMMYFUNCTION("""COMPUTED_VALUE"""),196)</f>
        <v>196</v>
      </c>
      <c r="U381" s="1">
        <f ca="1">IFERROR(__xludf.DUMMYFUNCTION("""COMPUTED_VALUE"""),544)</f>
        <v>544</v>
      </c>
      <c r="V381" s="1">
        <f ca="1">IFERROR(__xludf.DUMMYFUNCTION("""COMPUTED_VALUE"""),0.36)</f>
        <v>0.36</v>
      </c>
      <c r="W381" s="1">
        <f ca="1">IFERROR(__xludf.DUMMYFUNCTION("""COMPUTED_VALUE"""),393)</f>
        <v>393</v>
      </c>
      <c r="X381" s="1">
        <f ca="1">IFERROR(__xludf.DUMMYFUNCTION("""COMPUTED_VALUE"""),592)</f>
        <v>592</v>
      </c>
      <c r="Y381" s="1">
        <f ca="1">IFERROR(__xludf.DUMMYFUNCTION("""COMPUTED_VALUE"""),0.664)</f>
        <v>0.66400000000000003</v>
      </c>
      <c r="Z381" s="1">
        <f ca="1">IFERROR(__xludf.DUMMYFUNCTION("""COMPUTED_VALUE"""),352)</f>
        <v>352</v>
      </c>
      <c r="AA381" s="1">
        <f ca="1">IFERROR(__xludf.DUMMYFUNCTION("""COMPUTED_VALUE"""),1090)</f>
        <v>1090</v>
      </c>
      <c r="AB381" s="1">
        <f ca="1">IFERROR(__xludf.DUMMYFUNCTION("""COMPUTED_VALUE"""),423)</f>
        <v>423</v>
      </c>
      <c r="AC381" s="1">
        <f ca="1">IFERROR(__xludf.DUMMYFUNCTION("""COMPUTED_VALUE"""),205)</f>
        <v>205</v>
      </c>
      <c r="AD381" s="1">
        <f ca="1">IFERROR(__xludf.DUMMYFUNCTION("""COMPUTED_VALUE"""),54)</f>
        <v>54</v>
      </c>
      <c r="AE381" s="1">
        <f ca="1">IFERROR(__xludf.DUMMYFUNCTION("""COMPUTED_VALUE"""),351)</f>
        <v>351</v>
      </c>
      <c r="AF381" s="1">
        <f ca="1">IFERROR(__xludf.DUMMYFUNCTION("""COMPUTED_VALUE"""),578)</f>
        <v>578</v>
      </c>
    </row>
    <row r="382" spans="1:32" ht="12.5" x14ac:dyDescent="0.25">
      <c r="A382" s="1" t="str">
        <f ca="1">IFERROR(__xludf.DUMMYFUNCTION("""COMPUTED_VALUE"""),"Wright State")</f>
        <v>Wright State</v>
      </c>
      <c r="B382" s="1">
        <f ca="1">IFERROR(__xludf.DUMMYFUNCTION("""COMPUTED_VALUE"""),36)</f>
        <v>36</v>
      </c>
      <c r="C382" s="1">
        <f ca="1">IFERROR(__xludf.DUMMYFUNCTION("""COMPUTED_VALUE"""),21)</f>
        <v>21</v>
      </c>
      <c r="D382" s="1">
        <f ca="1">IFERROR(__xludf.DUMMYFUNCTION("""COMPUTED_VALUE"""),15)</f>
        <v>15</v>
      </c>
      <c r="E382" s="1">
        <f ca="1">IFERROR(__xludf.DUMMYFUNCTION("""COMPUTED_VALUE"""),0.583)</f>
        <v>0.58299999999999996</v>
      </c>
      <c r="F382" s="1">
        <f ca="1">IFERROR(__xludf.DUMMYFUNCTION("""COMPUTED_VALUE"""),0.21)</f>
        <v>0.21</v>
      </c>
      <c r="G382" s="1">
        <f ca="1">IFERROR(__xludf.DUMMYFUNCTION("""COMPUTED_VALUE"""),-2.8)</f>
        <v>-2.8</v>
      </c>
      <c r="H382" s="1">
        <f ca="1">IFERROR(__xludf.DUMMYFUNCTION("""COMPUTED_VALUE"""),10)</f>
        <v>10</v>
      </c>
      <c r="I382" s="1">
        <f ca="1">IFERROR(__xludf.DUMMYFUNCTION("""COMPUTED_VALUE"""),6)</f>
        <v>6</v>
      </c>
      <c r="J382" s="1">
        <f ca="1">IFERROR(__xludf.DUMMYFUNCTION("""COMPUTED_VALUE"""),13)</f>
        <v>13</v>
      </c>
      <c r="K382" s="1">
        <f ca="1">IFERROR(__xludf.DUMMYFUNCTION("""COMPUTED_VALUE"""),3)</f>
        <v>3</v>
      </c>
      <c r="L382" s="1">
        <f ca="1">IFERROR(__xludf.DUMMYFUNCTION("""COMPUTED_VALUE"""),5)</f>
        <v>5</v>
      </c>
      <c r="M382" s="1">
        <f ca="1">IFERROR(__xludf.DUMMYFUNCTION("""COMPUTED_VALUE"""),12)</f>
        <v>12</v>
      </c>
      <c r="N382" s="1">
        <f ca="1">IFERROR(__xludf.DUMMYFUNCTION("""COMPUTED_VALUE"""),2419)</f>
        <v>2419</v>
      </c>
      <c r="O382" s="1">
        <f ca="1">IFERROR(__xludf.DUMMYFUNCTION("""COMPUTED_VALUE"""),2234)</f>
        <v>2234</v>
      </c>
      <c r="P382" s="1">
        <f ca="1">IFERROR(__xludf.DUMMYFUNCTION("""COMPUTED_VALUE"""),1440)</f>
        <v>1440</v>
      </c>
      <c r="Q382" s="1">
        <f ca="1">IFERROR(__xludf.DUMMYFUNCTION("""COMPUTED_VALUE"""),817)</f>
        <v>817</v>
      </c>
      <c r="R382" s="1">
        <f ca="1">IFERROR(__xludf.DUMMYFUNCTION("""COMPUTED_VALUE"""),1793)</f>
        <v>1793</v>
      </c>
      <c r="S382" s="1">
        <f ca="1">IFERROR(__xludf.DUMMYFUNCTION("""COMPUTED_VALUE"""),0.456)</f>
        <v>0.45600000000000002</v>
      </c>
      <c r="T382" s="1">
        <f ca="1">IFERROR(__xludf.DUMMYFUNCTION("""COMPUTED_VALUE"""),220)</f>
        <v>220</v>
      </c>
      <c r="U382" s="1">
        <f ca="1">IFERROR(__xludf.DUMMYFUNCTION("""COMPUTED_VALUE"""),609)</f>
        <v>609</v>
      </c>
      <c r="V382" s="1">
        <f ca="1">IFERROR(__xludf.DUMMYFUNCTION("""COMPUTED_VALUE"""),0.361)</f>
        <v>0.36099999999999999</v>
      </c>
      <c r="W382" s="1">
        <f ca="1">IFERROR(__xludf.DUMMYFUNCTION("""COMPUTED_VALUE"""),565)</f>
        <v>565</v>
      </c>
      <c r="X382" s="1">
        <f ca="1">IFERROR(__xludf.DUMMYFUNCTION("""COMPUTED_VALUE"""),765)</f>
        <v>765</v>
      </c>
      <c r="Y382" s="1">
        <f ca="1">IFERROR(__xludf.DUMMYFUNCTION("""COMPUTED_VALUE"""),0.739)</f>
        <v>0.73899999999999999</v>
      </c>
      <c r="Z382" s="1">
        <f ca="1">IFERROR(__xludf.DUMMYFUNCTION("""COMPUTED_VALUE"""),263)</f>
        <v>263</v>
      </c>
      <c r="AA382" s="1">
        <f ca="1">IFERROR(__xludf.DUMMYFUNCTION("""COMPUTED_VALUE"""),1061)</f>
        <v>1061</v>
      </c>
      <c r="AB382" s="1">
        <f ca="1">IFERROR(__xludf.DUMMYFUNCTION("""COMPUTED_VALUE"""),493)</f>
        <v>493</v>
      </c>
      <c r="AC382" s="1">
        <f ca="1">IFERROR(__xludf.DUMMYFUNCTION("""COMPUTED_VALUE"""),254)</f>
        <v>254</v>
      </c>
      <c r="AD382" s="1">
        <f ca="1">IFERROR(__xludf.DUMMYFUNCTION("""COMPUTED_VALUE"""),110)</f>
        <v>110</v>
      </c>
      <c r="AE382" s="1">
        <f ca="1">IFERROR(__xludf.DUMMYFUNCTION("""COMPUTED_VALUE"""),480)</f>
        <v>480</v>
      </c>
      <c r="AF382" s="1">
        <f ca="1">IFERROR(__xludf.DUMMYFUNCTION("""COMPUTED_VALUE"""),708)</f>
        <v>708</v>
      </c>
    </row>
    <row r="383" spans="1:32" ht="12.5" x14ac:dyDescent="0.25">
      <c r="A383" s="1" t="str">
        <f ca="1">IFERROR(__xludf.DUMMYFUNCTION("""COMPUTED_VALUE"""),"Wyoming")</f>
        <v>Wyoming</v>
      </c>
      <c r="B383" s="1">
        <f ca="1">IFERROR(__xludf.DUMMYFUNCTION("""COMPUTED_VALUE"""),33)</f>
        <v>33</v>
      </c>
      <c r="C383" s="1">
        <f ca="1">IFERROR(__xludf.DUMMYFUNCTION("""COMPUTED_VALUE"""),18)</f>
        <v>18</v>
      </c>
      <c r="D383" s="1">
        <f ca="1">IFERROR(__xludf.DUMMYFUNCTION("""COMPUTED_VALUE"""),15)</f>
        <v>15</v>
      </c>
      <c r="E383" s="1">
        <f ca="1">IFERROR(__xludf.DUMMYFUNCTION("""COMPUTED_VALUE"""),0.545)</f>
        <v>0.54500000000000004</v>
      </c>
      <c r="F383" s="1">
        <f ca="1">IFERROR(__xludf.DUMMYFUNCTION("""COMPUTED_VALUE"""),4.4)</f>
        <v>4.4000000000000004</v>
      </c>
      <c r="G383" s="1">
        <f ca="1">IFERROR(__xludf.DUMMYFUNCTION("""COMPUTED_VALUE"""),2.34)</f>
        <v>2.34</v>
      </c>
      <c r="H383" s="1">
        <f ca="1">IFERROR(__xludf.DUMMYFUNCTION("""COMPUTED_VALUE"""),9)</f>
        <v>9</v>
      </c>
      <c r="I383" s="1">
        <f ca="1">IFERROR(__xludf.DUMMYFUNCTION("""COMPUTED_VALUE"""),9)</f>
        <v>9</v>
      </c>
      <c r="J383" s="1">
        <f ca="1">IFERROR(__xludf.DUMMYFUNCTION("""COMPUTED_VALUE"""),14)</f>
        <v>14</v>
      </c>
      <c r="K383" s="1">
        <f ca="1">IFERROR(__xludf.DUMMYFUNCTION("""COMPUTED_VALUE"""),4)</f>
        <v>4</v>
      </c>
      <c r="L383" s="1">
        <f ca="1">IFERROR(__xludf.DUMMYFUNCTION("""COMPUTED_VALUE"""),3)</f>
        <v>3</v>
      </c>
      <c r="M383" s="1">
        <f ca="1">IFERROR(__xludf.DUMMYFUNCTION("""COMPUTED_VALUE"""),11)</f>
        <v>11</v>
      </c>
      <c r="N383" s="1">
        <f ca="1">IFERROR(__xludf.DUMMYFUNCTION("""COMPUTED_VALUE"""),2130)</f>
        <v>2130</v>
      </c>
      <c r="O383" s="1">
        <f ca="1">IFERROR(__xludf.DUMMYFUNCTION("""COMPUTED_VALUE"""),2035)</f>
        <v>2035</v>
      </c>
      <c r="P383" s="1">
        <f ca="1">IFERROR(__xludf.DUMMYFUNCTION("""COMPUTED_VALUE"""),1340)</f>
        <v>1340</v>
      </c>
      <c r="Q383" s="1">
        <f ca="1">IFERROR(__xludf.DUMMYFUNCTION("""COMPUTED_VALUE"""),724)</f>
        <v>724</v>
      </c>
      <c r="R383" s="1">
        <f ca="1">IFERROR(__xludf.DUMMYFUNCTION("""COMPUTED_VALUE"""),1533)</f>
        <v>1533</v>
      </c>
      <c r="S383" s="1">
        <f ca="1">IFERROR(__xludf.DUMMYFUNCTION("""COMPUTED_VALUE"""),0.472)</f>
        <v>0.47199999999999998</v>
      </c>
      <c r="T383" s="1">
        <f ca="1">IFERROR(__xludf.DUMMYFUNCTION("""COMPUTED_VALUE"""),189)</f>
        <v>189</v>
      </c>
      <c r="U383" s="1">
        <f ca="1">IFERROR(__xludf.DUMMYFUNCTION("""COMPUTED_VALUE"""),538)</f>
        <v>538</v>
      </c>
      <c r="V383" s="1">
        <f ca="1">IFERROR(__xludf.DUMMYFUNCTION("""COMPUTED_VALUE"""),0.351)</f>
        <v>0.35099999999999998</v>
      </c>
      <c r="W383" s="1">
        <f ca="1">IFERROR(__xludf.DUMMYFUNCTION("""COMPUTED_VALUE"""),493)</f>
        <v>493</v>
      </c>
      <c r="X383" s="1">
        <f ca="1">IFERROR(__xludf.DUMMYFUNCTION("""COMPUTED_VALUE"""),689)</f>
        <v>689</v>
      </c>
      <c r="Y383" s="1">
        <f ca="1">IFERROR(__xludf.DUMMYFUNCTION("""COMPUTED_VALUE"""),0.716)</f>
        <v>0.71599999999999997</v>
      </c>
      <c r="Z383" s="1">
        <f ca="1">IFERROR(__xludf.DUMMYFUNCTION("""COMPUTED_VALUE"""),171)</f>
        <v>171</v>
      </c>
      <c r="AA383" s="1">
        <f ca="1">IFERROR(__xludf.DUMMYFUNCTION("""COMPUTED_VALUE"""),953)</f>
        <v>953</v>
      </c>
      <c r="AB383" s="1">
        <f ca="1">IFERROR(__xludf.DUMMYFUNCTION("""COMPUTED_VALUE"""),412)</f>
        <v>412</v>
      </c>
      <c r="AC383" s="1">
        <f ca="1">IFERROR(__xludf.DUMMYFUNCTION("""COMPUTED_VALUE"""),155)</f>
        <v>155</v>
      </c>
      <c r="AD383" s="1">
        <f ca="1">IFERROR(__xludf.DUMMYFUNCTION("""COMPUTED_VALUE"""),124)</f>
        <v>124</v>
      </c>
      <c r="AE383" s="1">
        <f ca="1">IFERROR(__xludf.DUMMYFUNCTION("""COMPUTED_VALUE"""),346)</f>
        <v>346</v>
      </c>
      <c r="AF383" s="1">
        <f ca="1">IFERROR(__xludf.DUMMYFUNCTION("""COMPUTED_VALUE"""),553)</f>
        <v>553</v>
      </c>
    </row>
    <row r="384" spans="1:32" ht="12.5" x14ac:dyDescent="0.25">
      <c r="A384" s="1" t="str">
        <f ca="1">IFERROR(__xludf.DUMMYFUNCTION("""COMPUTED_VALUE"""),"XavierNCAA")</f>
        <v>XavierNCAA</v>
      </c>
      <c r="B384" s="1">
        <f ca="1">IFERROR(__xludf.DUMMYFUNCTION("""COMPUTED_VALUE"""),34)</f>
        <v>34</v>
      </c>
      <c r="C384" s="1">
        <f ca="1">IFERROR(__xludf.DUMMYFUNCTION("""COMPUTED_VALUE"""),21)</f>
        <v>21</v>
      </c>
      <c r="D384" s="1">
        <f ca="1">IFERROR(__xludf.DUMMYFUNCTION("""COMPUTED_VALUE"""),13)</f>
        <v>13</v>
      </c>
      <c r="E384" s="1">
        <f ca="1">IFERROR(__xludf.DUMMYFUNCTION("""COMPUTED_VALUE"""),0.618)</f>
        <v>0.61799999999999999</v>
      </c>
      <c r="F384" s="1">
        <f ca="1">IFERROR(__xludf.DUMMYFUNCTION("""COMPUTED_VALUE"""),11.84)</f>
        <v>11.84</v>
      </c>
      <c r="G384" s="1">
        <f ca="1">IFERROR(__xludf.DUMMYFUNCTION("""COMPUTED_VALUE"""),8.14)</f>
        <v>8.14</v>
      </c>
      <c r="H384" s="1">
        <f ca="1">IFERROR(__xludf.DUMMYFUNCTION("""COMPUTED_VALUE"""),10)</f>
        <v>10</v>
      </c>
      <c r="I384" s="1">
        <f ca="1">IFERROR(__xludf.DUMMYFUNCTION("""COMPUTED_VALUE"""),8)</f>
        <v>8</v>
      </c>
      <c r="J384" s="1">
        <f ca="1">IFERROR(__xludf.DUMMYFUNCTION("""COMPUTED_VALUE"""),15)</f>
        <v>15</v>
      </c>
      <c r="K384" s="1">
        <f ca="1">IFERROR(__xludf.DUMMYFUNCTION("""COMPUTED_VALUE"""),2)</f>
        <v>2</v>
      </c>
      <c r="L384" s="1">
        <f ca="1">IFERROR(__xludf.DUMMYFUNCTION("""COMPUTED_VALUE"""),4)</f>
        <v>4</v>
      </c>
      <c r="M384" s="1">
        <f ca="1">IFERROR(__xludf.DUMMYFUNCTION("""COMPUTED_VALUE"""),6)</f>
        <v>6</v>
      </c>
      <c r="N384" s="1">
        <f ca="1">IFERROR(__xludf.DUMMYFUNCTION("""COMPUTED_VALUE"""),2442)</f>
        <v>2442</v>
      </c>
      <c r="O384" s="1">
        <f ca="1">IFERROR(__xludf.DUMMYFUNCTION("""COMPUTED_VALUE"""),2316)</f>
        <v>2316</v>
      </c>
      <c r="P384" s="1">
        <f ca="1">IFERROR(__xludf.DUMMYFUNCTION("""COMPUTED_VALUE"""),1370)</f>
        <v>1370</v>
      </c>
      <c r="Q384" s="1">
        <f ca="1">IFERROR(__xludf.DUMMYFUNCTION("""COMPUTED_VALUE"""),869)</f>
        <v>869</v>
      </c>
      <c r="R384" s="1">
        <f ca="1">IFERROR(__xludf.DUMMYFUNCTION("""COMPUTED_VALUE"""),1850)</f>
        <v>1850</v>
      </c>
      <c r="S384" s="1">
        <f ca="1">IFERROR(__xludf.DUMMYFUNCTION("""COMPUTED_VALUE"""),0.47)</f>
        <v>0.47</v>
      </c>
      <c r="T384" s="1">
        <f ca="1">IFERROR(__xludf.DUMMYFUNCTION("""COMPUTED_VALUE"""),174)</f>
        <v>174</v>
      </c>
      <c r="U384" s="1">
        <f ca="1">IFERROR(__xludf.DUMMYFUNCTION("""COMPUTED_VALUE"""),500)</f>
        <v>500</v>
      </c>
      <c r="V384" s="1">
        <f ca="1">IFERROR(__xludf.DUMMYFUNCTION("""COMPUTED_VALUE"""),0.348)</f>
        <v>0.34799999999999998</v>
      </c>
      <c r="W384" s="1">
        <f ca="1">IFERROR(__xludf.DUMMYFUNCTION("""COMPUTED_VALUE"""),530)</f>
        <v>530</v>
      </c>
      <c r="X384" s="1">
        <f ca="1">IFERROR(__xludf.DUMMYFUNCTION("""COMPUTED_VALUE"""),770)</f>
        <v>770</v>
      </c>
      <c r="Y384" s="1">
        <f ca="1">IFERROR(__xludf.DUMMYFUNCTION("""COMPUTED_VALUE"""),0.688)</f>
        <v>0.68799999999999994</v>
      </c>
      <c r="Z384" s="1">
        <f ca="1">IFERROR(__xludf.DUMMYFUNCTION("""COMPUTED_VALUE"""),379)</f>
        <v>379</v>
      </c>
      <c r="AA384" s="1">
        <f ca="1">IFERROR(__xludf.DUMMYFUNCTION("""COMPUTED_VALUE"""),1213)</f>
        <v>1213</v>
      </c>
      <c r="AB384" s="1">
        <f ca="1">IFERROR(__xludf.DUMMYFUNCTION("""COMPUTED_VALUE"""),497)</f>
        <v>497</v>
      </c>
      <c r="AC384" s="1">
        <f ca="1">IFERROR(__xludf.DUMMYFUNCTION("""COMPUTED_VALUE"""),196)</f>
        <v>196</v>
      </c>
      <c r="AD384" s="1">
        <f ca="1">IFERROR(__xludf.DUMMYFUNCTION("""COMPUTED_VALUE"""),97)</f>
        <v>97</v>
      </c>
      <c r="AE384" s="1">
        <f ca="1">IFERROR(__xludf.DUMMYFUNCTION("""COMPUTED_VALUE"""),421)</f>
        <v>421</v>
      </c>
      <c r="AF384" s="1">
        <f ca="1">IFERROR(__xludf.DUMMYFUNCTION("""COMPUTED_VALUE"""),674)</f>
        <v>674</v>
      </c>
    </row>
    <row r="385" spans="1:32" ht="12.5" x14ac:dyDescent="0.25">
      <c r="A385" s="1" t="str">
        <f ca="1">IFERROR(__xludf.DUMMYFUNCTION("""COMPUTED_VALUE"""),"Yale")</f>
        <v>Yale</v>
      </c>
      <c r="B385" s="1">
        <f ca="1">IFERROR(__xludf.DUMMYFUNCTION("""COMPUTED_VALUE"""),33)</f>
        <v>33</v>
      </c>
      <c r="C385" s="1">
        <f ca="1">IFERROR(__xludf.DUMMYFUNCTION("""COMPUTED_VALUE"""),19)</f>
        <v>19</v>
      </c>
      <c r="D385" s="1">
        <f ca="1">IFERROR(__xludf.DUMMYFUNCTION("""COMPUTED_VALUE"""),14)</f>
        <v>14</v>
      </c>
      <c r="E385" s="1">
        <f ca="1">IFERROR(__xludf.DUMMYFUNCTION("""COMPUTED_VALUE"""),0.576)</f>
        <v>0.57599999999999996</v>
      </c>
      <c r="F385" s="1">
        <f ca="1">IFERROR(__xludf.DUMMYFUNCTION("""COMPUTED_VALUE"""),-1.66)</f>
        <v>-1.66</v>
      </c>
      <c r="G385" s="1">
        <f ca="1">IFERROR(__xludf.DUMMYFUNCTION("""COMPUTED_VALUE"""),-1.28)</f>
        <v>-1.28</v>
      </c>
      <c r="H385" s="1">
        <f ca="1">IFERROR(__xludf.DUMMYFUNCTION("""COMPUTED_VALUE"""),9)</f>
        <v>9</v>
      </c>
      <c r="I385" s="1">
        <f ca="1">IFERROR(__xludf.DUMMYFUNCTION("""COMPUTED_VALUE"""),5)</f>
        <v>5</v>
      </c>
      <c r="J385" s="1">
        <f ca="1">IFERROR(__xludf.DUMMYFUNCTION("""COMPUTED_VALUE"""),9)</f>
        <v>9</v>
      </c>
      <c r="K385" s="1">
        <f ca="1">IFERROR(__xludf.DUMMYFUNCTION("""COMPUTED_VALUE"""),4)</f>
        <v>4</v>
      </c>
      <c r="L385" s="1">
        <f ca="1">IFERROR(__xludf.DUMMYFUNCTION("""COMPUTED_VALUE"""),9)</f>
        <v>9</v>
      </c>
      <c r="M385" s="1">
        <f ca="1">IFERROR(__xludf.DUMMYFUNCTION("""COMPUTED_VALUE"""),10)</f>
        <v>10</v>
      </c>
      <c r="N385" s="1">
        <f ca="1">IFERROR(__xludf.DUMMYFUNCTION("""COMPUTED_VALUE"""),2209)</f>
        <v>2209</v>
      </c>
      <c r="O385" s="1">
        <f ca="1">IFERROR(__xludf.DUMMYFUNCTION("""COMPUTED_VALUE"""),2182)</f>
        <v>2182</v>
      </c>
      <c r="P385" s="1">
        <f ca="1">IFERROR(__xludf.DUMMYFUNCTION("""COMPUTED_VALUE"""),1326)</f>
        <v>1326</v>
      </c>
      <c r="Q385" s="1">
        <f ca="1">IFERROR(__xludf.DUMMYFUNCTION("""COMPUTED_VALUE"""),721)</f>
        <v>721</v>
      </c>
      <c r="R385" s="1">
        <f ca="1">IFERROR(__xludf.DUMMYFUNCTION("""COMPUTED_VALUE"""),1725)</f>
        <v>1725</v>
      </c>
      <c r="S385" s="1">
        <f ca="1">IFERROR(__xludf.DUMMYFUNCTION("""COMPUTED_VALUE"""),0.418)</f>
        <v>0.41799999999999998</v>
      </c>
      <c r="T385" s="1">
        <f ca="1">IFERROR(__xludf.DUMMYFUNCTION("""COMPUTED_VALUE"""),175)</f>
        <v>175</v>
      </c>
      <c r="U385" s="1">
        <f ca="1">IFERROR(__xludf.DUMMYFUNCTION("""COMPUTED_VALUE"""),532)</f>
        <v>532</v>
      </c>
      <c r="V385" s="1">
        <f ca="1">IFERROR(__xludf.DUMMYFUNCTION("""COMPUTED_VALUE"""),0.329)</f>
        <v>0.32900000000000001</v>
      </c>
      <c r="W385" s="1">
        <f ca="1">IFERROR(__xludf.DUMMYFUNCTION("""COMPUTED_VALUE"""),592)</f>
        <v>592</v>
      </c>
      <c r="X385" s="1">
        <f ca="1">IFERROR(__xludf.DUMMYFUNCTION("""COMPUTED_VALUE"""),853)</f>
        <v>853</v>
      </c>
      <c r="Y385" s="1">
        <f ca="1">IFERROR(__xludf.DUMMYFUNCTION("""COMPUTED_VALUE"""),0.694)</f>
        <v>0.69399999999999995</v>
      </c>
      <c r="Z385" s="1">
        <f ca="1">IFERROR(__xludf.DUMMYFUNCTION("""COMPUTED_VALUE"""),398)</f>
        <v>398</v>
      </c>
      <c r="AA385" s="1">
        <f ca="1">IFERROR(__xludf.DUMMYFUNCTION("""COMPUTED_VALUE"""),1179)</f>
        <v>1179</v>
      </c>
      <c r="AB385" s="1">
        <f ca="1">IFERROR(__xludf.DUMMYFUNCTION("""COMPUTED_VALUE"""),379)</f>
        <v>379</v>
      </c>
      <c r="AC385" s="1">
        <f ca="1">IFERROR(__xludf.DUMMYFUNCTION("""COMPUTED_VALUE"""),203)</f>
        <v>203</v>
      </c>
      <c r="AD385" s="1">
        <f ca="1">IFERROR(__xludf.DUMMYFUNCTION("""COMPUTED_VALUE"""),138)</f>
        <v>138</v>
      </c>
      <c r="AE385" s="1">
        <f ca="1">IFERROR(__xludf.DUMMYFUNCTION("""COMPUTED_VALUE"""),427)</f>
        <v>427</v>
      </c>
      <c r="AF385" s="1">
        <f ca="1">IFERROR(__xludf.DUMMYFUNCTION("""COMPUTED_VALUE"""),637)</f>
        <v>637</v>
      </c>
    </row>
    <row r="386" spans="1:32" ht="12.5" x14ac:dyDescent="0.25">
      <c r="A386" s="1" t="str">
        <f ca="1">IFERROR(__xludf.DUMMYFUNCTION("""COMPUTED_VALUE"""),"Youngstown State")</f>
        <v>Youngstown State</v>
      </c>
      <c r="B386" s="1">
        <f ca="1">IFERROR(__xludf.DUMMYFUNCTION("""COMPUTED_VALUE"""),32)</f>
        <v>32</v>
      </c>
      <c r="C386" s="1">
        <f ca="1">IFERROR(__xludf.DUMMYFUNCTION("""COMPUTED_VALUE"""),15)</f>
        <v>15</v>
      </c>
      <c r="D386" s="1">
        <f ca="1">IFERROR(__xludf.DUMMYFUNCTION("""COMPUTED_VALUE"""),17)</f>
        <v>17</v>
      </c>
      <c r="E386" s="1">
        <f ca="1">IFERROR(__xludf.DUMMYFUNCTION("""COMPUTED_VALUE"""),0.469)</f>
        <v>0.46899999999999997</v>
      </c>
      <c r="F386" s="1">
        <f ca="1">IFERROR(__xludf.DUMMYFUNCTION("""COMPUTED_VALUE"""),-2.3)</f>
        <v>-2.2999999999999998</v>
      </c>
      <c r="G386" s="1">
        <f ca="1">IFERROR(__xludf.DUMMYFUNCTION("""COMPUTED_VALUE"""),-1.26)</f>
        <v>-1.26</v>
      </c>
      <c r="H386" s="1">
        <f ca="1">IFERROR(__xludf.DUMMYFUNCTION("""COMPUTED_VALUE"""),6)</f>
        <v>6</v>
      </c>
      <c r="I386" s="1">
        <f ca="1">IFERROR(__xludf.DUMMYFUNCTION("""COMPUTED_VALUE"""),10)</f>
        <v>10</v>
      </c>
      <c r="J386" s="1">
        <f ca="1">IFERROR(__xludf.DUMMYFUNCTION("""COMPUTED_VALUE"""),11)</f>
        <v>11</v>
      </c>
      <c r="K386" s="1">
        <f ca="1">IFERROR(__xludf.DUMMYFUNCTION("""COMPUTED_VALUE"""),4)</f>
        <v>4</v>
      </c>
      <c r="L386" s="1">
        <f ca="1">IFERROR(__xludf.DUMMYFUNCTION("""COMPUTED_VALUE"""),2)</f>
        <v>2</v>
      </c>
      <c r="M386" s="1">
        <f ca="1">IFERROR(__xludf.DUMMYFUNCTION("""COMPUTED_VALUE"""),13)</f>
        <v>13</v>
      </c>
      <c r="N386" s="1">
        <f ca="1">IFERROR(__xludf.DUMMYFUNCTION("""COMPUTED_VALUE"""),2461)</f>
        <v>2461</v>
      </c>
      <c r="O386" s="1">
        <f ca="1">IFERROR(__xludf.DUMMYFUNCTION("""COMPUTED_VALUE"""),2370)</f>
        <v>2370</v>
      </c>
      <c r="P386" s="1">
        <f ca="1">IFERROR(__xludf.DUMMYFUNCTION("""COMPUTED_VALUE"""),1305)</f>
        <v>1305</v>
      </c>
      <c r="Q386" s="1">
        <f ca="1">IFERROR(__xludf.DUMMYFUNCTION("""COMPUTED_VALUE"""),836)</f>
        <v>836</v>
      </c>
      <c r="R386" s="1">
        <f ca="1">IFERROR(__xludf.DUMMYFUNCTION("""COMPUTED_VALUE"""),1822)</f>
        <v>1822</v>
      </c>
      <c r="S386" s="1">
        <f ca="1">IFERROR(__xludf.DUMMYFUNCTION("""COMPUTED_VALUE"""),0.459)</f>
        <v>0.45900000000000002</v>
      </c>
      <c r="T386" s="1">
        <f ca="1">IFERROR(__xludf.DUMMYFUNCTION("""COMPUTED_VALUE"""),249)</f>
        <v>249</v>
      </c>
      <c r="U386" s="1">
        <f ca="1">IFERROR(__xludf.DUMMYFUNCTION("""COMPUTED_VALUE"""),712)</f>
        <v>712</v>
      </c>
      <c r="V386" s="1">
        <f ca="1">IFERROR(__xludf.DUMMYFUNCTION("""COMPUTED_VALUE"""),0.35)</f>
        <v>0.35</v>
      </c>
      <c r="W386" s="1">
        <f ca="1">IFERROR(__xludf.DUMMYFUNCTION("""COMPUTED_VALUE"""),540)</f>
        <v>540</v>
      </c>
      <c r="X386" s="1">
        <f ca="1">IFERROR(__xludf.DUMMYFUNCTION("""COMPUTED_VALUE"""),735)</f>
        <v>735</v>
      </c>
      <c r="Y386" s="1">
        <f ca="1">IFERROR(__xludf.DUMMYFUNCTION("""COMPUTED_VALUE"""),0.735)</f>
        <v>0.73499999999999999</v>
      </c>
      <c r="Z386" s="1">
        <f ca="1">IFERROR(__xludf.DUMMYFUNCTION("""COMPUTED_VALUE"""),297)</f>
        <v>297</v>
      </c>
      <c r="AA386" s="1">
        <f ca="1">IFERROR(__xludf.DUMMYFUNCTION("""COMPUTED_VALUE"""),1065)</f>
        <v>1065</v>
      </c>
      <c r="AB386" s="1">
        <f ca="1">IFERROR(__xludf.DUMMYFUNCTION("""COMPUTED_VALUE"""),499)</f>
        <v>499</v>
      </c>
      <c r="AC386" s="1">
        <f ca="1">IFERROR(__xludf.DUMMYFUNCTION("""COMPUTED_VALUE"""),213)</f>
        <v>213</v>
      </c>
      <c r="AD386" s="1">
        <f ca="1">IFERROR(__xludf.DUMMYFUNCTION("""COMPUTED_VALUE"""),86)</f>
        <v>86</v>
      </c>
      <c r="AE386" s="1">
        <f ca="1">IFERROR(__xludf.DUMMYFUNCTION("""COMPUTED_VALUE"""),357)</f>
        <v>357</v>
      </c>
      <c r="AF386" s="1">
        <f ca="1">IFERROR(__xludf.DUMMYFUNCTION("""COMPUTED_VALUE"""),607)</f>
        <v>607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F382"/>
  <sheetViews>
    <sheetView workbookViewId="0">
      <selection activeCell="P1" sqref="P1:P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IFERROR(__xludf.DUMMYFUNCTION("""COMPUTED_VALUE"""),"Air Force")</f>
        <v>Air Force</v>
      </c>
      <c r="B2" s="1">
        <f ca="1">IFERROR(__xludf.DUMMYFUNCTION("""COMPUTED_VALUE"""),32)</f>
        <v>32</v>
      </c>
      <c r="C2" s="1">
        <f ca="1">IFERROR(__xludf.DUMMYFUNCTION("""COMPUTED_VALUE"""),18)</f>
        <v>18</v>
      </c>
      <c r="D2" s="1">
        <f ca="1">IFERROR(__xludf.DUMMYFUNCTION("""COMPUTED_VALUE"""),14)</f>
        <v>14</v>
      </c>
      <c r="E2" s="1">
        <f ca="1">IFERROR(__xludf.DUMMYFUNCTION("""COMPUTED_VALUE"""),0.563)</f>
        <v>0.56299999999999994</v>
      </c>
      <c r="F2" s="1">
        <f ca="1">IFERROR(__xludf.DUMMYFUNCTION("""COMPUTED_VALUE"""),4.18)</f>
        <v>4.18</v>
      </c>
      <c r="G2" s="1">
        <f ca="1">IFERROR(__xludf.DUMMYFUNCTION("""COMPUTED_VALUE"""),4.28)</f>
        <v>4.28</v>
      </c>
      <c r="H2" s="1">
        <f ca="1">IFERROR(__xludf.DUMMYFUNCTION("""COMPUTED_VALUE"""),8)</f>
        <v>8</v>
      </c>
      <c r="I2" s="1">
        <f ca="1">IFERROR(__xludf.DUMMYFUNCTION("""COMPUTED_VALUE"""),8)</f>
        <v>8</v>
      </c>
      <c r="J2" s="1">
        <f ca="1">IFERROR(__xludf.DUMMYFUNCTION("""COMPUTED_VALUE"""),13)</f>
        <v>13</v>
      </c>
      <c r="K2" s="1">
        <f ca="1">IFERROR(__xludf.DUMMYFUNCTION("""COMPUTED_VALUE"""),2)</f>
        <v>2</v>
      </c>
      <c r="L2" s="1">
        <f ca="1">IFERROR(__xludf.DUMMYFUNCTION("""COMPUTED_VALUE"""),3)</f>
        <v>3</v>
      </c>
      <c r="M2" s="1">
        <f ca="1">IFERROR(__xludf.DUMMYFUNCTION("""COMPUTED_VALUE"""),11)</f>
        <v>11</v>
      </c>
      <c r="N2" s="1">
        <f ca="1">IFERROR(__xludf.DUMMYFUNCTION("""COMPUTED_VALUE"""),2241)</f>
        <v>2241</v>
      </c>
      <c r="O2" s="1">
        <f ca="1">IFERROR(__xludf.DUMMYFUNCTION("""COMPUTED_VALUE"""),2170)</f>
        <v>2170</v>
      </c>
      <c r="P2" s="1">
        <f ca="1">IFERROR(__xludf.DUMMYFUNCTION("""COMPUTED_VALUE"""),1285)</f>
        <v>1285</v>
      </c>
      <c r="Q2" s="1">
        <f ca="1">IFERROR(__xludf.DUMMYFUNCTION("""COMPUTED_VALUE"""),795)</f>
        <v>795</v>
      </c>
      <c r="R2" s="1">
        <f ca="1">IFERROR(__xludf.DUMMYFUNCTION("""COMPUTED_VALUE"""),1690)</f>
        <v>1690</v>
      </c>
      <c r="S2" s="1">
        <f ca="1">IFERROR(__xludf.DUMMYFUNCTION("""COMPUTED_VALUE"""),0.47)</f>
        <v>0.47</v>
      </c>
      <c r="T2" s="1">
        <f ca="1">IFERROR(__xludf.DUMMYFUNCTION("""COMPUTED_VALUE"""),272)</f>
        <v>272</v>
      </c>
      <c r="U2" s="1">
        <f ca="1">IFERROR(__xludf.DUMMYFUNCTION("""COMPUTED_VALUE"""),712)</f>
        <v>712</v>
      </c>
      <c r="V2" s="1">
        <f ca="1">IFERROR(__xludf.DUMMYFUNCTION("""COMPUTED_VALUE"""),0.382)</f>
        <v>0.38200000000000001</v>
      </c>
      <c r="W2" s="1">
        <f ca="1">IFERROR(__xludf.DUMMYFUNCTION("""COMPUTED_VALUE"""),379)</f>
        <v>379</v>
      </c>
      <c r="X2" s="1">
        <f ca="1">IFERROR(__xludf.DUMMYFUNCTION("""COMPUTED_VALUE"""),531)</f>
        <v>531</v>
      </c>
      <c r="Y2" s="1">
        <f ca="1">IFERROR(__xludf.DUMMYFUNCTION("""COMPUTED_VALUE"""),0.714)</f>
        <v>0.71399999999999997</v>
      </c>
      <c r="Z2" s="1">
        <f ca="1">IFERROR(__xludf.DUMMYFUNCTION("""COMPUTED_VALUE"""),240)</f>
        <v>240</v>
      </c>
      <c r="AA2" s="1">
        <f ca="1">IFERROR(__xludf.DUMMYFUNCTION("""COMPUTED_VALUE"""),889)</f>
        <v>889</v>
      </c>
      <c r="AB2" s="1">
        <f ca="1">IFERROR(__xludf.DUMMYFUNCTION("""COMPUTED_VALUE"""),508)</f>
        <v>508</v>
      </c>
      <c r="AC2" s="1">
        <f ca="1">IFERROR(__xludf.DUMMYFUNCTION("""COMPUTED_VALUE"""),206)</f>
        <v>206</v>
      </c>
      <c r="AD2" s="1">
        <f ca="1">IFERROR(__xludf.DUMMYFUNCTION("""COMPUTED_VALUE"""),55)</f>
        <v>55</v>
      </c>
      <c r="AE2" s="1">
        <f ca="1">IFERROR(__xludf.DUMMYFUNCTION("""COMPUTED_VALUE"""),380)</f>
        <v>380</v>
      </c>
      <c r="AF2" s="1">
        <f ca="1">IFERROR(__xludf.DUMMYFUNCTION("""COMPUTED_VALUE"""),557)</f>
        <v>557</v>
      </c>
    </row>
    <row r="3" spans="1:32" ht="15.75" customHeight="1" x14ac:dyDescent="0.25">
      <c r="A3" s="1" t="str">
        <f ca="1">IFERROR(__xludf.DUMMYFUNCTION("""COMPUTED_VALUE"""),"AkronNCAA")</f>
        <v>AkronNCAA</v>
      </c>
      <c r="B3" s="1">
        <f ca="1">IFERROR(__xludf.DUMMYFUNCTION("""COMPUTED_VALUE"""),33)</f>
        <v>33</v>
      </c>
      <c r="C3" s="1">
        <f ca="1">IFERROR(__xludf.DUMMYFUNCTION("""COMPUTED_VALUE"""),26)</f>
        <v>26</v>
      </c>
      <c r="D3" s="1">
        <f ca="1">IFERROR(__xludf.DUMMYFUNCTION("""COMPUTED_VALUE"""),7)</f>
        <v>7</v>
      </c>
      <c r="E3" s="1">
        <f ca="1">IFERROR(__xludf.DUMMYFUNCTION("""COMPUTED_VALUE"""),0.788)</f>
        <v>0.78800000000000003</v>
      </c>
      <c r="F3" s="1">
        <f ca="1">IFERROR(__xludf.DUMMYFUNCTION("""COMPUTED_VALUE"""),8.11)</f>
        <v>8.11</v>
      </c>
      <c r="G3" s="1">
        <f ca="1">IFERROR(__xludf.DUMMYFUNCTION("""COMPUTED_VALUE"""),0.18)</f>
        <v>0.18</v>
      </c>
      <c r="H3" s="1">
        <f ca="1">IFERROR(__xludf.DUMMYFUNCTION("""COMPUTED_VALUE"""),14)</f>
        <v>14</v>
      </c>
      <c r="I3" s="1">
        <f ca="1">IFERROR(__xludf.DUMMYFUNCTION("""COMPUTED_VALUE"""),2)</f>
        <v>2</v>
      </c>
      <c r="J3" s="1">
        <f ca="1">IFERROR(__xludf.DUMMYFUNCTION("""COMPUTED_VALUE"""),15)</f>
        <v>15</v>
      </c>
      <c r="K3" s="1">
        <f ca="1">IFERROR(__xludf.DUMMYFUNCTION("""COMPUTED_VALUE"""),1)</f>
        <v>1</v>
      </c>
      <c r="L3" s="1">
        <f ca="1">IFERROR(__xludf.DUMMYFUNCTION("""COMPUTED_VALUE"""),7)</f>
        <v>7</v>
      </c>
      <c r="M3" s="1">
        <f ca="1">IFERROR(__xludf.DUMMYFUNCTION("""COMPUTED_VALUE"""),4)</f>
        <v>4</v>
      </c>
      <c r="N3" s="1">
        <f ca="1">IFERROR(__xludf.DUMMYFUNCTION("""COMPUTED_VALUE"""),2369)</f>
        <v>2369</v>
      </c>
      <c r="O3" s="1">
        <f ca="1">IFERROR(__xludf.DUMMYFUNCTION("""COMPUTED_VALUE"""),2071)</f>
        <v>2071</v>
      </c>
      <c r="P3" s="1">
        <f ca="1">IFERROR(__xludf.DUMMYFUNCTION("""COMPUTED_VALUE"""),1340)</f>
        <v>1340</v>
      </c>
      <c r="Q3" s="1">
        <f ca="1">IFERROR(__xludf.DUMMYFUNCTION("""COMPUTED_VALUE"""),852)</f>
        <v>852</v>
      </c>
      <c r="R3" s="1">
        <f ca="1">IFERROR(__xludf.DUMMYFUNCTION("""COMPUTED_VALUE"""),1874)</f>
        <v>1874</v>
      </c>
      <c r="S3" s="1">
        <f ca="1">IFERROR(__xludf.DUMMYFUNCTION("""COMPUTED_VALUE"""),0.455)</f>
        <v>0.45500000000000002</v>
      </c>
      <c r="T3" s="1">
        <f ca="1">IFERROR(__xludf.DUMMYFUNCTION("""COMPUTED_VALUE"""),229)</f>
        <v>229</v>
      </c>
      <c r="U3" s="1">
        <f ca="1">IFERROR(__xludf.DUMMYFUNCTION("""COMPUTED_VALUE"""),689)</f>
        <v>689</v>
      </c>
      <c r="V3" s="1">
        <f ca="1">IFERROR(__xludf.DUMMYFUNCTION("""COMPUTED_VALUE"""),0.332)</f>
        <v>0.33200000000000002</v>
      </c>
      <c r="W3" s="1">
        <f ca="1">IFERROR(__xludf.DUMMYFUNCTION("""COMPUTED_VALUE"""),436)</f>
        <v>436</v>
      </c>
      <c r="X3" s="1">
        <f ca="1">IFERROR(__xludf.DUMMYFUNCTION("""COMPUTED_VALUE"""),678)</f>
        <v>678</v>
      </c>
      <c r="Y3" s="1">
        <f ca="1">IFERROR(__xludf.DUMMYFUNCTION("""COMPUTED_VALUE"""),0.643)</f>
        <v>0.64300000000000002</v>
      </c>
      <c r="Z3" s="1">
        <f ca="1">IFERROR(__xludf.DUMMYFUNCTION("""COMPUTED_VALUE"""),425)</f>
        <v>425</v>
      </c>
      <c r="AA3" s="1">
        <f ca="1">IFERROR(__xludf.DUMMYFUNCTION("""COMPUTED_VALUE"""),1145)</f>
        <v>1145</v>
      </c>
      <c r="AB3" s="1">
        <f ca="1">IFERROR(__xludf.DUMMYFUNCTION("""COMPUTED_VALUE"""),485)</f>
        <v>485</v>
      </c>
      <c r="AC3" s="1">
        <f ca="1">IFERROR(__xludf.DUMMYFUNCTION("""COMPUTED_VALUE"""),231)</f>
        <v>231</v>
      </c>
      <c r="AD3" s="1">
        <f ca="1">IFERROR(__xludf.DUMMYFUNCTION("""COMPUTED_VALUE"""),189)</f>
        <v>189</v>
      </c>
      <c r="AE3" s="1">
        <f ca="1">IFERROR(__xludf.DUMMYFUNCTION("""COMPUTED_VALUE"""),458)</f>
        <v>458</v>
      </c>
      <c r="AF3" s="1">
        <f ca="1">IFERROR(__xludf.DUMMYFUNCTION("""COMPUTED_VALUE"""),577)</f>
        <v>577</v>
      </c>
    </row>
    <row r="4" spans="1:32" ht="15.75" customHeight="1" x14ac:dyDescent="0.25">
      <c r="A4" s="1" t="str">
        <f ca="1">IFERROR(__xludf.DUMMYFUNCTION("""COMPUTED_VALUE"""),"Alabama A&amp;M")</f>
        <v>Alabama A&amp;M</v>
      </c>
      <c r="B4" s="1">
        <f ca="1">IFERROR(__xludf.DUMMYFUNCTION("""COMPUTED_VALUE"""),31)</f>
        <v>31</v>
      </c>
      <c r="C4" s="1">
        <f ca="1">IFERROR(__xludf.DUMMYFUNCTION("""COMPUTED_VALUE"""),11)</f>
        <v>11</v>
      </c>
      <c r="D4" s="1">
        <f ca="1">IFERROR(__xludf.DUMMYFUNCTION("""COMPUTED_VALUE"""),20)</f>
        <v>20</v>
      </c>
      <c r="E4" s="1">
        <f ca="1">IFERROR(__xludf.DUMMYFUNCTION("""COMPUTED_VALUE"""),0.355)</f>
        <v>0.35499999999999998</v>
      </c>
      <c r="F4" s="1">
        <f ca="1">IFERROR(__xludf.DUMMYFUNCTION("""COMPUTED_VALUE"""),-18.4)</f>
        <v>-18.399999999999999</v>
      </c>
      <c r="G4" s="1">
        <f ca="1">IFERROR(__xludf.DUMMYFUNCTION("""COMPUTED_VALUE"""),-9.82)</f>
        <v>-9.82</v>
      </c>
      <c r="H4" s="1">
        <f ca="1">IFERROR(__xludf.DUMMYFUNCTION("""COMPUTED_VALUE"""),6)</f>
        <v>6</v>
      </c>
      <c r="I4" s="1">
        <f ca="1">IFERROR(__xludf.DUMMYFUNCTION("""COMPUTED_VALUE"""),12)</f>
        <v>12</v>
      </c>
      <c r="J4" s="1">
        <f ca="1">IFERROR(__xludf.DUMMYFUNCTION("""COMPUTED_VALUE"""),7)</f>
        <v>7</v>
      </c>
      <c r="K4" s="1">
        <f ca="1">IFERROR(__xludf.DUMMYFUNCTION("""COMPUTED_VALUE"""),6)</f>
        <v>6</v>
      </c>
      <c r="L4" s="1">
        <f ca="1">IFERROR(__xludf.DUMMYFUNCTION("""COMPUTED_VALUE"""),3)</f>
        <v>3</v>
      </c>
      <c r="M4" s="1">
        <f ca="1">IFERROR(__xludf.DUMMYFUNCTION("""COMPUTED_VALUE"""),12)</f>
        <v>12</v>
      </c>
      <c r="N4" s="1">
        <f ca="1">IFERROR(__xludf.DUMMYFUNCTION("""COMPUTED_VALUE"""),1957)</f>
        <v>1957</v>
      </c>
      <c r="O4" s="1">
        <f ca="1">IFERROR(__xludf.DUMMYFUNCTION("""COMPUTED_VALUE"""),2160)</f>
        <v>2160</v>
      </c>
      <c r="P4" s="1">
        <f ca="1">IFERROR(__xludf.DUMMYFUNCTION("""COMPUTED_VALUE"""),1255)</f>
        <v>1255</v>
      </c>
      <c r="Q4" s="1">
        <f ca="1">IFERROR(__xludf.DUMMYFUNCTION("""COMPUTED_VALUE"""),696)</f>
        <v>696</v>
      </c>
      <c r="R4" s="1">
        <f ca="1">IFERROR(__xludf.DUMMYFUNCTION("""COMPUTED_VALUE"""),1746)</f>
        <v>1746</v>
      </c>
      <c r="S4" s="1">
        <f ca="1">IFERROR(__xludf.DUMMYFUNCTION("""COMPUTED_VALUE"""),0.399)</f>
        <v>0.39900000000000002</v>
      </c>
      <c r="T4" s="1">
        <f ca="1">IFERROR(__xludf.DUMMYFUNCTION("""COMPUTED_VALUE"""),155)</f>
        <v>155</v>
      </c>
      <c r="U4" s="1">
        <f ca="1">IFERROR(__xludf.DUMMYFUNCTION("""COMPUTED_VALUE"""),528)</f>
        <v>528</v>
      </c>
      <c r="V4" s="1">
        <f ca="1">IFERROR(__xludf.DUMMYFUNCTION("""COMPUTED_VALUE"""),0.294)</f>
        <v>0.29399999999999998</v>
      </c>
      <c r="W4" s="1">
        <f ca="1">IFERROR(__xludf.DUMMYFUNCTION("""COMPUTED_VALUE"""),410)</f>
        <v>410</v>
      </c>
      <c r="X4" s="1">
        <f ca="1">IFERROR(__xludf.DUMMYFUNCTION("""COMPUTED_VALUE"""),651)</f>
        <v>651</v>
      </c>
      <c r="Y4" s="1">
        <f ca="1">IFERROR(__xludf.DUMMYFUNCTION("""COMPUTED_VALUE"""),0.63)</f>
        <v>0.63</v>
      </c>
      <c r="Z4" s="1">
        <f ca="1">IFERROR(__xludf.DUMMYFUNCTION("""COMPUTED_VALUE"""),377)</f>
        <v>377</v>
      </c>
      <c r="AA4" s="1">
        <f ca="1">IFERROR(__xludf.DUMMYFUNCTION("""COMPUTED_VALUE"""),992)</f>
        <v>992</v>
      </c>
      <c r="AB4" s="1">
        <f ca="1">IFERROR(__xludf.DUMMYFUNCTION("""COMPUTED_VALUE"""),367)</f>
        <v>367</v>
      </c>
      <c r="AC4" s="1">
        <f ca="1">IFERROR(__xludf.DUMMYFUNCTION("""COMPUTED_VALUE"""),182)</f>
        <v>182</v>
      </c>
      <c r="AD4" s="1">
        <f ca="1">IFERROR(__xludf.DUMMYFUNCTION("""COMPUTED_VALUE"""),102)</f>
        <v>102</v>
      </c>
      <c r="AE4" s="1">
        <f ca="1">IFERROR(__xludf.DUMMYFUNCTION("""COMPUTED_VALUE"""),444)</f>
        <v>444</v>
      </c>
      <c r="AF4" s="1">
        <f ca="1">IFERROR(__xludf.DUMMYFUNCTION("""COMPUTED_VALUE"""),550)</f>
        <v>550</v>
      </c>
    </row>
    <row r="5" spans="1:32" ht="15.75" customHeight="1" x14ac:dyDescent="0.25">
      <c r="A5" s="1" t="str">
        <f ca="1">IFERROR(__xludf.DUMMYFUNCTION("""COMPUTED_VALUE"""),"Alabama-Birmingham")</f>
        <v>Alabama-Birmingham</v>
      </c>
      <c r="B5" s="1">
        <f ca="1">IFERROR(__xludf.DUMMYFUNCTION("""COMPUTED_VALUE"""),33)</f>
        <v>33</v>
      </c>
      <c r="C5" s="1">
        <f ca="1">IFERROR(__xludf.DUMMYFUNCTION("""COMPUTED_VALUE"""),16)</f>
        <v>16</v>
      </c>
      <c r="D5" s="1">
        <f ca="1">IFERROR(__xludf.DUMMYFUNCTION("""COMPUTED_VALUE"""),17)</f>
        <v>17</v>
      </c>
      <c r="E5" s="1">
        <f ca="1">IFERROR(__xludf.DUMMYFUNCTION("""COMPUTED_VALUE"""),0.485)</f>
        <v>0.48499999999999999</v>
      </c>
      <c r="F5" s="1">
        <f ca="1">IFERROR(__xludf.DUMMYFUNCTION("""COMPUTED_VALUE"""),0.26)</f>
        <v>0.26</v>
      </c>
      <c r="G5" s="1">
        <f ca="1">IFERROR(__xludf.DUMMYFUNCTION("""COMPUTED_VALUE"""),1.51)</f>
        <v>1.51</v>
      </c>
      <c r="H5" s="1">
        <f ca="1">IFERROR(__xludf.DUMMYFUNCTION("""COMPUTED_VALUE"""),7)</f>
        <v>7</v>
      </c>
      <c r="I5" s="1">
        <f ca="1">IFERROR(__xludf.DUMMYFUNCTION("""COMPUTED_VALUE"""),9)</f>
        <v>9</v>
      </c>
      <c r="J5" s="1">
        <f ca="1">IFERROR(__xludf.DUMMYFUNCTION("""COMPUTED_VALUE"""),11)</f>
        <v>11</v>
      </c>
      <c r="K5" s="1">
        <f ca="1">IFERROR(__xludf.DUMMYFUNCTION("""COMPUTED_VALUE"""),4)</f>
        <v>4</v>
      </c>
      <c r="L5" s="1">
        <f ca="1">IFERROR(__xludf.DUMMYFUNCTION("""COMPUTED_VALUE"""),4)</f>
        <v>4</v>
      </c>
      <c r="M5" s="1">
        <f ca="1">IFERROR(__xludf.DUMMYFUNCTION("""COMPUTED_VALUE"""),10)</f>
        <v>10</v>
      </c>
      <c r="N5" s="1">
        <f ca="1">IFERROR(__xludf.DUMMYFUNCTION("""COMPUTED_VALUE"""),2357)</f>
        <v>2357</v>
      </c>
      <c r="O5" s="1">
        <f ca="1">IFERROR(__xludf.DUMMYFUNCTION("""COMPUTED_VALUE"""),2351)</f>
        <v>2351</v>
      </c>
      <c r="P5" s="1">
        <f ca="1">IFERROR(__xludf.DUMMYFUNCTION("""COMPUTED_VALUE"""),1325)</f>
        <v>1325</v>
      </c>
      <c r="Q5" s="1">
        <f ca="1">IFERROR(__xludf.DUMMYFUNCTION("""COMPUTED_VALUE"""),857)</f>
        <v>857</v>
      </c>
      <c r="R5" s="1">
        <f ca="1">IFERROR(__xludf.DUMMYFUNCTION("""COMPUTED_VALUE"""),1980)</f>
        <v>1980</v>
      </c>
      <c r="S5" s="1">
        <f ca="1">IFERROR(__xludf.DUMMYFUNCTION("""COMPUTED_VALUE"""),0.433)</f>
        <v>0.433</v>
      </c>
      <c r="T5" s="1">
        <f ca="1">IFERROR(__xludf.DUMMYFUNCTION("""COMPUTED_VALUE"""),219)</f>
        <v>219</v>
      </c>
      <c r="U5" s="1">
        <f ca="1">IFERROR(__xludf.DUMMYFUNCTION("""COMPUTED_VALUE"""),655)</f>
        <v>655</v>
      </c>
      <c r="V5" s="1">
        <f ca="1">IFERROR(__xludf.DUMMYFUNCTION("""COMPUTED_VALUE"""),0.334)</f>
        <v>0.33400000000000002</v>
      </c>
      <c r="W5" s="1">
        <f ca="1">IFERROR(__xludf.DUMMYFUNCTION("""COMPUTED_VALUE"""),424)</f>
        <v>424</v>
      </c>
      <c r="X5" s="1">
        <f ca="1">IFERROR(__xludf.DUMMYFUNCTION("""COMPUTED_VALUE"""),586)</f>
        <v>586</v>
      </c>
      <c r="Y5" s="1">
        <f ca="1">IFERROR(__xludf.DUMMYFUNCTION("""COMPUTED_VALUE"""),0.724)</f>
        <v>0.72399999999999998</v>
      </c>
      <c r="Z5" s="1">
        <f ca="1">IFERROR(__xludf.DUMMYFUNCTION("""COMPUTED_VALUE"""),408)</f>
        <v>408</v>
      </c>
      <c r="AA5" s="1">
        <f ca="1">IFERROR(__xludf.DUMMYFUNCTION("""COMPUTED_VALUE"""),1078)</f>
        <v>1078</v>
      </c>
      <c r="AB5" s="1">
        <f ca="1">IFERROR(__xludf.DUMMYFUNCTION("""COMPUTED_VALUE"""),529)</f>
        <v>529</v>
      </c>
      <c r="AC5" s="1">
        <f ca="1">IFERROR(__xludf.DUMMYFUNCTION("""COMPUTED_VALUE"""),269)</f>
        <v>269</v>
      </c>
      <c r="AD5" s="1">
        <f ca="1">IFERROR(__xludf.DUMMYFUNCTION("""COMPUTED_VALUE"""),85)</f>
        <v>85</v>
      </c>
      <c r="AE5" s="1">
        <f ca="1">IFERROR(__xludf.DUMMYFUNCTION("""COMPUTED_VALUE"""),510)</f>
        <v>510</v>
      </c>
      <c r="AF5" s="1">
        <f ca="1">IFERROR(__xludf.DUMMYFUNCTION("""COMPUTED_VALUE"""),621)</f>
        <v>621</v>
      </c>
    </row>
    <row r="6" spans="1:32" ht="15.75" customHeight="1" x14ac:dyDescent="0.25">
      <c r="A6" s="1" t="str">
        <f ca="1">IFERROR(__xludf.DUMMYFUNCTION("""COMPUTED_VALUE"""),"Alabama State")</f>
        <v>Alabama State</v>
      </c>
      <c r="B6" s="1">
        <f ca="1">IFERROR(__xludf.DUMMYFUNCTION("""COMPUTED_VALUE"""),32)</f>
        <v>32</v>
      </c>
      <c r="C6" s="1">
        <f ca="1">IFERROR(__xludf.DUMMYFUNCTION("""COMPUTED_VALUE"""),10)</f>
        <v>10</v>
      </c>
      <c r="D6" s="1">
        <f ca="1">IFERROR(__xludf.DUMMYFUNCTION("""COMPUTED_VALUE"""),22)</f>
        <v>22</v>
      </c>
      <c r="E6" s="1">
        <f ca="1">IFERROR(__xludf.DUMMYFUNCTION("""COMPUTED_VALUE"""),0.313)</f>
        <v>0.313</v>
      </c>
      <c r="F6" s="1">
        <f ca="1">IFERROR(__xludf.DUMMYFUNCTION("""COMPUTED_VALUE"""),-17.88)</f>
        <v>-17.88</v>
      </c>
      <c r="G6" s="1">
        <f ca="1">IFERROR(__xludf.DUMMYFUNCTION("""COMPUTED_VALUE"""),-9.01)</f>
        <v>-9.01</v>
      </c>
      <c r="H6" s="1">
        <f ca="1">IFERROR(__xludf.DUMMYFUNCTION("""COMPUTED_VALUE"""),8)</f>
        <v>8</v>
      </c>
      <c r="I6" s="1">
        <f ca="1">IFERROR(__xludf.DUMMYFUNCTION("""COMPUTED_VALUE"""),10)</f>
        <v>10</v>
      </c>
      <c r="J6" s="1">
        <f ca="1">IFERROR(__xludf.DUMMYFUNCTION("""COMPUTED_VALUE"""),7)</f>
        <v>7</v>
      </c>
      <c r="K6" s="1">
        <f ca="1">IFERROR(__xludf.DUMMYFUNCTION("""COMPUTED_VALUE"""),5)</f>
        <v>5</v>
      </c>
      <c r="L6" s="1">
        <f ca="1">IFERROR(__xludf.DUMMYFUNCTION("""COMPUTED_VALUE"""),3)</f>
        <v>3</v>
      </c>
      <c r="M6" s="1">
        <f ca="1">IFERROR(__xludf.DUMMYFUNCTION("""COMPUTED_VALUE"""),14)</f>
        <v>14</v>
      </c>
      <c r="N6" s="1">
        <f ca="1">IFERROR(__xludf.DUMMYFUNCTION("""COMPUTED_VALUE"""),1979)</f>
        <v>1979</v>
      </c>
      <c r="O6" s="1">
        <f ca="1">IFERROR(__xludf.DUMMYFUNCTION("""COMPUTED_VALUE"""),2231)</f>
        <v>2231</v>
      </c>
      <c r="P6" s="1">
        <f ca="1">IFERROR(__xludf.DUMMYFUNCTION("""COMPUTED_VALUE"""),1290)</f>
        <v>1290</v>
      </c>
      <c r="Q6" s="1">
        <f ca="1">IFERROR(__xludf.DUMMYFUNCTION("""COMPUTED_VALUE"""),734)</f>
        <v>734</v>
      </c>
      <c r="R6" s="1">
        <f ca="1">IFERROR(__xludf.DUMMYFUNCTION("""COMPUTED_VALUE"""),1800)</f>
        <v>1800</v>
      </c>
      <c r="S6" s="1">
        <f ca="1">IFERROR(__xludf.DUMMYFUNCTION("""COMPUTED_VALUE"""),0.408)</f>
        <v>0.40799999999999997</v>
      </c>
      <c r="T6" s="1">
        <f ca="1">IFERROR(__xludf.DUMMYFUNCTION("""COMPUTED_VALUE"""),168)</f>
        <v>168</v>
      </c>
      <c r="U6" s="1">
        <f ca="1">IFERROR(__xludf.DUMMYFUNCTION("""COMPUTED_VALUE"""),557)</f>
        <v>557</v>
      </c>
      <c r="V6" s="1">
        <f ca="1">IFERROR(__xludf.DUMMYFUNCTION("""COMPUTED_VALUE"""),0.302)</f>
        <v>0.30199999999999999</v>
      </c>
      <c r="W6" s="1">
        <f ca="1">IFERROR(__xludf.DUMMYFUNCTION("""COMPUTED_VALUE"""),343)</f>
        <v>343</v>
      </c>
      <c r="X6" s="1">
        <f ca="1">IFERROR(__xludf.DUMMYFUNCTION("""COMPUTED_VALUE"""),575)</f>
        <v>575</v>
      </c>
      <c r="Y6" s="1">
        <f ca="1">IFERROR(__xludf.DUMMYFUNCTION("""COMPUTED_VALUE"""),0.597)</f>
        <v>0.59699999999999998</v>
      </c>
      <c r="Z6" s="1">
        <f ca="1">IFERROR(__xludf.DUMMYFUNCTION("""COMPUTED_VALUE"""),398)</f>
        <v>398</v>
      </c>
      <c r="AA6" s="1">
        <f ca="1">IFERROR(__xludf.DUMMYFUNCTION("""COMPUTED_VALUE"""),1025)</f>
        <v>1025</v>
      </c>
      <c r="AB6" s="1">
        <f ca="1">IFERROR(__xludf.DUMMYFUNCTION("""COMPUTED_VALUE"""),371)</f>
        <v>371</v>
      </c>
      <c r="AC6" s="1">
        <f ca="1">IFERROR(__xludf.DUMMYFUNCTION("""COMPUTED_VALUE"""),202)</f>
        <v>202</v>
      </c>
      <c r="AD6" s="1">
        <f ca="1">IFERROR(__xludf.DUMMYFUNCTION("""COMPUTED_VALUE"""),103)</f>
        <v>103</v>
      </c>
      <c r="AE6" s="1">
        <f ca="1">IFERROR(__xludf.DUMMYFUNCTION("""COMPUTED_VALUE"""),479)</f>
        <v>479</v>
      </c>
      <c r="AF6" s="1">
        <f ca="1">IFERROR(__xludf.DUMMYFUNCTION("""COMPUTED_VALUE"""),598)</f>
        <v>598</v>
      </c>
    </row>
    <row r="7" spans="1:32" ht="15.75" customHeight="1" x14ac:dyDescent="0.25">
      <c r="A7" s="1" t="str">
        <f ca="1">IFERROR(__xludf.DUMMYFUNCTION("""COMPUTED_VALUE"""),"Alabama")</f>
        <v>Alabama</v>
      </c>
      <c r="B7" s="1">
        <f ca="1">IFERROR(__xludf.DUMMYFUNCTION("""COMPUTED_VALUE"""),36)</f>
        <v>36</v>
      </c>
      <c r="C7" s="1">
        <f ca="1">IFERROR(__xludf.DUMMYFUNCTION("""COMPUTED_VALUE"""),23)</f>
        <v>23</v>
      </c>
      <c r="D7" s="1">
        <f ca="1">IFERROR(__xludf.DUMMYFUNCTION("""COMPUTED_VALUE"""),13)</f>
        <v>13</v>
      </c>
      <c r="E7" s="1">
        <f ca="1">IFERROR(__xludf.DUMMYFUNCTION("""COMPUTED_VALUE"""),0.639)</f>
        <v>0.63900000000000001</v>
      </c>
      <c r="F7" s="1">
        <f ca="1">IFERROR(__xludf.DUMMYFUNCTION("""COMPUTED_VALUE"""),9.79)</f>
        <v>9.7899999999999991</v>
      </c>
      <c r="G7" s="1">
        <f ca="1">IFERROR(__xludf.DUMMYFUNCTION("""COMPUTED_VALUE"""),5.93)</f>
        <v>5.93</v>
      </c>
      <c r="H7" s="1">
        <f ca="1">IFERROR(__xludf.DUMMYFUNCTION("""COMPUTED_VALUE"""),12)</f>
        <v>12</v>
      </c>
      <c r="I7" s="1">
        <f ca="1">IFERROR(__xludf.DUMMYFUNCTION("""COMPUTED_VALUE"""),6)</f>
        <v>6</v>
      </c>
      <c r="J7" s="1">
        <f ca="1">IFERROR(__xludf.DUMMYFUNCTION("""COMPUTED_VALUE"""),16)</f>
        <v>16</v>
      </c>
      <c r="K7" s="1">
        <f ca="1">IFERROR(__xludf.DUMMYFUNCTION("""COMPUTED_VALUE"""),4)</f>
        <v>4</v>
      </c>
      <c r="L7" s="1">
        <f ca="1">IFERROR(__xludf.DUMMYFUNCTION("""COMPUTED_VALUE"""),4)</f>
        <v>4</v>
      </c>
      <c r="M7" s="1">
        <f ca="1">IFERROR(__xludf.DUMMYFUNCTION("""COMPUTED_VALUE"""),8)</f>
        <v>8</v>
      </c>
      <c r="N7" s="1">
        <f ca="1">IFERROR(__xludf.DUMMYFUNCTION("""COMPUTED_VALUE"""),2268)</f>
        <v>2268</v>
      </c>
      <c r="O7" s="1">
        <f ca="1">IFERROR(__xludf.DUMMYFUNCTION("""COMPUTED_VALUE"""),2102)</f>
        <v>2102</v>
      </c>
      <c r="P7" s="1">
        <f ca="1">IFERROR(__xludf.DUMMYFUNCTION("""COMPUTED_VALUE"""),1455)</f>
        <v>1455</v>
      </c>
      <c r="Q7" s="1">
        <f ca="1">IFERROR(__xludf.DUMMYFUNCTION("""COMPUTED_VALUE"""),808)</f>
        <v>808</v>
      </c>
      <c r="R7" s="1">
        <f ca="1">IFERROR(__xludf.DUMMYFUNCTION("""COMPUTED_VALUE"""),1887)</f>
        <v>1887</v>
      </c>
      <c r="S7" s="1">
        <f ca="1">IFERROR(__xludf.DUMMYFUNCTION("""COMPUTED_VALUE"""),0.428)</f>
        <v>0.42799999999999999</v>
      </c>
      <c r="T7" s="1">
        <f ca="1">IFERROR(__xludf.DUMMYFUNCTION("""COMPUTED_VALUE"""),197)</f>
        <v>197</v>
      </c>
      <c r="U7" s="1">
        <f ca="1">IFERROR(__xludf.DUMMYFUNCTION("""COMPUTED_VALUE"""),588)</f>
        <v>588</v>
      </c>
      <c r="V7" s="1">
        <f ca="1">IFERROR(__xludf.DUMMYFUNCTION("""COMPUTED_VALUE"""),0.335)</f>
        <v>0.33500000000000002</v>
      </c>
      <c r="W7" s="1">
        <f ca="1">IFERROR(__xludf.DUMMYFUNCTION("""COMPUTED_VALUE"""),455)</f>
        <v>455</v>
      </c>
      <c r="X7" s="1">
        <f ca="1">IFERROR(__xludf.DUMMYFUNCTION("""COMPUTED_VALUE"""),648)</f>
        <v>648</v>
      </c>
      <c r="Y7" s="1">
        <f ca="1">IFERROR(__xludf.DUMMYFUNCTION("""COMPUTED_VALUE"""),0.702)</f>
        <v>0.70199999999999996</v>
      </c>
      <c r="Z7" s="1">
        <f ca="1">IFERROR(__xludf.DUMMYFUNCTION("""COMPUTED_VALUE"""),381)</f>
        <v>381</v>
      </c>
      <c r="AA7" s="1">
        <f ca="1">IFERROR(__xludf.DUMMYFUNCTION("""COMPUTED_VALUE"""),1051)</f>
        <v>1051</v>
      </c>
      <c r="AB7" s="1">
        <f ca="1">IFERROR(__xludf.DUMMYFUNCTION("""COMPUTED_VALUE"""),380)</f>
        <v>380</v>
      </c>
      <c r="AC7" s="1">
        <f ca="1">IFERROR(__xludf.DUMMYFUNCTION("""COMPUTED_VALUE"""),294)</f>
        <v>294</v>
      </c>
      <c r="AD7" s="1">
        <f ca="1">IFERROR(__xludf.DUMMYFUNCTION("""COMPUTED_VALUE"""),160)</f>
        <v>160</v>
      </c>
      <c r="AE7" s="1">
        <f ca="1">IFERROR(__xludf.DUMMYFUNCTION("""COMPUTED_VALUE"""),451)</f>
        <v>451</v>
      </c>
      <c r="AF7" s="1">
        <f ca="1">IFERROR(__xludf.DUMMYFUNCTION("""COMPUTED_VALUE"""),619)</f>
        <v>619</v>
      </c>
    </row>
    <row r="8" spans="1:32" ht="15.75" customHeight="1" x14ac:dyDescent="0.25">
      <c r="A8" s="1" t="str">
        <f ca="1">IFERROR(__xludf.DUMMYFUNCTION("""COMPUTED_VALUE"""),"Albany (NY)NCAA")</f>
        <v>Albany (NY)NCAA</v>
      </c>
      <c r="B8" s="1">
        <f ca="1">IFERROR(__xludf.DUMMYFUNCTION("""COMPUTED_VALUE"""),35)</f>
        <v>35</v>
      </c>
      <c r="C8" s="1">
        <f ca="1">IFERROR(__xludf.DUMMYFUNCTION("""COMPUTED_VALUE"""),24)</f>
        <v>24</v>
      </c>
      <c r="D8" s="1">
        <f ca="1">IFERROR(__xludf.DUMMYFUNCTION("""COMPUTED_VALUE"""),11)</f>
        <v>11</v>
      </c>
      <c r="E8" s="1">
        <f ca="1">IFERROR(__xludf.DUMMYFUNCTION("""COMPUTED_VALUE"""),0.686)</f>
        <v>0.68600000000000005</v>
      </c>
      <c r="F8" s="1">
        <f ca="1">IFERROR(__xludf.DUMMYFUNCTION("""COMPUTED_VALUE"""),-0.87)</f>
        <v>-0.87</v>
      </c>
      <c r="G8" s="1">
        <f ca="1">IFERROR(__xludf.DUMMYFUNCTION("""COMPUTED_VALUE"""),-4.53)</f>
        <v>-4.53</v>
      </c>
      <c r="H8" s="1">
        <f ca="1">IFERROR(__xludf.DUMMYFUNCTION("""COMPUTED_VALUE"""),9)</f>
        <v>9</v>
      </c>
      <c r="I8" s="1">
        <f ca="1">IFERROR(__xludf.DUMMYFUNCTION("""COMPUTED_VALUE"""),7)</f>
        <v>7</v>
      </c>
      <c r="J8" s="1">
        <f ca="1">IFERROR(__xludf.DUMMYFUNCTION("""COMPUTED_VALUE"""),11)</f>
        <v>11</v>
      </c>
      <c r="K8" s="1">
        <f ca="1">IFERROR(__xludf.DUMMYFUNCTION("""COMPUTED_VALUE"""),4)</f>
        <v>4</v>
      </c>
      <c r="L8" s="1">
        <f ca="1">IFERROR(__xludf.DUMMYFUNCTION("""COMPUTED_VALUE"""),11)</f>
        <v>11</v>
      </c>
      <c r="M8" s="1">
        <f ca="1">IFERROR(__xludf.DUMMYFUNCTION("""COMPUTED_VALUE"""),5)</f>
        <v>5</v>
      </c>
      <c r="N8" s="1">
        <f ca="1">IFERROR(__xludf.DUMMYFUNCTION("""COMPUTED_VALUE"""),2251)</f>
        <v>2251</v>
      </c>
      <c r="O8" s="1">
        <f ca="1">IFERROR(__xludf.DUMMYFUNCTION("""COMPUTED_VALUE"""),2123)</f>
        <v>2123</v>
      </c>
      <c r="P8" s="1">
        <f ca="1">IFERROR(__xludf.DUMMYFUNCTION("""COMPUTED_VALUE"""),1405)</f>
        <v>1405</v>
      </c>
      <c r="Q8" s="1">
        <f ca="1">IFERROR(__xludf.DUMMYFUNCTION("""COMPUTED_VALUE"""),761)</f>
        <v>761</v>
      </c>
      <c r="R8" s="1">
        <f ca="1">IFERROR(__xludf.DUMMYFUNCTION("""COMPUTED_VALUE"""),1748)</f>
        <v>1748</v>
      </c>
      <c r="S8" s="1">
        <f ca="1">IFERROR(__xludf.DUMMYFUNCTION("""COMPUTED_VALUE"""),0.435)</f>
        <v>0.435</v>
      </c>
      <c r="T8" s="1">
        <f ca="1">IFERROR(__xludf.DUMMYFUNCTION("""COMPUTED_VALUE"""),213)</f>
        <v>213</v>
      </c>
      <c r="U8" s="1">
        <f ca="1">IFERROR(__xludf.DUMMYFUNCTION("""COMPUTED_VALUE"""),575)</f>
        <v>575</v>
      </c>
      <c r="V8" s="1">
        <f ca="1">IFERROR(__xludf.DUMMYFUNCTION("""COMPUTED_VALUE"""),0.37)</f>
        <v>0.37</v>
      </c>
      <c r="W8" s="1">
        <f ca="1">IFERROR(__xludf.DUMMYFUNCTION("""COMPUTED_VALUE"""),516)</f>
        <v>516</v>
      </c>
      <c r="X8" s="1">
        <f ca="1">IFERROR(__xludf.DUMMYFUNCTION("""COMPUTED_VALUE"""),700)</f>
        <v>700</v>
      </c>
      <c r="Y8" s="1">
        <f ca="1">IFERROR(__xludf.DUMMYFUNCTION("""COMPUTED_VALUE"""),0.737)</f>
        <v>0.73699999999999999</v>
      </c>
      <c r="Z8" s="1">
        <f ca="1">IFERROR(__xludf.DUMMYFUNCTION("""COMPUTED_VALUE"""),345)</f>
        <v>345</v>
      </c>
      <c r="AA8" s="1">
        <f ca="1">IFERROR(__xludf.DUMMYFUNCTION("""COMPUTED_VALUE"""),1022)</f>
        <v>1022</v>
      </c>
      <c r="AB8" s="1">
        <f ca="1">IFERROR(__xludf.DUMMYFUNCTION("""COMPUTED_VALUE"""),394)</f>
        <v>394</v>
      </c>
      <c r="AC8" s="1">
        <f ca="1">IFERROR(__xludf.DUMMYFUNCTION("""COMPUTED_VALUE"""),192)</f>
        <v>192</v>
      </c>
      <c r="AD8" s="1">
        <f ca="1">IFERROR(__xludf.DUMMYFUNCTION("""COMPUTED_VALUE"""),71)</f>
        <v>71</v>
      </c>
      <c r="AE8" s="1">
        <f ca="1">IFERROR(__xludf.DUMMYFUNCTION("""COMPUTED_VALUE"""),468)</f>
        <v>468</v>
      </c>
      <c r="AF8" s="1">
        <f ca="1">IFERROR(__xludf.DUMMYFUNCTION("""COMPUTED_VALUE"""),564)</f>
        <v>564</v>
      </c>
    </row>
    <row r="9" spans="1:32" ht="15.75" customHeight="1" x14ac:dyDescent="0.25">
      <c r="A9" s="1" t="str">
        <f ca="1">IFERROR(__xludf.DUMMYFUNCTION("""COMPUTED_VALUE"""),"Alcorn State")</f>
        <v>Alcorn State</v>
      </c>
      <c r="B9" s="1">
        <f ca="1">IFERROR(__xludf.DUMMYFUNCTION("""COMPUTED_VALUE"""),34)</f>
        <v>34</v>
      </c>
      <c r="C9" s="1">
        <f ca="1">IFERROR(__xludf.DUMMYFUNCTION("""COMPUTED_VALUE"""),10)</f>
        <v>10</v>
      </c>
      <c r="D9" s="1">
        <f ca="1">IFERROR(__xludf.DUMMYFUNCTION("""COMPUTED_VALUE"""),24)</f>
        <v>24</v>
      </c>
      <c r="E9" s="1">
        <f ca="1">IFERROR(__xludf.DUMMYFUNCTION("""COMPUTED_VALUE"""),0.294)</f>
        <v>0.29399999999999998</v>
      </c>
      <c r="F9" s="1">
        <f ca="1">IFERROR(__xludf.DUMMYFUNCTION("""COMPUTED_VALUE"""),-14.26)</f>
        <v>-14.26</v>
      </c>
      <c r="G9" s="1">
        <f ca="1">IFERROR(__xludf.DUMMYFUNCTION("""COMPUTED_VALUE"""),-7.11)</f>
        <v>-7.11</v>
      </c>
      <c r="H9" s="1">
        <f ca="1">IFERROR(__xludf.DUMMYFUNCTION("""COMPUTED_VALUE"""),8)</f>
        <v>8</v>
      </c>
      <c r="I9" s="1">
        <f ca="1">IFERROR(__xludf.DUMMYFUNCTION("""COMPUTED_VALUE"""),10)</f>
        <v>10</v>
      </c>
      <c r="J9" s="1">
        <f ca="1">IFERROR(__xludf.DUMMYFUNCTION("""COMPUTED_VALUE"""),5)</f>
        <v>5</v>
      </c>
      <c r="K9" s="1">
        <f ca="1">IFERROR(__xludf.DUMMYFUNCTION("""COMPUTED_VALUE"""),8)</f>
        <v>8</v>
      </c>
      <c r="L9" s="1">
        <f ca="1">IFERROR(__xludf.DUMMYFUNCTION("""COMPUTED_VALUE"""),4)</f>
        <v>4</v>
      </c>
      <c r="M9" s="1">
        <f ca="1">IFERROR(__xludf.DUMMYFUNCTION("""COMPUTED_VALUE"""),14)</f>
        <v>14</v>
      </c>
      <c r="N9" s="1">
        <f ca="1">IFERROR(__xludf.DUMMYFUNCTION("""COMPUTED_VALUE"""),2055)</f>
        <v>2055</v>
      </c>
      <c r="O9" s="1">
        <f ca="1">IFERROR(__xludf.DUMMYFUNCTION("""COMPUTED_VALUE"""),2248)</f>
        <v>2248</v>
      </c>
      <c r="P9" s="1">
        <f ca="1">IFERROR(__xludf.DUMMYFUNCTION("""COMPUTED_VALUE"""),1366)</f>
        <v>1366</v>
      </c>
      <c r="Q9" s="1">
        <f ca="1">IFERROR(__xludf.DUMMYFUNCTION("""COMPUTED_VALUE"""),726)</f>
        <v>726</v>
      </c>
      <c r="R9" s="1">
        <f ca="1">IFERROR(__xludf.DUMMYFUNCTION("""COMPUTED_VALUE"""),1888)</f>
        <v>1888</v>
      </c>
      <c r="S9" s="1">
        <f ca="1">IFERROR(__xludf.DUMMYFUNCTION("""COMPUTED_VALUE"""),0.385)</f>
        <v>0.38500000000000001</v>
      </c>
      <c r="T9" s="1">
        <f ca="1">IFERROR(__xludf.DUMMYFUNCTION("""COMPUTED_VALUE"""),165)</f>
        <v>165</v>
      </c>
      <c r="U9" s="1">
        <f ca="1">IFERROR(__xludf.DUMMYFUNCTION("""COMPUTED_VALUE"""),562)</f>
        <v>562</v>
      </c>
      <c r="V9" s="1">
        <f ca="1">IFERROR(__xludf.DUMMYFUNCTION("""COMPUTED_VALUE"""),0.294)</f>
        <v>0.29399999999999998</v>
      </c>
      <c r="W9" s="1">
        <f ca="1">IFERROR(__xludf.DUMMYFUNCTION("""COMPUTED_VALUE"""),438)</f>
        <v>438</v>
      </c>
      <c r="X9" s="1">
        <f ca="1">IFERROR(__xludf.DUMMYFUNCTION("""COMPUTED_VALUE"""),705)</f>
        <v>705</v>
      </c>
      <c r="Y9" s="1">
        <f ca="1">IFERROR(__xludf.DUMMYFUNCTION("""COMPUTED_VALUE"""),0.621)</f>
        <v>0.621</v>
      </c>
      <c r="Z9" s="1">
        <f ca="1">IFERROR(__xludf.DUMMYFUNCTION("""COMPUTED_VALUE"""),342)</f>
        <v>342</v>
      </c>
      <c r="AA9" s="1">
        <f ca="1">IFERROR(__xludf.DUMMYFUNCTION("""COMPUTED_VALUE"""),1025)</f>
        <v>1025</v>
      </c>
      <c r="AB9" s="1">
        <f ca="1">IFERROR(__xludf.DUMMYFUNCTION("""COMPUTED_VALUE"""),308)</f>
        <v>308</v>
      </c>
      <c r="AC9" s="1">
        <f ca="1">IFERROR(__xludf.DUMMYFUNCTION("""COMPUTED_VALUE"""),221)</f>
        <v>221</v>
      </c>
      <c r="AD9" s="1">
        <f ca="1">IFERROR(__xludf.DUMMYFUNCTION("""COMPUTED_VALUE"""),130)</f>
        <v>130</v>
      </c>
      <c r="AE9" s="1">
        <f ca="1">IFERROR(__xludf.DUMMYFUNCTION("""COMPUTED_VALUE"""),512)</f>
        <v>512</v>
      </c>
      <c r="AF9" s="1">
        <f ca="1">IFERROR(__xludf.DUMMYFUNCTION("""COMPUTED_VALUE"""),677)</f>
        <v>677</v>
      </c>
    </row>
    <row r="10" spans="1:32" ht="15.75" customHeight="1" x14ac:dyDescent="0.25">
      <c r="A10" s="1" t="str">
        <f ca="1">IFERROR(__xludf.DUMMYFUNCTION("""COMPUTED_VALUE"""),"American")</f>
        <v>American</v>
      </c>
      <c r="B10" s="1">
        <f ca="1">IFERROR(__xludf.DUMMYFUNCTION("""COMPUTED_VALUE"""),30)</f>
        <v>30</v>
      </c>
      <c r="C10" s="1">
        <f ca="1">IFERROR(__xludf.DUMMYFUNCTION("""COMPUTED_VALUE"""),10)</f>
        <v>10</v>
      </c>
      <c r="D10" s="1">
        <f ca="1">IFERROR(__xludf.DUMMYFUNCTION("""COMPUTED_VALUE"""),20)</f>
        <v>20</v>
      </c>
      <c r="E10" s="1">
        <f ca="1">IFERROR(__xludf.DUMMYFUNCTION("""COMPUTED_VALUE"""),0.333)</f>
        <v>0.33300000000000002</v>
      </c>
      <c r="F10" s="1">
        <f ca="1">IFERROR(__xludf.DUMMYFUNCTION("""COMPUTED_VALUE"""),-8.56)</f>
        <v>-8.56</v>
      </c>
      <c r="G10" s="1">
        <f ca="1">IFERROR(__xludf.DUMMYFUNCTION("""COMPUTED_VALUE"""),-2.53)</f>
        <v>-2.5299999999999998</v>
      </c>
      <c r="H10" s="1">
        <f ca="1">IFERROR(__xludf.DUMMYFUNCTION("""COMPUTED_VALUE"""),5)</f>
        <v>5</v>
      </c>
      <c r="I10" s="1">
        <f ca="1">IFERROR(__xludf.DUMMYFUNCTION("""COMPUTED_VALUE"""),9)</f>
        <v>9</v>
      </c>
      <c r="J10" s="1">
        <f ca="1">IFERROR(__xludf.DUMMYFUNCTION("""COMPUTED_VALUE"""),7)</f>
        <v>7</v>
      </c>
      <c r="K10" s="1">
        <f ca="1">IFERROR(__xludf.DUMMYFUNCTION("""COMPUTED_VALUE"""),6)</f>
        <v>6</v>
      </c>
      <c r="L10" s="1">
        <f ca="1">IFERROR(__xludf.DUMMYFUNCTION("""COMPUTED_VALUE"""),3)</f>
        <v>3</v>
      </c>
      <c r="M10" s="1">
        <f ca="1">IFERROR(__xludf.DUMMYFUNCTION("""COMPUTED_VALUE"""),14)</f>
        <v>14</v>
      </c>
      <c r="N10" s="1">
        <f ca="1">IFERROR(__xludf.DUMMYFUNCTION("""COMPUTED_VALUE"""),1735)</f>
        <v>1735</v>
      </c>
      <c r="O10" s="1">
        <f ca="1">IFERROR(__xludf.DUMMYFUNCTION("""COMPUTED_VALUE"""),1916)</f>
        <v>1916</v>
      </c>
      <c r="P10" s="1">
        <f ca="1">IFERROR(__xludf.DUMMYFUNCTION("""COMPUTED_VALUE"""),1215)</f>
        <v>1215</v>
      </c>
      <c r="Q10" s="1">
        <f ca="1">IFERROR(__xludf.DUMMYFUNCTION("""COMPUTED_VALUE"""),616)</f>
        <v>616</v>
      </c>
      <c r="R10" s="1">
        <f ca="1">IFERROR(__xludf.DUMMYFUNCTION("""COMPUTED_VALUE"""),1491)</f>
        <v>1491</v>
      </c>
      <c r="S10" s="1">
        <f ca="1">IFERROR(__xludf.DUMMYFUNCTION("""COMPUTED_VALUE"""),0.413)</f>
        <v>0.41299999999999998</v>
      </c>
      <c r="T10" s="1">
        <f ca="1">IFERROR(__xludf.DUMMYFUNCTION("""COMPUTED_VALUE"""),177)</f>
        <v>177</v>
      </c>
      <c r="U10" s="1">
        <f ca="1">IFERROR(__xludf.DUMMYFUNCTION("""COMPUTED_VALUE"""),489)</f>
        <v>489</v>
      </c>
      <c r="V10" s="1">
        <f ca="1">IFERROR(__xludf.DUMMYFUNCTION("""COMPUTED_VALUE"""),0.362)</f>
        <v>0.36199999999999999</v>
      </c>
      <c r="W10" s="1">
        <f ca="1">IFERROR(__xludf.DUMMYFUNCTION("""COMPUTED_VALUE"""),326)</f>
        <v>326</v>
      </c>
      <c r="X10" s="1">
        <f ca="1">IFERROR(__xludf.DUMMYFUNCTION("""COMPUTED_VALUE"""),460)</f>
        <v>460</v>
      </c>
      <c r="Y10" s="1">
        <f ca="1">IFERROR(__xludf.DUMMYFUNCTION("""COMPUTED_VALUE"""),0.709)</f>
        <v>0.70899999999999996</v>
      </c>
      <c r="Z10" s="1">
        <f ca="1">IFERROR(__xludf.DUMMYFUNCTION("""COMPUTED_VALUE"""),270)</f>
        <v>270</v>
      </c>
      <c r="AA10" s="1">
        <f ca="1">IFERROR(__xludf.DUMMYFUNCTION("""COMPUTED_VALUE"""),885)</f>
        <v>885</v>
      </c>
      <c r="AB10" s="1">
        <f ca="1">IFERROR(__xludf.DUMMYFUNCTION("""COMPUTED_VALUE"""),348)</f>
        <v>348</v>
      </c>
      <c r="AC10" s="1">
        <f ca="1">IFERROR(__xludf.DUMMYFUNCTION("""COMPUTED_VALUE"""),101)</f>
        <v>101</v>
      </c>
      <c r="AD10" s="1">
        <f ca="1">IFERROR(__xludf.DUMMYFUNCTION("""COMPUTED_VALUE"""),75)</f>
        <v>75</v>
      </c>
      <c r="AE10" s="1">
        <f ca="1">IFERROR(__xludf.DUMMYFUNCTION("""COMPUTED_VALUE"""),364)</f>
        <v>364</v>
      </c>
      <c r="AF10" s="1">
        <f ca="1">IFERROR(__xludf.DUMMYFUNCTION("""COMPUTED_VALUE"""),431)</f>
        <v>431</v>
      </c>
    </row>
    <row r="11" spans="1:32" ht="15.75" customHeight="1" x14ac:dyDescent="0.25">
      <c r="A11" s="1" t="str">
        <f ca="1">IFERROR(__xludf.DUMMYFUNCTION("""COMPUTED_VALUE"""),"Appalachian State")</f>
        <v>Appalachian State</v>
      </c>
      <c r="B11" s="1">
        <f ca="1">IFERROR(__xludf.DUMMYFUNCTION("""COMPUTED_VALUE"""),31)</f>
        <v>31</v>
      </c>
      <c r="C11" s="1">
        <f ca="1">IFERROR(__xludf.DUMMYFUNCTION("""COMPUTED_VALUE"""),15)</f>
        <v>15</v>
      </c>
      <c r="D11" s="1">
        <f ca="1">IFERROR(__xludf.DUMMYFUNCTION("""COMPUTED_VALUE"""),16)</f>
        <v>16</v>
      </c>
      <c r="E11" s="1">
        <f ca="1">IFERROR(__xludf.DUMMYFUNCTION("""COMPUTED_VALUE"""),0.484)</f>
        <v>0.48399999999999999</v>
      </c>
      <c r="F11" s="1">
        <f ca="1">IFERROR(__xludf.DUMMYFUNCTION("""COMPUTED_VALUE"""),-7.91)</f>
        <v>-7.91</v>
      </c>
      <c r="G11" s="1">
        <f ca="1">IFERROR(__xludf.DUMMYFUNCTION("""COMPUTED_VALUE"""),-5.77)</f>
        <v>-5.77</v>
      </c>
      <c r="H11" s="1">
        <f ca="1">IFERROR(__xludf.DUMMYFUNCTION("""COMPUTED_VALUE"""),10)</f>
        <v>10</v>
      </c>
      <c r="I11" s="1">
        <f ca="1">IFERROR(__xludf.DUMMYFUNCTION("""COMPUTED_VALUE"""),8)</f>
        <v>8</v>
      </c>
      <c r="J11" s="1">
        <f ca="1">IFERROR(__xludf.DUMMYFUNCTION("""COMPUTED_VALUE"""),10)</f>
        <v>10</v>
      </c>
      <c r="K11" s="1">
        <f ca="1">IFERROR(__xludf.DUMMYFUNCTION("""COMPUTED_VALUE"""),4)</f>
        <v>4</v>
      </c>
      <c r="L11" s="1">
        <f ca="1">IFERROR(__xludf.DUMMYFUNCTION("""COMPUTED_VALUE"""),4)</f>
        <v>4</v>
      </c>
      <c r="M11" s="1">
        <f ca="1">IFERROR(__xludf.DUMMYFUNCTION("""COMPUTED_VALUE"""),11)</f>
        <v>11</v>
      </c>
      <c r="N11" s="1">
        <f ca="1">IFERROR(__xludf.DUMMYFUNCTION("""COMPUTED_VALUE"""),2211)</f>
        <v>2211</v>
      </c>
      <c r="O11" s="1">
        <f ca="1">IFERROR(__xludf.DUMMYFUNCTION("""COMPUTED_VALUE"""),2221)</f>
        <v>2221</v>
      </c>
      <c r="P11" s="1">
        <f ca="1">IFERROR(__xludf.DUMMYFUNCTION("""COMPUTED_VALUE"""),1270)</f>
        <v>1270</v>
      </c>
      <c r="Q11" s="1">
        <f ca="1">IFERROR(__xludf.DUMMYFUNCTION("""COMPUTED_VALUE"""),777)</f>
        <v>777</v>
      </c>
      <c r="R11" s="1">
        <f ca="1">IFERROR(__xludf.DUMMYFUNCTION("""COMPUTED_VALUE"""),1781)</f>
        <v>1781</v>
      </c>
      <c r="S11" s="1">
        <f ca="1">IFERROR(__xludf.DUMMYFUNCTION("""COMPUTED_VALUE"""),0.436)</f>
        <v>0.436</v>
      </c>
      <c r="T11" s="1">
        <f ca="1">IFERROR(__xludf.DUMMYFUNCTION("""COMPUTED_VALUE"""),201)</f>
        <v>201</v>
      </c>
      <c r="U11" s="1">
        <f ca="1">IFERROR(__xludf.DUMMYFUNCTION("""COMPUTED_VALUE"""),560)</f>
        <v>560</v>
      </c>
      <c r="V11" s="1">
        <f ca="1">IFERROR(__xludf.DUMMYFUNCTION("""COMPUTED_VALUE"""),0.359)</f>
        <v>0.35899999999999999</v>
      </c>
      <c r="W11" s="1">
        <f ca="1">IFERROR(__xludf.DUMMYFUNCTION("""COMPUTED_VALUE"""),456)</f>
        <v>456</v>
      </c>
      <c r="X11" s="1">
        <f ca="1">IFERROR(__xludf.DUMMYFUNCTION("""COMPUTED_VALUE"""),662)</f>
        <v>662</v>
      </c>
      <c r="Y11" s="1">
        <f ca="1">IFERROR(__xludf.DUMMYFUNCTION("""COMPUTED_VALUE"""),0.689)</f>
        <v>0.68899999999999995</v>
      </c>
      <c r="Z11" s="1">
        <f ca="1">IFERROR(__xludf.DUMMYFUNCTION("""COMPUTED_VALUE"""),352)</f>
        <v>352</v>
      </c>
      <c r="AA11" s="1">
        <f ca="1">IFERROR(__xludf.DUMMYFUNCTION("""COMPUTED_VALUE"""),986)</f>
        <v>986</v>
      </c>
      <c r="AB11" s="1">
        <f ca="1">IFERROR(__xludf.DUMMYFUNCTION("""COMPUTED_VALUE"""),356)</f>
        <v>356</v>
      </c>
      <c r="AC11" s="1">
        <f ca="1">IFERROR(__xludf.DUMMYFUNCTION("""COMPUTED_VALUE"""),212)</f>
        <v>212</v>
      </c>
      <c r="AD11" s="1">
        <f ca="1">IFERROR(__xludf.DUMMYFUNCTION("""COMPUTED_VALUE"""),119)</f>
        <v>119</v>
      </c>
      <c r="AE11" s="1">
        <f ca="1">IFERROR(__xludf.DUMMYFUNCTION("""COMPUTED_VALUE"""),420)</f>
        <v>420</v>
      </c>
      <c r="AF11" s="1">
        <f ca="1">IFERROR(__xludf.DUMMYFUNCTION("""COMPUTED_VALUE"""),575)</f>
        <v>575</v>
      </c>
    </row>
    <row r="12" spans="1:32" ht="15.75" customHeight="1" x14ac:dyDescent="0.25">
      <c r="A12" s="1" t="str">
        <f ca="1">IFERROR(__xludf.DUMMYFUNCTION("""COMPUTED_VALUE"""),"Arizona State")</f>
        <v>Arizona State</v>
      </c>
      <c r="B12" s="1">
        <f ca="1">IFERROR(__xludf.DUMMYFUNCTION("""COMPUTED_VALUE"""),35)</f>
        <v>35</v>
      </c>
      <c r="C12" s="1">
        <f ca="1">IFERROR(__xludf.DUMMYFUNCTION("""COMPUTED_VALUE"""),22)</f>
        <v>22</v>
      </c>
      <c r="D12" s="1">
        <f ca="1">IFERROR(__xludf.DUMMYFUNCTION("""COMPUTED_VALUE"""),13)</f>
        <v>13</v>
      </c>
      <c r="E12" s="1">
        <f ca="1">IFERROR(__xludf.DUMMYFUNCTION("""COMPUTED_VALUE"""),0.629)</f>
        <v>0.629</v>
      </c>
      <c r="F12" s="1">
        <f ca="1">IFERROR(__xludf.DUMMYFUNCTION("""COMPUTED_VALUE"""),8.86)</f>
        <v>8.86</v>
      </c>
      <c r="G12" s="1">
        <f ca="1">IFERROR(__xludf.DUMMYFUNCTION("""COMPUTED_VALUE"""),4.6)</f>
        <v>4.5999999999999996</v>
      </c>
      <c r="H12" s="1">
        <f ca="1">IFERROR(__xludf.DUMMYFUNCTION("""COMPUTED_VALUE"""),9)</f>
        <v>9</v>
      </c>
      <c r="I12" s="1">
        <f ca="1">IFERROR(__xludf.DUMMYFUNCTION("""COMPUTED_VALUE"""),9)</f>
        <v>9</v>
      </c>
      <c r="J12" s="1">
        <f ca="1">IFERROR(__xludf.DUMMYFUNCTION("""COMPUTED_VALUE"""),16)</f>
        <v>16</v>
      </c>
      <c r="K12" s="1">
        <f ca="1">IFERROR(__xludf.DUMMYFUNCTION("""COMPUTED_VALUE"""),4)</f>
        <v>4</v>
      </c>
      <c r="L12" s="1">
        <f ca="1">IFERROR(__xludf.DUMMYFUNCTION("""COMPUTED_VALUE"""),4)</f>
        <v>4</v>
      </c>
      <c r="M12" s="1">
        <f ca="1">IFERROR(__xludf.DUMMYFUNCTION("""COMPUTED_VALUE"""),7)</f>
        <v>7</v>
      </c>
      <c r="N12" s="1">
        <f ca="1">IFERROR(__xludf.DUMMYFUNCTION("""COMPUTED_VALUE"""),2512)</f>
        <v>2512</v>
      </c>
      <c r="O12" s="1">
        <f ca="1">IFERROR(__xludf.DUMMYFUNCTION("""COMPUTED_VALUE"""),2363)</f>
        <v>2363</v>
      </c>
      <c r="P12" s="1">
        <f ca="1">IFERROR(__xludf.DUMMYFUNCTION("""COMPUTED_VALUE"""),1425)</f>
        <v>1425</v>
      </c>
      <c r="Q12" s="1">
        <f ca="1">IFERROR(__xludf.DUMMYFUNCTION("""COMPUTED_VALUE"""),902)</f>
        <v>902</v>
      </c>
      <c r="R12" s="1">
        <f ca="1">IFERROR(__xludf.DUMMYFUNCTION("""COMPUTED_VALUE"""),1964)</f>
        <v>1964</v>
      </c>
      <c r="S12" s="1">
        <f ca="1">IFERROR(__xludf.DUMMYFUNCTION("""COMPUTED_VALUE"""),0.459)</f>
        <v>0.45900000000000002</v>
      </c>
      <c r="T12" s="1">
        <f ca="1">IFERROR(__xludf.DUMMYFUNCTION("""COMPUTED_VALUE"""),250)</f>
        <v>250</v>
      </c>
      <c r="U12" s="1">
        <f ca="1">IFERROR(__xludf.DUMMYFUNCTION("""COMPUTED_VALUE"""),722)</f>
        <v>722</v>
      </c>
      <c r="V12" s="1">
        <f ca="1">IFERROR(__xludf.DUMMYFUNCTION("""COMPUTED_VALUE"""),0.346)</f>
        <v>0.34599999999999997</v>
      </c>
      <c r="W12" s="1">
        <f ca="1">IFERROR(__xludf.DUMMYFUNCTION("""COMPUTED_VALUE"""),458)</f>
        <v>458</v>
      </c>
      <c r="X12" s="1">
        <f ca="1">IFERROR(__xludf.DUMMYFUNCTION("""COMPUTED_VALUE"""),706)</f>
        <v>706</v>
      </c>
      <c r="Y12" s="1">
        <f ca="1">IFERROR(__xludf.DUMMYFUNCTION("""COMPUTED_VALUE"""),0.649)</f>
        <v>0.64900000000000002</v>
      </c>
      <c r="Z12" s="1">
        <f ca="1">IFERROR(__xludf.DUMMYFUNCTION("""COMPUTED_VALUE"""),338)</f>
        <v>338</v>
      </c>
      <c r="AA12" s="1">
        <f ca="1">IFERROR(__xludf.DUMMYFUNCTION("""COMPUTED_VALUE"""),1168)</f>
        <v>1168</v>
      </c>
      <c r="AB12" s="1">
        <f ca="1">IFERROR(__xludf.DUMMYFUNCTION("""COMPUTED_VALUE"""),497)</f>
        <v>497</v>
      </c>
      <c r="AC12" s="1">
        <f ca="1">IFERROR(__xludf.DUMMYFUNCTION("""COMPUTED_VALUE"""),222)</f>
        <v>222</v>
      </c>
      <c r="AD12" s="1">
        <f ca="1">IFERROR(__xludf.DUMMYFUNCTION("""COMPUTED_VALUE"""),211)</f>
        <v>211</v>
      </c>
      <c r="AE12" s="1">
        <f ca="1">IFERROR(__xludf.DUMMYFUNCTION("""COMPUTED_VALUE"""),445)</f>
        <v>445</v>
      </c>
      <c r="AF12" s="1">
        <f ca="1">IFERROR(__xludf.DUMMYFUNCTION("""COMPUTED_VALUE"""),553)</f>
        <v>553</v>
      </c>
    </row>
    <row r="13" spans="1:32" ht="15.75" customHeight="1" x14ac:dyDescent="0.25">
      <c r="A13" s="1" t="str">
        <f ca="1">IFERROR(__xludf.DUMMYFUNCTION("""COMPUTED_VALUE"""),"ArizonaNCAA")</f>
        <v>ArizonaNCAA</v>
      </c>
      <c r="B13" s="1">
        <f ca="1">IFERROR(__xludf.DUMMYFUNCTION("""COMPUTED_VALUE"""),35)</f>
        <v>35</v>
      </c>
      <c r="C13" s="1">
        <f ca="1">IFERROR(__xludf.DUMMYFUNCTION("""COMPUTED_VALUE"""),27)</f>
        <v>27</v>
      </c>
      <c r="D13" s="1">
        <f ca="1">IFERROR(__xludf.DUMMYFUNCTION("""COMPUTED_VALUE"""),8)</f>
        <v>8</v>
      </c>
      <c r="E13" s="1">
        <f ca="1">IFERROR(__xludf.DUMMYFUNCTION("""COMPUTED_VALUE"""),0.771)</f>
        <v>0.77100000000000002</v>
      </c>
      <c r="F13" s="1">
        <f ca="1">IFERROR(__xludf.DUMMYFUNCTION("""COMPUTED_VALUE"""),17.3)</f>
        <v>17.3</v>
      </c>
      <c r="G13" s="1">
        <f ca="1">IFERROR(__xludf.DUMMYFUNCTION("""COMPUTED_VALUE"""),7.47)</f>
        <v>7.47</v>
      </c>
      <c r="H13" s="1">
        <f ca="1">IFERROR(__xludf.DUMMYFUNCTION("""COMPUTED_VALUE"""),12)</f>
        <v>12</v>
      </c>
      <c r="I13" s="1">
        <f ca="1">IFERROR(__xludf.DUMMYFUNCTION("""COMPUTED_VALUE"""),6)</f>
        <v>6</v>
      </c>
      <c r="J13" s="1">
        <f ca="1">IFERROR(__xludf.DUMMYFUNCTION("""COMPUTED_VALUE"""),14)</f>
        <v>14</v>
      </c>
      <c r="K13" s="1">
        <f ca="1">IFERROR(__xludf.DUMMYFUNCTION("""COMPUTED_VALUE"""),2)</f>
        <v>2</v>
      </c>
      <c r="L13" s="1">
        <f ca="1">IFERROR(__xludf.DUMMYFUNCTION("""COMPUTED_VALUE"""),7)</f>
        <v>7</v>
      </c>
      <c r="M13" s="1">
        <f ca="1">IFERROR(__xludf.DUMMYFUNCTION("""COMPUTED_VALUE"""),4)</f>
        <v>4</v>
      </c>
      <c r="N13" s="1">
        <f ca="1">IFERROR(__xludf.DUMMYFUNCTION("""COMPUTED_VALUE"""),2570)</f>
        <v>2570</v>
      </c>
      <c r="O13" s="1">
        <f ca="1">IFERROR(__xludf.DUMMYFUNCTION("""COMPUTED_VALUE"""),2226)</f>
        <v>2226</v>
      </c>
      <c r="P13" s="1">
        <f ca="1">IFERROR(__xludf.DUMMYFUNCTION("""COMPUTED_VALUE"""),1405)</f>
        <v>1405</v>
      </c>
      <c r="Q13" s="1">
        <f ca="1">IFERROR(__xludf.DUMMYFUNCTION("""COMPUTED_VALUE"""),880)</f>
        <v>880</v>
      </c>
      <c r="R13" s="1">
        <f ca="1">IFERROR(__xludf.DUMMYFUNCTION("""COMPUTED_VALUE"""),1933)</f>
        <v>1933</v>
      </c>
      <c r="S13" s="1">
        <f ca="1">IFERROR(__xludf.DUMMYFUNCTION("""COMPUTED_VALUE"""),0.455)</f>
        <v>0.45500000000000002</v>
      </c>
      <c r="T13" s="1">
        <f ca="1">IFERROR(__xludf.DUMMYFUNCTION("""COMPUTED_VALUE"""),269)</f>
        <v>269</v>
      </c>
      <c r="U13" s="1">
        <f ca="1">IFERROR(__xludf.DUMMYFUNCTION("""COMPUTED_VALUE"""),725)</f>
        <v>725</v>
      </c>
      <c r="V13" s="1">
        <f ca="1">IFERROR(__xludf.DUMMYFUNCTION("""COMPUTED_VALUE"""),0.371)</f>
        <v>0.371</v>
      </c>
      <c r="W13" s="1">
        <f ca="1">IFERROR(__xludf.DUMMYFUNCTION("""COMPUTED_VALUE"""),541)</f>
        <v>541</v>
      </c>
      <c r="X13" s="1">
        <f ca="1">IFERROR(__xludf.DUMMYFUNCTION("""COMPUTED_VALUE"""),722)</f>
        <v>722</v>
      </c>
      <c r="Y13" s="1">
        <f ca="1">IFERROR(__xludf.DUMMYFUNCTION("""COMPUTED_VALUE"""),0.749)</f>
        <v>0.749</v>
      </c>
      <c r="Z13" s="1">
        <f ca="1">IFERROR(__xludf.DUMMYFUNCTION("""COMPUTED_VALUE"""),393)</f>
        <v>393</v>
      </c>
      <c r="AA13" s="1">
        <f ca="1">IFERROR(__xludf.DUMMYFUNCTION("""COMPUTED_VALUE"""),1172)</f>
        <v>1172</v>
      </c>
      <c r="AB13" s="1">
        <f ca="1">IFERROR(__xludf.DUMMYFUNCTION("""COMPUTED_VALUE"""),476)</f>
        <v>476</v>
      </c>
      <c r="AC13" s="1">
        <f ca="1">IFERROR(__xludf.DUMMYFUNCTION("""COMPUTED_VALUE"""),234)</f>
        <v>234</v>
      </c>
      <c r="AD13" s="1">
        <f ca="1">IFERROR(__xludf.DUMMYFUNCTION("""COMPUTED_VALUE"""),134)</f>
        <v>134</v>
      </c>
      <c r="AE13" s="1">
        <f ca="1">IFERROR(__xludf.DUMMYFUNCTION("""COMPUTED_VALUE"""),458)</f>
        <v>458</v>
      </c>
      <c r="AF13" s="1">
        <f ca="1">IFERROR(__xludf.DUMMYFUNCTION("""COMPUTED_VALUE"""),584)</f>
        <v>584</v>
      </c>
    </row>
    <row r="14" spans="1:32" ht="15.75" customHeight="1" x14ac:dyDescent="0.25">
      <c r="A14" s="1" t="str">
        <f ca="1">IFERROR(__xludf.DUMMYFUNCTION("""COMPUTED_VALUE"""),"Little Rock")</f>
        <v>Little Rock</v>
      </c>
      <c r="B14" s="1">
        <f ca="1">IFERROR(__xludf.DUMMYFUNCTION("""COMPUTED_VALUE"""),32)</f>
        <v>32</v>
      </c>
      <c r="C14" s="1">
        <f ca="1">IFERROR(__xludf.DUMMYFUNCTION("""COMPUTED_VALUE"""),17)</f>
        <v>17</v>
      </c>
      <c r="D14" s="1">
        <f ca="1">IFERROR(__xludf.DUMMYFUNCTION("""COMPUTED_VALUE"""),15)</f>
        <v>15</v>
      </c>
      <c r="E14" s="1">
        <f ca="1">IFERROR(__xludf.DUMMYFUNCTION("""COMPUTED_VALUE"""),0.531)</f>
        <v>0.53100000000000003</v>
      </c>
      <c r="F14" s="1">
        <f ca="1">IFERROR(__xludf.DUMMYFUNCTION("""COMPUTED_VALUE"""),-4.36)</f>
        <v>-4.3600000000000003</v>
      </c>
      <c r="G14" s="1">
        <f ca="1">IFERROR(__xludf.DUMMYFUNCTION("""COMPUTED_VALUE"""),-2.23)</f>
        <v>-2.23</v>
      </c>
      <c r="H14" s="1">
        <f ca="1">IFERROR(__xludf.DUMMYFUNCTION("""COMPUTED_VALUE"""),11)</f>
        <v>11</v>
      </c>
      <c r="I14" s="1">
        <f ca="1">IFERROR(__xludf.DUMMYFUNCTION("""COMPUTED_VALUE"""),9)</f>
        <v>9</v>
      </c>
      <c r="J14" s="1">
        <f ca="1">IFERROR(__xludf.DUMMYFUNCTION("""COMPUTED_VALUE"""),13)</f>
        <v>13</v>
      </c>
      <c r="K14" s="1">
        <f ca="1">IFERROR(__xludf.DUMMYFUNCTION("""COMPUTED_VALUE"""),3)</f>
        <v>3</v>
      </c>
      <c r="L14" s="1">
        <f ca="1">IFERROR(__xludf.DUMMYFUNCTION("""COMPUTED_VALUE"""),3)</f>
        <v>3</v>
      </c>
      <c r="M14" s="1">
        <f ca="1">IFERROR(__xludf.DUMMYFUNCTION("""COMPUTED_VALUE"""),10)</f>
        <v>10</v>
      </c>
      <c r="N14" s="1">
        <f ca="1">IFERROR(__xludf.DUMMYFUNCTION("""COMPUTED_VALUE"""),2127)</f>
        <v>2127</v>
      </c>
      <c r="O14" s="1">
        <f ca="1">IFERROR(__xludf.DUMMYFUNCTION("""COMPUTED_VALUE"""),2132)</f>
        <v>2132</v>
      </c>
      <c r="P14" s="1">
        <f ca="1">IFERROR(__xludf.DUMMYFUNCTION("""COMPUTED_VALUE"""),1280)</f>
        <v>1280</v>
      </c>
      <c r="Q14" s="1">
        <f ca="1">IFERROR(__xludf.DUMMYFUNCTION("""COMPUTED_VALUE"""),732)</f>
        <v>732</v>
      </c>
      <c r="R14" s="1">
        <f ca="1">IFERROR(__xludf.DUMMYFUNCTION("""COMPUTED_VALUE"""),1736)</f>
        <v>1736</v>
      </c>
      <c r="S14" s="1">
        <f ca="1">IFERROR(__xludf.DUMMYFUNCTION("""COMPUTED_VALUE"""),0.422)</f>
        <v>0.42199999999999999</v>
      </c>
      <c r="T14" s="1">
        <f ca="1">IFERROR(__xludf.DUMMYFUNCTION("""COMPUTED_VALUE"""),162)</f>
        <v>162</v>
      </c>
      <c r="U14" s="1">
        <f ca="1">IFERROR(__xludf.DUMMYFUNCTION("""COMPUTED_VALUE"""),481)</f>
        <v>481</v>
      </c>
      <c r="V14" s="1">
        <f ca="1">IFERROR(__xludf.DUMMYFUNCTION("""COMPUTED_VALUE"""),0.337)</f>
        <v>0.33700000000000002</v>
      </c>
      <c r="W14" s="1">
        <f ca="1">IFERROR(__xludf.DUMMYFUNCTION("""COMPUTED_VALUE"""),501)</f>
        <v>501</v>
      </c>
      <c r="X14" s="1">
        <f ca="1">IFERROR(__xludf.DUMMYFUNCTION("""COMPUTED_VALUE"""),741)</f>
        <v>741</v>
      </c>
      <c r="Y14" s="1">
        <f ca="1">IFERROR(__xludf.DUMMYFUNCTION("""COMPUTED_VALUE"""),0.676)</f>
        <v>0.67600000000000005</v>
      </c>
      <c r="Z14" s="1">
        <f ca="1">IFERROR(__xludf.DUMMYFUNCTION("""COMPUTED_VALUE"""),361)</f>
        <v>361</v>
      </c>
      <c r="AA14" s="1">
        <f ca="1">IFERROR(__xludf.DUMMYFUNCTION("""COMPUTED_VALUE"""),977)</f>
        <v>977</v>
      </c>
      <c r="AB14" s="1">
        <f ca="1">IFERROR(__xludf.DUMMYFUNCTION("""COMPUTED_VALUE"""),372)</f>
        <v>372</v>
      </c>
      <c r="AC14" s="1">
        <f ca="1">IFERROR(__xludf.DUMMYFUNCTION("""COMPUTED_VALUE"""),215)</f>
        <v>215</v>
      </c>
      <c r="AD14" s="1">
        <f ca="1">IFERROR(__xludf.DUMMYFUNCTION("""COMPUTED_VALUE"""),121)</f>
        <v>121</v>
      </c>
      <c r="AE14" s="1">
        <f ca="1">IFERROR(__xludf.DUMMYFUNCTION("""COMPUTED_VALUE"""),488)</f>
        <v>488</v>
      </c>
      <c r="AF14" s="1">
        <f ca="1">IFERROR(__xludf.DUMMYFUNCTION("""COMPUTED_VALUE"""),632)</f>
        <v>632</v>
      </c>
    </row>
    <row r="15" spans="1:32" ht="15.75" customHeight="1" x14ac:dyDescent="0.25">
      <c r="A15" s="1" t="str">
        <f ca="1">IFERROR(__xludf.DUMMYFUNCTION("""COMPUTED_VALUE"""),"Arkansas-Pine Bluff")</f>
        <v>Arkansas-Pine Bluff</v>
      </c>
      <c r="B15" s="1">
        <f ca="1">IFERROR(__xludf.DUMMYFUNCTION("""COMPUTED_VALUE"""),30)</f>
        <v>30</v>
      </c>
      <c r="C15" s="1">
        <f ca="1">IFERROR(__xludf.DUMMYFUNCTION("""COMPUTED_VALUE"""),16)</f>
        <v>16</v>
      </c>
      <c r="D15" s="1">
        <f ca="1">IFERROR(__xludf.DUMMYFUNCTION("""COMPUTED_VALUE"""),14)</f>
        <v>14</v>
      </c>
      <c r="E15" s="1">
        <f ca="1">IFERROR(__xludf.DUMMYFUNCTION("""COMPUTED_VALUE"""),0.533)</f>
        <v>0.53300000000000003</v>
      </c>
      <c r="F15" s="1">
        <f ca="1">IFERROR(__xludf.DUMMYFUNCTION("""COMPUTED_VALUE"""),-12.13)</f>
        <v>-12.13</v>
      </c>
      <c r="G15" s="1">
        <f ca="1">IFERROR(__xludf.DUMMYFUNCTION("""COMPUTED_VALUE"""),-8.2)</f>
        <v>-8.1999999999999993</v>
      </c>
      <c r="H15" s="1">
        <f ca="1">IFERROR(__xludf.DUMMYFUNCTION("""COMPUTED_VALUE"""),15)</f>
        <v>15</v>
      </c>
      <c r="I15" s="1">
        <f ca="1">IFERROR(__xludf.DUMMYFUNCTION("""COMPUTED_VALUE"""),3)</f>
        <v>3</v>
      </c>
      <c r="J15" s="1">
        <f ca="1">IFERROR(__xludf.DUMMYFUNCTION("""COMPUTED_VALUE"""),9)</f>
        <v>9</v>
      </c>
      <c r="K15" s="1">
        <f ca="1">IFERROR(__xludf.DUMMYFUNCTION("""COMPUTED_VALUE"""),0)</f>
        <v>0</v>
      </c>
      <c r="L15" s="1">
        <f ca="1">IFERROR(__xludf.DUMMYFUNCTION("""COMPUTED_VALUE"""),6)</f>
        <v>6</v>
      </c>
      <c r="M15" s="1">
        <f ca="1">IFERROR(__xludf.DUMMYFUNCTION("""COMPUTED_VALUE"""),12)</f>
        <v>12</v>
      </c>
      <c r="N15" s="1">
        <f ca="1">IFERROR(__xludf.DUMMYFUNCTION("""COMPUTED_VALUE"""),1880)</f>
        <v>1880</v>
      </c>
      <c r="O15" s="1">
        <f ca="1">IFERROR(__xludf.DUMMYFUNCTION("""COMPUTED_VALUE"""),1998)</f>
        <v>1998</v>
      </c>
      <c r="P15" s="1">
        <f ca="1">IFERROR(__xludf.DUMMYFUNCTION("""COMPUTED_VALUE"""),1206)</f>
        <v>1206</v>
      </c>
      <c r="Q15" s="1">
        <f ca="1">IFERROR(__xludf.DUMMYFUNCTION("""COMPUTED_VALUE"""),683)</f>
        <v>683</v>
      </c>
      <c r="R15" s="1">
        <f ca="1">IFERROR(__xludf.DUMMYFUNCTION("""COMPUTED_VALUE"""),1707)</f>
        <v>1707</v>
      </c>
      <c r="S15" s="1">
        <f ca="1">IFERROR(__xludf.DUMMYFUNCTION("""COMPUTED_VALUE"""),0.4)</f>
        <v>0.4</v>
      </c>
      <c r="T15" s="1">
        <f ca="1">IFERROR(__xludf.DUMMYFUNCTION("""COMPUTED_VALUE"""),159)</f>
        <v>159</v>
      </c>
      <c r="U15" s="1">
        <f ca="1">IFERROR(__xludf.DUMMYFUNCTION("""COMPUTED_VALUE"""),526)</f>
        <v>526</v>
      </c>
      <c r="V15" s="1">
        <f ca="1">IFERROR(__xludf.DUMMYFUNCTION("""COMPUTED_VALUE"""),0.302)</f>
        <v>0.30199999999999999</v>
      </c>
      <c r="W15" s="1">
        <f ca="1">IFERROR(__xludf.DUMMYFUNCTION("""COMPUTED_VALUE"""),355)</f>
        <v>355</v>
      </c>
      <c r="X15" s="1">
        <f ca="1">IFERROR(__xludf.DUMMYFUNCTION("""COMPUTED_VALUE"""),563)</f>
        <v>563</v>
      </c>
      <c r="Y15" s="1">
        <f ca="1">IFERROR(__xludf.DUMMYFUNCTION("""COMPUTED_VALUE"""),0.631)</f>
        <v>0.63100000000000001</v>
      </c>
      <c r="Z15" s="1">
        <f ca="1">IFERROR(__xludf.DUMMYFUNCTION("""COMPUTED_VALUE"""),351)</f>
        <v>351</v>
      </c>
      <c r="AA15" s="1">
        <f ca="1">IFERROR(__xludf.DUMMYFUNCTION("""COMPUTED_VALUE"""),944)</f>
        <v>944</v>
      </c>
      <c r="AB15" s="1">
        <f ca="1">IFERROR(__xludf.DUMMYFUNCTION("""COMPUTED_VALUE"""),382)</f>
        <v>382</v>
      </c>
      <c r="AC15" s="1">
        <f ca="1">IFERROR(__xludf.DUMMYFUNCTION("""COMPUTED_VALUE"""),297)</f>
        <v>297</v>
      </c>
      <c r="AD15" s="1">
        <f ca="1">IFERROR(__xludf.DUMMYFUNCTION("""COMPUTED_VALUE"""),99)</f>
        <v>99</v>
      </c>
      <c r="AE15" s="1">
        <f ca="1">IFERROR(__xludf.DUMMYFUNCTION("""COMPUTED_VALUE"""),433)</f>
        <v>433</v>
      </c>
      <c r="AF15" s="1">
        <f ca="1">IFERROR(__xludf.DUMMYFUNCTION("""COMPUTED_VALUE"""),533)</f>
        <v>533</v>
      </c>
    </row>
    <row r="16" spans="1:32" ht="15.75" customHeight="1" x14ac:dyDescent="0.25">
      <c r="A16" s="1" t="str">
        <f ca="1">IFERROR(__xludf.DUMMYFUNCTION("""COMPUTED_VALUE"""),"Arkansas State")</f>
        <v>Arkansas State</v>
      </c>
      <c r="B16" s="1">
        <f ca="1">IFERROR(__xludf.DUMMYFUNCTION("""COMPUTED_VALUE"""),31)</f>
        <v>31</v>
      </c>
      <c r="C16" s="1">
        <f ca="1">IFERROR(__xludf.DUMMYFUNCTION("""COMPUTED_VALUE"""),19)</f>
        <v>19</v>
      </c>
      <c r="D16" s="1">
        <f ca="1">IFERROR(__xludf.DUMMYFUNCTION("""COMPUTED_VALUE"""),12)</f>
        <v>12</v>
      </c>
      <c r="E16" s="1">
        <f ca="1">IFERROR(__xludf.DUMMYFUNCTION("""COMPUTED_VALUE"""),0.613)</f>
        <v>0.61299999999999999</v>
      </c>
      <c r="F16" s="1">
        <f ca="1">IFERROR(__xludf.DUMMYFUNCTION("""COMPUTED_VALUE"""),0.77)</f>
        <v>0.77</v>
      </c>
      <c r="G16" s="1">
        <f ca="1">IFERROR(__xludf.DUMMYFUNCTION("""COMPUTED_VALUE"""),-4.36)</f>
        <v>-4.3600000000000003</v>
      </c>
      <c r="H16" s="1">
        <f ca="1">IFERROR(__xludf.DUMMYFUNCTION("""COMPUTED_VALUE"""),12)</f>
        <v>12</v>
      </c>
      <c r="I16" s="1">
        <f ca="1">IFERROR(__xludf.DUMMYFUNCTION("""COMPUTED_VALUE"""),8)</f>
        <v>8</v>
      </c>
      <c r="J16" s="1">
        <f ca="1">IFERROR(__xludf.DUMMYFUNCTION("""COMPUTED_VALUE"""),13)</f>
        <v>13</v>
      </c>
      <c r="K16" s="1">
        <f ca="1">IFERROR(__xludf.DUMMYFUNCTION("""COMPUTED_VALUE"""),2)</f>
        <v>2</v>
      </c>
      <c r="L16" s="1">
        <f ca="1">IFERROR(__xludf.DUMMYFUNCTION("""COMPUTED_VALUE"""),5)</f>
        <v>5</v>
      </c>
      <c r="M16" s="1">
        <f ca="1">IFERROR(__xludf.DUMMYFUNCTION("""COMPUTED_VALUE"""),9)</f>
        <v>9</v>
      </c>
      <c r="N16" s="1">
        <f ca="1">IFERROR(__xludf.DUMMYFUNCTION("""COMPUTED_VALUE"""),2127)</f>
        <v>2127</v>
      </c>
      <c r="O16" s="1">
        <f ca="1">IFERROR(__xludf.DUMMYFUNCTION("""COMPUTED_VALUE"""),1944)</f>
        <v>1944</v>
      </c>
      <c r="P16" s="1">
        <f ca="1">IFERROR(__xludf.DUMMYFUNCTION("""COMPUTED_VALUE"""),1275)</f>
        <v>1275</v>
      </c>
      <c r="Q16" s="1">
        <f ca="1">IFERROR(__xludf.DUMMYFUNCTION("""COMPUTED_VALUE"""),705)</f>
        <v>705</v>
      </c>
      <c r="R16" s="1">
        <f ca="1">IFERROR(__xludf.DUMMYFUNCTION("""COMPUTED_VALUE"""),1737)</f>
        <v>1737</v>
      </c>
      <c r="S16" s="1">
        <f ca="1">IFERROR(__xludf.DUMMYFUNCTION("""COMPUTED_VALUE"""),0.406)</f>
        <v>0.40600000000000003</v>
      </c>
      <c r="T16" s="1">
        <f ca="1">IFERROR(__xludf.DUMMYFUNCTION("""COMPUTED_VALUE"""),197)</f>
        <v>197</v>
      </c>
      <c r="U16" s="1">
        <f ca="1">IFERROR(__xludf.DUMMYFUNCTION("""COMPUTED_VALUE"""),633)</f>
        <v>633</v>
      </c>
      <c r="V16" s="1">
        <f ca="1">IFERROR(__xludf.DUMMYFUNCTION("""COMPUTED_VALUE"""),0.311)</f>
        <v>0.311</v>
      </c>
      <c r="W16" s="1">
        <f ca="1">IFERROR(__xludf.DUMMYFUNCTION("""COMPUTED_VALUE"""),520)</f>
        <v>520</v>
      </c>
      <c r="X16" s="1">
        <f ca="1">IFERROR(__xludf.DUMMYFUNCTION("""COMPUTED_VALUE"""),762)</f>
        <v>762</v>
      </c>
      <c r="Y16" s="1">
        <f ca="1">IFERROR(__xludf.DUMMYFUNCTION("""COMPUTED_VALUE"""),0.682)</f>
        <v>0.68200000000000005</v>
      </c>
      <c r="Z16" s="1">
        <f ca="1">IFERROR(__xludf.DUMMYFUNCTION("""COMPUTED_VALUE"""),392)</f>
        <v>392</v>
      </c>
      <c r="AA16" s="1">
        <f ca="1">IFERROR(__xludf.DUMMYFUNCTION("""COMPUTED_VALUE"""),1037)</f>
        <v>1037</v>
      </c>
      <c r="AB16" s="1">
        <f ca="1">IFERROR(__xludf.DUMMYFUNCTION("""COMPUTED_VALUE"""),324)</f>
        <v>324</v>
      </c>
      <c r="AC16" s="1">
        <f ca="1">IFERROR(__xludf.DUMMYFUNCTION("""COMPUTED_VALUE"""),256)</f>
        <v>256</v>
      </c>
      <c r="AD16" s="1">
        <f ca="1">IFERROR(__xludf.DUMMYFUNCTION("""COMPUTED_VALUE"""),95)</f>
        <v>95</v>
      </c>
      <c r="AE16" s="1">
        <f ca="1">IFERROR(__xludf.DUMMYFUNCTION("""COMPUTED_VALUE"""),408)</f>
        <v>408</v>
      </c>
      <c r="AF16" s="1">
        <f ca="1">IFERROR(__xludf.DUMMYFUNCTION("""COMPUTED_VALUE"""),543)</f>
        <v>543</v>
      </c>
    </row>
    <row r="17" spans="1:32" ht="15.75" customHeight="1" x14ac:dyDescent="0.25">
      <c r="A17" s="1" t="str">
        <f ca="1">IFERROR(__xludf.DUMMYFUNCTION("""COMPUTED_VALUE"""),"Arkansas")</f>
        <v>Arkansas</v>
      </c>
      <c r="B17" s="1">
        <f ca="1">IFERROR(__xludf.DUMMYFUNCTION("""COMPUTED_VALUE"""),32)</f>
        <v>32</v>
      </c>
      <c r="C17" s="1">
        <f ca="1">IFERROR(__xludf.DUMMYFUNCTION("""COMPUTED_VALUE"""),19)</f>
        <v>19</v>
      </c>
      <c r="D17" s="1">
        <f ca="1">IFERROR(__xludf.DUMMYFUNCTION("""COMPUTED_VALUE"""),13)</f>
        <v>13</v>
      </c>
      <c r="E17" s="1">
        <f ca="1">IFERROR(__xludf.DUMMYFUNCTION("""COMPUTED_VALUE"""),0.594)</f>
        <v>0.59399999999999997</v>
      </c>
      <c r="F17" s="1">
        <f ca="1">IFERROR(__xludf.DUMMYFUNCTION("""COMPUTED_VALUE"""),9.82)</f>
        <v>9.82</v>
      </c>
      <c r="G17" s="1">
        <f ca="1">IFERROR(__xludf.DUMMYFUNCTION("""COMPUTED_VALUE"""),4.97)</f>
        <v>4.97</v>
      </c>
      <c r="H17" s="1">
        <f ca="1">IFERROR(__xludf.DUMMYFUNCTION("""COMPUTED_VALUE"""),10)</f>
        <v>10</v>
      </c>
      <c r="I17" s="1">
        <f ca="1">IFERROR(__xludf.DUMMYFUNCTION("""COMPUTED_VALUE"""),8)</f>
        <v>8</v>
      </c>
      <c r="J17" s="1">
        <f ca="1">IFERROR(__xludf.DUMMYFUNCTION("""COMPUTED_VALUE"""),17)</f>
        <v>17</v>
      </c>
      <c r="K17" s="1">
        <f ca="1">IFERROR(__xludf.DUMMYFUNCTION("""COMPUTED_VALUE"""),1)</f>
        <v>1</v>
      </c>
      <c r="L17" s="1">
        <f ca="1">IFERROR(__xludf.DUMMYFUNCTION("""COMPUTED_VALUE"""),1)</f>
        <v>1</v>
      </c>
      <c r="M17" s="1">
        <f ca="1">IFERROR(__xludf.DUMMYFUNCTION("""COMPUTED_VALUE"""),9)</f>
        <v>9</v>
      </c>
      <c r="N17" s="1">
        <f ca="1">IFERROR(__xludf.DUMMYFUNCTION("""COMPUTED_VALUE"""),2358)</f>
        <v>2358</v>
      </c>
      <c r="O17" s="1">
        <f ca="1">IFERROR(__xludf.DUMMYFUNCTION("""COMPUTED_VALUE"""),2203)</f>
        <v>2203</v>
      </c>
      <c r="P17" s="1">
        <f ca="1">IFERROR(__xludf.DUMMYFUNCTION("""COMPUTED_VALUE"""),1290)</f>
        <v>1290</v>
      </c>
      <c r="Q17" s="1">
        <f ca="1">IFERROR(__xludf.DUMMYFUNCTION("""COMPUTED_VALUE"""),852)</f>
        <v>852</v>
      </c>
      <c r="R17" s="1">
        <f ca="1">IFERROR(__xludf.DUMMYFUNCTION("""COMPUTED_VALUE"""),1960)</f>
        <v>1960</v>
      </c>
      <c r="S17" s="1">
        <f ca="1">IFERROR(__xludf.DUMMYFUNCTION("""COMPUTED_VALUE"""),0.435)</f>
        <v>0.435</v>
      </c>
      <c r="T17" s="1">
        <f ca="1">IFERROR(__xludf.DUMMYFUNCTION("""COMPUTED_VALUE"""),192)</f>
        <v>192</v>
      </c>
      <c r="U17" s="1">
        <f ca="1">IFERROR(__xludf.DUMMYFUNCTION("""COMPUTED_VALUE"""),639)</f>
        <v>639</v>
      </c>
      <c r="V17" s="1">
        <f ca="1">IFERROR(__xludf.DUMMYFUNCTION("""COMPUTED_VALUE"""),0.3)</f>
        <v>0.3</v>
      </c>
      <c r="W17" s="1">
        <f ca="1">IFERROR(__xludf.DUMMYFUNCTION("""COMPUTED_VALUE"""),462)</f>
        <v>462</v>
      </c>
      <c r="X17" s="1">
        <f ca="1">IFERROR(__xludf.DUMMYFUNCTION("""COMPUTED_VALUE"""),687)</f>
        <v>687</v>
      </c>
      <c r="Y17" s="1">
        <f ca="1">IFERROR(__xludf.DUMMYFUNCTION("""COMPUTED_VALUE"""),0.672)</f>
        <v>0.67200000000000004</v>
      </c>
      <c r="Z17" s="1">
        <f ca="1">IFERROR(__xludf.DUMMYFUNCTION("""COMPUTED_VALUE"""),386)</f>
        <v>386</v>
      </c>
      <c r="AA17" s="1">
        <f ca="1">IFERROR(__xludf.DUMMYFUNCTION("""COMPUTED_VALUE"""),1018)</f>
        <v>1018</v>
      </c>
      <c r="AB17" s="1">
        <f ca="1">IFERROR(__xludf.DUMMYFUNCTION("""COMPUTED_VALUE"""),475)</f>
        <v>475</v>
      </c>
      <c r="AC17" s="1">
        <f ca="1">IFERROR(__xludf.DUMMYFUNCTION("""COMPUTED_VALUE"""),295)</f>
        <v>295</v>
      </c>
      <c r="AD17" s="1">
        <f ca="1">IFERROR(__xludf.DUMMYFUNCTION("""COMPUTED_VALUE"""),159)</f>
        <v>159</v>
      </c>
      <c r="AE17" s="1">
        <f ca="1">IFERROR(__xludf.DUMMYFUNCTION("""COMPUTED_VALUE"""),372)</f>
        <v>372</v>
      </c>
      <c r="AF17" s="1">
        <f ca="1">IFERROR(__xludf.DUMMYFUNCTION("""COMPUTED_VALUE"""),649)</f>
        <v>649</v>
      </c>
    </row>
    <row r="18" spans="1:32" ht="15.75" customHeight="1" x14ac:dyDescent="0.25">
      <c r="A18" s="1" t="str">
        <f ca="1">IFERROR(__xludf.DUMMYFUNCTION("""COMPUTED_VALUE"""),"Army")</f>
        <v>Army</v>
      </c>
      <c r="B18" s="1">
        <f ca="1">IFERROR(__xludf.DUMMYFUNCTION("""COMPUTED_VALUE"""),31)</f>
        <v>31</v>
      </c>
      <c r="C18" s="1">
        <f ca="1">IFERROR(__xludf.DUMMYFUNCTION("""COMPUTED_VALUE"""),16)</f>
        <v>16</v>
      </c>
      <c r="D18" s="1">
        <f ca="1">IFERROR(__xludf.DUMMYFUNCTION("""COMPUTED_VALUE"""),15)</f>
        <v>15</v>
      </c>
      <c r="E18" s="1">
        <f ca="1">IFERROR(__xludf.DUMMYFUNCTION("""COMPUTED_VALUE"""),0.516)</f>
        <v>0.51600000000000001</v>
      </c>
      <c r="F18" s="1">
        <f ca="1">IFERROR(__xludf.DUMMYFUNCTION("""COMPUTED_VALUE"""),-1.48)</f>
        <v>-1.48</v>
      </c>
      <c r="G18" s="1">
        <f ca="1">IFERROR(__xludf.DUMMYFUNCTION("""COMPUTED_VALUE"""),-4.52)</f>
        <v>-4.5199999999999996</v>
      </c>
      <c r="H18" s="1">
        <f ca="1">IFERROR(__xludf.DUMMYFUNCTION("""COMPUTED_VALUE"""),8)</f>
        <v>8</v>
      </c>
      <c r="I18" s="1">
        <f ca="1">IFERROR(__xludf.DUMMYFUNCTION("""COMPUTED_VALUE"""),6)</f>
        <v>6</v>
      </c>
      <c r="J18" s="1">
        <f ca="1">IFERROR(__xludf.DUMMYFUNCTION("""COMPUTED_VALUE"""),9)</f>
        <v>9</v>
      </c>
      <c r="K18" s="1">
        <f ca="1">IFERROR(__xludf.DUMMYFUNCTION("""COMPUTED_VALUE"""),4)</f>
        <v>4</v>
      </c>
      <c r="L18" s="1">
        <f ca="1">IFERROR(__xludf.DUMMYFUNCTION("""COMPUTED_VALUE"""),6)</f>
        <v>6</v>
      </c>
      <c r="M18" s="1">
        <f ca="1">IFERROR(__xludf.DUMMYFUNCTION("""COMPUTED_VALUE"""),10)</f>
        <v>10</v>
      </c>
      <c r="N18" s="1">
        <f ca="1">IFERROR(__xludf.DUMMYFUNCTION("""COMPUTED_VALUE"""),2245)</f>
        <v>2245</v>
      </c>
      <c r="O18" s="1">
        <f ca="1">IFERROR(__xludf.DUMMYFUNCTION("""COMPUTED_VALUE"""),2112)</f>
        <v>2112</v>
      </c>
      <c r="P18" s="1">
        <f ca="1">IFERROR(__xludf.DUMMYFUNCTION("""COMPUTED_VALUE"""),1253)</f>
        <v>1253</v>
      </c>
      <c r="Q18" s="1">
        <f ca="1">IFERROR(__xludf.DUMMYFUNCTION("""COMPUTED_VALUE"""),767)</f>
        <v>767</v>
      </c>
      <c r="R18" s="1">
        <f ca="1">IFERROR(__xludf.DUMMYFUNCTION("""COMPUTED_VALUE"""),1723)</f>
        <v>1723</v>
      </c>
      <c r="S18" s="1">
        <f ca="1">IFERROR(__xludf.DUMMYFUNCTION("""COMPUTED_VALUE"""),0.445)</f>
        <v>0.44500000000000001</v>
      </c>
      <c r="T18" s="1">
        <f ca="1">IFERROR(__xludf.DUMMYFUNCTION("""COMPUTED_VALUE"""),250)</f>
        <v>250</v>
      </c>
      <c r="U18" s="1">
        <f ca="1">IFERROR(__xludf.DUMMYFUNCTION("""COMPUTED_VALUE"""),675)</f>
        <v>675</v>
      </c>
      <c r="V18" s="1">
        <f ca="1">IFERROR(__xludf.DUMMYFUNCTION("""COMPUTED_VALUE"""),0.37)</f>
        <v>0.37</v>
      </c>
      <c r="W18" s="1">
        <f ca="1">IFERROR(__xludf.DUMMYFUNCTION("""COMPUTED_VALUE"""),461)</f>
        <v>461</v>
      </c>
      <c r="X18" s="1">
        <f ca="1">IFERROR(__xludf.DUMMYFUNCTION("""COMPUTED_VALUE"""),628)</f>
        <v>628</v>
      </c>
      <c r="Y18" s="1">
        <f ca="1">IFERROR(__xludf.DUMMYFUNCTION("""COMPUTED_VALUE"""),0.734)</f>
        <v>0.73399999999999999</v>
      </c>
      <c r="Z18" s="1">
        <f ca="1">IFERROR(__xludf.DUMMYFUNCTION("""COMPUTED_VALUE"""),328)</f>
        <v>328</v>
      </c>
      <c r="AA18" s="1">
        <f ca="1">IFERROR(__xludf.DUMMYFUNCTION("""COMPUTED_VALUE"""),1015)</f>
        <v>1015</v>
      </c>
      <c r="AB18" s="1">
        <f ca="1">IFERROR(__xludf.DUMMYFUNCTION("""COMPUTED_VALUE"""),442)</f>
        <v>442</v>
      </c>
      <c r="AC18" s="1">
        <f ca="1">IFERROR(__xludf.DUMMYFUNCTION("""COMPUTED_VALUE"""),160)</f>
        <v>160</v>
      </c>
      <c r="AD18" s="1">
        <f ca="1">IFERROR(__xludf.DUMMYFUNCTION("""COMPUTED_VALUE"""),99)</f>
        <v>99</v>
      </c>
      <c r="AE18" s="1">
        <f ca="1">IFERROR(__xludf.DUMMYFUNCTION("""COMPUTED_VALUE"""),437)</f>
        <v>437</v>
      </c>
      <c r="AF18" s="1">
        <f ca="1">IFERROR(__xludf.DUMMYFUNCTION("""COMPUTED_VALUE"""),601)</f>
        <v>601</v>
      </c>
    </row>
    <row r="19" spans="1:32" ht="12.5" x14ac:dyDescent="0.25">
      <c r="A19" s="1" t="str">
        <f ca="1">IFERROR(__xludf.DUMMYFUNCTION("""COMPUTED_VALUE"""),"Auburn")</f>
        <v>Auburn</v>
      </c>
      <c r="B19" s="1">
        <f ca="1">IFERROR(__xludf.DUMMYFUNCTION("""COMPUTED_VALUE"""),32)</f>
        <v>32</v>
      </c>
      <c r="C19" s="1">
        <f ca="1">IFERROR(__xludf.DUMMYFUNCTION("""COMPUTED_VALUE"""),9)</f>
        <v>9</v>
      </c>
      <c r="D19" s="1">
        <f ca="1">IFERROR(__xludf.DUMMYFUNCTION("""COMPUTED_VALUE"""),23)</f>
        <v>23</v>
      </c>
      <c r="E19" s="1">
        <f ca="1">IFERROR(__xludf.DUMMYFUNCTION("""COMPUTED_VALUE"""),0.281)</f>
        <v>0.28100000000000003</v>
      </c>
      <c r="F19" s="1">
        <f ca="1">IFERROR(__xludf.DUMMYFUNCTION("""COMPUTED_VALUE"""),0.21)</f>
        <v>0.21</v>
      </c>
      <c r="G19" s="1">
        <f ca="1">IFERROR(__xludf.DUMMYFUNCTION("""COMPUTED_VALUE"""),4.18)</f>
        <v>4.18</v>
      </c>
      <c r="H19" s="1">
        <f ca="1">IFERROR(__xludf.DUMMYFUNCTION("""COMPUTED_VALUE"""),3)</f>
        <v>3</v>
      </c>
      <c r="I19" s="1">
        <f ca="1">IFERROR(__xludf.DUMMYFUNCTION("""COMPUTED_VALUE"""),15)</f>
        <v>15</v>
      </c>
      <c r="J19" s="1">
        <f ca="1">IFERROR(__xludf.DUMMYFUNCTION("""COMPUTED_VALUE"""),7)</f>
        <v>7</v>
      </c>
      <c r="K19" s="1">
        <f ca="1">IFERROR(__xludf.DUMMYFUNCTION("""COMPUTED_VALUE"""),10)</f>
        <v>10</v>
      </c>
      <c r="L19" s="1">
        <f ca="1">IFERROR(__xludf.DUMMYFUNCTION("""COMPUTED_VALUE"""),1)</f>
        <v>1</v>
      </c>
      <c r="M19" s="1">
        <f ca="1">IFERROR(__xludf.DUMMYFUNCTION("""COMPUTED_VALUE"""),9)</f>
        <v>9</v>
      </c>
      <c r="N19" s="1">
        <f ca="1">IFERROR(__xludf.DUMMYFUNCTION("""COMPUTED_VALUE"""),2074)</f>
        <v>2074</v>
      </c>
      <c r="O19" s="1">
        <f ca="1">IFERROR(__xludf.DUMMYFUNCTION("""COMPUTED_VALUE"""),2201)</f>
        <v>2201</v>
      </c>
      <c r="P19" s="1">
        <f ca="1">IFERROR(__xludf.DUMMYFUNCTION("""COMPUTED_VALUE"""),1305)</f>
        <v>1305</v>
      </c>
      <c r="Q19" s="1">
        <f ca="1">IFERROR(__xludf.DUMMYFUNCTION("""COMPUTED_VALUE"""),726)</f>
        <v>726</v>
      </c>
      <c r="R19" s="1">
        <f ca="1">IFERROR(__xludf.DUMMYFUNCTION("""COMPUTED_VALUE"""),1777)</f>
        <v>1777</v>
      </c>
      <c r="S19" s="1">
        <f ca="1">IFERROR(__xludf.DUMMYFUNCTION("""COMPUTED_VALUE"""),0.409)</f>
        <v>0.40899999999999997</v>
      </c>
      <c r="T19" s="1">
        <f ca="1">IFERROR(__xludf.DUMMYFUNCTION("""COMPUTED_VALUE"""),183)</f>
        <v>183</v>
      </c>
      <c r="U19" s="1">
        <f ca="1">IFERROR(__xludf.DUMMYFUNCTION("""COMPUTED_VALUE"""),589)</f>
        <v>589</v>
      </c>
      <c r="V19" s="1">
        <f ca="1">IFERROR(__xludf.DUMMYFUNCTION("""COMPUTED_VALUE"""),0.311)</f>
        <v>0.311</v>
      </c>
      <c r="W19" s="1">
        <f ca="1">IFERROR(__xludf.DUMMYFUNCTION("""COMPUTED_VALUE"""),439)</f>
        <v>439</v>
      </c>
      <c r="X19" s="1">
        <f ca="1">IFERROR(__xludf.DUMMYFUNCTION("""COMPUTED_VALUE"""),627)</f>
        <v>627</v>
      </c>
      <c r="Y19" s="1">
        <f ca="1">IFERROR(__xludf.DUMMYFUNCTION("""COMPUTED_VALUE"""),0.7)</f>
        <v>0.7</v>
      </c>
      <c r="Z19" s="1">
        <f ca="1">IFERROR(__xludf.DUMMYFUNCTION("""COMPUTED_VALUE"""),329)</f>
        <v>329</v>
      </c>
      <c r="AA19" s="1">
        <f ca="1">IFERROR(__xludf.DUMMYFUNCTION("""COMPUTED_VALUE"""),979)</f>
        <v>979</v>
      </c>
      <c r="AB19" s="1">
        <f ca="1">IFERROR(__xludf.DUMMYFUNCTION("""COMPUTED_VALUE"""),396)</f>
        <v>396</v>
      </c>
      <c r="AC19" s="1">
        <f ca="1">IFERROR(__xludf.DUMMYFUNCTION("""COMPUTED_VALUE"""),222)</f>
        <v>222</v>
      </c>
      <c r="AD19" s="1">
        <f ca="1">IFERROR(__xludf.DUMMYFUNCTION("""COMPUTED_VALUE"""),124)</f>
        <v>124</v>
      </c>
      <c r="AE19" s="1">
        <f ca="1">IFERROR(__xludf.DUMMYFUNCTION("""COMPUTED_VALUE"""),427)</f>
        <v>427</v>
      </c>
      <c r="AF19" s="1">
        <f ca="1">IFERROR(__xludf.DUMMYFUNCTION("""COMPUTED_VALUE"""),657)</f>
        <v>657</v>
      </c>
    </row>
    <row r="20" spans="1:32" ht="12.5" x14ac:dyDescent="0.25">
      <c r="A20" s="1" t="str">
        <f ca="1">IFERROR(__xludf.DUMMYFUNCTION("""COMPUTED_VALUE"""),"Austin Peay")</f>
        <v>Austin Peay</v>
      </c>
      <c r="B20" s="1">
        <f ca="1">IFERROR(__xludf.DUMMYFUNCTION("""COMPUTED_VALUE"""),31)</f>
        <v>31</v>
      </c>
      <c r="C20" s="1">
        <f ca="1">IFERROR(__xludf.DUMMYFUNCTION("""COMPUTED_VALUE"""),8)</f>
        <v>8</v>
      </c>
      <c r="D20" s="1">
        <f ca="1">IFERROR(__xludf.DUMMYFUNCTION("""COMPUTED_VALUE"""),23)</f>
        <v>23</v>
      </c>
      <c r="E20" s="1">
        <f ca="1">IFERROR(__xludf.DUMMYFUNCTION("""COMPUTED_VALUE"""),0.258)</f>
        <v>0.25800000000000001</v>
      </c>
      <c r="F20" s="1">
        <f ca="1">IFERROR(__xludf.DUMMYFUNCTION("""COMPUTED_VALUE"""),-12.35)</f>
        <v>-12.35</v>
      </c>
      <c r="G20" s="1">
        <f ca="1">IFERROR(__xludf.DUMMYFUNCTION("""COMPUTED_VALUE"""),-4.31)</f>
        <v>-4.3099999999999996</v>
      </c>
      <c r="H20" s="1">
        <f ca="1">IFERROR(__xludf.DUMMYFUNCTION("""COMPUTED_VALUE"""),4)</f>
        <v>4</v>
      </c>
      <c r="I20" s="1">
        <f ca="1">IFERROR(__xludf.DUMMYFUNCTION("""COMPUTED_VALUE"""),12)</f>
        <v>12</v>
      </c>
      <c r="J20" s="1">
        <f ca="1">IFERROR(__xludf.DUMMYFUNCTION("""COMPUTED_VALUE"""),5)</f>
        <v>5</v>
      </c>
      <c r="K20" s="1">
        <f ca="1">IFERROR(__xludf.DUMMYFUNCTION("""COMPUTED_VALUE"""),8)</f>
        <v>8</v>
      </c>
      <c r="L20" s="1">
        <f ca="1">IFERROR(__xludf.DUMMYFUNCTION("""COMPUTED_VALUE"""),2)</f>
        <v>2</v>
      </c>
      <c r="M20" s="1">
        <f ca="1">IFERROR(__xludf.DUMMYFUNCTION("""COMPUTED_VALUE"""),12)</f>
        <v>12</v>
      </c>
      <c r="N20" s="1">
        <f ca="1">IFERROR(__xludf.DUMMYFUNCTION("""COMPUTED_VALUE"""),2218)</f>
        <v>2218</v>
      </c>
      <c r="O20" s="1">
        <f ca="1">IFERROR(__xludf.DUMMYFUNCTION("""COMPUTED_VALUE"""),2371)</f>
        <v>2371</v>
      </c>
      <c r="P20" s="1">
        <f ca="1">IFERROR(__xludf.DUMMYFUNCTION("""COMPUTED_VALUE"""),1265)</f>
        <v>1265</v>
      </c>
      <c r="Q20" s="1">
        <f ca="1">IFERROR(__xludf.DUMMYFUNCTION("""COMPUTED_VALUE"""),783)</f>
        <v>783</v>
      </c>
      <c r="R20" s="1">
        <f ca="1">IFERROR(__xludf.DUMMYFUNCTION("""COMPUTED_VALUE"""),1714)</f>
        <v>1714</v>
      </c>
      <c r="S20" s="1">
        <f ca="1">IFERROR(__xludf.DUMMYFUNCTION("""COMPUTED_VALUE"""),0.457)</f>
        <v>0.45700000000000002</v>
      </c>
      <c r="T20" s="1">
        <f ca="1">IFERROR(__xludf.DUMMYFUNCTION("""COMPUTED_VALUE"""),226)</f>
        <v>226</v>
      </c>
      <c r="U20" s="1">
        <f ca="1">IFERROR(__xludf.DUMMYFUNCTION("""COMPUTED_VALUE"""),590)</f>
        <v>590</v>
      </c>
      <c r="V20" s="1">
        <f ca="1">IFERROR(__xludf.DUMMYFUNCTION("""COMPUTED_VALUE"""),0.383)</f>
        <v>0.38300000000000001</v>
      </c>
      <c r="W20" s="1">
        <f ca="1">IFERROR(__xludf.DUMMYFUNCTION("""COMPUTED_VALUE"""),426)</f>
        <v>426</v>
      </c>
      <c r="X20" s="1">
        <f ca="1">IFERROR(__xludf.DUMMYFUNCTION("""COMPUTED_VALUE"""),633)</f>
        <v>633</v>
      </c>
      <c r="Y20" s="1">
        <f ca="1">IFERROR(__xludf.DUMMYFUNCTION("""COMPUTED_VALUE"""),0.673)</f>
        <v>0.67300000000000004</v>
      </c>
      <c r="Z20" s="1">
        <f ca="1">IFERROR(__xludf.DUMMYFUNCTION("""COMPUTED_VALUE"""),315)</f>
        <v>315</v>
      </c>
      <c r="AA20" s="1">
        <f ca="1">IFERROR(__xludf.DUMMYFUNCTION("""COMPUTED_VALUE"""),962)</f>
        <v>962</v>
      </c>
      <c r="AB20" s="1">
        <f ca="1">IFERROR(__xludf.DUMMYFUNCTION("""COMPUTED_VALUE"""),455)</f>
        <v>455</v>
      </c>
      <c r="AC20" s="1">
        <f ca="1">IFERROR(__xludf.DUMMYFUNCTION("""COMPUTED_VALUE"""),194)</f>
        <v>194</v>
      </c>
      <c r="AD20" s="1">
        <f ca="1">IFERROR(__xludf.DUMMYFUNCTION("""COMPUTED_VALUE"""),159)</f>
        <v>159</v>
      </c>
      <c r="AE20" s="1">
        <f ca="1">IFERROR(__xludf.DUMMYFUNCTION("""COMPUTED_VALUE"""),502)</f>
        <v>502</v>
      </c>
      <c r="AF20" s="1">
        <f ca="1">IFERROR(__xludf.DUMMYFUNCTION("""COMPUTED_VALUE"""),490)</f>
        <v>490</v>
      </c>
    </row>
    <row r="21" spans="1:32" ht="12.5" x14ac:dyDescent="0.25">
      <c r="A21" s="1" t="str">
        <f ca="1">IFERROR(__xludf.DUMMYFUNCTION("""COMPUTED_VALUE"""),"Ball State")</f>
        <v>Ball State</v>
      </c>
      <c r="B21" s="1">
        <f ca="1">IFERROR(__xludf.DUMMYFUNCTION("""COMPUTED_VALUE"""),30)</f>
        <v>30</v>
      </c>
      <c r="C21" s="1">
        <f ca="1">IFERROR(__xludf.DUMMYFUNCTION("""COMPUTED_VALUE"""),15)</f>
        <v>15</v>
      </c>
      <c r="D21" s="1">
        <f ca="1">IFERROR(__xludf.DUMMYFUNCTION("""COMPUTED_VALUE"""),15)</f>
        <v>15</v>
      </c>
      <c r="E21" s="1">
        <f ca="1">IFERROR(__xludf.DUMMYFUNCTION("""COMPUTED_VALUE"""),0.5)</f>
        <v>0.5</v>
      </c>
      <c r="F21" s="1">
        <f ca="1">IFERROR(__xludf.DUMMYFUNCTION("""COMPUTED_VALUE"""),-6.7)</f>
        <v>-6.7</v>
      </c>
      <c r="G21" s="1">
        <f ca="1">IFERROR(__xludf.DUMMYFUNCTION("""COMPUTED_VALUE"""),-3.15)</f>
        <v>-3.15</v>
      </c>
      <c r="H21" s="1">
        <f ca="1">IFERROR(__xludf.DUMMYFUNCTION("""COMPUTED_VALUE"""),8)</f>
        <v>8</v>
      </c>
      <c r="I21" s="1">
        <f ca="1">IFERROR(__xludf.DUMMYFUNCTION("""COMPUTED_VALUE"""),8)</f>
        <v>8</v>
      </c>
      <c r="J21" s="1">
        <f ca="1">IFERROR(__xludf.DUMMYFUNCTION("""COMPUTED_VALUE"""),8)</f>
        <v>8</v>
      </c>
      <c r="K21" s="1">
        <f ca="1">IFERROR(__xludf.DUMMYFUNCTION("""COMPUTED_VALUE"""),8)</f>
        <v>8</v>
      </c>
      <c r="L21" s="1">
        <f ca="1">IFERROR(__xludf.DUMMYFUNCTION("""COMPUTED_VALUE"""),7)</f>
        <v>7</v>
      </c>
      <c r="M21" s="1">
        <f ca="1">IFERROR(__xludf.DUMMYFUNCTION("""COMPUTED_VALUE"""),6)</f>
        <v>6</v>
      </c>
      <c r="N21" s="1">
        <f ca="1">IFERROR(__xludf.DUMMYFUNCTION("""COMPUTED_VALUE"""),1957)</f>
        <v>1957</v>
      </c>
      <c r="O21" s="1">
        <f ca="1">IFERROR(__xludf.DUMMYFUNCTION("""COMPUTED_VALUE"""),2041)</f>
        <v>2041</v>
      </c>
      <c r="P21" s="1">
        <f ca="1">IFERROR(__xludf.DUMMYFUNCTION("""COMPUTED_VALUE"""),1200)</f>
        <v>1200</v>
      </c>
      <c r="Q21" s="1">
        <f ca="1">IFERROR(__xludf.DUMMYFUNCTION("""COMPUTED_VALUE"""),656)</f>
        <v>656</v>
      </c>
      <c r="R21" s="1">
        <f ca="1">IFERROR(__xludf.DUMMYFUNCTION("""COMPUTED_VALUE"""),1542)</f>
        <v>1542</v>
      </c>
      <c r="S21" s="1">
        <f ca="1">IFERROR(__xludf.DUMMYFUNCTION("""COMPUTED_VALUE"""),0.425)</f>
        <v>0.42499999999999999</v>
      </c>
      <c r="T21" s="1">
        <f ca="1">IFERROR(__xludf.DUMMYFUNCTION("""COMPUTED_VALUE"""),177)</f>
        <v>177</v>
      </c>
      <c r="U21" s="1">
        <f ca="1">IFERROR(__xludf.DUMMYFUNCTION("""COMPUTED_VALUE"""),542)</f>
        <v>542</v>
      </c>
      <c r="V21" s="1">
        <f ca="1">IFERROR(__xludf.DUMMYFUNCTION("""COMPUTED_VALUE"""),0.327)</f>
        <v>0.32700000000000001</v>
      </c>
      <c r="W21" s="1">
        <f ca="1">IFERROR(__xludf.DUMMYFUNCTION("""COMPUTED_VALUE"""),468)</f>
        <v>468</v>
      </c>
      <c r="X21" s="1">
        <f ca="1">IFERROR(__xludf.DUMMYFUNCTION("""COMPUTED_VALUE"""),718)</f>
        <v>718</v>
      </c>
      <c r="Y21" s="1">
        <f ca="1">IFERROR(__xludf.DUMMYFUNCTION("""COMPUTED_VALUE"""),0.652)</f>
        <v>0.65200000000000002</v>
      </c>
      <c r="Z21" s="1">
        <f ca="1">IFERROR(__xludf.DUMMYFUNCTION("""COMPUTED_VALUE"""),369)</f>
        <v>369</v>
      </c>
      <c r="AA21" s="1">
        <f ca="1">IFERROR(__xludf.DUMMYFUNCTION("""COMPUTED_VALUE"""),990)</f>
        <v>990</v>
      </c>
      <c r="AB21" s="1">
        <f ca="1">IFERROR(__xludf.DUMMYFUNCTION("""COMPUTED_VALUE"""),355)</f>
        <v>355</v>
      </c>
      <c r="AC21" s="1">
        <f ca="1">IFERROR(__xludf.DUMMYFUNCTION("""COMPUTED_VALUE"""),193)</f>
        <v>193</v>
      </c>
      <c r="AD21" s="1">
        <f ca="1">IFERROR(__xludf.DUMMYFUNCTION("""COMPUTED_VALUE"""),71)</f>
        <v>71</v>
      </c>
      <c r="AE21" s="1">
        <f ca="1">IFERROR(__xludf.DUMMYFUNCTION("""COMPUTED_VALUE"""),455)</f>
        <v>455</v>
      </c>
      <c r="AF21" s="1">
        <f ca="1">IFERROR(__xludf.DUMMYFUNCTION("""COMPUTED_VALUE"""),516)</f>
        <v>516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IFERROR(__xludf.DUMMYFUNCTION("""COMPUTED_VALUE"""),"Baylor")</f>
        <v>Baylor</v>
      </c>
      <c r="B24" s="1">
        <f ca="1">IFERROR(__xludf.DUMMYFUNCTION("""COMPUTED_VALUE"""),37)</f>
        <v>37</v>
      </c>
      <c r="C24" s="1">
        <f ca="1">IFERROR(__xludf.DUMMYFUNCTION("""COMPUTED_VALUE"""),23)</f>
        <v>23</v>
      </c>
      <c r="D24" s="1">
        <f ca="1">IFERROR(__xludf.DUMMYFUNCTION("""COMPUTED_VALUE"""),14)</f>
        <v>14</v>
      </c>
      <c r="E24" s="1">
        <f ca="1">IFERROR(__xludf.DUMMYFUNCTION("""COMPUTED_VALUE"""),0.622)</f>
        <v>0.622</v>
      </c>
      <c r="F24" s="1">
        <f ca="1">IFERROR(__xludf.DUMMYFUNCTION("""COMPUTED_VALUE"""),15.07)</f>
        <v>15.07</v>
      </c>
      <c r="G24" s="1">
        <f ca="1">IFERROR(__xludf.DUMMYFUNCTION("""COMPUTED_VALUE"""),7.13)</f>
        <v>7.13</v>
      </c>
      <c r="H24" s="1">
        <f ca="1">IFERROR(__xludf.DUMMYFUNCTION("""COMPUTED_VALUE"""),9)</f>
        <v>9</v>
      </c>
      <c r="I24" s="1">
        <f ca="1">IFERROR(__xludf.DUMMYFUNCTION("""COMPUTED_VALUE"""),9)</f>
        <v>9</v>
      </c>
      <c r="J24" s="1">
        <f ca="1">IFERROR(__xludf.DUMMYFUNCTION("""COMPUTED_VALUE"""),15)</f>
        <v>15</v>
      </c>
      <c r="K24" s="1">
        <f ca="1">IFERROR(__xludf.DUMMYFUNCTION("""COMPUTED_VALUE"""),5)</f>
        <v>5</v>
      </c>
      <c r="L24" s="1">
        <f ca="1">IFERROR(__xludf.DUMMYFUNCTION("""COMPUTED_VALUE"""),4)</f>
        <v>4</v>
      </c>
      <c r="M24" s="1">
        <f ca="1">IFERROR(__xludf.DUMMYFUNCTION("""COMPUTED_VALUE"""),7)</f>
        <v>7</v>
      </c>
      <c r="N24" s="1">
        <f ca="1">IFERROR(__xludf.DUMMYFUNCTION("""COMPUTED_VALUE"""),2811)</f>
        <v>2811</v>
      </c>
      <c r="O24" s="1">
        <f ca="1">IFERROR(__xludf.DUMMYFUNCTION("""COMPUTED_VALUE"""),2456)</f>
        <v>2456</v>
      </c>
      <c r="P24" s="1">
        <f ca="1">IFERROR(__xludf.DUMMYFUNCTION("""COMPUTED_VALUE"""),1489)</f>
        <v>1489</v>
      </c>
      <c r="Q24" s="1">
        <f ca="1">IFERROR(__xludf.DUMMYFUNCTION("""COMPUTED_VALUE"""),1002)</f>
        <v>1002</v>
      </c>
      <c r="R24" s="1">
        <f ca="1">IFERROR(__xludf.DUMMYFUNCTION("""COMPUTED_VALUE"""),2178)</f>
        <v>2178</v>
      </c>
      <c r="S24" s="1">
        <f ca="1">IFERROR(__xludf.DUMMYFUNCTION("""COMPUTED_VALUE"""),0.46)</f>
        <v>0.46</v>
      </c>
      <c r="T24" s="1">
        <f ca="1">IFERROR(__xludf.DUMMYFUNCTION("""COMPUTED_VALUE"""),257)</f>
        <v>257</v>
      </c>
      <c r="U24" s="1">
        <f ca="1">IFERROR(__xludf.DUMMYFUNCTION("""COMPUTED_VALUE"""),728)</f>
        <v>728</v>
      </c>
      <c r="V24" s="1">
        <f ca="1">IFERROR(__xludf.DUMMYFUNCTION("""COMPUTED_VALUE"""),0.353)</f>
        <v>0.35299999999999998</v>
      </c>
      <c r="W24" s="1">
        <f ca="1">IFERROR(__xludf.DUMMYFUNCTION("""COMPUTED_VALUE"""),550)</f>
        <v>550</v>
      </c>
      <c r="X24" s="1">
        <f ca="1">IFERROR(__xludf.DUMMYFUNCTION("""COMPUTED_VALUE"""),796)</f>
        <v>796</v>
      </c>
      <c r="Y24" s="1">
        <f ca="1">IFERROR(__xludf.DUMMYFUNCTION("""COMPUTED_VALUE"""),0.691)</f>
        <v>0.69099999999999995</v>
      </c>
      <c r="Z24" s="1">
        <f ca="1">IFERROR(__xludf.DUMMYFUNCTION("""COMPUTED_VALUE"""),443)</f>
        <v>443</v>
      </c>
      <c r="AA24" s="1">
        <f ca="1">IFERROR(__xludf.DUMMYFUNCTION("""COMPUTED_VALUE"""),1280)</f>
        <v>1280</v>
      </c>
      <c r="AB24" s="1">
        <f ca="1">IFERROR(__xludf.DUMMYFUNCTION("""COMPUTED_VALUE"""),586)</f>
        <v>586</v>
      </c>
      <c r="AC24" s="1">
        <f ca="1">IFERROR(__xludf.DUMMYFUNCTION("""COMPUTED_VALUE"""),243)</f>
        <v>243</v>
      </c>
      <c r="AD24" s="1">
        <f ca="1">IFERROR(__xludf.DUMMYFUNCTION("""COMPUTED_VALUE"""),166)</f>
        <v>166</v>
      </c>
      <c r="AE24" s="1">
        <f ca="1">IFERROR(__xludf.DUMMYFUNCTION("""COMPUTED_VALUE"""),440)</f>
        <v>440</v>
      </c>
      <c r="AF24" s="1">
        <f ca="1">IFERROR(__xludf.DUMMYFUNCTION("""COMPUTED_VALUE"""),632)</f>
        <v>632</v>
      </c>
    </row>
    <row r="25" spans="1:32" ht="12.5" x14ac:dyDescent="0.25">
      <c r="A25" s="1" t="str">
        <f ca="1">IFERROR(__xludf.DUMMYFUNCTION("""COMPUTED_VALUE"""),"BelmontNCAA")</f>
        <v>BelmontNCAA</v>
      </c>
      <c r="B25" s="1">
        <f ca="1">IFERROR(__xludf.DUMMYFUNCTION("""COMPUTED_VALUE"""),33)</f>
        <v>33</v>
      </c>
      <c r="C25" s="1">
        <f ca="1">IFERROR(__xludf.DUMMYFUNCTION("""COMPUTED_VALUE"""),26)</f>
        <v>26</v>
      </c>
      <c r="D25" s="1">
        <f ca="1">IFERROR(__xludf.DUMMYFUNCTION("""COMPUTED_VALUE"""),7)</f>
        <v>7</v>
      </c>
      <c r="E25" s="1">
        <f ca="1">IFERROR(__xludf.DUMMYFUNCTION("""COMPUTED_VALUE"""),0.788)</f>
        <v>0.78800000000000003</v>
      </c>
      <c r="F25" s="1">
        <f ca="1">IFERROR(__xludf.DUMMYFUNCTION("""COMPUTED_VALUE"""),10.37)</f>
        <v>10.37</v>
      </c>
      <c r="G25" s="1">
        <f ca="1">IFERROR(__xludf.DUMMYFUNCTION("""COMPUTED_VALUE"""),-0.96)</f>
        <v>-0.96</v>
      </c>
      <c r="H25" s="1">
        <f ca="1">IFERROR(__xludf.DUMMYFUNCTION("""COMPUTED_VALUE"""),14)</f>
        <v>14</v>
      </c>
      <c r="I25" s="1">
        <f ca="1">IFERROR(__xludf.DUMMYFUNCTION("""COMPUTED_VALUE"""),2)</f>
        <v>2</v>
      </c>
      <c r="J25" s="1">
        <f ca="1">IFERROR(__xludf.DUMMYFUNCTION("""COMPUTED_VALUE"""),13)</f>
        <v>13</v>
      </c>
      <c r="K25" s="1">
        <f ca="1">IFERROR(__xludf.DUMMYFUNCTION("""COMPUTED_VALUE"""),0)</f>
        <v>0</v>
      </c>
      <c r="L25" s="1">
        <f ca="1">IFERROR(__xludf.DUMMYFUNCTION("""COMPUTED_VALUE"""),9)</f>
        <v>9</v>
      </c>
      <c r="M25" s="1">
        <f ca="1">IFERROR(__xludf.DUMMYFUNCTION("""COMPUTED_VALUE"""),4)</f>
        <v>4</v>
      </c>
      <c r="N25" s="1">
        <f ca="1">IFERROR(__xludf.DUMMYFUNCTION("""COMPUTED_VALUE"""),2533)</f>
        <v>2533</v>
      </c>
      <c r="O25" s="1">
        <f ca="1">IFERROR(__xludf.DUMMYFUNCTION("""COMPUTED_VALUE"""),2129)</f>
        <v>2129</v>
      </c>
      <c r="P25" s="1">
        <f ca="1">IFERROR(__xludf.DUMMYFUNCTION("""COMPUTED_VALUE"""),1325)</f>
        <v>1325</v>
      </c>
      <c r="Q25" s="1">
        <f ca="1">IFERROR(__xludf.DUMMYFUNCTION("""COMPUTED_VALUE"""),906)</f>
        <v>906</v>
      </c>
      <c r="R25" s="1">
        <f ca="1">IFERROR(__xludf.DUMMYFUNCTION("""COMPUTED_VALUE"""),1844)</f>
        <v>1844</v>
      </c>
      <c r="S25" s="1">
        <f ca="1">IFERROR(__xludf.DUMMYFUNCTION("""COMPUTED_VALUE"""),0.491)</f>
        <v>0.49099999999999999</v>
      </c>
      <c r="T25" s="1">
        <f ca="1">IFERROR(__xludf.DUMMYFUNCTION("""COMPUTED_VALUE"""),279)</f>
        <v>279</v>
      </c>
      <c r="U25" s="1">
        <f ca="1">IFERROR(__xludf.DUMMYFUNCTION("""COMPUTED_VALUE"""),729)</f>
        <v>729</v>
      </c>
      <c r="V25" s="1">
        <f ca="1">IFERROR(__xludf.DUMMYFUNCTION("""COMPUTED_VALUE"""),0.383)</f>
        <v>0.38300000000000001</v>
      </c>
      <c r="W25" s="1">
        <f ca="1">IFERROR(__xludf.DUMMYFUNCTION("""COMPUTED_VALUE"""),442)</f>
        <v>442</v>
      </c>
      <c r="X25" s="1">
        <f ca="1">IFERROR(__xludf.DUMMYFUNCTION("""COMPUTED_VALUE"""),604)</f>
        <v>604</v>
      </c>
      <c r="Y25" s="1">
        <f ca="1">IFERROR(__xludf.DUMMYFUNCTION("""COMPUTED_VALUE"""),0.732)</f>
        <v>0.73199999999999998</v>
      </c>
      <c r="Z25" s="1">
        <f ca="1">IFERROR(__xludf.DUMMYFUNCTION("""COMPUTED_VALUE"""),306)</f>
        <v>306</v>
      </c>
      <c r="AA25" s="1">
        <f ca="1">IFERROR(__xludf.DUMMYFUNCTION("""COMPUTED_VALUE"""),966)</f>
        <v>966</v>
      </c>
      <c r="AB25" s="1">
        <f ca="1">IFERROR(__xludf.DUMMYFUNCTION("""COMPUTED_VALUE"""),516)</f>
        <v>516</v>
      </c>
      <c r="AC25" s="1">
        <f ca="1">IFERROR(__xludf.DUMMYFUNCTION("""COMPUTED_VALUE"""),322)</f>
        <v>322</v>
      </c>
      <c r="AD25" s="1">
        <f ca="1">IFERROR(__xludf.DUMMYFUNCTION("""COMPUTED_VALUE"""),88)</f>
        <v>88</v>
      </c>
      <c r="AE25" s="1">
        <f ca="1">IFERROR(__xludf.DUMMYFUNCTION("""COMPUTED_VALUE"""),440)</f>
        <v>440</v>
      </c>
      <c r="AF25" s="1">
        <f ca="1">IFERROR(__xludf.DUMMYFUNCTION("""COMPUTED_VALUE"""),604)</f>
        <v>604</v>
      </c>
    </row>
    <row r="26" spans="1:32" ht="12.5" x14ac:dyDescent="0.25">
      <c r="A26" s="1" t="str">
        <f ca="1">IFERROR(__xludf.DUMMYFUNCTION("""COMPUTED_VALUE"""),"Bethune-Cookman")</f>
        <v>Bethune-Cookman</v>
      </c>
      <c r="B26" s="1">
        <f ca="1">IFERROR(__xludf.DUMMYFUNCTION("""COMPUTED_VALUE"""),34)</f>
        <v>34</v>
      </c>
      <c r="C26" s="1">
        <f ca="1">IFERROR(__xludf.DUMMYFUNCTION("""COMPUTED_VALUE"""),14)</f>
        <v>14</v>
      </c>
      <c r="D26" s="1">
        <f ca="1">IFERROR(__xludf.DUMMYFUNCTION("""COMPUTED_VALUE"""),20)</f>
        <v>20</v>
      </c>
      <c r="E26" s="1">
        <f ca="1">IFERROR(__xludf.DUMMYFUNCTION("""COMPUTED_VALUE"""),0.412)</f>
        <v>0.41199999999999998</v>
      </c>
      <c r="F26" s="1">
        <f ca="1">IFERROR(__xludf.DUMMYFUNCTION("""COMPUTED_VALUE"""),-9.54)</f>
        <v>-9.5399999999999991</v>
      </c>
      <c r="G26" s="1">
        <f ca="1">IFERROR(__xludf.DUMMYFUNCTION("""COMPUTED_VALUE"""),-6.44)</f>
        <v>-6.44</v>
      </c>
      <c r="H26" s="1">
        <f ca="1">IFERROR(__xludf.DUMMYFUNCTION("""COMPUTED_VALUE"""),7)</f>
        <v>7</v>
      </c>
      <c r="I26" s="1">
        <f ca="1">IFERROR(__xludf.DUMMYFUNCTION("""COMPUTED_VALUE"""),9)</f>
        <v>9</v>
      </c>
      <c r="J26" s="1">
        <f ca="1">IFERROR(__xludf.DUMMYFUNCTION("""COMPUTED_VALUE"""),9)</f>
        <v>9</v>
      </c>
      <c r="K26" s="1">
        <f ca="1">IFERROR(__xludf.DUMMYFUNCTION("""COMPUTED_VALUE"""),4)</f>
        <v>4</v>
      </c>
      <c r="L26" s="1">
        <f ca="1">IFERROR(__xludf.DUMMYFUNCTION("""COMPUTED_VALUE"""),2)</f>
        <v>2</v>
      </c>
      <c r="M26" s="1">
        <f ca="1">IFERROR(__xludf.DUMMYFUNCTION("""COMPUTED_VALUE"""),14)</f>
        <v>14</v>
      </c>
      <c r="N26" s="1">
        <f ca="1">IFERROR(__xludf.DUMMYFUNCTION("""COMPUTED_VALUE"""),2283)</f>
        <v>2283</v>
      </c>
      <c r="O26" s="1">
        <f ca="1">IFERROR(__xludf.DUMMYFUNCTION("""COMPUTED_VALUE"""),2318)</f>
        <v>2318</v>
      </c>
      <c r="P26" s="1">
        <f ca="1">IFERROR(__xludf.DUMMYFUNCTION("""COMPUTED_VALUE"""),1370)</f>
        <v>1370</v>
      </c>
      <c r="Q26" s="1">
        <f ca="1">IFERROR(__xludf.DUMMYFUNCTION("""COMPUTED_VALUE"""),815)</f>
        <v>815</v>
      </c>
      <c r="R26" s="1">
        <f ca="1">IFERROR(__xludf.DUMMYFUNCTION("""COMPUTED_VALUE"""),1957)</f>
        <v>1957</v>
      </c>
      <c r="S26" s="1">
        <f ca="1">IFERROR(__xludf.DUMMYFUNCTION("""COMPUTED_VALUE"""),0.416)</f>
        <v>0.41599999999999998</v>
      </c>
      <c r="T26" s="1">
        <f ca="1">IFERROR(__xludf.DUMMYFUNCTION("""COMPUTED_VALUE"""),190)</f>
        <v>190</v>
      </c>
      <c r="U26" s="1">
        <f ca="1">IFERROR(__xludf.DUMMYFUNCTION("""COMPUTED_VALUE"""),620)</f>
        <v>620</v>
      </c>
      <c r="V26" s="1">
        <f ca="1">IFERROR(__xludf.DUMMYFUNCTION("""COMPUTED_VALUE"""),0.306)</f>
        <v>0.30599999999999999</v>
      </c>
      <c r="W26" s="1">
        <f ca="1">IFERROR(__xludf.DUMMYFUNCTION("""COMPUTED_VALUE"""),463)</f>
        <v>463</v>
      </c>
      <c r="X26" s="1">
        <f ca="1">IFERROR(__xludf.DUMMYFUNCTION("""COMPUTED_VALUE"""),742)</f>
        <v>742</v>
      </c>
      <c r="Y26" s="1">
        <f ca="1">IFERROR(__xludf.DUMMYFUNCTION("""COMPUTED_VALUE"""),0.624)</f>
        <v>0.624</v>
      </c>
      <c r="Z26" s="1">
        <f ca="1">IFERROR(__xludf.DUMMYFUNCTION("""COMPUTED_VALUE"""),425)</f>
        <v>425</v>
      </c>
      <c r="AA26" s="1">
        <f ca="1">IFERROR(__xludf.DUMMYFUNCTION("""COMPUTED_VALUE"""),1068)</f>
        <v>1068</v>
      </c>
      <c r="AB26" s="1">
        <f ca="1">IFERROR(__xludf.DUMMYFUNCTION("""COMPUTED_VALUE"""),439)</f>
        <v>439</v>
      </c>
      <c r="AC26" s="1">
        <f ca="1">IFERROR(__xludf.DUMMYFUNCTION("""COMPUTED_VALUE"""),246)</f>
        <v>246</v>
      </c>
      <c r="AD26" s="1">
        <f ca="1">IFERROR(__xludf.DUMMYFUNCTION("""COMPUTED_VALUE"""),125)</f>
        <v>125</v>
      </c>
      <c r="AE26" s="1">
        <f ca="1">IFERROR(__xludf.DUMMYFUNCTION("""COMPUTED_VALUE"""),420)</f>
        <v>420</v>
      </c>
      <c r="AF26" s="1">
        <f ca="1">IFERROR(__xludf.DUMMYFUNCTION("""COMPUTED_VALUE"""),698)</f>
        <v>698</v>
      </c>
    </row>
    <row r="27" spans="1:32" ht="12.5" x14ac:dyDescent="0.25">
      <c r="A27" s="1" t="str">
        <f ca="1">IFERROR(__xludf.DUMMYFUNCTION("""COMPUTED_VALUE"""),"Binghamton")</f>
        <v>Binghamton</v>
      </c>
      <c r="B27" s="1">
        <f ca="1">IFERROR(__xludf.DUMMYFUNCTION("""COMPUTED_VALUE"""),30)</f>
        <v>30</v>
      </c>
      <c r="C27" s="1">
        <f ca="1">IFERROR(__xludf.DUMMYFUNCTION("""COMPUTED_VALUE"""),3)</f>
        <v>3</v>
      </c>
      <c r="D27" s="1">
        <f ca="1">IFERROR(__xludf.DUMMYFUNCTION("""COMPUTED_VALUE"""),27)</f>
        <v>27</v>
      </c>
      <c r="E27" s="1">
        <f ca="1">IFERROR(__xludf.DUMMYFUNCTION("""COMPUTED_VALUE"""),0.1)</f>
        <v>0.1</v>
      </c>
      <c r="F27" s="1">
        <f ca="1">IFERROR(__xludf.DUMMYFUNCTION("""COMPUTED_VALUE"""),-18.52)</f>
        <v>-18.52</v>
      </c>
      <c r="G27" s="1">
        <f ca="1">IFERROR(__xludf.DUMMYFUNCTION("""COMPUTED_VALUE"""),-3.7)</f>
        <v>-3.7</v>
      </c>
      <c r="H27" s="1">
        <f ca="1">IFERROR(__xludf.DUMMYFUNCTION("""COMPUTED_VALUE"""),1)</f>
        <v>1</v>
      </c>
      <c r="I27" s="1">
        <f ca="1">IFERROR(__xludf.DUMMYFUNCTION("""COMPUTED_VALUE"""),15)</f>
        <v>15</v>
      </c>
      <c r="J27" s="1">
        <f ca="1">IFERROR(__xludf.DUMMYFUNCTION("""COMPUTED_VALUE"""),2)</f>
        <v>2</v>
      </c>
      <c r="K27" s="1">
        <f ca="1">IFERROR(__xludf.DUMMYFUNCTION("""COMPUTED_VALUE"""),12)</f>
        <v>12</v>
      </c>
      <c r="L27" s="1">
        <f ca="1">IFERROR(__xludf.DUMMYFUNCTION("""COMPUTED_VALUE"""),1)</f>
        <v>1</v>
      </c>
      <c r="M27" s="1">
        <f ca="1">IFERROR(__xludf.DUMMYFUNCTION("""COMPUTED_VALUE"""),14)</f>
        <v>14</v>
      </c>
      <c r="N27" s="1">
        <f ca="1">IFERROR(__xludf.DUMMYFUNCTION("""COMPUTED_VALUE"""),1676)</f>
        <v>1676</v>
      </c>
      <c r="O27" s="1">
        <f ca="1">IFERROR(__xludf.DUMMYFUNCTION("""COMPUTED_VALUE"""),2081)</f>
        <v>2081</v>
      </c>
      <c r="P27" s="1">
        <f ca="1">IFERROR(__xludf.DUMMYFUNCTION("""COMPUTED_VALUE"""),1200)</f>
        <v>1200</v>
      </c>
      <c r="Q27" s="1">
        <f ca="1">IFERROR(__xludf.DUMMYFUNCTION("""COMPUTED_VALUE"""),588)</f>
        <v>588</v>
      </c>
      <c r="R27" s="1">
        <f ca="1">IFERROR(__xludf.DUMMYFUNCTION("""COMPUTED_VALUE"""),1580)</f>
        <v>1580</v>
      </c>
      <c r="S27" s="1">
        <f ca="1">IFERROR(__xludf.DUMMYFUNCTION("""COMPUTED_VALUE"""),0.372)</f>
        <v>0.372</v>
      </c>
      <c r="T27" s="1">
        <f ca="1">IFERROR(__xludf.DUMMYFUNCTION("""COMPUTED_VALUE"""),156)</f>
        <v>156</v>
      </c>
      <c r="U27" s="1">
        <f ca="1">IFERROR(__xludf.DUMMYFUNCTION("""COMPUTED_VALUE"""),546)</f>
        <v>546</v>
      </c>
      <c r="V27" s="1">
        <f ca="1">IFERROR(__xludf.DUMMYFUNCTION("""COMPUTED_VALUE"""),0.286)</f>
        <v>0.28599999999999998</v>
      </c>
      <c r="W27" s="1">
        <f ca="1">IFERROR(__xludf.DUMMYFUNCTION("""COMPUTED_VALUE"""),344)</f>
        <v>344</v>
      </c>
      <c r="X27" s="1">
        <f ca="1">IFERROR(__xludf.DUMMYFUNCTION("""COMPUTED_VALUE"""),533)</f>
        <v>533</v>
      </c>
      <c r="Y27" s="1">
        <f ca="1">IFERROR(__xludf.DUMMYFUNCTION("""COMPUTED_VALUE"""),0.645)</f>
        <v>0.64500000000000002</v>
      </c>
      <c r="Z27" s="1">
        <f ca="1">IFERROR(__xludf.DUMMYFUNCTION("""COMPUTED_VALUE"""),303)</f>
        <v>303</v>
      </c>
      <c r="AA27" s="1">
        <f ca="1">IFERROR(__xludf.DUMMYFUNCTION("""COMPUTED_VALUE"""),943)</f>
        <v>943</v>
      </c>
      <c r="AB27" s="1">
        <f ca="1">IFERROR(__xludf.DUMMYFUNCTION("""COMPUTED_VALUE"""),247)</f>
        <v>247</v>
      </c>
      <c r="AC27" s="1">
        <f ca="1">IFERROR(__xludf.DUMMYFUNCTION("""COMPUTED_VALUE"""),173)</f>
        <v>173</v>
      </c>
      <c r="AD27" s="1">
        <f ca="1">IFERROR(__xludf.DUMMYFUNCTION("""COMPUTED_VALUE"""),74)</f>
        <v>74</v>
      </c>
      <c r="AE27" s="1">
        <f ca="1">IFERROR(__xludf.DUMMYFUNCTION("""COMPUTED_VALUE"""),461)</f>
        <v>461</v>
      </c>
      <c r="AF27" s="1">
        <f ca="1">IFERROR(__xludf.DUMMYFUNCTION("""COMPUTED_VALUE"""),507)</f>
        <v>507</v>
      </c>
    </row>
    <row r="28" spans="1:32" ht="12.5" x14ac:dyDescent="0.25">
      <c r="A28" s="1" t="str">
        <f ca="1">IFERROR(__xludf.DUMMYFUNCTION("""COMPUTED_VALUE"""),"Boise StateNCAA")</f>
        <v>Boise StateNCAA</v>
      </c>
      <c r="B28" s="1">
        <f ca="1">IFERROR(__xludf.DUMMYFUNCTION("""COMPUTED_VALUE"""),32)</f>
        <v>32</v>
      </c>
      <c r="C28" s="1">
        <f ca="1">IFERROR(__xludf.DUMMYFUNCTION("""COMPUTED_VALUE"""),21)</f>
        <v>21</v>
      </c>
      <c r="D28" s="1">
        <f ca="1">IFERROR(__xludf.DUMMYFUNCTION("""COMPUTED_VALUE"""),11)</f>
        <v>11</v>
      </c>
      <c r="E28" s="1">
        <f ca="1">IFERROR(__xludf.DUMMYFUNCTION("""COMPUTED_VALUE"""),0.656)</f>
        <v>0.65600000000000003</v>
      </c>
      <c r="F28" s="1">
        <f ca="1">IFERROR(__xludf.DUMMYFUNCTION("""COMPUTED_VALUE"""),9.44)</f>
        <v>9.44</v>
      </c>
      <c r="G28" s="1">
        <f ca="1">IFERROR(__xludf.DUMMYFUNCTION("""COMPUTED_VALUE"""),5.27)</f>
        <v>5.27</v>
      </c>
      <c r="H28" s="1">
        <f ca="1">IFERROR(__xludf.DUMMYFUNCTION("""COMPUTED_VALUE"""),9)</f>
        <v>9</v>
      </c>
      <c r="I28" s="1">
        <f ca="1">IFERROR(__xludf.DUMMYFUNCTION("""COMPUTED_VALUE"""),7)</f>
        <v>7</v>
      </c>
      <c r="J28" s="1">
        <f ca="1">IFERROR(__xludf.DUMMYFUNCTION("""COMPUTED_VALUE"""),14)</f>
        <v>14</v>
      </c>
      <c r="K28" s="1">
        <f ca="1">IFERROR(__xludf.DUMMYFUNCTION("""COMPUTED_VALUE"""),1)</f>
        <v>1</v>
      </c>
      <c r="L28" s="1">
        <f ca="1">IFERROR(__xludf.DUMMYFUNCTION("""COMPUTED_VALUE"""),5)</f>
        <v>5</v>
      </c>
      <c r="M28" s="1">
        <f ca="1">IFERROR(__xludf.DUMMYFUNCTION("""COMPUTED_VALUE"""),8)</f>
        <v>8</v>
      </c>
      <c r="N28" s="1">
        <f ca="1">IFERROR(__xludf.DUMMYFUNCTION("""COMPUTED_VALUE"""),2343)</f>
        <v>2343</v>
      </c>
      <c r="O28" s="1">
        <f ca="1">IFERROR(__xludf.DUMMYFUNCTION("""COMPUTED_VALUE"""),2095)</f>
        <v>2095</v>
      </c>
      <c r="P28" s="1">
        <f ca="1">IFERROR(__xludf.DUMMYFUNCTION("""COMPUTED_VALUE"""),1285)</f>
        <v>1285</v>
      </c>
      <c r="Q28" s="1">
        <f ca="1">IFERROR(__xludf.DUMMYFUNCTION("""COMPUTED_VALUE"""),824)</f>
        <v>824</v>
      </c>
      <c r="R28" s="1">
        <f ca="1">IFERROR(__xludf.DUMMYFUNCTION("""COMPUTED_VALUE"""),1790)</f>
        <v>1790</v>
      </c>
      <c r="S28" s="1">
        <f ca="1">IFERROR(__xludf.DUMMYFUNCTION("""COMPUTED_VALUE"""),0.46)</f>
        <v>0.46</v>
      </c>
      <c r="T28" s="1">
        <f ca="1">IFERROR(__xludf.DUMMYFUNCTION("""COMPUTED_VALUE"""),249)</f>
        <v>249</v>
      </c>
      <c r="U28" s="1">
        <f ca="1">IFERROR(__xludf.DUMMYFUNCTION("""COMPUTED_VALUE"""),637)</f>
        <v>637</v>
      </c>
      <c r="V28" s="1">
        <f ca="1">IFERROR(__xludf.DUMMYFUNCTION("""COMPUTED_VALUE"""),0.391)</f>
        <v>0.39100000000000001</v>
      </c>
      <c r="W28" s="1">
        <f ca="1">IFERROR(__xludf.DUMMYFUNCTION("""COMPUTED_VALUE"""),446)</f>
        <v>446</v>
      </c>
      <c r="X28" s="1">
        <f ca="1">IFERROR(__xludf.DUMMYFUNCTION("""COMPUTED_VALUE"""),597)</f>
        <v>597</v>
      </c>
      <c r="Y28" s="1">
        <f ca="1">IFERROR(__xludf.DUMMYFUNCTION("""COMPUTED_VALUE"""),0.747)</f>
        <v>0.747</v>
      </c>
      <c r="Z28" s="1">
        <f ca="1">IFERROR(__xludf.DUMMYFUNCTION("""COMPUTED_VALUE"""),323)</f>
        <v>323</v>
      </c>
      <c r="AA28" s="1">
        <f ca="1">IFERROR(__xludf.DUMMYFUNCTION("""COMPUTED_VALUE"""),988)</f>
        <v>988</v>
      </c>
      <c r="AB28" s="1">
        <f ca="1">IFERROR(__xludf.DUMMYFUNCTION("""COMPUTED_VALUE"""),423)</f>
        <v>423</v>
      </c>
      <c r="AC28" s="1">
        <f ca="1">IFERROR(__xludf.DUMMYFUNCTION("""COMPUTED_VALUE"""),212)</f>
        <v>212</v>
      </c>
      <c r="AD28" s="1">
        <f ca="1">IFERROR(__xludf.DUMMYFUNCTION("""COMPUTED_VALUE"""),54)</f>
        <v>54</v>
      </c>
      <c r="AE28" s="1">
        <f ca="1">IFERROR(__xludf.DUMMYFUNCTION("""COMPUTED_VALUE"""),385)</f>
        <v>385</v>
      </c>
      <c r="AF28" s="1">
        <f ca="1">IFERROR(__xludf.DUMMYFUNCTION("""COMPUTED_VALUE"""),599)</f>
        <v>599</v>
      </c>
    </row>
    <row r="29" spans="1:32" ht="12.5" x14ac:dyDescent="0.25">
      <c r="A29" s="1" t="str">
        <f ca="1">IFERROR(__xludf.DUMMYFUNCTION("""COMPUTED_VALUE"""),"Boston College")</f>
        <v>Boston College</v>
      </c>
      <c r="B29" s="1">
        <f ca="1">IFERROR(__xludf.DUMMYFUNCTION("""COMPUTED_VALUE"""),33)</f>
        <v>33</v>
      </c>
      <c r="C29" s="1">
        <f ca="1">IFERROR(__xludf.DUMMYFUNCTION("""COMPUTED_VALUE"""),16)</f>
        <v>16</v>
      </c>
      <c r="D29" s="1">
        <f ca="1">IFERROR(__xludf.DUMMYFUNCTION("""COMPUTED_VALUE"""),17)</f>
        <v>17</v>
      </c>
      <c r="E29" s="1">
        <f ca="1">IFERROR(__xludf.DUMMYFUNCTION("""COMPUTED_VALUE"""),0.485)</f>
        <v>0.48499999999999999</v>
      </c>
      <c r="F29" s="1">
        <f ca="1">IFERROR(__xludf.DUMMYFUNCTION("""COMPUTED_VALUE"""),6.09)</f>
        <v>6.09</v>
      </c>
      <c r="G29" s="1">
        <f ca="1">IFERROR(__xludf.DUMMYFUNCTION("""COMPUTED_VALUE"""),7.03)</f>
        <v>7.03</v>
      </c>
      <c r="H29" s="1">
        <f ca="1">IFERROR(__xludf.DUMMYFUNCTION("""COMPUTED_VALUE"""),7)</f>
        <v>7</v>
      </c>
      <c r="I29" s="1">
        <f ca="1">IFERROR(__xludf.DUMMYFUNCTION("""COMPUTED_VALUE"""),11)</f>
        <v>11</v>
      </c>
      <c r="J29" s="1">
        <f ca="1">IFERROR(__xludf.DUMMYFUNCTION("""COMPUTED_VALUE"""),12)</f>
        <v>12</v>
      </c>
      <c r="K29" s="1">
        <f ca="1">IFERROR(__xludf.DUMMYFUNCTION("""COMPUTED_VALUE"""),6)</f>
        <v>6</v>
      </c>
      <c r="L29" s="1">
        <f ca="1">IFERROR(__xludf.DUMMYFUNCTION("""COMPUTED_VALUE"""),3)</f>
        <v>3</v>
      </c>
      <c r="M29" s="1">
        <f ca="1">IFERROR(__xludf.DUMMYFUNCTION("""COMPUTED_VALUE"""),7)</f>
        <v>7</v>
      </c>
      <c r="N29" s="1">
        <f ca="1">IFERROR(__xludf.DUMMYFUNCTION("""COMPUTED_VALUE"""),2215)</f>
        <v>2215</v>
      </c>
      <c r="O29" s="1">
        <f ca="1">IFERROR(__xludf.DUMMYFUNCTION("""COMPUTED_VALUE"""),2246)</f>
        <v>2246</v>
      </c>
      <c r="P29" s="1">
        <f ca="1">IFERROR(__xludf.DUMMYFUNCTION("""COMPUTED_VALUE"""),1325)</f>
        <v>1325</v>
      </c>
      <c r="Q29" s="1">
        <f ca="1">IFERROR(__xludf.DUMMYFUNCTION("""COMPUTED_VALUE"""),750)</f>
        <v>750</v>
      </c>
      <c r="R29" s="1">
        <f ca="1">IFERROR(__xludf.DUMMYFUNCTION("""COMPUTED_VALUE"""),1701)</f>
        <v>1701</v>
      </c>
      <c r="S29" s="1">
        <f ca="1">IFERROR(__xludf.DUMMYFUNCTION("""COMPUTED_VALUE"""),0.441)</f>
        <v>0.441</v>
      </c>
      <c r="T29" s="1">
        <f ca="1">IFERROR(__xludf.DUMMYFUNCTION("""COMPUTED_VALUE"""),234)</f>
        <v>234</v>
      </c>
      <c r="U29" s="1">
        <f ca="1">IFERROR(__xludf.DUMMYFUNCTION("""COMPUTED_VALUE"""),662)</f>
        <v>662</v>
      </c>
      <c r="V29" s="1">
        <f ca="1">IFERROR(__xludf.DUMMYFUNCTION("""COMPUTED_VALUE"""),0.353)</f>
        <v>0.35299999999999998</v>
      </c>
      <c r="W29" s="1">
        <f ca="1">IFERROR(__xludf.DUMMYFUNCTION("""COMPUTED_VALUE"""),481)</f>
        <v>481</v>
      </c>
      <c r="X29" s="1">
        <f ca="1">IFERROR(__xludf.DUMMYFUNCTION("""COMPUTED_VALUE"""),676)</f>
        <v>676</v>
      </c>
      <c r="Y29" s="1">
        <f ca="1">IFERROR(__xludf.DUMMYFUNCTION("""COMPUTED_VALUE"""),0.712)</f>
        <v>0.71199999999999997</v>
      </c>
      <c r="Z29" s="1">
        <f ca="1">IFERROR(__xludf.DUMMYFUNCTION("""COMPUTED_VALUE"""),289)</f>
        <v>289</v>
      </c>
      <c r="AA29" s="1">
        <f ca="1">IFERROR(__xludf.DUMMYFUNCTION("""COMPUTED_VALUE"""),951)</f>
        <v>951</v>
      </c>
      <c r="AB29" s="1">
        <f ca="1">IFERROR(__xludf.DUMMYFUNCTION("""COMPUTED_VALUE"""),404)</f>
        <v>404</v>
      </c>
      <c r="AC29" s="1">
        <f ca="1">IFERROR(__xludf.DUMMYFUNCTION("""COMPUTED_VALUE"""),184)</f>
        <v>184</v>
      </c>
      <c r="AD29" s="1">
        <f ca="1">IFERROR(__xludf.DUMMYFUNCTION("""COMPUTED_VALUE"""),86)</f>
        <v>86</v>
      </c>
      <c r="AE29" s="1">
        <f ca="1">IFERROR(__xludf.DUMMYFUNCTION("""COMPUTED_VALUE"""),376)</f>
        <v>376</v>
      </c>
      <c r="AF29" s="1">
        <f ca="1">IFERROR(__xludf.DUMMYFUNCTION("""COMPUTED_VALUE"""),519)</f>
        <v>519</v>
      </c>
    </row>
    <row r="30" spans="1:32" ht="12.5" x14ac:dyDescent="0.25">
      <c r="A30" s="1" t="str">
        <f ca="1">IFERROR(__xludf.DUMMYFUNCTION("""COMPUTED_VALUE"""),"Boston University")</f>
        <v>Boston University</v>
      </c>
      <c r="B30" s="1">
        <f ca="1">IFERROR(__xludf.DUMMYFUNCTION("""COMPUTED_VALUE"""),30)</f>
        <v>30</v>
      </c>
      <c r="C30" s="1">
        <f ca="1">IFERROR(__xludf.DUMMYFUNCTION("""COMPUTED_VALUE"""),17)</f>
        <v>17</v>
      </c>
      <c r="D30" s="1">
        <f ca="1">IFERROR(__xludf.DUMMYFUNCTION("""COMPUTED_VALUE"""),13)</f>
        <v>13</v>
      </c>
      <c r="E30" s="1">
        <f ca="1">IFERROR(__xludf.DUMMYFUNCTION("""COMPUTED_VALUE"""),0.567)</f>
        <v>0.56699999999999995</v>
      </c>
      <c r="F30" s="1">
        <f ca="1">IFERROR(__xludf.DUMMYFUNCTION("""COMPUTED_VALUE"""),-0.6)</f>
        <v>-0.6</v>
      </c>
      <c r="G30" s="1">
        <f ca="1">IFERROR(__xludf.DUMMYFUNCTION("""COMPUTED_VALUE"""),-3.93)</f>
        <v>-3.93</v>
      </c>
      <c r="H30" s="1">
        <f ca="1">IFERROR(__xludf.DUMMYFUNCTION("""COMPUTED_VALUE"""),11)</f>
        <v>11</v>
      </c>
      <c r="I30" s="1">
        <f ca="1">IFERROR(__xludf.DUMMYFUNCTION("""COMPUTED_VALUE"""),5)</f>
        <v>5</v>
      </c>
      <c r="J30" s="1">
        <f ca="1">IFERROR(__xludf.DUMMYFUNCTION("""COMPUTED_VALUE"""),9)</f>
        <v>9</v>
      </c>
      <c r="K30" s="1">
        <f ca="1">IFERROR(__xludf.DUMMYFUNCTION("""COMPUTED_VALUE"""),3)</f>
        <v>3</v>
      </c>
      <c r="L30" s="1">
        <f ca="1">IFERROR(__xludf.DUMMYFUNCTION("""COMPUTED_VALUE"""),7)</f>
        <v>7</v>
      </c>
      <c r="M30" s="1">
        <f ca="1">IFERROR(__xludf.DUMMYFUNCTION("""COMPUTED_VALUE"""),9)</f>
        <v>9</v>
      </c>
      <c r="N30" s="1">
        <f ca="1">IFERROR(__xludf.DUMMYFUNCTION("""COMPUTED_VALUE"""),2035)</f>
        <v>2035</v>
      </c>
      <c r="O30" s="1">
        <f ca="1">IFERROR(__xludf.DUMMYFUNCTION("""COMPUTED_VALUE"""),1935)</f>
        <v>1935</v>
      </c>
      <c r="P30" s="1">
        <f ca="1">IFERROR(__xludf.DUMMYFUNCTION("""COMPUTED_VALUE"""),1210)</f>
        <v>1210</v>
      </c>
      <c r="Q30" s="1">
        <f ca="1">IFERROR(__xludf.DUMMYFUNCTION("""COMPUTED_VALUE"""),739)</f>
        <v>739</v>
      </c>
      <c r="R30" s="1">
        <f ca="1">IFERROR(__xludf.DUMMYFUNCTION("""COMPUTED_VALUE"""),1647)</f>
        <v>1647</v>
      </c>
      <c r="S30" s="1">
        <f ca="1">IFERROR(__xludf.DUMMYFUNCTION("""COMPUTED_VALUE"""),0.449)</f>
        <v>0.44900000000000001</v>
      </c>
      <c r="T30" s="1">
        <f ca="1">IFERROR(__xludf.DUMMYFUNCTION("""COMPUTED_VALUE"""),240)</f>
        <v>240</v>
      </c>
      <c r="U30" s="1">
        <f ca="1">IFERROR(__xludf.DUMMYFUNCTION("""COMPUTED_VALUE"""),648)</f>
        <v>648</v>
      </c>
      <c r="V30" s="1">
        <f ca="1">IFERROR(__xludf.DUMMYFUNCTION("""COMPUTED_VALUE"""),0.37)</f>
        <v>0.37</v>
      </c>
      <c r="W30" s="1">
        <f ca="1">IFERROR(__xludf.DUMMYFUNCTION("""COMPUTED_VALUE"""),317)</f>
        <v>317</v>
      </c>
      <c r="X30" s="1">
        <f ca="1">IFERROR(__xludf.DUMMYFUNCTION("""COMPUTED_VALUE"""),436)</f>
        <v>436</v>
      </c>
      <c r="Y30" s="1">
        <f ca="1">IFERROR(__xludf.DUMMYFUNCTION("""COMPUTED_VALUE"""),0.727)</f>
        <v>0.72699999999999998</v>
      </c>
      <c r="Z30" s="1">
        <f ca="1">IFERROR(__xludf.DUMMYFUNCTION("""COMPUTED_VALUE"""),254)</f>
        <v>254</v>
      </c>
      <c r="AA30" s="1">
        <f ca="1">IFERROR(__xludf.DUMMYFUNCTION("""COMPUTED_VALUE"""),862)</f>
        <v>862</v>
      </c>
      <c r="AB30" s="1">
        <f ca="1">IFERROR(__xludf.DUMMYFUNCTION("""COMPUTED_VALUE"""),408)</f>
        <v>408</v>
      </c>
      <c r="AC30" s="1">
        <f ca="1">IFERROR(__xludf.DUMMYFUNCTION("""COMPUTED_VALUE"""),223)</f>
        <v>223</v>
      </c>
      <c r="AD30" s="1">
        <f ca="1">IFERROR(__xludf.DUMMYFUNCTION("""COMPUTED_VALUE"""),53)</f>
        <v>53</v>
      </c>
      <c r="AE30" s="1">
        <f ca="1">IFERROR(__xludf.DUMMYFUNCTION("""COMPUTED_VALUE"""),374)</f>
        <v>374</v>
      </c>
      <c r="AF30" s="1">
        <f ca="1">IFERROR(__xludf.DUMMYFUNCTION("""COMPUTED_VALUE"""),504)</f>
        <v>504</v>
      </c>
    </row>
    <row r="31" spans="1:32" ht="12.5" x14ac:dyDescent="0.25">
      <c r="A31" s="1" t="str">
        <f ca="1">IFERROR(__xludf.DUMMYFUNCTION("""COMPUTED_VALUE"""),"Bowling Green State")</f>
        <v>Bowling Green State</v>
      </c>
      <c r="B31" s="1">
        <f ca="1">IFERROR(__xludf.DUMMYFUNCTION("""COMPUTED_VALUE"""),32)</f>
        <v>32</v>
      </c>
      <c r="C31" s="1">
        <f ca="1">IFERROR(__xludf.DUMMYFUNCTION("""COMPUTED_VALUE"""),13)</f>
        <v>13</v>
      </c>
      <c r="D31" s="1">
        <f ca="1">IFERROR(__xludf.DUMMYFUNCTION("""COMPUTED_VALUE"""),19)</f>
        <v>19</v>
      </c>
      <c r="E31" s="1">
        <f ca="1">IFERROR(__xludf.DUMMYFUNCTION("""COMPUTED_VALUE"""),0.406)</f>
        <v>0.40600000000000003</v>
      </c>
      <c r="F31" s="1">
        <f ca="1">IFERROR(__xludf.DUMMYFUNCTION("""COMPUTED_VALUE"""),-3.32)</f>
        <v>-3.32</v>
      </c>
      <c r="G31" s="1">
        <f ca="1">IFERROR(__xludf.DUMMYFUNCTION("""COMPUTED_VALUE"""),-1.75)</f>
        <v>-1.75</v>
      </c>
      <c r="H31" s="1">
        <f ca="1">IFERROR(__xludf.DUMMYFUNCTION("""COMPUTED_VALUE"""),7)</f>
        <v>7</v>
      </c>
      <c r="I31" s="1">
        <f ca="1">IFERROR(__xludf.DUMMYFUNCTION("""COMPUTED_VALUE"""),9)</f>
        <v>9</v>
      </c>
      <c r="J31" s="1">
        <f ca="1">IFERROR(__xludf.DUMMYFUNCTION("""COMPUTED_VALUE"""),11)</f>
        <v>11</v>
      </c>
      <c r="K31" s="1">
        <f ca="1">IFERROR(__xludf.DUMMYFUNCTION("""COMPUTED_VALUE"""),5)</f>
        <v>5</v>
      </c>
      <c r="L31" s="1">
        <f ca="1">IFERROR(__xludf.DUMMYFUNCTION("""COMPUTED_VALUE"""),1)</f>
        <v>1</v>
      </c>
      <c r="M31" s="1">
        <f ca="1">IFERROR(__xludf.DUMMYFUNCTION("""COMPUTED_VALUE"""),12)</f>
        <v>12</v>
      </c>
      <c r="N31" s="1">
        <f ca="1">IFERROR(__xludf.DUMMYFUNCTION("""COMPUTED_VALUE"""),2010)</f>
        <v>2010</v>
      </c>
      <c r="O31" s="1">
        <f ca="1">IFERROR(__xludf.DUMMYFUNCTION("""COMPUTED_VALUE"""),2033)</f>
        <v>2033</v>
      </c>
      <c r="P31" s="1">
        <f ca="1">IFERROR(__xludf.DUMMYFUNCTION("""COMPUTED_VALUE"""),1300)</f>
        <v>1300</v>
      </c>
      <c r="Q31" s="1">
        <f ca="1">IFERROR(__xludf.DUMMYFUNCTION("""COMPUTED_VALUE"""),753)</f>
        <v>753</v>
      </c>
      <c r="R31" s="1">
        <f ca="1">IFERROR(__xludf.DUMMYFUNCTION("""COMPUTED_VALUE"""),1795)</f>
        <v>1795</v>
      </c>
      <c r="S31" s="1">
        <f ca="1">IFERROR(__xludf.DUMMYFUNCTION("""COMPUTED_VALUE"""),0.419)</f>
        <v>0.41899999999999998</v>
      </c>
      <c r="T31" s="1">
        <f ca="1">IFERROR(__xludf.DUMMYFUNCTION("""COMPUTED_VALUE"""),158)</f>
        <v>158</v>
      </c>
      <c r="U31" s="1">
        <f ca="1">IFERROR(__xludf.DUMMYFUNCTION("""COMPUTED_VALUE"""),516)</f>
        <v>516</v>
      </c>
      <c r="V31" s="1">
        <f ca="1">IFERROR(__xludf.DUMMYFUNCTION("""COMPUTED_VALUE"""),0.306)</f>
        <v>0.30599999999999999</v>
      </c>
      <c r="W31" s="1">
        <f ca="1">IFERROR(__xludf.DUMMYFUNCTION("""COMPUTED_VALUE"""),346)</f>
        <v>346</v>
      </c>
      <c r="X31" s="1">
        <f ca="1">IFERROR(__xludf.DUMMYFUNCTION("""COMPUTED_VALUE"""),484)</f>
        <v>484</v>
      </c>
      <c r="Y31" s="1">
        <f ca="1">IFERROR(__xludf.DUMMYFUNCTION("""COMPUTED_VALUE"""),0.715)</f>
        <v>0.71499999999999997</v>
      </c>
      <c r="Z31" s="1">
        <f ca="1">IFERROR(__xludf.DUMMYFUNCTION("""COMPUTED_VALUE"""),349)</f>
        <v>349</v>
      </c>
      <c r="AA31" s="1">
        <f ca="1">IFERROR(__xludf.DUMMYFUNCTION("""COMPUTED_VALUE"""),1000)</f>
        <v>1000</v>
      </c>
      <c r="AB31" s="1">
        <f ca="1">IFERROR(__xludf.DUMMYFUNCTION("""COMPUTED_VALUE"""),385)</f>
        <v>385</v>
      </c>
      <c r="AC31" s="1">
        <f ca="1">IFERROR(__xludf.DUMMYFUNCTION("""COMPUTED_VALUE"""),236)</f>
        <v>236</v>
      </c>
      <c r="AD31" s="1">
        <f ca="1">IFERROR(__xludf.DUMMYFUNCTION("""COMPUTED_VALUE"""),136)</f>
        <v>136</v>
      </c>
      <c r="AE31" s="1">
        <f ca="1">IFERROR(__xludf.DUMMYFUNCTION("""COMPUTED_VALUE"""),410)</f>
        <v>410</v>
      </c>
      <c r="AF31" s="1">
        <f ca="1">IFERROR(__xludf.DUMMYFUNCTION("""COMPUTED_VALUE"""),515)</f>
        <v>515</v>
      </c>
    </row>
    <row r="32" spans="1:32" ht="12.5" x14ac:dyDescent="0.25">
      <c r="A32" s="1" t="str">
        <f ca="1">IFERROR(__xludf.DUMMYFUNCTION("""COMPUTED_VALUE"""),"Bradley")</f>
        <v>Bradley</v>
      </c>
      <c r="B32" s="1">
        <f ca="1">IFERROR(__xludf.DUMMYFUNCTION("""COMPUTED_VALUE"""),35)</f>
        <v>35</v>
      </c>
      <c r="C32" s="1">
        <f ca="1">IFERROR(__xludf.DUMMYFUNCTION("""COMPUTED_VALUE"""),18)</f>
        <v>18</v>
      </c>
      <c r="D32" s="1">
        <f ca="1">IFERROR(__xludf.DUMMYFUNCTION("""COMPUTED_VALUE"""),17)</f>
        <v>17</v>
      </c>
      <c r="E32" s="1">
        <f ca="1">IFERROR(__xludf.DUMMYFUNCTION("""COMPUTED_VALUE"""),0.514)</f>
        <v>0.51400000000000001</v>
      </c>
      <c r="F32" s="1">
        <f ca="1">IFERROR(__xludf.DUMMYFUNCTION("""COMPUTED_VALUE"""),1.25)</f>
        <v>1.25</v>
      </c>
      <c r="G32" s="1">
        <f ca="1">IFERROR(__xludf.DUMMYFUNCTION("""COMPUTED_VALUE"""),1.97)</f>
        <v>1.97</v>
      </c>
      <c r="H32" s="1">
        <f ca="1">IFERROR(__xludf.DUMMYFUNCTION("""COMPUTED_VALUE"""),7)</f>
        <v>7</v>
      </c>
      <c r="I32" s="1">
        <f ca="1">IFERROR(__xludf.DUMMYFUNCTION("""COMPUTED_VALUE"""),11)</f>
        <v>11</v>
      </c>
      <c r="J32" s="1">
        <f ca="1">IFERROR(__xludf.DUMMYFUNCTION("""COMPUTED_VALUE"""),14)</f>
        <v>14</v>
      </c>
      <c r="K32" s="1">
        <f ca="1">IFERROR(__xludf.DUMMYFUNCTION("""COMPUTED_VALUE"""),4)</f>
        <v>4</v>
      </c>
      <c r="L32" s="1">
        <f ca="1">IFERROR(__xludf.DUMMYFUNCTION("""COMPUTED_VALUE"""),4)</f>
        <v>4</v>
      </c>
      <c r="M32" s="1">
        <f ca="1">IFERROR(__xludf.DUMMYFUNCTION("""COMPUTED_VALUE"""),10)</f>
        <v>10</v>
      </c>
      <c r="N32" s="1">
        <f ca="1">IFERROR(__xludf.DUMMYFUNCTION("""COMPUTED_VALUE"""),2371)</f>
        <v>2371</v>
      </c>
      <c r="O32" s="1">
        <f ca="1">IFERROR(__xludf.DUMMYFUNCTION("""COMPUTED_VALUE"""),2396)</f>
        <v>2396</v>
      </c>
      <c r="P32" s="1">
        <f ca="1">IFERROR(__xludf.DUMMYFUNCTION("""COMPUTED_VALUE"""),1410)</f>
        <v>1410</v>
      </c>
      <c r="Q32" s="1">
        <f ca="1">IFERROR(__xludf.DUMMYFUNCTION("""COMPUTED_VALUE"""),876)</f>
        <v>876</v>
      </c>
      <c r="R32" s="1">
        <f ca="1">IFERROR(__xludf.DUMMYFUNCTION("""COMPUTED_VALUE"""),2006)</f>
        <v>2006</v>
      </c>
      <c r="S32" s="1">
        <f ca="1">IFERROR(__xludf.DUMMYFUNCTION("""COMPUTED_VALUE"""),0.437)</f>
        <v>0.437</v>
      </c>
      <c r="T32" s="1">
        <f ca="1">IFERROR(__xludf.DUMMYFUNCTION("""COMPUTED_VALUE"""),185)</f>
        <v>185</v>
      </c>
      <c r="U32" s="1">
        <f ca="1">IFERROR(__xludf.DUMMYFUNCTION("""COMPUTED_VALUE"""),580)</f>
        <v>580</v>
      </c>
      <c r="V32" s="1">
        <f ca="1">IFERROR(__xludf.DUMMYFUNCTION("""COMPUTED_VALUE"""),0.319)</f>
        <v>0.31900000000000001</v>
      </c>
      <c r="W32" s="1">
        <f ca="1">IFERROR(__xludf.DUMMYFUNCTION("""COMPUTED_VALUE"""),434)</f>
        <v>434</v>
      </c>
      <c r="X32" s="1">
        <f ca="1">IFERROR(__xludf.DUMMYFUNCTION("""COMPUTED_VALUE"""),600)</f>
        <v>600</v>
      </c>
      <c r="Y32" s="1">
        <f ca="1">IFERROR(__xludf.DUMMYFUNCTION("""COMPUTED_VALUE"""),0.723)</f>
        <v>0.72299999999999998</v>
      </c>
      <c r="Z32" s="1">
        <f ca="1">IFERROR(__xludf.DUMMYFUNCTION("""COMPUTED_VALUE"""),373)</f>
        <v>373</v>
      </c>
      <c r="AA32" s="1">
        <f ca="1">IFERROR(__xludf.DUMMYFUNCTION("""COMPUTED_VALUE"""),1048)</f>
        <v>1048</v>
      </c>
      <c r="AB32" s="1">
        <f ca="1">IFERROR(__xludf.DUMMYFUNCTION("""COMPUTED_VALUE"""),439)</f>
        <v>439</v>
      </c>
      <c r="AC32" s="1">
        <f ca="1">IFERROR(__xludf.DUMMYFUNCTION("""COMPUTED_VALUE"""),318)</f>
        <v>318</v>
      </c>
      <c r="AD32" s="1">
        <f ca="1">IFERROR(__xludf.DUMMYFUNCTION("""COMPUTED_VALUE"""),84)</f>
        <v>84</v>
      </c>
      <c r="AE32" s="1">
        <f ca="1">IFERROR(__xludf.DUMMYFUNCTION("""COMPUTED_VALUE"""),415)</f>
        <v>415</v>
      </c>
      <c r="AF32" s="1">
        <f ca="1">IFERROR(__xludf.DUMMYFUNCTION("""COMPUTED_VALUE"""),615)</f>
        <v>615</v>
      </c>
    </row>
    <row r="33" spans="1:32" ht="12.5" x14ac:dyDescent="0.25">
      <c r="A33" s="1" t="str">
        <f ca="1">IFERROR(__xludf.DUMMYFUNCTION("""COMPUTED_VALUE"""),"Brigham Young")</f>
        <v>Brigham Young</v>
      </c>
      <c r="B33" s="1">
        <f ca="1">IFERROR(__xludf.DUMMYFUNCTION("""COMPUTED_VALUE"""),36)</f>
        <v>36</v>
      </c>
      <c r="C33" s="1">
        <f ca="1">IFERROR(__xludf.DUMMYFUNCTION("""COMPUTED_VALUE"""),24)</f>
        <v>24</v>
      </c>
      <c r="D33" s="1">
        <f ca="1">IFERROR(__xludf.DUMMYFUNCTION("""COMPUTED_VALUE"""),12)</f>
        <v>12</v>
      </c>
      <c r="E33" s="1">
        <f ca="1">IFERROR(__xludf.DUMMYFUNCTION("""COMPUTED_VALUE"""),0.667)</f>
        <v>0.66700000000000004</v>
      </c>
      <c r="F33" s="1">
        <f ca="1">IFERROR(__xludf.DUMMYFUNCTION("""COMPUTED_VALUE"""),10.66)</f>
        <v>10.66</v>
      </c>
      <c r="G33" s="1">
        <f ca="1">IFERROR(__xludf.DUMMYFUNCTION("""COMPUTED_VALUE"""),3.75)</f>
        <v>3.75</v>
      </c>
      <c r="H33" s="1">
        <f ca="1">IFERROR(__xludf.DUMMYFUNCTION("""COMPUTED_VALUE"""),10)</f>
        <v>10</v>
      </c>
      <c r="I33" s="1">
        <f ca="1">IFERROR(__xludf.DUMMYFUNCTION("""COMPUTED_VALUE"""),6)</f>
        <v>6</v>
      </c>
      <c r="J33" s="1">
        <f ca="1">IFERROR(__xludf.DUMMYFUNCTION("""COMPUTED_VALUE"""),15)</f>
        <v>15</v>
      </c>
      <c r="K33" s="1">
        <f ca="1">IFERROR(__xludf.DUMMYFUNCTION("""COMPUTED_VALUE"""),3)</f>
        <v>3</v>
      </c>
      <c r="L33" s="1">
        <f ca="1">IFERROR(__xludf.DUMMYFUNCTION("""COMPUTED_VALUE"""),7)</f>
        <v>7</v>
      </c>
      <c r="M33" s="1">
        <f ca="1">IFERROR(__xludf.DUMMYFUNCTION("""COMPUTED_VALUE"""),5)</f>
        <v>5</v>
      </c>
      <c r="N33" s="1">
        <f ca="1">IFERROR(__xludf.DUMMYFUNCTION("""COMPUTED_VALUE"""),2777)</f>
        <v>2777</v>
      </c>
      <c r="O33" s="1">
        <f ca="1">IFERROR(__xludf.DUMMYFUNCTION("""COMPUTED_VALUE"""),2502)</f>
        <v>2502</v>
      </c>
      <c r="P33" s="1">
        <f ca="1">IFERROR(__xludf.DUMMYFUNCTION("""COMPUTED_VALUE"""),1440)</f>
        <v>1440</v>
      </c>
      <c r="Q33" s="1">
        <f ca="1">IFERROR(__xludf.DUMMYFUNCTION("""COMPUTED_VALUE"""),999)</f>
        <v>999</v>
      </c>
      <c r="R33" s="1">
        <f ca="1">IFERROR(__xludf.DUMMYFUNCTION("""COMPUTED_VALUE"""),2188)</f>
        <v>2188</v>
      </c>
      <c r="S33" s="1">
        <f ca="1">IFERROR(__xludf.DUMMYFUNCTION("""COMPUTED_VALUE"""),0.457)</f>
        <v>0.45700000000000002</v>
      </c>
      <c r="T33" s="1">
        <f ca="1">IFERROR(__xludf.DUMMYFUNCTION("""COMPUTED_VALUE"""),213)</f>
        <v>213</v>
      </c>
      <c r="U33" s="1">
        <f ca="1">IFERROR(__xludf.DUMMYFUNCTION("""COMPUTED_VALUE"""),630)</f>
        <v>630</v>
      </c>
      <c r="V33" s="1">
        <f ca="1">IFERROR(__xludf.DUMMYFUNCTION("""COMPUTED_VALUE"""),0.338)</f>
        <v>0.33800000000000002</v>
      </c>
      <c r="W33" s="1">
        <f ca="1">IFERROR(__xludf.DUMMYFUNCTION("""COMPUTED_VALUE"""),566)</f>
        <v>566</v>
      </c>
      <c r="X33" s="1">
        <f ca="1">IFERROR(__xludf.DUMMYFUNCTION("""COMPUTED_VALUE"""),777)</f>
        <v>777</v>
      </c>
      <c r="Y33" s="1">
        <f ca="1">IFERROR(__xludf.DUMMYFUNCTION("""COMPUTED_VALUE"""),0.728)</f>
        <v>0.72799999999999998</v>
      </c>
      <c r="Z33" s="1">
        <f ca="1">IFERROR(__xludf.DUMMYFUNCTION("""COMPUTED_VALUE"""),433)</f>
        <v>433</v>
      </c>
      <c r="AA33" s="1">
        <f ca="1">IFERROR(__xludf.DUMMYFUNCTION("""COMPUTED_VALUE"""),1278)</f>
        <v>1278</v>
      </c>
      <c r="AB33" s="1">
        <f ca="1">IFERROR(__xludf.DUMMYFUNCTION("""COMPUTED_VALUE"""),575)</f>
        <v>575</v>
      </c>
      <c r="AC33" s="1">
        <f ca="1">IFERROR(__xludf.DUMMYFUNCTION("""COMPUTED_VALUE"""),291)</f>
        <v>291</v>
      </c>
      <c r="AD33" s="1">
        <f ca="1">IFERROR(__xludf.DUMMYFUNCTION("""COMPUTED_VALUE"""),89)</f>
        <v>89</v>
      </c>
      <c r="AE33" s="1">
        <f ca="1">IFERROR(__xludf.DUMMYFUNCTION("""COMPUTED_VALUE"""),432)</f>
        <v>432</v>
      </c>
      <c r="AF33" s="1">
        <f ca="1">IFERROR(__xludf.DUMMYFUNCTION("""COMPUTED_VALUE"""),678)</f>
        <v>678</v>
      </c>
    </row>
    <row r="34" spans="1:32" ht="12.5" x14ac:dyDescent="0.25">
      <c r="A34" s="1" t="str">
        <f ca="1">IFERROR(__xludf.DUMMYFUNCTION("""COMPUTED_VALUE"""),"Brown")</f>
        <v>Brown</v>
      </c>
      <c r="B34" s="1">
        <f ca="1">IFERROR(__xludf.DUMMYFUNCTION("""COMPUTED_VALUE"""),28)</f>
        <v>28</v>
      </c>
      <c r="C34" s="1">
        <f ca="1">IFERROR(__xludf.DUMMYFUNCTION("""COMPUTED_VALUE"""),13)</f>
        <v>13</v>
      </c>
      <c r="D34" s="1">
        <f ca="1">IFERROR(__xludf.DUMMYFUNCTION("""COMPUTED_VALUE"""),15)</f>
        <v>15</v>
      </c>
      <c r="E34" s="1">
        <f ca="1">IFERROR(__xludf.DUMMYFUNCTION("""COMPUTED_VALUE"""),0.464)</f>
        <v>0.46400000000000002</v>
      </c>
      <c r="F34" s="1">
        <f ca="1">IFERROR(__xludf.DUMMYFUNCTION("""COMPUTED_VALUE"""),-6.33)</f>
        <v>-6.33</v>
      </c>
      <c r="G34" s="1">
        <f ca="1">IFERROR(__xludf.DUMMYFUNCTION("""COMPUTED_VALUE"""),-3.03)</f>
        <v>-3.03</v>
      </c>
      <c r="H34" s="1">
        <f ca="1">IFERROR(__xludf.DUMMYFUNCTION("""COMPUTED_VALUE"""),7)</f>
        <v>7</v>
      </c>
      <c r="I34" s="1">
        <f ca="1">IFERROR(__xludf.DUMMYFUNCTION("""COMPUTED_VALUE"""),7)</f>
        <v>7</v>
      </c>
      <c r="J34" s="1">
        <f ca="1">IFERROR(__xludf.DUMMYFUNCTION("""COMPUTED_VALUE"""),8)</f>
        <v>8</v>
      </c>
      <c r="K34" s="1">
        <f ca="1">IFERROR(__xludf.DUMMYFUNCTION("""COMPUTED_VALUE"""),5)</f>
        <v>5</v>
      </c>
      <c r="L34" s="1">
        <f ca="1">IFERROR(__xludf.DUMMYFUNCTION("""COMPUTED_VALUE"""),5)</f>
        <v>5</v>
      </c>
      <c r="M34" s="1">
        <f ca="1">IFERROR(__xludf.DUMMYFUNCTION("""COMPUTED_VALUE"""),10)</f>
        <v>10</v>
      </c>
      <c r="N34" s="1">
        <f ca="1">IFERROR(__xludf.DUMMYFUNCTION("""COMPUTED_VALUE"""),1748)</f>
        <v>1748</v>
      </c>
      <c r="O34" s="1">
        <f ca="1">IFERROR(__xludf.DUMMYFUNCTION("""COMPUTED_VALUE"""),1800)</f>
        <v>1800</v>
      </c>
      <c r="P34" s="1">
        <f ca="1">IFERROR(__xludf.DUMMYFUNCTION("""COMPUTED_VALUE"""),1145)</f>
        <v>1145</v>
      </c>
      <c r="Q34" s="1">
        <f ca="1">IFERROR(__xludf.DUMMYFUNCTION("""COMPUTED_VALUE"""),610)</f>
        <v>610</v>
      </c>
      <c r="R34" s="1">
        <f ca="1">IFERROR(__xludf.DUMMYFUNCTION("""COMPUTED_VALUE"""),1490)</f>
        <v>1490</v>
      </c>
      <c r="S34" s="1">
        <f ca="1">IFERROR(__xludf.DUMMYFUNCTION("""COMPUTED_VALUE"""),0.409)</f>
        <v>0.40899999999999997</v>
      </c>
      <c r="T34" s="1">
        <f ca="1">IFERROR(__xludf.DUMMYFUNCTION("""COMPUTED_VALUE"""),205)</f>
        <v>205</v>
      </c>
      <c r="U34" s="1">
        <f ca="1">IFERROR(__xludf.DUMMYFUNCTION("""COMPUTED_VALUE"""),594)</f>
        <v>594</v>
      </c>
      <c r="V34" s="1">
        <f ca="1">IFERROR(__xludf.DUMMYFUNCTION("""COMPUTED_VALUE"""),0.345)</f>
        <v>0.34499999999999997</v>
      </c>
      <c r="W34" s="1">
        <f ca="1">IFERROR(__xludf.DUMMYFUNCTION("""COMPUTED_VALUE"""),323)</f>
        <v>323</v>
      </c>
      <c r="X34" s="1">
        <f ca="1">IFERROR(__xludf.DUMMYFUNCTION("""COMPUTED_VALUE"""),512)</f>
        <v>512</v>
      </c>
      <c r="Y34" s="1">
        <f ca="1">IFERROR(__xludf.DUMMYFUNCTION("""COMPUTED_VALUE"""),0.631)</f>
        <v>0.63100000000000001</v>
      </c>
      <c r="Z34" s="1">
        <f ca="1">IFERROR(__xludf.DUMMYFUNCTION("""COMPUTED_VALUE"""),306)</f>
        <v>306</v>
      </c>
      <c r="AA34" s="1">
        <f ca="1">IFERROR(__xludf.DUMMYFUNCTION("""COMPUTED_VALUE"""),928)</f>
        <v>928</v>
      </c>
      <c r="AB34" s="1">
        <f ca="1">IFERROR(__xludf.DUMMYFUNCTION("""COMPUTED_VALUE"""),349)</f>
        <v>349</v>
      </c>
      <c r="AC34" s="1">
        <f ca="1">IFERROR(__xludf.DUMMYFUNCTION("""COMPUTED_VALUE"""),185)</f>
        <v>185</v>
      </c>
      <c r="AD34" s="1">
        <f ca="1">IFERROR(__xludf.DUMMYFUNCTION("""COMPUTED_VALUE"""),103)</f>
        <v>103</v>
      </c>
      <c r="AE34" s="1">
        <f ca="1">IFERROR(__xludf.DUMMYFUNCTION("""COMPUTED_VALUE"""),396)</f>
        <v>396</v>
      </c>
      <c r="AF34" s="1">
        <f ca="1">IFERROR(__xludf.DUMMYFUNCTION("""COMPUTED_VALUE"""),471)</f>
        <v>471</v>
      </c>
    </row>
    <row r="35" spans="1:32" ht="12.5" x14ac:dyDescent="0.25">
      <c r="A35" s="1" t="str">
        <f ca="1">IFERROR(__xludf.DUMMYFUNCTION("""COMPUTED_VALUE"""),"Bryant")</f>
        <v>Bryant</v>
      </c>
      <c r="B35" s="1">
        <f ca="1">IFERROR(__xludf.DUMMYFUNCTION("""COMPUTED_VALUE"""),31)</f>
        <v>31</v>
      </c>
      <c r="C35" s="1">
        <f ca="1">IFERROR(__xludf.DUMMYFUNCTION("""COMPUTED_VALUE"""),19)</f>
        <v>19</v>
      </c>
      <c r="D35" s="1">
        <f ca="1">IFERROR(__xludf.DUMMYFUNCTION("""COMPUTED_VALUE"""),12)</f>
        <v>12</v>
      </c>
      <c r="E35" s="1">
        <f ca="1">IFERROR(__xludf.DUMMYFUNCTION("""COMPUTED_VALUE"""),0.613)</f>
        <v>0.61299999999999999</v>
      </c>
      <c r="F35" s="1">
        <f ca="1">IFERROR(__xludf.DUMMYFUNCTION("""COMPUTED_VALUE"""),-2.08)</f>
        <v>-2.08</v>
      </c>
      <c r="G35" s="1">
        <f ca="1">IFERROR(__xludf.DUMMYFUNCTION("""COMPUTED_VALUE"""),-4.72)</f>
        <v>-4.72</v>
      </c>
      <c r="H35" s="1">
        <f ca="1">IFERROR(__xludf.DUMMYFUNCTION("""COMPUTED_VALUE"""),12)</f>
        <v>12</v>
      </c>
      <c r="I35" s="1">
        <f ca="1">IFERROR(__xludf.DUMMYFUNCTION("""COMPUTED_VALUE"""),6)</f>
        <v>6</v>
      </c>
      <c r="J35" s="1">
        <f ca="1">IFERROR(__xludf.DUMMYFUNCTION("""COMPUTED_VALUE"""),11)</f>
        <v>11</v>
      </c>
      <c r="K35" s="1">
        <f ca="1">IFERROR(__xludf.DUMMYFUNCTION("""COMPUTED_VALUE"""),5)</f>
        <v>5</v>
      </c>
      <c r="L35" s="1">
        <f ca="1">IFERROR(__xludf.DUMMYFUNCTION("""COMPUTED_VALUE"""),8)</f>
        <v>8</v>
      </c>
      <c r="M35" s="1">
        <f ca="1">IFERROR(__xludf.DUMMYFUNCTION("""COMPUTED_VALUE"""),7)</f>
        <v>7</v>
      </c>
      <c r="N35" s="1">
        <f ca="1">IFERROR(__xludf.DUMMYFUNCTION("""COMPUTED_VALUE"""),2294)</f>
        <v>2294</v>
      </c>
      <c r="O35" s="1">
        <f ca="1">IFERROR(__xludf.DUMMYFUNCTION("""COMPUTED_VALUE"""),2212)</f>
        <v>2212</v>
      </c>
      <c r="P35" s="1">
        <f ca="1">IFERROR(__xludf.DUMMYFUNCTION("""COMPUTED_VALUE"""),1245)</f>
        <v>1245</v>
      </c>
      <c r="Q35" s="1">
        <f ca="1">IFERROR(__xludf.DUMMYFUNCTION("""COMPUTED_VALUE"""),812)</f>
        <v>812</v>
      </c>
      <c r="R35" s="1">
        <f ca="1">IFERROR(__xludf.DUMMYFUNCTION("""COMPUTED_VALUE"""),1693)</f>
        <v>1693</v>
      </c>
      <c r="S35" s="1">
        <f ca="1">IFERROR(__xludf.DUMMYFUNCTION("""COMPUTED_VALUE"""),0.48)</f>
        <v>0.48</v>
      </c>
      <c r="T35" s="1">
        <f ca="1">IFERROR(__xludf.DUMMYFUNCTION("""COMPUTED_VALUE"""),217)</f>
        <v>217</v>
      </c>
      <c r="U35" s="1">
        <f ca="1">IFERROR(__xludf.DUMMYFUNCTION("""COMPUTED_VALUE"""),610)</f>
        <v>610</v>
      </c>
      <c r="V35" s="1">
        <f ca="1">IFERROR(__xludf.DUMMYFUNCTION("""COMPUTED_VALUE"""),0.356)</f>
        <v>0.35599999999999998</v>
      </c>
      <c r="W35" s="1">
        <f ca="1">IFERROR(__xludf.DUMMYFUNCTION("""COMPUTED_VALUE"""),453)</f>
        <v>453</v>
      </c>
      <c r="X35" s="1">
        <f ca="1">IFERROR(__xludf.DUMMYFUNCTION("""COMPUTED_VALUE"""),627)</f>
        <v>627</v>
      </c>
      <c r="Y35" s="1">
        <f ca="1">IFERROR(__xludf.DUMMYFUNCTION("""COMPUTED_VALUE"""),0.722)</f>
        <v>0.72199999999999998</v>
      </c>
      <c r="Z35" s="1">
        <f ca="1">IFERROR(__xludf.DUMMYFUNCTION("""COMPUTED_VALUE"""),303)</f>
        <v>303</v>
      </c>
      <c r="AA35" s="1">
        <f ca="1">IFERROR(__xludf.DUMMYFUNCTION("""COMPUTED_VALUE"""),942)</f>
        <v>942</v>
      </c>
      <c r="AB35" s="1">
        <f ca="1">IFERROR(__xludf.DUMMYFUNCTION("""COMPUTED_VALUE"""),470)</f>
        <v>470</v>
      </c>
      <c r="AC35" s="1">
        <f ca="1">IFERROR(__xludf.DUMMYFUNCTION("""COMPUTED_VALUE"""),158)</f>
        <v>158</v>
      </c>
      <c r="AD35" s="1">
        <f ca="1">IFERROR(__xludf.DUMMYFUNCTION("""COMPUTED_VALUE"""),35)</f>
        <v>35</v>
      </c>
      <c r="AE35" s="1">
        <f ca="1">IFERROR(__xludf.DUMMYFUNCTION("""COMPUTED_VALUE"""),400)</f>
        <v>400</v>
      </c>
      <c r="AF35" s="1">
        <f ca="1">IFERROR(__xludf.DUMMYFUNCTION("""COMPUTED_VALUE"""),512)</f>
        <v>512</v>
      </c>
    </row>
    <row r="36" spans="1:32" ht="12.5" x14ac:dyDescent="0.25">
      <c r="A36" s="1" t="str">
        <f ca="1">IFERROR(__xludf.DUMMYFUNCTION("""COMPUTED_VALUE"""),"BucknellNCAA")</f>
        <v>BucknellNCAA</v>
      </c>
      <c r="B36" s="1">
        <f ca="1">IFERROR(__xludf.DUMMYFUNCTION("""COMPUTED_VALUE"""),34)</f>
        <v>34</v>
      </c>
      <c r="C36" s="1">
        <f ca="1">IFERROR(__xludf.DUMMYFUNCTION("""COMPUTED_VALUE"""),28)</f>
        <v>28</v>
      </c>
      <c r="D36" s="1">
        <f ca="1">IFERROR(__xludf.DUMMYFUNCTION("""COMPUTED_VALUE"""),6)</f>
        <v>6</v>
      </c>
      <c r="E36" s="1">
        <f ca="1">IFERROR(__xludf.DUMMYFUNCTION("""COMPUTED_VALUE"""),0.824)</f>
        <v>0.82399999999999995</v>
      </c>
      <c r="F36" s="1">
        <f ca="1">IFERROR(__xludf.DUMMYFUNCTION("""COMPUTED_VALUE"""),6.95)</f>
        <v>6.95</v>
      </c>
      <c r="G36" s="1">
        <f ca="1">IFERROR(__xludf.DUMMYFUNCTION("""COMPUTED_VALUE"""),-1.96)</f>
        <v>-1.96</v>
      </c>
      <c r="H36" s="1">
        <f ca="1">IFERROR(__xludf.DUMMYFUNCTION("""COMPUTED_VALUE"""),12)</f>
        <v>12</v>
      </c>
      <c r="I36" s="1">
        <f ca="1">IFERROR(__xludf.DUMMYFUNCTION("""COMPUTED_VALUE"""),2)</f>
        <v>2</v>
      </c>
      <c r="J36" s="1">
        <f ca="1">IFERROR(__xludf.DUMMYFUNCTION("""COMPUTED_VALUE"""),14)</f>
        <v>14</v>
      </c>
      <c r="K36" s="1">
        <f ca="1">IFERROR(__xludf.DUMMYFUNCTION("""COMPUTED_VALUE"""),1)</f>
        <v>1</v>
      </c>
      <c r="L36" s="1">
        <f ca="1">IFERROR(__xludf.DUMMYFUNCTION("""COMPUTED_VALUE"""),12)</f>
        <v>12</v>
      </c>
      <c r="M36" s="1">
        <f ca="1">IFERROR(__xludf.DUMMYFUNCTION("""COMPUTED_VALUE"""),4)</f>
        <v>4</v>
      </c>
      <c r="N36" s="1">
        <f ca="1">IFERROR(__xludf.DUMMYFUNCTION("""COMPUTED_VALUE"""),2277)</f>
        <v>2277</v>
      </c>
      <c r="O36" s="1">
        <f ca="1">IFERROR(__xludf.DUMMYFUNCTION("""COMPUTED_VALUE"""),1966)</f>
        <v>1966</v>
      </c>
      <c r="P36" s="1">
        <f ca="1">IFERROR(__xludf.DUMMYFUNCTION("""COMPUTED_VALUE"""),1360)</f>
        <v>1360</v>
      </c>
      <c r="Q36" s="1">
        <f ca="1">IFERROR(__xludf.DUMMYFUNCTION("""COMPUTED_VALUE"""),818)</f>
        <v>818</v>
      </c>
      <c r="R36" s="1">
        <f ca="1">IFERROR(__xludf.DUMMYFUNCTION("""COMPUTED_VALUE"""),1807)</f>
        <v>1807</v>
      </c>
      <c r="S36" s="1">
        <f ca="1">IFERROR(__xludf.DUMMYFUNCTION("""COMPUTED_VALUE"""),0.453)</f>
        <v>0.45300000000000001</v>
      </c>
      <c r="T36" s="1">
        <f ca="1">IFERROR(__xludf.DUMMYFUNCTION("""COMPUTED_VALUE"""),157)</f>
        <v>157</v>
      </c>
      <c r="U36" s="1">
        <f ca="1">IFERROR(__xludf.DUMMYFUNCTION("""COMPUTED_VALUE"""),438)</f>
        <v>438</v>
      </c>
      <c r="V36" s="1">
        <f ca="1">IFERROR(__xludf.DUMMYFUNCTION("""COMPUTED_VALUE"""),0.358)</f>
        <v>0.35799999999999998</v>
      </c>
      <c r="W36" s="1">
        <f ca="1">IFERROR(__xludf.DUMMYFUNCTION("""COMPUTED_VALUE"""),484)</f>
        <v>484</v>
      </c>
      <c r="X36" s="1">
        <f ca="1">IFERROR(__xludf.DUMMYFUNCTION("""COMPUTED_VALUE"""),652)</f>
        <v>652</v>
      </c>
      <c r="Y36" s="1">
        <f ca="1">IFERROR(__xludf.DUMMYFUNCTION("""COMPUTED_VALUE"""),0.742)</f>
        <v>0.74199999999999999</v>
      </c>
      <c r="Z36" s="1">
        <f ca="1">IFERROR(__xludf.DUMMYFUNCTION("""COMPUTED_VALUE"""),308)</f>
        <v>308</v>
      </c>
      <c r="AA36" s="1">
        <f ca="1">IFERROR(__xludf.DUMMYFUNCTION("""COMPUTED_VALUE"""),1142)</f>
        <v>1142</v>
      </c>
      <c r="AB36" s="1">
        <f ca="1">IFERROR(__xludf.DUMMYFUNCTION("""COMPUTED_VALUE"""),455)</f>
        <v>455</v>
      </c>
      <c r="AC36" s="1">
        <f ca="1">IFERROR(__xludf.DUMMYFUNCTION("""COMPUTED_VALUE"""),118)</f>
        <v>118</v>
      </c>
      <c r="AD36" s="1">
        <f ca="1">IFERROR(__xludf.DUMMYFUNCTION("""COMPUTED_VALUE"""),139)</f>
        <v>139</v>
      </c>
      <c r="AE36" s="1">
        <f ca="1">IFERROR(__xludf.DUMMYFUNCTION("""COMPUTED_VALUE"""),321)</f>
        <v>321</v>
      </c>
      <c r="AF36" s="1">
        <f ca="1">IFERROR(__xludf.DUMMYFUNCTION("""COMPUTED_VALUE"""),498)</f>
        <v>498</v>
      </c>
    </row>
    <row r="37" spans="1:32" ht="12.5" x14ac:dyDescent="0.25">
      <c r="A37" s="1" t="str">
        <f ca="1">IFERROR(__xludf.DUMMYFUNCTION("""COMPUTED_VALUE"""),"Buffalo")</f>
        <v>Buffalo</v>
      </c>
      <c r="B37" s="1">
        <f ca="1">IFERROR(__xludf.DUMMYFUNCTION("""COMPUTED_VALUE"""),34)</f>
        <v>34</v>
      </c>
      <c r="C37" s="1">
        <f ca="1">IFERROR(__xludf.DUMMYFUNCTION("""COMPUTED_VALUE"""),14)</f>
        <v>14</v>
      </c>
      <c r="D37" s="1">
        <f ca="1">IFERROR(__xludf.DUMMYFUNCTION("""COMPUTED_VALUE"""),20)</f>
        <v>20</v>
      </c>
      <c r="E37" s="1">
        <f ca="1">IFERROR(__xludf.DUMMYFUNCTION("""COMPUTED_VALUE"""),0.412)</f>
        <v>0.41199999999999998</v>
      </c>
      <c r="F37" s="1">
        <f ca="1">IFERROR(__xludf.DUMMYFUNCTION("""COMPUTED_VALUE"""),-1.94)</f>
        <v>-1.94</v>
      </c>
      <c r="G37" s="1">
        <f ca="1">IFERROR(__xludf.DUMMYFUNCTION("""COMPUTED_VALUE"""),-0.35)</f>
        <v>-0.35</v>
      </c>
      <c r="H37" s="1">
        <f ca="1">IFERROR(__xludf.DUMMYFUNCTION("""COMPUTED_VALUE"""),7)</f>
        <v>7</v>
      </c>
      <c r="I37" s="1">
        <f ca="1">IFERROR(__xludf.DUMMYFUNCTION("""COMPUTED_VALUE"""),9)</f>
        <v>9</v>
      </c>
      <c r="J37" s="1">
        <f ca="1">IFERROR(__xludf.DUMMYFUNCTION("""COMPUTED_VALUE"""),9)</f>
        <v>9</v>
      </c>
      <c r="K37" s="1">
        <f ca="1">IFERROR(__xludf.DUMMYFUNCTION("""COMPUTED_VALUE"""),6)</f>
        <v>6</v>
      </c>
      <c r="L37" s="1">
        <f ca="1">IFERROR(__xludf.DUMMYFUNCTION("""COMPUTED_VALUE"""),4)</f>
        <v>4</v>
      </c>
      <c r="M37" s="1">
        <f ca="1">IFERROR(__xludf.DUMMYFUNCTION("""COMPUTED_VALUE"""),10)</f>
        <v>10</v>
      </c>
      <c r="N37" s="1">
        <f ca="1">IFERROR(__xludf.DUMMYFUNCTION("""COMPUTED_VALUE"""),2275)</f>
        <v>2275</v>
      </c>
      <c r="O37" s="1">
        <f ca="1">IFERROR(__xludf.DUMMYFUNCTION("""COMPUTED_VALUE"""),2287)</f>
        <v>2287</v>
      </c>
      <c r="P37" s="1">
        <f ca="1">IFERROR(__xludf.DUMMYFUNCTION("""COMPUTED_VALUE"""),1370)</f>
        <v>1370</v>
      </c>
      <c r="Q37" s="1">
        <f ca="1">IFERROR(__xludf.DUMMYFUNCTION("""COMPUTED_VALUE"""),794)</f>
        <v>794</v>
      </c>
      <c r="R37" s="1">
        <f ca="1">IFERROR(__xludf.DUMMYFUNCTION("""COMPUTED_VALUE"""),1767)</f>
        <v>1767</v>
      </c>
      <c r="S37" s="1">
        <f ca="1">IFERROR(__xludf.DUMMYFUNCTION("""COMPUTED_VALUE"""),0.449)</f>
        <v>0.44900000000000001</v>
      </c>
      <c r="T37" s="1">
        <f ca="1">IFERROR(__xludf.DUMMYFUNCTION("""COMPUTED_VALUE"""),215)</f>
        <v>215</v>
      </c>
      <c r="U37" s="1">
        <f ca="1">IFERROR(__xludf.DUMMYFUNCTION("""COMPUTED_VALUE"""),620)</f>
        <v>620</v>
      </c>
      <c r="V37" s="1">
        <f ca="1">IFERROR(__xludf.DUMMYFUNCTION("""COMPUTED_VALUE"""),0.347)</f>
        <v>0.34699999999999998</v>
      </c>
      <c r="W37" s="1">
        <f ca="1">IFERROR(__xludf.DUMMYFUNCTION("""COMPUTED_VALUE"""),472)</f>
        <v>472</v>
      </c>
      <c r="X37" s="1">
        <f ca="1">IFERROR(__xludf.DUMMYFUNCTION("""COMPUTED_VALUE"""),671)</f>
        <v>671</v>
      </c>
      <c r="Y37" s="1">
        <f ca="1">IFERROR(__xludf.DUMMYFUNCTION("""COMPUTED_VALUE"""),0.703)</f>
        <v>0.70299999999999996</v>
      </c>
      <c r="Z37" s="1">
        <f ca="1">IFERROR(__xludf.DUMMYFUNCTION("""COMPUTED_VALUE"""),389)</f>
        <v>389</v>
      </c>
      <c r="AA37" s="1">
        <f ca="1">IFERROR(__xludf.DUMMYFUNCTION("""COMPUTED_VALUE"""),1106)</f>
        <v>1106</v>
      </c>
      <c r="AB37" s="1">
        <f ca="1">IFERROR(__xludf.DUMMYFUNCTION("""COMPUTED_VALUE"""),510)</f>
        <v>510</v>
      </c>
      <c r="AC37" s="1">
        <f ca="1">IFERROR(__xludf.DUMMYFUNCTION("""COMPUTED_VALUE"""),188)</f>
        <v>188</v>
      </c>
      <c r="AD37" s="1">
        <f ca="1">IFERROR(__xludf.DUMMYFUNCTION("""COMPUTED_VALUE"""),156)</f>
        <v>156</v>
      </c>
      <c r="AE37" s="1">
        <f ca="1">IFERROR(__xludf.DUMMYFUNCTION("""COMPUTED_VALUE"""),525)</f>
        <v>525</v>
      </c>
      <c r="AF37" s="1">
        <f ca="1">IFERROR(__xludf.DUMMYFUNCTION("""COMPUTED_VALUE"""),632)</f>
        <v>632</v>
      </c>
    </row>
    <row r="38" spans="1:32" ht="12.5" x14ac:dyDescent="0.25">
      <c r="A38" s="1" t="str">
        <f ca="1">IFERROR(__xludf.DUMMYFUNCTION("""COMPUTED_VALUE"""),"ButlerNCAA")</f>
        <v>ButlerNCAA</v>
      </c>
      <c r="B38" s="1">
        <f ca="1">IFERROR(__xludf.DUMMYFUNCTION("""COMPUTED_VALUE"""),36)</f>
        <v>36</v>
      </c>
      <c r="C38" s="1">
        <f ca="1">IFERROR(__xludf.DUMMYFUNCTION("""COMPUTED_VALUE"""),27)</f>
        <v>27</v>
      </c>
      <c r="D38" s="1">
        <f ca="1">IFERROR(__xludf.DUMMYFUNCTION("""COMPUTED_VALUE"""),9)</f>
        <v>9</v>
      </c>
      <c r="E38" s="1">
        <f ca="1">IFERROR(__xludf.DUMMYFUNCTION("""COMPUTED_VALUE"""),0.75)</f>
        <v>0.75</v>
      </c>
      <c r="F38" s="1">
        <f ca="1">IFERROR(__xludf.DUMMYFUNCTION("""COMPUTED_VALUE"""),10.99)</f>
        <v>10.99</v>
      </c>
      <c r="G38" s="1">
        <f ca="1">IFERROR(__xludf.DUMMYFUNCTION("""COMPUTED_VALUE"""),6.08)</f>
        <v>6.08</v>
      </c>
      <c r="H38" s="1">
        <f ca="1">IFERROR(__xludf.DUMMYFUNCTION("""COMPUTED_VALUE"""),11)</f>
        <v>11</v>
      </c>
      <c r="I38" s="1">
        <f ca="1">IFERROR(__xludf.DUMMYFUNCTION("""COMPUTED_VALUE"""),5)</f>
        <v>5</v>
      </c>
      <c r="J38" s="1">
        <f ca="1">IFERROR(__xludf.DUMMYFUNCTION("""COMPUTED_VALUE"""),14)</f>
        <v>14</v>
      </c>
      <c r="K38" s="1">
        <f ca="1">IFERROR(__xludf.DUMMYFUNCTION("""COMPUTED_VALUE"""),2)</f>
        <v>2</v>
      </c>
      <c r="L38" s="1">
        <f ca="1">IFERROR(__xludf.DUMMYFUNCTION("""COMPUTED_VALUE"""),7)</f>
        <v>7</v>
      </c>
      <c r="M38" s="1">
        <f ca="1">IFERROR(__xludf.DUMMYFUNCTION("""COMPUTED_VALUE"""),4)</f>
        <v>4</v>
      </c>
      <c r="N38" s="1">
        <f ca="1">IFERROR(__xludf.DUMMYFUNCTION("""COMPUTED_VALUE"""),2495)</f>
        <v>2495</v>
      </c>
      <c r="O38" s="1">
        <f ca="1">IFERROR(__xludf.DUMMYFUNCTION("""COMPUTED_VALUE"""),2299)</f>
        <v>2299</v>
      </c>
      <c r="P38" s="1">
        <f ca="1">IFERROR(__xludf.DUMMYFUNCTION("""COMPUTED_VALUE"""),1445)</f>
        <v>1445</v>
      </c>
      <c r="Q38" s="1">
        <f ca="1">IFERROR(__xludf.DUMMYFUNCTION("""COMPUTED_VALUE"""),869)</f>
        <v>869</v>
      </c>
      <c r="R38" s="1">
        <f ca="1">IFERROR(__xludf.DUMMYFUNCTION("""COMPUTED_VALUE"""),1931)</f>
        <v>1931</v>
      </c>
      <c r="S38" s="1">
        <f ca="1">IFERROR(__xludf.DUMMYFUNCTION("""COMPUTED_VALUE"""),0.45)</f>
        <v>0.45</v>
      </c>
      <c r="T38" s="1">
        <f ca="1">IFERROR(__xludf.DUMMYFUNCTION("""COMPUTED_VALUE"""),239)</f>
        <v>239</v>
      </c>
      <c r="U38" s="1">
        <f ca="1">IFERROR(__xludf.DUMMYFUNCTION("""COMPUTED_VALUE"""),688)</f>
        <v>688</v>
      </c>
      <c r="V38" s="1">
        <f ca="1">IFERROR(__xludf.DUMMYFUNCTION("""COMPUTED_VALUE"""),0.347)</f>
        <v>0.34699999999999998</v>
      </c>
      <c r="W38" s="1">
        <f ca="1">IFERROR(__xludf.DUMMYFUNCTION("""COMPUTED_VALUE"""),518)</f>
        <v>518</v>
      </c>
      <c r="X38" s="1">
        <f ca="1">IFERROR(__xludf.DUMMYFUNCTION("""COMPUTED_VALUE"""),744)</f>
        <v>744</v>
      </c>
      <c r="Y38" s="1">
        <f ca="1">IFERROR(__xludf.DUMMYFUNCTION("""COMPUTED_VALUE"""),0.696)</f>
        <v>0.69599999999999995</v>
      </c>
      <c r="Z38" s="1">
        <f ca="1">IFERROR(__xludf.DUMMYFUNCTION("""COMPUTED_VALUE"""),419)</f>
        <v>419</v>
      </c>
      <c r="AA38" s="1">
        <f ca="1">IFERROR(__xludf.DUMMYFUNCTION("""COMPUTED_VALUE"""),1213)</f>
        <v>1213</v>
      </c>
      <c r="AB38" s="1">
        <f ca="1">IFERROR(__xludf.DUMMYFUNCTION("""COMPUTED_VALUE"""),465)</f>
        <v>465</v>
      </c>
      <c r="AC38" s="1">
        <f ca="1">IFERROR(__xludf.DUMMYFUNCTION("""COMPUTED_VALUE"""),206)</f>
        <v>206</v>
      </c>
      <c r="AD38" s="1">
        <f ca="1">IFERROR(__xludf.DUMMYFUNCTION("""COMPUTED_VALUE"""),94)</f>
        <v>94</v>
      </c>
      <c r="AE38" s="1">
        <f ca="1">IFERROR(__xludf.DUMMYFUNCTION("""COMPUTED_VALUE"""),474)</f>
        <v>474</v>
      </c>
      <c r="AF38" s="1">
        <f ca="1">IFERROR(__xludf.DUMMYFUNCTION("""COMPUTED_VALUE"""),644)</f>
        <v>644</v>
      </c>
    </row>
    <row r="39" spans="1:32" ht="12.5" x14ac:dyDescent="0.25">
      <c r="A39" s="1" t="str">
        <f ca="1">IFERROR(__xludf.DUMMYFUNCTION("""COMPUTED_VALUE"""),"Cal Poly")</f>
        <v>Cal Poly</v>
      </c>
      <c r="B39" s="1">
        <f ca="1">IFERROR(__xludf.DUMMYFUNCTION("""COMPUTED_VALUE"""),32)</f>
        <v>32</v>
      </c>
      <c r="C39" s="1">
        <f ca="1">IFERROR(__xludf.DUMMYFUNCTION("""COMPUTED_VALUE"""),18)</f>
        <v>18</v>
      </c>
      <c r="D39" s="1">
        <f ca="1">IFERROR(__xludf.DUMMYFUNCTION("""COMPUTED_VALUE"""),14)</f>
        <v>14</v>
      </c>
      <c r="E39" s="1">
        <f ca="1">IFERROR(__xludf.DUMMYFUNCTION("""COMPUTED_VALUE"""),0.563)</f>
        <v>0.56299999999999994</v>
      </c>
      <c r="F39" s="1">
        <f ca="1">IFERROR(__xludf.DUMMYFUNCTION("""COMPUTED_VALUE"""),-0.46)</f>
        <v>-0.46</v>
      </c>
      <c r="G39" s="1">
        <f ca="1">IFERROR(__xludf.DUMMYFUNCTION("""COMPUTED_VALUE"""),-0.62)</f>
        <v>-0.62</v>
      </c>
      <c r="H39" s="1">
        <f ca="1">IFERROR(__xludf.DUMMYFUNCTION("""COMPUTED_VALUE"""),12)</f>
        <v>12</v>
      </c>
      <c r="I39" s="1">
        <f ca="1">IFERROR(__xludf.DUMMYFUNCTION("""COMPUTED_VALUE"""),6)</f>
        <v>6</v>
      </c>
      <c r="J39" s="1">
        <f ca="1">IFERROR(__xludf.DUMMYFUNCTION("""COMPUTED_VALUE"""),13)</f>
        <v>13</v>
      </c>
      <c r="K39" s="1">
        <f ca="1">IFERROR(__xludf.DUMMYFUNCTION("""COMPUTED_VALUE"""),1)</f>
        <v>1</v>
      </c>
      <c r="L39" s="1">
        <f ca="1">IFERROR(__xludf.DUMMYFUNCTION("""COMPUTED_VALUE"""),4)</f>
        <v>4</v>
      </c>
      <c r="M39" s="1">
        <f ca="1">IFERROR(__xludf.DUMMYFUNCTION("""COMPUTED_VALUE"""),12)</f>
        <v>12</v>
      </c>
      <c r="N39" s="1">
        <f ca="1">IFERROR(__xludf.DUMMYFUNCTION("""COMPUTED_VALUE"""),2074)</f>
        <v>2074</v>
      </c>
      <c r="O39" s="1">
        <f ca="1">IFERROR(__xludf.DUMMYFUNCTION("""COMPUTED_VALUE"""),2020)</f>
        <v>2020</v>
      </c>
      <c r="P39" s="1">
        <f ca="1">IFERROR(__xludf.DUMMYFUNCTION("""COMPUTED_VALUE"""),1290)</f>
        <v>1290</v>
      </c>
      <c r="Q39" s="1">
        <f ca="1">IFERROR(__xludf.DUMMYFUNCTION("""COMPUTED_VALUE"""),719)</f>
        <v>719</v>
      </c>
      <c r="R39" s="1">
        <f ca="1">IFERROR(__xludf.DUMMYFUNCTION("""COMPUTED_VALUE"""),1696)</f>
        <v>1696</v>
      </c>
      <c r="S39" s="1">
        <f ca="1">IFERROR(__xludf.DUMMYFUNCTION("""COMPUTED_VALUE"""),0.424)</f>
        <v>0.42399999999999999</v>
      </c>
      <c r="T39" s="1">
        <f ca="1">IFERROR(__xludf.DUMMYFUNCTION("""COMPUTED_VALUE"""),227)</f>
        <v>227</v>
      </c>
      <c r="U39" s="1">
        <f ca="1">IFERROR(__xludf.DUMMYFUNCTION("""COMPUTED_VALUE"""),606)</f>
        <v>606</v>
      </c>
      <c r="V39" s="1">
        <f ca="1">IFERROR(__xludf.DUMMYFUNCTION("""COMPUTED_VALUE"""),0.375)</f>
        <v>0.375</v>
      </c>
      <c r="W39" s="1">
        <f ca="1">IFERROR(__xludf.DUMMYFUNCTION("""COMPUTED_VALUE"""),409)</f>
        <v>409</v>
      </c>
      <c r="X39" s="1">
        <f ca="1">IFERROR(__xludf.DUMMYFUNCTION("""COMPUTED_VALUE"""),564)</f>
        <v>564</v>
      </c>
      <c r="Y39" s="1">
        <f ca="1">IFERROR(__xludf.DUMMYFUNCTION("""COMPUTED_VALUE"""),0.725)</f>
        <v>0.72499999999999998</v>
      </c>
      <c r="Z39" s="1">
        <f ca="1">IFERROR(__xludf.DUMMYFUNCTION("""COMPUTED_VALUE"""),336)</f>
        <v>336</v>
      </c>
      <c r="AA39" s="1">
        <f ca="1">IFERROR(__xludf.DUMMYFUNCTION("""COMPUTED_VALUE"""),912)</f>
        <v>912</v>
      </c>
      <c r="AB39" s="1">
        <f ca="1">IFERROR(__xludf.DUMMYFUNCTION("""COMPUTED_VALUE"""),441)</f>
        <v>441</v>
      </c>
      <c r="AC39" s="1">
        <f ca="1">IFERROR(__xludf.DUMMYFUNCTION("""COMPUTED_VALUE"""),184)</f>
        <v>184</v>
      </c>
      <c r="AD39" s="1">
        <f ca="1">IFERROR(__xludf.DUMMYFUNCTION("""COMPUTED_VALUE"""),55)</f>
        <v>55</v>
      </c>
      <c r="AE39" s="1">
        <f ca="1">IFERROR(__xludf.DUMMYFUNCTION("""COMPUTED_VALUE"""),302)</f>
        <v>302</v>
      </c>
      <c r="AF39" s="1">
        <f ca="1">IFERROR(__xludf.DUMMYFUNCTION("""COMPUTED_VALUE"""),549)</f>
        <v>549</v>
      </c>
    </row>
    <row r="40" spans="1:32" ht="12.5" x14ac:dyDescent="0.25">
      <c r="A40" s="1" t="str">
        <f ca="1">IFERROR(__xludf.DUMMYFUNCTION("""COMPUTED_VALUE"""),"Cal State Bakersfield")</f>
        <v>Cal State Bakersfield</v>
      </c>
      <c r="B40" s="1">
        <f ca="1">IFERROR(__xludf.DUMMYFUNCTION("""COMPUTED_VALUE"""),30)</f>
        <v>30</v>
      </c>
      <c r="C40" s="1">
        <f ca="1">IFERROR(__xludf.DUMMYFUNCTION("""COMPUTED_VALUE"""),14)</f>
        <v>14</v>
      </c>
      <c r="D40" s="1">
        <f ca="1">IFERROR(__xludf.DUMMYFUNCTION("""COMPUTED_VALUE"""),16)</f>
        <v>16</v>
      </c>
      <c r="E40" s="1">
        <f ca="1">IFERROR(__xludf.DUMMYFUNCTION("""COMPUTED_VALUE"""),0.467)</f>
        <v>0.46700000000000003</v>
      </c>
      <c r="F40" s="1">
        <f ca="1">IFERROR(__xludf.DUMMYFUNCTION("""COMPUTED_VALUE"""),-6.44)</f>
        <v>-6.44</v>
      </c>
      <c r="G40" s="1">
        <f ca="1">IFERROR(__xludf.DUMMYFUNCTION("""COMPUTED_VALUE"""),-2.17)</f>
        <v>-2.17</v>
      </c>
      <c r="H40" s="1">
        <f ca="1">IFERROR(__xludf.DUMMYFUNCTION("""COMPUTED_VALUE"""),0)</f>
        <v>0</v>
      </c>
      <c r="I40" s="1">
        <f ca="1">IFERROR(__xludf.DUMMYFUNCTION("""COMPUTED_VALUE"""),0)</f>
        <v>0</v>
      </c>
      <c r="J40" s="1">
        <f ca="1">IFERROR(__xludf.DUMMYFUNCTION("""COMPUTED_VALUE"""),9)</f>
        <v>9</v>
      </c>
      <c r="K40" s="1">
        <f ca="1">IFERROR(__xludf.DUMMYFUNCTION("""COMPUTED_VALUE"""),4)</f>
        <v>4</v>
      </c>
      <c r="L40" s="1">
        <f ca="1">IFERROR(__xludf.DUMMYFUNCTION("""COMPUTED_VALUE"""),3)</f>
        <v>3</v>
      </c>
      <c r="M40" s="1">
        <f ca="1">IFERROR(__xludf.DUMMYFUNCTION("""COMPUTED_VALUE"""),11)</f>
        <v>11</v>
      </c>
      <c r="N40" s="1">
        <f ca="1">IFERROR(__xludf.DUMMYFUNCTION("""COMPUTED_VALUE"""),2041)</f>
        <v>2041</v>
      </c>
      <c r="O40" s="1">
        <f ca="1">IFERROR(__xludf.DUMMYFUNCTION("""COMPUTED_VALUE"""),2070)</f>
        <v>2070</v>
      </c>
      <c r="P40" s="1">
        <f ca="1">IFERROR(__xludf.DUMMYFUNCTION("""COMPUTED_VALUE"""),1220)</f>
        <v>1220</v>
      </c>
      <c r="Q40" s="1">
        <f ca="1">IFERROR(__xludf.DUMMYFUNCTION("""COMPUTED_VALUE"""),710)</f>
        <v>710</v>
      </c>
      <c r="R40" s="1">
        <f ca="1">IFERROR(__xludf.DUMMYFUNCTION("""COMPUTED_VALUE"""),1697)</f>
        <v>1697</v>
      </c>
      <c r="S40" s="1">
        <f ca="1">IFERROR(__xludf.DUMMYFUNCTION("""COMPUTED_VALUE"""),0.418)</f>
        <v>0.41799999999999998</v>
      </c>
      <c r="T40" s="1">
        <f ca="1">IFERROR(__xludf.DUMMYFUNCTION("""COMPUTED_VALUE"""),199)</f>
        <v>199</v>
      </c>
      <c r="U40" s="1">
        <f ca="1">IFERROR(__xludf.DUMMYFUNCTION("""COMPUTED_VALUE"""),591)</f>
        <v>591</v>
      </c>
      <c r="V40" s="1">
        <f ca="1">IFERROR(__xludf.DUMMYFUNCTION("""COMPUTED_VALUE"""),0.337)</f>
        <v>0.33700000000000002</v>
      </c>
      <c r="W40" s="1">
        <f ca="1">IFERROR(__xludf.DUMMYFUNCTION("""COMPUTED_VALUE"""),422)</f>
        <v>422</v>
      </c>
      <c r="X40" s="1">
        <f ca="1">IFERROR(__xludf.DUMMYFUNCTION("""COMPUTED_VALUE"""),603)</f>
        <v>603</v>
      </c>
      <c r="Y40" s="1">
        <f ca="1">IFERROR(__xludf.DUMMYFUNCTION("""COMPUTED_VALUE"""),0.7)</f>
        <v>0.7</v>
      </c>
      <c r="Z40" s="1">
        <f ca="1">IFERROR(__xludf.DUMMYFUNCTION("""COMPUTED_VALUE"""),342)</f>
        <v>342</v>
      </c>
      <c r="AA40" s="1">
        <f ca="1">IFERROR(__xludf.DUMMYFUNCTION("""COMPUTED_VALUE"""),908)</f>
        <v>908</v>
      </c>
      <c r="AB40" s="1">
        <f ca="1">IFERROR(__xludf.DUMMYFUNCTION("""COMPUTED_VALUE"""),380)</f>
        <v>380</v>
      </c>
      <c r="AC40" s="1">
        <f ca="1">IFERROR(__xludf.DUMMYFUNCTION("""COMPUTED_VALUE"""),221)</f>
        <v>221</v>
      </c>
      <c r="AD40" s="1">
        <f ca="1">IFERROR(__xludf.DUMMYFUNCTION("""COMPUTED_VALUE"""),56)</f>
        <v>56</v>
      </c>
      <c r="AE40" s="1">
        <f ca="1">IFERROR(__xludf.DUMMYFUNCTION("""COMPUTED_VALUE"""),424)</f>
        <v>424</v>
      </c>
      <c r="AF40" s="1">
        <f ca="1">IFERROR(__xludf.DUMMYFUNCTION("""COMPUTED_VALUE"""),610)</f>
        <v>610</v>
      </c>
    </row>
    <row r="41" spans="1:32" ht="12.5" x14ac:dyDescent="0.25">
      <c r="A41" s="1" t="str">
        <f ca="1">IFERROR(__xludf.DUMMYFUNCTION("""COMPUTED_VALUE"""),"Cal State Fullerton")</f>
        <v>Cal State Fullerton</v>
      </c>
      <c r="B41" s="1">
        <f ca="1">IFERROR(__xludf.DUMMYFUNCTION("""COMPUTED_VALUE"""),32)</f>
        <v>32</v>
      </c>
      <c r="C41" s="1">
        <f ca="1">IFERROR(__xludf.DUMMYFUNCTION("""COMPUTED_VALUE"""),14)</f>
        <v>14</v>
      </c>
      <c r="D41" s="1">
        <f ca="1">IFERROR(__xludf.DUMMYFUNCTION("""COMPUTED_VALUE"""),18)</f>
        <v>18</v>
      </c>
      <c r="E41" s="1">
        <f ca="1">IFERROR(__xludf.DUMMYFUNCTION("""COMPUTED_VALUE"""),0.438)</f>
        <v>0.438</v>
      </c>
      <c r="F41" s="1">
        <f ca="1">IFERROR(__xludf.DUMMYFUNCTION("""COMPUTED_VALUE"""),-2.97)</f>
        <v>-2.97</v>
      </c>
      <c r="G41" s="1">
        <f ca="1">IFERROR(__xludf.DUMMYFUNCTION("""COMPUTED_VALUE"""),-3.03)</f>
        <v>-3.03</v>
      </c>
      <c r="H41" s="1">
        <f ca="1">IFERROR(__xludf.DUMMYFUNCTION("""COMPUTED_VALUE"""),6)</f>
        <v>6</v>
      </c>
      <c r="I41" s="1">
        <f ca="1">IFERROR(__xludf.DUMMYFUNCTION("""COMPUTED_VALUE"""),12)</f>
        <v>12</v>
      </c>
      <c r="J41" s="1">
        <f ca="1">IFERROR(__xludf.DUMMYFUNCTION("""COMPUTED_VALUE"""),6)</f>
        <v>6</v>
      </c>
      <c r="K41" s="1">
        <f ca="1">IFERROR(__xludf.DUMMYFUNCTION("""COMPUTED_VALUE"""),7)</f>
        <v>7</v>
      </c>
      <c r="L41" s="1">
        <f ca="1">IFERROR(__xludf.DUMMYFUNCTION("""COMPUTED_VALUE"""),6)</f>
        <v>6</v>
      </c>
      <c r="M41" s="1">
        <f ca="1">IFERROR(__xludf.DUMMYFUNCTION("""COMPUTED_VALUE"""),10)</f>
        <v>10</v>
      </c>
      <c r="N41" s="1">
        <f ca="1">IFERROR(__xludf.DUMMYFUNCTION("""COMPUTED_VALUE"""),2451)</f>
        <v>2451</v>
      </c>
      <c r="O41" s="1">
        <f ca="1">IFERROR(__xludf.DUMMYFUNCTION("""COMPUTED_VALUE"""),2381)</f>
        <v>2381</v>
      </c>
      <c r="P41" s="1">
        <f ca="1">IFERROR(__xludf.DUMMYFUNCTION("""COMPUTED_VALUE"""),1280)</f>
        <v>1280</v>
      </c>
      <c r="Q41" s="1">
        <f ca="1">IFERROR(__xludf.DUMMYFUNCTION("""COMPUTED_VALUE"""),855)</f>
        <v>855</v>
      </c>
      <c r="R41" s="1">
        <f ca="1">IFERROR(__xludf.DUMMYFUNCTION("""COMPUTED_VALUE"""),1819)</f>
        <v>1819</v>
      </c>
      <c r="S41" s="1">
        <f ca="1">IFERROR(__xludf.DUMMYFUNCTION("""COMPUTED_VALUE"""),0.47)</f>
        <v>0.47</v>
      </c>
      <c r="T41" s="1">
        <f ca="1">IFERROR(__xludf.DUMMYFUNCTION("""COMPUTED_VALUE"""),266)</f>
        <v>266</v>
      </c>
      <c r="U41" s="1">
        <f ca="1">IFERROR(__xludf.DUMMYFUNCTION("""COMPUTED_VALUE"""),704)</f>
        <v>704</v>
      </c>
      <c r="V41" s="1">
        <f ca="1">IFERROR(__xludf.DUMMYFUNCTION("""COMPUTED_VALUE"""),0.378)</f>
        <v>0.378</v>
      </c>
      <c r="W41" s="1">
        <f ca="1">IFERROR(__xludf.DUMMYFUNCTION("""COMPUTED_VALUE"""),475)</f>
        <v>475</v>
      </c>
      <c r="X41" s="1">
        <f ca="1">IFERROR(__xludf.DUMMYFUNCTION("""COMPUTED_VALUE"""),627)</f>
        <v>627</v>
      </c>
      <c r="Y41" s="1">
        <f ca="1">IFERROR(__xludf.DUMMYFUNCTION("""COMPUTED_VALUE"""),0.758)</f>
        <v>0.75800000000000001</v>
      </c>
      <c r="Z41" s="1">
        <f ca="1">IFERROR(__xludf.DUMMYFUNCTION("""COMPUTED_VALUE"""),268)</f>
        <v>268</v>
      </c>
      <c r="AA41" s="1">
        <f ca="1">IFERROR(__xludf.DUMMYFUNCTION("""COMPUTED_VALUE"""),859)</f>
        <v>859</v>
      </c>
      <c r="AB41" s="1">
        <f ca="1">IFERROR(__xludf.DUMMYFUNCTION("""COMPUTED_VALUE"""),472)</f>
        <v>472</v>
      </c>
      <c r="AC41" s="1">
        <f ca="1">IFERROR(__xludf.DUMMYFUNCTION("""COMPUTED_VALUE"""),248)</f>
        <v>248</v>
      </c>
      <c r="AD41" s="1">
        <f ca="1">IFERROR(__xludf.DUMMYFUNCTION("""COMPUTED_VALUE"""),52)</f>
        <v>52</v>
      </c>
      <c r="AE41" s="1">
        <f ca="1">IFERROR(__xludf.DUMMYFUNCTION("""COMPUTED_VALUE"""),401)</f>
        <v>401</v>
      </c>
      <c r="AF41" s="1">
        <f ca="1">IFERROR(__xludf.DUMMYFUNCTION("""COMPUTED_VALUE"""),595)</f>
        <v>595</v>
      </c>
    </row>
    <row r="42" spans="1:32" ht="12.5" x14ac:dyDescent="0.25">
      <c r="A42" s="1" t="str">
        <f ca="1">IFERROR(__xludf.DUMMYFUNCTION("""COMPUTED_VALUE"""),"Cal State Northridge")</f>
        <v>Cal State Northridge</v>
      </c>
      <c r="B42" s="1">
        <f ca="1">IFERROR(__xludf.DUMMYFUNCTION("""COMPUTED_VALUE"""),31)</f>
        <v>31</v>
      </c>
      <c r="C42" s="1">
        <f ca="1">IFERROR(__xludf.DUMMYFUNCTION("""COMPUTED_VALUE"""),14)</f>
        <v>14</v>
      </c>
      <c r="D42" s="1">
        <f ca="1">IFERROR(__xludf.DUMMYFUNCTION("""COMPUTED_VALUE"""),17)</f>
        <v>17</v>
      </c>
      <c r="E42" s="1">
        <f ca="1">IFERROR(__xludf.DUMMYFUNCTION("""COMPUTED_VALUE"""),0.452)</f>
        <v>0.45200000000000001</v>
      </c>
      <c r="F42" s="1">
        <f ca="1">IFERROR(__xludf.DUMMYFUNCTION("""COMPUTED_VALUE"""),-3.89)</f>
        <v>-3.89</v>
      </c>
      <c r="G42" s="1">
        <f ca="1">IFERROR(__xludf.DUMMYFUNCTION("""COMPUTED_VALUE"""),-1.93)</f>
        <v>-1.93</v>
      </c>
      <c r="H42" s="1">
        <f ca="1">IFERROR(__xludf.DUMMYFUNCTION("""COMPUTED_VALUE"""),5)</f>
        <v>5</v>
      </c>
      <c r="I42" s="1">
        <f ca="1">IFERROR(__xludf.DUMMYFUNCTION("""COMPUTED_VALUE"""),13)</f>
        <v>13</v>
      </c>
      <c r="J42" s="1">
        <f ca="1">IFERROR(__xludf.DUMMYFUNCTION("""COMPUTED_VALUE"""),6)</f>
        <v>6</v>
      </c>
      <c r="K42" s="1">
        <f ca="1">IFERROR(__xludf.DUMMYFUNCTION("""COMPUTED_VALUE"""),7)</f>
        <v>7</v>
      </c>
      <c r="L42" s="1">
        <f ca="1">IFERROR(__xludf.DUMMYFUNCTION("""COMPUTED_VALUE"""),5)</f>
        <v>5</v>
      </c>
      <c r="M42" s="1">
        <f ca="1">IFERROR(__xludf.DUMMYFUNCTION("""COMPUTED_VALUE"""),10)</f>
        <v>10</v>
      </c>
      <c r="N42" s="1">
        <f ca="1">IFERROR(__xludf.DUMMYFUNCTION("""COMPUTED_VALUE"""),2333)</f>
        <v>2333</v>
      </c>
      <c r="O42" s="1">
        <f ca="1">IFERROR(__xludf.DUMMYFUNCTION("""COMPUTED_VALUE"""),2309)</f>
        <v>2309</v>
      </c>
      <c r="P42" s="1">
        <f ca="1">IFERROR(__xludf.DUMMYFUNCTION("""COMPUTED_VALUE"""),1240)</f>
        <v>1240</v>
      </c>
      <c r="Q42" s="1">
        <f ca="1">IFERROR(__xludf.DUMMYFUNCTION("""COMPUTED_VALUE"""),818)</f>
        <v>818</v>
      </c>
      <c r="R42" s="1">
        <f ca="1">IFERROR(__xludf.DUMMYFUNCTION("""COMPUTED_VALUE"""),1876)</f>
        <v>1876</v>
      </c>
      <c r="S42" s="1">
        <f ca="1">IFERROR(__xludf.DUMMYFUNCTION("""COMPUTED_VALUE"""),0.436)</f>
        <v>0.436</v>
      </c>
      <c r="T42" s="1">
        <f ca="1">IFERROR(__xludf.DUMMYFUNCTION("""COMPUTED_VALUE"""),163)</f>
        <v>163</v>
      </c>
      <c r="U42" s="1">
        <f ca="1">IFERROR(__xludf.DUMMYFUNCTION("""COMPUTED_VALUE"""),485)</f>
        <v>485</v>
      </c>
      <c r="V42" s="1">
        <f ca="1">IFERROR(__xludf.DUMMYFUNCTION("""COMPUTED_VALUE"""),0.336)</f>
        <v>0.33600000000000002</v>
      </c>
      <c r="W42" s="1">
        <f ca="1">IFERROR(__xludf.DUMMYFUNCTION("""COMPUTED_VALUE"""),534)</f>
        <v>534</v>
      </c>
      <c r="X42" s="1">
        <f ca="1">IFERROR(__xludf.DUMMYFUNCTION("""COMPUTED_VALUE"""),729)</f>
        <v>729</v>
      </c>
      <c r="Y42" s="1">
        <f ca="1">IFERROR(__xludf.DUMMYFUNCTION("""COMPUTED_VALUE"""),0.733)</f>
        <v>0.73299999999999998</v>
      </c>
      <c r="Z42" s="1">
        <f ca="1">IFERROR(__xludf.DUMMYFUNCTION("""COMPUTED_VALUE"""),426)</f>
        <v>426</v>
      </c>
      <c r="AA42" s="1">
        <f ca="1">IFERROR(__xludf.DUMMYFUNCTION("""COMPUTED_VALUE"""),1053)</f>
        <v>1053</v>
      </c>
      <c r="AB42" s="1">
        <f ca="1">IFERROR(__xludf.DUMMYFUNCTION("""COMPUTED_VALUE"""),474)</f>
        <v>474</v>
      </c>
      <c r="AC42" s="1">
        <f ca="1">IFERROR(__xludf.DUMMYFUNCTION("""COMPUTED_VALUE"""),262)</f>
        <v>262</v>
      </c>
      <c r="AD42" s="1">
        <f ca="1">IFERROR(__xludf.DUMMYFUNCTION("""COMPUTED_VALUE"""),91)</f>
        <v>91</v>
      </c>
      <c r="AE42" s="1">
        <f ca="1">IFERROR(__xludf.DUMMYFUNCTION("""COMPUTED_VALUE"""),423)</f>
        <v>423</v>
      </c>
      <c r="AF42" s="1">
        <f ca="1">IFERROR(__xludf.DUMMYFUNCTION("""COMPUTED_VALUE"""),605)</f>
        <v>605</v>
      </c>
    </row>
    <row r="43" spans="1:32" ht="12.5" x14ac:dyDescent="0.25">
      <c r="A43" s="1" t="str">
        <f ca="1">IFERROR(__xludf.DUMMYFUNCTION("""COMPUTED_VALUE"""),"UC-Davis")</f>
        <v>UC-Davis</v>
      </c>
      <c r="B43" s="1">
        <f ca="1">IFERROR(__xludf.DUMMYFUNCTION("""COMPUTED_VALUE"""),31)</f>
        <v>31</v>
      </c>
      <c r="C43" s="1">
        <f ca="1">IFERROR(__xludf.DUMMYFUNCTION("""COMPUTED_VALUE"""),14)</f>
        <v>14</v>
      </c>
      <c r="D43" s="1">
        <f ca="1">IFERROR(__xludf.DUMMYFUNCTION("""COMPUTED_VALUE"""),17)</f>
        <v>17</v>
      </c>
      <c r="E43" s="1">
        <f ca="1">IFERROR(__xludf.DUMMYFUNCTION("""COMPUTED_VALUE"""),0.452)</f>
        <v>0.45200000000000001</v>
      </c>
      <c r="F43" s="1">
        <f ca="1">IFERROR(__xludf.DUMMYFUNCTION("""COMPUTED_VALUE"""),-3.5)</f>
        <v>-3.5</v>
      </c>
      <c r="G43" s="1">
        <f ca="1">IFERROR(__xludf.DUMMYFUNCTION("""COMPUTED_VALUE"""),-2.57)</f>
        <v>-2.57</v>
      </c>
      <c r="H43" s="1">
        <f ca="1">IFERROR(__xludf.DUMMYFUNCTION("""COMPUTED_VALUE"""),9)</f>
        <v>9</v>
      </c>
      <c r="I43" s="1">
        <f ca="1">IFERROR(__xludf.DUMMYFUNCTION("""COMPUTED_VALUE"""),9)</f>
        <v>9</v>
      </c>
      <c r="J43" s="1">
        <f ca="1">IFERROR(__xludf.DUMMYFUNCTION("""COMPUTED_VALUE"""),6)</f>
        <v>6</v>
      </c>
      <c r="K43" s="1">
        <f ca="1">IFERROR(__xludf.DUMMYFUNCTION("""COMPUTED_VALUE"""),7)</f>
        <v>7</v>
      </c>
      <c r="L43" s="1">
        <f ca="1">IFERROR(__xludf.DUMMYFUNCTION("""COMPUTED_VALUE"""),6)</f>
        <v>6</v>
      </c>
      <c r="M43" s="1">
        <f ca="1">IFERROR(__xludf.DUMMYFUNCTION("""COMPUTED_VALUE"""),9)</f>
        <v>9</v>
      </c>
      <c r="N43" s="1">
        <f ca="1">IFERROR(__xludf.DUMMYFUNCTION("""COMPUTED_VALUE"""),2210)</f>
        <v>2210</v>
      </c>
      <c r="O43" s="1">
        <f ca="1">IFERROR(__xludf.DUMMYFUNCTION("""COMPUTED_VALUE"""),2239)</f>
        <v>2239</v>
      </c>
      <c r="P43" s="1">
        <f ca="1">IFERROR(__xludf.DUMMYFUNCTION("""COMPUTED_VALUE"""),1245)</f>
        <v>1245</v>
      </c>
      <c r="Q43" s="1">
        <f ca="1">IFERROR(__xludf.DUMMYFUNCTION("""COMPUTED_VALUE"""),781)</f>
        <v>781</v>
      </c>
      <c r="R43" s="1">
        <f ca="1">IFERROR(__xludf.DUMMYFUNCTION("""COMPUTED_VALUE"""),1651)</f>
        <v>1651</v>
      </c>
      <c r="S43" s="1">
        <f ca="1">IFERROR(__xludf.DUMMYFUNCTION("""COMPUTED_VALUE"""),0.473)</f>
        <v>0.47299999999999998</v>
      </c>
      <c r="T43" s="1">
        <f ca="1">IFERROR(__xludf.DUMMYFUNCTION("""COMPUTED_VALUE"""),257)</f>
        <v>257</v>
      </c>
      <c r="U43" s="1">
        <f ca="1">IFERROR(__xludf.DUMMYFUNCTION("""COMPUTED_VALUE"""),635)</f>
        <v>635</v>
      </c>
      <c r="V43" s="1">
        <f ca="1">IFERROR(__xludf.DUMMYFUNCTION("""COMPUTED_VALUE"""),0.405)</f>
        <v>0.40500000000000003</v>
      </c>
      <c r="W43" s="1">
        <f ca="1">IFERROR(__xludf.DUMMYFUNCTION("""COMPUTED_VALUE"""),391)</f>
        <v>391</v>
      </c>
      <c r="X43" s="1">
        <f ca="1">IFERROR(__xludf.DUMMYFUNCTION("""COMPUTED_VALUE"""),544)</f>
        <v>544</v>
      </c>
      <c r="Y43" s="1">
        <f ca="1">IFERROR(__xludf.DUMMYFUNCTION("""COMPUTED_VALUE"""),0.719)</f>
        <v>0.71899999999999997</v>
      </c>
      <c r="Z43" s="1">
        <f ca="1">IFERROR(__xludf.DUMMYFUNCTION("""COMPUTED_VALUE"""),252)</f>
        <v>252</v>
      </c>
      <c r="AA43" s="1">
        <f ca="1">IFERROR(__xludf.DUMMYFUNCTION("""COMPUTED_VALUE"""),950)</f>
        <v>950</v>
      </c>
      <c r="AB43" s="1">
        <f ca="1">IFERROR(__xludf.DUMMYFUNCTION("""COMPUTED_VALUE"""),458)</f>
        <v>458</v>
      </c>
      <c r="AC43" s="1">
        <f ca="1">IFERROR(__xludf.DUMMYFUNCTION("""COMPUTED_VALUE"""),144)</f>
        <v>144</v>
      </c>
      <c r="AD43" s="1">
        <f ca="1">IFERROR(__xludf.DUMMYFUNCTION("""COMPUTED_VALUE"""),87)</f>
        <v>87</v>
      </c>
      <c r="AE43" s="1">
        <f ca="1">IFERROR(__xludf.DUMMYFUNCTION("""COMPUTED_VALUE"""),434)</f>
        <v>434</v>
      </c>
      <c r="AF43" s="1">
        <f ca="1">IFERROR(__xludf.DUMMYFUNCTION("""COMPUTED_VALUE"""),533)</f>
        <v>533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IFERROR(__xludf.DUMMYFUNCTION("""COMPUTED_VALUE"""),"UC-Irvine")</f>
        <v>UC-Irvine</v>
      </c>
      <c r="B46" s="1">
        <f ca="1">IFERROR(__xludf.DUMMYFUNCTION("""COMPUTED_VALUE"""),37)</f>
        <v>37</v>
      </c>
      <c r="C46" s="1">
        <f ca="1">IFERROR(__xludf.DUMMYFUNCTION("""COMPUTED_VALUE"""),21)</f>
        <v>21</v>
      </c>
      <c r="D46" s="1">
        <f ca="1">IFERROR(__xludf.DUMMYFUNCTION("""COMPUTED_VALUE"""),16)</f>
        <v>16</v>
      </c>
      <c r="E46" s="1">
        <f ca="1">IFERROR(__xludf.DUMMYFUNCTION("""COMPUTED_VALUE"""),0.568)</f>
        <v>0.56799999999999995</v>
      </c>
      <c r="F46" s="1">
        <f ca="1">IFERROR(__xludf.DUMMYFUNCTION("""COMPUTED_VALUE"""),0.17)</f>
        <v>0.17</v>
      </c>
      <c r="G46" s="1">
        <f ca="1">IFERROR(__xludf.DUMMYFUNCTION("""COMPUTED_VALUE"""),-0.66)</f>
        <v>-0.66</v>
      </c>
      <c r="H46" s="1">
        <f ca="1">IFERROR(__xludf.DUMMYFUNCTION("""COMPUTED_VALUE"""),11)</f>
        <v>11</v>
      </c>
      <c r="I46" s="1">
        <f ca="1">IFERROR(__xludf.DUMMYFUNCTION("""COMPUTED_VALUE"""),7)</f>
        <v>7</v>
      </c>
      <c r="J46" s="1">
        <f ca="1">IFERROR(__xludf.DUMMYFUNCTION("""COMPUTED_VALUE"""),13)</f>
        <v>13</v>
      </c>
      <c r="K46" s="1">
        <f ca="1">IFERROR(__xludf.DUMMYFUNCTION("""COMPUTED_VALUE"""),1)</f>
        <v>1</v>
      </c>
      <c r="L46" s="1">
        <f ca="1">IFERROR(__xludf.DUMMYFUNCTION("""COMPUTED_VALUE"""),5)</f>
        <v>5</v>
      </c>
      <c r="M46" s="1">
        <f ca="1">IFERROR(__xludf.DUMMYFUNCTION("""COMPUTED_VALUE"""),13)</f>
        <v>13</v>
      </c>
      <c r="N46" s="1">
        <f ca="1">IFERROR(__xludf.DUMMYFUNCTION("""COMPUTED_VALUE"""),2558)</f>
        <v>2558</v>
      </c>
      <c r="O46" s="1">
        <f ca="1">IFERROR(__xludf.DUMMYFUNCTION("""COMPUTED_VALUE"""),2418)</f>
        <v>2418</v>
      </c>
      <c r="P46" s="1">
        <f ca="1">IFERROR(__xludf.DUMMYFUNCTION("""COMPUTED_VALUE"""),1495)</f>
        <v>1495</v>
      </c>
      <c r="Q46" s="1">
        <f ca="1">IFERROR(__xludf.DUMMYFUNCTION("""COMPUTED_VALUE"""),932)</f>
        <v>932</v>
      </c>
      <c r="R46" s="1">
        <f ca="1">IFERROR(__xludf.DUMMYFUNCTION("""COMPUTED_VALUE"""),2151)</f>
        <v>2151</v>
      </c>
      <c r="S46" s="1">
        <f ca="1">IFERROR(__xludf.DUMMYFUNCTION("""COMPUTED_VALUE"""),0.433)</f>
        <v>0.433</v>
      </c>
      <c r="T46" s="1">
        <f ca="1">IFERROR(__xludf.DUMMYFUNCTION("""COMPUTED_VALUE"""),249)</f>
        <v>249</v>
      </c>
      <c r="U46" s="1">
        <f ca="1">IFERROR(__xludf.DUMMYFUNCTION("""COMPUTED_VALUE"""),746)</f>
        <v>746</v>
      </c>
      <c r="V46" s="1">
        <f ca="1">IFERROR(__xludf.DUMMYFUNCTION("""COMPUTED_VALUE"""),0.334)</f>
        <v>0.33400000000000002</v>
      </c>
      <c r="W46" s="1">
        <f ca="1">IFERROR(__xludf.DUMMYFUNCTION("""COMPUTED_VALUE"""),445)</f>
        <v>445</v>
      </c>
      <c r="X46" s="1">
        <f ca="1">IFERROR(__xludf.DUMMYFUNCTION("""COMPUTED_VALUE"""),669)</f>
        <v>669</v>
      </c>
      <c r="Y46" s="1">
        <f ca="1">IFERROR(__xludf.DUMMYFUNCTION("""COMPUTED_VALUE"""),0.665)</f>
        <v>0.66500000000000004</v>
      </c>
      <c r="Z46" s="1">
        <f ca="1">IFERROR(__xludf.DUMMYFUNCTION("""COMPUTED_VALUE"""),417)</f>
        <v>417</v>
      </c>
      <c r="AA46" s="1">
        <f ca="1">IFERROR(__xludf.DUMMYFUNCTION("""COMPUTED_VALUE"""),1303)</f>
        <v>1303</v>
      </c>
      <c r="AB46" s="1">
        <f ca="1">IFERROR(__xludf.DUMMYFUNCTION("""COMPUTED_VALUE"""),580)</f>
        <v>580</v>
      </c>
      <c r="AC46" s="1">
        <f ca="1">IFERROR(__xludf.DUMMYFUNCTION("""COMPUTED_VALUE"""),181)</f>
        <v>181</v>
      </c>
      <c r="AD46" s="1">
        <f ca="1">IFERROR(__xludf.DUMMYFUNCTION("""COMPUTED_VALUE"""),159)</f>
        <v>159</v>
      </c>
      <c r="AE46" s="1">
        <f ca="1">IFERROR(__xludf.DUMMYFUNCTION("""COMPUTED_VALUE"""),461)</f>
        <v>461</v>
      </c>
      <c r="AF46" s="1">
        <f ca="1">IFERROR(__xludf.DUMMYFUNCTION("""COMPUTED_VALUE"""),651)</f>
        <v>651</v>
      </c>
    </row>
    <row r="47" spans="1:32" ht="12.5" x14ac:dyDescent="0.25">
      <c r="A47" s="1" t="str">
        <f ca="1">IFERROR(__xludf.DUMMYFUNCTION("""COMPUTED_VALUE"""),"UC-Riverside")</f>
        <v>UC-Riverside</v>
      </c>
      <c r="B47" s="1">
        <f ca="1">IFERROR(__xludf.DUMMYFUNCTION("""COMPUTED_VALUE"""),31)</f>
        <v>31</v>
      </c>
      <c r="C47" s="1">
        <f ca="1">IFERROR(__xludf.DUMMYFUNCTION("""COMPUTED_VALUE"""),6)</f>
        <v>6</v>
      </c>
      <c r="D47" s="1">
        <f ca="1">IFERROR(__xludf.DUMMYFUNCTION("""COMPUTED_VALUE"""),25)</f>
        <v>25</v>
      </c>
      <c r="E47" s="1">
        <f ca="1">IFERROR(__xludf.DUMMYFUNCTION("""COMPUTED_VALUE"""),0.194)</f>
        <v>0.19400000000000001</v>
      </c>
      <c r="F47" s="1">
        <f ca="1">IFERROR(__xludf.DUMMYFUNCTION("""COMPUTED_VALUE"""),-11.49)</f>
        <v>-11.49</v>
      </c>
      <c r="G47" s="1">
        <f ca="1">IFERROR(__xludf.DUMMYFUNCTION("""COMPUTED_VALUE"""),-1.71)</f>
        <v>-1.71</v>
      </c>
      <c r="H47" s="1">
        <f ca="1">IFERROR(__xludf.DUMMYFUNCTION("""COMPUTED_VALUE"""),3)</f>
        <v>3</v>
      </c>
      <c r="I47" s="1">
        <f ca="1">IFERROR(__xludf.DUMMYFUNCTION("""COMPUTED_VALUE"""),15)</f>
        <v>15</v>
      </c>
      <c r="J47" s="1">
        <f ca="1">IFERROR(__xludf.DUMMYFUNCTION("""COMPUTED_VALUE"""),5)</f>
        <v>5</v>
      </c>
      <c r="K47" s="1">
        <f ca="1">IFERROR(__xludf.DUMMYFUNCTION("""COMPUTED_VALUE"""),9)</f>
        <v>9</v>
      </c>
      <c r="L47" s="1">
        <f ca="1">IFERROR(__xludf.DUMMYFUNCTION("""COMPUTED_VALUE"""),1)</f>
        <v>1</v>
      </c>
      <c r="M47" s="1">
        <f ca="1">IFERROR(__xludf.DUMMYFUNCTION("""COMPUTED_VALUE"""),14)</f>
        <v>14</v>
      </c>
      <c r="N47" s="1">
        <f ca="1">IFERROR(__xludf.DUMMYFUNCTION("""COMPUTED_VALUE"""),1829)</f>
        <v>1829</v>
      </c>
      <c r="O47" s="1">
        <f ca="1">IFERROR(__xludf.DUMMYFUNCTION("""COMPUTED_VALUE"""),2062)</f>
        <v>2062</v>
      </c>
      <c r="P47" s="1">
        <f ca="1">IFERROR(__xludf.DUMMYFUNCTION("""COMPUTED_VALUE"""),1245)</f>
        <v>1245</v>
      </c>
      <c r="Q47" s="1">
        <f ca="1">IFERROR(__xludf.DUMMYFUNCTION("""COMPUTED_VALUE"""),688)</f>
        <v>688</v>
      </c>
      <c r="R47" s="1">
        <f ca="1">IFERROR(__xludf.DUMMYFUNCTION("""COMPUTED_VALUE"""),1650)</f>
        <v>1650</v>
      </c>
      <c r="S47" s="1">
        <f ca="1">IFERROR(__xludf.DUMMYFUNCTION("""COMPUTED_VALUE"""),0.417)</f>
        <v>0.41699999999999998</v>
      </c>
      <c r="T47" s="1">
        <f ca="1">IFERROR(__xludf.DUMMYFUNCTION("""COMPUTED_VALUE"""),146)</f>
        <v>146</v>
      </c>
      <c r="U47" s="1">
        <f ca="1">IFERROR(__xludf.DUMMYFUNCTION("""COMPUTED_VALUE"""),505)</f>
        <v>505</v>
      </c>
      <c r="V47" s="1">
        <f ca="1">IFERROR(__xludf.DUMMYFUNCTION("""COMPUTED_VALUE"""),0.289)</f>
        <v>0.28899999999999998</v>
      </c>
      <c r="W47" s="1">
        <f ca="1">IFERROR(__xludf.DUMMYFUNCTION("""COMPUTED_VALUE"""),307)</f>
        <v>307</v>
      </c>
      <c r="X47" s="1">
        <f ca="1">IFERROR(__xludf.DUMMYFUNCTION("""COMPUTED_VALUE"""),527)</f>
        <v>527</v>
      </c>
      <c r="Y47" s="1">
        <f ca="1">IFERROR(__xludf.DUMMYFUNCTION("""COMPUTED_VALUE"""),0.583)</f>
        <v>0.58299999999999996</v>
      </c>
      <c r="Z47" s="1">
        <f ca="1">IFERROR(__xludf.DUMMYFUNCTION("""COMPUTED_VALUE"""),347)</f>
        <v>347</v>
      </c>
      <c r="AA47" s="1">
        <f ca="1">IFERROR(__xludf.DUMMYFUNCTION("""COMPUTED_VALUE"""),983)</f>
        <v>983</v>
      </c>
      <c r="AB47" s="1">
        <f ca="1">IFERROR(__xludf.DUMMYFUNCTION("""COMPUTED_VALUE"""),382)</f>
        <v>382</v>
      </c>
      <c r="AC47" s="1">
        <f ca="1">IFERROR(__xludf.DUMMYFUNCTION("""COMPUTED_VALUE"""),193)</f>
        <v>193</v>
      </c>
      <c r="AD47" s="1">
        <f ca="1">IFERROR(__xludf.DUMMYFUNCTION("""COMPUTED_VALUE"""),91)</f>
        <v>91</v>
      </c>
      <c r="AE47" s="1">
        <f ca="1">IFERROR(__xludf.DUMMYFUNCTION("""COMPUTED_VALUE"""),453)</f>
        <v>453</v>
      </c>
      <c r="AF47" s="1">
        <f ca="1">IFERROR(__xludf.DUMMYFUNCTION("""COMPUTED_VALUE"""),494)</f>
        <v>494</v>
      </c>
    </row>
    <row r="48" spans="1:32" ht="12.5" x14ac:dyDescent="0.25">
      <c r="A48" s="1" t="str">
        <f ca="1">IFERROR(__xludf.DUMMYFUNCTION("""COMPUTED_VALUE"""),"UC-Santa Barbara")</f>
        <v>UC-Santa Barbara</v>
      </c>
      <c r="B48" s="1">
        <f ca="1">IFERROR(__xludf.DUMMYFUNCTION("""COMPUTED_VALUE"""),31)</f>
        <v>31</v>
      </c>
      <c r="C48" s="1">
        <f ca="1">IFERROR(__xludf.DUMMYFUNCTION("""COMPUTED_VALUE"""),11)</f>
        <v>11</v>
      </c>
      <c r="D48" s="1">
        <f ca="1">IFERROR(__xludf.DUMMYFUNCTION("""COMPUTED_VALUE"""),20)</f>
        <v>20</v>
      </c>
      <c r="E48" s="1">
        <f ca="1">IFERROR(__xludf.DUMMYFUNCTION("""COMPUTED_VALUE"""),0.355)</f>
        <v>0.35499999999999998</v>
      </c>
      <c r="F48" s="1">
        <f ca="1">IFERROR(__xludf.DUMMYFUNCTION("""COMPUTED_VALUE"""),-4.22)</f>
        <v>-4.22</v>
      </c>
      <c r="G48" s="1">
        <f ca="1">IFERROR(__xludf.DUMMYFUNCTION("""COMPUTED_VALUE"""),0.4)</f>
        <v>0.4</v>
      </c>
      <c r="H48" s="1">
        <f ca="1">IFERROR(__xludf.DUMMYFUNCTION("""COMPUTED_VALUE"""),7)</f>
        <v>7</v>
      </c>
      <c r="I48" s="1">
        <f ca="1">IFERROR(__xludf.DUMMYFUNCTION("""COMPUTED_VALUE"""),11)</f>
        <v>11</v>
      </c>
      <c r="J48" s="1">
        <f ca="1">IFERROR(__xludf.DUMMYFUNCTION("""COMPUTED_VALUE"""),8)</f>
        <v>8</v>
      </c>
      <c r="K48" s="1">
        <f ca="1">IFERROR(__xludf.DUMMYFUNCTION("""COMPUTED_VALUE"""),6)</f>
        <v>6</v>
      </c>
      <c r="L48" s="1">
        <f ca="1">IFERROR(__xludf.DUMMYFUNCTION("""COMPUTED_VALUE"""),3)</f>
        <v>3</v>
      </c>
      <c r="M48" s="1">
        <f ca="1">IFERROR(__xludf.DUMMYFUNCTION("""COMPUTED_VALUE"""),13)</f>
        <v>13</v>
      </c>
      <c r="N48" s="1">
        <f ca="1">IFERROR(__xludf.DUMMYFUNCTION("""COMPUTED_VALUE"""),2003)</f>
        <v>2003</v>
      </c>
      <c r="O48" s="1">
        <f ca="1">IFERROR(__xludf.DUMMYFUNCTION("""COMPUTED_VALUE"""),2090)</f>
        <v>2090</v>
      </c>
      <c r="P48" s="1">
        <f ca="1">IFERROR(__xludf.DUMMYFUNCTION("""COMPUTED_VALUE"""),1255)</f>
        <v>1255</v>
      </c>
      <c r="Q48" s="1">
        <f ca="1">IFERROR(__xludf.DUMMYFUNCTION("""COMPUTED_VALUE"""),703)</f>
        <v>703</v>
      </c>
      <c r="R48" s="1">
        <f ca="1">IFERROR(__xludf.DUMMYFUNCTION("""COMPUTED_VALUE"""),1676)</f>
        <v>1676</v>
      </c>
      <c r="S48" s="1">
        <f ca="1">IFERROR(__xludf.DUMMYFUNCTION("""COMPUTED_VALUE"""),0.419)</f>
        <v>0.41899999999999998</v>
      </c>
      <c r="T48" s="1">
        <f ca="1">IFERROR(__xludf.DUMMYFUNCTION("""COMPUTED_VALUE"""),247)</f>
        <v>247</v>
      </c>
      <c r="U48" s="1">
        <f ca="1">IFERROR(__xludf.DUMMYFUNCTION("""COMPUTED_VALUE"""),714)</f>
        <v>714</v>
      </c>
      <c r="V48" s="1">
        <f ca="1">IFERROR(__xludf.DUMMYFUNCTION("""COMPUTED_VALUE"""),0.346)</f>
        <v>0.34599999999999997</v>
      </c>
      <c r="W48" s="1">
        <f ca="1">IFERROR(__xludf.DUMMYFUNCTION("""COMPUTED_VALUE"""),350)</f>
        <v>350</v>
      </c>
      <c r="X48" s="1">
        <f ca="1">IFERROR(__xludf.DUMMYFUNCTION("""COMPUTED_VALUE"""),506)</f>
        <v>506</v>
      </c>
      <c r="Y48" s="1">
        <f ca="1">IFERROR(__xludf.DUMMYFUNCTION("""COMPUTED_VALUE"""),0.692)</f>
        <v>0.69199999999999995</v>
      </c>
      <c r="Z48" s="1">
        <f ca="1">IFERROR(__xludf.DUMMYFUNCTION("""COMPUTED_VALUE"""),341)</f>
        <v>341</v>
      </c>
      <c r="AA48" s="1">
        <f ca="1">IFERROR(__xludf.DUMMYFUNCTION("""COMPUTED_VALUE"""),995)</f>
        <v>995</v>
      </c>
      <c r="AB48" s="1">
        <f ca="1">IFERROR(__xludf.DUMMYFUNCTION("""COMPUTED_VALUE"""),457)</f>
        <v>457</v>
      </c>
      <c r="AC48" s="1">
        <f ca="1">IFERROR(__xludf.DUMMYFUNCTION("""COMPUTED_VALUE"""),165)</f>
        <v>165</v>
      </c>
      <c r="AD48" s="1">
        <f ca="1">IFERROR(__xludf.DUMMYFUNCTION("""COMPUTED_VALUE"""),137)</f>
        <v>137</v>
      </c>
      <c r="AE48" s="1">
        <f ca="1">IFERROR(__xludf.DUMMYFUNCTION("""COMPUTED_VALUE"""),446)</f>
        <v>446</v>
      </c>
      <c r="AF48" s="1">
        <f ca="1">IFERROR(__xludf.DUMMYFUNCTION("""COMPUTED_VALUE"""),556)</f>
        <v>556</v>
      </c>
    </row>
    <row r="49" spans="1:32" ht="12.5" x14ac:dyDescent="0.25">
      <c r="A49" s="1" t="str">
        <f ca="1">IFERROR(__xludf.DUMMYFUNCTION("""COMPUTED_VALUE"""),"University of CaliforniaNCAA")</f>
        <v>University of CaliforniaNCAA</v>
      </c>
      <c r="B49" s="1">
        <f ca="1">IFERROR(__xludf.DUMMYFUNCTION("""COMPUTED_VALUE"""),33)</f>
        <v>33</v>
      </c>
      <c r="C49" s="1">
        <f ca="1">IFERROR(__xludf.DUMMYFUNCTION("""COMPUTED_VALUE"""),21)</f>
        <v>21</v>
      </c>
      <c r="D49" s="1">
        <f ca="1">IFERROR(__xludf.DUMMYFUNCTION("""COMPUTED_VALUE"""),12)</f>
        <v>12</v>
      </c>
      <c r="E49" s="1">
        <f ca="1">IFERROR(__xludf.DUMMYFUNCTION("""COMPUTED_VALUE"""),0.636)</f>
        <v>0.63600000000000001</v>
      </c>
      <c r="F49" s="1">
        <f ca="1">IFERROR(__xludf.DUMMYFUNCTION("""COMPUTED_VALUE"""),10.65)</f>
        <v>10.65</v>
      </c>
      <c r="G49" s="1">
        <f ca="1">IFERROR(__xludf.DUMMYFUNCTION("""COMPUTED_VALUE"""),7.77)</f>
        <v>7.77</v>
      </c>
      <c r="H49" s="1">
        <f ca="1">IFERROR(__xludf.DUMMYFUNCTION("""COMPUTED_VALUE"""),12)</f>
        <v>12</v>
      </c>
      <c r="I49" s="1">
        <f ca="1">IFERROR(__xludf.DUMMYFUNCTION("""COMPUTED_VALUE"""),6)</f>
        <v>6</v>
      </c>
      <c r="J49" s="1">
        <f ca="1">IFERROR(__xludf.DUMMYFUNCTION("""COMPUTED_VALUE"""),11)</f>
        <v>11</v>
      </c>
      <c r="K49" s="1">
        <f ca="1">IFERROR(__xludf.DUMMYFUNCTION("""COMPUTED_VALUE"""),5)</f>
        <v>5</v>
      </c>
      <c r="L49" s="1">
        <f ca="1">IFERROR(__xludf.DUMMYFUNCTION("""COMPUTED_VALUE"""),6)</f>
        <v>6</v>
      </c>
      <c r="M49" s="1">
        <f ca="1">IFERROR(__xludf.DUMMYFUNCTION("""COMPUTED_VALUE"""),5)</f>
        <v>5</v>
      </c>
      <c r="N49" s="1">
        <f ca="1">IFERROR(__xludf.DUMMYFUNCTION("""COMPUTED_VALUE"""),2218)</f>
        <v>2218</v>
      </c>
      <c r="O49" s="1">
        <f ca="1">IFERROR(__xludf.DUMMYFUNCTION("""COMPUTED_VALUE"""),2123)</f>
        <v>2123</v>
      </c>
      <c r="P49" s="1">
        <f ca="1">IFERROR(__xludf.DUMMYFUNCTION("""COMPUTED_VALUE"""),1325)</f>
        <v>1325</v>
      </c>
      <c r="Q49" s="1">
        <f ca="1">IFERROR(__xludf.DUMMYFUNCTION("""COMPUTED_VALUE"""),833)</f>
        <v>833</v>
      </c>
      <c r="R49" s="1">
        <f ca="1">IFERROR(__xludf.DUMMYFUNCTION("""COMPUTED_VALUE"""),1875)</f>
        <v>1875</v>
      </c>
      <c r="S49" s="1">
        <f ca="1">IFERROR(__xludf.DUMMYFUNCTION("""COMPUTED_VALUE"""),0.444)</f>
        <v>0.44400000000000001</v>
      </c>
      <c r="T49" s="1">
        <f ca="1">IFERROR(__xludf.DUMMYFUNCTION("""COMPUTED_VALUE"""),134)</f>
        <v>134</v>
      </c>
      <c r="U49" s="1">
        <f ca="1">IFERROR(__xludf.DUMMYFUNCTION("""COMPUTED_VALUE"""),443)</f>
        <v>443</v>
      </c>
      <c r="V49" s="1">
        <f ca="1">IFERROR(__xludf.DUMMYFUNCTION("""COMPUTED_VALUE"""),0.302)</f>
        <v>0.30199999999999999</v>
      </c>
      <c r="W49" s="1">
        <f ca="1">IFERROR(__xludf.DUMMYFUNCTION("""COMPUTED_VALUE"""),418)</f>
        <v>418</v>
      </c>
      <c r="X49" s="1">
        <f ca="1">IFERROR(__xludf.DUMMYFUNCTION("""COMPUTED_VALUE"""),585)</f>
        <v>585</v>
      </c>
      <c r="Y49" s="1">
        <f ca="1">IFERROR(__xludf.DUMMYFUNCTION("""COMPUTED_VALUE"""),0.715)</f>
        <v>0.71499999999999997</v>
      </c>
      <c r="Z49" s="1">
        <f ca="1">IFERROR(__xludf.DUMMYFUNCTION("""COMPUTED_VALUE"""),361)</f>
        <v>361</v>
      </c>
      <c r="AA49" s="1">
        <f ca="1">IFERROR(__xludf.DUMMYFUNCTION("""COMPUTED_VALUE"""),1134)</f>
        <v>1134</v>
      </c>
      <c r="AB49" s="1">
        <f ca="1">IFERROR(__xludf.DUMMYFUNCTION("""COMPUTED_VALUE"""),468)</f>
        <v>468</v>
      </c>
      <c r="AC49" s="1">
        <f ca="1">IFERROR(__xludf.DUMMYFUNCTION("""COMPUTED_VALUE"""),192)</f>
        <v>192</v>
      </c>
      <c r="AD49" s="1">
        <f ca="1">IFERROR(__xludf.DUMMYFUNCTION("""COMPUTED_VALUE"""),154)</f>
        <v>154</v>
      </c>
      <c r="AE49" s="1">
        <f ca="1">IFERROR(__xludf.DUMMYFUNCTION("""COMPUTED_VALUE"""),417)</f>
        <v>417</v>
      </c>
      <c r="AF49" s="1">
        <f ca="1">IFERROR(__xludf.DUMMYFUNCTION("""COMPUTED_VALUE"""),549)</f>
        <v>549</v>
      </c>
    </row>
    <row r="50" spans="1:32" ht="12.5" x14ac:dyDescent="0.25">
      <c r="A50" s="1" t="str">
        <f ca="1">IFERROR(__xludf.DUMMYFUNCTION("""COMPUTED_VALUE"""),"Campbell")</f>
        <v>Campbell</v>
      </c>
      <c r="B50" s="1">
        <f ca="1">IFERROR(__xludf.DUMMYFUNCTION("""COMPUTED_VALUE"""),33)</f>
        <v>33</v>
      </c>
      <c r="C50" s="1">
        <f ca="1">IFERROR(__xludf.DUMMYFUNCTION("""COMPUTED_VALUE"""),13)</f>
        <v>13</v>
      </c>
      <c r="D50" s="1">
        <f ca="1">IFERROR(__xludf.DUMMYFUNCTION("""COMPUTED_VALUE"""),20)</f>
        <v>20</v>
      </c>
      <c r="E50" s="1">
        <f ca="1">IFERROR(__xludf.DUMMYFUNCTION("""COMPUTED_VALUE"""),0.394)</f>
        <v>0.39400000000000002</v>
      </c>
      <c r="F50" s="1">
        <f ca="1">IFERROR(__xludf.DUMMYFUNCTION("""COMPUTED_VALUE"""),-10.25)</f>
        <v>-10.25</v>
      </c>
      <c r="G50" s="1">
        <f ca="1">IFERROR(__xludf.DUMMYFUNCTION("""COMPUTED_VALUE"""),-5.55)</f>
        <v>-5.55</v>
      </c>
      <c r="H50" s="1">
        <f ca="1">IFERROR(__xludf.DUMMYFUNCTION("""COMPUTED_VALUE"""),7)</f>
        <v>7</v>
      </c>
      <c r="I50" s="1">
        <f ca="1">IFERROR(__xludf.DUMMYFUNCTION("""COMPUTED_VALUE"""),9)</f>
        <v>9</v>
      </c>
      <c r="J50" s="1">
        <f ca="1">IFERROR(__xludf.DUMMYFUNCTION("""COMPUTED_VALUE"""),8)</f>
        <v>8</v>
      </c>
      <c r="K50" s="1">
        <f ca="1">IFERROR(__xludf.DUMMYFUNCTION("""COMPUTED_VALUE"""),8)</f>
        <v>8</v>
      </c>
      <c r="L50" s="1">
        <f ca="1">IFERROR(__xludf.DUMMYFUNCTION("""COMPUTED_VALUE"""),4)</f>
        <v>4</v>
      </c>
      <c r="M50" s="1">
        <f ca="1">IFERROR(__xludf.DUMMYFUNCTION("""COMPUTED_VALUE"""),9)</f>
        <v>9</v>
      </c>
      <c r="N50" s="1">
        <f ca="1">IFERROR(__xludf.DUMMYFUNCTION("""COMPUTED_VALUE"""),2284)</f>
        <v>2284</v>
      </c>
      <c r="O50" s="1">
        <f ca="1">IFERROR(__xludf.DUMMYFUNCTION("""COMPUTED_VALUE"""),2395)</f>
        <v>2395</v>
      </c>
      <c r="P50" s="1">
        <f ca="1">IFERROR(__xludf.DUMMYFUNCTION("""COMPUTED_VALUE"""),1350)</f>
        <v>1350</v>
      </c>
      <c r="Q50" s="1">
        <f ca="1">IFERROR(__xludf.DUMMYFUNCTION("""COMPUTED_VALUE"""),855)</f>
        <v>855</v>
      </c>
      <c r="R50" s="1">
        <f ca="1">IFERROR(__xludf.DUMMYFUNCTION("""COMPUTED_VALUE"""),1921)</f>
        <v>1921</v>
      </c>
      <c r="S50" s="1">
        <f ca="1">IFERROR(__xludf.DUMMYFUNCTION("""COMPUTED_VALUE"""),0.445)</f>
        <v>0.44500000000000001</v>
      </c>
      <c r="T50" s="1">
        <f ca="1">IFERROR(__xludf.DUMMYFUNCTION("""COMPUTED_VALUE"""),135)</f>
        <v>135</v>
      </c>
      <c r="U50" s="1">
        <f ca="1">IFERROR(__xludf.DUMMYFUNCTION("""COMPUTED_VALUE"""),440)</f>
        <v>440</v>
      </c>
      <c r="V50" s="1">
        <f ca="1">IFERROR(__xludf.DUMMYFUNCTION("""COMPUTED_VALUE"""),0.307)</f>
        <v>0.307</v>
      </c>
      <c r="W50" s="1">
        <f ca="1">IFERROR(__xludf.DUMMYFUNCTION("""COMPUTED_VALUE"""),439)</f>
        <v>439</v>
      </c>
      <c r="X50" s="1">
        <f ca="1">IFERROR(__xludf.DUMMYFUNCTION("""COMPUTED_VALUE"""),619)</f>
        <v>619</v>
      </c>
      <c r="Y50" s="1">
        <f ca="1">IFERROR(__xludf.DUMMYFUNCTION("""COMPUTED_VALUE"""),0.709)</f>
        <v>0.70899999999999996</v>
      </c>
      <c r="Z50" s="1">
        <f ca="1">IFERROR(__xludf.DUMMYFUNCTION("""COMPUTED_VALUE"""),381)</f>
        <v>381</v>
      </c>
      <c r="AA50" s="1">
        <f ca="1">IFERROR(__xludf.DUMMYFUNCTION("""COMPUTED_VALUE"""),1008)</f>
        <v>1008</v>
      </c>
      <c r="AB50" s="1">
        <f ca="1">IFERROR(__xludf.DUMMYFUNCTION("""COMPUTED_VALUE"""),461)</f>
        <v>461</v>
      </c>
      <c r="AC50" s="1">
        <f ca="1">IFERROR(__xludf.DUMMYFUNCTION("""COMPUTED_VALUE"""),250)</f>
        <v>250</v>
      </c>
      <c r="AD50" s="1">
        <f ca="1">IFERROR(__xludf.DUMMYFUNCTION("""COMPUTED_VALUE"""),110)</f>
        <v>110</v>
      </c>
      <c r="AE50" s="1">
        <f ca="1">IFERROR(__xludf.DUMMYFUNCTION("""COMPUTED_VALUE"""),456)</f>
        <v>456</v>
      </c>
      <c r="AF50" s="1">
        <f ca="1">IFERROR(__xludf.DUMMYFUNCTION("""COMPUTED_VALUE"""),619)</f>
        <v>619</v>
      </c>
    </row>
    <row r="51" spans="1:32" ht="12.5" x14ac:dyDescent="0.25">
      <c r="A51" s="1" t="str">
        <f ca="1">IFERROR(__xludf.DUMMYFUNCTION("""COMPUTED_VALUE"""),"Canisius")</f>
        <v>Canisius</v>
      </c>
      <c r="B51" s="1">
        <f ca="1">IFERROR(__xludf.DUMMYFUNCTION("""COMPUTED_VALUE"""),34)</f>
        <v>34</v>
      </c>
      <c r="C51" s="1">
        <f ca="1">IFERROR(__xludf.DUMMYFUNCTION("""COMPUTED_VALUE"""),20)</f>
        <v>20</v>
      </c>
      <c r="D51" s="1">
        <f ca="1">IFERROR(__xludf.DUMMYFUNCTION("""COMPUTED_VALUE"""),14)</f>
        <v>14</v>
      </c>
      <c r="E51" s="1">
        <f ca="1">IFERROR(__xludf.DUMMYFUNCTION("""COMPUTED_VALUE"""),0.588)</f>
        <v>0.58799999999999997</v>
      </c>
      <c r="F51" s="1">
        <f ca="1">IFERROR(__xludf.DUMMYFUNCTION("""COMPUTED_VALUE"""),2.37)</f>
        <v>2.37</v>
      </c>
      <c r="G51" s="1">
        <f ca="1">IFERROR(__xludf.DUMMYFUNCTION("""COMPUTED_VALUE"""),-0.99)</f>
        <v>-0.99</v>
      </c>
      <c r="H51" s="1">
        <f ca="1">IFERROR(__xludf.DUMMYFUNCTION("""COMPUTED_VALUE"""),11)</f>
        <v>11</v>
      </c>
      <c r="I51" s="1">
        <f ca="1">IFERROR(__xludf.DUMMYFUNCTION("""COMPUTED_VALUE"""),7)</f>
        <v>7</v>
      </c>
      <c r="J51" s="1">
        <f ca="1">IFERROR(__xludf.DUMMYFUNCTION("""COMPUTED_VALUE"""),12)</f>
        <v>12</v>
      </c>
      <c r="K51" s="1">
        <f ca="1">IFERROR(__xludf.DUMMYFUNCTION("""COMPUTED_VALUE"""),4)</f>
        <v>4</v>
      </c>
      <c r="L51" s="1">
        <f ca="1">IFERROR(__xludf.DUMMYFUNCTION("""COMPUTED_VALUE"""),8)</f>
        <v>8</v>
      </c>
      <c r="M51" s="1">
        <f ca="1">IFERROR(__xludf.DUMMYFUNCTION("""COMPUTED_VALUE"""),9)</f>
        <v>9</v>
      </c>
      <c r="N51" s="1">
        <f ca="1">IFERROR(__xludf.DUMMYFUNCTION("""COMPUTED_VALUE"""),2499)</f>
        <v>2499</v>
      </c>
      <c r="O51" s="1">
        <f ca="1">IFERROR(__xludf.DUMMYFUNCTION("""COMPUTED_VALUE"""),2385)</f>
        <v>2385</v>
      </c>
      <c r="P51" s="1">
        <f ca="1">IFERROR(__xludf.DUMMYFUNCTION("""COMPUTED_VALUE"""),1370)</f>
        <v>1370</v>
      </c>
      <c r="Q51" s="1">
        <f ca="1">IFERROR(__xludf.DUMMYFUNCTION("""COMPUTED_VALUE"""),857)</f>
        <v>857</v>
      </c>
      <c r="R51" s="1">
        <f ca="1">IFERROR(__xludf.DUMMYFUNCTION("""COMPUTED_VALUE"""),1923)</f>
        <v>1923</v>
      </c>
      <c r="S51" s="1">
        <f ca="1">IFERROR(__xludf.DUMMYFUNCTION("""COMPUTED_VALUE"""),0.446)</f>
        <v>0.44600000000000001</v>
      </c>
      <c r="T51" s="1">
        <f ca="1">IFERROR(__xludf.DUMMYFUNCTION("""COMPUTED_VALUE"""),313)</f>
        <v>313</v>
      </c>
      <c r="U51" s="1">
        <f ca="1">IFERROR(__xludf.DUMMYFUNCTION("""COMPUTED_VALUE"""),811)</f>
        <v>811</v>
      </c>
      <c r="V51" s="1">
        <f ca="1">IFERROR(__xludf.DUMMYFUNCTION("""COMPUTED_VALUE"""),0.386)</f>
        <v>0.38600000000000001</v>
      </c>
      <c r="W51" s="1">
        <f ca="1">IFERROR(__xludf.DUMMYFUNCTION("""COMPUTED_VALUE"""),472)</f>
        <v>472</v>
      </c>
      <c r="X51" s="1">
        <f ca="1">IFERROR(__xludf.DUMMYFUNCTION("""COMPUTED_VALUE"""),659)</f>
        <v>659</v>
      </c>
      <c r="Y51" s="1">
        <f ca="1">IFERROR(__xludf.DUMMYFUNCTION("""COMPUTED_VALUE"""),0.716)</f>
        <v>0.71599999999999997</v>
      </c>
      <c r="Z51" s="1">
        <f ca="1">IFERROR(__xludf.DUMMYFUNCTION("""COMPUTED_VALUE"""),400)</f>
        <v>400</v>
      </c>
      <c r="AA51" s="1">
        <f ca="1">IFERROR(__xludf.DUMMYFUNCTION("""COMPUTED_VALUE"""),1073)</f>
        <v>1073</v>
      </c>
      <c r="AB51" s="1">
        <f ca="1">IFERROR(__xludf.DUMMYFUNCTION("""COMPUTED_VALUE"""),432)</f>
        <v>432</v>
      </c>
      <c r="AC51" s="1">
        <f ca="1">IFERROR(__xludf.DUMMYFUNCTION("""COMPUTED_VALUE"""),198)</f>
        <v>198</v>
      </c>
      <c r="AD51" s="1">
        <f ca="1">IFERROR(__xludf.DUMMYFUNCTION("""COMPUTED_VALUE"""),111)</f>
        <v>111</v>
      </c>
      <c r="AE51" s="1">
        <f ca="1">IFERROR(__xludf.DUMMYFUNCTION("""COMPUTED_VALUE"""),450)</f>
        <v>450</v>
      </c>
      <c r="AF51" s="1">
        <f ca="1">IFERROR(__xludf.DUMMYFUNCTION("""COMPUTED_VALUE"""),578)</f>
        <v>578</v>
      </c>
    </row>
    <row r="52" spans="1:32" ht="12.5" x14ac:dyDescent="0.25">
      <c r="A52" s="1" t="str">
        <f ca="1">IFERROR(__xludf.DUMMYFUNCTION("""COMPUTED_VALUE"""),"Central Arkansas")</f>
        <v>Central Arkansas</v>
      </c>
      <c r="B52" s="1">
        <f ca="1">IFERROR(__xludf.DUMMYFUNCTION("""COMPUTED_VALUE"""),30)</f>
        <v>30</v>
      </c>
      <c r="C52" s="1">
        <f ca="1">IFERROR(__xludf.DUMMYFUNCTION("""COMPUTED_VALUE"""),13)</f>
        <v>13</v>
      </c>
      <c r="D52" s="1">
        <f ca="1">IFERROR(__xludf.DUMMYFUNCTION("""COMPUTED_VALUE"""),17)</f>
        <v>17</v>
      </c>
      <c r="E52" s="1">
        <f ca="1">IFERROR(__xludf.DUMMYFUNCTION("""COMPUTED_VALUE"""),0.433)</f>
        <v>0.433</v>
      </c>
      <c r="F52" s="1">
        <f ca="1">IFERROR(__xludf.DUMMYFUNCTION("""COMPUTED_VALUE"""),-10.87)</f>
        <v>-10.87</v>
      </c>
      <c r="G52" s="1">
        <f ca="1">IFERROR(__xludf.DUMMYFUNCTION("""COMPUTED_VALUE"""),-6.12)</f>
        <v>-6.12</v>
      </c>
      <c r="H52" s="1">
        <f ca="1">IFERROR(__xludf.DUMMYFUNCTION("""COMPUTED_VALUE"""),7)</f>
        <v>7</v>
      </c>
      <c r="I52" s="1">
        <f ca="1">IFERROR(__xludf.DUMMYFUNCTION("""COMPUTED_VALUE"""),11)</f>
        <v>11</v>
      </c>
      <c r="J52" s="1">
        <f ca="1">IFERROR(__xludf.DUMMYFUNCTION("""COMPUTED_VALUE"""),8)</f>
        <v>8</v>
      </c>
      <c r="K52" s="1">
        <f ca="1">IFERROR(__xludf.DUMMYFUNCTION("""COMPUTED_VALUE"""),7)</f>
        <v>7</v>
      </c>
      <c r="L52" s="1">
        <f ca="1">IFERROR(__xludf.DUMMYFUNCTION("""COMPUTED_VALUE"""),5)</f>
        <v>5</v>
      </c>
      <c r="M52" s="1">
        <f ca="1">IFERROR(__xludf.DUMMYFUNCTION("""COMPUTED_VALUE"""),8)</f>
        <v>8</v>
      </c>
      <c r="N52" s="1">
        <f ca="1">IFERROR(__xludf.DUMMYFUNCTION("""COMPUTED_VALUE"""),2294)</f>
        <v>2294</v>
      </c>
      <c r="O52" s="1">
        <f ca="1">IFERROR(__xludf.DUMMYFUNCTION("""COMPUTED_VALUE"""),2359)</f>
        <v>2359</v>
      </c>
      <c r="P52" s="1">
        <f ca="1">IFERROR(__xludf.DUMMYFUNCTION("""COMPUTED_VALUE"""),1230)</f>
        <v>1230</v>
      </c>
      <c r="Q52" s="1">
        <f ca="1">IFERROR(__xludf.DUMMYFUNCTION("""COMPUTED_VALUE"""),856)</f>
        <v>856</v>
      </c>
      <c r="R52" s="1">
        <f ca="1">IFERROR(__xludf.DUMMYFUNCTION("""COMPUTED_VALUE"""),1967)</f>
        <v>1967</v>
      </c>
      <c r="S52" s="1">
        <f ca="1">IFERROR(__xludf.DUMMYFUNCTION("""COMPUTED_VALUE"""),0.435)</f>
        <v>0.435</v>
      </c>
      <c r="T52" s="1">
        <f ca="1">IFERROR(__xludf.DUMMYFUNCTION("""COMPUTED_VALUE"""),214)</f>
        <v>214</v>
      </c>
      <c r="U52" s="1">
        <f ca="1">IFERROR(__xludf.DUMMYFUNCTION("""COMPUTED_VALUE"""),608)</f>
        <v>608</v>
      </c>
      <c r="V52" s="1">
        <f ca="1">IFERROR(__xludf.DUMMYFUNCTION("""COMPUTED_VALUE"""),0.352)</f>
        <v>0.35199999999999998</v>
      </c>
      <c r="W52" s="1">
        <f ca="1">IFERROR(__xludf.DUMMYFUNCTION("""COMPUTED_VALUE"""),368)</f>
        <v>368</v>
      </c>
      <c r="X52" s="1">
        <f ca="1">IFERROR(__xludf.DUMMYFUNCTION("""COMPUTED_VALUE"""),582)</f>
        <v>582</v>
      </c>
      <c r="Y52" s="1">
        <f ca="1">IFERROR(__xludf.DUMMYFUNCTION("""COMPUTED_VALUE"""),0.632)</f>
        <v>0.63200000000000001</v>
      </c>
      <c r="Z52" s="1">
        <f ca="1">IFERROR(__xludf.DUMMYFUNCTION("""COMPUTED_VALUE"""),416)</f>
        <v>416</v>
      </c>
      <c r="AA52" s="1">
        <f ca="1">IFERROR(__xludf.DUMMYFUNCTION("""COMPUTED_VALUE"""),1047)</f>
        <v>1047</v>
      </c>
      <c r="AB52" s="1">
        <f ca="1">IFERROR(__xludf.DUMMYFUNCTION("""COMPUTED_VALUE"""),423)</f>
        <v>423</v>
      </c>
      <c r="AC52" s="1">
        <f ca="1">IFERROR(__xludf.DUMMYFUNCTION("""COMPUTED_VALUE"""),236)</f>
        <v>236</v>
      </c>
      <c r="AD52" s="1">
        <f ca="1">IFERROR(__xludf.DUMMYFUNCTION("""COMPUTED_VALUE"""),120)</f>
        <v>120</v>
      </c>
      <c r="AE52" s="1">
        <f ca="1">IFERROR(__xludf.DUMMYFUNCTION("""COMPUTED_VALUE"""),432)</f>
        <v>432</v>
      </c>
      <c r="AF52" s="1">
        <f ca="1">IFERROR(__xludf.DUMMYFUNCTION("""COMPUTED_VALUE"""),626)</f>
        <v>626</v>
      </c>
    </row>
    <row r="53" spans="1:32" ht="12.5" x14ac:dyDescent="0.25">
      <c r="A53" s="1" t="str">
        <f ca="1">IFERROR(__xludf.DUMMYFUNCTION("""COMPUTED_VALUE"""),"Central Connecticut State")</f>
        <v>Central Connecticut State</v>
      </c>
      <c r="B53" s="1">
        <f ca="1">IFERROR(__xludf.DUMMYFUNCTION("""COMPUTED_VALUE"""),30)</f>
        <v>30</v>
      </c>
      <c r="C53" s="1">
        <f ca="1">IFERROR(__xludf.DUMMYFUNCTION("""COMPUTED_VALUE"""),13)</f>
        <v>13</v>
      </c>
      <c r="D53" s="1">
        <f ca="1">IFERROR(__xludf.DUMMYFUNCTION("""COMPUTED_VALUE"""),17)</f>
        <v>17</v>
      </c>
      <c r="E53" s="1">
        <f ca="1">IFERROR(__xludf.DUMMYFUNCTION("""COMPUTED_VALUE"""),0.433)</f>
        <v>0.433</v>
      </c>
      <c r="F53" s="1">
        <f ca="1">IFERROR(__xludf.DUMMYFUNCTION("""COMPUTED_VALUE"""),-8.24)</f>
        <v>-8.24</v>
      </c>
      <c r="G53" s="1">
        <f ca="1">IFERROR(__xludf.DUMMYFUNCTION("""COMPUTED_VALUE"""),-4.04)</f>
        <v>-4.04</v>
      </c>
      <c r="H53" s="1">
        <f ca="1">IFERROR(__xludf.DUMMYFUNCTION("""COMPUTED_VALUE"""),9)</f>
        <v>9</v>
      </c>
      <c r="I53" s="1">
        <f ca="1">IFERROR(__xludf.DUMMYFUNCTION("""COMPUTED_VALUE"""),9)</f>
        <v>9</v>
      </c>
      <c r="J53" s="1">
        <f ca="1">IFERROR(__xludf.DUMMYFUNCTION("""COMPUTED_VALUE"""),6)</f>
        <v>6</v>
      </c>
      <c r="K53" s="1">
        <f ca="1">IFERROR(__xludf.DUMMYFUNCTION("""COMPUTED_VALUE"""),6)</f>
        <v>6</v>
      </c>
      <c r="L53" s="1">
        <f ca="1">IFERROR(__xludf.DUMMYFUNCTION("""COMPUTED_VALUE"""),7)</f>
        <v>7</v>
      </c>
      <c r="M53" s="1">
        <f ca="1">IFERROR(__xludf.DUMMYFUNCTION("""COMPUTED_VALUE"""),10)</f>
        <v>10</v>
      </c>
      <c r="N53" s="1">
        <f ca="1">IFERROR(__xludf.DUMMYFUNCTION("""COMPUTED_VALUE"""),2186)</f>
        <v>2186</v>
      </c>
      <c r="O53" s="1">
        <f ca="1">IFERROR(__xludf.DUMMYFUNCTION("""COMPUTED_VALUE"""),2312)</f>
        <v>2312</v>
      </c>
      <c r="P53" s="1">
        <f ca="1">IFERROR(__xludf.DUMMYFUNCTION("""COMPUTED_VALUE"""),1220)</f>
        <v>1220</v>
      </c>
      <c r="Q53" s="1">
        <f ca="1">IFERROR(__xludf.DUMMYFUNCTION("""COMPUTED_VALUE"""),785)</f>
        <v>785</v>
      </c>
      <c r="R53" s="1">
        <f ca="1">IFERROR(__xludf.DUMMYFUNCTION("""COMPUTED_VALUE"""),1832)</f>
        <v>1832</v>
      </c>
      <c r="S53" s="1">
        <f ca="1">IFERROR(__xludf.DUMMYFUNCTION("""COMPUTED_VALUE"""),0.428)</f>
        <v>0.42799999999999999</v>
      </c>
      <c r="T53" s="1">
        <f ca="1">IFERROR(__xludf.DUMMYFUNCTION("""COMPUTED_VALUE"""),212)</f>
        <v>212</v>
      </c>
      <c r="U53" s="1">
        <f ca="1">IFERROR(__xludf.DUMMYFUNCTION("""COMPUTED_VALUE"""),602)</f>
        <v>602</v>
      </c>
      <c r="V53" s="1">
        <f ca="1">IFERROR(__xludf.DUMMYFUNCTION("""COMPUTED_VALUE"""),0.352)</f>
        <v>0.35199999999999998</v>
      </c>
      <c r="W53" s="1">
        <f ca="1">IFERROR(__xludf.DUMMYFUNCTION("""COMPUTED_VALUE"""),404)</f>
        <v>404</v>
      </c>
      <c r="X53" s="1">
        <f ca="1">IFERROR(__xludf.DUMMYFUNCTION("""COMPUTED_VALUE"""),552)</f>
        <v>552</v>
      </c>
      <c r="Y53" s="1">
        <f ca="1">IFERROR(__xludf.DUMMYFUNCTION("""COMPUTED_VALUE"""),0.732)</f>
        <v>0.73199999999999998</v>
      </c>
      <c r="Z53" s="1">
        <f ca="1">IFERROR(__xludf.DUMMYFUNCTION("""COMPUTED_VALUE"""),311)</f>
        <v>311</v>
      </c>
      <c r="AA53" s="1">
        <f ca="1">IFERROR(__xludf.DUMMYFUNCTION("""COMPUTED_VALUE"""),906)</f>
        <v>906</v>
      </c>
      <c r="AB53" s="1">
        <f ca="1">IFERROR(__xludf.DUMMYFUNCTION("""COMPUTED_VALUE"""),378)</f>
        <v>378</v>
      </c>
      <c r="AC53" s="1">
        <f ca="1">IFERROR(__xludf.DUMMYFUNCTION("""COMPUTED_VALUE"""),225)</f>
        <v>225</v>
      </c>
      <c r="AD53" s="1">
        <f ca="1">IFERROR(__xludf.DUMMYFUNCTION("""COMPUTED_VALUE"""),130)</f>
        <v>130</v>
      </c>
      <c r="AE53" s="1">
        <f ca="1">IFERROR(__xludf.DUMMYFUNCTION("""COMPUTED_VALUE"""),378)</f>
        <v>378</v>
      </c>
      <c r="AF53" s="1">
        <f ca="1">IFERROR(__xludf.DUMMYFUNCTION("""COMPUTED_VALUE"""),484)</f>
        <v>484</v>
      </c>
    </row>
    <row r="54" spans="1:32" ht="12.5" x14ac:dyDescent="0.25">
      <c r="A54" s="1" t="str">
        <f ca="1">IFERROR(__xludf.DUMMYFUNCTION("""COMPUTED_VALUE"""),"Central Florida")</f>
        <v>Central Florida</v>
      </c>
      <c r="B54" s="1">
        <f ca="1">IFERROR(__xludf.DUMMYFUNCTION("""COMPUTED_VALUE"""),31)</f>
        <v>31</v>
      </c>
      <c r="C54" s="1">
        <f ca="1">IFERROR(__xludf.DUMMYFUNCTION("""COMPUTED_VALUE"""),20)</f>
        <v>20</v>
      </c>
      <c r="D54" s="1">
        <f ca="1">IFERROR(__xludf.DUMMYFUNCTION("""COMPUTED_VALUE"""),11)</f>
        <v>11</v>
      </c>
      <c r="E54" s="1">
        <f ca="1">IFERROR(__xludf.DUMMYFUNCTION("""COMPUTED_VALUE"""),0.645)</f>
        <v>0.64500000000000002</v>
      </c>
      <c r="F54" s="1">
        <f ca="1">IFERROR(__xludf.DUMMYFUNCTION("""COMPUTED_VALUE"""),3.44)</f>
        <v>3.44</v>
      </c>
      <c r="G54" s="1">
        <f ca="1">IFERROR(__xludf.DUMMYFUNCTION("""COMPUTED_VALUE"""),0.96)</f>
        <v>0.96</v>
      </c>
      <c r="H54" s="1">
        <f ca="1">IFERROR(__xludf.DUMMYFUNCTION("""COMPUTED_VALUE"""),9)</f>
        <v>9</v>
      </c>
      <c r="I54" s="1">
        <f ca="1">IFERROR(__xludf.DUMMYFUNCTION("""COMPUTED_VALUE"""),7)</f>
        <v>7</v>
      </c>
      <c r="J54" s="1">
        <f ca="1">IFERROR(__xludf.DUMMYFUNCTION("""COMPUTED_VALUE"""),14)</f>
        <v>14</v>
      </c>
      <c r="K54" s="1">
        <f ca="1">IFERROR(__xludf.DUMMYFUNCTION("""COMPUTED_VALUE"""),5)</f>
        <v>5</v>
      </c>
      <c r="L54" s="1">
        <f ca="1">IFERROR(__xludf.DUMMYFUNCTION("""COMPUTED_VALUE"""),5)</f>
        <v>5</v>
      </c>
      <c r="M54" s="1">
        <f ca="1">IFERROR(__xludf.DUMMYFUNCTION("""COMPUTED_VALUE"""),6)</f>
        <v>6</v>
      </c>
      <c r="N54" s="1">
        <f ca="1">IFERROR(__xludf.DUMMYFUNCTION("""COMPUTED_VALUE"""),2194)</f>
        <v>2194</v>
      </c>
      <c r="O54" s="1">
        <f ca="1">IFERROR(__xludf.DUMMYFUNCTION("""COMPUTED_VALUE"""),2079)</f>
        <v>2079</v>
      </c>
      <c r="P54" s="1">
        <f ca="1">IFERROR(__xludf.DUMMYFUNCTION("""COMPUTED_VALUE"""),1250)</f>
        <v>1250</v>
      </c>
      <c r="Q54" s="1">
        <f ca="1">IFERROR(__xludf.DUMMYFUNCTION("""COMPUTED_VALUE"""),768)</f>
        <v>768</v>
      </c>
      <c r="R54" s="1">
        <f ca="1">IFERROR(__xludf.DUMMYFUNCTION("""COMPUTED_VALUE"""),1695)</f>
        <v>1695</v>
      </c>
      <c r="S54" s="1">
        <f ca="1">IFERROR(__xludf.DUMMYFUNCTION("""COMPUTED_VALUE"""),0.453)</f>
        <v>0.45300000000000001</v>
      </c>
      <c r="T54" s="1">
        <f ca="1">IFERROR(__xludf.DUMMYFUNCTION("""COMPUTED_VALUE"""),220)</f>
        <v>220</v>
      </c>
      <c r="U54" s="1">
        <f ca="1">IFERROR(__xludf.DUMMYFUNCTION("""COMPUTED_VALUE"""),616)</f>
        <v>616</v>
      </c>
      <c r="V54" s="1">
        <f ca="1">IFERROR(__xludf.DUMMYFUNCTION("""COMPUTED_VALUE"""),0.357)</f>
        <v>0.35699999999999998</v>
      </c>
      <c r="W54" s="1">
        <f ca="1">IFERROR(__xludf.DUMMYFUNCTION("""COMPUTED_VALUE"""),438)</f>
        <v>438</v>
      </c>
      <c r="X54" s="1">
        <f ca="1">IFERROR(__xludf.DUMMYFUNCTION("""COMPUTED_VALUE"""),680)</f>
        <v>680</v>
      </c>
      <c r="Y54" s="1">
        <f ca="1">IFERROR(__xludf.DUMMYFUNCTION("""COMPUTED_VALUE"""),0.644)</f>
        <v>0.64400000000000002</v>
      </c>
      <c r="Z54" s="1">
        <f ca="1">IFERROR(__xludf.DUMMYFUNCTION("""COMPUTED_VALUE"""),373)</f>
        <v>373</v>
      </c>
      <c r="AA54" s="1">
        <f ca="1">IFERROR(__xludf.DUMMYFUNCTION("""COMPUTED_VALUE"""),1011)</f>
        <v>1011</v>
      </c>
      <c r="AB54" s="1">
        <f ca="1">IFERROR(__xludf.DUMMYFUNCTION("""COMPUTED_VALUE"""),431)</f>
        <v>431</v>
      </c>
      <c r="AC54" s="1">
        <f ca="1">IFERROR(__xludf.DUMMYFUNCTION("""COMPUTED_VALUE"""),233)</f>
        <v>233</v>
      </c>
      <c r="AD54" s="1">
        <f ca="1">IFERROR(__xludf.DUMMYFUNCTION("""COMPUTED_VALUE"""),141)</f>
        <v>141</v>
      </c>
      <c r="AE54" s="1">
        <f ca="1">IFERROR(__xludf.DUMMYFUNCTION("""COMPUTED_VALUE"""),427)</f>
        <v>427</v>
      </c>
      <c r="AF54" s="1">
        <f ca="1">IFERROR(__xludf.DUMMYFUNCTION("""COMPUTED_VALUE"""),436)</f>
        <v>436</v>
      </c>
    </row>
    <row r="55" spans="1:32" ht="12.5" x14ac:dyDescent="0.25">
      <c r="A55" s="1" t="str">
        <f ca="1">IFERROR(__xludf.DUMMYFUNCTION("""COMPUTED_VALUE"""),"Central Michigan")</f>
        <v>Central Michigan</v>
      </c>
      <c r="B55" s="1">
        <f ca="1">IFERROR(__xludf.DUMMYFUNCTION("""COMPUTED_VALUE"""),31)</f>
        <v>31</v>
      </c>
      <c r="C55" s="1">
        <f ca="1">IFERROR(__xludf.DUMMYFUNCTION("""COMPUTED_VALUE"""),11)</f>
        <v>11</v>
      </c>
      <c r="D55" s="1">
        <f ca="1">IFERROR(__xludf.DUMMYFUNCTION("""COMPUTED_VALUE"""),20)</f>
        <v>20</v>
      </c>
      <c r="E55" s="1">
        <f ca="1">IFERROR(__xludf.DUMMYFUNCTION("""COMPUTED_VALUE"""),0.355)</f>
        <v>0.35499999999999998</v>
      </c>
      <c r="F55" s="1">
        <f ca="1">IFERROR(__xludf.DUMMYFUNCTION("""COMPUTED_VALUE"""),-6.14)</f>
        <v>-6.14</v>
      </c>
      <c r="G55" s="1">
        <f ca="1">IFERROR(__xludf.DUMMYFUNCTION("""COMPUTED_VALUE"""),-1.21)</f>
        <v>-1.21</v>
      </c>
      <c r="H55" s="1">
        <f ca="1">IFERROR(__xludf.DUMMYFUNCTION("""COMPUTED_VALUE"""),4)</f>
        <v>4</v>
      </c>
      <c r="I55" s="1">
        <f ca="1">IFERROR(__xludf.DUMMYFUNCTION("""COMPUTED_VALUE"""),12)</f>
        <v>12</v>
      </c>
      <c r="J55" s="1">
        <f ca="1">IFERROR(__xludf.DUMMYFUNCTION("""COMPUTED_VALUE"""),6)</f>
        <v>6</v>
      </c>
      <c r="K55" s="1">
        <f ca="1">IFERROR(__xludf.DUMMYFUNCTION("""COMPUTED_VALUE"""),6)</f>
        <v>6</v>
      </c>
      <c r="L55" s="1">
        <f ca="1">IFERROR(__xludf.DUMMYFUNCTION("""COMPUTED_VALUE"""),2)</f>
        <v>2</v>
      </c>
      <c r="M55" s="1">
        <f ca="1">IFERROR(__xludf.DUMMYFUNCTION("""COMPUTED_VALUE"""),13)</f>
        <v>13</v>
      </c>
      <c r="N55" s="1">
        <f ca="1">IFERROR(__xludf.DUMMYFUNCTION("""COMPUTED_VALUE"""),2092)</f>
        <v>2092</v>
      </c>
      <c r="O55" s="1">
        <f ca="1">IFERROR(__xludf.DUMMYFUNCTION("""COMPUTED_VALUE"""),2226)</f>
        <v>2226</v>
      </c>
      <c r="P55" s="1">
        <f ca="1">IFERROR(__xludf.DUMMYFUNCTION("""COMPUTED_VALUE"""),1250)</f>
        <v>1250</v>
      </c>
      <c r="Q55" s="1">
        <f ca="1">IFERROR(__xludf.DUMMYFUNCTION("""COMPUTED_VALUE"""),680)</f>
        <v>680</v>
      </c>
      <c r="R55" s="1">
        <f ca="1">IFERROR(__xludf.DUMMYFUNCTION("""COMPUTED_VALUE"""),1664)</f>
        <v>1664</v>
      </c>
      <c r="S55" s="1">
        <f ca="1">IFERROR(__xludf.DUMMYFUNCTION("""COMPUTED_VALUE"""),0.409)</f>
        <v>0.40899999999999997</v>
      </c>
      <c r="T55" s="1">
        <f ca="1">IFERROR(__xludf.DUMMYFUNCTION("""COMPUTED_VALUE"""),250)</f>
        <v>250</v>
      </c>
      <c r="U55" s="1">
        <f ca="1">IFERROR(__xludf.DUMMYFUNCTION("""COMPUTED_VALUE"""),754)</f>
        <v>754</v>
      </c>
      <c r="V55" s="1">
        <f ca="1">IFERROR(__xludf.DUMMYFUNCTION("""COMPUTED_VALUE"""),0.332)</f>
        <v>0.33200000000000002</v>
      </c>
      <c r="W55" s="1">
        <f ca="1">IFERROR(__xludf.DUMMYFUNCTION("""COMPUTED_VALUE"""),482)</f>
        <v>482</v>
      </c>
      <c r="X55" s="1">
        <f ca="1">IFERROR(__xludf.DUMMYFUNCTION("""COMPUTED_VALUE"""),659)</f>
        <v>659</v>
      </c>
      <c r="Y55" s="1">
        <f ca="1">IFERROR(__xludf.DUMMYFUNCTION("""COMPUTED_VALUE"""),0.731)</f>
        <v>0.73099999999999998</v>
      </c>
      <c r="Z55" s="1">
        <f ca="1">IFERROR(__xludf.DUMMYFUNCTION("""COMPUTED_VALUE"""),330)</f>
        <v>330</v>
      </c>
      <c r="AA55" s="1">
        <f ca="1">IFERROR(__xludf.DUMMYFUNCTION("""COMPUTED_VALUE"""),868)</f>
        <v>868</v>
      </c>
      <c r="AB55" s="1">
        <f ca="1">IFERROR(__xludf.DUMMYFUNCTION("""COMPUTED_VALUE"""),404)</f>
        <v>404</v>
      </c>
      <c r="AC55" s="1">
        <f ca="1">IFERROR(__xludf.DUMMYFUNCTION("""COMPUTED_VALUE"""),208)</f>
        <v>208</v>
      </c>
      <c r="AD55" s="1">
        <f ca="1">IFERROR(__xludf.DUMMYFUNCTION("""COMPUTED_VALUE"""),65)</f>
        <v>65</v>
      </c>
      <c r="AE55" s="1">
        <f ca="1">IFERROR(__xludf.DUMMYFUNCTION("""COMPUTED_VALUE"""),402)</f>
        <v>402</v>
      </c>
      <c r="AF55" s="1">
        <f ca="1">IFERROR(__xludf.DUMMYFUNCTION("""COMPUTED_VALUE"""),514)</f>
        <v>514</v>
      </c>
    </row>
    <row r="56" spans="1:32" ht="12.5" x14ac:dyDescent="0.25">
      <c r="A56" s="1" t="str">
        <f ca="1">IFERROR(__xludf.DUMMYFUNCTION("""COMPUTED_VALUE"""),"Charleston Southern")</f>
        <v>Charleston Southern</v>
      </c>
      <c r="B56" s="1">
        <f ca="1">IFERROR(__xludf.DUMMYFUNCTION("""COMPUTED_VALUE"""),32)</f>
        <v>32</v>
      </c>
      <c r="C56" s="1">
        <f ca="1">IFERROR(__xludf.DUMMYFUNCTION("""COMPUTED_VALUE"""),19)</f>
        <v>19</v>
      </c>
      <c r="D56" s="1">
        <f ca="1">IFERROR(__xludf.DUMMYFUNCTION("""COMPUTED_VALUE"""),13)</f>
        <v>13</v>
      </c>
      <c r="E56" s="1">
        <f ca="1">IFERROR(__xludf.DUMMYFUNCTION("""COMPUTED_VALUE"""),0.594)</f>
        <v>0.59399999999999997</v>
      </c>
      <c r="F56" s="1">
        <f ca="1">IFERROR(__xludf.DUMMYFUNCTION("""COMPUTED_VALUE"""),-2.07)</f>
        <v>-2.0699999999999998</v>
      </c>
      <c r="G56" s="1">
        <f ca="1">IFERROR(__xludf.DUMMYFUNCTION("""COMPUTED_VALUE"""),-5.62)</f>
        <v>-5.62</v>
      </c>
      <c r="H56" s="1">
        <f ca="1">IFERROR(__xludf.DUMMYFUNCTION("""COMPUTED_VALUE"""),12)</f>
        <v>12</v>
      </c>
      <c r="I56" s="1">
        <f ca="1">IFERROR(__xludf.DUMMYFUNCTION("""COMPUTED_VALUE"""),4)</f>
        <v>4</v>
      </c>
      <c r="J56" s="1">
        <f ca="1">IFERROR(__xludf.DUMMYFUNCTION("""COMPUTED_VALUE"""),11)</f>
        <v>11</v>
      </c>
      <c r="K56" s="1">
        <f ca="1">IFERROR(__xludf.DUMMYFUNCTION("""COMPUTED_VALUE"""),3)</f>
        <v>3</v>
      </c>
      <c r="L56" s="1">
        <f ca="1">IFERROR(__xludf.DUMMYFUNCTION("""COMPUTED_VALUE"""),6)</f>
        <v>6</v>
      </c>
      <c r="M56" s="1">
        <f ca="1">IFERROR(__xludf.DUMMYFUNCTION("""COMPUTED_VALUE"""),9)</f>
        <v>9</v>
      </c>
      <c r="N56" s="1">
        <f ca="1">IFERROR(__xludf.DUMMYFUNCTION("""COMPUTED_VALUE"""),2361)</f>
        <v>2361</v>
      </c>
      <c r="O56" s="1">
        <f ca="1">IFERROR(__xludf.DUMMYFUNCTION("""COMPUTED_VALUE"""),2144)</f>
        <v>2144</v>
      </c>
      <c r="P56" s="1">
        <f ca="1">IFERROR(__xludf.DUMMYFUNCTION("""COMPUTED_VALUE"""),1290)</f>
        <v>1290</v>
      </c>
      <c r="Q56" s="1">
        <f ca="1">IFERROR(__xludf.DUMMYFUNCTION("""COMPUTED_VALUE"""),818)</f>
        <v>818</v>
      </c>
      <c r="R56" s="1">
        <f ca="1">IFERROR(__xludf.DUMMYFUNCTION("""COMPUTED_VALUE"""),1937)</f>
        <v>1937</v>
      </c>
      <c r="S56" s="1">
        <f ca="1">IFERROR(__xludf.DUMMYFUNCTION("""COMPUTED_VALUE"""),0.422)</f>
        <v>0.42199999999999999</v>
      </c>
      <c r="T56" s="1">
        <f ca="1">IFERROR(__xludf.DUMMYFUNCTION("""COMPUTED_VALUE"""),297)</f>
        <v>297</v>
      </c>
      <c r="U56" s="1">
        <f ca="1">IFERROR(__xludf.DUMMYFUNCTION("""COMPUTED_VALUE"""),826)</f>
        <v>826</v>
      </c>
      <c r="V56" s="1">
        <f ca="1">IFERROR(__xludf.DUMMYFUNCTION("""COMPUTED_VALUE"""),0.36)</f>
        <v>0.36</v>
      </c>
      <c r="W56" s="1">
        <f ca="1">IFERROR(__xludf.DUMMYFUNCTION("""COMPUTED_VALUE"""),428)</f>
        <v>428</v>
      </c>
      <c r="X56" s="1">
        <f ca="1">IFERROR(__xludf.DUMMYFUNCTION("""COMPUTED_VALUE"""),605)</f>
        <v>605</v>
      </c>
      <c r="Y56" s="1">
        <f ca="1">IFERROR(__xludf.DUMMYFUNCTION("""COMPUTED_VALUE"""),0.707)</f>
        <v>0.70699999999999996</v>
      </c>
      <c r="Z56" s="1">
        <f ca="1">IFERROR(__xludf.DUMMYFUNCTION("""COMPUTED_VALUE"""),427)</f>
        <v>427</v>
      </c>
      <c r="AA56" s="1">
        <f ca="1">IFERROR(__xludf.DUMMYFUNCTION("""COMPUTED_VALUE"""),1121)</f>
        <v>1121</v>
      </c>
      <c r="AB56" s="1">
        <f ca="1">IFERROR(__xludf.DUMMYFUNCTION("""COMPUTED_VALUE"""),395)</f>
        <v>395</v>
      </c>
      <c r="AC56" s="1">
        <f ca="1">IFERROR(__xludf.DUMMYFUNCTION("""COMPUTED_VALUE"""),235)</f>
        <v>235</v>
      </c>
      <c r="AD56" s="1">
        <f ca="1">IFERROR(__xludf.DUMMYFUNCTION("""COMPUTED_VALUE"""),87)</f>
        <v>87</v>
      </c>
      <c r="AE56" s="1">
        <f ca="1">IFERROR(__xludf.DUMMYFUNCTION("""COMPUTED_VALUE"""),394)</f>
        <v>394</v>
      </c>
      <c r="AF56" s="1">
        <f ca="1">IFERROR(__xludf.DUMMYFUNCTION("""COMPUTED_VALUE"""),507)</f>
        <v>507</v>
      </c>
    </row>
    <row r="57" spans="1:32" ht="12.5" x14ac:dyDescent="0.25">
      <c r="A57" s="1" t="str">
        <f ca="1">IFERROR(__xludf.DUMMYFUNCTION("""COMPUTED_VALUE"""),"Charlotte")</f>
        <v>Charlotte</v>
      </c>
      <c r="B57" s="1">
        <f ca="1">IFERROR(__xludf.DUMMYFUNCTION("""COMPUTED_VALUE"""),33)</f>
        <v>33</v>
      </c>
      <c r="C57" s="1">
        <f ca="1">IFERROR(__xludf.DUMMYFUNCTION("""COMPUTED_VALUE"""),21)</f>
        <v>21</v>
      </c>
      <c r="D57" s="1">
        <f ca="1">IFERROR(__xludf.DUMMYFUNCTION("""COMPUTED_VALUE"""),12)</f>
        <v>12</v>
      </c>
      <c r="E57" s="1">
        <f ca="1">IFERROR(__xludf.DUMMYFUNCTION("""COMPUTED_VALUE"""),0.636)</f>
        <v>0.63600000000000001</v>
      </c>
      <c r="F57" s="1">
        <f ca="1">IFERROR(__xludf.DUMMYFUNCTION("""COMPUTED_VALUE"""),2.69)</f>
        <v>2.69</v>
      </c>
      <c r="G57" s="1">
        <f ca="1">IFERROR(__xludf.DUMMYFUNCTION("""COMPUTED_VALUE"""),2.75)</f>
        <v>2.75</v>
      </c>
      <c r="H57" s="1">
        <f ca="1">IFERROR(__xludf.DUMMYFUNCTION("""COMPUTED_VALUE"""),8)</f>
        <v>8</v>
      </c>
      <c r="I57" s="1">
        <f ca="1">IFERROR(__xludf.DUMMYFUNCTION("""COMPUTED_VALUE"""),8)</f>
        <v>8</v>
      </c>
      <c r="J57" s="1">
        <f ca="1">IFERROR(__xludf.DUMMYFUNCTION("""COMPUTED_VALUE"""),12)</f>
        <v>12</v>
      </c>
      <c r="K57" s="1">
        <f ca="1">IFERROR(__xludf.DUMMYFUNCTION("""COMPUTED_VALUE"""),3)</f>
        <v>3</v>
      </c>
      <c r="L57" s="1">
        <f ca="1">IFERROR(__xludf.DUMMYFUNCTION("""COMPUTED_VALUE"""),5)</f>
        <v>5</v>
      </c>
      <c r="M57" s="1">
        <f ca="1">IFERROR(__xludf.DUMMYFUNCTION("""COMPUTED_VALUE"""),7)</f>
        <v>7</v>
      </c>
      <c r="N57" s="1">
        <f ca="1">IFERROR(__xludf.DUMMYFUNCTION("""COMPUTED_VALUE"""),2229)</f>
        <v>2229</v>
      </c>
      <c r="O57" s="1">
        <f ca="1">IFERROR(__xludf.DUMMYFUNCTION("""COMPUTED_VALUE"""),2231)</f>
        <v>2231</v>
      </c>
      <c r="P57" s="1">
        <f ca="1">IFERROR(__xludf.DUMMYFUNCTION("""COMPUTED_VALUE"""),1330)</f>
        <v>1330</v>
      </c>
      <c r="Q57" s="1">
        <f ca="1">IFERROR(__xludf.DUMMYFUNCTION("""COMPUTED_VALUE"""),793)</f>
        <v>793</v>
      </c>
      <c r="R57" s="1">
        <f ca="1">IFERROR(__xludf.DUMMYFUNCTION("""COMPUTED_VALUE"""),1804)</f>
        <v>1804</v>
      </c>
      <c r="S57" s="1">
        <f ca="1">IFERROR(__xludf.DUMMYFUNCTION("""COMPUTED_VALUE"""),0.44)</f>
        <v>0.44</v>
      </c>
      <c r="T57" s="1">
        <f ca="1">IFERROR(__xludf.DUMMYFUNCTION("""COMPUTED_VALUE"""),114)</f>
        <v>114</v>
      </c>
      <c r="U57" s="1">
        <f ca="1">IFERROR(__xludf.DUMMYFUNCTION("""COMPUTED_VALUE"""),425)</f>
        <v>425</v>
      </c>
      <c r="V57" s="1">
        <f ca="1">IFERROR(__xludf.DUMMYFUNCTION("""COMPUTED_VALUE"""),0.268)</f>
        <v>0.26800000000000002</v>
      </c>
      <c r="W57" s="1">
        <f ca="1">IFERROR(__xludf.DUMMYFUNCTION("""COMPUTED_VALUE"""),529)</f>
        <v>529</v>
      </c>
      <c r="X57" s="1">
        <f ca="1">IFERROR(__xludf.DUMMYFUNCTION("""COMPUTED_VALUE"""),809)</f>
        <v>809</v>
      </c>
      <c r="Y57" s="1">
        <f ca="1">IFERROR(__xludf.DUMMYFUNCTION("""COMPUTED_VALUE"""),0.654)</f>
        <v>0.65400000000000003</v>
      </c>
      <c r="Z57" s="1">
        <f ca="1">IFERROR(__xludf.DUMMYFUNCTION("""COMPUTED_VALUE"""),422)</f>
        <v>422</v>
      </c>
      <c r="AA57" s="1">
        <f ca="1">IFERROR(__xludf.DUMMYFUNCTION("""COMPUTED_VALUE"""),1131)</f>
        <v>1131</v>
      </c>
      <c r="AB57" s="1">
        <f ca="1">IFERROR(__xludf.DUMMYFUNCTION("""COMPUTED_VALUE"""),387)</f>
        <v>387</v>
      </c>
      <c r="AC57" s="1">
        <f ca="1">IFERROR(__xludf.DUMMYFUNCTION("""COMPUTED_VALUE"""),246)</f>
        <v>246</v>
      </c>
      <c r="AD57" s="1">
        <f ca="1">IFERROR(__xludf.DUMMYFUNCTION("""COMPUTED_VALUE"""),103)</f>
        <v>103</v>
      </c>
      <c r="AE57" s="1">
        <f ca="1">IFERROR(__xludf.DUMMYFUNCTION("""COMPUTED_VALUE"""),505)</f>
        <v>505</v>
      </c>
      <c r="AF57" s="1">
        <f ca="1">IFERROR(__xludf.DUMMYFUNCTION("""COMPUTED_VALUE"""),651)</f>
        <v>651</v>
      </c>
    </row>
    <row r="58" spans="1:32" ht="12.5" x14ac:dyDescent="0.25">
      <c r="A58" s="1" t="str">
        <f ca="1">IFERROR(__xludf.DUMMYFUNCTION("""COMPUTED_VALUE"""),"Chattanooga")</f>
        <v>Chattanooga</v>
      </c>
      <c r="B58" s="1">
        <f ca="1">IFERROR(__xludf.DUMMYFUNCTION("""COMPUTED_VALUE"""),32)</f>
        <v>32</v>
      </c>
      <c r="C58" s="1">
        <f ca="1">IFERROR(__xludf.DUMMYFUNCTION("""COMPUTED_VALUE"""),13)</f>
        <v>13</v>
      </c>
      <c r="D58" s="1">
        <f ca="1">IFERROR(__xludf.DUMMYFUNCTION("""COMPUTED_VALUE"""),19)</f>
        <v>19</v>
      </c>
      <c r="E58" s="1">
        <f ca="1">IFERROR(__xludf.DUMMYFUNCTION("""COMPUTED_VALUE"""),0.406)</f>
        <v>0.40600000000000003</v>
      </c>
      <c r="F58" s="1">
        <f ca="1">IFERROR(__xludf.DUMMYFUNCTION("""COMPUTED_VALUE"""),-10.47)</f>
        <v>-10.47</v>
      </c>
      <c r="G58" s="1">
        <f ca="1">IFERROR(__xludf.DUMMYFUNCTION("""COMPUTED_VALUE"""),-4.97)</f>
        <v>-4.97</v>
      </c>
      <c r="H58" s="1">
        <f ca="1">IFERROR(__xludf.DUMMYFUNCTION("""COMPUTED_VALUE"""),8)</f>
        <v>8</v>
      </c>
      <c r="I58" s="1">
        <f ca="1">IFERROR(__xludf.DUMMYFUNCTION("""COMPUTED_VALUE"""),10)</f>
        <v>10</v>
      </c>
      <c r="J58" s="1">
        <f ca="1">IFERROR(__xludf.DUMMYFUNCTION("""COMPUTED_VALUE"""),8)</f>
        <v>8</v>
      </c>
      <c r="K58" s="1">
        <f ca="1">IFERROR(__xludf.DUMMYFUNCTION("""COMPUTED_VALUE"""),9)</f>
        <v>9</v>
      </c>
      <c r="L58" s="1">
        <f ca="1">IFERROR(__xludf.DUMMYFUNCTION("""COMPUTED_VALUE"""),4)</f>
        <v>4</v>
      </c>
      <c r="M58" s="1">
        <f ca="1">IFERROR(__xludf.DUMMYFUNCTION("""COMPUTED_VALUE"""),9)</f>
        <v>9</v>
      </c>
      <c r="N58" s="1">
        <f ca="1">IFERROR(__xludf.DUMMYFUNCTION("""COMPUTED_VALUE"""),2218)</f>
        <v>2218</v>
      </c>
      <c r="O58" s="1">
        <f ca="1">IFERROR(__xludf.DUMMYFUNCTION("""COMPUTED_VALUE"""),2318)</f>
        <v>2318</v>
      </c>
      <c r="P58" s="1">
        <f ca="1">IFERROR(__xludf.DUMMYFUNCTION("""COMPUTED_VALUE"""),1290)</f>
        <v>1290</v>
      </c>
      <c r="Q58" s="1">
        <f ca="1">IFERROR(__xludf.DUMMYFUNCTION("""COMPUTED_VALUE"""),762)</f>
        <v>762</v>
      </c>
      <c r="R58" s="1">
        <f ca="1">IFERROR(__xludf.DUMMYFUNCTION("""COMPUTED_VALUE"""),1822)</f>
        <v>1822</v>
      </c>
      <c r="S58" s="1">
        <f ca="1">IFERROR(__xludf.DUMMYFUNCTION("""COMPUTED_VALUE"""),0.418)</f>
        <v>0.41799999999999998</v>
      </c>
      <c r="T58" s="1">
        <f ca="1">IFERROR(__xludf.DUMMYFUNCTION("""COMPUTED_VALUE"""),167)</f>
        <v>167</v>
      </c>
      <c r="U58" s="1">
        <f ca="1">IFERROR(__xludf.DUMMYFUNCTION("""COMPUTED_VALUE"""),561)</f>
        <v>561</v>
      </c>
      <c r="V58" s="1">
        <f ca="1">IFERROR(__xludf.DUMMYFUNCTION("""COMPUTED_VALUE"""),0.298)</f>
        <v>0.29799999999999999</v>
      </c>
      <c r="W58" s="1">
        <f ca="1">IFERROR(__xludf.DUMMYFUNCTION("""COMPUTED_VALUE"""),527)</f>
        <v>527</v>
      </c>
      <c r="X58" s="1">
        <f ca="1">IFERROR(__xludf.DUMMYFUNCTION("""COMPUTED_VALUE"""),793)</f>
        <v>793</v>
      </c>
      <c r="Y58" s="1">
        <f ca="1">IFERROR(__xludf.DUMMYFUNCTION("""COMPUTED_VALUE"""),0.665)</f>
        <v>0.66500000000000004</v>
      </c>
      <c r="Z58" s="1">
        <f ca="1">IFERROR(__xludf.DUMMYFUNCTION("""COMPUTED_VALUE"""),420)</f>
        <v>420</v>
      </c>
      <c r="AA58" s="1">
        <f ca="1">IFERROR(__xludf.DUMMYFUNCTION("""COMPUTED_VALUE"""),1097)</f>
        <v>1097</v>
      </c>
      <c r="AB58" s="1">
        <f ca="1">IFERROR(__xludf.DUMMYFUNCTION("""COMPUTED_VALUE"""),381)</f>
        <v>381</v>
      </c>
      <c r="AC58" s="1">
        <f ca="1">IFERROR(__xludf.DUMMYFUNCTION("""COMPUTED_VALUE"""),220)</f>
        <v>220</v>
      </c>
      <c r="AD58" s="1">
        <f ca="1">IFERROR(__xludf.DUMMYFUNCTION("""COMPUTED_VALUE"""),65)</f>
        <v>65</v>
      </c>
      <c r="AE58" s="1">
        <f ca="1">IFERROR(__xludf.DUMMYFUNCTION("""COMPUTED_VALUE"""),449)</f>
        <v>449</v>
      </c>
      <c r="AF58" s="1">
        <f ca="1">IFERROR(__xludf.DUMMYFUNCTION("""COMPUTED_VALUE"""),570)</f>
        <v>570</v>
      </c>
    </row>
    <row r="59" spans="1:32" ht="12.5" x14ac:dyDescent="0.25">
      <c r="A59" s="1" t="str">
        <f ca="1">IFERROR(__xludf.DUMMYFUNCTION("""COMPUTED_VALUE"""),"Chicago State")</f>
        <v>Chicago State</v>
      </c>
      <c r="B59" s="1">
        <f ca="1">IFERROR(__xludf.DUMMYFUNCTION("""COMPUTED_VALUE"""),33)</f>
        <v>33</v>
      </c>
      <c r="C59" s="1">
        <f ca="1">IFERROR(__xludf.DUMMYFUNCTION("""COMPUTED_VALUE"""),11)</f>
        <v>11</v>
      </c>
      <c r="D59" s="1">
        <f ca="1">IFERROR(__xludf.DUMMYFUNCTION("""COMPUTED_VALUE"""),22)</f>
        <v>22</v>
      </c>
      <c r="E59" s="1">
        <f ca="1">IFERROR(__xludf.DUMMYFUNCTION("""COMPUTED_VALUE"""),0.333)</f>
        <v>0.33300000000000002</v>
      </c>
      <c r="F59" s="1">
        <f ca="1">IFERROR(__xludf.DUMMYFUNCTION("""COMPUTED_VALUE"""),-11.77)</f>
        <v>-11.77</v>
      </c>
      <c r="G59" s="1">
        <f ca="1">IFERROR(__xludf.DUMMYFUNCTION("""COMPUTED_VALUE"""),-4.91)</f>
        <v>-4.91</v>
      </c>
      <c r="H59" s="1">
        <f ca="1">IFERROR(__xludf.DUMMYFUNCTION("""COMPUTED_VALUE"""),3)</f>
        <v>3</v>
      </c>
      <c r="I59" s="1">
        <f ca="1">IFERROR(__xludf.DUMMYFUNCTION("""COMPUTED_VALUE"""),5)</f>
        <v>5</v>
      </c>
      <c r="J59" s="1">
        <f ca="1">IFERROR(__xludf.DUMMYFUNCTION("""COMPUTED_VALUE"""),8)</f>
        <v>8</v>
      </c>
      <c r="K59" s="1">
        <f ca="1">IFERROR(__xludf.DUMMYFUNCTION("""COMPUTED_VALUE"""),5)</f>
        <v>5</v>
      </c>
      <c r="L59" s="1">
        <f ca="1">IFERROR(__xludf.DUMMYFUNCTION("""COMPUTED_VALUE"""),2)</f>
        <v>2</v>
      </c>
      <c r="M59" s="1">
        <f ca="1">IFERROR(__xludf.DUMMYFUNCTION("""COMPUTED_VALUE"""),16)</f>
        <v>16</v>
      </c>
      <c r="N59" s="1">
        <f ca="1">IFERROR(__xludf.DUMMYFUNCTION("""COMPUTED_VALUE"""),2151)</f>
        <v>2151</v>
      </c>
      <c r="O59" s="1">
        <f ca="1">IFERROR(__xludf.DUMMYFUNCTION("""COMPUTED_VALUE"""),2276)</f>
        <v>2276</v>
      </c>
      <c r="P59" s="1">
        <f ca="1">IFERROR(__xludf.DUMMYFUNCTION("""COMPUTED_VALUE"""),1345)</f>
        <v>1345</v>
      </c>
      <c r="Q59" s="1">
        <f ca="1">IFERROR(__xludf.DUMMYFUNCTION("""COMPUTED_VALUE"""),779)</f>
        <v>779</v>
      </c>
      <c r="R59" s="1">
        <f ca="1">IFERROR(__xludf.DUMMYFUNCTION("""COMPUTED_VALUE"""),1949)</f>
        <v>1949</v>
      </c>
      <c r="S59" s="1">
        <f ca="1">IFERROR(__xludf.DUMMYFUNCTION("""COMPUTED_VALUE"""),0.4)</f>
        <v>0.4</v>
      </c>
      <c r="T59" s="1">
        <f ca="1">IFERROR(__xludf.DUMMYFUNCTION("""COMPUTED_VALUE"""),231)</f>
        <v>231</v>
      </c>
      <c r="U59" s="1">
        <f ca="1">IFERROR(__xludf.DUMMYFUNCTION("""COMPUTED_VALUE"""),692)</f>
        <v>692</v>
      </c>
      <c r="V59" s="1">
        <f ca="1">IFERROR(__xludf.DUMMYFUNCTION("""COMPUTED_VALUE"""),0.334)</f>
        <v>0.33400000000000002</v>
      </c>
      <c r="W59" s="1">
        <f ca="1">IFERROR(__xludf.DUMMYFUNCTION("""COMPUTED_VALUE"""),362)</f>
        <v>362</v>
      </c>
      <c r="X59" s="1">
        <f ca="1">IFERROR(__xludf.DUMMYFUNCTION("""COMPUTED_VALUE"""),498)</f>
        <v>498</v>
      </c>
      <c r="Y59" s="1">
        <f ca="1">IFERROR(__xludf.DUMMYFUNCTION("""COMPUTED_VALUE"""),0.727)</f>
        <v>0.72699999999999998</v>
      </c>
      <c r="Z59" s="1">
        <f ca="1">IFERROR(__xludf.DUMMYFUNCTION("""COMPUTED_VALUE"""),369)</f>
        <v>369</v>
      </c>
      <c r="AA59" s="1">
        <f ca="1">IFERROR(__xludf.DUMMYFUNCTION("""COMPUTED_VALUE"""),988)</f>
        <v>988</v>
      </c>
      <c r="AB59" s="1">
        <f ca="1">IFERROR(__xludf.DUMMYFUNCTION("""COMPUTED_VALUE"""),407)</f>
        <v>407</v>
      </c>
      <c r="AC59" s="1">
        <f ca="1">IFERROR(__xludf.DUMMYFUNCTION("""COMPUTED_VALUE"""),311)</f>
        <v>311</v>
      </c>
      <c r="AD59" s="1">
        <f ca="1">IFERROR(__xludf.DUMMYFUNCTION("""COMPUTED_VALUE"""),94)</f>
        <v>94</v>
      </c>
      <c r="AE59" s="1">
        <f ca="1">IFERROR(__xludf.DUMMYFUNCTION("""COMPUTED_VALUE"""),484)</f>
        <v>484</v>
      </c>
      <c r="AF59" s="1">
        <f ca="1">IFERROR(__xludf.DUMMYFUNCTION("""COMPUTED_VALUE"""),675)</f>
        <v>675</v>
      </c>
    </row>
    <row r="60" spans="1:32" ht="12.5" x14ac:dyDescent="0.25">
      <c r="A60" s="1" t="str">
        <f ca="1">IFERROR(__xludf.DUMMYFUNCTION("""COMPUTED_VALUE"""),"CincinnatiNCAA")</f>
        <v>CincinnatiNCAA</v>
      </c>
      <c r="B60" s="1">
        <f ca="1">IFERROR(__xludf.DUMMYFUNCTION("""COMPUTED_VALUE"""),34)</f>
        <v>34</v>
      </c>
      <c r="C60" s="1">
        <f ca="1">IFERROR(__xludf.DUMMYFUNCTION("""COMPUTED_VALUE"""),22)</f>
        <v>22</v>
      </c>
      <c r="D60" s="1">
        <f ca="1">IFERROR(__xludf.DUMMYFUNCTION("""COMPUTED_VALUE"""),12)</f>
        <v>12</v>
      </c>
      <c r="E60" s="1">
        <f ca="1">IFERROR(__xludf.DUMMYFUNCTION("""COMPUTED_VALUE"""),0.647)</f>
        <v>0.64700000000000002</v>
      </c>
      <c r="F60" s="1">
        <f ca="1">IFERROR(__xludf.DUMMYFUNCTION("""COMPUTED_VALUE"""),14.46)</f>
        <v>14.46</v>
      </c>
      <c r="G60" s="1">
        <f ca="1">IFERROR(__xludf.DUMMYFUNCTION("""COMPUTED_VALUE"""),6.93)</f>
        <v>6.93</v>
      </c>
      <c r="H60" s="1">
        <f ca="1">IFERROR(__xludf.DUMMYFUNCTION("""COMPUTED_VALUE"""),9)</f>
        <v>9</v>
      </c>
      <c r="I60" s="1">
        <f ca="1">IFERROR(__xludf.DUMMYFUNCTION("""COMPUTED_VALUE"""),9)</f>
        <v>9</v>
      </c>
      <c r="J60" s="1">
        <f ca="1">IFERROR(__xludf.DUMMYFUNCTION("""COMPUTED_VALUE"""),13)</f>
        <v>13</v>
      </c>
      <c r="K60" s="1">
        <f ca="1">IFERROR(__xludf.DUMMYFUNCTION("""COMPUTED_VALUE"""),5)</f>
        <v>5</v>
      </c>
      <c r="L60" s="1">
        <f ca="1">IFERROR(__xludf.DUMMYFUNCTION("""COMPUTED_VALUE"""),4)</f>
        <v>4</v>
      </c>
      <c r="M60" s="1">
        <f ca="1">IFERROR(__xludf.DUMMYFUNCTION("""COMPUTED_VALUE"""),5)</f>
        <v>5</v>
      </c>
      <c r="N60" s="1">
        <f ca="1">IFERROR(__xludf.DUMMYFUNCTION("""COMPUTED_VALUE"""),2262)</f>
        <v>2262</v>
      </c>
      <c r="O60" s="1">
        <f ca="1">IFERROR(__xludf.DUMMYFUNCTION("""COMPUTED_VALUE"""),2006)</f>
        <v>2006</v>
      </c>
      <c r="P60" s="1">
        <f ca="1">IFERROR(__xludf.DUMMYFUNCTION("""COMPUTED_VALUE"""),1375)</f>
        <v>1375</v>
      </c>
      <c r="Q60" s="1">
        <f ca="1">IFERROR(__xludf.DUMMYFUNCTION("""COMPUTED_VALUE"""),791)</f>
        <v>791</v>
      </c>
      <c r="R60" s="1">
        <f ca="1">IFERROR(__xludf.DUMMYFUNCTION("""COMPUTED_VALUE"""),1963)</f>
        <v>1963</v>
      </c>
      <c r="S60" s="1">
        <f ca="1">IFERROR(__xludf.DUMMYFUNCTION("""COMPUTED_VALUE"""),0.403)</f>
        <v>0.40300000000000002</v>
      </c>
      <c r="T60" s="1">
        <f ca="1">IFERROR(__xludf.DUMMYFUNCTION("""COMPUTED_VALUE"""),230)</f>
        <v>230</v>
      </c>
      <c r="U60" s="1">
        <f ca="1">IFERROR(__xludf.DUMMYFUNCTION("""COMPUTED_VALUE"""),729)</f>
        <v>729</v>
      </c>
      <c r="V60" s="1">
        <f ca="1">IFERROR(__xludf.DUMMYFUNCTION("""COMPUTED_VALUE"""),0.316)</f>
        <v>0.316</v>
      </c>
      <c r="W60" s="1">
        <f ca="1">IFERROR(__xludf.DUMMYFUNCTION("""COMPUTED_VALUE"""),450)</f>
        <v>450</v>
      </c>
      <c r="X60" s="1">
        <f ca="1">IFERROR(__xludf.DUMMYFUNCTION("""COMPUTED_VALUE"""),696)</f>
        <v>696</v>
      </c>
      <c r="Y60" s="1">
        <f ca="1">IFERROR(__xludf.DUMMYFUNCTION("""COMPUTED_VALUE"""),0.647)</f>
        <v>0.64700000000000002</v>
      </c>
      <c r="Z60" s="1">
        <f ca="1">IFERROR(__xludf.DUMMYFUNCTION("""COMPUTED_VALUE"""),488)</f>
        <v>488</v>
      </c>
      <c r="AA60" s="1">
        <f ca="1">IFERROR(__xludf.DUMMYFUNCTION("""COMPUTED_VALUE"""),1219)</f>
        <v>1219</v>
      </c>
      <c r="AB60" s="1">
        <f ca="1">IFERROR(__xludf.DUMMYFUNCTION("""COMPUTED_VALUE"""),415)</f>
        <v>415</v>
      </c>
      <c r="AC60" s="1">
        <f ca="1">IFERROR(__xludf.DUMMYFUNCTION("""COMPUTED_VALUE"""),240)</f>
        <v>240</v>
      </c>
      <c r="AD60" s="1">
        <f ca="1">IFERROR(__xludf.DUMMYFUNCTION("""COMPUTED_VALUE"""),208)</f>
        <v>208</v>
      </c>
      <c r="AE60" s="1">
        <f ca="1">IFERROR(__xludf.DUMMYFUNCTION("""COMPUTED_VALUE"""),432)</f>
        <v>432</v>
      </c>
      <c r="AF60" s="1">
        <f ca="1">IFERROR(__xludf.DUMMYFUNCTION("""COMPUTED_VALUE"""),605)</f>
        <v>605</v>
      </c>
    </row>
    <row r="61" spans="1:32" ht="12.5" x14ac:dyDescent="0.25">
      <c r="A61" s="1" t="str">
        <f ca="1">IFERROR(__xludf.DUMMYFUNCTION("""COMPUTED_VALUE"""),"Citadel")</f>
        <v>Citadel</v>
      </c>
      <c r="B61" s="1">
        <f ca="1">IFERROR(__xludf.DUMMYFUNCTION("""COMPUTED_VALUE"""),30)</f>
        <v>30</v>
      </c>
      <c r="C61" s="1">
        <f ca="1">IFERROR(__xludf.DUMMYFUNCTION("""COMPUTED_VALUE"""),8)</f>
        <v>8</v>
      </c>
      <c r="D61" s="1">
        <f ca="1">IFERROR(__xludf.DUMMYFUNCTION("""COMPUTED_VALUE"""),22)</f>
        <v>22</v>
      </c>
      <c r="E61" s="1">
        <f ca="1">IFERROR(__xludf.DUMMYFUNCTION("""COMPUTED_VALUE"""),0.267)</f>
        <v>0.26700000000000002</v>
      </c>
      <c r="F61" s="1">
        <f ca="1">IFERROR(__xludf.DUMMYFUNCTION("""COMPUTED_VALUE"""),-16.99)</f>
        <v>-16.989999999999998</v>
      </c>
      <c r="G61" s="1">
        <f ca="1">IFERROR(__xludf.DUMMYFUNCTION("""COMPUTED_VALUE"""),-5.45)</f>
        <v>-5.45</v>
      </c>
      <c r="H61" s="1">
        <f ca="1">IFERROR(__xludf.DUMMYFUNCTION("""COMPUTED_VALUE"""),5)</f>
        <v>5</v>
      </c>
      <c r="I61" s="1">
        <f ca="1">IFERROR(__xludf.DUMMYFUNCTION("""COMPUTED_VALUE"""),13)</f>
        <v>13</v>
      </c>
      <c r="J61" s="1">
        <f ca="1">IFERROR(__xludf.DUMMYFUNCTION("""COMPUTED_VALUE"""),5)</f>
        <v>5</v>
      </c>
      <c r="K61" s="1">
        <f ca="1">IFERROR(__xludf.DUMMYFUNCTION("""COMPUTED_VALUE"""),8)</f>
        <v>8</v>
      </c>
      <c r="L61" s="1">
        <f ca="1">IFERROR(__xludf.DUMMYFUNCTION("""COMPUTED_VALUE"""),3)</f>
        <v>3</v>
      </c>
      <c r="M61" s="1">
        <f ca="1">IFERROR(__xludf.DUMMYFUNCTION("""COMPUTED_VALUE"""),12)</f>
        <v>12</v>
      </c>
      <c r="N61" s="1">
        <f ca="1">IFERROR(__xludf.DUMMYFUNCTION("""COMPUTED_VALUE"""),1931)</f>
        <v>1931</v>
      </c>
      <c r="O61" s="1">
        <f ca="1">IFERROR(__xludf.DUMMYFUNCTION("""COMPUTED_VALUE"""),2195)</f>
        <v>2195</v>
      </c>
      <c r="P61" s="1">
        <f ca="1">IFERROR(__xludf.DUMMYFUNCTION("""COMPUTED_VALUE"""),1205)</f>
        <v>1205</v>
      </c>
      <c r="Q61" s="1">
        <f ca="1">IFERROR(__xludf.DUMMYFUNCTION("""COMPUTED_VALUE"""),681)</f>
        <v>681</v>
      </c>
      <c r="R61" s="1">
        <f ca="1">IFERROR(__xludf.DUMMYFUNCTION("""COMPUTED_VALUE"""),1504)</f>
        <v>1504</v>
      </c>
      <c r="S61" s="1">
        <f ca="1">IFERROR(__xludf.DUMMYFUNCTION("""COMPUTED_VALUE"""),0.453)</f>
        <v>0.45300000000000001</v>
      </c>
      <c r="T61" s="1">
        <f ca="1">IFERROR(__xludf.DUMMYFUNCTION("""COMPUTED_VALUE"""),176)</f>
        <v>176</v>
      </c>
      <c r="U61" s="1">
        <f ca="1">IFERROR(__xludf.DUMMYFUNCTION("""COMPUTED_VALUE"""),488)</f>
        <v>488</v>
      </c>
      <c r="V61" s="1">
        <f ca="1">IFERROR(__xludf.DUMMYFUNCTION("""COMPUTED_VALUE"""),0.361)</f>
        <v>0.36099999999999999</v>
      </c>
      <c r="W61" s="1">
        <f ca="1">IFERROR(__xludf.DUMMYFUNCTION("""COMPUTED_VALUE"""),393)</f>
        <v>393</v>
      </c>
      <c r="X61" s="1">
        <f ca="1">IFERROR(__xludf.DUMMYFUNCTION("""COMPUTED_VALUE"""),559)</f>
        <v>559</v>
      </c>
      <c r="Y61" s="1">
        <f ca="1">IFERROR(__xludf.DUMMYFUNCTION("""COMPUTED_VALUE"""),0.703)</f>
        <v>0.70299999999999996</v>
      </c>
      <c r="Z61" s="1">
        <f ca="1">IFERROR(__xludf.DUMMYFUNCTION("""COMPUTED_VALUE"""),283)</f>
        <v>283</v>
      </c>
      <c r="AA61" s="1">
        <f ca="1">IFERROR(__xludf.DUMMYFUNCTION("""COMPUTED_VALUE"""),806)</f>
        <v>806</v>
      </c>
      <c r="AB61" s="1">
        <f ca="1">IFERROR(__xludf.DUMMYFUNCTION("""COMPUTED_VALUE"""),452)</f>
        <v>452</v>
      </c>
      <c r="AC61" s="1">
        <f ca="1">IFERROR(__xludf.DUMMYFUNCTION("""COMPUTED_VALUE"""),212)</f>
        <v>212</v>
      </c>
      <c r="AD61" s="1">
        <f ca="1">IFERROR(__xludf.DUMMYFUNCTION("""COMPUTED_VALUE"""),69)</f>
        <v>69</v>
      </c>
      <c r="AE61" s="1">
        <f ca="1">IFERROR(__xludf.DUMMYFUNCTION("""COMPUTED_VALUE"""),465)</f>
        <v>465</v>
      </c>
      <c r="AF61" s="1">
        <f ca="1">IFERROR(__xludf.DUMMYFUNCTION("""COMPUTED_VALUE"""),456)</f>
        <v>456</v>
      </c>
    </row>
    <row r="62" spans="1:32" ht="12.5" x14ac:dyDescent="0.25">
      <c r="A62" s="1" t="str">
        <f ca="1">IFERROR(__xludf.DUMMYFUNCTION("""COMPUTED_VALUE"""),"Clemson")</f>
        <v>Clemson</v>
      </c>
      <c r="B62" s="1">
        <f ca="1">IFERROR(__xludf.DUMMYFUNCTION("""COMPUTED_VALUE"""),31)</f>
        <v>31</v>
      </c>
      <c r="C62" s="1">
        <f ca="1">IFERROR(__xludf.DUMMYFUNCTION("""COMPUTED_VALUE"""),13)</f>
        <v>13</v>
      </c>
      <c r="D62" s="1">
        <f ca="1">IFERROR(__xludf.DUMMYFUNCTION("""COMPUTED_VALUE"""),18)</f>
        <v>18</v>
      </c>
      <c r="E62" s="1">
        <f ca="1">IFERROR(__xludf.DUMMYFUNCTION("""COMPUTED_VALUE"""),0.419)</f>
        <v>0.41899999999999998</v>
      </c>
      <c r="F62" s="1">
        <f ca="1">IFERROR(__xludf.DUMMYFUNCTION("""COMPUTED_VALUE"""),5.82)</f>
        <v>5.82</v>
      </c>
      <c r="G62" s="1">
        <f ca="1">IFERROR(__xludf.DUMMYFUNCTION("""COMPUTED_VALUE"""),4.44)</f>
        <v>4.4400000000000004</v>
      </c>
      <c r="H62" s="1">
        <f ca="1">IFERROR(__xludf.DUMMYFUNCTION("""COMPUTED_VALUE"""),5)</f>
        <v>5</v>
      </c>
      <c r="I62" s="1">
        <f ca="1">IFERROR(__xludf.DUMMYFUNCTION("""COMPUTED_VALUE"""),13)</f>
        <v>13</v>
      </c>
      <c r="J62" s="1">
        <f ca="1">IFERROR(__xludf.DUMMYFUNCTION("""COMPUTED_VALUE"""),8)</f>
        <v>8</v>
      </c>
      <c r="K62" s="1">
        <f ca="1">IFERROR(__xludf.DUMMYFUNCTION("""COMPUTED_VALUE"""),7)</f>
        <v>7</v>
      </c>
      <c r="L62" s="1">
        <f ca="1">IFERROR(__xludf.DUMMYFUNCTION("""COMPUTED_VALUE"""),3)</f>
        <v>3</v>
      </c>
      <c r="M62" s="1">
        <f ca="1">IFERROR(__xludf.DUMMYFUNCTION("""COMPUTED_VALUE"""),9)</f>
        <v>9</v>
      </c>
      <c r="N62" s="1">
        <f ca="1">IFERROR(__xludf.DUMMYFUNCTION("""COMPUTED_VALUE"""),1907)</f>
        <v>1907</v>
      </c>
      <c r="O62" s="1">
        <f ca="1">IFERROR(__xludf.DUMMYFUNCTION("""COMPUTED_VALUE"""),1864)</f>
        <v>1864</v>
      </c>
      <c r="P62" s="1">
        <f ca="1">IFERROR(__xludf.DUMMYFUNCTION("""COMPUTED_VALUE"""),1240)</f>
        <v>1240</v>
      </c>
      <c r="Q62" s="1">
        <f ca="1">IFERROR(__xludf.DUMMYFUNCTION("""COMPUTED_VALUE"""),697)</f>
        <v>697</v>
      </c>
      <c r="R62" s="1">
        <f ca="1">IFERROR(__xludf.DUMMYFUNCTION("""COMPUTED_VALUE"""),1643)</f>
        <v>1643</v>
      </c>
      <c r="S62" s="1">
        <f ca="1">IFERROR(__xludf.DUMMYFUNCTION("""COMPUTED_VALUE"""),0.424)</f>
        <v>0.42399999999999999</v>
      </c>
      <c r="T62" s="1">
        <f ca="1">IFERROR(__xludf.DUMMYFUNCTION("""COMPUTED_VALUE"""),157)</f>
        <v>157</v>
      </c>
      <c r="U62" s="1">
        <f ca="1">IFERROR(__xludf.DUMMYFUNCTION("""COMPUTED_VALUE"""),496)</f>
        <v>496</v>
      </c>
      <c r="V62" s="1">
        <f ca="1">IFERROR(__xludf.DUMMYFUNCTION("""COMPUTED_VALUE"""),0.317)</f>
        <v>0.317</v>
      </c>
      <c r="W62" s="1">
        <f ca="1">IFERROR(__xludf.DUMMYFUNCTION("""COMPUTED_VALUE"""),356)</f>
        <v>356</v>
      </c>
      <c r="X62" s="1">
        <f ca="1">IFERROR(__xludf.DUMMYFUNCTION("""COMPUTED_VALUE"""),544)</f>
        <v>544</v>
      </c>
      <c r="Y62" s="1">
        <f ca="1">IFERROR(__xludf.DUMMYFUNCTION("""COMPUTED_VALUE"""),0.654)</f>
        <v>0.65400000000000003</v>
      </c>
      <c r="Z62" s="1">
        <f ca="1">IFERROR(__xludf.DUMMYFUNCTION("""COMPUTED_VALUE"""),330)</f>
        <v>330</v>
      </c>
      <c r="AA62" s="1">
        <f ca="1">IFERROR(__xludf.DUMMYFUNCTION("""COMPUTED_VALUE"""),947)</f>
        <v>947</v>
      </c>
      <c r="AB62" s="1">
        <f ca="1">IFERROR(__xludf.DUMMYFUNCTION("""COMPUTED_VALUE"""),334)</f>
        <v>334</v>
      </c>
      <c r="AC62" s="1">
        <f ca="1">IFERROR(__xludf.DUMMYFUNCTION("""COMPUTED_VALUE"""),208)</f>
        <v>208</v>
      </c>
      <c r="AD62" s="1">
        <f ca="1">IFERROR(__xludf.DUMMYFUNCTION("""COMPUTED_VALUE"""),148)</f>
        <v>148</v>
      </c>
      <c r="AE62" s="1">
        <f ca="1">IFERROR(__xludf.DUMMYFUNCTION("""COMPUTED_VALUE"""),355)</f>
        <v>355</v>
      </c>
      <c r="AF62" s="1">
        <f ca="1">IFERROR(__xludf.DUMMYFUNCTION("""COMPUTED_VALUE"""),497)</f>
        <v>497</v>
      </c>
    </row>
    <row r="63" spans="1:32" ht="12.5" x14ac:dyDescent="0.25">
      <c r="A63" s="1" t="str">
        <f ca="1">IFERROR(__xludf.DUMMYFUNCTION("""COMPUTED_VALUE"""),"Cleveland State")</f>
        <v>Cleveland State</v>
      </c>
      <c r="B63" s="1">
        <f ca="1">IFERROR(__xludf.DUMMYFUNCTION("""COMPUTED_VALUE"""),32)</f>
        <v>32</v>
      </c>
      <c r="C63" s="1">
        <f ca="1">IFERROR(__xludf.DUMMYFUNCTION("""COMPUTED_VALUE"""),14)</f>
        <v>14</v>
      </c>
      <c r="D63" s="1">
        <f ca="1">IFERROR(__xludf.DUMMYFUNCTION("""COMPUTED_VALUE"""),18)</f>
        <v>18</v>
      </c>
      <c r="E63" s="1">
        <f ca="1">IFERROR(__xludf.DUMMYFUNCTION("""COMPUTED_VALUE"""),0.438)</f>
        <v>0.438</v>
      </c>
      <c r="F63" s="1">
        <f ca="1">IFERROR(__xludf.DUMMYFUNCTION("""COMPUTED_VALUE"""),-7.34)</f>
        <v>-7.34</v>
      </c>
      <c r="G63" s="1">
        <f ca="1">IFERROR(__xludf.DUMMYFUNCTION("""COMPUTED_VALUE"""),-0.16)</f>
        <v>-0.16</v>
      </c>
      <c r="H63" s="1">
        <f ca="1">IFERROR(__xludf.DUMMYFUNCTION("""COMPUTED_VALUE"""),5)</f>
        <v>5</v>
      </c>
      <c r="I63" s="1">
        <f ca="1">IFERROR(__xludf.DUMMYFUNCTION("""COMPUTED_VALUE"""),11)</f>
        <v>11</v>
      </c>
      <c r="J63" s="1">
        <f ca="1">IFERROR(__xludf.DUMMYFUNCTION("""COMPUTED_VALUE"""),9)</f>
        <v>9</v>
      </c>
      <c r="K63" s="1">
        <f ca="1">IFERROR(__xludf.DUMMYFUNCTION("""COMPUTED_VALUE"""),5)</f>
        <v>5</v>
      </c>
      <c r="L63" s="1">
        <f ca="1">IFERROR(__xludf.DUMMYFUNCTION("""COMPUTED_VALUE"""),3)</f>
        <v>3</v>
      </c>
      <c r="M63" s="1">
        <f ca="1">IFERROR(__xludf.DUMMYFUNCTION("""COMPUTED_VALUE"""),13)</f>
        <v>13</v>
      </c>
      <c r="N63" s="1">
        <f ca="1">IFERROR(__xludf.DUMMYFUNCTION("""COMPUTED_VALUE"""),2051)</f>
        <v>2051</v>
      </c>
      <c r="O63" s="1">
        <f ca="1">IFERROR(__xludf.DUMMYFUNCTION("""COMPUTED_VALUE"""),2226)</f>
        <v>2226</v>
      </c>
      <c r="P63" s="1">
        <f ca="1">IFERROR(__xludf.DUMMYFUNCTION("""COMPUTED_VALUE"""),1285)</f>
        <v>1285</v>
      </c>
      <c r="Q63" s="1">
        <f ca="1">IFERROR(__xludf.DUMMYFUNCTION("""COMPUTED_VALUE"""),733)</f>
        <v>733</v>
      </c>
      <c r="R63" s="1">
        <f ca="1">IFERROR(__xludf.DUMMYFUNCTION("""COMPUTED_VALUE"""),1734)</f>
        <v>1734</v>
      </c>
      <c r="S63" s="1">
        <f ca="1">IFERROR(__xludf.DUMMYFUNCTION("""COMPUTED_VALUE"""),0.423)</f>
        <v>0.42299999999999999</v>
      </c>
      <c r="T63" s="1">
        <f ca="1">IFERROR(__xludf.DUMMYFUNCTION("""COMPUTED_VALUE"""),206)</f>
        <v>206</v>
      </c>
      <c r="U63" s="1">
        <f ca="1">IFERROR(__xludf.DUMMYFUNCTION("""COMPUTED_VALUE"""),601)</f>
        <v>601</v>
      </c>
      <c r="V63" s="1">
        <f ca="1">IFERROR(__xludf.DUMMYFUNCTION("""COMPUTED_VALUE"""),0.343)</f>
        <v>0.34300000000000003</v>
      </c>
      <c r="W63" s="1">
        <f ca="1">IFERROR(__xludf.DUMMYFUNCTION("""COMPUTED_VALUE"""),379)</f>
        <v>379</v>
      </c>
      <c r="X63" s="1">
        <f ca="1">IFERROR(__xludf.DUMMYFUNCTION("""COMPUTED_VALUE"""),535)</f>
        <v>535</v>
      </c>
      <c r="Y63" s="1">
        <f ca="1">IFERROR(__xludf.DUMMYFUNCTION("""COMPUTED_VALUE"""),0.708)</f>
        <v>0.70799999999999996</v>
      </c>
      <c r="Z63" s="1">
        <f ca="1">IFERROR(__xludf.DUMMYFUNCTION("""COMPUTED_VALUE"""),340)</f>
        <v>340</v>
      </c>
      <c r="AA63" s="1">
        <f ca="1">IFERROR(__xludf.DUMMYFUNCTION("""COMPUTED_VALUE"""),889)</f>
        <v>889</v>
      </c>
      <c r="AB63" s="1">
        <f ca="1">IFERROR(__xludf.DUMMYFUNCTION("""COMPUTED_VALUE"""),389)</f>
        <v>389</v>
      </c>
      <c r="AC63" s="1">
        <f ca="1">IFERROR(__xludf.DUMMYFUNCTION("""COMPUTED_VALUE"""),233)</f>
        <v>233</v>
      </c>
      <c r="AD63" s="1">
        <f ca="1">IFERROR(__xludf.DUMMYFUNCTION("""COMPUTED_VALUE"""),95)</f>
        <v>95</v>
      </c>
      <c r="AE63" s="1">
        <f ca="1">IFERROR(__xludf.DUMMYFUNCTION("""COMPUTED_VALUE"""),452)</f>
        <v>452</v>
      </c>
      <c r="AF63" s="1">
        <f ca="1">IFERROR(__xludf.DUMMYFUNCTION("""COMPUTED_VALUE"""),627)</f>
        <v>627</v>
      </c>
    </row>
    <row r="64" spans="1:32" ht="12.5" x14ac:dyDescent="0.25">
      <c r="A64" s="1" t="str">
        <f ca="1">IFERROR(__xludf.DUMMYFUNCTION("""COMPUTED_VALUE"""),"Coastal Carolina")</f>
        <v>Coastal Carolina</v>
      </c>
      <c r="B64" s="1">
        <f ca="1">IFERROR(__xludf.DUMMYFUNCTION("""COMPUTED_VALUE"""),29)</f>
        <v>29</v>
      </c>
      <c r="C64" s="1">
        <f ca="1">IFERROR(__xludf.DUMMYFUNCTION("""COMPUTED_VALUE"""),14)</f>
        <v>14</v>
      </c>
      <c r="D64" s="1">
        <f ca="1">IFERROR(__xludf.DUMMYFUNCTION("""COMPUTED_VALUE"""),15)</f>
        <v>15</v>
      </c>
      <c r="E64" s="1">
        <f ca="1">IFERROR(__xludf.DUMMYFUNCTION("""COMPUTED_VALUE"""),0.483)</f>
        <v>0.48299999999999998</v>
      </c>
      <c r="F64" s="1">
        <f ca="1">IFERROR(__xludf.DUMMYFUNCTION("""COMPUTED_VALUE"""),-5.61)</f>
        <v>-5.61</v>
      </c>
      <c r="G64" s="1">
        <f ca="1">IFERROR(__xludf.DUMMYFUNCTION("""COMPUTED_VALUE"""),-5.22)</f>
        <v>-5.22</v>
      </c>
      <c r="H64" s="1">
        <f ca="1">IFERROR(__xludf.DUMMYFUNCTION("""COMPUTED_VALUE"""),9)</f>
        <v>9</v>
      </c>
      <c r="I64" s="1">
        <f ca="1">IFERROR(__xludf.DUMMYFUNCTION("""COMPUTED_VALUE"""),7)</f>
        <v>7</v>
      </c>
      <c r="J64" s="1">
        <f ca="1">IFERROR(__xludf.DUMMYFUNCTION("""COMPUTED_VALUE"""),12)</f>
        <v>12</v>
      </c>
      <c r="K64" s="1">
        <f ca="1">IFERROR(__xludf.DUMMYFUNCTION("""COMPUTED_VALUE"""),4)</f>
        <v>4</v>
      </c>
      <c r="L64" s="1">
        <f ca="1">IFERROR(__xludf.DUMMYFUNCTION("""COMPUTED_VALUE"""),2)</f>
        <v>2</v>
      </c>
      <c r="M64" s="1">
        <f ca="1">IFERROR(__xludf.DUMMYFUNCTION("""COMPUTED_VALUE"""),11)</f>
        <v>11</v>
      </c>
      <c r="N64" s="1">
        <f ca="1">IFERROR(__xludf.DUMMYFUNCTION("""COMPUTED_VALUE"""),1943)</f>
        <v>1943</v>
      </c>
      <c r="O64" s="1">
        <f ca="1">IFERROR(__xludf.DUMMYFUNCTION("""COMPUTED_VALUE"""),1840)</f>
        <v>1840</v>
      </c>
      <c r="P64" s="1">
        <f ca="1">IFERROR(__xludf.DUMMYFUNCTION("""COMPUTED_VALUE"""),1165)</f>
        <v>1165</v>
      </c>
      <c r="Q64" s="1">
        <f ca="1">IFERROR(__xludf.DUMMYFUNCTION("""COMPUTED_VALUE"""),714)</f>
        <v>714</v>
      </c>
      <c r="R64" s="1">
        <f ca="1">IFERROR(__xludf.DUMMYFUNCTION("""COMPUTED_VALUE"""),1626)</f>
        <v>1626</v>
      </c>
      <c r="S64" s="1">
        <f ca="1">IFERROR(__xludf.DUMMYFUNCTION("""COMPUTED_VALUE"""),0.439)</f>
        <v>0.439</v>
      </c>
      <c r="T64" s="1">
        <f ca="1">IFERROR(__xludf.DUMMYFUNCTION("""COMPUTED_VALUE"""),130)</f>
        <v>130</v>
      </c>
      <c r="U64" s="1">
        <f ca="1">IFERROR(__xludf.DUMMYFUNCTION("""COMPUTED_VALUE"""),419)</f>
        <v>419</v>
      </c>
      <c r="V64" s="1">
        <f ca="1">IFERROR(__xludf.DUMMYFUNCTION("""COMPUTED_VALUE"""),0.31)</f>
        <v>0.31</v>
      </c>
      <c r="W64" s="1">
        <f ca="1">IFERROR(__xludf.DUMMYFUNCTION("""COMPUTED_VALUE"""),385)</f>
        <v>385</v>
      </c>
      <c r="X64" s="1">
        <f ca="1">IFERROR(__xludf.DUMMYFUNCTION("""COMPUTED_VALUE"""),587)</f>
        <v>587</v>
      </c>
      <c r="Y64" s="1">
        <f ca="1">IFERROR(__xludf.DUMMYFUNCTION("""COMPUTED_VALUE"""),0.656)</f>
        <v>0.65600000000000003</v>
      </c>
      <c r="Z64" s="1">
        <f ca="1">IFERROR(__xludf.DUMMYFUNCTION("""COMPUTED_VALUE"""),401)</f>
        <v>401</v>
      </c>
      <c r="AA64" s="1">
        <f ca="1">IFERROR(__xludf.DUMMYFUNCTION("""COMPUTED_VALUE"""),978)</f>
        <v>978</v>
      </c>
      <c r="AB64" s="1">
        <f ca="1">IFERROR(__xludf.DUMMYFUNCTION("""COMPUTED_VALUE"""),308)</f>
        <v>308</v>
      </c>
      <c r="AC64" s="1">
        <f ca="1">IFERROR(__xludf.DUMMYFUNCTION("""COMPUTED_VALUE"""),250)</f>
        <v>250</v>
      </c>
      <c r="AD64" s="1">
        <f ca="1">IFERROR(__xludf.DUMMYFUNCTION("""COMPUTED_VALUE"""),61)</f>
        <v>61</v>
      </c>
      <c r="AE64" s="1">
        <f ca="1">IFERROR(__xludf.DUMMYFUNCTION("""COMPUTED_VALUE"""),410)</f>
        <v>410</v>
      </c>
      <c r="AF64" s="1">
        <f ca="1">IFERROR(__xludf.DUMMYFUNCTION("""COMPUTED_VALUE"""),538)</f>
        <v>538</v>
      </c>
    </row>
    <row r="65" spans="1:32" ht="12.5" x14ac:dyDescent="0.25">
      <c r="A65" s="1" t="str">
        <f ca="1">IFERROR(__xludf.DUMMYFUNCTION("""COMPUTED_VALUE"""),"Colgate")</f>
        <v>Colgate</v>
      </c>
      <c r="B65" s="1">
        <f ca="1">IFERROR(__xludf.DUMMYFUNCTION("""COMPUTED_VALUE"""),32)</f>
        <v>32</v>
      </c>
      <c r="C65" s="1">
        <f ca="1">IFERROR(__xludf.DUMMYFUNCTION("""COMPUTED_VALUE"""),11)</f>
        <v>11</v>
      </c>
      <c r="D65" s="1">
        <f ca="1">IFERROR(__xludf.DUMMYFUNCTION("""COMPUTED_VALUE"""),21)</f>
        <v>21</v>
      </c>
      <c r="E65" s="1">
        <f ca="1">IFERROR(__xludf.DUMMYFUNCTION("""COMPUTED_VALUE"""),0.344)</f>
        <v>0.34399999999999997</v>
      </c>
      <c r="F65" s="1">
        <f ca="1">IFERROR(__xludf.DUMMYFUNCTION("""COMPUTED_VALUE"""),-8.73)</f>
        <v>-8.73</v>
      </c>
      <c r="G65" s="1">
        <f ca="1">IFERROR(__xludf.DUMMYFUNCTION("""COMPUTED_VALUE"""),-2.58)</f>
        <v>-2.58</v>
      </c>
      <c r="H65" s="1">
        <f ca="1">IFERROR(__xludf.DUMMYFUNCTION("""COMPUTED_VALUE"""),5)</f>
        <v>5</v>
      </c>
      <c r="I65" s="1">
        <f ca="1">IFERROR(__xludf.DUMMYFUNCTION("""COMPUTED_VALUE"""),9)</f>
        <v>9</v>
      </c>
      <c r="J65" s="1">
        <f ca="1">IFERROR(__xludf.DUMMYFUNCTION("""COMPUTED_VALUE"""),7)</f>
        <v>7</v>
      </c>
      <c r="K65" s="1">
        <f ca="1">IFERROR(__xludf.DUMMYFUNCTION("""COMPUTED_VALUE"""),5)</f>
        <v>5</v>
      </c>
      <c r="L65" s="1">
        <f ca="1">IFERROR(__xludf.DUMMYFUNCTION("""COMPUTED_VALUE"""),3)</f>
        <v>3</v>
      </c>
      <c r="M65" s="1">
        <f ca="1">IFERROR(__xludf.DUMMYFUNCTION("""COMPUTED_VALUE"""),16)</f>
        <v>16</v>
      </c>
      <c r="N65" s="1">
        <f ca="1">IFERROR(__xludf.DUMMYFUNCTION("""COMPUTED_VALUE"""),2033)</f>
        <v>2033</v>
      </c>
      <c r="O65" s="1">
        <f ca="1">IFERROR(__xludf.DUMMYFUNCTION("""COMPUTED_VALUE"""),2230)</f>
        <v>2230</v>
      </c>
      <c r="P65" s="1">
        <f ca="1">IFERROR(__xludf.DUMMYFUNCTION("""COMPUTED_VALUE"""),1284)</f>
        <v>1284</v>
      </c>
      <c r="Q65" s="1">
        <f ca="1">IFERROR(__xludf.DUMMYFUNCTION("""COMPUTED_VALUE"""),735)</f>
        <v>735</v>
      </c>
      <c r="R65" s="1">
        <f ca="1">IFERROR(__xludf.DUMMYFUNCTION("""COMPUTED_VALUE"""),1760)</f>
        <v>1760</v>
      </c>
      <c r="S65" s="1">
        <f ca="1">IFERROR(__xludf.DUMMYFUNCTION("""COMPUTED_VALUE"""),0.418)</f>
        <v>0.41799999999999998</v>
      </c>
      <c r="T65" s="1">
        <f ca="1">IFERROR(__xludf.DUMMYFUNCTION("""COMPUTED_VALUE"""),220)</f>
        <v>220</v>
      </c>
      <c r="U65" s="1">
        <f ca="1">IFERROR(__xludf.DUMMYFUNCTION("""COMPUTED_VALUE"""),644)</f>
        <v>644</v>
      </c>
      <c r="V65" s="1">
        <f ca="1">IFERROR(__xludf.DUMMYFUNCTION("""COMPUTED_VALUE"""),0.342)</f>
        <v>0.34200000000000003</v>
      </c>
      <c r="W65" s="1">
        <f ca="1">IFERROR(__xludf.DUMMYFUNCTION("""COMPUTED_VALUE"""),343)</f>
        <v>343</v>
      </c>
      <c r="X65" s="1">
        <f ca="1">IFERROR(__xludf.DUMMYFUNCTION("""COMPUTED_VALUE"""),485)</f>
        <v>485</v>
      </c>
      <c r="Y65" s="1">
        <f ca="1">IFERROR(__xludf.DUMMYFUNCTION("""COMPUTED_VALUE"""),0.707)</f>
        <v>0.70699999999999996</v>
      </c>
      <c r="Z65" s="1">
        <f ca="1">IFERROR(__xludf.DUMMYFUNCTION("""COMPUTED_VALUE"""),290)</f>
        <v>290</v>
      </c>
      <c r="AA65" s="1">
        <f ca="1">IFERROR(__xludf.DUMMYFUNCTION("""COMPUTED_VALUE"""),1031)</f>
        <v>1031</v>
      </c>
      <c r="AB65" s="1">
        <f ca="1">IFERROR(__xludf.DUMMYFUNCTION("""COMPUTED_VALUE"""),412)</f>
        <v>412</v>
      </c>
      <c r="AC65" s="1">
        <f ca="1">IFERROR(__xludf.DUMMYFUNCTION("""COMPUTED_VALUE"""),148)</f>
        <v>148</v>
      </c>
      <c r="AD65" s="1">
        <f ca="1">IFERROR(__xludf.DUMMYFUNCTION("""COMPUTED_VALUE"""),91)</f>
        <v>91</v>
      </c>
      <c r="AE65" s="1">
        <f ca="1">IFERROR(__xludf.DUMMYFUNCTION("""COMPUTED_VALUE"""),423)</f>
        <v>423</v>
      </c>
      <c r="AF65" s="1">
        <f ca="1">IFERROR(__xludf.DUMMYFUNCTION("""COMPUTED_VALUE"""),561)</f>
        <v>561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IFERROR(__xludf.DUMMYFUNCTION("""COMPUTED_VALUE"""),"College of Charleston")</f>
        <v>College of Charleston</v>
      </c>
      <c r="B68" s="1">
        <f ca="1">IFERROR(__xludf.DUMMYFUNCTION("""COMPUTED_VALUE"""),35)</f>
        <v>35</v>
      </c>
      <c r="C68" s="1">
        <f ca="1">IFERROR(__xludf.DUMMYFUNCTION("""COMPUTED_VALUE"""),24)</f>
        <v>24</v>
      </c>
      <c r="D68" s="1">
        <f ca="1">IFERROR(__xludf.DUMMYFUNCTION("""COMPUTED_VALUE"""),11)</f>
        <v>11</v>
      </c>
      <c r="E68" s="1">
        <f ca="1">IFERROR(__xludf.DUMMYFUNCTION("""COMPUTED_VALUE"""),0.686)</f>
        <v>0.68600000000000005</v>
      </c>
      <c r="F68" s="1">
        <f ca="1">IFERROR(__xludf.DUMMYFUNCTION("""COMPUTED_VALUE"""),0.17)</f>
        <v>0.17</v>
      </c>
      <c r="G68" s="1">
        <f ca="1">IFERROR(__xludf.DUMMYFUNCTION("""COMPUTED_VALUE"""),-3.86)</f>
        <v>-3.86</v>
      </c>
      <c r="H68" s="1">
        <f ca="1">IFERROR(__xludf.DUMMYFUNCTION("""COMPUTED_VALUE"""),14)</f>
        <v>14</v>
      </c>
      <c r="I68" s="1">
        <f ca="1">IFERROR(__xludf.DUMMYFUNCTION("""COMPUTED_VALUE"""),4)</f>
        <v>4</v>
      </c>
      <c r="J68" s="1">
        <f ca="1">IFERROR(__xludf.DUMMYFUNCTION("""COMPUTED_VALUE"""),10)</f>
        <v>10</v>
      </c>
      <c r="K68" s="1">
        <f ca="1">IFERROR(__xludf.DUMMYFUNCTION("""COMPUTED_VALUE"""),7)</f>
        <v>7</v>
      </c>
      <c r="L68" s="1">
        <f ca="1">IFERROR(__xludf.DUMMYFUNCTION("""COMPUTED_VALUE"""),11)</f>
        <v>11</v>
      </c>
      <c r="M68" s="1">
        <f ca="1">IFERROR(__xludf.DUMMYFUNCTION("""COMPUTED_VALUE"""),2)</f>
        <v>2</v>
      </c>
      <c r="N68" s="1">
        <f ca="1">IFERROR(__xludf.DUMMYFUNCTION("""COMPUTED_VALUE"""),2297)</f>
        <v>2297</v>
      </c>
      <c r="O68" s="1">
        <f ca="1">IFERROR(__xludf.DUMMYFUNCTION("""COMPUTED_VALUE"""),2176)</f>
        <v>2176</v>
      </c>
      <c r="P68" s="1">
        <f ca="1">IFERROR(__xludf.DUMMYFUNCTION("""COMPUTED_VALUE"""),1400)</f>
        <v>1400</v>
      </c>
      <c r="Q68" s="1">
        <f ca="1">IFERROR(__xludf.DUMMYFUNCTION("""COMPUTED_VALUE"""),803)</f>
        <v>803</v>
      </c>
      <c r="R68" s="1">
        <f ca="1">IFERROR(__xludf.DUMMYFUNCTION("""COMPUTED_VALUE"""),1819)</f>
        <v>1819</v>
      </c>
      <c r="S68" s="1">
        <f ca="1">IFERROR(__xludf.DUMMYFUNCTION("""COMPUTED_VALUE"""),0.441)</f>
        <v>0.441</v>
      </c>
      <c r="T68" s="1">
        <f ca="1">IFERROR(__xludf.DUMMYFUNCTION("""COMPUTED_VALUE"""),209)</f>
        <v>209</v>
      </c>
      <c r="U68" s="1">
        <f ca="1">IFERROR(__xludf.DUMMYFUNCTION("""COMPUTED_VALUE"""),602)</f>
        <v>602</v>
      </c>
      <c r="V68" s="1">
        <f ca="1">IFERROR(__xludf.DUMMYFUNCTION("""COMPUTED_VALUE"""),0.347)</f>
        <v>0.34699999999999998</v>
      </c>
      <c r="W68" s="1">
        <f ca="1">IFERROR(__xludf.DUMMYFUNCTION("""COMPUTED_VALUE"""),482)</f>
        <v>482</v>
      </c>
      <c r="X68" s="1">
        <f ca="1">IFERROR(__xludf.DUMMYFUNCTION("""COMPUTED_VALUE"""),703)</f>
        <v>703</v>
      </c>
      <c r="Y68" s="1">
        <f ca="1">IFERROR(__xludf.DUMMYFUNCTION("""COMPUTED_VALUE"""),0.686)</f>
        <v>0.68600000000000005</v>
      </c>
      <c r="Z68" s="1">
        <f ca="1">IFERROR(__xludf.DUMMYFUNCTION("""COMPUTED_VALUE"""),391)</f>
        <v>391</v>
      </c>
      <c r="AA68" s="1">
        <f ca="1">IFERROR(__xludf.DUMMYFUNCTION("""COMPUTED_VALUE"""),1194)</f>
        <v>1194</v>
      </c>
      <c r="AB68" s="1">
        <f ca="1">IFERROR(__xludf.DUMMYFUNCTION("""COMPUTED_VALUE"""),392)</f>
        <v>392</v>
      </c>
      <c r="AC68" s="1">
        <f ca="1">IFERROR(__xludf.DUMMYFUNCTION("""COMPUTED_VALUE"""),149)</f>
        <v>149</v>
      </c>
      <c r="AD68" s="1">
        <f ca="1">IFERROR(__xludf.DUMMYFUNCTION("""COMPUTED_VALUE"""),150)</f>
        <v>150</v>
      </c>
      <c r="AE68" s="1">
        <f ca="1">IFERROR(__xludf.DUMMYFUNCTION("""COMPUTED_VALUE"""),467)</f>
        <v>467</v>
      </c>
      <c r="AF68" s="1">
        <f ca="1">IFERROR(__xludf.DUMMYFUNCTION("""COMPUTED_VALUE"""),502)</f>
        <v>502</v>
      </c>
    </row>
    <row r="69" spans="1:32" ht="12.5" x14ac:dyDescent="0.25">
      <c r="A69" s="1" t="str">
        <f ca="1">IFERROR(__xludf.DUMMYFUNCTION("""COMPUTED_VALUE"""),"Colorado StateNCAA")</f>
        <v>Colorado StateNCAA</v>
      </c>
      <c r="B69" s="1">
        <f ca="1">IFERROR(__xludf.DUMMYFUNCTION("""COMPUTED_VALUE"""),35)</f>
        <v>35</v>
      </c>
      <c r="C69" s="1">
        <f ca="1">IFERROR(__xludf.DUMMYFUNCTION("""COMPUTED_VALUE"""),26)</f>
        <v>26</v>
      </c>
      <c r="D69" s="1">
        <f ca="1">IFERROR(__xludf.DUMMYFUNCTION("""COMPUTED_VALUE"""),9)</f>
        <v>9</v>
      </c>
      <c r="E69" s="1">
        <f ca="1">IFERROR(__xludf.DUMMYFUNCTION("""COMPUTED_VALUE"""),0.743)</f>
        <v>0.74299999999999999</v>
      </c>
      <c r="F69" s="1">
        <f ca="1">IFERROR(__xludf.DUMMYFUNCTION("""COMPUTED_VALUE"""),13.65)</f>
        <v>13.65</v>
      </c>
      <c r="G69" s="1">
        <f ca="1">IFERROR(__xludf.DUMMYFUNCTION("""COMPUTED_VALUE"""),5.89)</f>
        <v>5.89</v>
      </c>
      <c r="H69" s="1">
        <f ca="1">IFERROR(__xludf.DUMMYFUNCTION("""COMPUTED_VALUE"""),11)</f>
        <v>11</v>
      </c>
      <c r="I69" s="1">
        <f ca="1">IFERROR(__xludf.DUMMYFUNCTION("""COMPUTED_VALUE"""),5)</f>
        <v>5</v>
      </c>
      <c r="J69" s="1">
        <f ca="1">IFERROR(__xludf.DUMMYFUNCTION("""COMPUTED_VALUE"""),16)</f>
        <v>16</v>
      </c>
      <c r="K69" s="1">
        <f ca="1">IFERROR(__xludf.DUMMYFUNCTION("""COMPUTED_VALUE"""),1)</f>
        <v>1</v>
      </c>
      <c r="L69" s="1">
        <f ca="1">IFERROR(__xludf.DUMMYFUNCTION("""COMPUTED_VALUE"""),6)</f>
        <v>6</v>
      </c>
      <c r="M69" s="1">
        <f ca="1">IFERROR(__xludf.DUMMYFUNCTION("""COMPUTED_VALUE"""),6)</f>
        <v>6</v>
      </c>
      <c r="N69" s="1">
        <f ca="1">IFERROR(__xludf.DUMMYFUNCTION("""COMPUTED_VALUE"""),2553)</f>
        <v>2553</v>
      </c>
      <c r="O69" s="1">
        <f ca="1">IFERROR(__xludf.DUMMYFUNCTION("""COMPUTED_VALUE"""),2229)</f>
        <v>2229</v>
      </c>
      <c r="P69" s="1">
        <f ca="1">IFERROR(__xludf.DUMMYFUNCTION("""COMPUTED_VALUE"""),1405)</f>
        <v>1405</v>
      </c>
      <c r="Q69" s="1">
        <f ca="1">IFERROR(__xludf.DUMMYFUNCTION("""COMPUTED_VALUE"""),881)</f>
        <v>881</v>
      </c>
      <c r="R69" s="1">
        <f ca="1">IFERROR(__xludf.DUMMYFUNCTION("""COMPUTED_VALUE"""),1961)</f>
        <v>1961</v>
      </c>
      <c r="S69" s="1">
        <f ca="1">IFERROR(__xludf.DUMMYFUNCTION("""COMPUTED_VALUE"""),0.449)</f>
        <v>0.44900000000000001</v>
      </c>
      <c r="T69" s="1">
        <f ca="1">IFERROR(__xludf.DUMMYFUNCTION("""COMPUTED_VALUE"""),180)</f>
        <v>180</v>
      </c>
      <c r="U69" s="1">
        <f ca="1">IFERROR(__xludf.DUMMYFUNCTION("""COMPUTED_VALUE"""),532)</f>
        <v>532</v>
      </c>
      <c r="V69" s="1">
        <f ca="1">IFERROR(__xludf.DUMMYFUNCTION("""COMPUTED_VALUE"""),0.338)</f>
        <v>0.33800000000000002</v>
      </c>
      <c r="W69" s="1">
        <f ca="1">IFERROR(__xludf.DUMMYFUNCTION("""COMPUTED_VALUE"""),611)</f>
        <v>611</v>
      </c>
      <c r="X69" s="1">
        <f ca="1">IFERROR(__xludf.DUMMYFUNCTION("""COMPUTED_VALUE"""),855)</f>
        <v>855</v>
      </c>
      <c r="Y69" s="1">
        <f ca="1">IFERROR(__xludf.DUMMYFUNCTION("""COMPUTED_VALUE"""),0.715)</f>
        <v>0.71499999999999997</v>
      </c>
      <c r="Z69" s="1">
        <f ca="1">IFERROR(__xludf.DUMMYFUNCTION("""COMPUTED_VALUE"""),493)</f>
        <v>493</v>
      </c>
      <c r="AA69" s="1">
        <f ca="1">IFERROR(__xludf.DUMMYFUNCTION("""COMPUTED_VALUE"""),1297)</f>
        <v>1297</v>
      </c>
      <c r="AB69" s="1">
        <f ca="1">IFERROR(__xludf.DUMMYFUNCTION("""COMPUTED_VALUE"""),445)</f>
        <v>445</v>
      </c>
      <c r="AC69" s="1">
        <f ca="1">IFERROR(__xludf.DUMMYFUNCTION("""COMPUTED_VALUE"""),162)</f>
        <v>162</v>
      </c>
      <c r="AD69" s="1">
        <f ca="1">IFERROR(__xludf.DUMMYFUNCTION("""COMPUTED_VALUE"""),74)</f>
        <v>74</v>
      </c>
      <c r="AE69" s="1">
        <f ca="1">IFERROR(__xludf.DUMMYFUNCTION("""COMPUTED_VALUE"""),389)</f>
        <v>389</v>
      </c>
      <c r="AF69" s="1">
        <f ca="1">IFERROR(__xludf.DUMMYFUNCTION("""COMPUTED_VALUE"""),600)</f>
        <v>600</v>
      </c>
    </row>
    <row r="70" spans="1:32" ht="12.5" x14ac:dyDescent="0.25">
      <c r="A70" s="1" t="str">
        <f ca="1">IFERROR(__xludf.DUMMYFUNCTION("""COMPUTED_VALUE"""),"ColoradoNCAA")</f>
        <v>ColoradoNCAA</v>
      </c>
      <c r="B70" s="1">
        <f ca="1">IFERROR(__xludf.DUMMYFUNCTION("""COMPUTED_VALUE"""),33)</f>
        <v>33</v>
      </c>
      <c r="C70" s="1">
        <f ca="1">IFERROR(__xludf.DUMMYFUNCTION("""COMPUTED_VALUE"""),21)</f>
        <v>21</v>
      </c>
      <c r="D70" s="1">
        <f ca="1">IFERROR(__xludf.DUMMYFUNCTION("""COMPUTED_VALUE"""),12)</f>
        <v>12</v>
      </c>
      <c r="E70" s="1">
        <f ca="1">IFERROR(__xludf.DUMMYFUNCTION("""COMPUTED_VALUE"""),0.636)</f>
        <v>0.63600000000000001</v>
      </c>
      <c r="F70" s="1">
        <f ca="1">IFERROR(__xludf.DUMMYFUNCTION("""COMPUTED_VALUE"""),11.95)</f>
        <v>11.95</v>
      </c>
      <c r="G70" s="1">
        <f ca="1">IFERROR(__xludf.DUMMYFUNCTION("""COMPUTED_VALUE"""),7.95)</f>
        <v>7.95</v>
      </c>
      <c r="H70" s="1">
        <f ca="1">IFERROR(__xludf.DUMMYFUNCTION("""COMPUTED_VALUE"""),10)</f>
        <v>10</v>
      </c>
      <c r="I70" s="1">
        <f ca="1">IFERROR(__xludf.DUMMYFUNCTION("""COMPUTED_VALUE"""),8)</f>
        <v>8</v>
      </c>
      <c r="J70" s="1">
        <f ca="1">IFERROR(__xludf.DUMMYFUNCTION("""COMPUTED_VALUE"""),12)</f>
        <v>12</v>
      </c>
      <c r="K70" s="1">
        <f ca="1">IFERROR(__xludf.DUMMYFUNCTION("""COMPUTED_VALUE"""),3)</f>
        <v>3</v>
      </c>
      <c r="L70" s="1">
        <f ca="1">IFERROR(__xludf.DUMMYFUNCTION("""COMPUTED_VALUE"""),5)</f>
        <v>5</v>
      </c>
      <c r="M70" s="1">
        <f ca="1">IFERROR(__xludf.DUMMYFUNCTION("""COMPUTED_VALUE"""),7)</f>
        <v>7</v>
      </c>
      <c r="N70" s="1">
        <f ca="1">IFERROR(__xludf.DUMMYFUNCTION("""COMPUTED_VALUE"""),2230)</f>
        <v>2230</v>
      </c>
      <c r="O70" s="1">
        <f ca="1">IFERROR(__xludf.DUMMYFUNCTION("""COMPUTED_VALUE"""),2098)</f>
        <v>2098</v>
      </c>
      <c r="P70" s="1">
        <f ca="1">IFERROR(__xludf.DUMMYFUNCTION("""COMPUTED_VALUE"""),1340)</f>
        <v>1340</v>
      </c>
      <c r="Q70" s="1">
        <f ca="1">IFERROR(__xludf.DUMMYFUNCTION("""COMPUTED_VALUE"""),775)</f>
        <v>775</v>
      </c>
      <c r="R70" s="1">
        <f ca="1">IFERROR(__xludf.DUMMYFUNCTION("""COMPUTED_VALUE"""),1788)</f>
        <v>1788</v>
      </c>
      <c r="S70" s="1">
        <f ca="1">IFERROR(__xludf.DUMMYFUNCTION("""COMPUTED_VALUE"""),0.433)</f>
        <v>0.433</v>
      </c>
      <c r="T70" s="1">
        <f ca="1">IFERROR(__xludf.DUMMYFUNCTION("""COMPUTED_VALUE"""),178)</f>
        <v>178</v>
      </c>
      <c r="U70" s="1">
        <f ca="1">IFERROR(__xludf.DUMMYFUNCTION("""COMPUTED_VALUE"""),517)</f>
        <v>517</v>
      </c>
      <c r="V70" s="1">
        <f ca="1">IFERROR(__xludf.DUMMYFUNCTION("""COMPUTED_VALUE"""),0.344)</f>
        <v>0.34399999999999997</v>
      </c>
      <c r="W70" s="1">
        <f ca="1">IFERROR(__xludf.DUMMYFUNCTION("""COMPUTED_VALUE"""),502)</f>
        <v>502</v>
      </c>
      <c r="X70" s="1">
        <f ca="1">IFERROR(__xludf.DUMMYFUNCTION("""COMPUTED_VALUE"""),732)</f>
        <v>732</v>
      </c>
      <c r="Y70" s="1">
        <f ca="1">IFERROR(__xludf.DUMMYFUNCTION("""COMPUTED_VALUE"""),0.686)</f>
        <v>0.68600000000000005</v>
      </c>
      <c r="Z70" s="1">
        <f ca="1">IFERROR(__xludf.DUMMYFUNCTION("""COMPUTED_VALUE"""),378)</f>
        <v>378</v>
      </c>
      <c r="AA70" s="1">
        <f ca="1">IFERROR(__xludf.DUMMYFUNCTION("""COMPUTED_VALUE"""),1128)</f>
        <v>1128</v>
      </c>
      <c r="AB70" s="1">
        <f ca="1">IFERROR(__xludf.DUMMYFUNCTION("""COMPUTED_VALUE"""),328)</f>
        <v>328</v>
      </c>
      <c r="AC70" s="1">
        <f ca="1">IFERROR(__xludf.DUMMYFUNCTION("""COMPUTED_VALUE"""),230)</f>
        <v>230</v>
      </c>
      <c r="AD70" s="1">
        <f ca="1">IFERROR(__xludf.DUMMYFUNCTION("""COMPUTED_VALUE"""),105)</f>
        <v>105</v>
      </c>
      <c r="AE70" s="1">
        <f ca="1">IFERROR(__xludf.DUMMYFUNCTION("""COMPUTED_VALUE"""),439)</f>
        <v>439</v>
      </c>
      <c r="AF70" s="1">
        <f ca="1">IFERROR(__xludf.DUMMYFUNCTION("""COMPUTED_VALUE"""),525)</f>
        <v>525</v>
      </c>
    </row>
    <row r="71" spans="1:32" ht="12.5" x14ac:dyDescent="0.25">
      <c r="A71" s="1" t="str">
        <f ca="1">IFERROR(__xludf.DUMMYFUNCTION("""COMPUTED_VALUE"""),"Columbia")</f>
        <v>Columbia</v>
      </c>
      <c r="B71" s="1">
        <f ca="1">IFERROR(__xludf.DUMMYFUNCTION("""COMPUTED_VALUE"""),28)</f>
        <v>28</v>
      </c>
      <c r="C71" s="1">
        <f ca="1">IFERROR(__xludf.DUMMYFUNCTION("""COMPUTED_VALUE"""),12)</f>
        <v>12</v>
      </c>
      <c r="D71" s="1">
        <f ca="1">IFERROR(__xludf.DUMMYFUNCTION("""COMPUTED_VALUE"""),16)</f>
        <v>16</v>
      </c>
      <c r="E71" s="1">
        <f ca="1">IFERROR(__xludf.DUMMYFUNCTION("""COMPUTED_VALUE"""),0.429)</f>
        <v>0.42899999999999999</v>
      </c>
      <c r="F71" s="1">
        <f ca="1">IFERROR(__xludf.DUMMYFUNCTION("""COMPUTED_VALUE"""),-3.25)</f>
        <v>-3.25</v>
      </c>
      <c r="G71" s="1">
        <f ca="1">IFERROR(__xludf.DUMMYFUNCTION("""COMPUTED_VALUE"""),-3.48)</f>
        <v>-3.48</v>
      </c>
      <c r="H71" s="1">
        <f ca="1">IFERROR(__xludf.DUMMYFUNCTION("""COMPUTED_VALUE"""),4)</f>
        <v>4</v>
      </c>
      <c r="I71" s="1">
        <f ca="1">IFERROR(__xludf.DUMMYFUNCTION("""COMPUTED_VALUE"""),10)</f>
        <v>10</v>
      </c>
      <c r="J71" s="1">
        <f ca="1">IFERROR(__xludf.DUMMYFUNCTION("""COMPUTED_VALUE"""),6)</f>
        <v>6</v>
      </c>
      <c r="K71" s="1">
        <f ca="1">IFERROR(__xludf.DUMMYFUNCTION("""COMPUTED_VALUE"""),7)</f>
        <v>7</v>
      </c>
      <c r="L71" s="1">
        <f ca="1">IFERROR(__xludf.DUMMYFUNCTION("""COMPUTED_VALUE"""),5)</f>
        <v>5</v>
      </c>
      <c r="M71" s="1">
        <f ca="1">IFERROR(__xludf.DUMMYFUNCTION("""COMPUTED_VALUE"""),9)</f>
        <v>9</v>
      </c>
      <c r="N71" s="1">
        <f ca="1">IFERROR(__xludf.DUMMYFUNCTION("""COMPUTED_VALUE"""),1746)</f>
        <v>1746</v>
      </c>
      <c r="O71" s="1">
        <f ca="1">IFERROR(__xludf.DUMMYFUNCTION("""COMPUTED_VALUE"""),1694)</f>
        <v>1694</v>
      </c>
      <c r="P71" s="1">
        <f ca="1">IFERROR(__xludf.DUMMYFUNCTION("""COMPUTED_VALUE"""),1120)</f>
        <v>1120</v>
      </c>
      <c r="Q71" s="1">
        <f ca="1">IFERROR(__xludf.DUMMYFUNCTION("""COMPUTED_VALUE"""),604)</f>
        <v>604</v>
      </c>
      <c r="R71" s="1">
        <f ca="1">IFERROR(__xludf.DUMMYFUNCTION("""COMPUTED_VALUE"""),1435)</f>
        <v>1435</v>
      </c>
      <c r="S71" s="1">
        <f ca="1">IFERROR(__xludf.DUMMYFUNCTION("""COMPUTED_VALUE"""),0.421)</f>
        <v>0.42099999999999999</v>
      </c>
      <c r="T71" s="1">
        <f ca="1">IFERROR(__xludf.DUMMYFUNCTION("""COMPUTED_VALUE"""),181)</f>
        <v>181</v>
      </c>
      <c r="U71" s="1">
        <f ca="1">IFERROR(__xludf.DUMMYFUNCTION("""COMPUTED_VALUE"""),521)</f>
        <v>521</v>
      </c>
      <c r="V71" s="1">
        <f ca="1">IFERROR(__xludf.DUMMYFUNCTION("""COMPUTED_VALUE"""),0.347)</f>
        <v>0.34699999999999998</v>
      </c>
      <c r="W71" s="1">
        <f ca="1">IFERROR(__xludf.DUMMYFUNCTION("""COMPUTED_VALUE"""),357)</f>
        <v>357</v>
      </c>
      <c r="X71" s="1">
        <f ca="1">IFERROR(__xludf.DUMMYFUNCTION("""COMPUTED_VALUE"""),479)</f>
        <v>479</v>
      </c>
      <c r="Y71" s="1">
        <f ca="1">IFERROR(__xludf.DUMMYFUNCTION("""COMPUTED_VALUE"""),0.745)</f>
        <v>0.745</v>
      </c>
      <c r="Z71" s="1">
        <f ca="1">IFERROR(__xludf.DUMMYFUNCTION("""COMPUTED_VALUE"""),260)</f>
        <v>260</v>
      </c>
      <c r="AA71" s="1">
        <f ca="1">IFERROR(__xludf.DUMMYFUNCTION("""COMPUTED_VALUE"""),802)</f>
        <v>802</v>
      </c>
      <c r="AB71" s="1">
        <f ca="1">IFERROR(__xludf.DUMMYFUNCTION("""COMPUTED_VALUE"""),337)</f>
        <v>337</v>
      </c>
      <c r="AC71" s="1">
        <f ca="1">IFERROR(__xludf.DUMMYFUNCTION("""COMPUTED_VALUE"""),172)</f>
        <v>172</v>
      </c>
      <c r="AD71" s="1">
        <f ca="1">IFERROR(__xludf.DUMMYFUNCTION("""COMPUTED_VALUE"""),72)</f>
        <v>72</v>
      </c>
      <c r="AE71" s="1">
        <f ca="1">IFERROR(__xludf.DUMMYFUNCTION("""COMPUTED_VALUE"""),306)</f>
        <v>306</v>
      </c>
      <c r="AF71" s="1">
        <f ca="1">IFERROR(__xludf.DUMMYFUNCTION("""COMPUTED_VALUE"""),521)</f>
        <v>521</v>
      </c>
    </row>
    <row r="72" spans="1:32" ht="12.5" x14ac:dyDescent="0.25">
      <c r="A72" s="1" t="str">
        <f ca="1">IFERROR(__xludf.DUMMYFUNCTION("""COMPUTED_VALUE"""),"Connecticut")</f>
        <v>Connecticut</v>
      </c>
      <c r="B72" s="1">
        <f ca="1">IFERROR(__xludf.DUMMYFUNCTION("""COMPUTED_VALUE"""),30)</f>
        <v>30</v>
      </c>
      <c r="C72" s="1">
        <f ca="1">IFERROR(__xludf.DUMMYFUNCTION("""COMPUTED_VALUE"""),20)</f>
        <v>20</v>
      </c>
      <c r="D72" s="1">
        <f ca="1">IFERROR(__xludf.DUMMYFUNCTION("""COMPUTED_VALUE"""),10)</f>
        <v>10</v>
      </c>
      <c r="E72" s="1">
        <f ca="1">IFERROR(__xludf.DUMMYFUNCTION("""COMPUTED_VALUE"""),0.667)</f>
        <v>0.66700000000000004</v>
      </c>
      <c r="F72" s="1">
        <f ca="1">IFERROR(__xludf.DUMMYFUNCTION("""COMPUTED_VALUE"""),11.88)</f>
        <v>11.88</v>
      </c>
      <c r="G72" s="1">
        <f ca="1">IFERROR(__xludf.DUMMYFUNCTION("""COMPUTED_VALUE"""),7.42)</f>
        <v>7.42</v>
      </c>
      <c r="H72" s="1">
        <f ca="1">IFERROR(__xludf.DUMMYFUNCTION("""COMPUTED_VALUE"""),10)</f>
        <v>10</v>
      </c>
      <c r="I72" s="1">
        <f ca="1">IFERROR(__xludf.DUMMYFUNCTION("""COMPUTED_VALUE"""),8)</f>
        <v>8</v>
      </c>
      <c r="J72" s="1">
        <f ca="1">IFERROR(__xludf.DUMMYFUNCTION("""COMPUTED_VALUE"""),13)</f>
        <v>13</v>
      </c>
      <c r="K72" s="1">
        <f ca="1">IFERROR(__xludf.DUMMYFUNCTION("""COMPUTED_VALUE"""),3)</f>
        <v>3</v>
      </c>
      <c r="L72" s="1">
        <f ca="1">IFERROR(__xludf.DUMMYFUNCTION("""COMPUTED_VALUE"""),4)</f>
        <v>4</v>
      </c>
      <c r="M72" s="1">
        <f ca="1">IFERROR(__xludf.DUMMYFUNCTION("""COMPUTED_VALUE"""),5)</f>
        <v>5</v>
      </c>
      <c r="N72" s="1">
        <f ca="1">IFERROR(__xludf.DUMMYFUNCTION("""COMPUTED_VALUE"""),2096)</f>
        <v>2096</v>
      </c>
      <c r="O72" s="1">
        <f ca="1">IFERROR(__xludf.DUMMYFUNCTION("""COMPUTED_VALUE"""),1962)</f>
        <v>1962</v>
      </c>
      <c r="P72" s="1">
        <f ca="1">IFERROR(__xludf.DUMMYFUNCTION("""COMPUTED_VALUE"""),1245)</f>
        <v>1245</v>
      </c>
      <c r="Q72" s="1">
        <f ca="1">IFERROR(__xludf.DUMMYFUNCTION("""COMPUTED_VALUE"""),727)</f>
        <v>727</v>
      </c>
      <c r="R72" s="1">
        <f ca="1">IFERROR(__xludf.DUMMYFUNCTION("""COMPUTED_VALUE"""),1644)</f>
        <v>1644</v>
      </c>
      <c r="S72" s="1">
        <f ca="1">IFERROR(__xludf.DUMMYFUNCTION("""COMPUTED_VALUE"""),0.442)</f>
        <v>0.442</v>
      </c>
      <c r="T72" s="1">
        <f ca="1">IFERROR(__xludf.DUMMYFUNCTION("""COMPUTED_VALUE"""),191)</f>
        <v>191</v>
      </c>
      <c r="U72" s="1">
        <f ca="1">IFERROR(__xludf.DUMMYFUNCTION("""COMPUTED_VALUE"""),561)</f>
        <v>561</v>
      </c>
      <c r="V72" s="1">
        <f ca="1">IFERROR(__xludf.DUMMYFUNCTION("""COMPUTED_VALUE"""),0.34)</f>
        <v>0.34</v>
      </c>
      <c r="W72" s="1">
        <f ca="1">IFERROR(__xludf.DUMMYFUNCTION("""COMPUTED_VALUE"""),451)</f>
        <v>451</v>
      </c>
      <c r="X72" s="1">
        <f ca="1">IFERROR(__xludf.DUMMYFUNCTION("""COMPUTED_VALUE"""),607)</f>
        <v>607</v>
      </c>
      <c r="Y72" s="1">
        <f ca="1">IFERROR(__xludf.DUMMYFUNCTION("""COMPUTED_VALUE"""),0.743)</f>
        <v>0.74299999999999999</v>
      </c>
      <c r="Z72" s="1">
        <f ca="1">IFERROR(__xludf.DUMMYFUNCTION("""COMPUTED_VALUE"""),276)</f>
        <v>276</v>
      </c>
      <c r="AA72" s="1">
        <f ca="1">IFERROR(__xludf.DUMMYFUNCTION("""COMPUTED_VALUE"""),877)</f>
        <v>877</v>
      </c>
      <c r="AB72" s="1">
        <f ca="1">IFERROR(__xludf.DUMMYFUNCTION("""COMPUTED_VALUE"""),410)</f>
        <v>410</v>
      </c>
      <c r="AC72" s="1">
        <f ca="1">IFERROR(__xludf.DUMMYFUNCTION("""COMPUTED_VALUE"""),224)</f>
        <v>224</v>
      </c>
      <c r="AD72" s="1">
        <f ca="1">IFERROR(__xludf.DUMMYFUNCTION("""COMPUTED_VALUE"""),136)</f>
        <v>136</v>
      </c>
      <c r="AE72" s="1">
        <f ca="1">IFERROR(__xludf.DUMMYFUNCTION("""COMPUTED_VALUE"""),367)</f>
        <v>367</v>
      </c>
      <c r="AF72" s="1">
        <f ca="1">IFERROR(__xludf.DUMMYFUNCTION("""COMPUTED_VALUE"""),486)</f>
        <v>486</v>
      </c>
    </row>
    <row r="73" spans="1:32" ht="12.5" x14ac:dyDescent="0.25">
      <c r="A73" s="1" t="str">
        <f ca="1">IFERROR(__xludf.DUMMYFUNCTION("""COMPUTED_VALUE"""),"Coppin State")</f>
        <v>Coppin State</v>
      </c>
      <c r="B73" s="1">
        <f ca="1">IFERROR(__xludf.DUMMYFUNCTION("""COMPUTED_VALUE"""),32)</f>
        <v>32</v>
      </c>
      <c r="C73" s="1">
        <f ca="1">IFERROR(__xludf.DUMMYFUNCTION("""COMPUTED_VALUE"""),8)</f>
        <v>8</v>
      </c>
      <c r="D73" s="1">
        <f ca="1">IFERROR(__xludf.DUMMYFUNCTION("""COMPUTED_VALUE"""),24)</f>
        <v>24</v>
      </c>
      <c r="E73" s="1">
        <f ca="1">IFERROR(__xludf.DUMMYFUNCTION("""COMPUTED_VALUE"""),0.25)</f>
        <v>0.25</v>
      </c>
      <c r="F73" s="1">
        <f ca="1">IFERROR(__xludf.DUMMYFUNCTION("""COMPUTED_VALUE"""),-12.65)</f>
        <v>-12.65</v>
      </c>
      <c r="G73" s="1">
        <f ca="1">IFERROR(__xludf.DUMMYFUNCTION("""COMPUTED_VALUE"""),-4.2)</f>
        <v>-4.2</v>
      </c>
      <c r="H73" s="1">
        <f ca="1">IFERROR(__xludf.DUMMYFUNCTION("""COMPUTED_VALUE"""),5)</f>
        <v>5</v>
      </c>
      <c r="I73" s="1">
        <f ca="1">IFERROR(__xludf.DUMMYFUNCTION("""COMPUTED_VALUE"""),11)</f>
        <v>11</v>
      </c>
      <c r="J73" s="1">
        <f ca="1">IFERROR(__xludf.DUMMYFUNCTION("""COMPUTED_VALUE"""),4)</f>
        <v>4</v>
      </c>
      <c r="K73" s="1">
        <f ca="1">IFERROR(__xludf.DUMMYFUNCTION("""COMPUTED_VALUE"""),7)</f>
        <v>7</v>
      </c>
      <c r="L73" s="1">
        <f ca="1">IFERROR(__xludf.DUMMYFUNCTION("""COMPUTED_VALUE"""),4)</f>
        <v>4</v>
      </c>
      <c r="M73" s="1">
        <f ca="1">IFERROR(__xludf.DUMMYFUNCTION("""COMPUTED_VALUE"""),15)</f>
        <v>15</v>
      </c>
      <c r="N73" s="1">
        <f ca="1">IFERROR(__xludf.DUMMYFUNCTION("""COMPUTED_VALUE"""),2035)</f>
        <v>2035</v>
      </c>
      <c r="O73" s="1">
        <f ca="1">IFERROR(__xludf.DUMMYFUNCTION("""COMPUTED_VALUE"""),2277)</f>
        <v>2277</v>
      </c>
      <c r="P73" s="1">
        <f ca="1">IFERROR(__xludf.DUMMYFUNCTION("""COMPUTED_VALUE"""),1300)</f>
        <v>1300</v>
      </c>
      <c r="Q73" s="1">
        <f ca="1">IFERROR(__xludf.DUMMYFUNCTION("""COMPUTED_VALUE"""),687)</f>
        <v>687</v>
      </c>
      <c r="R73" s="1">
        <f ca="1">IFERROR(__xludf.DUMMYFUNCTION("""COMPUTED_VALUE"""),1878)</f>
        <v>1878</v>
      </c>
      <c r="S73" s="1">
        <f ca="1">IFERROR(__xludf.DUMMYFUNCTION("""COMPUTED_VALUE"""),0.366)</f>
        <v>0.36599999999999999</v>
      </c>
      <c r="T73" s="1">
        <f ca="1">IFERROR(__xludf.DUMMYFUNCTION("""COMPUTED_VALUE"""),243)</f>
        <v>243</v>
      </c>
      <c r="U73" s="1">
        <f ca="1">IFERROR(__xludf.DUMMYFUNCTION("""COMPUTED_VALUE"""),768)</f>
        <v>768</v>
      </c>
      <c r="V73" s="1">
        <f ca="1">IFERROR(__xludf.DUMMYFUNCTION("""COMPUTED_VALUE"""),0.316)</f>
        <v>0.316</v>
      </c>
      <c r="W73" s="1">
        <f ca="1">IFERROR(__xludf.DUMMYFUNCTION("""COMPUTED_VALUE"""),418)</f>
        <v>418</v>
      </c>
      <c r="X73" s="1">
        <f ca="1">IFERROR(__xludf.DUMMYFUNCTION("""COMPUTED_VALUE"""),601)</f>
        <v>601</v>
      </c>
      <c r="Y73" s="1">
        <f ca="1">IFERROR(__xludf.DUMMYFUNCTION("""COMPUTED_VALUE"""),0.696)</f>
        <v>0.69599999999999995</v>
      </c>
      <c r="Z73" s="1">
        <f ca="1">IFERROR(__xludf.DUMMYFUNCTION("""COMPUTED_VALUE"""),372)</f>
        <v>372</v>
      </c>
      <c r="AA73" s="1">
        <f ca="1">IFERROR(__xludf.DUMMYFUNCTION("""COMPUTED_VALUE"""),937)</f>
        <v>937</v>
      </c>
      <c r="AB73" s="1">
        <f ca="1">IFERROR(__xludf.DUMMYFUNCTION("""COMPUTED_VALUE"""),328)</f>
        <v>328</v>
      </c>
      <c r="AC73" s="1">
        <f ca="1">IFERROR(__xludf.DUMMYFUNCTION("""COMPUTED_VALUE"""),250)</f>
        <v>250</v>
      </c>
      <c r="AD73" s="1">
        <f ca="1">IFERROR(__xludf.DUMMYFUNCTION("""COMPUTED_VALUE"""),57)</f>
        <v>57</v>
      </c>
      <c r="AE73" s="1">
        <f ca="1">IFERROR(__xludf.DUMMYFUNCTION("""COMPUTED_VALUE"""),472)</f>
        <v>472</v>
      </c>
      <c r="AF73" s="1">
        <f ca="1">IFERROR(__xludf.DUMMYFUNCTION("""COMPUTED_VALUE"""),577)</f>
        <v>577</v>
      </c>
    </row>
    <row r="74" spans="1:32" ht="12.5" x14ac:dyDescent="0.25">
      <c r="A74" s="1" t="str">
        <f ca="1">IFERROR(__xludf.DUMMYFUNCTION("""COMPUTED_VALUE"""),"Cornell")</f>
        <v>Cornell</v>
      </c>
      <c r="B74" s="1">
        <f ca="1">IFERROR(__xludf.DUMMYFUNCTION("""COMPUTED_VALUE"""),31)</f>
        <v>31</v>
      </c>
      <c r="C74" s="1">
        <f ca="1">IFERROR(__xludf.DUMMYFUNCTION("""COMPUTED_VALUE"""),13)</f>
        <v>13</v>
      </c>
      <c r="D74" s="1">
        <f ca="1">IFERROR(__xludf.DUMMYFUNCTION("""COMPUTED_VALUE"""),18)</f>
        <v>18</v>
      </c>
      <c r="E74" s="1">
        <f ca="1">IFERROR(__xludf.DUMMYFUNCTION("""COMPUTED_VALUE"""),0.419)</f>
        <v>0.41899999999999998</v>
      </c>
      <c r="F74" s="1">
        <f ca="1">IFERROR(__xludf.DUMMYFUNCTION("""COMPUTED_VALUE"""),-7.27)</f>
        <v>-7.27</v>
      </c>
      <c r="G74" s="1">
        <f ca="1">IFERROR(__xludf.DUMMYFUNCTION("""COMPUTED_VALUE"""),-2.37)</f>
        <v>-2.37</v>
      </c>
      <c r="H74" s="1">
        <f ca="1">IFERROR(__xludf.DUMMYFUNCTION("""COMPUTED_VALUE"""),5)</f>
        <v>5</v>
      </c>
      <c r="I74" s="1">
        <f ca="1">IFERROR(__xludf.DUMMYFUNCTION("""COMPUTED_VALUE"""),9)</f>
        <v>9</v>
      </c>
      <c r="J74" s="1">
        <f ca="1">IFERROR(__xludf.DUMMYFUNCTION("""COMPUTED_VALUE"""),4)</f>
        <v>4</v>
      </c>
      <c r="K74" s="1">
        <f ca="1">IFERROR(__xludf.DUMMYFUNCTION("""COMPUTED_VALUE"""),10)</f>
        <v>10</v>
      </c>
      <c r="L74" s="1">
        <f ca="1">IFERROR(__xludf.DUMMYFUNCTION("""COMPUTED_VALUE"""),7)</f>
        <v>7</v>
      </c>
      <c r="M74" s="1">
        <f ca="1">IFERROR(__xludf.DUMMYFUNCTION("""COMPUTED_VALUE"""),8)</f>
        <v>8</v>
      </c>
      <c r="N74" s="1">
        <f ca="1">IFERROR(__xludf.DUMMYFUNCTION("""COMPUTED_VALUE"""),2040)</f>
        <v>2040</v>
      </c>
      <c r="O74" s="1">
        <f ca="1">IFERROR(__xludf.DUMMYFUNCTION("""COMPUTED_VALUE"""),2168)</f>
        <v>2168</v>
      </c>
      <c r="P74" s="1">
        <f ca="1">IFERROR(__xludf.DUMMYFUNCTION("""COMPUTED_VALUE"""),1240)</f>
        <v>1240</v>
      </c>
      <c r="Q74" s="1">
        <f ca="1">IFERROR(__xludf.DUMMYFUNCTION("""COMPUTED_VALUE"""),732)</f>
        <v>732</v>
      </c>
      <c r="R74" s="1">
        <f ca="1">IFERROR(__xludf.DUMMYFUNCTION("""COMPUTED_VALUE"""),1727)</f>
        <v>1727</v>
      </c>
      <c r="S74" s="1">
        <f ca="1">IFERROR(__xludf.DUMMYFUNCTION("""COMPUTED_VALUE"""),0.424)</f>
        <v>0.42399999999999999</v>
      </c>
      <c r="T74" s="1">
        <f ca="1">IFERROR(__xludf.DUMMYFUNCTION("""COMPUTED_VALUE"""),208)</f>
        <v>208</v>
      </c>
      <c r="U74" s="1">
        <f ca="1">IFERROR(__xludf.DUMMYFUNCTION("""COMPUTED_VALUE"""),609)</f>
        <v>609</v>
      </c>
      <c r="V74" s="1">
        <f ca="1">IFERROR(__xludf.DUMMYFUNCTION("""COMPUTED_VALUE"""),0.342)</f>
        <v>0.34200000000000003</v>
      </c>
      <c r="W74" s="1">
        <f ca="1">IFERROR(__xludf.DUMMYFUNCTION("""COMPUTED_VALUE"""),368)</f>
        <v>368</v>
      </c>
      <c r="X74" s="1">
        <f ca="1">IFERROR(__xludf.DUMMYFUNCTION("""COMPUTED_VALUE"""),523)</f>
        <v>523</v>
      </c>
      <c r="Y74" s="1">
        <f ca="1">IFERROR(__xludf.DUMMYFUNCTION("""COMPUTED_VALUE"""),0.704)</f>
        <v>0.70399999999999996</v>
      </c>
      <c r="Z74" s="1">
        <f ca="1">IFERROR(__xludf.DUMMYFUNCTION("""COMPUTED_VALUE"""),308)</f>
        <v>308</v>
      </c>
      <c r="AA74" s="1">
        <f ca="1">IFERROR(__xludf.DUMMYFUNCTION("""COMPUTED_VALUE"""),925)</f>
        <v>925</v>
      </c>
      <c r="AB74" s="1">
        <f ca="1">IFERROR(__xludf.DUMMYFUNCTION("""COMPUTED_VALUE"""),364)</f>
        <v>364</v>
      </c>
      <c r="AC74" s="1">
        <f ca="1">IFERROR(__xludf.DUMMYFUNCTION("""COMPUTED_VALUE"""),210)</f>
        <v>210</v>
      </c>
      <c r="AD74" s="1">
        <f ca="1">IFERROR(__xludf.DUMMYFUNCTION("""COMPUTED_VALUE"""),111)</f>
        <v>111</v>
      </c>
      <c r="AE74" s="1">
        <f ca="1">IFERROR(__xludf.DUMMYFUNCTION("""COMPUTED_VALUE"""),412)</f>
        <v>412</v>
      </c>
      <c r="AF74" s="1">
        <f ca="1">IFERROR(__xludf.DUMMYFUNCTION("""COMPUTED_VALUE"""),550)</f>
        <v>550</v>
      </c>
    </row>
    <row r="75" spans="1:32" ht="12.5" x14ac:dyDescent="0.25">
      <c r="A75" s="1" t="str">
        <f ca="1">IFERROR(__xludf.DUMMYFUNCTION("""COMPUTED_VALUE"""),"CreightonNCAA")</f>
        <v>CreightonNCAA</v>
      </c>
      <c r="B75" s="1">
        <f ca="1">IFERROR(__xludf.DUMMYFUNCTION("""COMPUTED_VALUE"""),36)</f>
        <v>36</v>
      </c>
      <c r="C75" s="1">
        <f ca="1">IFERROR(__xludf.DUMMYFUNCTION("""COMPUTED_VALUE"""),28)</f>
        <v>28</v>
      </c>
      <c r="D75" s="1">
        <f ca="1">IFERROR(__xludf.DUMMYFUNCTION("""COMPUTED_VALUE"""),8)</f>
        <v>8</v>
      </c>
      <c r="E75" s="1">
        <f ca="1">IFERROR(__xludf.DUMMYFUNCTION("""COMPUTED_VALUE"""),0.778)</f>
        <v>0.77800000000000002</v>
      </c>
      <c r="F75" s="1">
        <f ca="1">IFERROR(__xludf.DUMMYFUNCTION("""COMPUTED_VALUE"""),16.44)</f>
        <v>16.440000000000001</v>
      </c>
      <c r="G75" s="1">
        <f ca="1">IFERROR(__xludf.DUMMYFUNCTION("""COMPUTED_VALUE"""),5.16)</f>
        <v>5.16</v>
      </c>
      <c r="H75" s="1">
        <f ca="1">IFERROR(__xludf.DUMMYFUNCTION("""COMPUTED_VALUE"""),13)</f>
        <v>13</v>
      </c>
      <c r="I75" s="1">
        <f ca="1">IFERROR(__xludf.DUMMYFUNCTION("""COMPUTED_VALUE"""),5)</f>
        <v>5</v>
      </c>
      <c r="J75" s="1">
        <f ca="1">IFERROR(__xludf.DUMMYFUNCTION("""COMPUTED_VALUE"""),15)</f>
        <v>15</v>
      </c>
      <c r="K75" s="1">
        <f ca="1">IFERROR(__xludf.DUMMYFUNCTION("""COMPUTED_VALUE"""),2)</f>
        <v>2</v>
      </c>
      <c r="L75" s="1">
        <f ca="1">IFERROR(__xludf.DUMMYFUNCTION("""COMPUTED_VALUE"""),7)</f>
        <v>7</v>
      </c>
      <c r="M75" s="1">
        <f ca="1">IFERROR(__xludf.DUMMYFUNCTION("""COMPUTED_VALUE"""),5)</f>
        <v>5</v>
      </c>
      <c r="N75" s="1">
        <f ca="1">IFERROR(__xludf.DUMMYFUNCTION("""COMPUTED_VALUE"""),2680)</f>
        <v>2680</v>
      </c>
      <c r="O75" s="1">
        <f ca="1">IFERROR(__xludf.DUMMYFUNCTION("""COMPUTED_VALUE"""),2274)</f>
        <v>2274</v>
      </c>
      <c r="P75" s="1">
        <f ca="1">IFERROR(__xludf.DUMMYFUNCTION("""COMPUTED_VALUE"""),1440)</f>
        <v>1440</v>
      </c>
      <c r="Q75" s="1">
        <f ca="1">IFERROR(__xludf.DUMMYFUNCTION("""COMPUTED_VALUE"""),942)</f>
        <v>942</v>
      </c>
      <c r="R75" s="1">
        <f ca="1">IFERROR(__xludf.DUMMYFUNCTION("""COMPUTED_VALUE"""),1882)</f>
        <v>1882</v>
      </c>
      <c r="S75" s="1">
        <f ca="1">IFERROR(__xludf.DUMMYFUNCTION("""COMPUTED_VALUE"""),0.501)</f>
        <v>0.501</v>
      </c>
      <c r="T75" s="1">
        <f ca="1">IFERROR(__xludf.DUMMYFUNCTION("""COMPUTED_VALUE"""),307)</f>
        <v>307</v>
      </c>
      <c r="U75" s="1">
        <f ca="1">IFERROR(__xludf.DUMMYFUNCTION("""COMPUTED_VALUE"""),742)</f>
        <v>742</v>
      </c>
      <c r="V75" s="1">
        <f ca="1">IFERROR(__xludf.DUMMYFUNCTION("""COMPUTED_VALUE"""),0.414)</f>
        <v>0.41399999999999998</v>
      </c>
      <c r="W75" s="1">
        <f ca="1">IFERROR(__xludf.DUMMYFUNCTION("""COMPUTED_VALUE"""),489)</f>
        <v>489</v>
      </c>
      <c r="X75" s="1">
        <f ca="1">IFERROR(__xludf.DUMMYFUNCTION("""COMPUTED_VALUE"""),644)</f>
        <v>644</v>
      </c>
      <c r="Y75" s="1">
        <f ca="1">IFERROR(__xludf.DUMMYFUNCTION("""COMPUTED_VALUE"""),0.759)</f>
        <v>0.75900000000000001</v>
      </c>
      <c r="Z75" s="1">
        <f ca="1">IFERROR(__xludf.DUMMYFUNCTION("""COMPUTED_VALUE"""),300)</f>
        <v>300</v>
      </c>
      <c r="AA75" s="1">
        <f ca="1">IFERROR(__xludf.DUMMYFUNCTION("""COMPUTED_VALUE"""),1172)</f>
        <v>1172</v>
      </c>
      <c r="AB75" s="1">
        <f ca="1">IFERROR(__xludf.DUMMYFUNCTION("""COMPUTED_VALUE"""),609)</f>
        <v>609</v>
      </c>
      <c r="AC75" s="1">
        <f ca="1">IFERROR(__xludf.DUMMYFUNCTION("""COMPUTED_VALUE"""),174)</f>
        <v>174</v>
      </c>
      <c r="AD75" s="1">
        <f ca="1">IFERROR(__xludf.DUMMYFUNCTION("""COMPUTED_VALUE"""),92)</f>
        <v>92</v>
      </c>
      <c r="AE75" s="1">
        <f ca="1">IFERROR(__xludf.DUMMYFUNCTION("""COMPUTED_VALUE"""),443)</f>
        <v>443</v>
      </c>
      <c r="AF75" s="1">
        <f ca="1">IFERROR(__xludf.DUMMYFUNCTION("""COMPUTED_VALUE"""),588)</f>
        <v>588</v>
      </c>
    </row>
    <row r="76" spans="1:32" ht="12.5" x14ac:dyDescent="0.25">
      <c r="A76" s="1" t="str">
        <f ca="1">IFERROR(__xludf.DUMMYFUNCTION("""COMPUTED_VALUE"""),"Dartmouth")</f>
        <v>Dartmouth</v>
      </c>
      <c r="B76" s="1">
        <f ca="1">IFERROR(__xludf.DUMMYFUNCTION("""COMPUTED_VALUE"""),28)</f>
        <v>28</v>
      </c>
      <c r="C76" s="1">
        <f ca="1">IFERROR(__xludf.DUMMYFUNCTION("""COMPUTED_VALUE"""),9)</f>
        <v>9</v>
      </c>
      <c r="D76" s="1">
        <f ca="1">IFERROR(__xludf.DUMMYFUNCTION("""COMPUTED_VALUE"""),19)</f>
        <v>19</v>
      </c>
      <c r="E76" s="1">
        <f ca="1">IFERROR(__xludf.DUMMYFUNCTION("""COMPUTED_VALUE"""),0.321)</f>
        <v>0.32100000000000001</v>
      </c>
      <c r="F76" s="1">
        <f ca="1">IFERROR(__xludf.DUMMYFUNCTION("""COMPUTED_VALUE"""),-9.21)</f>
        <v>-9.2100000000000009</v>
      </c>
      <c r="G76" s="1">
        <f ca="1">IFERROR(__xludf.DUMMYFUNCTION("""COMPUTED_VALUE"""),-3.17)</f>
        <v>-3.17</v>
      </c>
      <c r="H76" s="1">
        <f ca="1">IFERROR(__xludf.DUMMYFUNCTION("""COMPUTED_VALUE"""),5)</f>
        <v>5</v>
      </c>
      <c r="I76" s="1">
        <f ca="1">IFERROR(__xludf.DUMMYFUNCTION("""COMPUTED_VALUE"""),9)</f>
        <v>9</v>
      </c>
      <c r="J76" s="1">
        <f ca="1">IFERROR(__xludf.DUMMYFUNCTION("""COMPUTED_VALUE"""),6)</f>
        <v>6</v>
      </c>
      <c r="K76" s="1">
        <f ca="1">IFERROR(__xludf.DUMMYFUNCTION("""COMPUTED_VALUE"""),7)</f>
        <v>7</v>
      </c>
      <c r="L76" s="1">
        <f ca="1">IFERROR(__xludf.DUMMYFUNCTION("""COMPUTED_VALUE"""),3)</f>
        <v>3</v>
      </c>
      <c r="M76" s="1">
        <f ca="1">IFERROR(__xludf.DUMMYFUNCTION("""COMPUTED_VALUE"""),12)</f>
        <v>12</v>
      </c>
      <c r="N76" s="1">
        <f ca="1">IFERROR(__xludf.DUMMYFUNCTION("""COMPUTED_VALUE"""),1719)</f>
        <v>1719</v>
      </c>
      <c r="O76" s="1">
        <f ca="1">IFERROR(__xludf.DUMMYFUNCTION("""COMPUTED_VALUE"""),1844)</f>
        <v>1844</v>
      </c>
      <c r="P76" s="1">
        <f ca="1">IFERROR(__xludf.DUMMYFUNCTION("""COMPUTED_VALUE"""),1125)</f>
        <v>1125</v>
      </c>
      <c r="Q76" s="1">
        <f ca="1">IFERROR(__xludf.DUMMYFUNCTION("""COMPUTED_VALUE"""),598)</f>
        <v>598</v>
      </c>
      <c r="R76" s="1">
        <f ca="1">IFERROR(__xludf.DUMMYFUNCTION("""COMPUTED_VALUE"""),1467)</f>
        <v>1467</v>
      </c>
      <c r="S76" s="1">
        <f ca="1">IFERROR(__xludf.DUMMYFUNCTION("""COMPUTED_VALUE"""),0.408)</f>
        <v>0.40799999999999997</v>
      </c>
      <c r="T76" s="1">
        <f ca="1">IFERROR(__xludf.DUMMYFUNCTION("""COMPUTED_VALUE"""),159)</f>
        <v>159</v>
      </c>
      <c r="U76" s="1">
        <f ca="1">IFERROR(__xludf.DUMMYFUNCTION("""COMPUTED_VALUE"""),472)</f>
        <v>472</v>
      </c>
      <c r="V76" s="1">
        <f ca="1">IFERROR(__xludf.DUMMYFUNCTION("""COMPUTED_VALUE"""),0.337)</f>
        <v>0.33700000000000002</v>
      </c>
      <c r="W76" s="1">
        <f ca="1">IFERROR(__xludf.DUMMYFUNCTION("""COMPUTED_VALUE"""),364)</f>
        <v>364</v>
      </c>
      <c r="X76" s="1">
        <f ca="1">IFERROR(__xludf.DUMMYFUNCTION("""COMPUTED_VALUE"""),499)</f>
        <v>499</v>
      </c>
      <c r="Y76" s="1">
        <f ca="1">IFERROR(__xludf.DUMMYFUNCTION("""COMPUTED_VALUE"""),0.729)</f>
        <v>0.72899999999999998</v>
      </c>
      <c r="Z76" s="1">
        <f ca="1">IFERROR(__xludf.DUMMYFUNCTION("""COMPUTED_VALUE"""),274)</f>
        <v>274</v>
      </c>
      <c r="AA76" s="1">
        <f ca="1">IFERROR(__xludf.DUMMYFUNCTION("""COMPUTED_VALUE"""),817)</f>
        <v>817</v>
      </c>
      <c r="AB76" s="1">
        <f ca="1">IFERROR(__xludf.DUMMYFUNCTION("""COMPUTED_VALUE"""),297)</f>
        <v>297</v>
      </c>
      <c r="AC76" s="1">
        <f ca="1">IFERROR(__xludf.DUMMYFUNCTION("""COMPUTED_VALUE"""),195)</f>
        <v>195</v>
      </c>
      <c r="AD76" s="1">
        <f ca="1">IFERROR(__xludf.DUMMYFUNCTION("""COMPUTED_VALUE"""),71)</f>
        <v>71</v>
      </c>
      <c r="AE76" s="1">
        <f ca="1">IFERROR(__xludf.DUMMYFUNCTION("""COMPUTED_VALUE"""),378)</f>
        <v>378</v>
      </c>
      <c r="AF76" s="1">
        <f ca="1">IFERROR(__xludf.DUMMYFUNCTION("""COMPUTED_VALUE"""),530)</f>
        <v>530</v>
      </c>
    </row>
    <row r="77" spans="1:32" ht="12.5" x14ac:dyDescent="0.25">
      <c r="A77" s="1" t="str">
        <f ca="1">IFERROR(__xludf.DUMMYFUNCTION("""COMPUTED_VALUE"""),"DavidsonNCAA")</f>
        <v>DavidsonNCAA</v>
      </c>
      <c r="B77" s="1">
        <f ca="1">IFERROR(__xludf.DUMMYFUNCTION("""COMPUTED_VALUE"""),34)</f>
        <v>34</v>
      </c>
      <c r="C77" s="1">
        <f ca="1">IFERROR(__xludf.DUMMYFUNCTION("""COMPUTED_VALUE"""),26)</f>
        <v>26</v>
      </c>
      <c r="D77" s="1">
        <f ca="1">IFERROR(__xludf.DUMMYFUNCTION("""COMPUTED_VALUE"""),8)</f>
        <v>8</v>
      </c>
      <c r="E77" s="1">
        <f ca="1">IFERROR(__xludf.DUMMYFUNCTION("""COMPUTED_VALUE"""),0.765)</f>
        <v>0.76500000000000001</v>
      </c>
      <c r="F77" s="1">
        <f ca="1">IFERROR(__xludf.DUMMYFUNCTION("""COMPUTED_VALUE"""),7.27)</f>
        <v>7.27</v>
      </c>
      <c r="G77" s="1">
        <f ca="1">IFERROR(__xludf.DUMMYFUNCTION("""COMPUTED_VALUE"""),-3.45)</f>
        <v>-3.45</v>
      </c>
      <c r="H77" s="1">
        <f ca="1">IFERROR(__xludf.DUMMYFUNCTION("""COMPUTED_VALUE"""),17)</f>
        <v>17</v>
      </c>
      <c r="I77" s="1">
        <f ca="1">IFERROR(__xludf.DUMMYFUNCTION("""COMPUTED_VALUE"""),1)</f>
        <v>1</v>
      </c>
      <c r="J77" s="1">
        <f ca="1">IFERROR(__xludf.DUMMYFUNCTION("""COMPUTED_VALUE"""),12)</f>
        <v>12</v>
      </c>
      <c r="K77" s="1">
        <f ca="1">IFERROR(__xludf.DUMMYFUNCTION("""COMPUTED_VALUE"""),1)</f>
        <v>1</v>
      </c>
      <c r="L77" s="1">
        <f ca="1">IFERROR(__xludf.DUMMYFUNCTION("""COMPUTED_VALUE"""),9)</f>
        <v>9</v>
      </c>
      <c r="M77" s="1">
        <f ca="1">IFERROR(__xludf.DUMMYFUNCTION("""COMPUTED_VALUE"""),4)</f>
        <v>4</v>
      </c>
      <c r="N77" s="1">
        <f ca="1">IFERROR(__xludf.DUMMYFUNCTION("""COMPUTED_VALUE"""),2490)</f>
        <v>2490</v>
      </c>
      <c r="O77" s="1">
        <f ca="1">IFERROR(__xludf.DUMMYFUNCTION("""COMPUTED_VALUE"""),2110)</f>
        <v>2110</v>
      </c>
      <c r="P77" s="1">
        <f ca="1">IFERROR(__xludf.DUMMYFUNCTION("""COMPUTED_VALUE"""),1365)</f>
        <v>1365</v>
      </c>
      <c r="Q77" s="1">
        <f ca="1">IFERROR(__xludf.DUMMYFUNCTION("""COMPUTED_VALUE"""),837)</f>
        <v>837</v>
      </c>
      <c r="R77" s="1">
        <f ca="1">IFERROR(__xludf.DUMMYFUNCTION("""COMPUTED_VALUE"""),1813)</f>
        <v>1813</v>
      </c>
      <c r="S77" s="1">
        <f ca="1">IFERROR(__xludf.DUMMYFUNCTION("""COMPUTED_VALUE"""),0.462)</f>
        <v>0.46200000000000002</v>
      </c>
      <c r="T77" s="1">
        <f ca="1">IFERROR(__xludf.DUMMYFUNCTION("""COMPUTED_VALUE"""),256)</f>
        <v>256</v>
      </c>
      <c r="U77" s="1">
        <f ca="1">IFERROR(__xludf.DUMMYFUNCTION("""COMPUTED_VALUE"""),694)</f>
        <v>694</v>
      </c>
      <c r="V77" s="1">
        <f ca="1">IFERROR(__xludf.DUMMYFUNCTION("""COMPUTED_VALUE"""),0.369)</f>
        <v>0.36899999999999999</v>
      </c>
      <c r="W77" s="1">
        <f ca="1">IFERROR(__xludf.DUMMYFUNCTION("""COMPUTED_VALUE"""),560)</f>
        <v>560</v>
      </c>
      <c r="X77" s="1">
        <f ca="1">IFERROR(__xludf.DUMMYFUNCTION("""COMPUTED_VALUE"""),704)</f>
        <v>704</v>
      </c>
      <c r="Y77" s="1">
        <f ca="1">IFERROR(__xludf.DUMMYFUNCTION("""COMPUTED_VALUE"""),0.795)</f>
        <v>0.79500000000000004</v>
      </c>
      <c r="Z77" s="1">
        <f ca="1">IFERROR(__xludf.DUMMYFUNCTION("""COMPUTED_VALUE"""),306)</f>
        <v>306</v>
      </c>
      <c r="AA77" s="1">
        <f ca="1">IFERROR(__xludf.DUMMYFUNCTION("""COMPUTED_VALUE"""),1048)</f>
        <v>1048</v>
      </c>
      <c r="AB77" s="1">
        <f ca="1">IFERROR(__xludf.DUMMYFUNCTION("""COMPUTED_VALUE"""),473)</f>
        <v>473</v>
      </c>
      <c r="AC77" s="1">
        <f ca="1">IFERROR(__xludf.DUMMYFUNCTION("""COMPUTED_VALUE"""),189)</f>
        <v>189</v>
      </c>
      <c r="AD77" s="1">
        <f ca="1">IFERROR(__xludf.DUMMYFUNCTION("""COMPUTED_VALUE"""),101)</f>
        <v>101</v>
      </c>
      <c r="AE77" s="1">
        <f ca="1">IFERROR(__xludf.DUMMYFUNCTION("""COMPUTED_VALUE"""),371)</f>
        <v>371</v>
      </c>
      <c r="AF77" s="1">
        <f ca="1">IFERROR(__xludf.DUMMYFUNCTION("""COMPUTED_VALUE"""),601)</f>
        <v>601</v>
      </c>
    </row>
    <row r="78" spans="1:32" ht="12.5" x14ac:dyDescent="0.25">
      <c r="A78" s="1" t="str">
        <f ca="1">IFERROR(__xludf.DUMMYFUNCTION("""COMPUTED_VALUE"""),"Dayton")</f>
        <v>Dayton</v>
      </c>
      <c r="B78" s="1">
        <f ca="1">IFERROR(__xludf.DUMMYFUNCTION("""COMPUTED_VALUE"""),31)</f>
        <v>31</v>
      </c>
      <c r="C78" s="1">
        <f ca="1">IFERROR(__xludf.DUMMYFUNCTION("""COMPUTED_VALUE"""),17)</f>
        <v>17</v>
      </c>
      <c r="D78" s="1">
        <f ca="1">IFERROR(__xludf.DUMMYFUNCTION("""COMPUTED_VALUE"""),14)</f>
        <v>14</v>
      </c>
      <c r="E78" s="1">
        <f ca="1">IFERROR(__xludf.DUMMYFUNCTION("""COMPUTED_VALUE"""),0.548)</f>
        <v>0.54800000000000004</v>
      </c>
      <c r="F78" s="1">
        <f ca="1">IFERROR(__xludf.DUMMYFUNCTION("""COMPUTED_VALUE"""),9.36)</f>
        <v>9.36</v>
      </c>
      <c r="G78" s="1">
        <f ca="1">IFERROR(__xludf.DUMMYFUNCTION("""COMPUTED_VALUE"""),4.27)</f>
        <v>4.2699999999999996</v>
      </c>
      <c r="H78" s="1">
        <f ca="1">IFERROR(__xludf.DUMMYFUNCTION("""COMPUTED_VALUE"""),7)</f>
        <v>7</v>
      </c>
      <c r="I78" s="1">
        <f ca="1">IFERROR(__xludf.DUMMYFUNCTION("""COMPUTED_VALUE"""),9)</f>
        <v>9</v>
      </c>
      <c r="J78" s="1">
        <f ca="1">IFERROR(__xludf.DUMMYFUNCTION("""COMPUTED_VALUE"""),13)</f>
        <v>13</v>
      </c>
      <c r="K78" s="1">
        <f ca="1">IFERROR(__xludf.DUMMYFUNCTION("""COMPUTED_VALUE"""),4)</f>
        <v>4</v>
      </c>
      <c r="L78" s="1">
        <f ca="1">IFERROR(__xludf.DUMMYFUNCTION("""COMPUTED_VALUE"""),2)</f>
        <v>2</v>
      </c>
      <c r="M78" s="1">
        <f ca="1">IFERROR(__xludf.DUMMYFUNCTION("""COMPUTED_VALUE"""),8)</f>
        <v>8</v>
      </c>
      <c r="N78" s="1">
        <f ca="1">IFERROR(__xludf.DUMMYFUNCTION("""COMPUTED_VALUE"""),2225)</f>
        <v>2225</v>
      </c>
      <c r="O78" s="1">
        <f ca="1">IFERROR(__xludf.DUMMYFUNCTION("""COMPUTED_VALUE"""),2067)</f>
        <v>2067</v>
      </c>
      <c r="P78" s="1">
        <f ca="1">IFERROR(__xludf.DUMMYFUNCTION("""COMPUTED_VALUE"""),1250)</f>
        <v>1250</v>
      </c>
      <c r="Q78" s="1">
        <f ca="1">IFERROR(__xludf.DUMMYFUNCTION("""COMPUTED_VALUE"""),786)</f>
        <v>786</v>
      </c>
      <c r="R78" s="1">
        <f ca="1">IFERROR(__xludf.DUMMYFUNCTION("""COMPUTED_VALUE"""),1656)</f>
        <v>1656</v>
      </c>
      <c r="S78" s="1">
        <f ca="1">IFERROR(__xludf.DUMMYFUNCTION("""COMPUTED_VALUE"""),0.475)</f>
        <v>0.47499999999999998</v>
      </c>
      <c r="T78" s="1">
        <f ca="1">IFERROR(__xludf.DUMMYFUNCTION("""COMPUTED_VALUE"""),182)</f>
        <v>182</v>
      </c>
      <c r="U78" s="1">
        <f ca="1">IFERROR(__xludf.DUMMYFUNCTION("""COMPUTED_VALUE"""),474)</f>
        <v>474</v>
      </c>
      <c r="V78" s="1">
        <f ca="1">IFERROR(__xludf.DUMMYFUNCTION("""COMPUTED_VALUE"""),0.384)</f>
        <v>0.38400000000000001</v>
      </c>
      <c r="W78" s="1">
        <f ca="1">IFERROR(__xludf.DUMMYFUNCTION("""COMPUTED_VALUE"""),471)</f>
        <v>471</v>
      </c>
      <c r="X78" s="1">
        <f ca="1">IFERROR(__xludf.DUMMYFUNCTION("""COMPUTED_VALUE"""),657)</f>
        <v>657</v>
      </c>
      <c r="Y78" s="1">
        <f ca="1">IFERROR(__xludf.DUMMYFUNCTION("""COMPUTED_VALUE"""),0.717)</f>
        <v>0.71699999999999997</v>
      </c>
      <c r="Z78" s="1">
        <f ca="1">IFERROR(__xludf.DUMMYFUNCTION("""COMPUTED_VALUE"""),342)</f>
        <v>342</v>
      </c>
      <c r="AA78" s="1">
        <f ca="1">IFERROR(__xludf.DUMMYFUNCTION("""COMPUTED_VALUE"""),973)</f>
        <v>973</v>
      </c>
      <c r="AB78" s="1">
        <f ca="1">IFERROR(__xludf.DUMMYFUNCTION("""COMPUTED_VALUE"""),433)</f>
        <v>433</v>
      </c>
      <c r="AC78" s="1">
        <f ca="1">IFERROR(__xludf.DUMMYFUNCTION("""COMPUTED_VALUE"""),173)</f>
        <v>173</v>
      </c>
      <c r="AD78" s="1">
        <f ca="1">IFERROR(__xludf.DUMMYFUNCTION("""COMPUTED_VALUE"""),80)</f>
        <v>80</v>
      </c>
      <c r="AE78" s="1">
        <f ca="1">IFERROR(__xludf.DUMMYFUNCTION("""COMPUTED_VALUE"""),450)</f>
        <v>450</v>
      </c>
      <c r="AF78" s="1">
        <f ca="1">IFERROR(__xludf.DUMMYFUNCTION("""COMPUTED_VALUE"""),613)</f>
        <v>613</v>
      </c>
    </row>
    <row r="79" spans="1:32" ht="12.5" x14ac:dyDescent="0.25">
      <c r="A79" s="1" t="str">
        <f ca="1">IFERROR(__xludf.DUMMYFUNCTION("""COMPUTED_VALUE"""),"Delaware State")</f>
        <v>Delaware State</v>
      </c>
      <c r="B79" s="1">
        <f ca="1">IFERROR(__xludf.DUMMYFUNCTION("""COMPUTED_VALUE"""),33)</f>
        <v>33</v>
      </c>
      <c r="C79" s="1">
        <f ca="1">IFERROR(__xludf.DUMMYFUNCTION("""COMPUTED_VALUE"""),15)</f>
        <v>15</v>
      </c>
      <c r="D79" s="1">
        <f ca="1">IFERROR(__xludf.DUMMYFUNCTION("""COMPUTED_VALUE"""),18)</f>
        <v>18</v>
      </c>
      <c r="E79" s="1">
        <f ca="1">IFERROR(__xludf.DUMMYFUNCTION("""COMPUTED_VALUE"""),0.455)</f>
        <v>0.45500000000000002</v>
      </c>
      <c r="F79" s="1">
        <f ca="1">IFERROR(__xludf.DUMMYFUNCTION("""COMPUTED_VALUE"""),-11.19)</f>
        <v>-11.19</v>
      </c>
      <c r="G79" s="1">
        <f ca="1">IFERROR(__xludf.DUMMYFUNCTION("""COMPUTED_VALUE"""),-5.9)</f>
        <v>-5.9</v>
      </c>
      <c r="H79" s="1">
        <f ca="1">IFERROR(__xludf.DUMMYFUNCTION("""COMPUTED_VALUE"""),8)</f>
        <v>8</v>
      </c>
      <c r="I79" s="1">
        <f ca="1">IFERROR(__xludf.DUMMYFUNCTION("""COMPUTED_VALUE"""),8)</f>
        <v>8</v>
      </c>
      <c r="J79" s="1">
        <f ca="1">IFERROR(__xludf.DUMMYFUNCTION("""COMPUTED_VALUE"""),8)</f>
        <v>8</v>
      </c>
      <c r="K79" s="1">
        <f ca="1">IFERROR(__xludf.DUMMYFUNCTION("""COMPUTED_VALUE"""),3)</f>
        <v>3</v>
      </c>
      <c r="L79" s="1">
        <f ca="1">IFERROR(__xludf.DUMMYFUNCTION("""COMPUTED_VALUE"""),5)</f>
        <v>5</v>
      </c>
      <c r="M79" s="1">
        <f ca="1">IFERROR(__xludf.DUMMYFUNCTION("""COMPUTED_VALUE"""),12)</f>
        <v>12</v>
      </c>
      <c r="N79" s="1">
        <f ca="1">IFERROR(__xludf.DUMMYFUNCTION("""COMPUTED_VALUE"""),1997)</f>
        <v>1997</v>
      </c>
      <c r="O79" s="1">
        <f ca="1">IFERROR(__xludf.DUMMYFUNCTION("""COMPUTED_VALUE"""),2094)</f>
        <v>2094</v>
      </c>
      <c r="P79" s="1">
        <f ca="1">IFERROR(__xludf.DUMMYFUNCTION("""COMPUTED_VALUE"""),1345)</f>
        <v>1345</v>
      </c>
      <c r="Q79" s="1">
        <f ca="1">IFERROR(__xludf.DUMMYFUNCTION("""COMPUTED_VALUE"""),709)</f>
        <v>709</v>
      </c>
      <c r="R79" s="1">
        <f ca="1">IFERROR(__xludf.DUMMYFUNCTION("""COMPUTED_VALUE"""),1731)</f>
        <v>1731</v>
      </c>
      <c r="S79" s="1">
        <f ca="1">IFERROR(__xludf.DUMMYFUNCTION("""COMPUTED_VALUE"""),0.41)</f>
        <v>0.41</v>
      </c>
      <c r="T79" s="1">
        <f ca="1">IFERROR(__xludf.DUMMYFUNCTION("""COMPUTED_VALUE"""),183)</f>
        <v>183</v>
      </c>
      <c r="U79" s="1">
        <f ca="1">IFERROR(__xludf.DUMMYFUNCTION("""COMPUTED_VALUE"""),621)</f>
        <v>621</v>
      </c>
      <c r="V79" s="1">
        <f ca="1">IFERROR(__xludf.DUMMYFUNCTION("""COMPUTED_VALUE"""),0.295)</f>
        <v>0.29499999999999998</v>
      </c>
      <c r="W79" s="1">
        <f ca="1">IFERROR(__xludf.DUMMYFUNCTION("""COMPUTED_VALUE"""),396)</f>
        <v>396</v>
      </c>
      <c r="X79" s="1">
        <f ca="1">IFERROR(__xludf.DUMMYFUNCTION("""COMPUTED_VALUE"""),574)</f>
        <v>574</v>
      </c>
      <c r="Y79" s="1">
        <f ca="1">IFERROR(__xludf.DUMMYFUNCTION("""COMPUTED_VALUE"""),0.69)</f>
        <v>0.69</v>
      </c>
      <c r="Z79" s="1">
        <f ca="1">IFERROR(__xludf.DUMMYFUNCTION("""COMPUTED_VALUE"""),366)</f>
        <v>366</v>
      </c>
      <c r="AA79" s="1">
        <f ca="1">IFERROR(__xludf.DUMMYFUNCTION("""COMPUTED_VALUE"""),947)</f>
        <v>947</v>
      </c>
      <c r="AB79" s="1">
        <f ca="1">IFERROR(__xludf.DUMMYFUNCTION("""COMPUTED_VALUE"""),326)</f>
        <v>326</v>
      </c>
      <c r="AC79" s="1">
        <f ca="1">IFERROR(__xludf.DUMMYFUNCTION("""COMPUTED_VALUE"""),228)</f>
        <v>228</v>
      </c>
      <c r="AD79" s="1">
        <f ca="1">IFERROR(__xludf.DUMMYFUNCTION("""COMPUTED_VALUE"""),185)</f>
        <v>185</v>
      </c>
      <c r="AE79" s="1">
        <f ca="1">IFERROR(__xludf.DUMMYFUNCTION("""COMPUTED_VALUE"""),453)</f>
        <v>453</v>
      </c>
      <c r="AF79" s="1">
        <f ca="1">IFERROR(__xludf.DUMMYFUNCTION("""COMPUTED_VALUE"""),515)</f>
        <v>515</v>
      </c>
    </row>
    <row r="80" spans="1:32" ht="12.5" x14ac:dyDescent="0.25">
      <c r="A80" s="1" t="str">
        <f ca="1">IFERROR(__xludf.DUMMYFUNCTION("""COMPUTED_VALUE"""),"Delaware")</f>
        <v>Delaware</v>
      </c>
      <c r="B80" s="1">
        <f ca="1">IFERROR(__xludf.DUMMYFUNCTION("""COMPUTED_VALUE"""),33)</f>
        <v>33</v>
      </c>
      <c r="C80" s="1">
        <f ca="1">IFERROR(__xludf.DUMMYFUNCTION("""COMPUTED_VALUE"""),19)</f>
        <v>19</v>
      </c>
      <c r="D80" s="1">
        <f ca="1">IFERROR(__xludf.DUMMYFUNCTION("""COMPUTED_VALUE"""),14)</f>
        <v>14</v>
      </c>
      <c r="E80" s="1">
        <f ca="1">IFERROR(__xludf.DUMMYFUNCTION("""COMPUTED_VALUE"""),0.576)</f>
        <v>0.57599999999999996</v>
      </c>
      <c r="F80" s="1">
        <f ca="1">IFERROR(__xludf.DUMMYFUNCTION("""COMPUTED_VALUE"""),-0.78)</f>
        <v>-0.78</v>
      </c>
      <c r="G80" s="1">
        <f ca="1">IFERROR(__xludf.DUMMYFUNCTION("""COMPUTED_VALUE"""),-0.81)</f>
        <v>-0.81</v>
      </c>
      <c r="H80" s="1">
        <f ca="1">IFERROR(__xludf.DUMMYFUNCTION("""COMPUTED_VALUE"""),13)</f>
        <v>13</v>
      </c>
      <c r="I80" s="1">
        <f ca="1">IFERROR(__xludf.DUMMYFUNCTION("""COMPUTED_VALUE"""),5)</f>
        <v>5</v>
      </c>
      <c r="J80" s="1">
        <f ca="1">IFERROR(__xludf.DUMMYFUNCTION("""COMPUTED_VALUE"""),9)</f>
        <v>9</v>
      </c>
      <c r="K80" s="1">
        <f ca="1">IFERROR(__xludf.DUMMYFUNCTION("""COMPUTED_VALUE"""),4)</f>
        <v>4</v>
      </c>
      <c r="L80" s="1">
        <f ca="1">IFERROR(__xludf.DUMMYFUNCTION("""COMPUTED_VALUE"""),8)</f>
        <v>8</v>
      </c>
      <c r="M80" s="1">
        <f ca="1">IFERROR(__xludf.DUMMYFUNCTION("""COMPUTED_VALUE"""),7)</f>
        <v>7</v>
      </c>
      <c r="N80" s="1">
        <f ca="1">IFERROR(__xludf.DUMMYFUNCTION("""COMPUTED_VALUE"""),2276)</f>
        <v>2276</v>
      </c>
      <c r="O80" s="1">
        <f ca="1">IFERROR(__xludf.DUMMYFUNCTION("""COMPUTED_VALUE"""),2275)</f>
        <v>2275</v>
      </c>
      <c r="P80" s="1">
        <f ca="1">IFERROR(__xludf.DUMMYFUNCTION("""COMPUTED_VALUE"""),1340)</f>
        <v>1340</v>
      </c>
      <c r="Q80" s="1">
        <f ca="1">IFERROR(__xludf.DUMMYFUNCTION("""COMPUTED_VALUE"""),776)</f>
        <v>776</v>
      </c>
      <c r="R80" s="1">
        <f ca="1">IFERROR(__xludf.DUMMYFUNCTION("""COMPUTED_VALUE"""),1833)</f>
        <v>1833</v>
      </c>
      <c r="S80" s="1">
        <f ca="1">IFERROR(__xludf.DUMMYFUNCTION("""COMPUTED_VALUE"""),0.423)</f>
        <v>0.42299999999999999</v>
      </c>
      <c r="T80" s="1">
        <f ca="1">IFERROR(__xludf.DUMMYFUNCTION("""COMPUTED_VALUE"""),144)</f>
        <v>144</v>
      </c>
      <c r="U80" s="1">
        <f ca="1">IFERROR(__xludf.DUMMYFUNCTION("""COMPUTED_VALUE"""),466)</f>
        <v>466</v>
      </c>
      <c r="V80" s="1">
        <f ca="1">IFERROR(__xludf.DUMMYFUNCTION("""COMPUTED_VALUE"""),0.309)</f>
        <v>0.309</v>
      </c>
      <c r="W80" s="1">
        <f ca="1">IFERROR(__xludf.DUMMYFUNCTION("""COMPUTED_VALUE"""),580)</f>
        <v>580</v>
      </c>
      <c r="X80" s="1">
        <f ca="1">IFERROR(__xludf.DUMMYFUNCTION("""COMPUTED_VALUE"""),769)</f>
        <v>769</v>
      </c>
      <c r="Y80" s="1">
        <f ca="1">IFERROR(__xludf.DUMMYFUNCTION("""COMPUTED_VALUE"""),0.754)</f>
        <v>0.754</v>
      </c>
      <c r="Z80" s="1">
        <f ca="1">IFERROR(__xludf.DUMMYFUNCTION("""COMPUTED_VALUE"""),381)</f>
        <v>381</v>
      </c>
      <c r="AA80" s="1">
        <f ca="1">IFERROR(__xludf.DUMMYFUNCTION("""COMPUTED_VALUE"""),1169)</f>
        <v>1169</v>
      </c>
      <c r="AB80" s="1">
        <f ca="1">IFERROR(__xludf.DUMMYFUNCTION("""COMPUTED_VALUE"""),319)</f>
        <v>319</v>
      </c>
      <c r="AC80" s="1">
        <f ca="1">IFERROR(__xludf.DUMMYFUNCTION("""COMPUTED_VALUE"""),178)</f>
        <v>178</v>
      </c>
      <c r="AD80" s="1">
        <f ca="1">IFERROR(__xludf.DUMMYFUNCTION("""COMPUTED_VALUE"""),150)</f>
        <v>150</v>
      </c>
      <c r="AE80" s="1">
        <f ca="1">IFERROR(__xludf.DUMMYFUNCTION("""COMPUTED_VALUE"""),418)</f>
        <v>418</v>
      </c>
      <c r="AF80" s="1">
        <f ca="1">IFERROR(__xludf.DUMMYFUNCTION("""COMPUTED_VALUE"""),556)</f>
        <v>556</v>
      </c>
    </row>
    <row r="81" spans="1:32" ht="12.5" x14ac:dyDescent="0.25">
      <c r="A81" s="1" t="str">
        <f ca="1">IFERROR(__xludf.DUMMYFUNCTION("""COMPUTED_VALUE"""),"Denver")</f>
        <v>Denver</v>
      </c>
      <c r="B81" s="1">
        <f ca="1">IFERROR(__xludf.DUMMYFUNCTION("""COMPUTED_VALUE"""),32)</f>
        <v>32</v>
      </c>
      <c r="C81" s="1">
        <f ca="1">IFERROR(__xludf.DUMMYFUNCTION("""COMPUTED_VALUE"""),22)</f>
        <v>22</v>
      </c>
      <c r="D81" s="1">
        <f ca="1">IFERROR(__xludf.DUMMYFUNCTION("""COMPUTED_VALUE"""),10)</f>
        <v>10</v>
      </c>
      <c r="E81" s="1">
        <f ca="1">IFERROR(__xludf.DUMMYFUNCTION("""COMPUTED_VALUE"""),0.688)</f>
        <v>0.68799999999999994</v>
      </c>
      <c r="F81" s="1">
        <f ca="1">IFERROR(__xludf.DUMMYFUNCTION("""COMPUTED_VALUE"""),9.2)</f>
        <v>9.1999999999999993</v>
      </c>
      <c r="G81" s="1">
        <f ca="1">IFERROR(__xludf.DUMMYFUNCTION("""COMPUTED_VALUE"""),0.26)</f>
        <v>0.26</v>
      </c>
      <c r="H81" s="1">
        <f ca="1">IFERROR(__xludf.DUMMYFUNCTION("""COMPUTED_VALUE"""),16)</f>
        <v>16</v>
      </c>
      <c r="I81" s="1">
        <f ca="1">IFERROR(__xludf.DUMMYFUNCTION("""COMPUTED_VALUE"""),2)</f>
        <v>2</v>
      </c>
      <c r="J81" s="1">
        <f ca="1">IFERROR(__xludf.DUMMYFUNCTION("""COMPUTED_VALUE"""),14)</f>
        <v>14</v>
      </c>
      <c r="K81" s="1">
        <f ca="1">IFERROR(__xludf.DUMMYFUNCTION("""COMPUTED_VALUE"""),2)</f>
        <v>2</v>
      </c>
      <c r="L81" s="1">
        <f ca="1">IFERROR(__xludf.DUMMYFUNCTION("""COMPUTED_VALUE"""),8)</f>
        <v>8</v>
      </c>
      <c r="M81" s="1">
        <f ca="1">IFERROR(__xludf.DUMMYFUNCTION("""COMPUTED_VALUE"""),7)</f>
        <v>7</v>
      </c>
      <c r="N81" s="1">
        <f ca="1">IFERROR(__xludf.DUMMYFUNCTION("""COMPUTED_VALUE"""),2076)</f>
        <v>2076</v>
      </c>
      <c r="O81" s="1">
        <f ca="1">IFERROR(__xludf.DUMMYFUNCTION("""COMPUTED_VALUE"""),1790)</f>
        <v>1790</v>
      </c>
      <c r="P81" s="1">
        <f ca="1">IFERROR(__xludf.DUMMYFUNCTION("""COMPUTED_VALUE"""),1285)</f>
        <v>1285</v>
      </c>
      <c r="Q81" s="1">
        <f ca="1">IFERROR(__xludf.DUMMYFUNCTION("""COMPUTED_VALUE"""),739)</f>
        <v>739</v>
      </c>
      <c r="R81" s="1">
        <f ca="1">IFERROR(__xludf.DUMMYFUNCTION("""COMPUTED_VALUE"""),1540)</f>
        <v>1540</v>
      </c>
      <c r="S81" s="1">
        <f ca="1">IFERROR(__xludf.DUMMYFUNCTION("""COMPUTED_VALUE"""),0.48)</f>
        <v>0.48</v>
      </c>
      <c r="T81" s="1">
        <f ca="1">IFERROR(__xludf.DUMMYFUNCTION("""COMPUTED_VALUE"""),252)</f>
        <v>252</v>
      </c>
      <c r="U81" s="1">
        <f ca="1">IFERROR(__xludf.DUMMYFUNCTION("""COMPUTED_VALUE"""),672)</f>
        <v>672</v>
      </c>
      <c r="V81" s="1">
        <f ca="1">IFERROR(__xludf.DUMMYFUNCTION("""COMPUTED_VALUE"""),0.375)</f>
        <v>0.375</v>
      </c>
      <c r="W81" s="1">
        <f ca="1">IFERROR(__xludf.DUMMYFUNCTION("""COMPUTED_VALUE"""),346)</f>
        <v>346</v>
      </c>
      <c r="X81" s="1">
        <f ca="1">IFERROR(__xludf.DUMMYFUNCTION("""COMPUTED_VALUE"""),481)</f>
        <v>481</v>
      </c>
      <c r="Y81" s="1">
        <f ca="1">IFERROR(__xludf.DUMMYFUNCTION("""COMPUTED_VALUE"""),0.719)</f>
        <v>0.71899999999999997</v>
      </c>
      <c r="Z81" s="1">
        <f ca="1">IFERROR(__xludf.DUMMYFUNCTION("""COMPUTED_VALUE"""),200)</f>
        <v>200</v>
      </c>
      <c r="AA81" s="1">
        <f ca="1">IFERROR(__xludf.DUMMYFUNCTION("""COMPUTED_VALUE"""),725)</f>
        <v>725</v>
      </c>
      <c r="AB81" s="1">
        <f ca="1">IFERROR(__xludf.DUMMYFUNCTION("""COMPUTED_VALUE"""),516)</f>
        <v>516</v>
      </c>
      <c r="AC81" s="1">
        <f ca="1">IFERROR(__xludf.DUMMYFUNCTION("""COMPUTED_VALUE"""),288)</f>
        <v>288</v>
      </c>
      <c r="AD81" s="1">
        <f ca="1">IFERROR(__xludf.DUMMYFUNCTION("""COMPUTED_VALUE"""),145)</f>
        <v>145</v>
      </c>
      <c r="AE81" s="1">
        <f ca="1">IFERROR(__xludf.DUMMYFUNCTION("""COMPUTED_VALUE"""),357)</f>
        <v>357</v>
      </c>
      <c r="AF81" s="1">
        <f ca="1">IFERROR(__xludf.DUMMYFUNCTION("""COMPUTED_VALUE"""),557)</f>
        <v>557</v>
      </c>
    </row>
    <row r="82" spans="1:32" ht="12.5" x14ac:dyDescent="0.25">
      <c r="A82" s="1" t="str">
        <f ca="1">IFERROR(__xludf.DUMMYFUNCTION("""COMPUTED_VALUE"""),"DePaul")</f>
        <v>DePaul</v>
      </c>
      <c r="B82" s="1">
        <f ca="1">IFERROR(__xludf.DUMMYFUNCTION("""COMPUTED_VALUE"""),32)</f>
        <v>32</v>
      </c>
      <c r="C82" s="1">
        <f ca="1">IFERROR(__xludf.DUMMYFUNCTION("""COMPUTED_VALUE"""),11)</f>
        <v>11</v>
      </c>
      <c r="D82" s="1">
        <f ca="1">IFERROR(__xludf.DUMMYFUNCTION("""COMPUTED_VALUE"""),21)</f>
        <v>21</v>
      </c>
      <c r="E82" s="1">
        <f ca="1">IFERROR(__xludf.DUMMYFUNCTION("""COMPUTED_VALUE"""),0.344)</f>
        <v>0.34399999999999997</v>
      </c>
      <c r="F82" s="1">
        <f ca="1">IFERROR(__xludf.DUMMYFUNCTION("""COMPUTED_VALUE"""),1.71)</f>
        <v>1.71</v>
      </c>
      <c r="G82" s="1">
        <f ca="1">IFERROR(__xludf.DUMMYFUNCTION("""COMPUTED_VALUE"""),5.61)</f>
        <v>5.61</v>
      </c>
      <c r="H82" s="1">
        <f ca="1">IFERROR(__xludf.DUMMYFUNCTION("""COMPUTED_VALUE"""),2)</f>
        <v>2</v>
      </c>
      <c r="I82" s="1">
        <f ca="1">IFERROR(__xludf.DUMMYFUNCTION("""COMPUTED_VALUE"""),16)</f>
        <v>16</v>
      </c>
      <c r="J82" s="1">
        <f ca="1">IFERROR(__xludf.DUMMYFUNCTION("""COMPUTED_VALUE"""),7)</f>
        <v>7</v>
      </c>
      <c r="K82" s="1">
        <f ca="1">IFERROR(__xludf.DUMMYFUNCTION("""COMPUTED_VALUE"""),10)</f>
        <v>10</v>
      </c>
      <c r="L82" s="1">
        <f ca="1">IFERROR(__xludf.DUMMYFUNCTION("""COMPUTED_VALUE"""),4)</f>
        <v>4</v>
      </c>
      <c r="M82" s="1">
        <f ca="1">IFERROR(__xludf.DUMMYFUNCTION("""COMPUTED_VALUE"""),8)</f>
        <v>8</v>
      </c>
      <c r="N82" s="1">
        <f ca="1">IFERROR(__xludf.DUMMYFUNCTION("""COMPUTED_VALUE"""),2284)</f>
        <v>2284</v>
      </c>
      <c r="O82" s="1">
        <f ca="1">IFERROR(__xludf.DUMMYFUNCTION("""COMPUTED_VALUE"""),2409)</f>
        <v>2409</v>
      </c>
      <c r="P82" s="1">
        <f ca="1">IFERROR(__xludf.DUMMYFUNCTION("""COMPUTED_VALUE"""),1295)</f>
        <v>1295</v>
      </c>
      <c r="Q82" s="1">
        <f ca="1">IFERROR(__xludf.DUMMYFUNCTION("""COMPUTED_VALUE"""),847)</f>
        <v>847</v>
      </c>
      <c r="R82" s="1">
        <f ca="1">IFERROR(__xludf.DUMMYFUNCTION("""COMPUTED_VALUE"""),1951)</f>
        <v>1951</v>
      </c>
      <c r="S82" s="1">
        <f ca="1">IFERROR(__xludf.DUMMYFUNCTION("""COMPUTED_VALUE"""),0.434)</f>
        <v>0.434</v>
      </c>
      <c r="T82" s="1">
        <f ca="1">IFERROR(__xludf.DUMMYFUNCTION("""COMPUTED_VALUE"""),155)</f>
        <v>155</v>
      </c>
      <c r="U82" s="1">
        <f ca="1">IFERROR(__xludf.DUMMYFUNCTION("""COMPUTED_VALUE"""),518)</f>
        <v>518</v>
      </c>
      <c r="V82" s="1">
        <f ca="1">IFERROR(__xludf.DUMMYFUNCTION("""COMPUTED_VALUE"""),0.299)</f>
        <v>0.29899999999999999</v>
      </c>
      <c r="W82" s="1">
        <f ca="1">IFERROR(__xludf.DUMMYFUNCTION("""COMPUTED_VALUE"""),435)</f>
        <v>435</v>
      </c>
      <c r="X82" s="1">
        <f ca="1">IFERROR(__xludf.DUMMYFUNCTION("""COMPUTED_VALUE"""),618)</f>
        <v>618</v>
      </c>
      <c r="Y82" s="1">
        <f ca="1">IFERROR(__xludf.DUMMYFUNCTION("""COMPUTED_VALUE"""),0.704)</f>
        <v>0.70399999999999996</v>
      </c>
      <c r="Z82" s="1">
        <f ca="1">IFERROR(__xludf.DUMMYFUNCTION("""COMPUTED_VALUE"""),383)</f>
        <v>383</v>
      </c>
      <c r="AA82" s="1">
        <f ca="1">IFERROR(__xludf.DUMMYFUNCTION("""COMPUTED_VALUE"""),972)</f>
        <v>972</v>
      </c>
      <c r="AB82" s="1">
        <f ca="1">IFERROR(__xludf.DUMMYFUNCTION("""COMPUTED_VALUE"""),440)</f>
        <v>440</v>
      </c>
      <c r="AC82" s="1">
        <f ca="1">IFERROR(__xludf.DUMMYFUNCTION("""COMPUTED_VALUE"""),265)</f>
        <v>265</v>
      </c>
      <c r="AD82" s="1">
        <f ca="1">IFERROR(__xludf.DUMMYFUNCTION("""COMPUTED_VALUE"""),133)</f>
        <v>133</v>
      </c>
      <c r="AE82" s="1">
        <f ca="1">IFERROR(__xludf.DUMMYFUNCTION("""COMPUTED_VALUE"""),457)</f>
        <v>457</v>
      </c>
      <c r="AF82" s="1">
        <f ca="1">IFERROR(__xludf.DUMMYFUNCTION("""COMPUTED_VALUE"""),612)</f>
        <v>612</v>
      </c>
    </row>
    <row r="83" spans="1:32" ht="12.5" x14ac:dyDescent="0.25">
      <c r="A83" s="1" t="str">
        <f ca="1">IFERROR(__xludf.DUMMYFUNCTION("""COMPUTED_VALUE"""),"Detroit Mercy")</f>
        <v>Detroit Mercy</v>
      </c>
      <c r="B83" s="1">
        <f ca="1">IFERROR(__xludf.DUMMYFUNCTION("""COMPUTED_VALUE"""),33)</f>
        <v>33</v>
      </c>
      <c r="C83" s="1">
        <f ca="1">IFERROR(__xludf.DUMMYFUNCTION("""COMPUTED_VALUE"""),20)</f>
        <v>20</v>
      </c>
      <c r="D83" s="1">
        <f ca="1">IFERROR(__xludf.DUMMYFUNCTION("""COMPUTED_VALUE"""),13)</f>
        <v>13</v>
      </c>
      <c r="E83" s="1">
        <f ca="1">IFERROR(__xludf.DUMMYFUNCTION("""COMPUTED_VALUE"""),0.606)</f>
        <v>0.60599999999999998</v>
      </c>
      <c r="F83" s="1">
        <f ca="1">IFERROR(__xludf.DUMMYFUNCTION("""COMPUTED_VALUE"""),6.71)</f>
        <v>6.71</v>
      </c>
      <c r="G83" s="1">
        <f ca="1">IFERROR(__xludf.DUMMYFUNCTION("""COMPUTED_VALUE"""),1.62)</f>
        <v>1.62</v>
      </c>
      <c r="H83" s="1">
        <f ca="1">IFERROR(__xludf.DUMMYFUNCTION("""COMPUTED_VALUE"""),12)</f>
        <v>12</v>
      </c>
      <c r="I83" s="1">
        <f ca="1">IFERROR(__xludf.DUMMYFUNCTION("""COMPUTED_VALUE"""),4)</f>
        <v>4</v>
      </c>
      <c r="J83" s="1">
        <f ca="1">IFERROR(__xludf.DUMMYFUNCTION("""COMPUTED_VALUE"""),13)</f>
        <v>13</v>
      </c>
      <c r="K83" s="1">
        <f ca="1">IFERROR(__xludf.DUMMYFUNCTION("""COMPUTED_VALUE"""),2)</f>
        <v>2</v>
      </c>
      <c r="L83" s="1">
        <f ca="1">IFERROR(__xludf.DUMMYFUNCTION("""COMPUTED_VALUE"""),7)</f>
        <v>7</v>
      </c>
      <c r="M83" s="1">
        <f ca="1">IFERROR(__xludf.DUMMYFUNCTION("""COMPUTED_VALUE"""),10)</f>
        <v>10</v>
      </c>
      <c r="N83" s="1">
        <f ca="1">IFERROR(__xludf.DUMMYFUNCTION("""COMPUTED_VALUE"""),2568)</f>
        <v>2568</v>
      </c>
      <c r="O83" s="1">
        <f ca="1">IFERROR(__xludf.DUMMYFUNCTION("""COMPUTED_VALUE"""),2340)</f>
        <v>2340</v>
      </c>
      <c r="P83" s="1">
        <f ca="1">IFERROR(__xludf.DUMMYFUNCTION("""COMPUTED_VALUE"""),1320)</f>
        <v>1320</v>
      </c>
      <c r="Q83" s="1">
        <f ca="1">IFERROR(__xludf.DUMMYFUNCTION("""COMPUTED_VALUE"""),908)</f>
        <v>908</v>
      </c>
      <c r="R83" s="1">
        <f ca="1">IFERROR(__xludf.DUMMYFUNCTION("""COMPUTED_VALUE"""),1991)</f>
        <v>1991</v>
      </c>
      <c r="S83" s="1">
        <f ca="1">IFERROR(__xludf.DUMMYFUNCTION("""COMPUTED_VALUE"""),0.456)</f>
        <v>0.45600000000000002</v>
      </c>
      <c r="T83" s="1">
        <f ca="1">IFERROR(__xludf.DUMMYFUNCTION("""COMPUTED_VALUE"""),234)</f>
        <v>234</v>
      </c>
      <c r="U83" s="1">
        <f ca="1">IFERROR(__xludf.DUMMYFUNCTION("""COMPUTED_VALUE"""),685)</f>
        <v>685</v>
      </c>
      <c r="V83" s="1">
        <f ca="1">IFERROR(__xludf.DUMMYFUNCTION("""COMPUTED_VALUE"""),0.342)</f>
        <v>0.34200000000000003</v>
      </c>
      <c r="W83" s="1">
        <f ca="1">IFERROR(__xludf.DUMMYFUNCTION("""COMPUTED_VALUE"""),518)</f>
        <v>518</v>
      </c>
      <c r="X83" s="1">
        <f ca="1">IFERROR(__xludf.DUMMYFUNCTION("""COMPUTED_VALUE"""),711)</f>
        <v>711</v>
      </c>
      <c r="Y83" s="1">
        <f ca="1">IFERROR(__xludf.DUMMYFUNCTION("""COMPUTED_VALUE"""),0.729)</f>
        <v>0.72899999999999998</v>
      </c>
      <c r="Z83" s="1">
        <f ca="1">IFERROR(__xludf.DUMMYFUNCTION("""COMPUTED_VALUE"""),374)</f>
        <v>374</v>
      </c>
      <c r="AA83" s="1">
        <f ca="1">IFERROR(__xludf.DUMMYFUNCTION("""COMPUTED_VALUE"""),998)</f>
        <v>998</v>
      </c>
      <c r="AB83" s="1">
        <f ca="1">IFERROR(__xludf.DUMMYFUNCTION("""COMPUTED_VALUE"""),481)</f>
        <v>481</v>
      </c>
      <c r="AC83" s="1">
        <f ca="1">IFERROR(__xludf.DUMMYFUNCTION("""COMPUTED_VALUE"""),273)</f>
        <v>273</v>
      </c>
      <c r="AD83" s="1">
        <f ca="1">IFERROR(__xludf.DUMMYFUNCTION("""COMPUTED_VALUE"""),112)</f>
        <v>112</v>
      </c>
      <c r="AE83" s="1">
        <f ca="1">IFERROR(__xludf.DUMMYFUNCTION("""COMPUTED_VALUE"""),361)</f>
        <v>361</v>
      </c>
      <c r="AF83" s="1">
        <f ca="1">IFERROR(__xludf.DUMMYFUNCTION("""COMPUTED_VALUE"""),588)</f>
        <v>588</v>
      </c>
    </row>
    <row r="84" spans="1:32" ht="12.5" x14ac:dyDescent="0.25">
      <c r="A84" s="1" t="str">
        <f ca="1">IFERROR(__xludf.DUMMYFUNCTION("""COMPUTED_VALUE"""),"Drake")</f>
        <v>Drake</v>
      </c>
      <c r="B84" s="1">
        <f ca="1">IFERROR(__xludf.DUMMYFUNCTION("""COMPUTED_VALUE"""),32)</f>
        <v>32</v>
      </c>
      <c r="C84" s="1">
        <f ca="1">IFERROR(__xludf.DUMMYFUNCTION("""COMPUTED_VALUE"""),15)</f>
        <v>15</v>
      </c>
      <c r="D84" s="1">
        <f ca="1">IFERROR(__xludf.DUMMYFUNCTION("""COMPUTED_VALUE"""),17)</f>
        <v>17</v>
      </c>
      <c r="E84" s="1">
        <f ca="1">IFERROR(__xludf.DUMMYFUNCTION("""COMPUTED_VALUE"""),0.469)</f>
        <v>0.46899999999999997</v>
      </c>
      <c r="F84" s="1">
        <f ca="1">IFERROR(__xludf.DUMMYFUNCTION("""COMPUTED_VALUE"""),3.43)</f>
        <v>3.43</v>
      </c>
      <c r="G84" s="1">
        <f ca="1">IFERROR(__xludf.DUMMYFUNCTION("""COMPUTED_VALUE"""),5.14)</f>
        <v>5.14</v>
      </c>
      <c r="H84" s="1">
        <f ca="1">IFERROR(__xludf.DUMMYFUNCTION("""COMPUTED_VALUE"""),7)</f>
        <v>7</v>
      </c>
      <c r="I84" s="1">
        <f ca="1">IFERROR(__xludf.DUMMYFUNCTION("""COMPUTED_VALUE"""),11)</f>
        <v>11</v>
      </c>
      <c r="J84" s="1">
        <f ca="1">IFERROR(__xludf.DUMMYFUNCTION("""COMPUTED_VALUE"""),9)</f>
        <v>9</v>
      </c>
      <c r="K84" s="1">
        <f ca="1">IFERROR(__xludf.DUMMYFUNCTION("""COMPUTED_VALUE"""),6)</f>
        <v>6</v>
      </c>
      <c r="L84" s="1">
        <f ca="1">IFERROR(__xludf.DUMMYFUNCTION("""COMPUTED_VALUE"""),4)</f>
        <v>4</v>
      </c>
      <c r="M84" s="1">
        <f ca="1">IFERROR(__xludf.DUMMYFUNCTION("""COMPUTED_VALUE"""),7)</f>
        <v>7</v>
      </c>
      <c r="N84" s="1">
        <f ca="1">IFERROR(__xludf.DUMMYFUNCTION("""COMPUTED_VALUE"""),2296)</f>
        <v>2296</v>
      </c>
      <c r="O84" s="1">
        <f ca="1">IFERROR(__xludf.DUMMYFUNCTION("""COMPUTED_VALUE"""),2319)</f>
        <v>2319</v>
      </c>
      <c r="P84" s="1">
        <f ca="1">IFERROR(__xludf.DUMMYFUNCTION("""COMPUTED_VALUE"""),1295)</f>
        <v>1295</v>
      </c>
      <c r="Q84" s="1">
        <f ca="1">IFERROR(__xludf.DUMMYFUNCTION("""COMPUTED_VALUE"""),775)</f>
        <v>775</v>
      </c>
      <c r="R84" s="1">
        <f ca="1">IFERROR(__xludf.DUMMYFUNCTION("""COMPUTED_VALUE"""),1732)</f>
        <v>1732</v>
      </c>
      <c r="S84" s="1">
        <f ca="1">IFERROR(__xludf.DUMMYFUNCTION("""COMPUTED_VALUE"""),0.447)</f>
        <v>0.44700000000000001</v>
      </c>
      <c r="T84" s="1">
        <f ca="1">IFERROR(__xludf.DUMMYFUNCTION("""COMPUTED_VALUE"""),279)</f>
        <v>279</v>
      </c>
      <c r="U84" s="1">
        <f ca="1">IFERROR(__xludf.DUMMYFUNCTION("""COMPUTED_VALUE"""),720)</f>
        <v>720</v>
      </c>
      <c r="V84" s="1">
        <f ca="1">IFERROR(__xludf.DUMMYFUNCTION("""COMPUTED_VALUE"""),0.388)</f>
        <v>0.38800000000000001</v>
      </c>
      <c r="W84" s="1">
        <f ca="1">IFERROR(__xludf.DUMMYFUNCTION("""COMPUTED_VALUE"""),467)</f>
        <v>467</v>
      </c>
      <c r="X84" s="1">
        <f ca="1">IFERROR(__xludf.DUMMYFUNCTION("""COMPUTED_VALUE"""),651)</f>
        <v>651</v>
      </c>
      <c r="Y84" s="1">
        <f ca="1">IFERROR(__xludf.DUMMYFUNCTION("""COMPUTED_VALUE"""),0.717)</f>
        <v>0.71699999999999997</v>
      </c>
      <c r="Z84" s="1">
        <f ca="1">IFERROR(__xludf.DUMMYFUNCTION("""COMPUTED_VALUE"""),257)</f>
        <v>257</v>
      </c>
      <c r="AA84" s="1">
        <f ca="1">IFERROR(__xludf.DUMMYFUNCTION("""COMPUTED_VALUE"""),926)</f>
        <v>926</v>
      </c>
      <c r="AB84" s="1">
        <f ca="1">IFERROR(__xludf.DUMMYFUNCTION("""COMPUTED_VALUE"""),433)</f>
        <v>433</v>
      </c>
      <c r="AC84" s="1">
        <f ca="1">IFERROR(__xludf.DUMMYFUNCTION("""COMPUTED_VALUE"""),183)</f>
        <v>183</v>
      </c>
      <c r="AD84" s="1">
        <f ca="1">IFERROR(__xludf.DUMMYFUNCTION("""COMPUTED_VALUE"""),70)</f>
        <v>70</v>
      </c>
      <c r="AE84" s="1">
        <f ca="1">IFERROR(__xludf.DUMMYFUNCTION("""COMPUTED_VALUE"""),440)</f>
        <v>440</v>
      </c>
      <c r="AF84" s="1">
        <f ca="1">IFERROR(__xludf.DUMMYFUNCTION("""COMPUTED_VALUE"""),625)</f>
        <v>625</v>
      </c>
    </row>
    <row r="85" spans="1:32" ht="12.5" x14ac:dyDescent="0.25">
      <c r="A85" s="1" t="str">
        <f ca="1">IFERROR(__xludf.DUMMYFUNCTION("""COMPUTED_VALUE"""),"Drexel")</f>
        <v>Drexel</v>
      </c>
      <c r="B85" s="1">
        <f ca="1">IFERROR(__xludf.DUMMYFUNCTION("""COMPUTED_VALUE"""),31)</f>
        <v>31</v>
      </c>
      <c r="C85" s="1">
        <f ca="1">IFERROR(__xludf.DUMMYFUNCTION("""COMPUTED_VALUE"""),13)</f>
        <v>13</v>
      </c>
      <c r="D85" s="1">
        <f ca="1">IFERROR(__xludf.DUMMYFUNCTION("""COMPUTED_VALUE"""),18)</f>
        <v>18</v>
      </c>
      <c r="E85" s="1">
        <f ca="1">IFERROR(__xludf.DUMMYFUNCTION("""COMPUTED_VALUE"""),0.419)</f>
        <v>0.41899999999999998</v>
      </c>
      <c r="F85" s="1">
        <f ca="1">IFERROR(__xludf.DUMMYFUNCTION("""COMPUTED_VALUE"""),-1.08)</f>
        <v>-1.08</v>
      </c>
      <c r="G85" s="1">
        <f ca="1">IFERROR(__xludf.DUMMYFUNCTION("""COMPUTED_VALUE"""),-0.98)</f>
        <v>-0.98</v>
      </c>
      <c r="H85" s="1">
        <f ca="1">IFERROR(__xludf.DUMMYFUNCTION("""COMPUTED_VALUE"""),9)</f>
        <v>9</v>
      </c>
      <c r="I85" s="1">
        <f ca="1">IFERROR(__xludf.DUMMYFUNCTION("""COMPUTED_VALUE"""),9)</f>
        <v>9</v>
      </c>
      <c r="J85" s="1">
        <f ca="1">IFERROR(__xludf.DUMMYFUNCTION("""COMPUTED_VALUE"""),5)</f>
        <v>5</v>
      </c>
      <c r="K85" s="1">
        <f ca="1">IFERROR(__xludf.DUMMYFUNCTION("""COMPUTED_VALUE"""),8)</f>
        <v>8</v>
      </c>
      <c r="L85" s="1">
        <f ca="1">IFERROR(__xludf.DUMMYFUNCTION("""COMPUTED_VALUE"""),7)</f>
        <v>7</v>
      </c>
      <c r="M85" s="1">
        <f ca="1">IFERROR(__xludf.DUMMYFUNCTION("""COMPUTED_VALUE"""),7)</f>
        <v>7</v>
      </c>
      <c r="N85" s="1">
        <f ca="1">IFERROR(__xludf.DUMMYFUNCTION("""COMPUTED_VALUE"""),1953)</f>
        <v>1953</v>
      </c>
      <c r="O85" s="1">
        <f ca="1">IFERROR(__xludf.DUMMYFUNCTION("""COMPUTED_VALUE"""),1956)</f>
        <v>1956</v>
      </c>
      <c r="P85" s="1">
        <f ca="1">IFERROR(__xludf.DUMMYFUNCTION("""COMPUTED_VALUE"""),1265)</f>
        <v>1265</v>
      </c>
      <c r="Q85" s="1">
        <f ca="1">IFERROR(__xludf.DUMMYFUNCTION("""COMPUTED_VALUE"""),680)</f>
        <v>680</v>
      </c>
      <c r="R85" s="1">
        <f ca="1">IFERROR(__xludf.DUMMYFUNCTION("""COMPUTED_VALUE"""),1651)</f>
        <v>1651</v>
      </c>
      <c r="S85" s="1">
        <f ca="1">IFERROR(__xludf.DUMMYFUNCTION("""COMPUTED_VALUE"""),0.412)</f>
        <v>0.41199999999999998</v>
      </c>
      <c r="T85" s="1">
        <f ca="1">IFERROR(__xludf.DUMMYFUNCTION("""COMPUTED_VALUE"""),181)</f>
        <v>181</v>
      </c>
      <c r="U85" s="1">
        <f ca="1">IFERROR(__xludf.DUMMYFUNCTION("""COMPUTED_VALUE"""),540)</f>
        <v>540</v>
      </c>
      <c r="V85" s="1">
        <f ca="1">IFERROR(__xludf.DUMMYFUNCTION("""COMPUTED_VALUE"""),0.335)</f>
        <v>0.33500000000000002</v>
      </c>
      <c r="W85" s="1">
        <f ca="1">IFERROR(__xludf.DUMMYFUNCTION("""COMPUTED_VALUE"""),412)</f>
        <v>412</v>
      </c>
      <c r="X85" s="1">
        <f ca="1">IFERROR(__xludf.DUMMYFUNCTION("""COMPUTED_VALUE"""),553)</f>
        <v>553</v>
      </c>
      <c r="Y85" s="1">
        <f ca="1">IFERROR(__xludf.DUMMYFUNCTION("""COMPUTED_VALUE"""),0.745)</f>
        <v>0.745</v>
      </c>
      <c r="Z85" s="1">
        <f ca="1">IFERROR(__xludf.DUMMYFUNCTION("""COMPUTED_VALUE"""),347)</f>
        <v>347</v>
      </c>
      <c r="AA85" s="1">
        <f ca="1">IFERROR(__xludf.DUMMYFUNCTION("""COMPUTED_VALUE"""),965)</f>
        <v>965</v>
      </c>
      <c r="AB85" s="1">
        <f ca="1">IFERROR(__xludf.DUMMYFUNCTION("""COMPUTED_VALUE"""),363)</f>
        <v>363</v>
      </c>
      <c r="AC85" s="1">
        <f ca="1">IFERROR(__xludf.DUMMYFUNCTION("""COMPUTED_VALUE"""),158)</f>
        <v>158</v>
      </c>
      <c r="AD85" s="1">
        <f ca="1">IFERROR(__xludf.DUMMYFUNCTION("""COMPUTED_VALUE"""),58)</f>
        <v>58</v>
      </c>
      <c r="AE85" s="1">
        <f ca="1">IFERROR(__xludf.DUMMYFUNCTION("""COMPUTED_VALUE"""),366)</f>
        <v>366</v>
      </c>
      <c r="AF85" s="1">
        <f ca="1">IFERROR(__xludf.DUMMYFUNCTION("""COMPUTED_VALUE"""),579)</f>
        <v>579</v>
      </c>
    </row>
    <row r="86" spans="1:32" ht="12.5" x14ac:dyDescent="0.25">
      <c r="A86" s="1" t="str">
        <f ca="1">IFERROR(__xludf.DUMMYFUNCTION("""COMPUTED_VALUE"""),"DukeNCAA")</f>
        <v>DukeNCAA</v>
      </c>
      <c r="B86" s="1">
        <f ca="1">IFERROR(__xludf.DUMMYFUNCTION("""COMPUTED_VALUE"""),36)</f>
        <v>36</v>
      </c>
      <c r="C86" s="1">
        <f ca="1">IFERROR(__xludf.DUMMYFUNCTION("""COMPUTED_VALUE"""),30)</f>
        <v>30</v>
      </c>
      <c r="D86" s="1">
        <f ca="1">IFERROR(__xludf.DUMMYFUNCTION("""COMPUTED_VALUE"""),6)</f>
        <v>6</v>
      </c>
      <c r="E86" s="1">
        <f ca="1">IFERROR(__xludf.DUMMYFUNCTION("""COMPUTED_VALUE"""),0.833)</f>
        <v>0.83299999999999996</v>
      </c>
      <c r="F86" s="1">
        <f ca="1">IFERROR(__xludf.DUMMYFUNCTION("""COMPUTED_VALUE"""),21.43)</f>
        <v>21.43</v>
      </c>
      <c r="G86" s="1">
        <f ca="1">IFERROR(__xludf.DUMMYFUNCTION("""COMPUTED_VALUE"""),9.54)</f>
        <v>9.5399999999999991</v>
      </c>
      <c r="H86" s="1">
        <f ca="1">IFERROR(__xludf.DUMMYFUNCTION("""COMPUTED_VALUE"""),14)</f>
        <v>14</v>
      </c>
      <c r="I86" s="1">
        <f ca="1">IFERROR(__xludf.DUMMYFUNCTION("""COMPUTED_VALUE"""),4)</f>
        <v>4</v>
      </c>
      <c r="J86" s="1">
        <f ca="1">IFERROR(__xludf.DUMMYFUNCTION("""COMPUTED_VALUE"""),16)</f>
        <v>16</v>
      </c>
      <c r="K86" s="1">
        <f ca="1">IFERROR(__xludf.DUMMYFUNCTION("""COMPUTED_VALUE"""),0)</f>
        <v>0</v>
      </c>
      <c r="L86" s="1">
        <f ca="1">IFERROR(__xludf.DUMMYFUNCTION("""COMPUTED_VALUE"""),5)</f>
        <v>5</v>
      </c>
      <c r="M86" s="1">
        <f ca="1">IFERROR(__xludf.DUMMYFUNCTION("""COMPUTED_VALUE"""),4)</f>
        <v>4</v>
      </c>
      <c r="N86" s="1">
        <f ca="1">IFERROR(__xludf.DUMMYFUNCTION("""COMPUTED_VALUE"""),2778)</f>
        <v>2778</v>
      </c>
      <c r="O86" s="1">
        <f ca="1">IFERROR(__xludf.DUMMYFUNCTION("""COMPUTED_VALUE"""),2350)</f>
        <v>2350</v>
      </c>
      <c r="P86" s="1">
        <f ca="1">IFERROR(__xludf.DUMMYFUNCTION("""COMPUTED_VALUE"""),1440)</f>
        <v>1440</v>
      </c>
      <c r="Q86" s="1">
        <f ca="1">IFERROR(__xludf.DUMMYFUNCTION("""COMPUTED_VALUE"""),960)</f>
        <v>960</v>
      </c>
      <c r="R86" s="1">
        <f ca="1">IFERROR(__xludf.DUMMYFUNCTION("""COMPUTED_VALUE"""),2033)</f>
        <v>2033</v>
      </c>
      <c r="S86" s="1">
        <f ca="1">IFERROR(__xludf.DUMMYFUNCTION("""COMPUTED_VALUE"""),0.472)</f>
        <v>0.47199999999999998</v>
      </c>
      <c r="T86" s="1">
        <f ca="1">IFERROR(__xludf.DUMMYFUNCTION("""COMPUTED_VALUE"""),270)</f>
        <v>270</v>
      </c>
      <c r="U86" s="1">
        <f ca="1">IFERROR(__xludf.DUMMYFUNCTION("""COMPUTED_VALUE"""),676)</f>
        <v>676</v>
      </c>
      <c r="V86" s="1">
        <f ca="1">IFERROR(__xludf.DUMMYFUNCTION("""COMPUTED_VALUE"""),0.399)</f>
        <v>0.39900000000000002</v>
      </c>
      <c r="W86" s="1">
        <f ca="1">IFERROR(__xludf.DUMMYFUNCTION("""COMPUTED_VALUE"""),588)</f>
        <v>588</v>
      </c>
      <c r="X86" s="1">
        <f ca="1">IFERROR(__xludf.DUMMYFUNCTION("""COMPUTED_VALUE"""),796)</f>
        <v>796</v>
      </c>
      <c r="Y86" s="1">
        <f ca="1">IFERROR(__xludf.DUMMYFUNCTION("""COMPUTED_VALUE"""),0.739)</f>
        <v>0.73899999999999999</v>
      </c>
      <c r="Z86" s="1">
        <f ca="1">IFERROR(__xludf.DUMMYFUNCTION("""COMPUTED_VALUE"""),337)</f>
        <v>337</v>
      </c>
      <c r="AA86" s="1">
        <f ca="1">IFERROR(__xludf.DUMMYFUNCTION("""COMPUTED_VALUE"""),1119)</f>
        <v>1119</v>
      </c>
      <c r="AB86" s="1">
        <f ca="1">IFERROR(__xludf.DUMMYFUNCTION("""COMPUTED_VALUE"""),515)</f>
        <v>515</v>
      </c>
      <c r="AC86" s="1">
        <f ca="1">IFERROR(__xludf.DUMMYFUNCTION("""COMPUTED_VALUE"""),232)</f>
        <v>232</v>
      </c>
      <c r="AD86" s="1">
        <f ca="1">IFERROR(__xludf.DUMMYFUNCTION("""COMPUTED_VALUE"""),135)</f>
        <v>135</v>
      </c>
      <c r="AE86" s="1">
        <f ca="1">IFERROR(__xludf.DUMMYFUNCTION("""COMPUTED_VALUE"""),383)</f>
        <v>383</v>
      </c>
      <c r="AF86" s="1">
        <f ca="1">IFERROR(__xludf.DUMMYFUNCTION("""COMPUTED_VALUE"""),645)</f>
        <v>645</v>
      </c>
    </row>
    <row r="87" spans="1:32" ht="12.5" x14ac:dyDescent="0.25">
      <c r="A87" s="1" t="str">
        <f ca="1">IFERROR(__xludf.DUMMYFUNCTION("""COMPUTED_VALUE"""),"Duquesne")</f>
        <v>Duquesne</v>
      </c>
      <c r="B87" s="1">
        <f ca="1">IFERROR(__xludf.DUMMYFUNCTION("""COMPUTED_VALUE"""),30)</f>
        <v>30</v>
      </c>
      <c r="C87" s="1">
        <f ca="1">IFERROR(__xludf.DUMMYFUNCTION("""COMPUTED_VALUE"""),8)</f>
        <v>8</v>
      </c>
      <c r="D87" s="1">
        <f ca="1">IFERROR(__xludf.DUMMYFUNCTION("""COMPUTED_VALUE"""),22)</f>
        <v>22</v>
      </c>
      <c r="E87" s="1">
        <f ca="1">IFERROR(__xludf.DUMMYFUNCTION("""COMPUTED_VALUE"""),0.267)</f>
        <v>0.26700000000000002</v>
      </c>
      <c r="F87" s="1">
        <f ca="1">IFERROR(__xludf.DUMMYFUNCTION("""COMPUTED_VALUE"""),-4.54)</f>
        <v>-4.54</v>
      </c>
      <c r="G87" s="1">
        <f ca="1">IFERROR(__xludf.DUMMYFUNCTION("""COMPUTED_VALUE"""),3.5)</f>
        <v>3.5</v>
      </c>
      <c r="H87" s="1">
        <f ca="1">IFERROR(__xludf.DUMMYFUNCTION("""COMPUTED_VALUE"""),1)</f>
        <v>1</v>
      </c>
      <c r="I87" s="1">
        <f ca="1">IFERROR(__xludf.DUMMYFUNCTION("""COMPUTED_VALUE"""),15)</f>
        <v>15</v>
      </c>
      <c r="J87" s="1">
        <f ca="1">IFERROR(__xludf.DUMMYFUNCTION("""COMPUTED_VALUE"""),6)</f>
        <v>6</v>
      </c>
      <c r="K87" s="1">
        <f ca="1">IFERROR(__xludf.DUMMYFUNCTION("""COMPUTED_VALUE"""),9)</f>
        <v>9</v>
      </c>
      <c r="L87" s="1">
        <f ca="1">IFERROR(__xludf.DUMMYFUNCTION("""COMPUTED_VALUE"""),2)</f>
        <v>2</v>
      </c>
      <c r="M87" s="1">
        <f ca="1">IFERROR(__xludf.DUMMYFUNCTION("""COMPUTED_VALUE"""),12)</f>
        <v>12</v>
      </c>
      <c r="N87" s="1">
        <f ca="1">IFERROR(__xludf.DUMMYFUNCTION("""COMPUTED_VALUE"""),2028)</f>
        <v>2028</v>
      </c>
      <c r="O87" s="1">
        <f ca="1">IFERROR(__xludf.DUMMYFUNCTION("""COMPUTED_VALUE"""),2269)</f>
        <v>2269</v>
      </c>
      <c r="P87" s="1">
        <f ca="1">IFERROR(__xludf.DUMMYFUNCTION("""COMPUTED_VALUE"""),1210)</f>
        <v>1210</v>
      </c>
      <c r="Q87" s="1">
        <f ca="1">IFERROR(__xludf.DUMMYFUNCTION("""COMPUTED_VALUE"""),714)</f>
        <v>714</v>
      </c>
      <c r="R87" s="1">
        <f ca="1">IFERROR(__xludf.DUMMYFUNCTION("""COMPUTED_VALUE"""),1747)</f>
        <v>1747</v>
      </c>
      <c r="S87" s="1">
        <f ca="1">IFERROR(__xludf.DUMMYFUNCTION("""COMPUTED_VALUE"""),0.409)</f>
        <v>0.40899999999999997</v>
      </c>
      <c r="T87" s="1">
        <f ca="1">IFERROR(__xludf.DUMMYFUNCTION("""COMPUTED_VALUE"""),244)</f>
        <v>244</v>
      </c>
      <c r="U87" s="1">
        <f ca="1">IFERROR(__xludf.DUMMYFUNCTION("""COMPUTED_VALUE"""),722)</f>
        <v>722</v>
      </c>
      <c r="V87" s="1">
        <f ca="1">IFERROR(__xludf.DUMMYFUNCTION("""COMPUTED_VALUE"""),0.338)</f>
        <v>0.33800000000000002</v>
      </c>
      <c r="W87" s="1">
        <f ca="1">IFERROR(__xludf.DUMMYFUNCTION("""COMPUTED_VALUE"""),356)</f>
        <v>356</v>
      </c>
      <c r="X87" s="1">
        <f ca="1">IFERROR(__xludf.DUMMYFUNCTION("""COMPUTED_VALUE"""),553)</f>
        <v>553</v>
      </c>
      <c r="Y87" s="1">
        <f ca="1">IFERROR(__xludf.DUMMYFUNCTION("""COMPUTED_VALUE"""),0.644)</f>
        <v>0.64400000000000002</v>
      </c>
      <c r="Z87" s="1">
        <f ca="1">IFERROR(__xludf.DUMMYFUNCTION("""COMPUTED_VALUE"""),348)</f>
        <v>348</v>
      </c>
      <c r="AA87" s="1">
        <f ca="1">IFERROR(__xludf.DUMMYFUNCTION("""COMPUTED_VALUE"""),967)</f>
        <v>967</v>
      </c>
      <c r="AB87" s="1">
        <f ca="1">IFERROR(__xludf.DUMMYFUNCTION("""COMPUTED_VALUE"""),383)</f>
        <v>383</v>
      </c>
      <c r="AC87" s="1">
        <f ca="1">IFERROR(__xludf.DUMMYFUNCTION("""COMPUTED_VALUE"""),156)</f>
        <v>156</v>
      </c>
      <c r="AD87" s="1">
        <f ca="1">IFERROR(__xludf.DUMMYFUNCTION("""COMPUTED_VALUE"""),107)</f>
        <v>107</v>
      </c>
      <c r="AE87" s="1">
        <f ca="1">IFERROR(__xludf.DUMMYFUNCTION("""COMPUTED_VALUE"""),437)</f>
        <v>437</v>
      </c>
      <c r="AF87" s="1">
        <f ca="1">IFERROR(__xludf.DUMMYFUNCTION("""COMPUTED_VALUE"""),523)</f>
        <v>523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IFERROR(__xludf.DUMMYFUNCTION("""COMPUTED_VALUE"""),"East Carolina")</f>
        <v>East Carolina</v>
      </c>
      <c r="B90" s="1">
        <f ca="1">IFERROR(__xludf.DUMMYFUNCTION("""COMPUTED_VALUE"""),35)</f>
        <v>35</v>
      </c>
      <c r="C90" s="1">
        <f ca="1">IFERROR(__xludf.DUMMYFUNCTION("""COMPUTED_VALUE"""),23)</f>
        <v>23</v>
      </c>
      <c r="D90" s="1">
        <f ca="1">IFERROR(__xludf.DUMMYFUNCTION("""COMPUTED_VALUE"""),12)</f>
        <v>12</v>
      </c>
      <c r="E90" s="1">
        <f ca="1">IFERROR(__xludf.DUMMYFUNCTION("""COMPUTED_VALUE"""),0.657)</f>
        <v>0.65700000000000003</v>
      </c>
      <c r="F90" s="1">
        <f ca="1">IFERROR(__xludf.DUMMYFUNCTION("""COMPUTED_VALUE"""),2.56)</f>
        <v>2.56</v>
      </c>
      <c r="G90" s="1">
        <f ca="1">IFERROR(__xludf.DUMMYFUNCTION("""COMPUTED_VALUE"""),0.81)</f>
        <v>0.81</v>
      </c>
      <c r="H90" s="1">
        <f ca="1">IFERROR(__xludf.DUMMYFUNCTION("""COMPUTED_VALUE"""),9)</f>
        <v>9</v>
      </c>
      <c r="I90" s="1">
        <f ca="1">IFERROR(__xludf.DUMMYFUNCTION("""COMPUTED_VALUE"""),7)</f>
        <v>7</v>
      </c>
      <c r="J90" s="1">
        <f ca="1">IFERROR(__xludf.DUMMYFUNCTION("""COMPUTED_VALUE"""),17)</f>
        <v>17</v>
      </c>
      <c r="K90" s="1">
        <f ca="1">IFERROR(__xludf.DUMMYFUNCTION("""COMPUTED_VALUE"""),4)</f>
        <v>4</v>
      </c>
      <c r="L90" s="1">
        <f ca="1">IFERROR(__xludf.DUMMYFUNCTION("""COMPUTED_VALUE"""),6)</f>
        <v>6</v>
      </c>
      <c r="M90" s="1">
        <f ca="1">IFERROR(__xludf.DUMMYFUNCTION("""COMPUTED_VALUE"""),7)</f>
        <v>7</v>
      </c>
      <c r="N90" s="1">
        <f ca="1">IFERROR(__xludf.DUMMYFUNCTION("""COMPUTED_VALUE"""),2679)</f>
        <v>2679</v>
      </c>
      <c r="O90" s="1">
        <f ca="1">IFERROR(__xludf.DUMMYFUNCTION("""COMPUTED_VALUE"""),2484)</f>
        <v>2484</v>
      </c>
      <c r="P90" s="1">
        <f ca="1">IFERROR(__xludf.DUMMYFUNCTION("""COMPUTED_VALUE"""),1415)</f>
        <v>1415</v>
      </c>
      <c r="Q90" s="1">
        <f ca="1">IFERROR(__xludf.DUMMYFUNCTION("""COMPUTED_VALUE"""),922)</f>
        <v>922</v>
      </c>
      <c r="R90" s="1">
        <f ca="1">IFERROR(__xludf.DUMMYFUNCTION("""COMPUTED_VALUE"""),2039)</f>
        <v>2039</v>
      </c>
      <c r="S90" s="1">
        <f ca="1">IFERROR(__xludf.DUMMYFUNCTION("""COMPUTED_VALUE"""),0.452)</f>
        <v>0.45200000000000001</v>
      </c>
      <c r="T90" s="1">
        <f ca="1">IFERROR(__xludf.DUMMYFUNCTION("""COMPUTED_VALUE"""),274)</f>
        <v>274</v>
      </c>
      <c r="U90" s="1">
        <f ca="1">IFERROR(__xludf.DUMMYFUNCTION("""COMPUTED_VALUE"""),784)</f>
        <v>784</v>
      </c>
      <c r="V90" s="1">
        <f ca="1">IFERROR(__xludf.DUMMYFUNCTION("""COMPUTED_VALUE"""),0.349)</f>
        <v>0.34899999999999998</v>
      </c>
      <c r="W90" s="1">
        <f ca="1">IFERROR(__xludf.DUMMYFUNCTION("""COMPUTED_VALUE"""),561)</f>
        <v>561</v>
      </c>
      <c r="X90" s="1">
        <f ca="1">IFERROR(__xludf.DUMMYFUNCTION("""COMPUTED_VALUE"""),784)</f>
        <v>784</v>
      </c>
      <c r="Y90" s="1">
        <f ca="1">IFERROR(__xludf.DUMMYFUNCTION("""COMPUTED_VALUE"""),0.716)</f>
        <v>0.71599999999999997</v>
      </c>
      <c r="Z90" s="1">
        <f ca="1">IFERROR(__xludf.DUMMYFUNCTION("""COMPUTED_VALUE"""),375)</f>
        <v>375</v>
      </c>
      <c r="AA90" s="1">
        <f ca="1">IFERROR(__xludf.DUMMYFUNCTION("""COMPUTED_VALUE"""),1160)</f>
        <v>1160</v>
      </c>
      <c r="AB90" s="1">
        <f ca="1">IFERROR(__xludf.DUMMYFUNCTION("""COMPUTED_VALUE"""),603)</f>
        <v>603</v>
      </c>
      <c r="AC90" s="1">
        <f ca="1">IFERROR(__xludf.DUMMYFUNCTION("""COMPUTED_VALUE"""),279)</f>
        <v>279</v>
      </c>
      <c r="AD90" s="1">
        <f ca="1">IFERROR(__xludf.DUMMYFUNCTION("""COMPUTED_VALUE"""),156)</f>
        <v>156</v>
      </c>
      <c r="AE90" s="1">
        <f ca="1">IFERROR(__xludf.DUMMYFUNCTION("""COMPUTED_VALUE"""),444)</f>
        <v>444</v>
      </c>
      <c r="AF90" s="1">
        <f ca="1">IFERROR(__xludf.DUMMYFUNCTION("""COMPUTED_VALUE"""),618)</f>
        <v>618</v>
      </c>
    </row>
    <row r="91" spans="1:32" ht="12.5" x14ac:dyDescent="0.25">
      <c r="A91" s="1" t="str">
        <f ca="1">IFERROR(__xludf.DUMMYFUNCTION("""COMPUTED_VALUE"""),"East Tennessee State")</f>
        <v>East Tennessee State</v>
      </c>
      <c r="B91" s="1">
        <f ca="1">IFERROR(__xludf.DUMMYFUNCTION("""COMPUTED_VALUE"""),32)</f>
        <v>32</v>
      </c>
      <c r="C91" s="1">
        <f ca="1">IFERROR(__xludf.DUMMYFUNCTION("""COMPUTED_VALUE"""),10)</f>
        <v>10</v>
      </c>
      <c r="D91" s="1">
        <f ca="1">IFERROR(__xludf.DUMMYFUNCTION("""COMPUTED_VALUE"""),22)</f>
        <v>22</v>
      </c>
      <c r="E91" s="1">
        <f ca="1">IFERROR(__xludf.DUMMYFUNCTION("""COMPUTED_VALUE"""),0.313)</f>
        <v>0.313</v>
      </c>
      <c r="F91" s="1">
        <f ca="1">IFERROR(__xludf.DUMMYFUNCTION("""COMPUTED_VALUE"""),-13.15)</f>
        <v>-13.15</v>
      </c>
      <c r="G91" s="1">
        <f ca="1">IFERROR(__xludf.DUMMYFUNCTION("""COMPUTED_VALUE"""),-2.25)</f>
        <v>-2.25</v>
      </c>
      <c r="H91" s="1">
        <f ca="1">IFERROR(__xludf.DUMMYFUNCTION("""COMPUTED_VALUE"""),8)</f>
        <v>8</v>
      </c>
      <c r="I91" s="1">
        <f ca="1">IFERROR(__xludf.DUMMYFUNCTION("""COMPUTED_VALUE"""),10)</f>
        <v>10</v>
      </c>
      <c r="J91" s="1">
        <f ca="1">IFERROR(__xludf.DUMMYFUNCTION("""COMPUTED_VALUE"""),5)</f>
        <v>5</v>
      </c>
      <c r="K91" s="1">
        <f ca="1">IFERROR(__xludf.DUMMYFUNCTION("""COMPUTED_VALUE"""),8)</f>
        <v>8</v>
      </c>
      <c r="L91" s="1">
        <f ca="1">IFERROR(__xludf.DUMMYFUNCTION("""COMPUTED_VALUE"""),5)</f>
        <v>5</v>
      </c>
      <c r="M91" s="1">
        <f ca="1">IFERROR(__xludf.DUMMYFUNCTION("""COMPUTED_VALUE"""),10)</f>
        <v>10</v>
      </c>
      <c r="N91" s="1">
        <f ca="1">IFERROR(__xludf.DUMMYFUNCTION("""COMPUTED_VALUE"""),1994)</f>
        <v>1994</v>
      </c>
      <c r="O91" s="1">
        <f ca="1">IFERROR(__xludf.DUMMYFUNCTION("""COMPUTED_VALUE"""),2284)</f>
        <v>2284</v>
      </c>
      <c r="P91" s="1">
        <f ca="1">IFERROR(__xludf.DUMMYFUNCTION("""COMPUTED_VALUE"""),1285)</f>
        <v>1285</v>
      </c>
      <c r="Q91" s="1">
        <f ca="1">IFERROR(__xludf.DUMMYFUNCTION("""COMPUTED_VALUE"""),708)</f>
        <v>708</v>
      </c>
      <c r="R91" s="1">
        <f ca="1">IFERROR(__xludf.DUMMYFUNCTION("""COMPUTED_VALUE"""),1751)</f>
        <v>1751</v>
      </c>
      <c r="S91" s="1">
        <f ca="1">IFERROR(__xludf.DUMMYFUNCTION("""COMPUTED_VALUE"""),0.404)</f>
        <v>0.40400000000000003</v>
      </c>
      <c r="T91" s="1">
        <f ca="1">IFERROR(__xludf.DUMMYFUNCTION("""COMPUTED_VALUE"""),208)</f>
        <v>208</v>
      </c>
      <c r="U91" s="1">
        <f ca="1">IFERROR(__xludf.DUMMYFUNCTION("""COMPUTED_VALUE"""),637)</f>
        <v>637</v>
      </c>
      <c r="V91" s="1">
        <f ca="1">IFERROR(__xludf.DUMMYFUNCTION("""COMPUTED_VALUE"""),0.327)</f>
        <v>0.32700000000000001</v>
      </c>
      <c r="W91" s="1">
        <f ca="1">IFERROR(__xludf.DUMMYFUNCTION("""COMPUTED_VALUE"""),370)</f>
        <v>370</v>
      </c>
      <c r="X91" s="1">
        <f ca="1">IFERROR(__xludf.DUMMYFUNCTION("""COMPUTED_VALUE"""),554)</f>
        <v>554</v>
      </c>
      <c r="Y91" s="1">
        <f ca="1">IFERROR(__xludf.DUMMYFUNCTION("""COMPUTED_VALUE"""),0.668)</f>
        <v>0.66800000000000004</v>
      </c>
      <c r="Z91" s="1">
        <f ca="1">IFERROR(__xludf.DUMMYFUNCTION("""COMPUTED_VALUE"""),312)</f>
        <v>312</v>
      </c>
      <c r="AA91" s="1">
        <f ca="1">IFERROR(__xludf.DUMMYFUNCTION("""COMPUTED_VALUE"""),897)</f>
        <v>897</v>
      </c>
      <c r="AB91" s="1">
        <f ca="1">IFERROR(__xludf.DUMMYFUNCTION("""COMPUTED_VALUE"""),323)</f>
        <v>323</v>
      </c>
      <c r="AC91" s="1">
        <f ca="1">IFERROR(__xludf.DUMMYFUNCTION("""COMPUTED_VALUE"""),203)</f>
        <v>203</v>
      </c>
      <c r="AD91" s="1">
        <f ca="1">IFERROR(__xludf.DUMMYFUNCTION("""COMPUTED_VALUE"""),71)</f>
        <v>71</v>
      </c>
      <c r="AE91" s="1">
        <f ca="1">IFERROR(__xludf.DUMMYFUNCTION("""COMPUTED_VALUE"""),423)</f>
        <v>423</v>
      </c>
      <c r="AF91" s="1">
        <f ca="1">IFERROR(__xludf.DUMMYFUNCTION("""COMPUTED_VALUE"""),512)</f>
        <v>512</v>
      </c>
    </row>
    <row r="92" spans="1:32" ht="12.5" x14ac:dyDescent="0.25">
      <c r="A92" s="1" t="str">
        <f ca="1">IFERROR(__xludf.DUMMYFUNCTION("""COMPUTED_VALUE"""),"Eastern Illinois")</f>
        <v>Eastern Illinois</v>
      </c>
      <c r="B92" s="1">
        <f ca="1">IFERROR(__xludf.DUMMYFUNCTION("""COMPUTED_VALUE"""),32)</f>
        <v>32</v>
      </c>
      <c r="C92" s="1">
        <f ca="1">IFERROR(__xludf.DUMMYFUNCTION("""COMPUTED_VALUE"""),11)</f>
        <v>11</v>
      </c>
      <c r="D92" s="1">
        <f ca="1">IFERROR(__xludf.DUMMYFUNCTION("""COMPUTED_VALUE"""),21)</f>
        <v>21</v>
      </c>
      <c r="E92" s="1">
        <f ca="1">IFERROR(__xludf.DUMMYFUNCTION("""COMPUTED_VALUE"""),0.344)</f>
        <v>0.34399999999999997</v>
      </c>
      <c r="F92" s="1">
        <f ca="1">IFERROR(__xludf.DUMMYFUNCTION("""COMPUTED_VALUE"""),-8.93)</f>
        <v>-8.93</v>
      </c>
      <c r="G92" s="1">
        <f ca="1">IFERROR(__xludf.DUMMYFUNCTION("""COMPUTED_VALUE"""),-5.09)</f>
        <v>-5.09</v>
      </c>
      <c r="H92" s="1">
        <f ca="1">IFERROR(__xludf.DUMMYFUNCTION("""COMPUTED_VALUE"""),6)</f>
        <v>6</v>
      </c>
      <c r="I92" s="1">
        <f ca="1">IFERROR(__xludf.DUMMYFUNCTION("""COMPUTED_VALUE"""),10)</f>
        <v>10</v>
      </c>
      <c r="J92" s="1">
        <f ca="1">IFERROR(__xludf.DUMMYFUNCTION("""COMPUTED_VALUE"""),5)</f>
        <v>5</v>
      </c>
      <c r="K92" s="1">
        <f ca="1">IFERROR(__xludf.DUMMYFUNCTION("""COMPUTED_VALUE"""),9)</f>
        <v>9</v>
      </c>
      <c r="L92" s="1">
        <f ca="1">IFERROR(__xludf.DUMMYFUNCTION("""COMPUTED_VALUE"""),4)</f>
        <v>4</v>
      </c>
      <c r="M92" s="1">
        <f ca="1">IFERROR(__xludf.DUMMYFUNCTION("""COMPUTED_VALUE"""),11)</f>
        <v>11</v>
      </c>
      <c r="N92" s="1">
        <f ca="1">IFERROR(__xludf.DUMMYFUNCTION("""COMPUTED_VALUE"""),1933)</f>
        <v>1933</v>
      </c>
      <c r="O92" s="1">
        <f ca="1">IFERROR(__xludf.DUMMYFUNCTION("""COMPUTED_VALUE"""),2055)</f>
        <v>2055</v>
      </c>
      <c r="P92" s="1">
        <f ca="1">IFERROR(__xludf.DUMMYFUNCTION("""COMPUTED_VALUE"""),1285)</f>
        <v>1285</v>
      </c>
      <c r="Q92" s="1">
        <f ca="1">IFERROR(__xludf.DUMMYFUNCTION("""COMPUTED_VALUE"""),691)</f>
        <v>691</v>
      </c>
      <c r="R92" s="1">
        <f ca="1">IFERROR(__xludf.DUMMYFUNCTION("""COMPUTED_VALUE"""),1582)</f>
        <v>1582</v>
      </c>
      <c r="S92" s="1">
        <f ca="1">IFERROR(__xludf.DUMMYFUNCTION("""COMPUTED_VALUE"""),0.437)</f>
        <v>0.437</v>
      </c>
      <c r="T92" s="1">
        <f ca="1">IFERROR(__xludf.DUMMYFUNCTION("""COMPUTED_VALUE"""),192)</f>
        <v>192</v>
      </c>
      <c r="U92" s="1">
        <f ca="1">IFERROR(__xludf.DUMMYFUNCTION("""COMPUTED_VALUE"""),548)</f>
        <v>548</v>
      </c>
      <c r="V92" s="1">
        <f ca="1">IFERROR(__xludf.DUMMYFUNCTION("""COMPUTED_VALUE"""),0.35)</f>
        <v>0.35</v>
      </c>
      <c r="W92" s="1">
        <f ca="1">IFERROR(__xludf.DUMMYFUNCTION("""COMPUTED_VALUE"""),359)</f>
        <v>359</v>
      </c>
      <c r="X92" s="1">
        <f ca="1">IFERROR(__xludf.DUMMYFUNCTION("""COMPUTED_VALUE"""),541)</f>
        <v>541</v>
      </c>
      <c r="Y92" s="1">
        <f ca="1">IFERROR(__xludf.DUMMYFUNCTION("""COMPUTED_VALUE"""),0.664)</f>
        <v>0.66400000000000003</v>
      </c>
      <c r="Z92" s="1">
        <f ca="1">IFERROR(__xludf.DUMMYFUNCTION("""COMPUTED_VALUE"""),302)</f>
        <v>302</v>
      </c>
      <c r="AA92" s="1">
        <f ca="1">IFERROR(__xludf.DUMMYFUNCTION("""COMPUTED_VALUE"""),859)</f>
        <v>859</v>
      </c>
      <c r="AB92" s="1">
        <f ca="1">IFERROR(__xludf.DUMMYFUNCTION("""COMPUTED_VALUE"""),420)</f>
        <v>420</v>
      </c>
      <c r="AC92" s="1">
        <f ca="1">IFERROR(__xludf.DUMMYFUNCTION("""COMPUTED_VALUE"""),207)</f>
        <v>207</v>
      </c>
      <c r="AD92" s="1">
        <f ca="1">IFERROR(__xludf.DUMMYFUNCTION("""COMPUTED_VALUE"""),67)</f>
        <v>67</v>
      </c>
      <c r="AE92" s="1">
        <f ca="1">IFERROR(__xludf.DUMMYFUNCTION("""COMPUTED_VALUE"""),413)</f>
        <v>413</v>
      </c>
      <c r="AF92" s="1">
        <f ca="1">IFERROR(__xludf.DUMMYFUNCTION("""COMPUTED_VALUE"""),529)</f>
        <v>529</v>
      </c>
    </row>
    <row r="93" spans="1:32" ht="12.5" x14ac:dyDescent="0.25">
      <c r="A93" s="1" t="str">
        <f ca="1">IFERROR(__xludf.DUMMYFUNCTION("""COMPUTED_VALUE"""),"Eastern Kentucky")</f>
        <v>Eastern Kentucky</v>
      </c>
      <c r="B93" s="1">
        <f ca="1">IFERROR(__xludf.DUMMYFUNCTION("""COMPUTED_VALUE"""),35)</f>
        <v>35</v>
      </c>
      <c r="C93" s="1">
        <f ca="1">IFERROR(__xludf.DUMMYFUNCTION("""COMPUTED_VALUE"""),25)</f>
        <v>25</v>
      </c>
      <c r="D93" s="1">
        <f ca="1">IFERROR(__xludf.DUMMYFUNCTION("""COMPUTED_VALUE"""),10)</f>
        <v>10</v>
      </c>
      <c r="E93" s="1">
        <f ca="1">IFERROR(__xludf.DUMMYFUNCTION("""COMPUTED_VALUE"""),0.714)</f>
        <v>0.71399999999999997</v>
      </c>
      <c r="F93" s="1">
        <f ca="1">IFERROR(__xludf.DUMMYFUNCTION("""COMPUTED_VALUE"""),1.66)</f>
        <v>1.66</v>
      </c>
      <c r="G93" s="1">
        <f ca="1">IFERROR(__xludf.DUMMYFUNCTION("""COMPUTED_VALUE"""),-3.92)</f>
        <v>-3.92</v>
      </c>
      <c r="H93" s="1">
        <f ca="1">IFERROR(__xludf.DUMMYFUNCTION("""COMPUTED_VALUE"""),12)</f>
        <v>12</v>
      </c>
      <c r="I93" s="1">
        <f ca="1">IFERROR(__xludf.DUMMYFUNCTION("""COMPUTED_VALUE"""),4)</f>
        <v>4</v>
      </c>
      <c r="J93" s="1">
        <f ca="1">IFERROR(__xludf.DUMMYFUNCTION("""COMPUTED_VALUE"""),15)</f>
        <v>15</v>
      </c>
      <c r="K93" s="1">
        <f ca="1">IFERROR(__xludf.DUMMYFUNCTION("""COMPUTED_VALUE"""),1)</f>
        <v>1</v>
      </c>
      <c r="L93" s="1">
        <f ca="1">IFERROR(__xludf.DUMMYFUNCTION("""COMPUTED_VALUE"""),9)</f>
        <v>9</v>
      </c>
      <c r="M93" s="1">
        <f ca="1">IFERROR(__xludf.DUMMYFUNCTION("""COMPUTED_VALUE"""),8)</f>
        <v>8</v>
      </c>
      <c r="N93" s="1">
        <f ca="1">IFERROR(__xludf.DUMMYFUNCTION("""COMPUTED_VALUE"""),2586)</f>
        <v>2586</v>
      </c>
      <c r="O93" s="1">
        <f ca="1">IFERROR(__xludf.DUMMYFUNCTION("""COMPUTED_VALUE"""),2303)</f>
        <v>2303</v>
      </c>
      <c r="P93" s="1">
        <f ca="1">IFERROR(__xludf.DUMMYFUNCTION("""COMPUTED_VALUE"""),1410)</f>
        <v>1410</v>
      </c>
      <c r="Q93" s="1">
        <f ca="1">IFERROR(__xludf.DUMMYFUNCTION("""COMPUTED_VALUE"""),888)</f>
        <v>888</v>
      </c>
      <c r="R93" s="1">
        <f ca="1">IFERROR(__xludf.DUMMYFUNCTION("""COMPUTED_VALUE"""),1903)</f>
        <v>1903</v>
      </c>
      <c r="S93" s="1">
        <f ca="1">IFERROR(__xludf.DUMMYFUNCTION("""COMPUTED_VALUE"""),0.467)</f>
        <v>0.46700000000000003</v>
      </c>
      <c r="T93" s="1">
        <f ca="1">IFERROR(__xludf.DUMMYFUNCTION("""COMPUTED_VALUE"""),307)</f>
        <v>307</v>
      </c>
      <c r="U93" s="1">
        <f ca="1">IFERROR(__xludf.DUMMYFUNCTION("""COMPUTED_VALUE"""),865)</f>
        <v>865</v>
      </c>
      <c r="V93" s="1">
        <f ca="1">IFERROR(__xludf.DUMMYFUNCTION("""COMPUTED_VALUE"""),0.355)</f>
        <v>0.35499999999999998</v>
      </c>
      <c r="W93" s="1">
        <f ca="1">IFERROR(__xludf.DUMMYFUNCTION("""COMPUTED_VALUE"""),503)</f>
        <v>503</v>
      </c>
      <c r="X93" s="1">
        <f ca="1">IFERROR(__xludf.DUMMYFUNCTION("""COMPUTED_VALUE"""),644)</f>
        <v>644</v>
      </c>
      <c r="Y93" s="1">
        <f ca="1">IFERROR(__xludf.DUMMYFUNCTION("""COMPUTED_VALUE"""),0.781)</f>
        <v>0.78100000000000003</v>
      </c>
      <c r="Z93" s="1">
        <f ca="1">IFERROR(__xludf.DUMMYFUNCTION("""COMPUTED_VALUE"""),308)</f>
        <v>308</v>
      </c>
      <c r="AA93" s="1">
        <f ca="1">IFERROR(__xludf.DUMMYFUNCTION("""COMPUTED_VALUE"""),880)</f>
        <v>880</v>
      </c>
      <c r="AB93" s="1">
        <f ca="1">IFERROR(__xludf.DUMMYFUNCTION("""COMPUTED_VALUE"""),522)</f>
        <v>522</v>
      </c>
      <c r="AC93" s="1">
        <f ca="1">IFERROR(__xludf.DUMMYFUNCTION("""COMPUTED_VALUE"""),310)</f>
        <v>310</v>
      </c>
      <c r="AD93" s="1">
        <f ca="1">IFERROR(__xludf.DUMMYFUNCTION("""COMPUTED_VALUE"""),76)</f>
        <v>76</v>
      </c>
      <c r="AE93" s="1">
        <f ca="1">IFERROR(__xludf.DUMMYFUNCTION("""COMPUTED_VALUE"""),414)</f>
        <v>414</v>
      </c>
      <c r="AF93" s="1">
        <f ca="1">IFERROR(__xludf.DUMMYFUNCTION("""COMPUTED_VALUE"""),679)</f>
        <v>679</v>
      </c>
    </row>
    <row r="94" spans="1:32" ht="12.5" x14ac:dyDescent="0.25">
      <c r="A94" s="1" t="str">
        <f ca="1">IFERROR(__xludf.DUMMYFUNCTION("""COMPUTED_VALUE"""),"Eastern Michigan")</f>
        <v>Eastern Michigan</v>
      </c>
      <c r="B94" s="1">
        <f ca="1">IFERROR(__xludf.DUMMYFUNCTION("""COMPUTED_VALUE"""),34)</f>
        <v>34</v>
      </c>
      <c r="C94" s="1">
        <f ca="1">IFERROR(__xludf.DUMMYFUNCTION("""COMPUTED_VALUE"""),16)</f>
        <v>16</v>
      </c>
      <c r="D94" s="1">
        <f ca="1">IFERROR(__xludf.DUMMYFUNCTION("""COMPUTED_VALUE"""),18)</f>
        <v>18</v>
      </c>
      <c r="E94" s="1">
        <f ca="1">IFERROR(__xludf.DUMMYFUNCTION("""COMPUTED_VALUE"""),0.471)</f>
        <v>0.47099999999999997</v>
      </c>
      <c r="F94" s="1">
        <f ca="1">IFERROR(__xludf.DUMMYFUNCTION("""COMPUTED_VALUE"""),-6.25)</f>
        <v>-6.25</v>
      </c>
      <c r="G94" s="1">
        <f ca="1">IFERROR(__xludf.DUMMYFUNCTION("""COMPUTED_VALUE"""),-1.25)</f>
        <v>-1.25</v>
      </c>
      <c r="H94" s="1">
        <f ca="1">IFERROR(__xludf.DUMMYFUNCTION("""COMPUTED_VALUE"""),7)</f>
        <v>7</v>
      </c>
      <c r="I94" s="1">
        <f ca="1">IFERROR(__xludf.DUMMYFUNCTION("""COMPUTED_VALUE"""),9)</f>
        <v>9</v>
      </c>
      <c r="J94" s="1">
        <f ca="1">IFERROR(__xludf.DUMMYFUNCTION("""COMPUTED_VALUE"""),13)</f>
        <v>13</v>
      </c>
      <c r="K94" s="1">
        <f ca="1">IFERROR(__xludf.DUMMYFUNCTION("""COMPUTED_VALUE"""),5)</f>
        <v>5</v>
      </c>
      <c r="L94" s="1">
        <f ca="1">IFERROR(__xludf.DUMMYFUNCTION("""COMPUTED_VALUE"""),2)</f>
        <v>2</v>
      </c>
      <c r="M94" s="1">
        <f ca="1">IFERROR(__xludf.DUMMYFUNCTION("""COMPUTED_VALUE"""),12)</f>
        <v>12</v>
      </c>
      <c r="N94" s="1">
        <f ca="1">IFERROR(__xludf.DUMMYFUNCTION("""COMPUTED_VALUE"""),1926)</f>
        <v>1926</v>
      </c>
      <c r="O94" s="1">
        <f ca="1">IFERROR(__xludf.DUMMYFUNCTION("""COMPUTED_VALUE"""),2011)</f>
        <v>2011</v>
      </c>
      <c r="P94" s="1">
        <f ca="1">IFERROR(__xludf.DUMMYFUNCTION("""COMPUTED_VALUE"""),1365)</f>
        <v>1365</v>
      </c>
      <c r="Q94" s="1">
        <f ca="1">IFERROR(__xludf.DUMMYFUNCTION("""COMPUTED_VALUE"""),702)</f>
        <v>702</v>
      </c>
      <c r="R94" s="1">
        <f ca="1">IFERROR(__xludf.DUMMYFUNCTION("""COMPUTED_VALUE"""),1751)</f>
        <v>1751</v>
      </c>
      <c r="S94" s="1">
        <f ca="1">IFERROR(__xludf.DUMMYFUNCTION("""COMPUTED_VALUE"""),0.401)</f>
        <v>0.40100000000000002</v>
      </c>
      <c r="T94" s="1">
        <f ca="1">IFERROR(__xludf.DUMMYFUNCTION("""COMPUTED_VALUE"""),165)</f>
        <v>165</v>
      </c>
      <c r="U94" s="1">
        <f ca="1">IFERROR(__xludf.DUMMYFUNCTION("""COMPUTED_VALUE"""),500)</f>
        <v>500</v>
      </c>
      <c r="V94" s="1">
        <f ca="1">IFERROR(__xludf.DUMMYFUNCTION("""COMPUTED_VALUE"""),0.33)</f>
        <v>0.33</v>
      </c>
      <c r="W94" s="1">
        <f ca="1">IFERROR(__xludf.DUMMYFUNCTION("""COMPUTED_VALUE"""),357)</f>
        <v>357</v>
      </c>
      <c r="X94" s="1">
        <f ca="1">IFERROR(__xludf.DUMMYFUNCTION("""COMPUTED_VALUE"""),533)</f>
        <v>533</v>
      </c>
      <c r="Y94" s="1">
        <f ca="1">IFERROR(__xludf.DUMMYFUNCTION("""COMPUTED_VALUE"""),0.67)</f>
        <v>0.67</v>
      </c>
      <c r="Z94" s="1">
        <f ca="1">IFERROR(__xludf.DUMMYFUNCTION("""COMPUTED_VALUE"""),402)</f>
        <v>402</v>
      </c>
      <c r="AA94" s="1">
        <f ca="1">IFERROR(__xludf.DUMMYFUNCTION("""COMPUTED_VALUE"""),1014)</f>
        <v>1014</v>
      </c>
      <c r="AB94" s="1">
        <f ca="1">IFERROR(__xludf.DUMMYFUNCTION("""COMPUTED_VALUE"""),364)</f>
        <v>364</v>
      </c>
      <c r="AC94" s="1">
        <f ca="1">IFERROR(__xludf.DUMMYFUNCTION("""COMPUTED_VALUE"""),269)</f>
        <v>269</v>
      </c>
      <c r="AD94" s="1">
        <f ca="1">IFERROR(__xludf.DUMMYFUNCTION("""COMPUTED_VALUE"""),169)</f>
        <v>169</v>
      </c>
      <c r="AE94" s="1">
        <f ca="1">IFERROR(__xludf.DUMMYFUNCTION("""COMPUTED_VALUE"""),473)</f>
        <v>473</v>
      </c>
      <c r="AF94" s="1">
        <f ca="1">IFERROR(__xludf.DUMMYFUNCTION("""COMPUTED_VALUE"""),571)</f>
        <v>571</v>
      </c>
    </row>
    <row r="95" spans="1:32" ht="12.5" x14ac:dyDescent="0.25">
      <c r="A95" s="1" t="str">
        <f ca="1">IFERROR(__xludf.DUMMYFUNCTION("""COMPUTED_VALUE"""),"Eastern Washington")</f>
        <v>Eastern Washington</v>
      </c>
      <c r="B95" s="1">
        <f ca="1">IFERROR(__xludf.DUMMYFUNCTION("""COMPUTED_VALUE"""),31)</f>
        <v>31</v>
      </c>
      <c r="C95" s="1">
        <f ca="1">IFERROR(__xludf.DUMMYFUNCTION("""COMPUTED_VALUE"""),10)</f>
        <v>10</v>
      </c>
      <c r="D95" s="1">
        <f ca="1">IFERROR(__xludf.DUMMYFUNCTION("""COMPUTED_VALUE"""),21)</f>
        <v>21</v>
      </c>
      <c r="E95" s="1">
        <f ca="1">IFERROR(__xludf.DUMMYFUNCTION("""COMPUTED_VALUE"""),0.323)</f>
        <v>0.32300000000000001</v>
      </c>
      <c r="F95" s="1">
        <f ca="1">IFERROR(__xludf.DUMMYFUNCTION("""COMPUTED_VALUE"""),-10.77)</f>
        <v>-10.77</v>
      </c>
      <c r="G95" s="1">
        <f ca="1">IFERROR(__xludf.DUMMYFUNCTION("""COMPUTED_VALUE"""),-5.48)</f>
        <v>-5.48</v>
      </c>
      <c r="H95" s="1">
        <f ca="1">IFERROR(__xludf.DUMMYFUNCTION("""COMPUTED_VALUE"""),7)</f>
        <v>7</v>
      </c>
      <c r="I95" s="1">
        <f ca="1">IFERROR(__xludf.DUMMYFUNCTION("""COMPUTED_VALUE"""),13)</f>
        <v>13</v>
      </c>
      <c r="J95" s="1">
        <f ca="1">IFERROR(__xludf.DUMMYFUNCTION("""COMPUTED_VALUE"""),7)</f>
        <v>7</v>
      </c>
      <c r="K95" s="1">
        <f ca="1">IFERROR(__xludf.DUMMYFUNCTION("""COMPUTED_VALUE"""),7)</f>
        <v>7</v>
      </c>
      <c r="L95" s="1">
        <f ca="1">IFERROR(__xludf.DUMMYFUNCTION("""COMPUTED_VALUE"""),2)</f>
        <v>2</v>
      </c>
      <c r="M95" s="1">
        <f ca="1">IFERROR(__xludf.DUMMYFUNCTION("""COMPUTED_VALUE"""),13)</f>
        <v>13</v>
      </c>
      <c r="N95" s="1">
        <f ca="1">IFERROR(__xludf.DUMMYFUNCTION("""COMPUTED_VALUE"""),2146)</f>
        <v>2146</v>
      </c>
      <c r="O95" s="1">
        <f ca="1">IFERROR(__xludf.DUMMYFUNCTION("""COMPUTED_VALUE"""),2310)</f>
        <v>2310</v>
      </c>
      <c r="P95" s="1">
        <f ca="1">IFERROR(__xludf.DUMMYFUNCTION("""COMPUTED_VALUE"""),1260)</f>
        <v>1260</v>
      </c>
      <c r="Q95" s="1">
        <f ca="1">IFERROR(__xludf.DUMMYFUNCTION("""COMPUTED_VALUE"""),751)</f>
        <v>751</v>
      </c>
      <c r="R95" s="1">
        <f ca="1">IFERROR(__xludf.DUMMYFUNCTION("""COMPUTED_VALUE"""),1811)</f>
        <v>1811</v>
      </c>
      <c r="S95" s="1">
        <f ca="1">IFERROR(__xludf.DUMMYFUNCTION("""COMPUTED_VALUE"""),0.415)</f>
        <v>0.41499999999999998</v>
      </c>
      <c r="T95" s="1">
        <f ca="1">IFERROR(__xludf.DUMMYFUNCTION("""COMPUTED_VALUE"""),264)</f>
        <v>264</v>
      </c>
      <c r="U95" s="1">
        <f ca="1">IFERROR(__xludf.DUMMYFUNCTION("""COMPUTED_VALUE"""),775)</f>
        <v>775</v>
      </c>
      <c r="V95" s="1">
        <f ca="1">IFERROR(__xludf.DUMMYFUNCTION("""COMPUTED_VALUE"""),0.341)</f>
        <v>0.34100000000000003</v>
      </c>
      <c r="W95" s="1">
        <f ca="1">IFERROR(__xludf.DUMMYFUNCTION("""COMPUTED_VALUE"""),380)</f>
        <v>380</v>
      </c>
      <c r="X95" s="1">
        <f ca="1">IFERROR(__xludf.DUMMYFUNCTION("""COMPUTED_VALUE"""),580)</f>
        <v>580</v>
      </c>
      <c r="Y95" s="1">
        <f ca="1">IFERROR(__xludf.DUMMYFUNCTION("""COMPUTED_VALUE"""),0.655)</f>
        <v>0.65500000000000003</v>
      </c>
      <c r="Z95" s="1">
        <f ca="1">IFERROR(__xludf.DUMMYFUNCTION("""COMPUTED_VALUE"""),342)</f>
        <v>342</v>
      </c>
      <c r="AA95" s="1">
        <f ca="1">IFERROR(__xludf.DUMMYFUNCTION("""COMPUTED_VALUE"""),1024)</f>
        <v>1024</v>
      </c>
      <c r="AB95" s="1">
        <f ca="1">IFERROR(__xludf.DUMMYFUNCTION("""COMPUTED_VALUE"""),414)</f>
        <v>414</v>
      </c>
      <c r="AC95" s="1">
        <f ca="1">IFERROR(__xludf.DUMMYFUNCTION("""COMPUTED_VALUE"""),164)</f>
        <v>164</v>
      </c>
      <c r="AD95" s="1">
        <f ca="1">IFERROR(__xludf.DUMMYFUNCTION("""COMPUTED_VALUE"""),176)</f>
        <v>176</v>
      </c>
      <c r="AE95" s="1">
        <f ca="1">IFERROR(__xludf.DUMMYFUNCTION("""COMPUTED_VALUE"""),416)</f>
        <v>416</v>
      </c>
      <c r="AF95" s="1">
        <f ca="1">IFERROR(__xludf.DUMMYFUNCTION("""COMPUTED_VALUE"""),571)</f>
        <v>571</v>
      </c>
    </row>
    <row r="96" spans="1:32" ht="12.5" x14ac:dyDescent="0.25">
      <c r="A96" s="1" t="str">
        <f ca="1">IFERROR(__xludf.DUMMYFUNCTION("""COMPUTED_VALUE"""),"Elon")</f>
        <v>Elon</v>
      </c>
      <c r="B96" s="1">
        <f ca="1">IFERROR(__xludf.DUMMYFUNCTION("""COMPUTED_VALUE"""),33)</f>
        <v>33</v>
      </c>
      <c r="C96" s="1">
        <f ca="1">IFERROR(__xludf.DUMMYFUNCTION("""COMPUTED_VALUE"""),21)</f>
        <v>21</v>
      </c>
      <c r="D96" s="1">
        <f ca="1">IFERROR(__xludf.DUMMYFUNCTION("""COMPUTED_VALUE"""),12)</f>
        <v>12</v>
      </c>
      <c r="E96" s="1">
        <f ca="1">IFERROR(__xludf.DUMMYFUNCTION("""COMPUTED_VALUE"""),0.636)</f>
        <v>0.63600000000000001</v>
      </c>
      <c r="F96" s="1">
        <f ca="1">IFERROR(__xludf.DUMMYFUNCTION("""COMPUTED_VALUE"""),-3.58)</f>
        <v>-3.58</v>
      </c>
      <c r="G96" s="1">
        <f ca="1">IFERROR(__xludf.DUMMYFUNCTION("""COMPUTED_VALUE"""),-5.19)</f>
        <v>-5.19</v>
      </c>
      <c r="H96" s="1">
        <f ca="1">IFERROR(__xludf.DUMMYFUNCTION("""COMPUTED_VALUE"""),13)</f>
        <v>13</v>
      </c>
      <c r="I96" s="1">
        <f ca="1">IFERROR(__xludf.DUMMYFUNCTION("""COMPUTED_VALUE"""),5)</f>
        <v>5</v>
      </c>
      <c r="J96" s="1">
        <f ca="1">IFERROR(__xludf.DUMMYFUNCTION("""COMPUTED_VALUE"""),12)</f>
        <v>12</v>
      </c>
      <c r="K96" s="1">
        <f ca="1">IFERROR(__xludf.DUMMYFUNCTION("""COMPUTED_VALUE"""),3)</f>
        <v>3</v>
      </c>
      <c r="L96" s="1">
        <f ca="1">IFERROR(__xludf.DUMMYFUNCTION("""COMPUTED_VALUE"""),8)</f>
        <v>8</v>
      </c>
      <c r="M96" s="1">
        <f ca="1">IFERROR(__xludf.DUMMYFUNCTION("""COMPUTED_VALUE"""),8)</f>
        <v>8</v>
      </c>
      <c r="N96" s="1">
        <f ca="1">IFERROR(__xludf.DUMMYFUNCTION("""COMPUTED_VALUE"""),2273)</f>
        <v>2273</v>
      </c>
      <c r="O96" s="1">
        <f ca="1">IFERROR(__xludf.DUMMYFUNCTION("""COMPUTED_VALUE"""),2144)</f>
        <v>2144</v>
      </c>
      <c r="P96" s="1">
        <f ca="1">IFERROR(__xludf.DUMMYFUNCTION("""COMPUTED_VALUE"""),1335)</f>
        <v>1335</v>
      </c>
      <c r="Q96" s="1">
        <f ca="1">IFERROR(__xludf.DUMMYFUNCTION("""COMPUTED_VALUE"""),814)</f>
        <v>814</v>
      </c>
      <c r="R96" s="1">
        <f ca="1">IFERROR(__xludf.DUMMYFUNCTION("""COMPUTED_VALUE"""),1884)</f>
        <v>1884</v>
      </c>
      <c r="S96" s="1">
        <f ca="1">IFERROR(__xludf.DUMMYFUNCTION("""COMPUTED_VALUE"""),0.432)</f>
        <v>0.432</v>
      </c>
      <c r="T96" s="1">
        <f ca="1">IFERROR(__xludf.DUMMYFUNCTION("""COMPUTED_VALUE"""),258)</f>
        <v>258</v>
      </c>
      <c r="U96" s="1">
        <f ca="1">IFERROR(__xludf.DUMMYFUNCTION("""COMPUTED_VALUE"""),749)</f>
        <v>749</v>
      </c>
      <c r="V96" s="1">
        <f ca="1">IFERROR(__xludf.DUMMYFUNCTION("""COMPUTED_VALUE"""),0.344)</f>
        <v>0.34399999999999997</v>
      </c>
      <c r="W96" s="1">
        <f ca="1">IFERROR(__xludf.DUMMYFUNCTION("""COMPUTED_VALUE"""),387)</f>
        <v>387</v>
      </c>
      <c r="X96" s="1">
        <f ca="1">IFERROR(__xludf.DUMMYFUNCTION("""COMPUTED_VALUE"""),543)</f>
        <v>543</v>
      </c>
      <c r="Y96" s="1">
        <f ca="1">IFERROR(__xludf.DUMMYFUNCTION("""COMPUTED_VALUE"""),0.713)</f>
        <v>0.71299999999999997</v>
      </c>
      <c r="Z96" s="1">
        <f ca="1">IFERROR(__xludf.DUMMYFUNCTION("""COMPUTED_VALUE"""),303)</f>
        <v>303</v>
      </c>
      <c r="AA96" s="1">
        <f ca="1">IFERROR(__xludf.DUMMYFUNCTION("""COMPUTED_VALUE"""),1037)</f>
        <v>1037</v>
      </c>
      <c r="AB96" s="1">
        <f ca="1">IFERROR(__xludf.DUMMYFUNCTION("""COMPUTED_VALUE"""),447)</f>
        <v>447</v>
      </c>
      <c r="AC96" s="1">
        <f ca="1">IFERROR(__xludf.DUMMYFUNCTION("""COMPUTED_VALUE"""),218)</f>
        <v>218</v>
      </c>
      <c r="AD96" s="1">
        <f ca="1">IFERROR(__xludf.DUMMYFUNCTION("""COMPUTED_VALUE"""),113)</f>
        <v>113</v>
      </c>
      <c r="AE96" s="1">
        <f ca="1">IFERROR(__xludf.DUMMYFUNCTION("""COMPUTED_VALUE"""),385)</f>
        <v>385</v>
      </c>
      <c r="AF96" s="1">
        <f ca="1">IFERROR(__xludf.DUMMYFUNCTION("""COMPUTED_VALUE"""),558)</f>
        <v>558</v>
      </c>
    </row>
    <row r="97" spans="1:32" ht="12.5" x14ac:dyDescent="0.25">
      <c r="A97" s="1" t="str">
        <f ca="1">IFERROR(__xludf.DUMMYFUNCTION("""COMPUTED_VALUE"""),"Evansville")</f>
        <v>Evansville</v>
      </c>
      <c r="B97" s="1">
        <f ca="1">IFERROR(__xludf.DUMMYFUNCTION("""COMPUTED_VALUE"""),36)</f>
        <v>36</v>
      </c>
      <c r="C97" s="1">
        <f ca="1">IFERROR(__xludf.DUMMYFUNCTION("""COMPUTED_VALUE"""),21)</f>
        <v>21</v>
      </c>
      <c r="D97" s="1">
        <f ca="1">IFERROR(__xludf.DUMMYFUNCTION("""COMPUTED_VALUE"""),15)</f>
        <v>15</v>
      </c>
      <c r="E97" s="1">
        <f ca="1">IFERROR(__xludf.DUMMYFUNCTION("""COMPUTED_VALUE"""),0.583)</f>
        <v>0.58299999999999996</v>
      </c>
      <c r="F97" s="1">
        <f ca="1">IFERROR(__xludf.DUMMYFUNCTION("""COMPUTED_VALUE"""),5.26)</f>
        <v>5.26</v>
      </c>
      <c r="G97" s="1">
        <f ca="1">IFERROR(__xludf.DUMMYFUNCTION("""COMPUTED_VALUE"""),2.91)</f>
        <v>2.91</v>
      </c>
      <c r="H97" s="1">
        <f ca="1">IFERROR(__xludf.DUMMYFUNCTION("""COMPUTED_VALUE"""),10)</f>
        <v>10</v>
      </c>
      <c r="I97" s="1">
        <f ca="1">IFERROR(__xludf.DUMMYFUNCTION("""COMPUTED_VALUE"""),8)</f>
        <v>8</v>
      </c>
      <c r="J97" s="1">
        <f ca="1">IFERROR(__xludf.DUMMYFUNCTION("""COMPUTED_VALUE"""),15)</f>
        <v>15</v>
      </c>
      <c r="K97" s="1">
        <f ca="1">IFERROR(__xludf.DUMMYFUNCTION("""COMPUTED_VALUE"""),3)</f>
        <v>3</v>
      </c>
      <c r="L97" s="1">
        <f ca="1">IFERROR(__xludf.DUMMYFUNCTION("""COMPUTED_VALUE"""),5)</f>
        <v>5</v>
      </c>
      <c r="M97" s="1">
        <f ca="1">IFERROR(__xludf.DUMMYFUNCTION("""COMPUTED_VALUE"""),11)</f>
        <v>11</v>
      </c>
      <c r="N97" s="1">
        <f ca="1">IFERROR(__xludf.DUMMYFUNCTION("""COMPUTED_VALUE"""),2490)</f>
        <v>2490</v>
      </c>
      <c r="O97" s="1">
        <f ca="1">IFERROR(__xludf.DUMMYFUNCTION("""COMPUTED_VALUE"""),2374)</f>
        <v>2374</v>
      </c>
      <c r="P97" s="1">
        <f ca="1">IFERROR(__xludf.DUMMYFUNCTION("""COMPUTED_VALUE"""),1455)</f>
        <v>1455</v>
      </c>
      <c r="Q97" s="1">
        <f ca="1">IFERROR(__xludf.DUMMYFUNCTION("""COMPUTED_VALUE"""),900)</f>
        <v>900</v>
      </c>
      <c r="R97" s="1">
        <f ca="1">IFERROR(__xludf.DUMMYFUNCTION("""COMPUTED_VALUE"""),2056)</f>
        <v>2056</v>
      </c>
      <c r="S97" s="1">
        <f ca="1">IFERROR(__xludf.DUMMYFUNCTION("""COMPUTED_VALUE"""),0.438)</f>
        <v>0.438</v>
      </c>
      <c r="T97" s="1">
        <f ca="1">IFERROR(__xludf.DUMMYFUNCTION("""COMPUTED_VALUE"""),207)</f>
        <v>207</v>
      </c>
      <c r="U97" s="1">
        <f ca="1">IFERROR(__xludf.DUMMYFUNCTION("""COMPUTED_VALUE"""),566)</f>
        <v>566</v>
      </c>
      <c r="V97" s="1">
        <f ca="1">IFERROR(__xludf.DUMMYFUNCTION("""COMPUTED_VALUE"""),0.366)</f>
        <v>0.36599999999999999</v>
      </c>
      <c r="W97" s="1">
        <f ca="1">IFERROR(__xludf.DUMMYFUNCTION("""COMPUTED_VALUE"""),483)</f>
        <v>483</v>
      </c>
      <c r="X97" s="1">
        <f ca="1">IFERROR(__xludf.DUMMYFUNCTION("""COMPUTED_VALUE"""),652)</f>
        <v>652</v>
      </c>
      <c r="Y97" s="1">
        <f ca="1">IFERROR(__xludf.DUMMYFUNCTION("""COMPUTED_VALUE"""),0.741)</f>
        <v>0.74099999999999999</v>
      </c>
      <c r="Z97" s="1">
        <f ca="1">IFERROR(__xludf.DUMMYFUNCTION("""COMPUTED_VALUE"""),378)</f>
        <v>378</v>
      </c>
      <c r="AA97" s="1">
        <f ca="1">IFERROR(__xludf.DUMMYFUNCTION("""COMPUTED_VALUE"""),1089)</f>
        <v>1089</v>
      </c>
      <c r="AB97" s="1">
        <f ca="1">IFERROR(__xludf.DUMMYFUNCTION("""COMPUTED_VALUE"""),574)</f>
        <v>574</v>
      </c>
      <c r="AC97" s="1">
        <f ca="1">IFERROR(__xludf.DUMMYFUNCTION("""COMPUTED_VALUE"""),213)</f>
        <v>213</v>
      </c>
      <c r="AD97" s="1">
        <f ca="1">IFERROR(__xludf.DUMMYFUNCTION("""COMPUTED_VALUE"""),106)</f>
        <v>106</v>
      </c>
      <c r="AE97" s="1">
        <f ca="1">IFERROR(__xludf.DUMMYFUNCTION("""COMPUTED_VALUE"""),405)</f>
        <v>405</v>
      </c>
      <c r="AF97" s="1">
        <f ca="1">IFERROR(__xludf.DUMMYFUNCTION("""COMPUTED_VALUE"""),635)</f>
        <v>635</v>
      </c>
    </row>
    <row r="98" spans="1:32" ht="12.5" x14ac:dyDescent="0.25">
      <c r="A98" s="1" t="str">
        <f ca="1">IFERROR(__xludf.DUMMYFUNCTION("""COMPUTED_VALUE"""),"Fairfield")</f>
        <v>Fairfield</v>
      </c>
      <c r="B98" s="1">
        <f ca="1">IFERROR(__xludf.DUMMYFUNCTION("""COMPUTED_VALUE"""),35)</f>
        <v>35</v>
      </c>
      <c r="C98" s="1">
        <f ca="1">IFERROR(__xludf.DUMMYFUNCTION("""COMPUTED_VALUE"""),19)</f>
        <v>19</v>
      </c>
      <c r="D98" s="1">
        <f ca="1">IFERROR(__xludf.DUMMYFUNCTION("""COMPUTED_VALUE"""),16)</f>
        <v>16</v>
      </c>
      <c r="E98" s="1">
        <f ca="1">IFERROR(__xludf.DUMMYFUNCTION("""COMPUTED_VALUE"""),0.543)</f>
        <v>0.54300000000000004</v>
      </c>
      <c r="F98" s="1">
        <f ca="1">IFERROR(__xludf.DUMMYFUNCTION("""COMPUTED_VALUE"""),-0.55)</f>
        <v>-0.55000000000000004</v>
      </c>
      <c r="G98" s="1">
        <f ca="1">IFERROR(__xludf.DUMMYFUNCTION("""COMPUTED_VALUE"""),-2)</f>
        <v>-2</v>
      </c>
      <c r="H98" s="1">
        <f ca="1">IFERROR(__xludf.DUMMYFUNCTION("""COMPUTED_VALUE"""),9)</f>
        <v>9</v>
      </c>
      <c r="I98" s="1">
        <f ca="1">IFERROR(__xludf.DUMMYFUNCTION("""COMPUTED_VALUE"""),9)</f>
        <v>9</v>
      </c>
      <c r="J98" s="1">
        <f ca="1">IFERROR(__xludf.DUMMYFUNCTION("""COMPUTED_VALUE"""),7)</f>
        <v>7</v>
      </c>
      <c r="K98" s="1">
        <f ca="1">IFERROR(__xludf.DUMMYFUNCTION("""COMPUTED_VALUE"""),5)</f>
        <v>5</v>
      </c>
      <c r="L98" s="1">
        <f ca="1">IFERROR(__xludf.DUMMYFUNCTION("""COMPUTED_VALUE"""),7)</f>
        <v>7</v>
      </c>
      <c r="M98" s="1">
        <f ca="1">IFERROR(__xludf.DUMMYFUNCTION("""COMPUTED_VALUE"""),10)</f>
        <v>10</v>
      </c>
      <c r="N98" s="1">
        <f ca="1">IFERROR(__xludf.DUMMYFUNCTION("""COMPUTED_VALUE"""),2122)</f>
        <v>2122</v>
      </c>
      <c r="O98" s="1">
        <f ca="1">IFERROR(__xludf.DUMMYFUNCTION("""COMPUTED_VALUE"""),2071)</f>
        <v>2071</v>
      </c>
      <c r="P98" s="1">
        <f ca="1">IFERROR(__xludf.DUMMYFUNCTION("""COMPUTED_VALUE"""),1410)</f>
        <v>1410</v>
      </c>
      <c r="Q98" s="1">
        <f ca="1">IFERROR(__xludf.DUMMYFUNCTION("""COMPUTED_VALUE"""),779)</f>
        <v>779</v>
      </c>
      <c r="R98" s="1">
        <f ca="1">IFERROR(__xludf.DUMMYFUNCTION("""COMPUTED_VALUE"""),1843)</f>
        <v>1843</v>
      </c>
      <c r="S98" s="1">
        <f ca="1">IFERROR(__xludf.DUMMYFUNCTION("""COMPUTED_VALUE"""),0.423)</f>
        <v>0.42299999999999999</v>
      </c>
      <c r="T98" s="1">
        <f ca="1">IFERROR(__xludf.DUMMYFUNCTION("""COMPUTED_VALUE"""),199)</f>
        <v>199</v>
      </c>
      <c r="U98" s="1">
        <f ca="1">IFERROR(__xludf.DUMMYFUNCTION("""COMPUTED_VALUE"""),629)</f>
        <v>629</v>
      </c>
      <c r="V98" s="1">
        <f ca="1">IFERROR(__xludf.DUMMYFUNCTION("""COMPUTED_VALUE"""),0.316)</f>
        <v>0.316</v>
      </c>
      <c r="W98" s="1">
        <f ca="1">IFERROR(__xludf.DUMMYFUNCTION("""COMPUTED_VALUE"""),365)</f>
        <v>365</v>
      </c>
      <c r="X98" s="1">
        <f ca="1">IFERROR(__xludf.DUMMYFUNCTION("""COMPUTED_VALUE"""),533)</f>
        <v>533</v>
      </c>
      <c r="Y98" s="1">
        <f ca="1">IFERROR(__xludf.DUMMYFUNCTION("""COMPUTED_VALUE"""),0.685)</f>
        <v>0.68500000000000005</v>
      </c>
      <c r="Z98" s="1">
        <f ca="1">IFERROR(__xludf.DUMMYFUNCTION("""COMPUTED_VALUE"""),388)</f>
        <v>388</v>
      </c>
      <c r="AA98" s="1">
        <f ca="1">IFERROR(__xludf.DUMMYFUNCTION("""COMPUTED_VALUE"""),1058)</f>
        <v>1058</v>
      </c>
      <c r="AB98" s="1">
        <f ca="1">IFERROR(__xludf.DUMMYFUNCTION("""COMPUTED_VALUE"""),445)</f>
        <v>445</v>
      </c>
      <c r="AC98" s="1">
        <f ca="1">IFERROR(__xludf.DUMMYFUNCTION("""COMPUTED_VALUE"""),248)</f>
        <v>248</v>
      </c>
      <c r="AD98" s="1">
        <f ca="1">IFERROR(__xludf.DUMMYFUNCTION("""COMPUTED_VALUE"""),134)</f>
        <v>134</v>
      </c>
      <c r="AE98" s="1">
        <f ca="1">IFERROR(__xludf.DUMMYFUNCTION("""COMPUTED_VALUE"""),471)</f>
        <v>471</v>
      </c>
      <c r="AF98" s="1">
        <f ca="1">IFERROR(__xludf.DUMMYFUNCTION("""COMPUTED_VALUE"""),690)</f>
        <v>690</v>
      </c>
    </row>
    <row r="99" spans="1:32" ht="12.5" x14ac:dyDescent="0.25">
      <c r="A99" s="1" t="str">
        <f ca="1">IFERROR(__xludf.DUMMYFUNCTION("""COMPUTED_VALUE"""),"Fairleigh Dickinson")</f>
        <v>Fairleigh Dickinson</v>
      </c>
      <c r="B99" s="1">
        <f ca="1">IFERROR(__xludf.DUMMYFUNCTION("""COMPUTED_VALUE"""),31)</f>
        <v>31</v>
      </c>
      <c r="C99" s="1">
        <f ca="1">IFERROR(__xludf.DUMMYFUNCTION("""COMPUTED_VALUE"""),7)</f>
        <v>7</v>
      </c>
      <c r="D99" s="1">
        <f ca="1">IFERROR(__xludf.DUMMYFUNCTION("""COMPUTED_VALUE"""),24)</f>
        <v>24</v>
      </c>
      <c r="E99" s="1">
        <f ca="1">IFERROR(__xludf.DUMMYFUNCTION("""COMPUTED_VALUE"""),0.226)</f>
        <v>0.22600000000000001</v>
      </c>
      <c r="F99" s="1">
        <f ca="1">IFERROR(__xludf.DUMMYFUNCTION("""COMPUTED_VALUE"""),-18)</f>
        <v>-18</v>
      </c>
      <c r="G99" s="1">
        <f ca="1">IFERROR(__xludf.DUMMYFUNCTION("""COMPUTED_VALUE"""),-4.65)</f>
        <v>-4.6500000000000004</v>
      </c>
      <c r="H99" s="1">
        <f ca="1">IFERROR(__xludf.DUMMYFUNCTION("""COMPUTED_VALUE"""),2)</f>
        <v>2</v>
      </c>
      <c r="I99" s="1">
        <f ca="1">IFERROR(__xludf.DUMMYFUNCTION("""COMPUTED_VALUE"""),16)</f>
        <v>16</v>
      </c>
      <c r="J99" s="1">
        <f ca="1">IFERROR(__xludf.DUMMYFUNCTION("""COMPUTED_VALUE"""),2)</f>
        <v>2</v>
      </c>
      <c r="K99" s="1">
        <f ca="1">IFERROR(__xludf.DUMMYFUNCTION("""COMPUTED_VALUE"""),10)</f>
        <v>10</v>
      </c>
      <c r="L99" s="1">
        <f ca="1">IFERROR(__xludf.DUMMYFUNCTION("""COMPUTED_VALUE"""),3)</f>
        <v>3</v>
      </c>
      <c r="M99" s="1">
        <f ca="1">IFERROR(__xludf.DUMMYFUNCTION("""COMPUTED_VALUE"""),14)</f>
        <v>14</v>
      </c>
      <c r="N99" s="1">
        <f ca="1">IFERROR(__xludf.DUMMYFUNCTION("""COMPUTED_VALUE"""),2034)</f>
        <v>2034</v>
      </c>
      <c r="O99" s="1">
        <f ca="1">IFERROR(__xludf.DUMMYFUNCTION("""COMPUTED_VALUE"""),2448)</f>
        <v>2448</v>
      </c>
      <c r="P99" s="1">
        <f ca="1">IFERROR(__xludf.DUMMYFUNCTION("""COMPUTED_VALUE"""),1250)</f>
        <v>1250</v>
      </c>
      <c r="Q99" s="1">
        <f ca="1">IFERROR(__xludf.DUMMYFUNCTION("""COMPUTED_VALUE"""),724)</f>
        <v>724</v>
      </c>
      <c r="R99" s="1">
        <f ca="1">IFERROR(__xludf.DUMMYFUNCTION("""COMPUTED_VALUE"""),1675)</f>
        <v>1675</v>
      </c>
      <c r="S99" s="1">
        <f ca="1">IFERROR(__xludf.DUMMYFUNCTION("""COMPUTED_VALUE"""),0.432)</f>
        <v>0.432</v>
      </c>
      <c r="T99" s="1">
        <f ca="1">IFERROR(__xludf.DUMMYFUNCTION("""COMPUTED_VALUE"""),190)</f>
        <v>190</v>
      </c>
      <c r="U99" s="1">
        <f ca="1">IFERROR(__xludf.DUMMYFUNCTION("""COMPUTED_VALUE"""),543)</f>
        <v>543</v>
      </c>
      <c r="V99" s="1">
        <f ca="1">IFERROR(__xludf.DUMMYFUNCTION("""COMPUTED_VALUE"""),0.35)</f>
        <v>0.35</v>
      </c>
      <c r="W99" s="1">
        <f ca="1">IFERROR(__xludf.DUMMYFUNCTION("""COMPUTED_VALUE"""),396)</f>
        <v>396</v>
      </c>
      <c r="X99" s="1">
        <f ca="1">IFERROR(__xludf.DUMMYFUNCTION("""COMPUTED_VALUE"""),590)</f>
        <v>590</v>
      </c>
      <c r="Y99" s="1">
        <f ca="1">IFERROR(__xludf.DUMMYFUNCTION("""COMPUTED_VALUE"""),0.671)</f>
        <v>0.67100000000000004</v>
      </c>
      <c r="Z99" s="1">
        <f ca="1">IFERROR(__xludf.DUMMYFUNCTION("""COMPUTED_VALUE"""),274)</f>
        <v>274</v>
      </c>
      <c r="AA99" s="1">
        <f ca="1">IFERROR(__xludf.DUMMYFUNCTION("""COMPUTED_VALUE"""),841)</f>
        <v>841</v>
      </c>
      <c r="AB99" s="1">
        <f ca="1">IFERROR(__xludf.DUMMYFUNCTION("""COMPUTED_VALUE"""),404)</f>
        <v>404</v>
      </c>
      <c r="AC99" s="1">
        <f ca="1">IFERROR(__xludf.DUMMYFUNCTION("""COMPUTED_VALUE"""),179)</f>
        <v>179</v>
      </c>
      <c r="AD99" s="1">
        <f ca="1">IFERROR(__xludf.DUMMYFUNCTION("""COMPUTED_VALUE"""),101)</f>
        <v>101</v>
      </c>
      <c r="AE99" s="1">
        <f ca="1">IFERROR(__xludf.DUMMYFUNCTION("""COMPUTED_VALUE"""),486)</f>
        <v>486</v>
      </c>
      <c r="AF99" s="1">
        <f ca="1">IFERROR(__xludf.DUMMYFUNCTION("""COMPUTED_VALUE"""),571)</f>
        <v>571</v>
      </c>
    </row>
    <row r="100" spans="1:32" ht="12.5" x14ac:dyDescent="0.25">
      <c r="A100" s="1" t="str">
        <f ca="1">IFERROR(__xludf.DUMMYFUNCTION("""COMPUTED_VALUE"""),"Florida A&amp;M")</f>
        <v>Florida A&amp;M</v>
      </c>
      <c r="B100" s="1">
        <f ca="1">IFERROR(__xludf.DUMMYFUNCTION("""COMPUTED_VALUE"""),31)</f>
        <v>31</v>
      </c>
      <c r="C100" s="1">
        <f ca="1">IFERROR(__xludf.DUMMYFUNCTION("""COMPUTED_VALUE"""),8)</f>
        <v>8</v>
      </c>
      <c r="D100" s="1">
        <f ca="1">IFERROR(__xludf.DUMMYFUNCTION("""COMPUTED_VALUE"""),23)</f>
        <v>23</v>
      </c>
      <c r="E100" s="1">
        <f ca="1">IFERROR(__xludf.DUMMYFUNCTION("""COMPUTED_VALUE"""),0.258)</f>
        <v>0.25800000000000001</v>
      </c>
      <c r="F100" s="1">
        <f ca="1">IFERROR(__xludf.DUMMYFUNCTION("""COMPUTED_VALUE"""),-16.14)</f>
        <v>-16.14</v>
      </c>
      <c r="G100" s="1">
        <f ca="1">IFERROR(__xludf.DUMMYFUNCTION("""COMPUTED_VALUE"""),-6.21)</f>
        <v>-6.21</v>
      </c>
      <c r="H100" s="1">
        <f ca="1">IFERROR(__xludf.DUMMYFUNCTION("""COMPUTED_VALUE"""),5)</f>
        <v>5</v>
      </c>
      <c r="I100" s="1">
        <f ca="1">IFERROR(__xludf.DUMMYFUNCTION("""COMPUTED_VALUE"""),11)</f>
        <v>11</v>
      </c>
      <c r="J100" s="1">
        <f ca="1">IFERROR(__xludf.DUMMYFUNCTION("""COMPUTED_VALUE"""),6)</f>
        <v>6</v>
      </c>
      <c r="K100" s="1">
        <f ca="1">IFERROR(__xludf.DUMMYFUNCTION("""COMPUTED_VALUE"""),4)</f>
        <v>4</v>
      </c>
      <c r="L100" s="1">
        <f ca="1">IFERROR(__xludf.DUMMYFUNCTION("""COMPUTED_VALUE"""),1)</f>
        <v>1</v>
      </c>
      <c r="M100" s="1">
        <f ca="1">IFERROR(__xludf.DUMMYFUNCTION("""COMPUTED_VALUE"""),17)</f>
        <v>17</v>
      </c>
      <c r="N100" s="1">
        <f ca="1">IFERROR(__xludf.DUMMYFUNCTION("""COMPUTED_VALUE"""),2015)</f>
        <v>2015</v>
      </c>
      <c r="O100" s="1">
        <f ca="1">IFERROR(__xludf.DUMMYFUNCTION("""COMPUTED_VALUE"""),2235)</f>
        <v>2235</v>
      </c>
      <c r="P100" s="1">
        <f ca="1">IFERROR(__xludf.DUMMYFUNCTION("""COMPUTED_VALUE"""),1260)</f>
        <v>1260</v>
      </c>
      <c r="Q100" s="1">
        <f ca="1">IFERROR(__xludf.DUMMYFUNCTION("""COMPUTED_VALUE"""),732)</f>
        <v>732</v>
      </c>
      <c r="R100" s="1">
        <f ca="1">IFERROR(__xludf.DUMMYFUNCTION("""COMPUTED_VALUE"""),1849)</f>
        <v>1849</v>
      </c>
      <c r="S100" s="1">
        <f ca="1">IFERROR(__xludf.DUMMYFUNCTION("""COMPUTED_VALUE"""),0.396)</f>
        <v>0.39600000000000002</v>
      </c>
      <c r="T100" s="1">
        <f ca="1">IFERROR(__xludf.DUMMYFUNCTION("""COMPUTED_VALUE"""),171)</f>
        <v>171</v>
      </c>
      <c r="U100" s="1">
        <f ca="1">IFERROR(__xludf.DUMMYFUNCTION("""COMPUTED_VALUE"""),560)</f>
        <v>560</v>
      </c>
      <c r="V100" s="1">
        <f ca="1">IFERROR(__xludf.DUMMYFUNCTION("""COMPUTED_VALUE"""),0.305)</f>
        <v>0.30499999999999999</v>
      </c>
      <c r="W100" s="1">
        <f ca="1">IFERROR(__xludf.DUMMYFUNCTION("""COMPUTED_VALUE"""),380)</f>
        <v>380</v>
      </c>
      <c r="X100" s="1">
        <f ca="1">IFERROR(__xludf.DUMMYFUNCTION("""COMPUTED_VALUE"""),606)</f>
        <v>606</v>
      </c>
      <c r="Y100" s="1">
        <f ca="1">IFERROR(__xludf.DUMMYFUNCTION("""COMPUTED_VALUE"""),0.627)</f>
        <v>0.627</v>
      </c>
      <c r="Z100" s="1">
        <f ca="1">IFERROR(__xludf.DUMMYFUNCTION("""COMPUTED_VALUE"""),393)</f>
        <v>393</v>
      </c>
      <c r="AA100" s="1">
        <f ca="1">IFERROR(__xludf.DUMMYFUNCTION("""COMPUTED_VALUE"""),945)</f>
        <v>945</v>
      </c>
      <c r="AB100" s="1">
        <f ca="1">IFERROR(__xludf.DUMMYFUNCTION("""COMPUTED_VALUE"""),340)</f>
        <v>340</v>
      </c>
      <c r="AC100" s="1">
        <f ca="1">IFERROR(__xludf.DUMMYFUNCTION("""COMPUTED_VALUE"""),256)</f>
        <v>256</v>
      </c>
      <c r="AD100" s="1">
        <f ca="1">IFERROR(__xludf.DUMMYFUNCTION("""COMPUTED_VALUE"""),103)</f>
        <v>103</v>
      </c>
      <c r="AE100" s="1">
        <f ca="1">IFERROR(__xludf.DUMMYFUNCTION("""COMPUTED_VALUE"""),485)</f>
        <v>485</v>
      </c>
      <c r="AF100" s="1">
        <f ca="1">IFERROR(__xludf.DUMMYFUNCTION("""COMPUTED_VALUE"""),608)</f>
        <v>608</v>
      </c>
    </row>
    <row r="101" spans="1:32" ht="12.5" x14ac:dyDescent="0.25">
      <c r="A101" s="1" t="str">
        <f ca="1">IFERROR(__xludf.DUMMYFUNCTION("""COMPUTED_VALUE"""),"Florida Atlantic")</f>
        <v>Florida Atlantic</v>
      </c>
      <c r="B101" s="1">
        <f ca="1">IFERROR(__xludf.DUMMYFUNCTION("""COMPUTED_VALUE"""),32)</f>
        <v>32</v>
      </c>
      <c r="C101" s="1">
        <f ca="1">IFERROR(__xludf.DUMMYFUNCTION("""COMPUTED_VALUE"""),14)</f>
        <v>14</v>
      </c>
      <c r="D101" s="1">
        <f ca="1">IFERROR(__xludf.DUMMYFUNCTION("""COMPUTED_VALUE"""),18)</f>
        <v>18</v>
      </c>
      <c r="E101" s="1">
        <f ca="1">IFERROR(__xludf.DUMMYFUNCTION("""COMPUTED_VALUE"""),0.438)</f>
        <v>0.438</v>
      </c>
      <c r="F101" s="1">
        <f ca="1">IFERROR(__xludf.DUMMYFUNCTION("""COMPUTED_VALUE"""),-5.88)</f>
        <v>-5.88</v>
      </c>
      <c r="G101" s="1">
        <f ca="1">IFERROR(__xludf.DUMMYFUNCTION("""COMPUTED_VALUE"""),-2.49)</f>
        <v>-2.4900000000000002</v>
      </c>
      <c r="H101" s="1">
        <f ca="1">IFERROR(__xludf.DUMMYFUNCTION("""COMPUTED_VALUE"""),9)</f>
        <v>9</v>
      </c>
      <c r="I101" s="1">
        <f ca="1">IFERROR(__xludf.DUMMYFUNCTION("""COMPUTED_VALUE"""),11)</f>
        <v>11</v>
      </c>
      <c r="J101" s="1">
        <f ca="1">IFERROR(__xludf.DUMMYFUNCTION("""COMPUTED_VALUE"""),11)</f>
        <v>11</v>
      </c>
      <c r="K101" s="1">
        <f ca="1">IFERROR(__xludf.DUMMYFUNCTION("""COMPUTED_VALUE"""),4)</f>
        <v>4</v>
      </c>
      <c r="L101" s="1">
        <f ca="1">IFERROR(__xludf.DUMMYFUNCTION("""COMPUTED_VALUE"""),3)</f>
        <v>3</v>
      </c>
      <c r="M101" s="1">
        <f ca="1">IFERROR(__xludf.DUMMYFUNCTION("""COMPUTED_VALUE"""),13)</f>
        <v>13</v>
      </c>
      <c r="N101" s="1">
        <f ca="1">IFERROR(__xludf.DUMMYFUNCTION("""COMPUTED_VALUE"""),2092)</f>
        <v>2092</v>
      </c>
      <c r="O101" s="1">
        <f ca="1">IFERROR(__xludf.DUMMYFUNCTION("""COMPUTED_VALUE"""),2164)</f>
        <v>2164</v>
      </c>
      <c r="P101" s="1">
        <f ca="1">IFERROR(__xludf.DUMMYFUNCTION("""COMPUTED_VALUE"""),1300)</f>
        <v>1300</v>
      </c>
      <c r="Q101" s="1">
        <f ca="1">IFERROR(__xludf.DUMMYFUNCTION("""COMPUTED_VALUE"""),732)</f>
        <v>732</v>
      </c>
      <c r="R101" s="1">
        <f ca="1">IFERROR(__xludf.DUMMYFUNCTION("""COMPUTED_VALUE"""),1735)</f>
        <v>1735</v>
      </c>
      <c r="S101" s="1">
        <f ca="1">IFERROR(__xludf.DUMMYFUNCTION("""COMPUTED_VALUE"""),0.422)</f>
        <v>0.42199999999999999</v>
      </c>
      <c r="T101" s="1">
        <f ca="1">IFERROR(__xludf.DUMMYFUNCTION("""COMPUTED_VALUE"""),195)</f>
        <v>195</v>
      </c>
      <c r="U101" s="1">
        <f ca="1">IFERROR(__xludf.DUMMYFUNCTION("""COMPUTED_VALUE"""),541)</f>
        <v>541</v>
      </c>
      <c r="V101" s="1">
        <f ca="1">IFERROR(__xludf.DUMMYFUNCTION("""COMPUTED_VALUE"""),0.36)</f>
        <v>0.36</v>
      </c>
      <c r="W101" s="1">
        <f ca="1">IFERROR(__xludf.DUMMYFUNCTION("""COMPUTED_VALUE"""),433)</f>
        <v>433</v>
      </c>
      <c r="X101" s="1">
        <f ca="1">IFERROR(__xludf.DUMMYFUNCTION("""COMPUTED_VALUE"""),618)</f>
        <v>618</v>
      </c>
      <c r="Y101" s="1">
        <f ca="1">IFERROR(__xludf.DUMMYFUNCTION("""COMPUTED_VALUE"""),0.701)</f>
        <v>0.70099999999999996</v>
      </c>
      <c r="Z101" s="1">
        <f ca="1">IFERROR(__xludf.DUMMYFUNCTION("""COMPUTED_VALUE"""),363)</f>
        <v>363</v>
      </c>
      <c r="AA101" s="1">
        <f ca="1">IFERROR(__xludf.DUMMYFUNCTION("""COMPUTED_VALUE"""),1061)</f>
        <v>1061</v>
      </c>
      <c r="AB101" s="1">
        <f ca="1">IFERROR(__xludf.DUMMYFUNCTION("""COMPUTED_VALUE"""),322)</f>
        <v>322</v>
      </c>
      <c r="AC101" s="1">
        <f ca="1">IFERROR(__xludf.DUMMYFUNCTION("""COMPUTED_VALUE"""),167)</f>
        <v>167</v>
      </c>
      <c r="AD101" s="1">
        <f ca="1">IFERROR(__xludf.DUMMYFUNCTION("""COMPUTED_VALUE"""),165)</f>
        <v>165</v>
      </c>
      <c r="AE101" s="1">
        <f ca="1">IFERROR(__xludf.DUMMYFUNCTION("""COMPUTED_VALUE"""),488)</f>
        <v>488</v>
      </c>
      <c r="AF101" s="1">
        <f ca="1">IFERROR(__xludf.DUMMYFUNCTION("""COMPUTED_VALUE"""),580)</f>
        <v>580</v>
      </c>
    </row>
    <row r="102" spans="1:32" ht="12.5" x14ac:dyDescent="0.25">
      <c r="A102" s="1" t="str">
        <f ca="1">IFERROR(__xludf.DUMMYFUNCTION("""COMPUTED_VALUE"""),"Florida Gulf CoastNCAA")</f>
        <v>Florida Gulf CoastNCAA</v>
      </c>
      <c r="B102" s="1">
        <f ca="1">IFERROR(__xludf.DUMMYFUNCTION("""COMPUTED_VALUE"""),37)</f>
        <v>37</v>
      </c>
      <c r="C102" s="1">
        <f ca="1">IFERROR(__xludf.DUMMYFUNCTION("""COMPUTED_VALUE"""),26)</f>
        <v>26</v>
      </c>
      <c r="D102" s="1">
        <f ca="1">IFERROR(__xludf.DUMMYFUNCTION("""COMPUTED_VALUE"""),11)</f>
        <v>11</v>
      </c>
      <c r="E102" s="1">
        <f ca="1">IFERROR(__xludf.DUMMYFUNCTION("""COMPUTED_VALUE"""),0.703)</f>
        <v>0.70299999999999996</v>
      </c>
      <c r="F102" s="1">
        <f ca="1">IFERROR(__xludf.DUMMYFUNCTION("""COMPUTED_VALUE"""),2.76)</f>
        <v>2.76</v>
      </c>
      <c r="G102" s="1">
        <f ca="1">IFERROR(__xludf.DUMMYFUNCTION("""COMPUTED_VALUE"""),-2.07)</f>
        <v>-2.0699999999999998</v>
      </c>
      <c r="H102" s="1">
        <f ca="1">IFERROR(__xludf.DUMMYFUNCTION("""COMPUTED_VALUE"""),13)</f>
        <v>13</v>
      </c>
      <c r="I102" s="1">
        <f ca="1">IFERROR(__xludf.DUMMYFUNCTION("""COMPUTED_VALUE"""),5)</f>
        <v>5</v>
      </c>
      <c r="J102" s="1">
        <f ca="1">IFERROR(__xludf.DUMMYFUNCTION("""COMPUTED_VALUE"""),15)</f>
        <v>15</v>
      </c>
      <c r="K102" s="1">
        <f ca="1">IFERROR(__xludf.DUMMYFUNCTION("""COMPUTED_VALUE"""),1)</f>
        <v>1</v>
      </c>
      <c r="L102" s="1">
        <f ca="1">IFERROR(__xludf.DUMMYFUNCTION("""COMPUTED_VALUE"""),6)</f>
        <v>6</v>
      </c>
      <c r="M102" s="1">
        <f ca="1">IFERROR(__xludf.DUMMYFUNCTION("""COMPUTED_VALUE"""),9)</f>
        <v>9</v>
      </c>
      <c r="N102" s="1">
        <f ca="1">IFERROR(__xludf.DUMMYFUNCTION("""COMPUTED_VALUE"""),2696)</f>
        <v>2696</v>
      </c>
      <c r="O102" s="1">
        <f ca="1">IFERROR(__xludf.DUMMYFUNCTION("""COMPUTED_VALUE"""),2469)</f>
        <v>2469</v>
      </c>
      <c r="P102" s="1">
        <f ca="1">IFERROR(__xludf.DUMMYFUNCTION("""COMPUTED_VALUE"""),1495)</f>
        <v>1495</v>
      </c>
      <c r="Q102" s="1">
        <f ca="1">IFERROR(__xludf.DUMMYFUNCTION("""COMPUTED_VALUE"""),976)</f>
        <v>976</v>
      </c>
      <c r="R102" s="1">
        <f ca="1">IFERROR(__xludf.DUMMYFUNCTION("""COMPUTED_VALUE"""),2112)</f>
        <v>2112</v>
      </c>
      <c r="S102" s="1">
        <f ca="1">IFERROR(__xludf.DUMMYFUNCTION("""COMPUTED_VALUE"""),0.462)</f>
        <v>0.46200000000000002</v>
      </c>
      <c r="T102" s="1">
        <f ca="1">IFERROR(__xludf.DUMMYFUNCTION("""COMPUTED_VALUE"""),247)</f>
        <v>247</v>
      </c>
      <c r="U102" s="1">
        <f ca="1">IFERROR(__xludf.DUMMYFUNCTION("""COMPUTED_VALUE"""),722)</f>
        <v>722</v>
      </c>
      <c r="V102" s="1">
        <f ca="1">IFERROR(__xludf.DUMMYFUNCTION("""COMPUTED_VALUE"""),0.342)</f>
        <v>0.34200000000000003</v>
      </c>
      <c r="W102" s="1">
        <f ca="1">IFERROR(__xludf.DUMMYFUNCTION("""COMPUTED_VALUE"""),497)</f>
        <v>497</v>
      </c>
      <c r="X102" s="1">
        <f ca="1">IFERROR(__xludf.DUMMYFUNCTION("""COMPUTED_VALUE"""),736)</f>
        <v>736</v>
      </c>
      <c r="Y102" s="1">
        <f ca="1">IFERROR(__xludf.DUMMYFUNCTION("""COMPUTED_VALUE"""),0.675)</f>
        <v>0.67500000000000004</v>
      </c>
      <c r="Z102" s="1">
        <f ca="1">IFERROR(__xludf.DUMMYFUNCTION("""COMPUTED_VALUE"""),412)</f>
        <v>412</v>
      </c>
      <c r="AA102" s="1">
        <f ca="1">IFERROR(__xludf.DUMMYFUNCTION("""COMPUTED_VALUE"""),1226)</f>
        <v>1226</v>
      </c>
      <c r="AB102" s="1">
        <f ca="1">IFERROR(__xludf.DUMMYFUNCTION("""COMPUTED_VALUE"""),523)</f>
        <v>523</v>
      </c>
      <c r="AC102" s="1">
        <f ca="1">IFERROR(__xludf.DUMMYFUNCTION("""COMPUTED_VALUE"""),331)</f>
        <v>331</v>
      </c>
      <c r="AD102" s="1">
        <f ca="1">IFERROR(__xludf.DUMMYFUNCTION("""COMPUTED_VALUE"""),139)</f>
        <v>139</v>
      </c>
      <c r="AE102" s="1">
        <f ca="1">IFERROR(__xludf.DUMMYFUNCTION("""COMPUTED_VALUE"""),545)</f>
        <v>545</v>
      </c>
      <c r="AF102" s="1">
        <f ca="1">IFERROR(__xludf.DUMMYFUNCTION("""COMPUTED_VALUE"""),649)</f>
        <v>649</v>
      </c>
    </row>
    <row r="103" spans="1:32" ht="12.5" x14ac:dyDescent="0.25">
      <c r="A103" s="1" t="str">
        <f ca="1">IFERROR(__xludf.DUMMYFUNCTION("""COMPUTED_VALUE"""),"Florida International")</f>
        <v>Florida International</v>
      </c>
      <c r="B103" s="1">
        <f ca="1">IFERROR(__xludf.DUMMYFUNCTION("""COMPUTED_VALUE"""),32)</f>
        <v>32</v>
      </c>
      <c r="C103" s="1">
        <f ca="1">IFERROR(__xludf.DUMMYFUNCTION("""COMPUTED_VALUE"""),18)</f>
        <v>18</v>
      </c>
      <c r="D103" s="1">
        <f ca="1">IFERROR(__xludf.DUMMYFUNCTION("""COMPUTED_VALUE"""),14)</f>
        <v>14</v>
      </c>
      <c r="E103" s="1">
        <f ca="1">IFERROR(__xludf.DUMMYFUNCTION("""COMPUTED_VALUE"""),0.563)</f>
        <v>0.56299999999999994</v>
      </c>
      <c r="F103" s="1">
        <f ca="1">IFERROR(__xludf.DUMMYFUNCTION("""COMPUTED_VALUE"""),-2.08)</f>
        <v>-2.08</v>
      </c>
      <c r="G103" s="1">
        <f ca="1">IFERROR(__xludf.DUMMYFUNCTION("""COMPUTED_VALUE"""),-2.11)</f>
        <v>-2.11</v>
      </c>
      <c r="H103" s="1">
        <f ca="1">IFERROR(__xludf.DUMMYFUNCTION("""COMPUTED_VALUE"""),11)</f>
        <v>11</v>
      </c>
      <c r="I103" s="1">
        <f ca="1">IFERROR(__xludf.DUMMYFUNCTION("""COMPUTED_VALUE"""),9)</f>
        <v>9</v>
      </c>
      <c r="J103" s="1">
        <f ca="1">IFERROR(__xludf.DUMMYFUNCTION("""COMPUTED_VALUE"""),10)</f>
        <v>10</v>
      </c>
      <c r="K103" s="1">
        <f ca="1">IFERROR(__xludf.DUMMYFUNCTION("""COMPUTED_VALUE"""),3)</f>
        <v>3</v>
      </c>
      <c r="L103" s="1">
        <f ca="1">IFERROR(__xludf.DUMMYFUNCTION("""COMPUTED_VALUE"""),6)</f>
        <v>6</v>
      </c>
      <c r="M103" s="1">
        <f ca="1">IFERROR(__xludf.DUMMYFUNCTION("""COMPUTED_VALUE"""),10)</f>
        <v>10</v>
      </c>
      <c r="N103" s="1">
        <f ca="1">IFERROR(__xludf.DUMMYFUNCTION("""COMPUTED_VALUE"""),2210)</f>
        <v>2210</v>
      </c>
      <c r="O103" s="1">
        <f ca="1">IFERROR(__xludf.DUMMYFUNCTION("""COMPUTED_VALUE"""),2209)</f>
        <v>2209</v>
      </c>
      <c r="P103" s="1">
        <f ca="1">IFERROR(__xludf.DUMMYFUNCTION("""COMPUTED_VALUE"""),1280)</f>
        <v>1280</v>
      </c>
      <c r="Q103" s="1">
        <f ca="1">IFERROR(__xludf.DUMMYFUNCTION("""COMPUTED_VALUE"""),766)</f>
        <v>766</v>
      </c>
      <c r="R103" s="1">
        <f ca="1">IFERROR(__xludf.DUMMYFUNCTION("""COMPUTED_VALUE"""),1794)</f>
        <v>1794</v>
      </c>
      <c r="S103" s="1">
        <f ca="1">IFERROR(__xludf.DUMMYFUNCTION("""COMPUTED_VALUE"""),0.427)</f>
        <v>0.42699999999999999</v>
      </c>
      <c r="T103" s="1">
        <f ca="1">IFERROR(__xludf.DUMMYFUNCTION("""COMPUTED_VALUE"""),224)</f>
        <v>224</v>
      </c>
      <c r="U103" s="1">
        <f ca="1">IFERROR(__xludf.DUMMYFUNCTION("""COMPUTED_VALUE"""),672)</f>
        <v>672</v>
      </c>
      <c r="V103" s="1">
        <f ca="1">IFERROR(__xludf.DUMMYFUNCTION("""COMPUTED_VALUE"""),0.333)</f>
        <v>0.33300000000000002</v>
      </c>
      <c r="W103" s="1">
        <f ca="1">IFERROR(__xludf.DUMMYFUNCTION("""COMPUTED_VALUE"""),454)</f>
        <v>454</v>
      </c>
      <c r="X103" s="1">
        <f ca="1">IFERROR(__xludf.DUMMYFUNCTION("""COMPUTED_VALUE"""),642)</f>
        <v>642</v>
      </c>
      <c r="Y103" s="1">
        <f ca="1">IFERROR(__xludf.DUMMYFUNCTION("""COMPUTED_VALUE"""),0.707)</f>
        <v>0.70699999999999996</v>
      </c>
      <c r="Z103" s="1">
        <f ca="1">IFERROR(__xludf.DUMMYFUNCTION("""COMPUTED_VALUE"""),353)</f>
        <v>353</v>
      </c>
      <c r="AA103" s="1">
        <f ca="1">IFERROR(__xludf.DUMMYFUNCTION("""COMPUTED_VALUE"""),942)</f>
        <v>942</v>
      </c>
      <c r="AB103" s="1">
        <f ca="1">IFERROR(__xludf.DUMMYFUNCTION("""COMPUTED_VALUE"""),369)</f>
        <v>369</v>
      </c>
      <c r="AC103" s="1">
        <f ca="1">IFERROR(__xludf.DUMMYFUNCTION("""COMPUTED_VALUE"""),299)</f>
        <v>299</v>
      </c>
      <c r="AD103" s="1">
        <f ca="1">IFERROR(__xludf.DUMMYFUNCTION("""COMPUTED_VALUE"""),87)</f>
        <v>87</v>
      </c>
      <c r="AE103" s="1">
        <f ca="1">IFERROR(__xludf.DUMMYFUNCTION("""COMPUTED_VALUE"""),484)</f>
        <v>484</v>
      </c>
      <c r="AF103" s="1">
        <f ca="1">IFERROR(__xludf.DUMMYFUNCTION("""COMPUTED_VALUE"""),603)</f>
        <v>603</v>
      </c>
    </row>
    <row r="104" spans="1:32" ht="12.5" x14ac:dyDescent="0.25">
      <c r="A104" s="1" t="str">
        <f ca="1">IFERROR(__xludf.DUMMYFUNCTION("""COMPUTED_VALUE"""),"Florida State")</f>
        <v>Florida State</v>
      </c>
      <c r="B104" s="1">
        <f ca="1">IFERROR(__xludf.DUMMYFUNCTION("""COMPUTED_VALUE"""),34)</f>
        <v>34</v>
      </c>
      <c r="C104" s="1">
        <f ca="1">IFERROR(__xludf.DUMMYFUNCTION("""COMPUTED_VALUE"""),18)</f>
        <v>18</v>
      </c>
      <c r="D104" s="1">
        <f ca="1">IFERROR(__xludf.DUMMYFUNCTION("""COMPUTED_VALUE"""),16)</f>
        <v>16</v>
      </c>
      <c r="E104" s="1">
        <f ca="1">IFERROR(__xludf.DUMMYFUNCTION("""COMPUTED_VALUE"""),0.529)</f>
        <v>0.52900000000000003</v>
      </c>
      <c r="F104" s="1">
        <f ca="1">IFERROR(__xludf.DUMMYFUNCTION("""COMPUTED_VALUE"""),5.67)</f>
        <v>5.67</v>
      </c>
      <c r="G104" s="1">
        <f ca="1">IFERROR(__xludf.DUMMYFUNCTION("""COMPUTED_VALUE"""),7.23)</f>
        <v>7.23</v>
      </c>
      <c r="H104" s="1">
        <f ca="1">IFERROR(__xludf.DUMMYFUNCTION("""COMPUTED_VALUE"""),9)</f>
        <v>9</v>
      </c>
      <c r="I104" s="1">
        <f ca="1">IFERROR(__xludf.DUMMYFUNCTION("""COMPUTED_VALUE"""),9)</f>
        <v>9</v>
      </c>
      <c r="J104" s="1">
        <f ca="1">IFERROR(__xludf.DUMMYFUNCTION("""COMPUTED_VALUE"""),10)</f>
        <v>10</v>
      </c>
      <c r="K104" s="1">
        <f ca="1">IFERROR(__xludf.DUMMYFUNCTION("""COMPUTED_VALUE"""),8)</f>
        <v>8</v>
      </c>
      <c r="L104" s="1">
        <f ca="1">IFERROR(__xludf.DUMMYFUNCTION("""COMPUTED_VALUE"""),3)</f>
        <v>3</v>
      </c>
      <c r="M104" s="1">
        <f ca="1">IFERROR(__xludf.DUMMYFUNCTION("""COMPUTED_VALUE"""),7)</f>
        <v>7</v>
      </c>
      <c r="N104" s="1">
        <f ca="1">IFERROR(__xludf.DUMMYFUNCTION("""COMPUTED_VALUE"""),2278)</f>
        <v>2278</v>
      </c>
      <c r="O104" s="1">
        <f ca="1">IFERROR(__xludf.DUMMYFUNCTION("""COMPUTED_VALUE"""),2331)</f>
        <v>2331</v>
      </c>
      <c r="P104" s="1">
        <f ca="1">IFERROR(__xludf.DUMMYFUNCTION("""COMPUTED_VALUE"""),1360)</f>
        <v>1360</v>
      </c>
      <c r="Q104" s="1">
        <f ca="1">IFERROR(__xludf.DUMMYFUNCTION("""COMPUTED_VALUE"""),780)</f>
        <v>780</v>
      </c>
      <c r="R104" s="1">
        <f ca="1">IFERROR(__xludf.DUMMYFUNCTION("""COMPUTED_VALUE"""),1758)</f>
        <v>1758</v>
      </c>
      <c r="S104" s="1">
        <f ca="1">IFERROR(__xludf.DUMMYFUNCTION("""COMPUTED_VALUE"""),0.444)</f>
        <v>0.44400000000000001</v>
      </c>
      <c r="T104" s="1">
        <f ca="1">IFERROR(__xludf.DUMMYFUNCTION("""COMPUTED_VALUE"""),196)</f>
        <v>196</v>
      </c>
      <c r="U104" s="1">
        <f ca="1">IFERROR(__xludf.DUMMYFUNCTION("""COMPUTED_VALUE"""),563)</f>
        <v>563</v>
      </c>
      <c r="V104" s="1">
        <f ca="1">IFERROR(__xludf.DUMMYFUNCTION("""COMPUTED_VALUE"""),0.348)</f>
        <v>0.34799999999999998</v>
      </c>
      <c r="W104" s="1">
        <f ca="1">IFERROR(__xludf.DUMMYFUNCTION("""COMPUTED_VALUE"""),522)</f>
        <v>522</v>
      </c>
      <c r="X104" s="1">
        <f ca="1">IFERROR(__xludf.DUMMYFUNCTION("""COMPUTED_VALUE"""),710)</f>
        <v>710</v>
      </c>
      <c r="Y104" s="1">
        <f ca="1">IFERROR(__xludf.DUMMYFUNCTION("""COMPUTED_VALUE"""),0.735)</f>
        <v>0.73499999999999999</v>
      </c>
      <c r="Z104" s="1">
        <f ca="1">IFERROR(__xludf.DUMMYFUNCTION("""COMPUTED_VALUE"""),322)</f>
        <v>322</v>
      </c>
      <c r="AA104" s="1">
        <f ca="1">IFERROR(__xludf.DUMMYFUNCTION("""COMPUTED_VALUE"""),956)</f>
        <v>956</v>
      </c>
      <c r="AB104" s="1">
        <f ca="1">IFERROR(__xludf.DUMMYFUNCTION("""COMPUTED_VALUE"""),385)</f>
        <v>385</v>
      </c>
      <c r="AC104" s="1">
        <f ca="1">IFERROR(__xludf.DUMMYFUNCTION("""COMPUTED_VALUE"""),210)</f>
        <v>210</v>
      </c>
      <c r="AD104" s="1">
        <f ca="1">IFERROR(__xludf.DUMMYFUNCTION("""COMPUTED_VALUE"""),172)</f>
        <v>172</v>
      </c>
      <c r="AE104" s="1">
        <f ca="1">IFERROR(__xludf.DUMMYFUNCTION("""COMPUTED_VALUE"""),497)</f>
        <v>497</v>
      </c>
      <c r="AF104" s="1">
        <f ca="1">IFERROR(__xludf.DUMMYFUNCTION("""COMPUTED_VALUE"""),601)</f>
        <v>601</v>
      </c>
    </row>
    <row r="105" spans="1:32" ht="12.5" x14ac:dyDescent="0.25">
      <c r="A105" s="1" t="str">
        <f ca="1">IFERROR(__xludf.DUMMYFUNCTION("""COMPUTED_VALUE"""),"FloridaNCAA")</f>
        <v>FloridaNCAA</v>
      </c>
      <c r="B105" s="1">
        <f ca="1">IFERROR(__xludf.DUMMYFUNCTION("""COMPUTED_VALUE"""),37)</f>
        <v>37</v>
      </c>
      <c r="C105" s="1">
        <f ca="1">IFERROR(__xludf.DUMMYFUNCTION("""COMPUTED_VALUE"""),29)</f>
        <v>29</v>
      </c>
      <c r="D105" s="1">
        <f ca="1">IFERROR(__xludf.DUMMYFUNCTION("""COMPUTED_VALUE"""),8)</f>
        <v>8</v>
      </c>
      <c r="E105" s="1">
        <f ca="1">IFERROR(__xludf.DUMMYFUNCTION("""COMPUTED_VALUE"""),0.784)</f>
        <v>0.78400000000000003</v>
      </c>
      <c r="F105" s="1">
        <f ca="1">IFERROR(__xludf.DUMMYFUNCTION("""COMPUTED_VALUE"""),23.86)</f>
        <v>23.86</v>
      </c>
      <c r="G105" s="1">
        <f ca="1">IFERROR(__xludf.DUMMYFUNCTION("""COMPUTED_VALUE"""),6.83)</f>
        <v>6.83</v>
      </c>
      <c r="H105" s="1">
        <f ca="1">IFERROR(__xludf.DUMMYFUNCTION("""COMPUTED_VALUE"""),14)</f>
        <v>14</v>
      </c>
      <c r="I105" s="1">
        <f ca="1">IFERROR(__xludf.DUMMYFUNCTION("""COMPUTED_VALUE"""),4)</f>
        <v>4</v>
      </c>
      <c r="J105" s="1">
        <f ca="1">IFERROR(__xludf.DUMMYFUNCTION("""COMPUTED_VALUE"""),15)</f>
        <v>15</v>
      </c>
      <c r="K105" s="1">
        <f ca="1">IFERROR(__xludf.DUMMYFUNCTION("""COMPUTED_VALUE"""),0)</f>
        <v>0</v>
      </c>
      <c r="L105" s="1">
        <f ca="1">IFERROR(__xludf.DUMMYFUNCTION("""COMPUTED_VALUE"""),7)</f>
        <v>7</v>
      </c>
      <c r="M105" s="1">
        <f ca="1">IFERROR(__xludf.DUMMYFUNCTION("""COMPUTED_VALUE"""),5)</f>
        <v>5</v>
      </c>
      <c r="N105" s="1">
        <f ca="1">IFERROR(__xludf.DUMMYFUNCTION("""COMPUTED_VALUE"""),2642)</f>
        <v>2642</v>
      </c>
      <c r="O105" s="1">
        <f ca="1">IFERROR(__xludf.DUMMYFUNCTION("""COMPUTED_VALUE"""),2012)</f>
        <v>2012</v>
      </c>
      <c r="P105" s="1">
        <f ca="1">IFERROR(__xludf.DUMMYFUNCTION("""COMPUTED_VALUE"""),1480)</f>
        <v>1480</v>
      </c>
      <c r="Q105" s="1">
        <f ca="1">IFERROR(__xludf.DUMMYFUNCTION("""COMPUTED_VALUE"""),960)</f>
        <v>960</v>
      </c>
      <c r="R105" s="1">
        <f ca="1">IFERROR(__xludf.DUMMYFUNCTION("""COMPUTED_VALUE"""),2010)</f>
        <v>2010</v>
      </c>
      <c r="S105" s="1">
        <f ca="1">IFERROR(__xludf.DUMMYFUNCTION("""COMPUTED_VALUE"""),0.478)</f>
        <v>0.47799999999999998</v>
      </c>
      <c r="T105" s="1">
        <f ca="1">IFERROR(__xludf.DUMMYFUNCTION("""COMPUTED_VALUE"""),300)</f>
        <v>300</v>
      </c>
      <c r="U105" s="1">
        <f ca="1">IFERROR(__xludf.DUMMYFUNCTION("""COMPUTED_VALUE"""),794)</f>
        <v>794</v>
      </c>
      <c r="V105" s="1">
        <f ca="1">IFERROR(__xludf.DUMMYFUNCTION("""COMPUTED_VALUE"""),0.378)</f>
        <v>0.378</v>
      </c>
      <c r="W105" s="1">
        <f ca="1">IFERROR(__xludf.DUMMYFUNCTION("""COMPUTED_VALUE"""),422)</f>
        <v>422</v>
      </c>
      <c r="X105" s="1">
        <f ca="1">IFERROR(__xludf.DUMMYFUNCTION("""COMPUTED_VALUE"""),623)</f>
        <v>623</v>
      </c>
      <c r="Y105" s="1">
        <f ca="1">IFERROR(__xludf.DUMMYFUNCTION("""COMPUTED_VALUE"""),0.677)</f>
        <v>0.67700000000000005</v>
      </c>
      <c r="Z105" s="1">
        <f ca="1">IFERROR(__xludf.DUMMYFUNCTION("""COMPUTED_VALUE"""),381)</f>
        <v>381</v>
      </c>
      <c r="AA105" s="1">
        <f ca="1">IFERROR(__xludf.DUMMYFUNCTION("""COMPUTED_VALUE"""),1179)</f>
        <v>1179</v>
      </c>
      <c r="AB105" s="1">
        <f ca="1">IFERROR(__xludf.DUMMYFUNCTION("""COMPUTED_VALUE"""),540)</f>
        <v>540</v>
      </c>
      <c r="AC105" s="1">
        <f ca="1">IFERROR(__xludf.DUMMYFUNCTION("""COMPUTED_VALUE"""),265)</f>
        <v>265</v>
      </c>
      <c r="AD105" s="1">
        <f ca="1">IFERROR(__xludf.DUMMYFUNCTION("""COMPUTED_VALUE"""),120)</f>
        <v>120</v>
      </c>
      <c r="AE105" s="1">
        <f ca="1">IFERROR(__xludf.DUMMYFUNCTION("""COMPUTED_VALUE"""),401)</f>
        <v>401</v>
      </c>
      <c r="AF105" s="1">
        <f ca="1">IFERROR(__xludf.DUMMYFUNCTION("""COMPUTED_VALUE"""),518)</f>
        <v>518</v>
      </c>
    </row>
    <row r="106" spans="1:32" ht="12.5" x14ac:dyDescent="0.25">
      <c r="A106" s="1" t="str">
        <f ca="1">IFERROR(__xludf.DUMMYFUNCTION("""COMPUTED_VALUE"""),"Fordham")</f>
        <v>Fordham</v>
      </c>
      <c r="B106" s="1">
        <f ca="1">IFERROR(__xludf.DUMMYFUNCTION("""COMPUTED_VALUE"""),31)</f>
        <v>31</v>
      </c>
      <c r="C106" s="1">
        <f ca="1">IFERROR(__xludf.DUMMYFUNCTION("""COMPUTED_VALUE"""),7)</f>
        <v>7</v>
      </c>
      <c r="D106" s="1">
        <f ca="1">IFERROR(__xludf.DUMMYFUNCTION("""COMPUTED_VALUE"""),24)</f>
        <v>24</v>
      </c>
      <c r="E106" s="1">
        <f ca="1">IFERROR(__xludf.DUMMYFUNCTION("""COMPUTED_VALUE"""),0.226)</f>
        <v>0.22600000000000001</v>
      </c>
      <c r="F106" s="1">
        <f ca="1">IFERROR(__xludf.DUMMYFUNCTION("""COMPUTED_VALUE"""),-6.9)</f>
        <v>-6.9</v>
      </c>
      <c r="G106" s="1">
        <f ca="1">IFERROR(__xludf.DUMMYFUNCTION("""COMPUTED_VALUE"""),4.59)</f>
        <v>4.59</v>
      </c>
      <c r="H106" s="1">
        <f ca="1">IFERROR(__xludf.DUMMYFUNCTION("""COMPUTED_VALUE"""),3)</f>
        <v>3</v>
      </c>
      <c r="I106" s="1">
        <f ca="1">IFERROR(__xludf.DUMMYFUNCTION("""COMPUTED_VALUE"""),13)</f>
        <v>13</v>
      </c>
      <c r="J106" s="1">
        <f ca="1">IFERROR(__xludf.DUMMYFUNCTION("""COMPUTED_VALUE"""),4)</f>
        <v>4</v>
      </c>
      <c r="K106" s="1">
        <f ca="1">IFERROR(__xludf.DUMMYFUNCTION("""COMPUTED_VALUE"""),7)</f>
        <v>7</v>
      </c>
      <c r="L106" s="1">
        <f ca="1">IFERROR(__xludf.DUMMYFUNCTION("""COMPUTED_VALUE"""),1)</f>
        <v>1</v>
      </c>
      <c r="M106" s="1">
        <f ca="1">IFERROR(__xludf.DUMMYFUNCTION("""COMPUTED_VALUE"""),15)</f>
        <v>15</v>
      </c>
      <c r="N106" s="1">
        <f ca="1">IFERROR(__xludf.DUMMYFUNCTION("""COMPUTED_VALUE"""),1997)</f>
        <v>1997</v>
      </c>
      <c r="O106" s="1">
        <f ca="1">IFERROR(__xludf.DUMMYFUNCTION("""COMPUTED_VALUE"""),2353)</f>
        <v>2353</v>
      </c>
      <c r="P106" s="1">
        <f ca="1">IFERROR(__xludf.DUMMYFUNCTION("""COMPUTED_VALUE"""),1240)</f>
        <v>1240</v>
      </c>
      <c r="Q106" s="1">
        <f ca="1">IFERROR(__xludf.DUMMYFUNCTION("""COMPUTED_VALUE"""),718)</f>
        <v>718</v>
      </c>
      <c r="R106" s="1">
        <f ca="1">IFERROR(__xludf.DUMMYFUNCTION("""COMPUTED_VALUE"""),1785)</f>
        <v>1785</v>
      </c>
      <c r="S106" s="1">
        <f ca="1">IFERROR(__xludf.DUMMYFUNCTION("""COMPUTED_VALUE"""),0.402)</f>
        <v>0.40200000000000002</v>
      </c>
      <c r="T106" s="1">
        <f ca="1">IFERROR(__xludf.DUMMYFUNCTION("""COMPUTED_VALUE"""),168)</f>
        <v>168</v>
      </c>
      <c r="U106" s="1">
        <f ca="1">IFERROR(__xludf.DUMMYFUNCTION("""COMPUTED_VALUE"""),540)</f>
        <v>540</v>
      </c>
      <c r="V106" s="1">
        <f ca="1">IFERROR(__xludf.DUMMYFUNCTION("""COMPUTED_VALUE"""),0.311)</f>
        <v>0.311</v>
      </c>
      <c r="W106" s="1">
        <f ca="1">IFERROR(__xludf.DUMMYFUNCTION("""COMPUTED_VALUE"""),393)</f>
        <v>393</v>
      </c>
      <c r="X106" s="1">
        <f ca="1">IFERROR(__xludf.DUMMYFUNCTION("""COMPUTED_VALUE"""),583)</f>
        <v>583</v>
      </c>
      <c r="Y106" s="1">
        <f ca="1">IFERROR(__xludf.DUMMYFUNCTION("""COMPUTED_VALUE"""),0.674)</f>
        <v>0.67400000000000004</v>
      </c>
      <c r="Z106" s="1">
        <f ca="1">IFERROR(__xludf.DUMMYFUNCTION("""COMPUTED_VALUE"""),416)</f>
        <v>416</v>
      </c>
      <c r="AA106" s="1">
        <f ca="1">IFERROR(__xludf.DUMMYFUNCTION("""COMPUTED_VALUE"""),1071)</f>
        <v>1071</v>
      </c>
      <c r="AB106" s="1">
        <f ca="1">IFERROR(__xludf.DUMMYFUNCTION("""COMPUTED_VALUE"""),377)</f>
        <v>377</v>
      </c>
      <c r="AC106" s="1">
        <f ca="1">IFERROR(__xludf.DUMMYFUNCTION("""COMPUTED_VALUE"""),153)</f>
        <v>153</v>
      </c>
      <c r="AD106" s="1">
        <f ca="1">IFERROR(__xludf.DUMMYFUNCTION("""COMPUTED_VALUE"""),127)</f>
        <v>127</v>
      </c>
      <c r="AE106" s="1">
        <f ca="1">IFERROR(__xludf.DUMMYFUNCTION("""COMPUTED_VALUE"""),486)</f>
        <v>486</v>
      </c>
      <c r="AF106" s="1">
        <f ca="1">IFERROR(__xludf.DUMMYFUNCTION("""COMPUTED_VALUE"""),630)</f>
        <v>630</v>
      </c>
    </row>
    <row r="107" spans="1:32" ht="12.5" x14ac:dyDescent="0.25">
      <c r="A107" s="1" t="str">
        <f ca="1">IFERROR(__xludf.DUMMYFUNCTION("""COMPUTED_VALUE"""),"Fresno State")</f>
        <v>Fresno State</v>
      </c>
      <c r="B107" s="1">
        <f ca="1">IFERROR(__xludf.DUMMYFUNCTION("""COMPUTED_VALUE"""),30)</f>
        <v>30</v>
      </c>
      <c r="C107" s="1">
        <f ca="1">IFERROR(__xludf.DUMMYFUNCTION("""COMPUTED_VALUE"""),11)</f>
        <v>11</v>
      </c>
      <c r="D107" s="1">
        <f ca="1">IFERROR(__xludf.DUMMYFUNCTION("""COMPUTED_VALUE"""),19)</f>
        <v>19</v>
      </c>
      <c r="E107" s="1">
        <f ca="1">IFERROR(__xludf.DUMMYFUNCTION("""COMPUTED_VALUE"""),0.367)</f>
        <v>0.36699999999999999</v>
      </c>
      <c r="F107" s="1">
        <f ca="1">IFERROR(__xludf.DUMMYFUNCTION("""COMPUTED_VALUE"""),3.31)</f>
        <v>3.31</v>
      </c>
      <c r="G107" s="1">
        <f ca="1">IFERROR(__xludf.DUMMYFUNCTION("""COMPUTED_VALUE"""),6.56)</f>
        <v>6.56</v>
      </c>
      <c r="H107" s="1">
        <f ca="1">IFERROR(__xludf.DUMMYFUNCTION("""COMPUTED_VALUE"""),5)</f>
        <v>5</v>
      </c>
      <c r="I107" s="1">
        <f ca="1">IFERROR(__xludf.DUMMYFUNCTION("""COMPUTED_VALUE"""),11)</f>
        <v>11</v>
      </c>
      <c r="J107" s="1">
        <f ca="1">IFERROR(__xludf.DUMMYFUNCTION("""COMPUTED_VALUE"""),6)</f>
        <v>6</v>
      </c>
      <c r="K107" s="1">
        <f ca="1">IFERROR(__xludf.DUMMYFUNCTION("""COMPUTED_VALUE"""),8)</f>
        <v>8</v>
      </c>
      <c r="L107" s="1">
        <f ca="1">IFERROR(__xludf.DUMMYFUNCTION("""COMPUTED_VALUE"""),5)</f>
        <v>5</v>
      </c>
      <c r="M107" s="1">
        <f ca="1">IFERROR(__xludf.DUMMYFUNCTION("""COMPUTED_VALUE"""),10)</f>
        <v>10</v>
      </c>
      <c r="N107" s="1">
        <f ca="1">IFERROR(__xludf.DUMMYFUNCTION("""COMPUTED_VALUE"""),1798)</f>
        <v>1798</v>
      </c>
      <c r="O107" s="1">
        <f ca="1">IFERROR(__xludf.DUMMYFUNCTION("""COMPUTED_VALUE"""),1829)</f>
        <v>1829</v>
      </c>
      <c r="P107" s="1">
        <f ca="1">IFERROR(__xludf.DUMMYFUNCTION("""COMPUTED_VALUE"""),1210)</f>
        <v>1210</v>
      </c>
      <c r="Q107" s="1">
        <f ca="1">IFERROR(__xludf.DUMMYFUNCTION("""COMPUTED_VALUE"""),610)</f>
        <v>610</v>
      </c>
      <c r="R107" s="1">
        <f ca="1">IFERROR(__xludf.DUMMYFUNCTION("""COMPUTED_VALUE"""),1566)</f>
        <v>1566</v>
      </c>
      <c r="S107" s="1">
        <f ca="1">IFERROR(__xludf.DUMMYFUNCTION("""COMPUTED_VALUE"""),0.39)</f>
        <v>0.39</v>
      </c>
      <c r="T107" s="1">
        <f ca="1">IFERROR(__xludf.DUMMYFUNCTION("""COMPUTED_VALUE"""),182)</f>
        <v>182</v>
      </c>
      <c r="U107" s="1">
        <f ca="1">IFERROR(__xludf.DUMMYFUNCTION("""COMPUTED_VALUE"""),523)</f>
        <v>523</v>
      </c>
      <c r="V107" s="1">
        <f ca="1">IFERROR(__xludf.DUMMYFUNCTION("""COMPUTED_VALUE"""),0.348)</f>
        <v>0.34799999999999998</v>
      </c>
      <c r="W107" s="1">
        <f ca="1">IFERROR(__xludf.DUMMYFUNCTION("""COMPUTED_VALUE"""),396)</f>
        <v>396</v>
      </c>
      <c r="X107" s="1">
        <f ca="1">IFERROR(__xludf.DUMMYFUNCTION("""COMPUTED_VALUE"""),593)</f>
        <v>593</v>
      </c>
      <c r="Y107" s="1">
        <f ca="1">IFERROR(__xludf.DUMMYFUNCTION("""COMPUTED_VALUE"""),0.668)</f>
        <v>0.66800000000000004</v>
      </c>
      <c r="Z107" s="1">
        <f ca="1">IFERROR(__xludf.DUMMYFUNCTION("""COMPUTED_VALUE"""),319)</f>
        <v>319</v>
      </c>
      <c r="AA107" s="1">
        <f ca="1">IFERROR(__xludf.DUMMYFUNCTION("""COMPUTED_VALUE"""),866)</f>
        <v>866</v>
      </c>
      <c r="AB107" s="1">
        <f ca="1">IFERROR(__xludf.DUMMYFUNCTION("""COMPUTED_VALUE"""),275)</f>
        <v>275</v>
      </c>
      <c r="AC107" s="1">
        <f ca="1">IFERROR(__xludf.DUMMYFUNCTION("""COMPUTED_VALUE"""),216)</f>
        <v>216</v>
      </c>
      <c r="AD107" s="1">
        <f ca="1">IFERROR(__xludf.DUMMYFUNCTION("""COMPUTED_VALUE"""),104)</f>
        <v>104</v>
      </c>
      <c r="AE107" s="1">
        <f ca="1">IFERROR(__xludf.DUMMYFUNCTION("""COMPUTED_VALUE"""),348)</f>
        <v>348</v>
      </c>
      <c r="AF107" s="1">
        <f ca="1">IFERROR(__xludf.DUMMYFUNCTION("""COMPUTED_VALUE"""),582)</f>
        <v>582</v>
      </c>
    </row>
    <row r="108" spans="1:32" ht="12.5" x14ac:dyDescent="0.25">
      <c r="A108" s="1" t="str">
        <f ca="1">IFERROR(__xludf.DUMMYFUNCTION("""COMPUTED_VALUE"""),"Furman")</f>
        <v>Furman</v>
      </c>
      <c r="B108" s="1">
        <f ca="1">IFERROR(__xludf.DUMMYFUNCTION("""COMPUTED_VALUE"""),31)</f>
        <v>31</v>
      </c>
      <c r="C108" s="1">
        <f ca="1">IFERROR(__xludf.DUMMYFUNCTION("""COMPUTED_VALUE"""),7)</f>
        <v>7</v>
      </c>
      <c r="D108" s="1">
        <f ca="1">IFERROR(__xludf.DUMMYFUNCTION("""COMPUTED_VALUE"""),24)</f>
        <v>24</v>
      </c>
      <c r="E108" s="1">
        <f ca="1">IFERROR(__xludf.DUMMYFUNCTION("""COMPUTED_VALUE"""),0.226)</f>
        <v>0.22600000000000001</v>
      </c>
      <c r="F108" s="1">
        <f ca="1">IFERROR(__xludf.DUMMYFUNCTION("""COMPUTED_VALUE"""),-17.46)</f>
        <v>-17.46</v>
      </c>
      <c r="G108" s="1">
        <f ca="1">IFERROR(__xludf.DUMMYFUNCTION("""COMPUTED_VALUE"""),-5.29)</f>
        <v>-5.29</v>
      </c>
      <c r="H108" s="1">
        <f ca="1">IFERROR(__xludf.DUMMYFUNCTION("""COMPUTED_VALUE"""),3)</f>
        <v>3</v>
      </c>
      <c r="I108" s="1">
        <f ca="1">IFERROR(__xludf.DUMMYFUNCTION("""COMPUTED_VALUE"""),15)</f>
        <v>15</v>
      </c>
      <c r="J108" s="1">
        <f ca="1">IFERROR(__xludf.DUMMYFUNCTION("""COMPUTED_VALUE"""),5)</f>
        <v>5</v>
      </c>
      <c r="K108" s="1">
        <f ca="1">IFERROR(__xludf.DUMMYFUNCTION("""COMPUTED_VALUE"""),9)</f>
        <v>9</v>
      </c>
      <c r="L108" s="1">
        <f ca="1">IFERROR(__xludf.DUMMYFUNCTION("""COMPUTED_VALUE"""),1)</f>
        <v>1</v>
      </c>
      <c r="M108" s="1">
        <f ca="1">IFERROR(__xludf.DUMMYFUNCTION("""COMPUTED_VALUE"""),14)</f>
        <v>14</v>
      </c>
      <c r="N108" s="1">
        <f ca="1">IFERROR(__xludf.DUMMYFUNCTION("""COMPUTED_VALUE"""),1869)</f>
        <v>1869</v>
      </c>
      <c r="O108" s="1">
        <f ca="1">IFERROR(__xludf.DUMMYFUNCTION("""COMPUTED_VALUE"""),2180)</f>
        <v>2180</v>
      </c>
      <c r="P108" s="1">
        <f ca="1">IFERROR(__xludf.DUMMYFUNCTION("""COMPUTED_VALUE"""),1240)</f>
        <v>1240</v>
      </c>
      <c r="Q108" s="1">
        <f ca="1">IFERROR(__xludf.DUMMYFUNCTION("""COMPUTED_VALUE"""),644)</f>
        <v>644</v>
      </c>
      <c r="R108" s="1">
        <f ca="1">IFERROR(__xludf.DUMMYFUNCTION("""COMPUTED_VALUE"""),1580)</f>
        <v>1580</v>
      </c>
      <c r="S108" s="1">
        <f ca="1">IFERROR(__xludf.DUMMYFUNCTION("""COMPUTED_VALUE"""),0.408)</f>
        <v>0.40799999999999997</v>
      </c>
      <c r="T108" s="1">
        <f ca="1">IFERROR(__xludf.DUMMYFUNCTION("""COMPUTED_VALUE"""),189)</f>
        <v>189</v>
      </c>
      <c r="U108" s="1">
        <f ca="1">IFERROR(__xludf.DUMMYFUNCTION("""COMPUTED_VALUE"""),565)</f>
        <v>565</v>
      </c>
      <c r="V108" s="1">
        <f ca="1">IFERROR(__xludf.DUMMYFUNCTION("""COMPUTED_VALUE"""),0.335)</f>
        <v>0.33500000000000002</v>
      </c>
      <c r="W108" s="1">
        <f ca="1">IFERROR(__xludf.DUMMYFUNCTION("""COMPUTED_VALUE"""),392)</f>
        <v>392</v>
      </c>
      <c r="X108" s="1">
        <f ca="1">IFERROR(__xludf.DUMMYFUNCTION("""COMPUTED_VALUE"""),568)</f>
        <v>568</v>
      </c>
      <c r="Y108" s="1">
        <f ca="1">IFERROR(__xludf.DUMMYFUNCTION("""COMPUTED_VALUE"""),0.69)</f>
        <v>0.69</v>
      </c>
      <c r="Z108" s="1">
        <f ca="1">IFERROR(__xludf.DUMMYFUNCTION("""COMPUTED_VALUE"""),294)</f>
        <v>294</v>
      </c>
      <c r="AA108" s="1">
        <f ca="1">IFERROR(__xludf.DUMMYFUNCTION("""COMPUTED_VALUE"""),884)</f>
        <v>884</v>
      </c>
      <c r="AB108" s="1">
        <f ca="1">IFERROR(__xludf.DUMMYFUNCTION("""COMPUTED_VALUE"""),340)</f>
        <v>340</v>
      </c>
      <c r="AC108" s="1">
        <f ca="1">IFERROR(__xludf.DUMMYFUNCTION("""COMPUTED_VALUE"""),164)</f>
        <v>164</v>
      </c>
      <c r="AD108" s="1">
        <f ca="1">IFERROR(__xludf.DUMMYFUNCTION("""COMPUTED_VALUE"""),116)</f>
        <v>116</v>
      </c>
      <c r="AE108" s="1">
        <f ca="1">IFERROR(__xludf.DUMMYFUNCTION("""COMPUTED_VALUE"""),451)</f>
        <v>451</v>
      </c>
      <c r="AF108" s="1">
        <f ca="1">IFERROR(__xludf.DUMMYFUNCTION("""COMPUTED_VALUE"""),483)</f>
        <v>483</v>
      </c>
    </row>
    <row r="109" spans="1:32" ht="12.5" x14ac:dyDescent="0.25">
      <c r="A109" s="1" t="str">
        <f ca="1">IFERROR(__xludf.DUMMYFUNCTION("""COMPUTED_VALUE"""),"Gardner-Webb")</f>
        <v>Gardner-Webb</v>
      </c>
      <c r="B109" s="1">
        <f ca="1">IFERROR(__xludf.DUMMYFUNCTION("""COMPUTED_VALUE"""),34)</f>
        <v>34</v>
      </c>
      <c r="C109" s="1">
        <f ca="1">IFERROR(__xludf.DUMMYFUNCTION("""COMPUTED_VALUE"""),21)</f>
        <v>21</v>
      </c>
      <c r="D109" s="1">
        <f ca="1">IFERROR(__xludf.DUMMYFUNCTION("""COMPUTED_VALUE"""),13)</f>
        <v>13</v>
      </c>
      <c r="E109" s="1">
        <f ca="1">IFERROR(__xludf.DUMMYFUNCTION("""COMPUTED_VALUE"""),0.618)</f>
        <v>0.61799999999999999</v>
      </c>
      <c r="F109" s="1">
        <f ca="1">IFERROR(__xludf.DUMMYFUNCTION("""COMPUTED_VALUE"""),-3.22)</f>
        <v>-3.22</v>
      </c>
      <c r="G109" s="1">
        <f ca="1">IFERROR(__xludf.DUMMYFUNCTION("""COMPUTED_VALUE"""),-5.93)</f>
        <v>-5.93</v>
      </c>
      <c r="H109" s="1">
        <f ca="1">IFERROR(__xludf.DUMMYFUNCTION("""COMPUTED_VALUE"""),11)</f>
        <v>11</v>
      </c>
      <c r="I109" s="1">
        <f ca="1">IFERROR(__xludf.DUMMYFUNCTION("""COMPUTED_VALUE"""),5)</f>
        <v>5</v>
      </c>
      <c r="J109" s="1">
        <f ca="1">IFERROR(__xludf.DUMMYFUNCTION("""COMPUTED_VALUE"""),12)</f>
        <v>12</v>
      </c>
      <c r="K109" s="1">
        <f ca="1">IFERROR(__xludf.DUMMYFUNCTION("""COMPUTED_VALUE"""),3)</f>
        <v>3</v>
      </c>
      <c r="L109" s="1">
        <f ca="1">IFERROR(__xludf.DUMMYFUNCTION("""COMPUTED_VALUE"""),6)</f>
        <v>6</v>
      </c>
      <c r="M109" s="1">
        <f ca="1">IFERROR(__xludf.DUMMYFUNCTION("""COMPUTED_VALUE"""),9)</f>
        <v>9</v>
      </c>
      <c r="N109" s="1">
        <f ca="1">IFERROR(__xludf.DUMMYFUNCTION("""COMPUTED_VALUE"""),2236)</f>
        <v>2236</v>
      </c>
      <c r="O109" s="1">
        <f ca="1">IFERROR(__xludf.DUMMYFUNCTION("""COMPUTED_VALUE"""),2066)</f>
        <v>2066</v>
      </c>
      <c r="P109" s="1">
        <f ca="1">IFERROR(__xludf.DUMMYFUNCTION("""COMPUTED_VALUE"""),1385)</f>
        <v>1385</v>
      </c>
      <c r="Q109" s="1">
        <f ca="1">IFERROR(__xludf.DUMMYFUNCTION("""COMPUTED_VALUE"""),791)</f>
        <v>791</v>
      </c>
      <c r="R109" s="1">
        <f ca="1">IFERROR(__xludf.DUMMYFUNCTION("""COMPUTED_VALUE"""),1871)</f>
        <v>1871</v>
      </c>
      <c r="S109" s="1">
        <f ca="1">IFERROR(__xludf.DUMMYFUNCTION("""COMPUTED_VALUE"""),0.423)</f>
        <v>0.42299999999999999</v>
      </c>
      <c r="T109" s="1">
        <f ca="1">IFERROR(__xludf.DUMMYFUNCTION("""COMPUTED_VALUE"""),190)</f>
        <v>190</v>
      </c>
      <c r="U109" s="1">
        <f ca="1">IFERROR(__xludf.DUMMYFUNCTION("""COMPUTED_VALUE"""),583)</f>
        <v>583</v>
      </c>
      <c r="V109" s="1">
        <f ca="1">IFERROR(__xludf.DUMMYFUNCTION("""COMPUTED_VALUE"""),0.326)</f>
        <v>0.32600000000000001</v>
      </c>
      <c r="W109" s="1">
        <f ca="1">IFERROR(__xludf.DUMMYFUNCTION("""COMPUTED_VALUE"""),464)</f>
        <v>464</v>
      </c>
      <c r="X109" s="1">
        <f ca="1">IFERROR(__xludf.DUMMYFUNCTION("""COMPUTED_VALUE"""),649)</f>
        <v>649</v>
      </c>
      <c r="Y109" s="1">
        <f ca="1">IFERROR(__xludf.DUMMYFUNCTION("""COMPUTED_VALUE"""),0.715)</f>
        <v>0.71499999999999997</v>
      </c>
      <c r="Z109" s="1">
        <f ca="1">IFERROR(__xludf.DUMMYFUNCTION("""COMPUTED_VALUE"""),420)</f>
        <v>420</v>
      </c>
      <c r="AA109" s="1">
        <f ca="1">IFERROR(__xludf.DUMMYFUNCTION("""COMPUTED_VALUE"""),1090)</f>
        <v>1090</v>
      </c>
      <c r="AB109" s="1">
        <f ca="1">IFERROR(__xludf.DUMMYFUNCTION("""COMPUTED_VALUE"""),438)</f>
        <v>438</v>
      </c>
      <c r="AC109" s="1">
        <f ca="1">IFERROR(__xludf.DUMMYFUNCTION("""COMPUTED_VALUE"""),267)</f>
        <v>267</v>
      </c>
      <c r="AD109" s="1">
        <f ca="1">IFERROR(__xludf.DUMMYFUNCTION("""COMPUTED_VALUE"""),90)</f>
        <v>90</v>
      </c>
      <c r="AE109" s="1">
        <f ca="1">IFERROR(__xludf.DUMMYFUNCTION("""COMPUTED_VALUE"""),459)</f>
        <v>459</v>
      </c>
      <c r="AF109" s="1">
        <f ca="1">IFERROR(__xludf.DUMMYFUNCTION("""COMPUTED_VALUE"""),584)</f>
        <v>584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IFERROR(__xludf.DUMMYFUNCTION("""COMPUTED_VALUE"""),"George Mason")</f>
        <v>George Mason</v>
      </c>
      <c r="B112" s="1">
        <f ca="1">IFERROR(__xludf.DUMMYFUNCTION("""COMPUTED_VALUE"""),38)</f>
        <v>38</v>
      </c>
      <c r="C112" s="1">
        <f ca="1">IFERROR(__xludf.DUMMYFUNCTION("""COMPUTED_VALUE"""),22)</f>
        <v>22</v>
      </c>
      <c r="D112" s="1">
        <f ca="1">IFERROR(__xludf.DUMMYFUNCTION("""COMPUTED_VALUE"""),16)</f>
        <v>16</v>
      </c>
      <c r="E112" s="1">
        <f ca="1">IFERROR(__xludf.DUMMYFUNCTION("""COMPUTED_VALUE"""),0.579)</f>
        <v>0.57899999999999996</v>
      </c>
      <c r="F112" s="1">
        <f ca="1">IFERROR(__xludf.DUMMYFUNCTION("""COMPUTED_VALUE"""),2.01)</f>
        <v>2.0099999999999998</v>
      </c>
      <c r="G112" s="1">
        <f ca="1">IFERROR(__xludf.DUMMYFUNCTION("""COMPUTED_VALUE"""),-0.17)</f>
        <v>-0.17</v>
      </c>
      <c r="H112" s="1">
        <f ca="1">IFERROR(__xludf.DUMMYFUNCTION("""COMPUTED_VALUE"""),10)</f>
        <v>10</v>
      </c>
      <c r="I112" s="1">
        <f ca="1">IFERROR(__xludf.DUMMYFUNCTION("""COMPUTED_VALUE"""),8)</f>
        <v>8</v>
      </c>
      <c r="J112" s="1">
        <f ca="1">IFERROR(__xludf.DUMMYFUNCTION("""COMPUTED_VALUE"""),10)</f>
        <v>10</v>
      </c>
      <c r="K112" s="1">
        <f ca="1">IFERROR(__xludf.DUMMYFUNCTION("""COMPUTED_VALUE"""),7)</f>
        <v>7</v>
      </c>
      <c r="L112" s="1">
        <f ca="1">IFERROR(__xludf.DUMMYFUNCTION("""COMPUTED_VALUE"""),8)</f>
        <v>8</v>
      </c>
      <c r="M112" s="1">
        <f ca="1">IFERROR(__xludf.DUMMYFUNCTION("""COMPUTED_VALUE"""),6)</f>
        <v>6</v>
      </c>
      <c r="N112" s="1">
        <f ca="1">IFERROR(__xludf.DUMMYFUNCTION("""COMPUTED_VALUE"""),2587)</f>
        <v>2587</v>
      </c>
      <c r="O112" s="1">
        <f ca="1">IFERROR(__xludf.DUMMYFUNCTION("""COMPUTED_VALUE"""),2504)</f>
        <v>2504</v>
      </c>
      <c r="P112" s="1">
        <f ca="1">IFERROR(__xludf.DUMMYFUNCTION("""COMPUTED_VALUE"""),1535)</f>
        <v>1535</v>
      </c>
      <c r="Q112" s="1">
        <f ca="1">IFERROR(__xludf.DUMMYFUNCTION("""COMPUTED_VALUE"""),922)</f>
        <v>922</v>
      </c>
      <c r="R112" s="1">
        <f ca="1">IFERROR(__xludf.DUMMYFUNCTION("""COMPUTED_VALUE"""),2112)</f>
        <v>2112</v>
      </c>
      <c r="S112" s="1">
        <f ca="1">IFERROR(__xludf.DUMMYFUNCTION("""COMPUTED_VALUE"""),0.437)</f>
        <v>0.437</v>
      </c>
      <c r="T112" s="1">
        <f ca="1">IFERROR(__xludf.DUMMYFUNCTION("""COMPUTED_VALUE"""),203)</f>
        <v>203</v>
      </c>
      <c r="U112" s="1">
        <f ca="1">IFERROR(__xludf.DUMMYFUNCTION("""COMPUTED_VALUE"""),587)</f>
        <v>587</v>
      </c>
      <c r="V112" s="1">
        <f ca="1">IFERROR(__xludf.DUMMYFUNCTION("""COMPUTED_VALUE"""),0.346)</f>
        <v>0.34599999999999997</v>
      </c>
      <c r="W112" s="1">
        <f ca="1">IFERROR(__xludf.DUMMYFUNCTION("""COMPUTED_VALUE"""),540)</f>
        <v>540</v>
      </c>
      <c r="X112" s="1">
        <f ca="1">IFERROR(__xludf.DUMMYFUNCTION("""COMPUTED_VALUE"""),745)</f>
        <v>745</v>
      </c>
      <c r="Y112" s="1">
        <f ca="1">IFERROR(__xludf.DUMMYFUNCTION("""COMPUTED_VALUE"""),0.725)</f>
        <v>0.72499999999999998</v>
      </c>
      <c r="Z112" s="1">
        <f ca="1">IFERROR(__xludf.DUMMYFUNCTION("""COMPUTED_VALUE"""),448)</f>
        <v>448</v>
      </c>
      <c r="AA112" s="1">
        <f ca="1">IFERROR(__xludf.DUMMYFUNCTION("""COMPUTED_VALUE"""),1185)</f>
        <v>1185</v>
      </c>
      <c r="AB112" s="1">
        <f ca="1">IFERROR(__xludf.DUMMYFUNCTION("""COMPUTED_VALUE"""),473)</f>
        <v>473</v>
      </c>
      <c r="AC112" s="1">
        <f ca="1">IFERROR(__xludf.DUMMYFUNCTION("""COMPUTED_VALUE"""),280)</f>
        <v>280</v>
      </c>
      <c r="AD112" s="1">
        <f ca="1">IFERROR(__xludf.DUMMYFUNCTION("""COMPUTED_VALUE"""),103)</f>
        <v>103</v>
      </c>
      <c r="AE112" s="1">
        <f ca="1">IFERROR(__xludf.DUMMYFUNCTION("""COMPUTED_VALUE"""),516)</f>
        <v>516</v>
      </c>
      <c r="AF112" s="1">
        <f ca="1">IFERROR(__xludf.DUMMYFUNCTION("""COMPUTED_VALUE"""),773)</f>
        <v>773</v>
      </c>
    </row>
    <row r="113" spans="1:32" ht="12.5" x14ac:dyDescent="0.25">
      <c r="A113" s="1" t="str">
        <f ca="1">IFERROR(__xludf.DUMMYFUNCTION("""COMPUTED_VALUE"""),"George Washington")</f>
        <v>George Washington</v>
      </c>
      <c r="B113" s="1">
        <f ca="1">IFERROR(__xludf.DUMMYFUNCTION("""COMPUTED_VALUE"""),30)</f>
        <v>30</v>
      </c>
      <c r="C113" s="1">
        <f ca="1">IFERROR(__xludf.DUMMYFUNCTION("""COMPUTED_VALUE"""),13)</f>
        <v>13</v>
      </c>
      <c r="D113" s="1">
        <f ca="1">IFERROR(__xludf.DUMMYFUNCTION("""COMPUTED_VALUE"""),17)</f>
        <v>17</v>
      </c>
      <c r="E113" s="1">
        <f ca="1">IFERROR(__xludf.DUMMYFUNCTION("""COMPUTED_VALUE"""),0.433)</f>
        <v>0.433</v>
      </c>
      <c r="F113" s="1">
        <f ca="1">IFERROR(__xludf.DUMMYFUNCTION("""COMPUTED_VALUE"""),4.22)</f>
        <v>4.22</v>
      </c>
      <c r="G113" s="1">
        <f ca="1">IFERROR(__xludf.DUMMYFUNCTION("""COMPUTED_VALUE"""),3.49)</f>
        <v>3.49</v>
      </c>
      <c r="H113" s="1">
        <f ca="1">IFERROR(__xludf.DUMMYFUNCTION("""COMPUTED_VALUE"""),7)</f>
        <v>7</v>
      </c>
      <c r="I113" s="1">
        <f ca="1">IFERROR(__xludf.DUMMYFUNCTION("""COMPUTED_VALUE"""),9)</f>
        <v>9</v>
      </c>
      <c r="J113" s="1">
        <f ca="1">IFERROR(__xludf.DUMMYFUNCTION("""COMPUTED_VALUE"""),7)</f>
        <v>7</v>
      </c>
      <c r="K113" s="1">
        <f ca="1">IFERROR(__xludf.DUMMYFUNCTION("""COMPUTED_VALUE"""),7)</f>
        <v>7</v>
      </c>
      <c r="L113" s="1">
        <f ca="1">IFERROR(__xludf.DUMMYFUNCTION("""COMPUTED_VALUE"""),5)</f>
        <v>5</v>
      </c>
      <c r="M113" s="1">
        <f ca="1">IFERROR(__xludf.DUMMYFUNCTION("""COMPUTED_VALUE"""),9)</f>
        <v>9</v>
      </c>
      <c r="N113" s="1">
        <f ca="1">IFERROR(__xludf.DUMMYFUNCTION("""COMPUTED_VALUE"""),1988)</f>
        <v>1988</v>
      </c>
      <c r="O113" s="1">
        <f ca="1">IFERROR(__xludf.DUMMYFUNCTION("""COMPUTED_VALUE"""),1966)</f>
        <v>1966</v>
      </c>
      <c r="P113" s="1">
        <f ca="1">IFERROR(__xludf.DUMMYFUNCTION("""COMPUTED_VALUE"""),1205)</f>
        <v>1205</v>
      </c>
      <c r="Q113" s="1">
        <f ca="1">IFERROR(__xludf.DUMMYFUNCTION("""COMPUTED_VALUE"""),732)</f>
        <v>732</v>
      </c>
      <c r="R113" s="1">
        <f ca="1">IFERROR(__xludf.DUMMYFUNCTION("""COMPUTED_VALUE"""),1660)</f>
        <v>1660</v>
      </c>
      <c r="S113" s="1">
        <f ca="1">IFERROR(__xludf.DUMMYFUNCTION("""COMPUTED_VALUE"""),0.441)</f>
        <v>0.441</v>
      </c>
      <c r="T113" s="1">
        <f ca="1">IFERROR(__xludf.DUMMYFUNCTION("""COMPUTED_VALUE"""),84)</f>
        <v>84</v>
      </c>
      <c r="U113" s="1">
        <f ca="1">IFERROR(__xludf.DUMMYFUNCTION("""COMPUTED_VALUE"""),301)</f>
        <v>301</v>
      </c>
      <c r="V113" s="1">
        <f ca="1">IFERROR(__xludf.DUMMYFUNCTION("""COMPUTED_VALUE"""),0.279)</f>
        <v>0.27900000000000003</v>
      </c>
      <c r="W113" s="1">
        <f ca="1">IFERROR(__xludf.DUMMYFUNCTION("""COMPUTED_VALUE"""),440)</f>
        <v>440</v>
      </c>
      <c r="X113" s="1">
        <f ca="1">IFERROR(__xludf.DUMMYFUNCTION("""COMPUTED_VALUE"""),670)</f>
        <v>670</v>
      </c>
      <c r="Y113" s="1">
        <f ca="1">IFERROR(__xludf.DUMMYFUNCTION("""COMPUTED_VALUE"""),0.657)</f>
        <v>0.65700000000000003</v>
      </c>
      <c r="Z113" s="1">
        <f ca="1">IFERROR(__xludf.DUMMYFUNCTION("""COMPUTED_VALUE"""),401)</f>
        <v>401</v>
      </c>
      <c r="AA113" s="1">
        <f ca="1">IFERROR(__xludf.DUMMYFUNCTION("""COMPUTED_VALUE"""),1027)</f>
        <v>1027</v>
      </c>
      <c r="AB113" s="1">
        <f ca="1">IFERROR(__xludf.DUMMYFUNCTION("""COMPUTED_VALUE"""),403)</f>
        <v>403</v>
      </c>
      <c r="AC113" s="1">
        <f ca="1">IFERROR(__xludf.DUMMYFUNCTION("""COMPUTED_VALUE"""),233)</f>
        <v>233</v>
      </c>
      <c r="AD113" s="1">
        <f ca="1">IFERROR(__xludf.DUMMYFUNCTION("""COMPUTED_VALUE"""),147)</f>
        <v>147</v>
      </c>
      <c r="AE113" s="1">
        <f ca="1">IFERROR(__xludf.DUMMYFUNCTION("""COMPUTED_VALUE"""),479)</f>
        <v>479</v>
      </c>
      <c r="AF113" s="1">
        <f ca="1">IFERROR(__xludf.DUMMYFUNCTION("""COMPUTED_VALUE"""),528)</f>
        <v>528</v>
      </c>
    </row>
    <row r="114" spans="1:32" ht="12.5" x14ac:dyDescent="0.25">
      <c r="A114" s="1" t="str">
        <f ca="1">IFERROR(__xludf.DUMMYFUNCTION("""COMPUTED_VALUE"""),"GeorgetownNCAA")</f>
        <v>GeorgetownNCAA</v>
      </c>
      <c r="B114" s="1">
        <f ca="1">IFERROR(__xludf.DUMMYFUNCTION("""COMPUTED_VALUE"""),32)</f>
        <v>32</v>
      </c>
      <c r="C114" s="1">
        <f ca="1">IFERROR(__xludf.DUMMYFUNCTION("""COMPUTED_VALUE"""),25)</f>
        <v>25</v>
      </c>
      <c r="D114" s="1">
        <f ca="1">IFERROR(__xludf.DUMMYFUNCTION("""COMPUTED_VALUE"""),7)</f>
        <v>7</v>
      </c>
      <c r="E114" s="1">
        <f ca="1">IFERROR(__xludf.DUMMYFUNCTION("""COMPUTED_VALUE"""),0.781)</f>
        <v>0.78100000000000003</v>
      </c>
      <c r="F114" s="1">
        <f ca="1">IFERROR(__xludf.DUMMYFUNCTION("""COMPUTED_VALUE"""),15.84)</f>
        <v>15.84</v>
      </c>
      <c r="G114" s="1">
        <f ca="1">IFERROR(__xludf.DUMMYFUNCTION("""COMPUTED_VALUE"""),7.59)</f>
        <v>7.59</v>
      </c>
      <c r="H114" s="1">
        <f ca="1">IFERROR(__xludf.DUMMYFUNCTION("""COMPUTED_VALUE"""),14)</f>
        <v>14</v>
      </c>
      <c r="I114" s="1">
        <f ca="1">IFERROR(__xludf.DUMMYFUNCTION("""COMPUTED_VALUE"""),4)</f>
        <v>4</v>
      </c>
      <c r="J114" s="1">
        <f ca="1">IFERROR(__xludf.DUMMYFUNCTION("""COMPUTED_VALUE"""),16)</f>
        <v>16</v>
      </c>
      <c r="K114" s="1">
        <f ca="1">IFERROR(__xludf.DUMMYFUNCTION("""COMPUTED_VALUE"""),1)</f>
        <v>1</v>
      </c>
      <c r="L114" s="1">
        <f ca="1">IFERROR(__xludf.DUMMYFUNCTION("""COMPUTED_VALUE"""),6)</f>
        <v>6</v>
      </c>
      <c r="M114" s="1">
        <f ca="1">IFERROR(__xludf.DUMMYFUNCTION("""COMPUTED_VALUE"""),3)</f>
        <v>3</v>
      </c>
      <c r="N114" s="1">
        <f ca="1">IFERROR(__xludf.DUMMYFUNCTION("""COMPUTED_VALUE"""),2070)</f>
        <v>2070</v>
      </c>
      <c r="O114" s="1">
        <f ca="1">IFERROR(__xludf.DUMMYFUNCTION("""COMPUTED_VALUE"""),1806)</f>
        <v>1806</v>
      </c>
      <c r="P114" s="1">
        <f ca="1">IFERROR(__xludf.DUMMYFUNCTION("""COMPUTED_VALUE"""),1300)</f>
        <v>1300</v>
      </c>
      <c r="Q114" s="1">
        <f ca="1">IFERROR(__xludf.DUMMYFUNCTION("""COMPUTED_VALUE"""),737)</f>
        <v>737</v>
      </c>
      <c r="R114" s="1">
        <f ca="1">IFERROR(__xludf.DUMMYFUNCTION("""COMPUTED_VALUE"""),1627)</f>
        <v>1627</v>
      </c>
      <c r="S114" s="1">
        <f ca="1">IFERROR(__xludf.DUMMYFUNCTION("""COMPUTED_VALUE"""),0.453)</f>
        <v>0.45300000000000001</v>
      </c>
      <c r="T114" s="1">
        <f ca="1">IFERROR(__xludf.DUMMYFUNCTION("""COMPUTED_VALUE"""),189)</f>
        <v>189</v>
      </c>
      <c r="U114" s="1">
        <f ca="1">IFERROR(__xludf.DUMMYFUNCTION("""COMPUTED_VALUE"""),536)</f>
        <v>536</v>
      </c>
      <c r="V114" s="1">
        <f ca="1">IFERROR(__xludf.DUMMYFUNCTION("""COMPUTED_VALUE"""),0.353)</f>
        <v>0.35299999999999998</v>
      </c>
      <c r="W114" s="1">
        <f ca="1">IFERROR(__xludf.DUMMYFUNCTION("""COMPUTED_VALUE"""),407)</f>
        <v>407</v>
      </c>
      <c r="X114" s="1">
        <f ca="1">IFERROR(__xludf.DUMMYFUNCTION("""COMPUTED_VALUE"""),599)</f>
        <v>599</v>
      </c>
      <c r="Y114" s="1">
        <f ca="1">IFERROR(__xludf.DUMMYFUNCTION("""COMPUTED_VALUE"""),0.679)</f>
        <v>0.67900000000000005</v>
      </c>
      <c r="Z114" s="1">
        <f ca="1">IFERROR(__xludf.DUMMYFUNCTION("""COMPUTED_VALUE"""),297)</f>
        <v>297</v>
      </c>
      <c r="AA114" s="1">
        <f ca="1">IFERROR(__xludf.DUMMYFUNCTION("""COMPUTED_VALUE"""),959)</f>
        <v>959</v>
      </c>
      <c r="AB114" s="1">
        <f ca="1">IFERROR(__xludf.DUMMYFUNCTION("""COMPUTED_VALUE"""),474)</f>
        <v>474</v>
      </c>
      <c r="AC114" s="1">
        <f ca="1">IFERROR(__xludf.DUMMYFUNCTION("""COMPUTED_VALUE"""),240)</f>
        <v>240</v>
      </c>
      <c r="AD114" s="1">
        <f ca="1">IFERROR(__xludf.DUMMYFUNCTION("""COMPUTED_VALUE"""),123)</f>
        <v>123</v>
      </c>
      <c r="AE114" s="1">
        <f ca="1">IFERROR(__xludf.DUMMYFUNCTION("""COMPUTED_VALUE"""),407)</f>
        <v>407</v>
      </c>
      <c r="AF114" s="1">
        <f ca="1">IFERROR(__xludf.DUMMYFUNCTION("""COMPUTED_VALUE"""),556)</f>
        <v>556</v>
      </c>
    </row>
    <row r="115" spans="1:32" ht="12.5" x14ac:dyDescent="0.25">
      <c r="A115" s="1" t="str">
        <f ca="1">IFERROR(__xludf.DUMMYFUNCTION("""COMPUTED_VALUE"""),"Georgia Southern")</f>
        <v>Georgia Southern</v>
      </c>
      <c r="B115" s="1">
        <f ca="1">IFERROR(__xludf.DUMMYFUNCTION("""COMPUTED_VALUE"""),33)</f>
        <v>33</v>
      </c>
      <c r="C115" s="1">
        <f ca="1">IFERROR(__xludf.DUMMYFUNCTION("""COMPUTED_VALUE"""),14)</f>
        <v>14</v>
      </c>
      <c r="D115" s="1">
        <f ca="1">IFERROR(__xludf.DUMMYFUNCTION("""COMPUTED_VALUE"""),19)</f>
        <v>19</v>
      </c>
      <c r="E115" s="1">
        <f ca="1">IFERROR(__xludf.DUMMYFUNCTION("""COMPUTED_VALUE"""),0.424)</f>
        <v>0.42399999999999999</v>
      </c>
      <c r="F115" s="1">
        <f ca="1">IFERROR(__xludf.DUMMYFUNCTION("""COMPUTED_VALUE"""),-9.67)</f>
        <v>-9.67</v>
      </c>
      <c r="G115" s="1">
        <f ca="1">IFERROR(__xludf.DUMMYFUNCTION("""COMPUTED_VALUE"""),-5.02)</f>
        <v>-5.0199999999999996</v>
      </c>
      <c r="H115" s="1">
        <f ca="1">IFERROR(__xludf.DUMMYFUNCTION("""COMPUTED_VALUE"""),7)</f>
        <v>7</v>
      </c>
      <c r="I115" s="1">
        <f ca="1">IFERROR(__xludf.DUMMYFUNCTION("""COMPUTED_VALUE"""),11)</f>
        <v>11</v>
      </c>
      <c r="J115" s="1">
        <f ca="1">IFERROR(__xludf.DUMMYFUNCTION("""COMPUTED_VALUE"""),7)</f>
        <v>7</v>
      </c>
      <c r="K115" s="1">
        <f ca="1">IFERROR(__xludf.DUMMYFUNCTION("""COMPUTED_VALUE"""),6)</f>
        <v>6</v>
      </c>
      <c r="L115" s="1">
        <f ca="1">IFERROR(__xludf.DUMMYFUNCTION("""COMPUTED_VALUE"""),5)</f>
        <v>5</v>
      </c>
      <c r="M115" s="1">
        <f ca="1">IFERROR(__xludf.DUMMYFUNCTION("""COMPUTED_VALUE"""),11)</f>
        <v>11</v>
      </c>
      <c r="N115" s="1">
        <f ca="1">IFERROR(__xludf.DUMMYFUNCTION("""COMPUTED_VALUE"""),2050)</f>
        <v>2050</v>
      </c>
      <c r="O115" s="1">
        <f ca="1">IFERROR(__xludf.DUMMYFUNCTION("""COMPUTED_VALUE"""),2148)</f>
        <v>2148</v>
      </c>
      <c r="P115" s="1">
        <f ca="1">IFERROR(__xludf.DUMMYFUNCTION("""COMPUTED_VALUE"""),1335)</f>
        <v>1335</v>
      </c>
      <c r="Q115" s="1">
        <f ca="1">IFERROR(__xludf.DUMMYFUNCTION("""COMPUTED_VALUE"""),721)</f>
        <v>721</v>
      </c>
      <c r="R115" s="1">
        <f ca="1">IFERROR(__xludf.DUMMYFUNCTION("""COMPUTED_VALUE"""),1721)</f>
        <v>1721</v>
      </c>
      <c r="S115" s="1">
        <f ca="1">IFERROR(__xludf.DUMMYFUNCTION("""COMPUTED_VALUE"""),0.419)</f>
        <v>0.41899999999999998</v>
      </c>
      <c r="T115" s="1">
        <f ca="1">IFERROR(__xludf.DUMMYFUNCTION("""COMPUTED_VALUE"""),185)</f>
        <v>185</v>
      </c>
      <c r="U115" s="1">
        <f ca="1">IFERROR(__xludf.DUMMYFUNCTION("""COMPUTED_VALUE"""),542)</f>
        <v>542</v>
      </c>
      <c r="V115" s="1">
        <f ca="1">IFERROR(__xludf.DUMMYFUNCTION("""COMPUTED_VALUE"""),0.341)</f>
        <v>0.34100000000000003</v>
      </c>
      <c r="W115" s="1">
        <f ca="1">IFERROR(__xludf.DUMMYFUNCTION("""COMPUTED_VALUE"""),423)</f>
        <v>423</v>
      </c>
      <c r="X115" s="1">
        <f ca="1">IFERROR(__xludf.DUMMYFUNCTION("""COMPUTED_VALUE"""),615)</f>
        <v>615</v>
      </c>
      <c r="Y115" s="1">
        <f ca="1">IFERROR(__xludf.DUMMYFUNCTION("""COMPUTED_VALUE"""),0.688)</f>
        <v>0.68799999999999994</v>
      </c>
      <c r="Z115" s="1">
        <f ca="1">IFERROR(__xludf.DUMMYFUNCTION("""COMPUTED_VALUE"""),341)</f>
        <v>341</v>
      </c>
      <c r="AA115" s="1">
        <f ca="1">IFERROR(__xludf.DUMMYFUNCTION("""COMPUTED_VALUE"""),967)</f>
        <v>967</v>
      </c>
      <c r="AB115" s="1">
        <f ca="1">IFERROR(__xludf.DUMMYFUNCTION("""COMPUTED_VALUE"""),318)</f>
        <v>318</v>
      </c>
      <c r="AC115" s="1">
        <f ca="1">IFERROR(__xludf.DUMMYFUNCTION("""COMPUTED_VALUE"""),227)</f>
        <v>227</v>
      </c>
      <c r="AD115" s="1">
        <f ca="1">IFERROR(__xludf.DUMMYFUNCTION("""COMPUTED_VALUE"""),73)</f>
        <v>73</v>
      </c>
      <c r="AE115" s="1">
        <f ca="1">IFERROR(__xludf.DUMMYFUNCTION("""COMPUTED_VALUE"""),435)</f>
        <v>435</v>
      </c>
      <c r="AF115" s="1">
        <f ca="1">IFERROR(__xludf.DUMMYFUNCTION("""COMPUTED_VALUE"""),600)</f>
        <v>600</v>
      </c>
    </row>
    <row r="116" spans="1:32" ht="12.5" x14ac:dyDescent="0.25">
      <c r="A116" s="1" t="str">
        <f ca="1">IFERROR(__xludf.DUMMYFUNCTION("""COMPUTED_VALUE"""),"Georgia State")</f>
        <v>Georgia State</v>
      </c>
      <c r="B116" s="1">
        <f ca="1">IFERROR(__xludf.DUMMYFUNCTION("""COMPUTED_VALUE"""),31)</f>
        <v>31</v>
      </c>
      <c r="C116" s="1">
        <f ca="1">IFERROR(__xludf.DUMMYFUNCTION("""COMPUTED_VALUE"""),15)</f>
        <v>15</v>
      </c>
      <c r="D116" s="1">
        <f ca="1">IFERROR(__xludf.DUMMYFUNCTION("""COMPUTED_VALUE"""),16)</f>
        <v>16</v>
      </c>
      <c r="E116" s="1">
        <f ca="1">IFERROR(__xludf.DUMMYFUNCTION("""COMPUTED_VALUE"""),0.484)</f>
        <v>0.48399999999999999</v>
      </c>
      <c r="F116" s="1">
        <f ca="1">IFERROR(__xludf.DUMMYFUNCTION("""COMPUTED_VALUE"""),-2.04)</f>
        <v>-2.04</v>
      </c>
      <c r="G116" s="1">
        <f ca="1">IFERROR(__xludf.DUMMYFUNCTION("""COMPUTED_VALUE"""),-2.4)</f>
        <v>-2.4</v>
      </c>
      <c r="H116" s="1">
        <f ca="1">IFERROR(__xludf.DUMMYFUNCTION("""COMPUTED_VALUE"""),10)</f>
        <v>10</v>
      </c>
      <c r="I116" s="1">
        <f ca="1">IFERROR(__xludf.DUMMYFUNCTION("""COMPUTED_VALUE"""),8)</f>
        <v>8</v>
      </c>
      <c r="J116" s="1">
        <f ca="1">IFERROR(__xludf.DUMMYFUNCTION("""COMPUTED_VALUE"""),9)</f>
        <v>9</v>
      </c>
      <c r="K116" s="1">
        <f ca="1">IFERROR(__xludf.DUMMYFUNCTION("""COMPUTED_VALUE"""),7)</f>
        <v>7</v>
      </c>
      <c r="L116" s="1">
        <f ca="1">IFERROR(__xludf.DUMMYFUNCTION("""COMPUTED_VALUE"""),6)</f>
        <v>6</v>
      </c>
      <c r="M116" s="1">
        <f ca="1">IFERROR(__xludf.DUMMYFUNCTION("""COMPUTED_VALUE"""),9)</f>
        <v>9</v>
      </c>
      <c r="N116" s="1">
        <f ca="1">IFERROR(__xludf.DUMMYFUNCTION("""COMPUTED_VALUE"""),2114)</f>
        <v>2114</v>
      </c>
      <c r="O116" s="1">
        <f ca="1">IFERROR(__xludf.DUMMYFUNCTION("""COMPUTED_VALUE"""),2075)</f>
        <v>2075</v>
      </c>
      <c r="P116" s="1">
        <f ca="1">IFERROR(__xludf.DUMMYFUNCTION("""COMPUTED_VALUE"""),1255)</f>
        <v>1255</v>
      </c>
      <c r="Q116" s="1">
        <f ca="1">IFERROR(__xludf.DUMMYFUNCTION("""COMPUTED_VALUE"""),739)</f>
        <v>739</v>
      </c>
      <c r="R116" s="1">
        <f ca="1">IFERROR(__xludf.DUMMYFUNCTION("""COMPUTED_VALUE"""),1685)</f>
        <v>1685</v>
      </c>
      <c r="S116" s="1">
        <f ca="1">IFERROR(__xludf.DUMMYFUNCTION("""COMPUTED_VALUE"""),0.439)</f>
        <v>0.439</v>
      </c>
      <c r="T116" s="1">
        <f ca="1">IFERROR(__xludf.DUMMYFUNCTION("""COMPUTED_VALUE"""),219)</f>
        <v>219</v>
      </c>
      <c r="U116" s="1">
        <f ca="1">IFERROR(__xludf.DUMMYFUNCTION("""COMPUTED_VALUE"""),611)</f>
        <v>611</v>
      </c>
      <c r="V116" s="1">
        <f ca="1">IFERROR(__xludf.DUMMYFUNCTION("""COMPUTED_VALUE"""),0.358)</f>
        <v>0.35799999999999998</v>
      </c>
      <c r="W116" s="1">
        <f ca="1">IFERROR(__xludf.DUMMYFUNCTION("""COMPUTED_VALUE"""),417)</f>
        <v>417</v>
      </c>
      <c r="X116" s="1">
        <f ca="1">IFERROR(__xludf.DUMMYFUNCTION("""COMPUTED_VALUE"""),586)</f>
        <v>586</v>
      </c>
      <c r="Y116" s="1">
        <f ca="1">IFERROR(__xludf.DUMMYFUNCTION("""COMPUTED_VALUE"""),0.712)</f>
        <v>0.71199999999999997</v>
      </c>
      <c r="Z116" s="1">
        <f ca="1">IFERROR(__xludf.DUMMYFUNCTION("""COMPUTED_VALUE"""),302)</f>
        <v>302</v>
      </c>
      <c r="AA116" s="1">
        <f ca="1">IFERROR(__xludf.DUMMYFUNCTION("""COMPUTED_VALUE"""),896)</f>
        <v>896</v>
      </c>
      <c r="AB116" s="1">
        <f ca="1">IFERROR(__xludf.DUMMYFUNCTION("""COMPUTED_VALUE"""),362)</f>
        <v>362</v>
      </c>
      <c r="AC116" s="1">
        <f ca="1">IFERROR(__xludf.DUMMYFUNCTION("""COMPUTED_VALUE"""),240)</f>
        <v>240</v>
      </c>
      <c r="AD116" s="1">
        <f ca="1">IFERROR(__xludf.DUMMYFUNCTION("""COMPUTED_VALUE"""),127)</f>
        <v>127</v>
      </c>
      <c r="AE116" s="1">
        <f ca="1">IFERROR(__xludf.DUMMYFUNCTION("""COMPUTED_VALUE"""),358)</f>
        <v>358</v>
      </c>
      <c r="AF116" s="1">
        <f ca="1">IFERROR(__xludf.DUMMYFUNCTION("""COMPUTED_VALUE"""),532)</f>
        <v>532</v>
      </c>
    </row>
    <row r="117" spans="1:32" ht="12.5" x14ac:dyDescent="0.25">
      <c r="A117" s="1" t="str">
        <f ca="1">IFERROR(__xludf.DUMMYFUNCTION("""COMPUTED_VALUE"""),"Georgia Tech")</f>
        <v>Georgia Tech</v>
      </c>
      <c r="B117" s="1">
        <f ca="1">IFERROR(__xludf.DUMMYFUNCTION("""COMPUTED_VALUE"""),31)</f>
        <v>31</v>
      </c>
      <c r="C117" s="1">
        <f ca="1">IFERROR(__xludf.DUMMYFUNCTION("""COMPUTED_VALUE"""),16)</f>
        <v>16</v>
      </c>
      <c r="D117" s="1">
        <f ca="1">IFERROR(__xludf.DUMMYFUNCTION("""COMPUTED_VALUE"""),15)</f>
        <v>15</v>
      </c>
      <c r="E117" s="1">
        <f ca="1">IFERROR(__xludf.DUMMYFUNCTION("""COMPUTED_VALUE"""),0.516)</f>
        <v>0.51600000000000001</v>
      </c>
      <c r="F117" s="1">
        <f ca="1">IFERROR(__xludf.DUMMYFUNCTION("""COMPUTED_VALUE"""),6.6)</f>
        <v>6.6</v>
      </c>
      <c r="G117" s="1">
        <f ca="1">IFERROR(__xludf.DUMMYFUNCTION("""COMPUTED_VALUE"""),4.67)</f>
        <v>4.67</v>
      </c>
      <c r="H117" s="1">
        <f ca="1">IFERROR(__xludf.DUMMYFUNCTION("""COMPUTED_VALUE"""),6)</f>
        <v>6</v>
      </c>
      <c r="I117" s="1">
        <f ca="1">IFERROR(__xludf.DUMMYFUNCTION("""COMPUTED_VALUE"""),12)</f>
        <v>12</v>
      </c>
      <c r="J117" s="1">
        <f ca="1">IFERROR(__xludf.DUMMYFUNCTION("""COMPUTED_VALUE"""),11)</f>
        <v>11</v>
      </c>
      <c r="K117" s="1">
        <f ca="1">IFERROR(__xludf.DUMMYFUNCTION("""COMPUTED_VALUE"""),6)</f>
        <v>6</v>
      </c>
      <c r="L117" s="1">
        <f ca="1">IFERROR(__xludf.DUMMYFUNCTION("""COMPUTED_VALUE"""),3)</f>
        <v>3</v>
      </c>
      <c r="M117" s="1">
        <f ca="1">IFERROR(__xludf.DUMMYFUNCTION("""COMPUTED_VALUE"""),7)</f>
        <v>7</v>
      </c>
      <c r="N117" s="1">
        <f ca="1">IFERROR(__xludf.DUMMYFUNCTION("""COMPUTED_VALUE"""),1993)</f>
        <v>1993</v>
      </c>
      <c r="O117" s="1">
        <f ca="1">IFERROR(__xludf.DUMMYFUNCTION("""COMPUTED_VALUE"""),1933)</f>
        <v>1933</v>
      </c>
      <c r="P117" s="1">
        <f ca="1">IFERROR(__xludf.DUMMYFUNCTION("""COMPUTED_VALUE"""),1245)</f>
        <v>1245</v>
      </c>
      <c r="Q117" s="1">
        <f ca="1">IFERROR(__xludf.DUMMYFUNCTION("""COMPUTED_VALUE"""),751)</f>
        <v>751</v>
      </c>
      <c r="R117" s="1">
        <f ca="1">IFERROR(__xludf.DUMMYFUNCTION("""COMPUTED_VALUE"""),1791)</f>
        <v>1791</v>
      </c>
      <c r="S117" s="1">
        <f ca="1">IFERROR(__xludf.DUMMYFUNCTION("""COMPUTED_VALUE"""),0.419)</f>
        <v>0.41899999999999998</v>
      </c>
      <c r="T117" s="1">
        <f ca="1">IFERROR(__xludf.DUMMYFUNCTION("""COMPUTED_VALUE"""),173)</f>
        <v>173</v>
      </c>
      <c r="U117" s="1">
        <f ca="1">IFERROR(__xludf.DUMMYFUNCTION("""COMPUTED_VALUE"""),544)</f>
        <v>544</v>
      </c>
      <c r="V117" s="1">
        <f ca="1">IFERROR(__xludf.DUMMYFUNCTION("""COMPUTED_VALUE"""),0.318)</f>
        <v>0.318</v>
      </c>
      <c r="W117" s="1">
        <f ca="1">IFERROR(__xludf.DUMMYFUNCTION("""COMPUTED_VALUE"""),318)</f>
        <v>318</v>
      </c>
      <c r="X117" s="1">
        <f ca="1">IFERROR(__xludf.DUMMYFUNCTION("""COMPUTED_VALUE"""),501)</f>
        <v>501</v>
      </c>
      <c r="Y117" s="1">
        <f ca="1">IFERROR(__xludf.DUMMYFUNCTION("""COMPUTED_VALUE"""),0.635)</f>
        <v>0.63500000000000001</v>
      </c>
      <c r="Z117" s="1">
        <f ca="1">IFERROR(__xludf.DUMMYFUNCTION("""COMPUTED_VALUE"""),366)</f>
        <v>366</v>
      </c>
      <c r="AA117" s="1">
        <f ca="1">IFERROR(__xludf.DUMMYFUNCTION("""COMPUTED_VALUE"""),1072)</f>
        <v>1072</v>
      </c>
      <c r="AB117" s="1">
        <f ca="1">IFERROR(__xludf.DUMMYFUNCTION("""COMPUTED_VALUE"""),394)</f>
        <v>394</v>
      </c>
      <c r="AC117" s="1">
        <f ca="1">IFERROR(__xludf.DUMMYFUNCTION("""COMPUTED_VALUE"""),182)</f>
        <v>182</v>
      </c>
      <c r="AD117" s="1">
        <f ca="1">IFERROR(__xludf.DUMMYFUNCTION("""COMPUTED_VALUE"""),129)</f>
        <v>129</v>
      </c>
      <c r="AE117" s="1">
        <f ca="1">IFERROR(__xludf.DUMMYFUNCTION("""COMPUTED_VALUE"""),399)</f>
        <v>399</v>
      </c>
      <c r="AF117" s="1">
        <f ca="1">IFERROR(__xludf.DUMMYFUNCTION("""COMPUTED_VALUE"""),517)</f>
        <v>517</v>
      </c>
    </row>
    <row r="118" spans="1:32" ht="12.5" x14ac:dyDescent="0.25">
      <c r="A118" s="1" t="str">
        <f ca="1">IFERROR(__xludf.DUMMYFUNCTION("""COMPUTED_VALUE"""),"Georgia")</f>
        <v>Georgia</v>
      </c>
      <c r="B118" s="1">
        <f ca="1">IFERROR(__xludf.DUMMYFUNCTION("""COMPUTED_VALUE"""),32)</f>
        <v>32</v>
      </c>
      <c r="C118" s="1">
        <f ca="1">IFERROR(__xludf.DUMMYFUNCTION("""COMPUTED_VALUE"""),15)</f>
        <v>15</v>
      </c>
      <c r="D118" s="1">
        <f ca="1">IFERROR(__xludf.DUMMYFUNCTION("""COMPUTED_VALUE"""),17)</f>
        <v>17</v>
      </c>
      <c r="E118" s="1">
        <f ca="1">IFERROR(__xludf.DUMMYFUNCTION("""COMPUTED_VALUE"""),0.469)</f>
        <v>0.46899999999999997</v>
      </c>
      <c r="F118" s="1">
        <f ca="1">IFERROR(__xludf.DUMMYFUNCTION("""COMPUTED_VALUE"""),5.31)</f>
        <v>5.31</v>
      </c>
      <c r="G118" s="1">
        <f ca="1">IFERROR(__xludf.DUMMYFUNCTION("""COMPUTED_VALUE"""),6.09)</f>
        <v>6.09</v>
      </c>
      <c r="H118" s="1">
        <f ca="1">IFERROR(__xludf.DUMMYFUNCTION("""COMPUTED_VALUE"""),9)</f>
        <v>9</v>
      </c>
      <c r="I118" s="1">
        <f ca="1">IFERROR(__xludf.DUMMYFUNCTION("""COMPUTED_VALUE"""),9)</f>
        <v>9</v>
      </c>
      <c r="J118" s="1">
        <f ca="1">IFERROR(__xludf.DUMMYFUNCTION("""COMPUTED_VALUE"""),12)</f>
        <v>12</v>
      </c>
      <c r="K118" s="1">
        <f ca="1">IFERROR(__xludf.DUMMYFUNCTION("""COMPUTED_VALUE"""),6)</f>
        <v>6</v>
      </c>
      <c r="L118" s="1">
        <f ca="1">IFERROR(__xludf.DUMMYFUNCTION("""COMPUTED_VALUE"""),3)</f>
        <v>3</v>
      </c>
      <c r="M118" s="1">
        <f ca="1">IFERROR(__xludf.DUMMYFUNCTION("""COMPUTED_VALUE"""),8)</f>
        <v>8</v>
      </c>
      <c r="N118" s="1">
        <f ca="1">IFERROR(__xludf.DUMMYFUNCTION("""COMPUTED_VALUE"""),1946)</f>
        <v>1946</v>
      </c>
      <c r="O118" s="1">
        <f ca="1">IFERROR(__xludf.DUMMYFUNCTION("""COMPUTED_VALUE"""),1971)</f>
        <v>1971</v>
      </c>
      <c r="P118" s="1">
        <f ca="1">IFERROR(__xludf.DUMMYFUNCTION("""COMPUTED_VALUE"""),1300)</f>
        <v>1300</v>
      </c>
      <c r="Q118" s="1">
        <f ca="1">IFERROR(__xludf.DUMMYFUNCTION("""COMPUTED_VALUE"""),636)</f>
        <v>636</v>
      </c>
      <c r="R118" s="1">
        <f ca="1">IFERROR(__xludf.DUMMYFUNCTION("""COMPUTED_VALUE"""),1557)</f>
        <v>1557</v>
      </c>
      <c r="S118" s="1">
        <f ca="1">IFERROR(__xludf.DUMMYFUNCTION("""COMPUTED_VALUE"""),0.408)</f>
        <v>0.40799999999999997</v>
      </c>
      <c r="T118" s="1">
        <f ca="1">IFERROR(__xludf.DUMMYFUNCTION("""COMPUTED_VALUE"""),188)</f>
        <v>188</v>
      </c>
      <c r="U118" s="1">
        <f ca="1">IFERROR(__xludf.DUMMYFUNCTION("""COMPUTED_VALUE"""),526)</f>
        <v>526</v>
      </c>
      <c r="V118" s="1">
        <f ca="1">IFERROR(__xludf.DUMMYFUNCTION("""COMPUTED_VALUE"""),0.357)</f>
        <v>0.35699999999999998</v>
      </c>
      <c r="W118" s="1">
        <f ca="1">IFERROR(__xludf.DUMMYFUNCTION("""COMPUTED_VALUE"""),486)</f>
        <v>486</v>
      </c>
      <c r="X118" s="1">
        <f ca="1">IFERROR(__xludf.DUMMYFUNCTION("""COMPUTED_VALUE"""),700)</f>
        <v>700</v>
      </c>
      <c r="Y118" s="1">
        <f ca="1">IFERROR(__xludf.DUMMYFUNCTION("""COMPUTED_VALUE"""),0.694)</f>
        <v>0.69399999999999995</v>
      </c>
      <c r="Z118" s="1">
        <f ca="1">IFERROR(__xludf.DUMMYFUNCTION("""COMPUTED_VALUE"""),333)</f>
        <v>333</v>
      </c>
      <c r="AA118" s="1">
        <f ca="1">IFERROR(__xludf.DUMMYFUNCTION("""COMPUTED_VALUE"""),1044)</f>
        <v>1044</v>
      </c>
      <c r="AB118" s="1">
        <f ca="1">IFERROR(__xludf.DUMMYFUNCTION("""COMPUTED_VALUE"""),371)</f>
        <v>371</v>
      </c>
      <c r="AC118" s="1">
        <f ca="1">IFERROR(__xludf.DUMMYFUNCTION("""COMPUTED_VALUE"""),180)</f>
        <v>180</v>
      </c>
      <c r="AD118" s="1">
        <f ca="1">IFERROR(__xludf.DUMMYFUNCTION("""COMPUTED_VALUE"""),133)</f>
        <v>133</v>
      </c>
      <c r="AE118" s="1">
        <f ca="1">IFERROR(__xludf.DUMMYFUNCTION("""COMPUTED_VALUE"""),466)</f>
        <v>466</v>
      </c>
      <c r="AF118" s="1">
        <f ca="1">IFERROR(__xludf.DUMMYFUNCTION("""COMPUTED_VALUE"""),541)</f>
        <v>541</v>
      </c>
    </row>
    <row r="119" spans="1:32" ht="12.5" x14ac:dyDescent="0.25">
      <c r="A119" s="1" t="str">
        <f ca="1">IFERROR(__xludf.DUMMYFUNCTION("""COMPUTED_VALUE"""),"GonzagaNCAA")</f>
        <v>GonzagaNCAA</v>
      </c>
      <c r="B119" s="1">
        <f ca="1">IFERROR(__xludf.DUMMYFUNCTION("""COMPUTED_VALUE"""),35)</f>
        <v>35</v>
      </c>
      <c r="C119" s="1">
        <f ca="1">IFERROR(__xludf.DUMMYFUNCTION("""COMPUTED_VALUE"""),32)</f>
        <v>32</v>
      </c>
      <c r="D119" s="1">
        <f ca="1">IFERROR(__xludf.DUMMYFUNCTION("""COMPUTED_VALUE"""),3)</f>
        <v>3</v>
      </c>
      <c r="E119" s="1">
        <f ca="1">IFERROR(__xludf.DUMMYFUNCTION("""COMPUTED_VALUE"""),0.914)</f>
        <v>0.91400000000000003</v>
      </c>
      <c r="F119" s="1">
        <f ca="1">IFERROR(__xludf.DUMMYFUNCTION("""COMPUTED_VALUE"""),20.47)</f>
        <v>20.47</v>
      </c>
      <c r="G119" s="1">
        <f ca="1">IFERROR(__xludf.DUMMYFUNCTION("""COMPUTED_VALUE"""),4.18)</f>
        <v>4.18</v>
      </c>
      <c r="H119" s="1">
        <f ca="1">IFERROR(__xludf.DUMMYFUNCTION("""COMPUTED_VALUE"""),16)</f>
        <v>16</v>
      </c>
      <c r="I119" s="1">
        <f ca="1">IFERROR(__xludf.DUMMYFUNCTION("""COMPUTED_VALUE"""),0)</f>
        <v>0</v>
      </c>
      <c r="J119" s="1">
        <f ca="1">IFERROR(__xludf.DUMMYFUNCTION("""COMPUTED_VALUE"""),15)</f>
        <v>15</v>
      </c>
      <c r="K119" s="1">
        <f ca="1">IFERROR(__xludf.DUMMYFUNCTION("""COMPUTED_VALUE"""),1)</f>
        <v>1</v>
      </c>
      <c r="L119" s="1">
        <f ca="1">IFERROR(__xludf.DUMMYFUNCTION("""COMPUTED_VALUE"""),10)</f>
        <v>10</v>
      </c>
      <c r="M119" s="1">
        <f ca="1">IFERROR(__xludf.DUMMYFUNCTION("""COMPUTED_VALUE"""),1)</f>
        <v>1</v>
      </c>
      <c r="N119" s="1">
        <f ca="1">IFERROR(__xludf.DUMMYFUNCTION("""COMPUTED_VALUE"""),2696)</f>
        <v>2696</v>
      </c>
      <c r="O119" s="1">
        <f ca="1">IFERROR(__xludf.DUMMYFUNCTION("""COMPUTED_VALUE"""),2095)</f>
        <v>2095</v>
      </c>
      <c r="P119" s="1">
        <f ca="1">IFERROR(__xludf.DUMMYFUNCTION("""COMPUTED_VALUE"""),1400)</f>
        <v>1400</v>
      </c>
      <c r="Q119" s="1">
        <f ca="1">IFERROR(__xludf.DUMMYFUNCTION("""COMPUTED_VALUE"""),961)</f>
        <v>961</v>
      </c>
      <c r="R119" s="1">
        <f ca="1">IFERROR(__xludf.DUMMYFUNCTION("""COMPUTED_VALUE"""),1934)</f>
        <v>1934</v>
      </c>
      <c r="S119" s="1">
        <f ca="1">IFERROR(__xludf.DUMMYFUNCTION("""COMPUTED_VALUE"""),0.497)</f>
        <v>0.497</v>
      </c>
      <c r="T119" s="1">
        <f ca="1">IFERROR(__xludf.DUMMYFUNCTION("""COMPUTED_VALUE"""),226)</f>
        <v>226</v>
      </c>
      <c r="U119" s="1">
        <f ca="1">IFERROR(__xludf.DUMMYFUNCTION("""COMPUTED_VALUE"""),609)</f>
        <v>609</v>
      </c>
      <c r="V119" s="1">
        <f ca="1">IFERROR(__xludf.DUMMYFUNCTION("""COMPUTED_VALUE"""),0.371)</f>
        <v>0.371</v>
      </c>
      <c r="W119" s="1">
        <f ca="1">IFERROR(__xludf.DUMMYFUNCTION("""COMPUTED_VALUE"""),548)</f>
        <v>548</v>
      </c>
      <c r="X119" s="1">
        <f ca="1">IFERROR(__xludf.DUMMYFUNCTION("""COMPUTED_VALUE"""),777)</f>
        <v>777</v>
      </c>
      <c r="Y119" s="1">
        <f ca="1">IFERROR(__xludf.DUMMYFUNCTION("""COMPUTED_VALUE"""),0.705)</f>
        <v>0.70499999999999996</v>
      </c>
      <c r="Z119" s="1">
        <f ca="1">IFERROR(__xludf.DUMMYFUNCTION("""COMPUTED_VALUE"""),409)</f>
        <v>409</v>
      </c>
      <c r="AA119" s="1">
        <f ca="1">IFERROR(__xludf.DUMMYFUNCTION("""COMPUTED_VALUE"""),1195)</f>
        <v>1195</v>
      </c>
      <c r="AB119" s="1">
        <f ca="1">IFERROR(__xludf.DUMMYFUNCTION("""COMPUTED_VALUE"""),530)</f>
        <v>530</v>
      </c>
      <c r="AC119" s="1">
        <f ca="1">IFERROR(__xludf.DUMMYFUNCTION("""COMPUTED_VALUE"""),277)</f>
        <v>277</v>
      </c>
      <c r="AD119" s="1">
        <f ca="1">IFERROR(__xludf.DUMMYFUNCTION("""COMPUTED_VALUE"""),96)</f>
        <v>96</v>
      </c>
      <c r="AE119" s="1">
        <f ca="1">IFERROR(__xludf.DUMMYFUNCTION("""COMPUTED_VALUE"""),393)</f>
        <v>393</v>
      </c>
      <c r="AF119" s="1">
        <f ca="1">IFERROR(__xludf.DUMMYFUNCTION("""COMPUTED_VALUE"""),551)</f>
        <v>551</v>
      </c>
    </row>
    <row r="120" spans="1:32" ht="12.5" x14ac:dyDescent="0.25">
      <c r="A120" s="1" t="str">
        <f ca="1">IFERROR(__xludf.DUMMYFUNCTION("""COMPUTED_VALUE"""),"Grambling")</f>
        <v>Grambling</v>
      </c>
      <c r="B120" s="1">
        <f ca="1">IFERROR(__xludf.DUMMYFUNCTION("""COMPUTED_VALUE"""),28)</f>
        <v>28</v>
      </c>
      <c r="C120" s="1">
        <f ca="1">IFERROR(__xludf.DUMMYFUNCTION("""COMPUTED_VALUE"""),0)</f>
        <v>0</v>
      </c>
      <c r="D120" s="1">
        <f ca="1">IFERROR(__xludf.DUMMYFUNCTION("""COMPUTED_VALUE"""),28)</f>
        <v>28</v>
      </c>
      <c r="E120" s="1">
        <f ca="1">IFERROR(__xludf.DUMMYFUNCTION("""COMPUTED_VALUE"""),0)</f>
        <v>0</v>
      </c>
      <c r="F120" s="1">
        <f ca="1">IFERROR(__xludf.DUMMYFUNCTION("""COMPUTED_VALUE"""),-35.85)</f>
        <v>-35.85</v>
      </c>
      <c r="G120" s="1">
        <f ca="1">IFERROR(__xludf.DUMMYFUNCTION("""COMPUTED_VALUE"""),-9.17)</f>
        <v>-9.17</v>
      </c>
      <c r="H120" s="1">
        <f ca="1">IFERROR(__xludf.DUMMYFUNCTION("""COMPUTED_VALUE"""),0)</f>
        <v>0</v>
      </c>
      <c r="I120" s="1">
        <f ca="1">IFERROR(__xludf.DUMMYFUNCTION("""COMPUTED_VALUE"""),18)</f>
        <v>18</v>
      </c>
      <c r="J120" s="1">
        <f ca="1">IFERROR(__xludf.DUMMYFUNCTION("""COMPUTED_VALUE"""),0)</f>
        <v>0</v>
      </c>
      <c r="K120" s="1">
        <f ca="1">IFERROR(__xludf.DUMMYFUNCTION("""COMPUTED_VALUE"""),9)</f>
        <v>9</v>
      </c>
      <c r="L120" s="1">
        <f ca="1">IFERROR(__xludf.DUMMYFUNCTION("""COMPUTED_VALUE"""),0)</f>
        <v>0</v>
      </c>
      <c r="M120" s="1">
        <f ca="1">IFERROR(__xludf.DUMMYFUNCTION("""COMPUTED_VALUE"""),18)</f>
        <v>18</v>
      </c>
      <c r="N120" s="1">
        <f ca="1">IFERROR(__xludf.DUMMYFUNCTION("""COMPUTED_VALUE"""),1391)</f>
        <v>1391</v>
      </c>
      <c r="O120" s="1">
        <f ca="1">IFERROR(__xludf.DUMMYFUNCTION("""COMPUTED_VALUE"""),2138)</f>
        <v>2138</v>
      </c>
      <c r="P120" s="1">
        <f ca="1">IFERROR(__xludf.DUMMYFUNCTION("""COMPUTED_VALUE"""),1120)</f>
        <v>1120</v>
      </c>
      <c r="Q120" s="1">
        <f ca="1">IFERROR(__xludf.DUMMYFUNCTION("""COMPUTED_VALUE"""),519)</f>
        <v>519</v>
      </c>
      <c r="R120" s="1">
        <f ca="1">IFERROR(__xludf.DUMMYFUNCTION("""COMPUTED_VALUE"""),1436)</f>
        <v>1436</v>
      </c>
      <c r="S120" s="1">
        <f ca="1">IFERROR(__xludf.DUMMYFUNCTION("""COMPUTED_VALUE"""),0.361)</f>
        <v>0.36099999999999999</v>
      </c>
      <c r="T120" s="1">
        <f ca="1">IFERROR(__xludf.DUMMYFUNCTION("""COMPUTED_VALUE"""),143)</f>
        <v>143</v>
      </c>
      <c r="U120" s="1">
        <f ca="1">IFERROR(__xludf.DUMMYFUNCTION("""COMPUTED_VALUE"""),458)</f>
        <v>458</v>
      </c>
      <c r="V120" s="1">
        <f ca="1">IFERROR(__xludf.DUMMYFUNCTION("""COMPUTED_VALUE"""),0.312)</f>
        <v>0.312</v>
      </c>
      <c r="W120" s="1">
        <f ca="1">IFERROR(__xludf.DUMMYFUNCTION("""COMPUTED_VALUE"""),210)</f>
        <v>210</v>
      </c>
      <c r="X120" s="1">
        <f ca="1">IFERROR(__xludf.DUMMYFUNCTION("""COMPUTED_VALUE"""),358)</f>
        <v>358</v>
      </c>
      <c r="Y120" s="1">
        <f ca="1">IFERROR(__xludf.DUMMYFUNCTION("""COMPUTED_VALUE"""),0.587)</f>
        <v>0.58699999999999997</v>
      </c>
      <c r="Z120" s="1">
        <f ca="1">IFERROR(__xludf.DUMMYFUNCTION("""COMPUTED_VALUE"""),275)</f>
        <v>275</v>
      </c>
      <c r="AA120" s="1">
        <f ca="1">IFERROR(__xludf.DUMMYFUNCTION("""COMPUTED_VALUE"""),702)</f>
        <v>702</v>
      </c>
      <c r="AB120" s="1">
        <f ca="1">IFERROR(__xludf.DUMMYFUNCTION("""COMPUTED_VALUE"""),290)</f>
        <v>290</v>
      </c>
      <c r="AC120" s="1">
        <f ca="1">IFERROR(__xludf.DUMMYFUNCTION("""COMPUTED_VALUE"""),123)</f>
        <v>123</v>
      </c>
      <c r="AD120" s="1">
        <f ca="1">IFERROR(__xludf.DUMMYFUNCTION("""COMPUTED_VALUE"""),64)</f>
        <v>64</v>
      </c>
      <c r="AE120" s="1">
        <f ca="1">IFERROR(__xludf.DUMMYFUNCTION("""COMPUTED_VALUE"""),491)</f>
        <v>491</v>
      </c>
      <c r="AF120" s="1">
        <f ca="1">IFERROR(__xludf.DUMMYFUNCTION("""COMPUTED_VALUE"""),492)</f>
        <v>492</v>
      </c>
    </row>
    <row r="121" spans="1:32" ht="12.5" x14ac:dyDescent="0.25">
      <c r="A121" s="1" t="str">
        <f ca="1">IFERROR(__xludf.DUMMYFUNCTION("""COMPUTED_VALUE"""),"Green Bay")</f>
        <v>Green Bay</v>
      </c>
      <c r="B121" s="1">
        <f ca="1">IFERROR(__xludf.DUMMYFUNCTION("""COMPUTED_VALUE"""),34)</f>
        <v>34</v>
      </c>
      <c r="C121" s="1">
        <f ca="1">IFERROR(__xludf.DUMMYFUNCTION("""COMPUTED_VALUE"""),18)</f>
        <v>18</v>
      </c>
      <c r="D121" s="1">
        <f ca="1">IFERROR(__xludf.DUMMYFUNCTION("""COMPUTED_VALUE"""),16)</f>
        <v>16</v>
      </c>
      <c r="E121" s="1">
        <f ca="1">IFERROR(__xludf.DUMMYFUNCTION("""COMPUTED_VALUE"""),0.529)</f>
        <v>0.52900000000000003</v>
      </c>
      <c r="F121" s="1">
        <f ca="1">IFERROR(__xludf.DUMMYFUNCTION("""COMPUTED_VALUE"""),1.67)</f>
        <v>1.67</v>
      </c>
      <c r="G121" s="1">
        <f ca="1">IFERROR(__xludf.DUMMYFUNCTION("""COMPUTED_VALUE"""),-0.27)</f>
        <v>-0.27</v>
      </c>
      <c r="H121" s="1">
        <f ca="1">IFERROR(__xludf.DUMMYFUNCTION("""COMPUTED_VALUE"""),10)</f>
        <v>10</v>
      </c>
      <c r="I121" s="1">
        <f ca="1">IFERROR(__xludf.DUMMYFUNCTION("""COMPUTED_VALUE"""),6)</f>
        <v>6</v>
      </c>
      <c r="J121" s="1">
        <f ca="1">IFERROR(__xludf.DUMMYFUNCTION("""COMPUTED_VALUE"""),12)</f>
        <v>12</v>
      </c>
      <c r="K121" s="1">
        <f ca="1">IFERROR(__xludf.DUMMYFUNCTION("""COMPUTED_VALUE"""),3)</f>
        <v>3</v>
      </c>
      <c r="L121" s="1">
        <f ca="1">IFERROR(__xludf.DUMMYFUNCTION("""COMPUTED_VALUE"""),4)</f>
        <v>4</v>
      </c>
      <c r="M121" s="1">
        <f ca="1">IFERROR(__xludf.DUMMYFUNCTION("""COMPUTED_VALUE"""),12)</f>
        <v>12</v>
      </c>
      <c r="N121" s="1">
        <f ca="1">IFERROR(__xludf.DUMMYFUNCTION("""COMPUTED_VALUE"""),2247)</f>
        <v>2247</v>
      </c>
      <c r="O121" s="1">
        <f ca="1">IFERROR(__xludf.DUMMYFUNCTION("""COMPUTED_VALUE"""),2142)</f>
        <v>2142</v>
      </c>
      <c r="P121" s="1">
        <f ca="1">IFERROR(__xludf.DUMMYFUNCTION("""COMPUTED_VALUE"""),1370)</f>
        <v>1370</v>
      </c>
      <c r="Q121" s="1">
        <f ca="1">IFERROR(__xludf.DUMMYFUNCTION("""COMPUTED_VALUE"""),777)</f>
        <v>777</v>
      </c>
      <c r="R121" s="1">
        <f ca="1">IFERROR(__xludf.DUMMYFUNCTION("""COMPUTED_VALUE"""),1772)</f>
        <v>1772</v>
      </c>
      <c r="S121" s="1">
        <f ca="1">IFERROR(__xludf.DUMMYFUNCTION("""COMPUTED_VALUE"""),0.438)</f>
        <v>0.438</v>
      </c>
      <c r="T121" s="1">
        <f ca="1">IFERROR(__xludf.DUMMYFUNCTION("""COMPUTED_VALUE"""),164)</f>
        <v>164</v>
      </c>
      <c r="U121" s="1">
        <f ca="1">IFERROR(__xludf.DUMMYFUNCTION("""COMPUTED_VALUE"""),487)</f>
        <v>487</v>
      </c>
      <c r="V121" s="1">
        <f ca="1">IFERROR(__xludf.DUMMYFUNCTION("""COMPUTED_VALUE"""),0.337)</f>
        <v>0.33700000000000002</v>
      </c>
      <c r="W121" s="1">
        <f ca="1">IFERROR(__xludf.DUMMYFUNCTION("""COMPUTED_VALUE"""),529)</f>
        <v>529</v>
      </c>
      <c r="X121" s="1">
        <f ca="1">IFERROR(__xludf.DUMMYFUNCTION("""COMPUTED_VALUE"""),705)</f>
        <v>705</v>
      </c>
      <c r="Y121" s="1">
        <f ca="1">IFERROR(__xludf.DUMMYFUNCTION("""COMPUTED_VALUE"""),0.75)</f>
        <v>0.75</v>
      </c>
      <c r="Z121" s="1">
        <f ca="1">IFERROR(__xludf.DUMMYFUNCTION("""COMPUTED_VALUE"""),354)</f>
        <v>354</v>
      </c>
      <c r="AA121" s="1">
        <f ca="1">IFERROR(__xludf.DUMMYFUNCTION("""COMPUTED_VALUE"""),1093)</f>
        <v>1093</v>
      </c>
      <c r="AB121" s="1">
        <f ca="1">IFERROR(__xludf.DUMMYFUNCTION("""COMPUTED_VALUE"""),455)</f>
        <v>455</v>
      </c>
      <c r="AC121" s="1">
        <f ca="1">IFERROR(__xludf.DUMMYFUNCTION("""COMPUTED_VALUE"""),201)</f>
        <v>201</v>
      </c>
      <c r="AD121" s="1">
        <f ca="1">IFERROR(__xludf.DUMMYFUNCTION("""COMPUTED_VALUE"""),162)</f>
        <v>162</v>
      </c>
      <c r="AE121" s="1">
        <f ca="1">IFERROR(__xludf.DUMMYFUNCTION("""COMPUTED_VALUE"""),456)</f>
        <v>456</v>
      </c>
      <c r="AF121" s="1">
        <f ca="1">IFERROR(__xludf.DUMMYFUNCTION("""COMPUTED_VALUE"""),587)</f>
        <v>587</v>
      </c>
    </row>
    <row r="122" spans="1:32" ht="12.5" x14ac:dyDescent="0.25">
      <c r="A122" s="1" t="str">
        <f ca="1">IFERROR(__xludf.DUMMYFUNCTION("""COMPUTED_VALUE"""),"Hampton")</f>
        <v>Hampton</v>
      </c>
      <c r="B122" s="1">
        <f ca="1">IFERROR(__xludf.DUMMYFUNCTION("""COMPUTED_VALUE"""),31)</f>
        <v>31</v>
      </c>
      <c r="C122" s="1">
        <f ca="1">IFERROR(__xludf.DUMMYFUNCTION("""COMPUTED_VALUE"""),14)</f>
        <v>14</v>
      </c>
      <c r="D122" s="1">
        <f ca="1">IFERROR(__xludf.DUMMYFUNCTION("""COMPUTED_VALUE"""),17)</f>
        <v>17</v>
      </c>
      <c r="E122" s="1">
        <f ca="1">IFERROR(__xludf.DUMMYFUNCTION("""COMPUTED_VALUE"""),0.452)</f>
        <v>0.45200000000000001</v>
      </c>
      <c r="F122" s="1">
        <f ca="1">IFERROR(__xludf.DUMMYFUNCTION("""COMPUTED_VALUE"""),-9.35)</f>
        <v>-9.35</v>
      </c>
      <c r="G122" s="1">
        <f ca="1">IFERROR(__xludf.DUMMYFUNCTION("""COMPUTED_VALUE"""),-7.84)</f>
        <v>-7.84</v>
      </c>
      <c r="H122" s="1">
        <f ca="1">IFERROR(__xludf.DUMMYFUNCTION("""COMPUTED_VALUE"""),11)</f>
        <v>11</v>
      </c>
      <c r="I122" s="1">
        <f ca="1">IFERROR(__xludf.DUMMYFUNCTION("""COMPUTED_VALUE"""),5)</f>
        <v>5</v>
      </c>
      <c r="J122" s="1">
        <f ca="1">IFERROR(__xludf.DUMMYFUNCTION("""COMPUTED_VALUE"""),7)</f>
        <v>7</v>
      </c>
      <c r="K122" s="1">
        <f ca="1">IFERROR(__xludf.DUMMYFUNCTION("""COMPUTED_VALUE"""),7)</f>
        <v>7</v>
      </c>
      <c r="L122" s="1">
        <f ca="1">IFERROR(__xludf.DUMMYFUNCTION("""COMPUTED_VALUE"""),7)</f>
        <v>7</v>
      </c>
      <c r="M122" s="1">
        <f ca="1">IFERROR(__xludf.DUMMYFUNCTION("""COMPUTED_VALUE"""),8)</f>
        <v>8</v>
      </c>
      <c r="N122" s="1">
        <f ca="1">IFERROR(__xludf.DUMMYFUNCTION("""COMPUTED_VALUE"""),1936)</f>
        <v>1936</v>
      </c>
      <c r="O122" s="1">
        <f ca="1">IFERROR(__xludf.DUMMYFUNCTION("""COMPUTED_VALUE"""),1983)</f>
        <v>1983</v>
      </c>
      <c r="P122" s="1">
        <f ca="1">IFERROR(__xludf.DUMMYFUNCTION("""COMPUTED_VALUE"""),1260)</f>
        <v>1260</v>
      </c>
      <c r="Q122" s="1">
        <f ca="1">IFERROR(__xludf.DUMMYFUNCTION("""COMPUTED_VALUE"""),678)</f>
        <v>678</v>
      </c>
      <c r="R122" s="1">
        <f ca="1">IFERROR(__xludf.DUMMYFUNCTION("""COMPUTED_VALUE"""),1731)</f>
        <v>1731</v>
      </c>
      <c r="S122" s="1">
        <f ca="1">IFERROR(__xludf.DUMMYFUNCTION("""COMPUTED_VALUE"""),0.392)</f>
        <v>0.39200000000000002</v>
      </c>
      <c r="T122" s="1">
        <f ca="1">IFERROR(__xludf.DUMMYFUNCTION("""COMPUTED_VALUE"""),135)</f>
        <v>135</v>
      </c>
      <c r="U122" s="1">
        <f ca="1">IFERROR(__xludf.DUMMYFUNCTION("""COMPUTED_VALUE"""),513)</f>
        <v>513</v>
      </c>
      <c r="V122" s="1">
        <f ca="1">IFERROR(__xludf.DUMMYFUNCTION("""COMPUTED_VALUE"""),0.263)</f>
        <v>0.26300000000000001</v>
      </c>
      <c r="W122" s="1">
        <f ca="1">IFERROR(__xludf.DUMMYFUNCTION("""COMPUTED_VALUE"""),445)</f>
        <v>445</v>
      </c>
      <c r="X122" s="1">
        <f ca="1">IFERROR(__xludf.DUMMYFUNCTION("""COMPUTED_VALUE"""),668)</f>
        <v>668</v>
      </c>
      <c r="Y122" s="1">
        <f ca="1">IFERROR(__xludf.DUMMYFUNCTION("""COMPUTED_VALUE"""),0.666)</f>
        <v>0.66600000000000004</v>
      </c>
      <c r="Z122" s="1">
        <f ca="1">IFERROR(__xludf.DUMMYFUNCTION("""COMPUTED_VALUE"""),394)</f>
        <v>394</v>
      </c>
      <c r="AA122" s="1">
        <f ca="1">IFERROR(__xludf.DUMMYFUNCTION("""COMPUTED_VALUE"""),1104)</f>
        <v>1104</v>
      </c>
      <c r="AB122" s="1">
        <f ca="1">IFERROR(__xludf.DUMMYFUNCTION("""COMPUTED_VALUE"""),352)</f>
        <v>352</v>
      </c>
      <c r="AC122" s="1">
        <f ca="1">IFERROR(__xludf.DUMMYFUNCTION("""COMPUTED_VALUE"""),231)</f>
        <v>231</v>
      </c>
      <c r="AD122" s="1">
        <f ca="1">IFERROR(__xludf.DUMMYFUNCTION("""COMPUTED_VALUE"""),148)</f>
        <v>148</v>
      </c>
      <c r="AE122" s="1">
        <f ca="1">IFERROR(__xludf.DUMMYFUNCTION("""COMPUTED_VALUE"""),527)</f>
        <v>527</v>
      </c>
      <c r="AF122" s="1">
        <f ca="1">IFERROR(__xludf.DUMMYFUNCTION("""COMPUTED_VALUE"""),635)</f>
        <v>635</v>
      </c>
    </row>
    <row r="123" spans="1:32" ht="12.5" x14ac:dyDescent="0.25">
      <c r="A123" s="1" t="str">
        <f ca="1">IFERROR(__xludf.DUMMYFUNCTION("""COMPUTED_VALUE"""),"Hartford")</f>
        <v>Hartford</v>
      </c>
      <c r="B123" s="1">
        <f ca="1">IFERROR(__xludf.DUMMYFUNCTION("""COMPUTED_VALUE"""),31)</f>
        <v>31</v>
      </c>
      <c r="C123" s="1">
        <f ca="1">IFERROR(__xludf.DUMMYFUNCTION("""COMPUTED_VALUE"""),17)</f>
        <v>17</v>
      </c>
      <c r="D123" s="1">
        <f ca="1">IFERROR(__xludf.DUMMYFUNCTION("""COMPUTED_VALUE"""),14)</f>
        <v>14</v>
      </c>
      <c r="E123" s="1">
        <f ca="1">IFERROR(__xludf.DUMMYFUNCTION("""COMPUTED_VALUE"""),0.548)</f>
        <v>0.54800000000000004</v>
      </c>
      <c r="F123" s="1">
        <f ca="1">IFERROR(__xludf.DUMMYFUNCTION("""COMPUTED_VALUE"""),-5.84)</f>
        <v>-5.84</v>
      </c>
      <c r="G123" s="1">
        <f ca="1">IFERROR(__xludf.DUMMYFUNCTION("""COMPUTED_VALUE"""),-4.71)</f>
        <v>-4.71</v>
      </c>
      <c r="H123" s="1">
        <f ca="1">IFERROR(__xludf.DUMMYFUNCTION("""COMPUTED_VALUE"""),10)</f>
        <v>10</v>
      </c>
      <c r="I123" s="1">
        <f ca="1">IFERROR(__xludf.DUMMYFUNCTION("""COMPUTED_VALUE"""),6)</f>
        <v>6</v>
      </c>
      <c r="J123" s="1">
        <f ca="1">IFERROR(__xludf.DUMMYFUNCTION("""COMPUTED_VALUE"""),10)</f>
        <v>10</v>
      </c>
      <c r="K123" s="1">
        <f ca="1">IFERROR(__xludf.DUMMYFUNCTION("""COMPUTED_VALUE"""),5)</f>
        <v>5</v>
      </c>
      <c r="L123" s="1">
        <f ca="1">IFERROR(__xludf.DUMMYFUNCTION("""COMPUTED_VALUE"""),7)</f>
        <v>7</v>
      </c>
      <c r="M123" s="1">
        <f ca="1">IFERROR(__xludf.DUMMYFUNCTION("""COMPUTED_VALUE"""),8)</f>
        <v>8</v>
      </c>
      <c r="N123" s="1">
        <f ca="1">IFERROR(__xludf.DUMMYFUNCTION("""COMPUTED_VALUE"""),1863)</f>
        <v>1863</v>
      </c>
      <c r="O123" s="1">
        <f ca="1">IFERROR(__xludf.DUMMYFUNCTION("""COMPUTED_VALUE"""),1898)</f>
        <v>1898</v>
      </c>
      <c r="P123" s="1">
        <f ca="1">IFERROR(__xludf.DUMMYFUNCTION("""COMPUTED_VALUE"""),1240)</f>
        <v>1240</v>
      </c>
      <c r="Q123" s="1">
        <f ca="1">IFERROR(__xludf.DUMMYFUNCTION("""COMPUTED_VALUE"""),645)</f>
        <v>645</v>
      </c>
      <c r="R123" s="1">
        <f ca="1">IFERROR(__xludf.DUMMYFUNCTION("""COMPUTED_VALUE"""),1578)</f>
        <v>1578</v>
      </c>
      <c r="S123" s="1">
        <f ca="1">IFERROR(__xludf.DUMMYFUNCTION("""COMPUTED_VALUE"""),0.409)</f>
        <v>0.40899999999999997</v>
      </c>
      <c r="T123" s="1">
        <f ca="1">IFERROR(__xludf.DUMMYFUNCTION("""COMPUTED_VALUE"""),235)</f>
        <v>235</v>
      </c>
      <c r="U123" s="1">
        <f ca="1">IFERROR(__xludf.DUMMYFUNCTION("""COMPUTED_VALUE"""),703)</f>
        <v>703</v>
      </c>
      <c r="V123" s="1">
        <f ca="1">IFERROR(__xludf.DUMMYFUNCTION("""COMPUTED_VALUE"""),0.334)</f>
        <v>0.33400000000000002</v>
      </c>
      <c r="W123" s="1">
        <f ca="1">IFERROR(__xludf.DUMMYFUNCTION("""COMPUTED_VALUE"""),338)</f>
        <v>338</v>
      </c>
      <c r="X123" s="1">
        <f ca="1">IFERROR(__xludf.DUMMYFUNCTION("""COMPUTED_VALUE"""),485)</f>
        <v>485</v>
      </c>
      <c r="Y123" s="1">
        <f ca="1">IFERROR(__xludf.DUMMYFUNCTION("""COMPUTED_VALUE"""),0.697)</f>
        <v>0.69699999999999995</v>
      </c>
      <c r="Z123" s="1">
        <f ca="1">IFERROR(__xludf.DUMMYFUNCTION("""COMPUTED_VALUE"""),264)</f>
        <v>264</v>
      </c>
      <c r="AA123" s="1">
        <f ca="1">IFERROR(__xludf.DUMMYFUNCTION("""COMPUTED_VALUE"""),815)</f>
        <v>815</v>
      </c>
      <c r="AB123" s="1">
        <f ca="1">IFERROR(__xludf.DUMMYFUNCTION("""COMPUTED_VALUE"""),382)</f>
        <v>382</v>
      </c>
      <c r="AC123" s="1">
        <f ca="1">IFERROR(__xludf.DUMMYFUNCTION("""COMPUTED_VALUE"""),253)</f>
        <v>253</v>
      </c>
      <c r="AD123" s="1">
        <f ca="1">IFERROR(__xludf.DUMMYFUNCTION("""COMPUTED_VALUE"""),61)</f>
        <v>61</v>
      </c>
      <c r="AE123" s="1">
        <f ca="1">IFERROR(__xludf.DUMMYFUNCTION("""COMPUTED_VALUE"""),442)</f>
        <v>442</v>
      </c>
      <c r="AF123" s="1">
        <f ca="1">IFERROR(__xludf.DUMMYFUNCTION("""COMPUTED_VALUE"""),585)</f>
        <v>585</v>
      </c>
    </row>
    <row r="124" spans="1:32" ht="12.5" x14ac:dyDescent="0.25">
      <c r="A124" s="1" t="str">
        <f ca="1">IFERROR(__xludf.DUMMYFUNCTION("""COMPUTED_VALUE"""),"HarvardNCAA")</f>
        <v>HarvardNCAA</v>
      </c>
      <c r="B124" s="1">
        <f ca="1">IFERROR(__xludf.DUMMYFUNCTION("""COMPUTED_VALUE"""),30)</f>
        <v>30</v>
      </c>
      <c r="C124" s="1">
        <f ca="1">IFERROR(__xludf.DUMMYFUNCTION("""COMPUTED_VALUE"""),20)</f>
        <v>20</v>
      </c>
      <c r="D124" s="1">
        <f ca="1">IFERROR(__xludf.DUMMYFUNCTION("""COMPUTED_VALUE"""),10)</f>
        <v>10</v>
      </c>
      <c r="E124" s="1">
        <f ca="1">IFERROR(__xludf.DUMMYFUNCTION("""COMPUTED_VALUE"""),0.667)</f>
        <v>0.66700000000000004</v>
      </c>
      <c r="F124" s="1">
        <f ca="1">IFERROR(__xludf.DUMMYFUNCTION("""COMPUTED_VALUE"""),3.95)</f>
        <v>3.95</v>
      </c>
      <c r="G124" s="1">
        <f ca="1">IFERROR(__xludf.DUMMYFUNCTION("""COMPUTED_VALUE"""),0.16)</f>
        <v>0.16</v>
      </c>
      <c r="H124" s="1">
        <f ca="1">IFERROR(__xludf.DUMMYFUNCTION("""COMPUTED_VALUE"""),11)</f>
        <v>11</v>
      </c>
      <c r="I124" s="1">
        <f ca="1">IFERROR(__xludf.DUMMYFUNCTION("""COMPUTED_VALUE"""),3)</f>
        <v>3</v>
      </c>
      <c r="J124" s="1">
        <f ca="1">IFERROR(__xludf.DUMMYFUNCTION("""COMPUTED_VALUE"""),13)</f>
        <v>13</v>
      </c>
      <c r="K124" s="1">
        <f ca="1">IFERROR(__xludf.DUMMYFUNCTION("""COMPUTED_VALUE"""),1)</f>
        <v>1</v>
      </c>
      <c r="L124" s="1">
        <f ca="1">IFERROR(__xludf.DUMMYFUNCTION("""COMPUTED_VALUE"""),6)</f>
        <v>6</v>
      </c>
      <c r="M124" s="1">
        <f ca="1">IFERROR(__xludf.DUMMYFUNCTION("""COMPUTED_VALUE"""),8)</f>
        <v>8</v>
      </c>
      <c r="N124" s="1">
        <f ca="1">IFERROR(__xludf.DUMMYFUNCTION("""COMPUTED_VALUE"""),2049)</f>
        <v>2049</v>
      </c>
      <c r="O124" s="1">
        <f ca="1">IFERROR(__xludf.DUMMYFUNCTION("""COMPUTED_VALUE"""),1924)</f>
        <v>1924</v>
      </c>
      <c r="P124" s="1">
        <f ca="1">IFERROR(__xludf.DUMMYFUNCTION("""COMPUTED_VALUE"""),1215)</f>
        <v>1215</v>
      </c>
      <c r="Q124" s="1">
        <f ca="1">IFERROR(__xludf.DUMMYFUNCTION("""COMPUTED_VALUE"""),677)</f>
        <v>677</v>
      </c>
      <c r="R124" s="1">
        <f ca="1">IFERROR(__xludf.DUMMYFUNCTION("""COMPUTED_VALUE"""),1425)</f>
        <v>1425</v>
      </c>
      <c r="S124" s="1">
        <f ca="1">IFERROR(__xludf.DUMMYFUNCTION("""COMPUTED_VALUE"""),0.475)</f>
        <v>0.47499999999999998</v>
      </c>
      <c r="T124" s="1">
        <f ca="1">IFERROR(__xludf.DUMMYFUNCTION("""COMPUTED_VALUE"""),191)</f>
        <v>191</v>
      </c>
      <c r="U124" s="1">
        <f ca="1">IFERROR(__xludf.DUMMYFUNCTION("""COMPUTED_VALUE"""),480)</f>
        <v>480</v>
      </c>
      <c r="V124" s="1">
        <f ca="1">IFERROR(__xludf.DUMMYFUNCTION("""COMPUTED_VALUE"""),0.398)</f>
        <v>0.39800000000000002</v>
      </c>
      <c r="W124" s="1">
        <f ca="1">IFERROR(__xludf.DUMMYFUNCTION("""COMPUTED_VALUE"""),504)</f>
        <v>504</v>
      </c>
      <c r="X124" s="1">
        <f ca="1">IFERROR(__xludf.DUMMYFUNCTION("""COMPUTED_VALUE"""),697)</f>
        <v>697</v>
      </c>
      <c r="Y124" s="1">
        <f ca="1">IFERROR(__xludf.DUMMYFUNCTION("""COMPUTED_VALUE"""),0.723)</f>
        <v>0.72299999999999998</v>
      </c>
      <c r="Z124" s="1">
        <f ca="1">IFERROR(__xludf.DUMMYFUNCTION("""COMPUTED_VALUE"""),219)</f>
        <v>219</v>
      </c>
      <c r="AA124" s="1">
        <f ca="1">IFERROR(__xludf.DUMMYFUNCTION("""COMPUTED_VALUE"""),796)</f>
        <v>796</v>
      </c>
      <c r="AB124" s="1">
        <f ca="1">IFERROR(__xludf.DUMMYFUNCTION("""COMPUTED_VALUE"""),392)</f>
        <v>392</v>
      </c>
      <c r="AC124" s="1">
        <f ca="1">IFERROR(__xludf.DUMMYFUNCTION("""COMPUTED_VALUE"""),218)</f>
        <v>218</v>
      </c>
      <c r="AD124" s="1">
        <f ca="1">IFERROR(__xludf.DUMMYFUNCTION("""COMPUTED_VALUE"""),126)</f>
        <v>126</v>
      </c>
      <c r="AE124" s="1">
        <f ca="1">IFERROR(__xludf.DUMMYFUNCTION("""COMPUTED_VALUE"""),399)</f>
        <v>399</v>
      </c>
      <c r="AF124" s="1">
        <f ca="1">IFERROR(__xludf.DUMMYFUNCTION("""COMPUTED_VALUE"""),457)</f>
        <v>457</v>
      </c>
    </row>
    <row r="125" spans="1:32" ht="12.5" x14ac:dyDescent="0.25">
      <c r="A125" s="1" t="str">
        <f ca="1">IFERROR(__xludf.DUMMYFUNCTION("""COMPUTED_VALUE"""),"Hawaii")</f>
        <v>Hawaii</v>
      </c>
      <c r="B125" s="1">
        <f ca="1">IFERROR(__xludf.DUMMYFUNCTION("""COMPUTED_VALUE"""),32)</f>
        <v>32</v>
      </c>
      <c r="C125" s="1">
        <f ca="1">IFERROR(__xludf.DUMMYFUNCTION("""COMPUTED_VALUE"""),17)</f>
        <v>17</v>
      </c>
      <c r="D125" s="1">
        <f ca="1">IFERROR(__xludf.DUMMYFUNCTION("""COMPUTED_VALUE"""),15)</f>
        <v>15</v>
      </c>
      <c r="E125" s="1">
        <f ca="1">IFERROR(__xludf.DUMMYFUNCTION("""COMPUTED_VALUE"""),0.531)</f>
        <v>0.53100000000000003</v>
      </c>
      <c r="F125" s="1">
        <f ca="1">IFERROR(__xludf.DUMMYFUNCTION("""COMPUTED_VALUE"""),-1.73)</f>
        <v>-1.73</v>
      </c>
      <c r="G125" s="1">
        <f ca="1">IFERROR(__xludf.DUMMYFUNCTION("""COMPUTED_VALUE"""),-2.37)</f>
        <v>-2.37</v>
      </c>
      <c r="H125" s="1">
        <f ca="1">IFERROR(__xludf.DUMMYFUNCTION("""COMPUTED_VALUE"""),10)</f>
        <v>10</v>
      </c>
      <c r="I125" s="1">
        <f ca="1">IFERROR(__xludf.DUMMYFUNCTION("""COMPUTED_VALUE"""),8)</f>
        <v>8</v>
      </c>
      <c r="J125" s="1">
        <f ca="1">IFERROR(__xludf.DUMMYFUNCTION("""COMPUTED_VALUE"""),12)</f>
        <v>12</v>
      </c>
      <c r="K125" s="1">
        <f ca="1">IFERROR(__xludf.DUMMYFUNCTION("""COMPUTED_VALUE"""),7)</f>
        <v>7</v>
      </c>
      <c r="L125" s="1">
        <f ca="1">IFERROR(__xludf.DUMMYFUNCTION("""COMPUTED_VALUE"""),4)</f>
        <v>4</v>
      </c>
      <c r="M125" s="1">
        <f ca="1">IFERROR(__xludf.DUMMYFUNCTION("""COMPUTED_VALUE"""),7)</f>
        <v>7</v>
      </c>
      <c r="N125" s="1">
        <f ca="1">IFERROR(__xludf.DUMMYFUNCTION("""COMPUTED_VALUE"""),2336)</f>
        <v>2336</v>
      </c>
      <c r="O125" s="1">
        <f ca="1">IFERROR(__xludf.DUMMYFUNCTION("""COMPUTED_VALUE"""),2305)</f>
        <v>2305</v>
      </c>
      <c r="P125" s="1">
        <f ca="1">IFERROR(__xludf.DUMMYFUNCTION("""COMPUTED_VALUE"""),1285)</f>
        <v>1285</v>
      </c>
      <c r="Q125" s="1">
        <f ca="1">IFERROR(__xludf.DUMMYFUNCTION("""COMPUTED_VALUE"""),836)</f>
        <v>836</v>
      </c>
      <c r="R125" s="1">
        <f ca="1">IFERROR(__xludf.DUMMYFUNCTION("""COMPUTED_VALUE"""),1850)</f>
        <v>1850</v>
      </c>
      <c r="S125" s="1">
        <f ca="1">IFERROR(__xludf.DUMMYFUNCTION("""COMPUTED_VALUE"""),0.452)</f>
        <v>0.45200000000000001</v>
      </c>
      <c r="T125" s="1">
        <f ca="1">IFERROR(__xludf.DUMMYFUNCTION("""COMPUTED_VALUE"""),195)</f>
        <v>195</v>
      </c>
      <c r="U125" s="1">
        <f ca="1">IFERROR(__xludf.DUMMYFUNCTION("""COMPUTED_VALUE"""),569)</f>
        <v>569</v>
      </c>
      <c r="V125" s="1">
        <f ca="1">IFERROR(__xludf.DUMMYFUNCTION("""COMPUTED_VALUE"""),0.343)</f>
        <v>0.34300000000000003</v>
      </c>
      <c r="W125" s="1">
        <f ca="1">IFERROR(__xludf.DUMMYFUNCTION("""COMPUTED_VALUE"""),469)</f>
        <v>469</v>
      </c>
      <c r="X125" s="1">
        <f ca="1">IFERROR(__xludf.DUMMYFUNCTION("""COMPUTED_VALUE"""),683)</f>
        <v>683</v>
      </c>
      <c r="Y125" s="1">
        <f ca="1">IFERROR(__xludf.DUMMYFUNCTION("""COMPUTED_VALUE"""),0.687)</f>
        <v>0.68700000000000006</v>
      </c>
      <c r="Z125" s="1">
        <f ca="1">IFERROR(__xludf.DUMMYFUNCTION("""COMPUTED_VALUE"""),399)</f>
        <v>399</v>
      </c>
      <c r="AA125" s="1">
        <f ca="1">IFERROR(__xludf.DUMMYFUNCTION("""COMPUTED_VALUE"""),1124)</f>
        <v>1124</v>
      </c>
      <c r="AB125" s="1">
        <f ca="1">IFERROR(__xludf.DUMMYFUNCTION("""COMPUTED_VALUE"""),444)</f>
        <v>444</v>
      </c>
      <c r="AC125" s="1">
        <f ca="1">IFERROR(__xludf.DUMMYFUNCTION("""COMPUTED_VALUE"""),170)</f>
        <v>170</v>
      </c>
      <c r="AD125" s="1">
        <f ca="1">IFERROR(__xludf.DUMMYFUNCTION("""COMPUTED_VALUE"""),110)</f>
        <v>110</v>
      </c>
      <c r="AE125" s="1">
        <f ca="1">IFERROR(__xludf.DUMMYFUNCTION("""COMPUTED_VALUE"""),462)</f>
        <v>462</v>
      </c>
      <c r="AF125" s="1">
        <f ca="1">IFERROR(__xludf.DUMMYFUNCTION("""COMPUTED_VALUE"""),532)</f>
        <v>532</v>
      </c>
    </row>
    <row r="126" spans="1:32" ht="12.5" x14ac:dyDescent="0.25">
      <c r="A126" s="1" t="str">
        <f ca="1">IFERROR(__xludf.DUMMYFUNCTION("""COMPUTED_VALUE"""),"High Point")</f>
        <v>High Point</v>
      </c>
      <c r="B126" s="1">
        <f ca="1">IFERROR(__xludf.DUMMYFUNCTION("""COMPUTED_VALUE"""),31)</f>
        <v>31</v>
      </c>
      <c r="C126" s="1">
        <f ca="1">IFERROR(__xludf.DUMMYFUNCTION("""COMPUTED_VALUE"""),17)</f>
        <v>17</v>
      </c>
      <c r="D126" s="1">
        <f ca="1">IFERROR(__xludf.DUMMYFUNCTION("""COMPUTED_VALUE"""),14)</f>
        <v>14</v>
      </c>
      <c r="E126" s="1">
        <f ca="1">IFERROR(__xludf.DUMMYFUNCTION("""COMPUTED_VALUE"""),0.548)</f>
        <v>0.54800000000000004</v>
      </c>
      <c r="F126" s="1">
        <f ca="1">IFERROR(__xludf.DUMMYFUNCTION("""COMPUTED_VALUE"""),-4.66)</f>
        <v>-4.66</v>
      </c>
      <c r="G126" s="1">
        <f ca="1">IFERROR(__xludf.DUMMYFUNCTION("""COMPUTED_VALUE"""),-7.25)</f>
        <v>-7.25</v>
      </c>
      <c r="H126" s="1">
        <f ca="1">IFERROR(__xludf.DUMMYFUNCTION("""COMPUTED_VALUE"""),12)</f>
        <v>12</v>
      </c>
      <c r="I126" s="1">
        <f ca="1">IFERROR(__xludf.DUMMYFUNCTION("""COMPUTED_VALUE"""),4)</f>
        <v>4</v>
      </c>
      <c r="J126" s="1">
        <f ca="1">IFERROR(__xludf.DUMMYFUNCTION("""COMPUTED_VALUE"""),10)</f>
        <v>10</v>
      </c>
      <c r="K126" s="1">
        <f ca="1">IFERROR(__xludf.DUMMYFUNCTION("""COMPUTED_VALUE"""),5)</f>
        <v>5</v>
      </c>
      <c r="L126" s="1">
        <f ca="1">IFERROR(__xludf.DUMMYFUNCTION("""COMPUTED_VALUE"""),6)</f>
        <v>6</v>
      </c>
      <c r="M126" s="1">
        <f ca="1">IFERROR(__xludf.DUMMYFUNCTION("""COMPUTED_VALUE"""),8)</f>
        <v>8</v>
      </c>
      <c r="N126" s="1">
        <f ca="1">IFERROR(__xludf.DUMMYFUNCTION("""COMPUTED_VALUE"""),2221)</f>
        <v>2221</v>
      </c>
      <c r="O126" s="1">
        <f ca="1">IFERROR(__xludf.DUMMYFUNCTION("""COMPUTED_VALUE"""),2052)</f>
        <v>2052</v>
      </c>
      <c r="P126" s="1">
        <f ca="1">IFERROR(__xludf.DUMMYFUNCTION("""COMPUTED_VALUE"""),1250)</f>
        <v>1250</v>
      </c>
      <c r="Q126" s="1">
        <f ca="1">IFERROR(__xludf.DUMMYFUNCTION("""COMPUTED_VALUE"""),823)</f>
        <v>823</v>
      </c>
      <c r="R126" s="1">
        <f ca="1">IFERROR(__xludf.DUMMYFUNCTION("""COMPUTED_VALUE"""),1841)</f>
        <v>1841</v>
      </c>
      <c r="S126" s="1">
        <f ca="1">IFERROR(__xludf.DUMMYFUNCTION("""COMPUTED_VALUE"""),0.447)</f>
        <v>0.44700000000000001</v>
      </c>
      <c r="T126" s="1">
        <f ca="1">IFERROR(__xludf.DUMMYFUNCTION("""COMPUTED_VALUE"""),138)</f>
        <v>138</v>
      </c>
      <c r="U126" s="1">
        <f ca="1">IFERROR(__xludf.DUMMYFUNCTION("""COMPUTED_VALUE"""),442)</f>
        <v>442</v>
      </c>
      <c r="V126" s="1">
        <f ca="1">IFERROR(__xludf.DUMMYFUNCTION("""COMPUTED_VALUE"""),0.312)</f>
        <v>0.312</v>
      </c>
      <c r="W126" s="1">
        <f ca="1">IFERROR(__xludf.DUMMYFUNCTION("""COMPUTED_VALUE"""),437)</f>
        <v>437</v>
      </c>
      <c r="X126" s="1">
        <f ca="1">IFERROR(__xludf.DUMMYFUNCTION("""COMPUTED_VALUE"""),609)</f>
        <v>609</v>
      </c>
      <c r="Y126" s="1">
        <f ca="1">IFERROR(__xludf.DUMMYFUNCTION("""COMPUTED_VALUE"""),0.718)</f>
        <v>0.71799999999999997</v>
      </c>
      <c r="Z126" s="1">
        <f ca="1">IFERROR(__xludf.DUMMYFUNCTION("""COMPUTED_VALUE"""),396)</f>
        <v>396</v>
      </c>
      <c r="AA126" s="1">
        <f ca="1">IFERROR(__xludf.DUMMYFUNCTION("""COMPUTED_VALUE"""),1057)</f>
        <v>1057</v>
      </c>
      <c r="AB126" s="1">
        <f ca="1">IFERROR(__xludf.DUMMYFUNCTION("""COMPUTED_VALUE"""),455)</f>
        <v>455</v>
      </c>
      <c r="AC126" s="1">
        <f ca="1">IFERROR(__xludf.DUMMYFUNCTION("""COMPUTED_VALUE"""),227)</f>
        <v>227</v>
      </c>
      <c r="AD126" s="1">
        <f ca="1">IFERROR(__xludf.DUMMYFUNCTION("""COMPUTED_VALUE"""),134)</f>
        <v>134</v>
      </c>
      <c r="AE126" s="1">
        <f ca="1">IFERROR(__xludf.DUMMYFUNCTION("""COMPUTED_VALUE"""),376)</f>
        <v>376</v>
      </c>
      <c r="AF126" s="1">
        <f ca="1">IFERROR(__xludf.DUMMYFUNCTION("""COMPUTED_VALUE"""),578)</f>
        <v>578</v>
      </c>
    </row>
    <row r="127" spans="1:32" ht="12.5" x14ac:dyDescent="0.25">
      <c r="A127" s="1" t="str">
        <f ca="1">IFERROR(__xludf.DUMMYFUNCTION("""COMPUTED_VALUE"""),"Hofstra")</f>
        <v>Hofstra</v>
      </c>
      <c r="B127" s="1">
        <f ca="1">IFERROR(__xludf.DUMMYFUNCTION("""COMPUTED_VALUE"""),32)</f>
        <v>32</v>
      </c>
      <c r="C127" s="1">
        <f ca="1">IFERROR(__xludf.DUMMYFUNCTION("""COMPUTED_VALUE"""),7)</f>
        <v>7</v>
      </c>
      <c r="D127" s="1">
        <f ca="1">IFERROR(__xludf.DUMMYFUNCTION("""COMPUTED_VALUE"""),25)</f>
        <v>25</v>
      </c>
      <c r="E127" s="1">
        <f ca="1">IFERROR(__xludf.DUMMYFUNCTION("""COMPUTED_VALUE"""),0.219)</f>
        <v>0.219</v>
      </c>
      <c r="F127" s="1">
        <f ca="1">IFERROR(__xludf.DUMMYFUNCTION("""COMPUTED_VALUE"""),-10.76)</f>
        <v>-10.76</v>
      </c>
      <c r="G127" s="1">
        <f ca="1">IFERROR(__xludf.DUMMYFUNCTION("""COMPUTED_VALUE"""),-1.92)</f>
        <v>-1.92</v>
      </c>
      <c r="H127" s="1">
        <f ca="1">IFERROR(__xludf.DUMMYFUNCTION("""COMPUTED_VALUE"""),4)</f>
        <v>4</v>
      </c>
      <c r="I127" s="1">
        <f ca="1">IFERROR(__xludf.DUMMYFUNCTION("""COMPUTED_VALUE"""),14)</f>
        <v>14</v>
      </c>
      <c r="J127" s="1">
        <f ca="1">IFERROR(__xludf.DUMMYFUNCTION("""COMPUTED_VALUE"""),6)</f>
        <v>6</v>
      </c>
      <c r="K127" s="1">
        <f ca="1">IFERROR(__xludf.DUMMYFUNCTION("""COMPUTED_VALUE"""),9)</f>
        <v>9</v>
      </c>
      <c r="L127" s="1">
        <f ca="1">IFERROR(__xludf.DUMMYFUNCTION("""COMPUTED_VALUE"""),1)</f>
        <v>1</v>
      </c>
      <c r="M127" s="1">
        <f ca="1">IFERROR(__xludf.DUMMYFUNCTION("""COMPUTED_VALUE"""),14)</f>
        <v>14</v>
      </c>
      <c r="N127" s="1">
        <f ca="1">IFERROR(__xludf.DUMMYFUNCTION("""COMPUTED_VALUE"""),1873)</f>
        <v>1873</v>
      </c>
      <c r="O127" s="1">
        <f ca="1">IFERROR(__xludf.DUMMYFUNCTION("""COMPUTED_VALUE"""),2132)</f>
        <v>2132</v>
      </c>
      <c r="P127" s="1">
        <f ca="1">IFERROR(__xludf.DUMMYFUNCTION("""COMPUTED_VALUE"""),1290)</f>
        <v>1290</v>
      </c>
      <c r="Q127" s="1">
        <f ca="1">IFERROR(__xludf.DUMMYFUNCTION("""COMPUTED_VALUE"""),658)</f>
        <v>658</v>
      </c>
      <c r="R127" s="1">
        <f ca="1">IFERROR(__xludf.DUMMYFUNCTION("""COMPUTED_VALUE"""),1719)</f>
        <v>1719</v>
      </c>
      <c r="S127" s="1">
        <f ca="1">IFERROR(__xludf.DUMMYFUNCTION("""COMPUTED_VALUE"""),0.383)</f>
        <v>0.38300000000000001</v>
      </c>
      <c r="T127" s="1">
        <f ca="1">IFERROR(__xludf.DUMMYFUNCTION("""COMPUTED_VALUE"""),141)</f>
        <v>141</v>
      </c>
      <c r="U127" s="1">
        <f ca="1">IFERROR(__xludf.DUMMYFUNCTION("""COMPUTED_VALUE"""),486)</f>
        <v>486</v>
      </c>
      <c r="V127" s="1">
        <f ca="1">IFERROR(__xludf.DUMMYFUNCTION("""COMPUTED_VALUE"""),0.29)</f>
        <v>0.28999999999999998</v>
      </c>
      <c r="W127" s="1">
        <f ca="1">IFERROR(__xludf.DUMMYFUNCTION("""COMPUTED_VALUE"""),416)</f>
        <v>416</v>
      </c>
      <c r="X127" s="1">
        <f ca="1">IFERROR(__xludf.DUMMYFUNCTION("""COMPUTED_VALUE"""),664)</f>
        <v>664</v>
      </c>
      <c r="Y127" s="1">
        <f ca="1">IFERROR(__xludf.DUMMYFUNCTION("""COMPUTED_VALUE"""),0.627)</f>
        <v>0.627</v>
      </c>
      <c r="Z127" s="1">
        <f ca="1">IFERROR(__xludf.DUMMYFUNCTION("""COMPUTED_VALUE"""),408)</f>
        <v>408</v>
      </c>
      <c r="AA127" s="1">
        <f ca="1">IFERROR(__xludf.DUMMYFUNCTION("""COMPUTED_VALUE"""),1016)</f>
        <v>1016</v>
      </c>
      <c r="AB127" s="1">
        <f ca="1">IFERROR(__xludf.DUMMYFUNCTION("""COMPUTED_VALUE"""),312)</f>
        <v>312</v>
      </c>
      <c r="AC127" s="1">
        <f ca="1">IFERROR(__xludf.DUMMYFUNCTION("""COMPUTED_VALUE"""),203)</f>
        <v>203</v>
      </c>
      <c r="AD127" s="1">
        <f ca="1">IFERROR(__xludf.DUMMYFUNCTION("""COMPUTED_VALUE"""),110)</f>
        <v>110</v>
      </c>
      <c r="AE127" s="1">
        <f ca="1">IFERROR(__xludf.DUMMYFUNCTION("""COMPUTED_VALUE"""),463)</f>
        <v>463</v>
      </c>
      <c r="AF127" s="1">
        <f ca="1">IFERROR(__xludf.DUMMYFUNCTION("""COMPUTED_VALUE"""),538)</f>
        <v>538</v>
      </c>
    </row>
    <row r="128" spans="1:32" ht="12.5" x14ac:dyDescent="0.25">
      <c r="A128" s="1" t="str">
        <f ca="1">IFERROR(__xludf.DUMMYFUNCTION("""COMPUTED_VALUE"""),"Holy Cross")</f>
        <v>Holy Cross</v>
      </c>
      <c r="B128" s="1">
        <f ca="1">IFERROR(__xludf.DUMMYFUNCTION("""COMPUTED_VALUE"""),30)</f>
        <v>30</v>
      </c>
      <c r="C128" s="1">
        <f ca="1">IFERROR(__xludf.DUMMYFUNCTION("""COMPUTED_VALUE"""),12)</f>
        <v>12</v>
      </c>
      <c r="D128" s="1">
        <f ca="1">IFERROR(__xludf.DUMMYFUNCTION("""COMPUTED_VALUE"""),18)</f>
        <v>18</v>
      </c>
      <c r="E128" s="1">
        <f ca="1">IFERROR(__xludf.DUMMYFUNCTION("""COMPUTED_VALUE"""),0.4)</f>
        <v>0.4</v>
      </c>
      <c r="F128" s="1">
        <f ca="1">IFERROR(__xludf.DUMMYFUNCTION("""COMPUTED_VALUE"""),-6.14)</f>
        <v>-6.14</v>
      </c>
      <c r="G128" s="1">
        <f ca="1">IFERROR(__xludf.DUMMYFUNCTION("""COMPUTED_VALUE"""),-2.97)</f>
        <v>-2.97</v>
      </c>
      <c r="H128" s="1">
        <f ca="1">IFERROR(__xludf.DUMMYFUNCTION("""COMPUTED_VALUE"""),4)</f>
        <v>4</v>
      </c>
      <c r="I128" s="1">
        <f ca="1">IFERROR(__xludf.DUMMYFUNCTION("""COMPUTED_VALUE"""),10)</f>
        <v>10</v>
      </c>
      <c r="J128" s="1">
        <f ca="1">IFERROR(__xludf.DUMMYFUNCTION("""COMPUTED_VALUE"""),7)</f>
        <v>7</v>
      </c>
      <c r="K128" s="1">
        <f ca="1">IFERROR(__xludf.DUMMYFUNCTION("""COMPUTED_VALUE"""),5)</f>
        <v>5</v>
      </c>
      <c r="L128" s="1">
        <f ca="1">IFERROR(__xludf.DUMMYFUNCTION("""COMPUTED_VALUE"""),4)</f>
        <v>4</v>
      </c>
      <c r="M128" s="1">
        <f ca="1">IFERROR(__xludf.DUMMYFUNCTION("""COMPUTED_VALUE"""),12)</f>
        <v>12</v>
      </c>
      <c r="N128" s="1">
        <f ca="1">IFERROR(__xludf.DUMMYFUNCTION("""COMPUTED_VALUE"""),1834)</f>
        <v>1834</v>
      </c>
      <c r="O128" s="1">
        <f ca="1">IFERROR(__xludf.DUMMYFUNCTION("""COMPUTED_VALUE"""),1929)</f>
        <v>1929</v>
      </c>
      <c r="P128" s="1">
        <f ca="1">IFERROR(__xludf.DUMMYFUNCTION("""COMPUTED_VALUE"""),1205)</f>
        <v>1205</v>
      </c>
      <c r="Q128" s="1">
        <f ca="1">IFERROR(__xludf.DUMMYFUNCTION("""COMPUTED_VALUE"""),644)</f>
        <v>644</v>
      </c>
      <c r="R128" s="1">
        <f ca="1">IFERROR(__xludf.DUMMYFUNCTION("""COMPUTED_VALUE"""),1555)</f>
        <v>1555</v>
      </c>
      <c r="S128" s="1">
        <f ca="1">IFERROR(__xludf.DUMMYFUNCTION("""COMPUTED_VALUE"""),0.414)</f>
        <v>0.41399999999999998</v>
      </c>
      <c r="T128" s="1">
        <f ca="1">IFERROR(__xludf.DUMMYFUNCTION("""COMPUTED_VALUE"""),195)</f>
        <v>195</v>
      </c>
      <c r="U128" s="1">
        <f ca="1">IFERROR(__xludf.DUMMYFUNCTION("""COMPUTED_VALUE"""),571)</f>
        <v>571</v>
      </c>
      <c r="V128" s="1">
        <f ca="1">IFERROR(__xludf.DUMMYFUNCTION("""COMPUTED_VALUE"""),0.342)</f>
        <v>0.34200000000000003</v>
      </c>
      <c r="W128" s="1">
        <f ca="1">IFERROR(__xludf.DUMMYFUNCTION("""COMPUTED_VALUE"""),351)</f>
        <v>351</v>
      </c>
      <c r="X128" s="1">
        <f ca="1">IFERROR(__xludf.DUMMYFUNCTION("""COMPUTED_VALUE"""),466)</f>
        <v>466</v>
      </c>
      <c r="Y128" s="1">
        <f ca="1">IFERROR(__xludf.DUMMYFUNCTION("""COMPUTED_VALUE"""),0.753)</f>
        <v>0.753</v>
      </c>
      <c r="Z128" s="1">
        <f ca="1">IFERROR(__xludf.DUMMYFUNCTION("""COMPUTED_VALUE"""),272)</f>
        <v>272</v>
      </c>
      <c r="AA128" s="1">
        <f ca="1">IFERROR(__xludf.DUMMYFUNCTION("""COMPUTED_VALUE"""),901)</f>
        <v>901</v>
      </c>
      <c r="AB128" s="1">
        <f ca="1">IFERROR(__xludf.DUMMYFUNCTION("""COMPUTED_VALUE"""),366)</f>
        <v>366</v>
      </c>
      <c r="AC128" s="1">
        <f ca="1">IFERROR(__xludf.DUMMYFUNCTION("""COMPUTED_VALUE"""),116)</f>
        <v>116</v>
      </c>
      <c r="AD128" s="1">
        <f ca="1">IFERROR(__xludf.DUMMYFUNCTION("""COMPUTED_VALUE"""),105)</f>
        <v>105</v>
      </c>
      <c r="AE128" s="1">
        <f ca="1">IFERROR(__xludf.DUMMYFUNCTION("""COMPUTED_VALUE"""),372)</f>
        <v>372</v>
      </c>
      <c r="AF128" s="1">
        <f ca="1">IFERROR(__xludf.DUMMYFUNCTION("""COMPUTED_VALUE"""),513)</f>
        <v>513</v>
      </c>
    </row>
    <row r="129" spans="1:32" ht="12.5" x14ac:dyDescent="0.25">
      <c r="A129" s="1" t="str">
        <f ca="1">IFERROR(__xludf.DUMMYFUNCTION("""COMPUTED_VALUE"""),"Houston Baptist")</f>
        <v>Houston Baptist</v>
      </c>
      <c r="B129" s="1">
        <f ca="1">IFERROR(__xludf.DUMMYFUNCTION("""COMPUTED_VALUE"""),31)</f>
        <v>31</v>
      </c>
      <c r="C129" s="1">
        <f ca="1">IFERROR(__xludf.DUMMYFUNCTION("""COMPUTED_VALUE"""),14)</f>
        <v>14</v>
      </c>
      <c r="D129" s="1">
        <f ca="1">IFERROR(__xludf.DUMMYFUNCTION("""COMPUTED_VALUE"""),17)</f>
        <v>17</v>
      </c>
      <c r="E129" s="1">
        <f ca="1">IFERROR(__xludf.DUMMYFUNCTION("""COMPUTED_VALUE"""),0.452)</f>
        <v>0.45200000000000001</v>
      </c>
      <c r="F129" s="1">
        <f ca="1">IFERROR(__xludf.DUMMYFUNCTION("""COMPUTED_VALUE"""),-15.17)</f>
        <v>-15.17</v>
      </c>
      <c r="G129" s="1">
        <f ca="1">IFERROR(__xludf.DUMMYFUNCTION("""COMPUTED_VALUE"""),-8.03)</f>
        <v>-8.0299999999999994</v>
      </c>
      <c r="H129" s="1">
        <f ca="1">IFERROR(__xludf.DUMMYFUNCTION("""COMPUTED_VALUE"""),3)</f>
        <v>3</v>
      </c>
      <c r="I129" s="1">
        <f ca="1">IFERROR(__xludf.DUMMYFUNCTION("""COMPUTED_VALUE"""),5)</f>
        <v>5</v>
      </c>
      <c r="J129" s="1">
        <f ca="1">IFERROR(__xludf.DUMMYFUNCTION("""COMPUTED_VALUE"""),7)</f>
        <v>7</v>
      </c>
      <c r="K129" s="1">
        <f ca="1">IFERROR(__xludf.DUMMYFUNCTION("""COMPUTED_VALUE"""),5)</f>
        <v>5</v>
      </c>
      <c r="L129" s="1">
        <f ca="1">IFERROR(__xludf.DUMMYFUNCTION("""COMPUTED_VALUE"""),3)</f>
        <v>3</v>
      </c>
      <c r="M129" s="1">
        <f ca="1">IFERROR(__xludf.DUMMYFUNCTION("""COMPUTED_VALUE"""),12)</f>
        <v>12</v>
      </c>
      <c r="N129" s="1">
        <f ca="1">IFERROR(__xludf.DUMMYFUNCTION("""COMPUTED_VALUE"""),1982)</f>
        <v>1982</v>
      </c>
      <c r="O129" s="1">
        <f ca="1">IFERROR(__xludf.DUMMYFUNCTION("""COMPUTED_VALUE"""),2080)</f>
        <v>2080</v>
      </c>
      <c r="P129" s="1">
        <f ca="1">IFERROR(__xludf.DUMMYFUNCTION("""COMPUTED_VALUE"""),1260)</f>
        <v>1260</v>
      </c>
      <c r="Q129" s="1">
        <f ca="1">IFERROR(__xludf.DUMMYFUNCTION("""COMPUTED_VALUE"""),712)</f>
        <v>712</v>
      </c>
      <c r="R129" s="1">
        <f ca="1">IFERROR(__xludf.DUMMYFUNCTION("""COMPUTED_VALUE"""),1720)</f>
        <v>1720</v>
      </c>
      <c r="S129" s="1">
        <f ca="1">IFERROR(__xludf.DUMMYFUNCTION("""COMPUTED_VALUE"""),0.414)</f>
        <v>0.41399999999999998</v>
      </c>
      <c r="T129" s="1">
        <f ca="1">IFERROR(__xludf.DUMMYFUNCTION("""COMPUTED_VALUE"""),141)</f>
        <v>141</v>
      </c>
      <c r="U129" s="1">
        <f ca="1">IFERROR(__xludf.DUMMYFUNCTION("""COMPUTED_VALUE"""),441)</f>
        <v>441</v>
      </c>
      <c r="V129" s="1">
        <f ca="1">IFERROR(__xludf.DUMMYFUNCTION("""COMPUTED_VALUE"""),0.32)</f>
        <v>0.32</v>
      </c>
      <c r="W129" s="1">
        <f ca="1">IFERROR(__xludf.DUMMYFUNCTION("""COMPUTED_VALUE"""),417)</f>
        <v>417</v>
      </c>
      <c r="X129" s="1">
        <f ca="1">IFERROR(__xludf.DUMMYFUNCTION("""COMPUTED_VALUE"""),628)</f>
        <v>628</v>
      </c>
      <c r="Y129" s="1">
        <f ca="1">IFERROR(__xludf.DUMMYFUNCTION("""COMPUTED_VALUE"""),0.664)</f>
        <v>0.66400000000000003</v>
      </c>
      <c r="Z129" s="1">
        <f ca="1">IFERROR(__xludf.DUMMYFUNCTION("""COMPUTED_VALUE"""),368)</f>
        <v>368</v>
      </c>
      <c r="AA129" s="1">
        <f ca="1">IFERROR(__xludf.DUMMYFUNCTION("""COMPUTED_VALUE"""),994)</f>
        <v>994</v>
      </c>
      <c r="AB129" s="1">
        <f ca="1">IFERROR(__xludf.DUMMYFUNCTION("""COMPUTED_VALUE"""),349)</f>
        <v>349</v>
      </c>
      <c r="AC129" s="1">
        <f ca="1">IFERROR(__xludf.DUMMYFUNCTION("""COMPUTED_VALUE"""),215)</f>
        <v>215</v>
      </c>
      <c r="AD129" s="1">
        <f ca="1">IFERROR(__xludf.DUMMYFUNCTION("""COMPUTED_VALUE"""),86)</f>
        <v>86</v>
      </c>
      <c r="AE129" s="1">
        <f ca="1">IFERROR(__xludf.DUMMYFUNCTION("""COMPUTED_VALUE"""),534)</f>
        <v>534</v>
      </c>
      <c r="AF129" s="1">
        <f ca="1">IFERROR(__xludf.DUMMYFUNCTION("""COMPUTED_VALUE"""),613)</f>
        <v>613</v>
      </c>
    </row>
    <row r="130" spans="1:32" ht="12.5" x14ac:dyDescent="0.25">
      <c r="A130" s="1" t="str">
        <f ca="1">IFERROR(__xludf.DUMMYFUNCTION("""COMPUTED_VALUE"""),"Houston")</f>
        <v>Houston</v>
      </c>
      <c r="B130" s="1">
        <f ca="1">IFERROR(__xludf.DUMMYFUNCTION("""COMPUTED_VALUE"""),33)</f>
        <v>33</v>
      </c>
      <c r="C130" s="1">
        <f ca="1">IFERROR(__xludf.DUMMYFUNCTION("""COMPUTED_VALUE"""),20)</f>
        <v>20</v>
      </c>
      <c r="D130" s="1">
        <f ca="1">IFERROR(__xludf.DUMMYFUNCTION("""COMPUTED_VALUE"""),13)</f>
        <v>13</v>
      </c>
      <c r="E130" s="1">
        <f ca="1">IFERROR(__xludf.DUMMYFUNCTION("""COMPUTED_VALUE"""),0.606)</f>
        <v>0.60599999999999998</v>
      </c>
      <c r="F130" s="1">
        <f ca="1">IFERROR(__xludf.DUMMYFUNCTION("""COMPUTED_VALUE"""),-0.3)</f>
        <v>-0.3</v>
      </c>
      <c r="G130" s="1">
        <f ca="1">IFERROR(__xludf.DUMMYFUNCTION("""COMPUTED_VALUE"""),-3.77)</f>
        <v>-3.77</v>
      </c>
      <c r="H130" s="1">
        <f ca="1">IFERROR(__xludf.DUMMYFUNCTION("""COMPUTED_VALUE"""),7)</f>
        <v>7</v>
      </c>
      <c r="I130" s="1">
        <f ca="1">IFERROR(__xludf.DUMMYFUNCTION("""COMPUTED_VALUE"""),9)</f>
        <v>9</v>
      </c>
      <c r="J130" s="1">
        <f ca="1">IFERROR(__xludf.DUMMYFUNCTION("""COMPUTED_VALUE"""),14)</f>
        <v>14</v>
      </c>
      <c r="K130" s="1">
        <f ca="1">IFERROR(__xludf.DUMMYFUNCTION("""COMPUTED_VALUE"""),4)</f>
        <v>4</v>
      </c>
      <c r="L130" s="1">
        <f ca="1">IFERROR(__xludf.DUMMYFUNCTION("""COMPUTED_VALUE"""),5)</f>
        <v>5</v>
      </c>
      <c r="M130" s="1">
        <f ca="1">IFERROR(__xludf.DUMMYFUNCTION("""COMPUTED_VALUE"""),8)</f>
        <v>8</v>
      </c>
      <c r="N130" s="1">
        <f ca="1">IFERROR(__xludf.DUMMYFUNCTION("""COMPUTED_VALUE"""),2578)</f>
        <v>2578</v>
      </c>
      <c r="O130" s="1">
        <f ca="1">IFERROR(__xludf.DUMMYFUNCTION("""COMPUTED_VALUE"""),2420)</f>
        <v>2420</v>
      </c>
      <c r="P130" s="1">
        <f ca="1">IFERROR(__xludf.DUMMYFUNCTION("""COMPUTED_VALUE"""),1356)</f>
        <v>1356</v>
      </c>
      <c r="Q130" s="1">
        <f ca="1">IFERROR(__xludf.DUMMYFUNCTION("""COMPUTED_VALUE"""),912)</f>
        <v>912</v>
      </c>
      <c r="R130" s="1">
        <f ca="1">IFERROR(__xludf.DUMMYFUNCTION("""COMPUTED_VALUE"""),1965)</f>
        <v>1965</v>
      </c>
      <c r="S130" s="1">
        <f ca="1">IFERROR(__xludf.DUMMYFUNCTION("""COMPUTED_VALUE"""),0.464)</f>
        <v>0.46400000000000002</v>
      </c>
      <c r="T130" s="1">
        <f ca="1">IFERROR(__xludf.DUMMYFUNCTION("""COMPUTED_VALUE"""),199)</f>
        <v>199</v>
      </c>
      <c r="U130" s="1">
        <f ca="1">IFERROR(__xludf.DUMMYFUNCTION("""COMPUTED_VALUE"""),551)</f>
        <v>551</v>
      </c>
      <c r="V130" s="1">
        <f ca="1">IFERROR(__xludf.DUMMYFUNCTION("""COMPUTED_VALUE"""),0.361)</f>
        <v>0.36099999999999999</v>
      </c>
      <c r="W130" s="1">
        <f ca="1">IFERROR(__xludf.DUMMYFUNCTION("""COMPUTED_VALUE"""),555)</f>
        <v>555</v>
      </c>
      <c r="X130" s="1">
        <f ca="1">IFERROR(__xludf.DUMMYFUNCTION("""COMPUTED_VALUE"""),782)</f>
        <v>782</v>
      </c>
      <c r="Y130" s="1">
        <f ca="1">IFERROR(__xludf.DUMMYFUNCTION("""COMPUTED_VALUE"""),0.71)</f>
        <v>0.71</v>
      </c>
      <c r="Z130" s="1">
        <f ca="1">IFERROR(__xludf.DUMMYFUNCTION("""COMPUTED_VALUE"""),400)</f>
        <v>400</v>
      </c>
      <c r="AA130" s="1">
        <f ca="1">IFERROR(__xludf.DUMMYFUNCTION("""COMPUTED_VALUE"""),1178)</f>
        <v>1178</v>
      </c>
      <c r="AB130" s="1">
        <f ca="1">IFERROR(__xludf.DUMMYFUNCTION("""COMPUTED_VALUE"""),500)</f>
        <v>500</v>
      </c>
      <c r="AC130" s="1">
        <f ca="1">IFERROR(__xludf.DUMMYFUNCTION("""COMPUTED_VALUE"""),221)</f>
        <v>221</v>
      </c>
      <c r="AD130" s="1">
        <f ca="1">IFERROR(__xludf.DUMMYFUNCTION("""COMPUTED_VALUE"""),127)</f>
        <v>127</v>
      </c>
      <c r="AE130" s="1">
        <f ca="1">IFERROR(__xludf.DUMMYFUNCTION("""COMPUTED_VALUE"""),433)</f>
        <v>433</v>
      </c>
      <c r="AF130" s="1">
        <f ca="1">IFERROR(__xludf.DUMMYFUNCTION("""COMPUTED_VALUE"""),599)</f>
        <v>599</v>
      </c>
    </row>
    <row r="131" spans="1:32" ht="12.5" x14ac:dyDescent="0.25">
      <c r="A131" s="1" t="str">
        <f ca="1">IFERROR(__xludf.DUMMYFUNCTION("""COMPUTED_VALUE"""),"Howard")</f>
        <v>Howard</v>
      </c>
      <c r="B131" s="1">
        <f ca="1">IFERROR(__xludf.DUMMYFUNCTION("""COMPUTED_VALUE"""),31)</f>
        <v>31</v>
      </c>
      <c r="C131" s="1">
        <f ca="1">IFERROR(__xludf.DUMMYFUNCTION("""COMPUTED_VALUE"""),7)</f>
        <v>7</v>
      </c>
      <c r="D131" s="1">
        <f ca="1">IFERROR(__xludf.DUMMYFUNCTION("""COMPUTED_VALUE"""),24)</f>
        <v>24</v>
      </c>
      <c r="E131" s="1">
        <f ca="1">IFERROR(__xludf.DUMMYFUNCTION("""COMPUTED_VALUE"""),0.226)</f>
        <v>0.22600000000000001</v>
      </c>
      <c r="F131" s="1">
        <f ca="1">IFERROR(__xludf.DUMMYFUNCTION("""COMPUTED_VALUE"""),-14.42)</f>
        <v>-14.42</v>
      </c>
      <c r="G131" s="1">
        <f ca="1">IFERROR(__xludf.DUMMYFUNCTION("""COMPUTED_VALUE"""),-5.35)</f>
        <v>-5.35</v>
      </c>
      <c r="H131" s="1">
        <f ca="1">IFERROR(__xludf.DUMMYFUNCTION("""COMPUTED_VALUE"""),4)</f>
        <v>4</v>
      </c>
      <c r="I131" s="1">
        <f ca="1">IFERROR(__xludf.DUMMYFUNCTION("""COMPUTED_VALUE"""),12)</f>
        <v>12</v>
      </c>
      <c r="J131" s="1">
        <f ca="1">IFERROR(__xludf.DUMMYFUNCTION("""COMPUTED_VALUE"""),5)</f>
        <v>5</v>
      </c>
      <c r="K131" s="1">
        <f ca="1">IFERROR(__xludf.DUMMYFUNCTION("""COMPUTED_VALUE"""),7)</f>
        <v>7</v>
      </c>
      <c r="L131" s="1">
        <f ca="1">IFERROR(__xludf.DUMMYFUNCTION("""COMPUTED_VALUE"""),2)</f>
        <v>2</v>
      </c>
      <c r="M131" s="1">
        <f ca="1">IFERROR(__xludf.DUMMYFUNCTION("""COMPUTED_VALUE"""),13)</f>
        <v>13</v>
      </c>
      <c r="N131" s="1">
        <f ca="1">IFERROR(__xludf.DUMMYFUNCTION("""COMPUTED_VALUE"""),1615)</f>
        <v>1615</v>
      </c>
      <c r="O131" s="1">
        <f ca="1">IFERROR(__xludf.DUMMYFUNCTION("""COMPUTED_VALUE"""),1868)</f>
        <v>1868</v>
      </c>
      <c r="P131" s="1">
        <f ca="1">IFERROR(__xludf.DUMMYFUNCTION("""COMPUTED_VALUE"""),1240)</f>
        <v>1240</v>
      </c>
      <c r="Q131" s="1">
        <f ca="1">IFERROR(__xludf.DUMMYFUNCTION("""COMPUTED_VALUE"""),572)</f>
        <v>572</v>
      </c>
      <c r="R131" s="1">
        <f ca="1">IFERROR(__xludf.DUMMYFUNCTION("""COMPUTED_VALUE"""),1567)</f>
        <v>1567</v>
      </c>
      <c r="S131" s="1">
        <f ca="1">IFERROR(__xludf.DUMMYFUNCTION("""COMPUTED_VALUE"""),0.365)</f>
        <v>0.36499999999999999</v>
      </c>
      <c r="T131" s="1">
        <f ca="1">IFERROR(__xludf.DUMMYFUNCTION("""COMPUTED_VALUE"""),101)</f>
        <v>101</v>
      </c>
      <c r="U131" s="1">
        <f ca="1">IFERROR(__xludf.DUMMYFUNCTION("""COMPUTED_VALUE"""),408)</f>
        <v>408</v>
      </c>
      <c r="V131" s="1">
        <f ca="1">IFERROR(__xludf.DUMMYFUNCTION("""COMPUTED_VALUE"""),0.248)</f>
        <v>0.248</v>
      </c>
      <c r="W131" s="1">
        <f ca="1">IFERROR(__xludf.DUMMYFUNCTION("""COMPUTED_VALUE"""),370)</f>
        <v>370</v>
      </c>
      <c r="X131" s="1">
        <f ca="1">IFERROR(__xludf.DUMMYFUNCTION("""COMPUTED_VALUE"""),558)</f>
        <v>558</v>
      </c>
      <c r="Y131" s="1">
        <f ca="1">IFERROR(__xludf.DUMMYFUNCTION("""COMPUTED_VALUE"""),0.663)</f>
        <v>0.66300000000000003</v>
      </c>
      <c r="Z131" s="1">
        <f ca="1">IFERROR(__xludf.DUMMYFUNCTION("""COMPUTED_VALUE"""),381)</f>
        <v>381</v>
      </c>
      <c r="AA131" s="1">
        <f ca="1">IFERROR(__xludf.DUMMYFUNCTION("""COMPUTED_VALUE"""),938)</f>
        <v>938</v>
      </c>
      <c r="AB131" s="1">
        <f ca="1">IFERROR(__xludf.DUMMYFUNCTION("""COMPUTED_VALUE"""),275)</f>
        <v>275</v>
      </c>
      <c r="AC131" s="1">
        <f ca="1">IFERROR(__xludf.DUMMYFUNCTION("""COMPUTED_VALUE"""),196)</f>
        <v>196</v>
      </c>
      <c r="AD131" s="1">
        <f ca="1">IFERROR(__xludf.DUMMYFUNCTION("""COMPUTED_VALUE"""),102)</f>
        <v>102</v>
      </c>
      <c r="AE131" s="1">
        <f ca="1">IFERROR(__xludf.DUMMYFUNCTION("""COMPUTED_VALUE"""),461)</f>
        <v>461</v>
      </c>
      <c r="AF131" s="1">
        <f ca="1">IFERROR(__xludf.DUMMYFUNCTION("""COMPUTED_VALUE"""),538)</f>
        <v>538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IFERROR(__xludf.DUMMYFUNCTION("""COMPUTED_VALUE"""),"Idaho State")</f>
        <v>Idaho State</v>
      </c>
      <c r="B134" s="1">
        <f ca="1">IFERROR(__xludf.DUMMYFUNCTION("""COMPUTED_VALUE"""),30)</f>
        <v>30</v>
      </c>
      <c r="C134" s="1">
        <f ca="1">IFERROR(__xludf.DUMMYFUNCTION("""COMPUTED_VALUE"""),6)</f>
        <v>6</v>
      </c>
      <c r="D134" s="1">
        <f ca="1">IFERROR(__xludf.DUMMYFUNCTION("""COMPUTED_VALUE"""),24)</f>
        <v>24</v>
      </c>
      <c r="E134" s="1">
        <f ca="1">IFERROR(__xludf.DUMMYFUNCTION("""COMPUTED_VALUE"""),0.2)</f>
        <v>0.2</v>
      </c>
      <c r="F134" s="1">
        <f ca="1">IFERROR(__xludf.DUMMYFUNCTION("""COMPUTED_VALUE"""),-12.98)</f>
        <v>-12.98</v>
      </c>
      <c r="G134" s="1">
        <f ca="1">IFERROR(__xludf.DUMMYFUNCTION("""COMPUTED_VALUE"""),-4.85)</f>
        <v>-4.8499999999999996</v>
      </c>
      <c r="H134" s="1">
        <f ca="1">IFERROR(__xludf.DUMMYFUNCTION("""COMPUTED_VALUE"""),5)</f>
        <v>5</v>
      </c>
      <c r="I134" s="1">
        <f ca="1">IFERROR(__xludf.DUMMYFUNCTION("""COMPUTED_VALUE"""),15)</f>
        <v>15</v>
      </c>
      <c r="J134" s="1">
        <f ca="1">IFERROR(__xludf.DUMMYFUNCTION("""COMPUTED_VALUE"""),5)</f>
        <v>5</v>
      </c>
      <c r="K134" s="1">
        <f ca="1">IFERROR(__xludf.DUMMYFUNCTION("""COMPUTED_VALUE"""),7)</f>
        <v>7</v>
      </c>
      <c r="L134" s="1">
        <f ca="1">IFERROR(__xludf.DUMMYFUNCTION("""COMPUTED_VALUE"""),1)</f>
        <v>1</v>
      </c>
      <c r="M134" s="1">
        <f ca="1">IFERROR(__xludf.DUMMYFUNCTION("""COMPUTED_VALUE"""),14)</f>
        <v>14</v>
      </c>
      <c r="N134" s="1">
        <f ca="1">IFERROR(__xludf.DUMMYFUNCTION("""COMPUTED_VALUE"""),1710)</f>
        <v>1710</v>
      </c>
      <c r="O134" s="1">
        <f ca="1">IFERROR(__xludf.DUMMYFUNCTION("""COMPUTED_VALUE"""),1928)</f>
        <v>1928</v>
      </c>
      <c r="P134" s="1">
        <f ca="1">IFERROR(__xludf.DUMMYFUNCTION("""COMPUTED_VALUE"""),1210)</f>
        <v>1210</v>
      </c>
      <c r="Q134" s="1">
        <f ca="1">IFERROR(__xludf.DUMMYFUNCTION("""COMPUTED_VALUE"""),587)</f>
        <v>587</v>
      </c>
      <c r="R134" s="1">
        <f ca="1">IFERROR(__xludf.DUMMYFUNCTION("""COMPUTED_VALUE"""),1444)</f>
        <v>1444</v>
      </c>
      <c r="S134" s="1">
        <f ca="1">IFERROR(__xludf.DUMMYFUNCTION("""COMPUTED_VALUE"""),0.407)</f>
        <v>0.40699999999999997</v>
      </c>
      <c r="T134" s="1">
        <f ca="1">IFERROR(__xludf.DUMMYFUNCTION("""COMPUTED_VALUE"""),163)</f>
        <v>163</v>
      </c>
      <c r="U134" s="1">
        <f ca="1">IFERROR(__xludf.DUMMYFUNCTION("""COMPUTED_VALUE"""),515)</f>
        <v>515</v>
      </c>
      <c r="V134" s="1">
        <f ca="1">IFERROR(__xludf.DUMMYFUNCTION("""COMPUTED_VALUE"""),0.317)</f>
        <v>0.317</v>
      </c>
      <c r="W134" s="1">
        <f ca="1">IFERROR(__xludf.DUMMYFUNCTION("""COMPUTED_VALUE"""),373)</f>
        <v>373</v>
      </c>
      <c r="X134" s="1">
        <f ca="1">IFERROR(__xludf.DUMMYFUNCTION("""COMPUTED_VALUE"""),548)</f>
        <v>548</v>
      </c>
      <c r="Y134" s="1">
        <f ca="1">IFERROR(__xludf.DUMMYFUNCTION("""COMPUTED_VALUE"""),0.681)</f>
        <v>0.68100000000000005</v>
      </c>
      <c r="Z134" s="1">
        <f ca="1">IFERROR(__xludf.DUMMYFUNCTION("""COMPUTED_VALUE"""),237)</f>
        <v>237</v>
      </c>
      <c r="AA134" s="1">
        <f ca="1">IFERROR(__xludf.DUMMYFUNCTION("""COMPUTED_VALUE"""),765)</f>
        <v>765</v>
      </c>
      <c r="AB134" s="1">
        <f ca="1">IFERROR(__xludf.DUMMYFUNCTION("""COMPUTED_VALUE"""),307)</f>
        <v>307</v>
      </c>
      <c r="AC134" s="1">
        <f ca="1">IFERROR(__xludf.DUMMYFUNCTION("""COMPUTED_VALUE"""),209)</f>
        <v>209</v>
      </c>
      <c r="AD134" s="1">
        <f ca="1">IFERROR(__xludf.DUMMYFUNCTION("""COMPUTED_VALUE"""),100)</f>
        <v>100</v>
      </c>
      <c r="AE134" s="1">
        <f ca="1">IFERROR(__xludf.DUMMYFUNCTION("""COMPUTED_VALUE"""),361)</f>
        <v>361</v>
      </c>
      <c r="AF134" s="1">
        <f ca="1">IFERROR(__xludf.DUMMYFUNCTION("""COMPUTED_VALUE"""),473)</f>
        <v>473</v>
      </c>
    </row>
    <row r="135" spans="1:32" ht="12.5" x14ac:dyDescent="0.25">
      <c r="A135" s="1" t="str">
        <f ca="1">IFERROR(__xludf.DUMMYFUNCTION("""COMPUTED_VALUE"""),"Idaho")</f>
        <v>Idaho</v>
      </c>
      <c r="B135" s="1">
        <f ca="1">IFERROR(__xludf.DUMMYFUNCTION("""COMPUTED_VALUE"""),30)</f>
        <v>30</v>
      </c>
      <c r="C135" s="1">
        <f ca="1">IFERROR(__xludf.DUMMYFUNCTION("""COMPUTED_VALUE"""),12)</f>
        <v>12</v>
      </c>
      <c r="D135" s="1">
        <f ca="1">IFERROR(__xludf.DUMMYFUNCTION("""COMPUTED_VALUE"""),18)</f>
        <v>18</v>
      </c>
      <c r="E135" s="1">
        <f ca="1">IFERROR(__xludf.DUMMYFUNCTION("""COMPUTED_VALUE"""),0.4)</f>
        <v>0.4</v>
      </c>
      <c r="F135" s="1">
        <f ca="1">IFERROR(__xludf.DUMMYFUNCTION("""COMPUTED_VALUE"""),-2.19)</f>
        <v>-2.19</v>
      </c>
      <c r="G135" s="1">
        <f ca="1">IFERROR(__xludf.DUMMYFUNCTION("""COMPUTED_VALUE"""),0.33)</f>
        <v>0.33</v>
      </c>
      <c r="H135" s="1">
        <f ca="1">IFERROR(__xludf.DUMMYFUNCTION("""COMPUTED_VALUE"""),7)</f>
        <v>7</v>
      </c>
      <c r="I135" s="1">
        <f ca="1">IFERROR(__xludf.DUMMYFUNCTION("""COMPUTED_VALUE"""),11)</f>
        <v>11</v>
      </c>
      <c r="J135" s="1">
        <f ca="1">IFERROR(__xludf.DUMMYFUNCTION("""COMPUTED_VALUE"""),6)</f>
        <v>6</v>
      </c>
      <c r="K135" s="1">
        <f ca="1">IFERROR(__xludf.DUMMYFUNCTION("""COMPUTED_VALUE"""),8)</f>
        <v>8</v>
      </c>
      <c r="L135" s="1">
        <f ca="1">IFERROR(__xludf.DUMMYFUNCTION("""COMPUTED_VALUE"""),6)</f>
        <v>6</v>
      </c>
      <c r="M135" s="1">
        <f ca="1">IFERROR(__xludf.DUMMYFUNCTION("""COMPUTED_VALUE"""),8)</f>
        <v>8</v>
      </c>
      <c r="N135" s="1">
        <f ca="1">IFERROR(__xludf.DUMMYFUNCTION("""COMPUTED_VALUE"""),2050)</f>
        <v>2050</v>
      </c>
      <c r="O135" s="1">
        <f ca="1">IFERROR(__xludf.DUMMYFUNCTION("""COMPUTED_VALUE"""),2079)</f>
        <v>2079</v>
      </c>
      <c r="P135" s="1">
        <f ca="1">IFERROR(__xludf.DUMMYFUNCTION("""COMPUTED_VALUE"""),1210)</f>
        <v>1210</v>
      </c>
      <c r="Q135" s="1">
        <f ca="1">IFERROR(__xludf.DUMMYFUNCTION("""COMPUTED_VALUE"""),715)</f>
        <v>715</v>
      </c>
      <c r="R135" s="1">
        <f ca="1">IFERROR(__xludf.DUMMYFUNCTION("""COMPUTED_VALUE"""),1532)</f>
        <v>1532</v>
      </c>
      <c r="S135" s="1">
        <f ca="1">IFERROR(__xludf.DUMMYFUNCTION("""COMPUTED_VALUE"""),0.467)</f>
        <v>0.46700000000000003</v>
      </c>
      <c r="T135" s="1">
        <f ca="1">IFERROR(__xludf.DUMMYFUNCTION("""COMPUTED_VALUE"""),192)</f>
        <v>192</v>
      </c>
      <c r="U135" s="1">
        <f ca="1">IFERROR(__xludf.DUMMYFUNCTION("""COMPUTED_VALUE"""),522)</f>
        <v>522</v>
      </c>
      <c r="V135" s="1">
        <f ca="1">IFERROR(__xludf.DUMMYFUNCTION("""COMPUTED_VALUE"""),0.368)</f>
        <v>0.36799999999999999</v>
      </c>
      <c r="W135" s="1">
        <f ca="1">IFERROR(__xludf.DUMMYFUNCTION("""COMPUTED_VALUE"""),428)</f>
        <v>428</v>
      </c>
      <c r="X135" s="1">
        <f ca="1">IFERROR(__xludf.DUMMYFUNCTION("""COMPUTED_VALUE"""),576)</f>
        <v>576</v>
      </c>
      <c r="Y135" s="1">
        <f ca="1">IFERROR(__xludf.DUMMYFUNCTION("""COMPUTED_VALUE"""),0.743)</f>
        <v>0.74299999999999999</v>
      </c>
      <c r="Z135" s="1">
        <f ca="1">IFERROR(__xludf.DUMMYFUNCTION("""COMPUTED_VALUE"""),294)</f>
        <v>294</v>
      </c>
      <c r="AA135" s="1">
        <f ca="1">IFERROR(__xludf.DUMMYFUNCTION("""COMPUTED_VALUE"""),941)</f>
        <v>941</v>
      </c>
      <c r="AB135" s="1">
        <f ca="1">IFERROR(__xludf.DUMMYFUNCTION("""COMPUTED_VALUE"""),394)</f>
        <v>394</v>
      </c>
      <c r="AC135" s="1">
        <f ca="1">IFERROR(__xludf.DUMMYFUNCTION("""COMPUTED_VALUE"""),123)</f>
        <v>123</v>
      </c>
      <c r="AD135" s="1">
        <f ca="1">IFERROR(__xludf.DUMMYFUNCTION("""COMPUTED_VALUE"""),85)</f>
        <v>85</v>
      </c>
      <c r="AE135" s="1">
        <f ca="1">IFERROR(__xludf.DUMMYFUNCTION("""COMPUTED_VALUE"""),404)</f>
        <v>404</v>
      </c>
      <c r="AF135" s="1">
        <f ca="1">IFERROR(__xludf.DUMMYFUNCTION("""COMPUTED_VALUE"""),499)</f>
        <v>499</v>
      </c>
    </row>
    <row r="136" spans="1:32" ht="12.5" x14ac:dyDescent="0.25">
      <c r="A136" s="1" t="str">
        <f ca="1">IFERROR(__xludf.DUMMYFUNCTION("""COMPUTED_VALUE"""),"Illinois-Chicago")</f>
        <v>Illinois-Chicago</v>
      </c>
      <c r="B136" s="1">
        <f ca="1">IFERROR(__xludf.DUMMYFUNCTION("""COMPUTED_VALUE"""),34)</f>
        <v>34</v>
      </c>
      <c r="C136" s="1">
        <f ca="1">IFERROR(__xludf.DUMMYFUNCTION("""COMPUTED_VALUE"""),18)</f>
        <v>18</v>
      </c>
      <c r="D136" s="1">
        <f ca="1">IFERROR(__xludf.DUMMYFUNCTION("""COMPUTED_VALUE"""),16)</f>
        <v>16</v>
      </c>
      <c r="E136" s="1">
        <f ca="1">IFERROR(__xludf.DUMMYFUNCTION("""COMPUTED_VALUE"""),0.529)</f>
        <v>0.52900000000000003</v>
      </c>
      <c r="F136" s="1">
        <f ca="1">IFERROR(__xludf.DUMMYFUNCTION("""COMPUTED_VALUE"""),-1.78)</f>
        <v>-1.78</v>
      </c>
      <c r="G136" s="1">
        <f ca="1">IFERROR(__xludf.DUMMYFUNCTION("""COMPUTED_VALUE"""),-0.69)</f>
        <v>-0.69</v>
      </c>
      <c r="H136" s="1">
        <f ca="1">IFERROR(__xludf.DUMMYFUNCTION("""COMPUTED_VALUE"""),7)</f>
        <v>7</v>
      </c>
      <c r="I136" s="1">
        <f ca="1">IFERROR(__xludf.DUMMYFUNCTION("""COMPUTED_VALUE"""),9)</f>
        <v>9</v>
      </c>
      <c r="J136" s="1">
        <f ca="1">IFERROR(__xludf.DUMMYFUNCTION("""COMPUTED_VALUE"""),12)</f>
        <v>12</v>
      </c>
      <c r="K136" s="1">
        <f ca="1">IFERROR(__xludf.DUMMYFUNCTION("""COMPUTED_VALUE"""),4)</f>
        <v>4</v>
      </c>
      <c r="L136" s="1">
        <f ca="1">IFERROR(__xludf.DUMMYFUNCTION("""COMPUTED_VALUE"""),4)</f>
        <v>4</v>
      </c>
      <c r="M136" s="1">
        <f ca="1">IFERROR(__xludf.DUMMYFUNCTION("""COMPUTED_VALUE"""),10)</f>
        <v>10</v>
      </c>
      <c r="N136" s="1">
        <f ca="1">IFERROR(__xludf.DUMMYFUNCTION("""COMPUTED_VALUE"""),2136)</f>
        <v>2136</v>
      </c>
      <c r="O136" s="1">
        <f ca="1">IFERROR(__xludf.DUMMYFUNCTION("""COMPUTED_VALUE"""),2134)</f>
        <v>2134</v>
      </c>
      <c r="P136" s="1">
        <f ca="1">IFERROR(__xludf.DUMMYFUNCTION("""COMPUTED_VALUE"""),1375)</f>
        <v>1375</v>
      </c>
      <c r="Q136" s="1">
        <f ca="1">IFERROR(__xludf.DUMMYFUNCTION("""COMPUTED_VALUE"""),720)</f>
        <v>720</v>
      </c>
      <c r="R136" s="1">
        <f ca="1">IFERROR(__xludf.DUMMYFUNCTION("""COMPUTED_VALUE"""),1797)</f>
        <v>1797</v>
      </c>
      <c r="S136" s="1">
        <f ca="1">IFERROR(__xludf.DUMMYFUNCTION("""COMPUTED_VALUE"""),0.401)</f>
        <v>0.40100000000000002</v>
      </c>
      <c r="T136" s="1">
        <f ca="1">IFERROR(__xludf.DUMMYFUNCTION("""COMPUTED_VALUE"""),222)</f>
        <v>222</v>
      </c>
      <c r="U136" s="1">
        <f ca="1">IFERROR(__xludf.DUMMYFUNCTION("""COMPUTED_VALUE"""),656)</f>
        <v>656</v>
      </c>
      <c r="V136" s="1">
        <f ca="1">IFERROR(__xludf.DUMMYFUNCTION("""COMPUTED_VALUE"""),0.338)</f>
        <v>0.33800000000000002</v>
      </c>
      <c r="W136" s="1">
        <f ca="1">IFERROR(__xludf.DUMMYFUNCTION("""COMPUTED_VALUE"""),474)</f>
        <v>474</v>
      </c>
      <c r="X136" s="1">
        <f ca="1">IFERROR(__xludf.DUMMYFUNCTION("""COMPUTED_VALUE"""),630)</f>
        <v>630</v>
      </c>
      <c r="Y136" s="1">
        <f ca="1">IFERROR(__xludf.DUMMYFUNCTION("""COMPUTED_VALUE"""),0.752)</f>
        <v>0.752</v>
      </c>
      <c r="Z136" s="1">
        <f ca="1">IFERROR(__xludf.DUMMYFUNCTION("""COMPUTED_VALUE"""),329)</f>
        <v>329</v>
      </c>
      <c r="AA136" s="1">
        <f ca="1">IFERROR(__xludf.DUMMYFUNCTION("""COMPUTED_VALUE"""),1008)</f>
        <v>1008</v>
      </c>
      <c r="AB136" s="1">
        <f ca="1">IFERROR(__xludf.DUMMYFUNCTION("""COMPUTED_VALUE"""),416)</f>
        <v>416</v>
      </c>
      <c r="AC136" s="1">
        <f ca="1">IFERROR(__xludf.DUMMYFUNCTION("""COMPUTED_VALUE"""),222)</f>
        <v>222</v>
      </c>
      <c r="AD136" s="1">
        <f ca="1">IFERROR(__xludf.DUMMYFUNCTION("""COMPUTED_VALUE"""),93)</f>
        <v>93</v>
      </c>
      <c r="AE136" s="1">
        <f ca="1">IFERROR(__xludf.DUMMYFUNCTION("""COMPUTED_VALUE"""),423)</f>
        <v>423</v>
      </c>
      <c r="AF136" s="1">
        <f ca="1">IFERROR(__xludf.DUMMYFUNCTION("""COMPUTED_VALUE"""),573)</f>
        <v>573</v>
      </c>
    </row>
    <row r="137" spans="1:32" ht="12.5" x14ac:dyDescent="0.25">
      <c r="A137" s="1" t="str">
        <f ca="1">IFERROR(__xludf.DUMMYFUNCTION("""COMPUTED_VALUE"""),"Illinois State")</f>
        <v>Illinois State</v>
      </c>
      <c r="B137" s="1">
        <f ca="1">IFERROR(__xludf.DUMMYFUNCTION("""COMPUTED_VALUE"""),33)</f>
        <v>33</v>
      </c>
      <c r="C137" s="1">
        <f ca="1">IFERROR(__xludf.DUMMYFUNCTION("""COMPUTED_VALUE"""),18)</f>
        <v>18</v>
      </c>
      <c r="D137" s="1">
        <f ca="1">IFERROR(__xludf.DUMMYFUNCTION("""COMPUTED_VALUE"""),15)</f>
        <v>15</v>
      </c>
      <c r="E137" s="1">
        <f ca="1">IFERROR(__xludf.DUMMYFUNCTION("""COMPUTED_VALUE"""),0.545)</f>
        <v>0.54500000000000004</v>
      </c>
      <c r="F137" s="1">
        <f ca="1">IFERROR(__xludf.DUMMYFUNCTION("""COMPUTED_VALUE"""),9.63)</f>
        <v>9.6300000000000008</v>
      </c>
      <c r="G137" s="1">
        <f ca="1">IFERROR(__xludf.DUMMYFUNCTION("""COMPUTED_VALUE"""),3.72)</f>
        <v>3.72</v>
      </c>
      <c r="H137" s="1">
        <f ca="1">IFERROR(__xludf.DUMMYFUNCTION("""COMPUTED_VALUE"""),8)</f>
        <v>8</v>
      </c>
      <c r="I137" s="1">
        <f ca="1">IFERROR(__xludf.DUMMYFUNCTION("""COMPUTED_VALUE"""),10)</f>
        <v>10</v>
      </c>
      <c r="J137" s="1">
        <f ca="1">IFERROR(__xludf.DUMMYFUNCTION("""COMPUTED_VALUE"""),11)</f>
        <v>11</v>
      </c>
      <c r="K137" s="1">
        <f ca="1">IFERROR(__xludf.DUMMYFUNCTION("""COMPUTED_VALUE"""),5)</f>
        <v>5</v>
      </c>
      <c r="L137" s="1">
        <f ca="1">IFERROR(__xludf.DUMMYFUNCTION("""COMPUTED_VALUE"""),5)</f>
        <v>5</v>
      </c>
      <c r="M137" s="1">
        <f ca="1">IFERROR(__xludf.DUMMYFUNCTION("""COMPUTED_VALUE"""),8)</f>
        <v>8</v>
      </c>
      <c r="N137" s="1">
        <f ca="1">IFERROR(__xludf.DUMMYFUNCTION("""COMPUTED_VALUE"""),2460)</f>
        <v>2460</v>
      </c>
      <c r="O137" s="1">
        <f ca="1">IFERROR(__xludf.DUMMYFUNCTION("""COMPUTED_VALUE"""),2265)</f>
        <v>2265</v>
      </c>
      <c r="P137" s="1">
        <f ca="1">IFERROR(__xludf.DUMMYFUNCTION("""COMPUTED_VALUE"""),1330)</f>
        <v>1330</v>
      </c>
      <c r="Q137" s="1">
        <f ca="1">IFERROR(__xludf.DUMMYFUNCTION("""COMPUTED_VALUE"""),871)</f>
        <v>871</v>
      </c>
      <c r="R137" s="1">
        <f ca="1">IFERROR(__xludf.DUMMYFUNCTION("""COMPUTED_VALUE"""),1914)</f>
        <v>1914</v>
      </c>
      <c r="S137" s="1">
        <f ca="1">IFERROR(__xludf.DUMMYFUNCTION("""COMPUTED_VALUE"""),0.455)</f>
        <v>0.45500000000000002</v>
      </c>
      <c r="T137" s="1">
        <f ca="1">IFERROR(__xludf.DUMMYFUNCTION("""COMPUTED_VALUE"""),242)</f>
        <v>242</v>
      </c>
      <c r="U137" s="1">
        <f ca="1">IFERROR(__xludf.DUMMYFUNCTION("""COMPUTED_VALUE"""),697)</f>
        <v>697</v>
      </c>
      <c r="V137" s="1">
        <f ca="1">IFERROR(__xludf.DUMMYFUNCTION("""COMPUTED_VALUE"""),0.347)</f>
        <v>0.34699999999999998</v>
      </c>
      <c r="W137" s="1">
        <f ca="1">IFERROR(__xludf.DUMMYFUNCTION("""COMPUTED_VALUE"""),476)</f>
        <v>476</v>
      </c>
      <c r="X137" s="1">
        <f ca="1">IFERROR(__xludf.DUMMYFUNCTION("""COMPUTED_VALUE"""),658)</f>
        <v>658</v>
      </c>
      <c r="Y137" s="1">
        <f ca="1">IFERROR(__xludf.DUMMYFUNCTION("""COMPUTED_VALUE"""),0.723)</f>
        <v>0.72299999999999998</v>
      </c>
      <c r="Z137" s="1">
        <f ca="1">IFERROR(__xludf.DUMMYFUNCTION("""COMPUTED_VALUE"""),342)</f>
        <v>342</v>
      </c>
      <c r="AA137" s="1">
        <f ca="1">IFERROR(__xludf.DUMMYFUNCTION("""COMPUTED_VALUE"""),1073)</f>
        <v>1073</v>
      </c>
      <c r="AB137" s="1">
        <f ca="1">IFERROR(__xludf.DUMMYFUNCTION("""COMPUTED_VALUE"""),490)</f>
        <v>490</v>
      </c>
      <c r="AC137" s="1">
        <f ca="1">IFERROR(__xludf.DUMMYFUNCTION("""COMPUTED_VALUE"""),239)</f>
        <v>239</v>
      </c>
      <c r="AD137" s="1">
        <f ca="1">IFERROR(__xludf.DUMMYFUNCTION("""COMPUTED_VALUE"""),144)</f>
        <v>144</v>
      </c>
      <c r="AE137" s="1">
        <f ca="1">IFERROR(__xludf.DUMMYFUNCTION("""COMPUTED_VALUE"""),431)</f>
        <v>431</v>
      </c>
      <c r="AF137" s="1">
        <f ca="1">IFERROR(__xludf.DUMMYFUNCTION("""COMPUTED_VALUE"""),599)</f>
        <v>599</v>
      </c>
    </row>
    <row r="138" spans="1:32" ht="12.5" x14ac:dyDescent="0.25">
      <c r="A138" s="1" t="str">
        <f ca="1">IFERROR(__xludf.DUMMYFUNCTION("""COMPUTED_VALUE"""),"IllinoisNCAA")</f>
        <v>IllinoisNCAA</v>
      </c>
      <c r="B138" s="1">
        <f ca="1">IFERROR(__xludf.DUMMYFUNCTION("""COMPUTED_VALUE"""),36)</f>
        <v>36</v>
      </c>
      <c r="C138" s="1">
        <f ca="1">IFERROR(__xludf.DUMMYFUNCTION("""COMPUTED_VALUE"""),23)</f>
        <v>23</v>
      </c>
      <c r="D138" s="1">
        <f ca="1">IFERROR(__xludf.DUMMYFUNCTION("""COMPUTED_VALUE"""),13)</f>
        <v>13</v>
      </c>
      <c r="E138" s="1">
        <f ca="1">IFERROR(__xludf.DUMMYFUNCTION("""COMPUTED_VALUE"""),0.639)</f>
        <v>0.63900000000000001</v>
      </c>
      <c r="F138" s="1">
        <f ca="1">IFERROR(__xludf.DUMMYFUNCTION("""COMPUTED_VALUE"""),13.23)</f>
        <v>13.23</v>
      </c>
      <c r="G138" s="1">
        <f ca="1">IFERROR(__xludf.DUMMYFUNCTION("""COMPUTED_VALUE"""),10.08)</f>
        <v>10.08</v>
      </c>
      <c r="H138" s="1">
        <f ca="1">IFERROR(__xludf.DUMMYFUNCTION("""COMPUTED_VALUE"""),8)</f>
        <v>8</v>
      </c>
      <c r="I138" s="1">
        <f ca="1">IFERROR(__xludf.DUMMYFUNCTION("""COMPUTED_VALUE"""),10)</f>
        <v>10</v>
      </c>
      <c r="J138" s="1">
        <f ca="1">IFERROR(__xludf.DUMMYFUNCTION("""COMPUTED_VALUE"""),12)</f>
        <v>12</v>
      </c>
      <c r="K138" s="1">
        <f ca="1">IFERROR(__xludf.DUMMYFUNCTION("""COMPUTED_VALUE"""),4)</f>
        <v>4</v>
      </c>
      <c r="L138" s="1">
        <f ca="1">IFERROR(__xludf.DUMMYFUNCTION("""COMPUTED_VALUE"""),6)</f>
        <v>6</v>
      </c>
      <c r="M138" s="1">
        <f ca="1">IFERROR(__xludf.DUMMYFUNCTION("""COMPUTED_VALUE"""),6)</f>
        <v>6</v>
      </c>
      <c r="N138" s="1">
        <f ca="1">IFERROR(__xludf.DUMMYFUNCTION("""COMPUTED_VALUE"""),2465)</f>
        <v>2465</v>
      </c>
      <c r="O138" s="1">
        <f ca="1">IFERROR(__xludf.DUMMYFUNCTION("""COMPUTED_VALUE"""),2332)</f>
        <v>2332</v>
      </c>
      <c r="P138" s="1">
        <f ca="1">IFERROR(__xludf.DUMMYFUNCTION("""COMPUTED_VALUE"""),1445)</f>
        <v>1445</v>
      </c>
      <c r="Q138" s="1">
        <f ca="1">IFERROR(__xludf.DUMMYFUNCTION("""COMPUTED_VALUE"""),858)</f>
        <v>858</v>
      </c>
      <c r="R138" s="1">
        <f ca="1">IFERROR(__xludf.DUMMYFUNCTION("""COMPUTED_VALUE"""),2084)</f>
        <v>2084</v>
      </c>
      <c r="S138" s="1">
        <f ca="1">IFERROR(__xludf.DUMMYFUNCTION("""COMPUTED_VALUE"""),0.412)</f>
        <v>0.41199999999999998</v>
      </c>
      <c r="T138" s="1">
        <f ca="1">IFERROR(__xludf.DUMMYFUNCTION("""COMPUTED_VALUE"""),280)</f>
        <v>280</v>
      </c>
      <c r="U138" s="1">
        <f ca="1">IFERROR(__xludf.DUMMYFUNCTION("""COMPUTED_VALUE"""),873)</f>
        <v>873</v>
      </c>
      <c r="V138" s="1">
        <f ca="1">IFERROR(__xludf.DUMMYFUNCTION("""COMPUTED_VALUE"""),0.321)</f>
        <v>0.32100000000000001</v>
      </c>
      <c r="W138" s="1">
        <f ca="1">IFERROR(__xludf.DUMMYFUNCTION("""COMPUTED_VALUE"""),469)</f>
        <v>469</v>
      </c>
      <c r="X138" s="1">
        <f ca="1">IFERROR(__xludf.DUMMYFUNCTION("""COMPUTED_VALUE"""),646)</f>
        <v>646</v>
      </c>
      <c r="Y138" s="1">
        <f ca="1">IFERROR(__xludf.DUMMYFUNCTION("""COMPUTED_VALUE"""),0.726)</f>
        <v>0.72599999999999998</v>
      </c>
      <c r="Z138" s="1">
        <f ca="1">IFERROR(__xludf.DUMMYFUNCTION("""COMPUTED_VALUE"""),427)</f>
        <v>427</v>
      </c>
      <c r="AA138" s="1">
        <f ca="1">IFERROR(__xludf.DUMMYFUNCTION("""COMPUTED_VALUE"""),1098)</f>
        <v>1098</v>
      </c>
      <c r="AB138" s="1">
        <f ca="1">IFERROR(__xludf.DUMMYFUNCTION("""COMPUTED_VALUE"""),365)</f>
        <v>365</v>
      </c>
      <c r="AC138" s="1">
        <f ca="1">IFERROR(__xludf.DUMMYFUNCTION("""COMPUTED_VALUE"""),245)</f>
        <v>245</v>
      </c>
      <c r="AD138" s="1">
        <f ca="1">IFERROR(__xludf.DUMMYFUNCTION("""COMPUTED_VALUE"""),142)</f>
        <v>142</v>
      </c>
      <c r="AE138" s="1">
        <f ca="1">IFERROR(__xludf.DUMMYFUNCTION("""COMPUTED_VALUE"""),411)</f>
        <v>411</v>
      </c>
      <c r="AF138" s="1">
        <f ca="1">IFERROR(__xludf.DUMMYFUNCTION("""COMPUTED_VALUE"""),648)</f>
        <v>648</v>
      </c>
    </row>
    <row r="139" spans="1:32" ht="12.5" x14ac:dyDescent="0.25">
      <c r="A139" s="1" t="str">
        <f ca="1">IFERROR(__xludf.DUMMYFUNCTION("""COMPUTED_VALUE"""),"Indiana State")</f>
        <v>Indiana State</v>
      </c>
      <c r="B139" s="1">
        <f ca="1">IFERROR(__xludf.DUMMYFUNCTION("""COMPUTED_VALUE"""),33)</f>
        <v>33</v>
      </c>
      <c r="C139" s="1">
        <f ca="1">IFERROR(__xludf.DUMMYFUNCTION("""COMPUTED_VALUE"""),18)</f>
        <v>18</v>
      </c>
      <c r="D139" s="1">
        <f ca="1">IFERROR(__xludf.DUMMYFUNCTION("""COMPUTED_VALUE"""),15)</f>
        <v>15</v>
      </c>
      <c r="E139" s="1">
        <f ca="1">IFERROR(__xludf.DUMMYFUNCTION("""COMPUTED_VALUE"""),0.545)</f>
        <v>0.54500000000000004</v>
      </c>
      <c r="F139" s="1">
        <f ca="1">IFERROR(__xludf.DUMMYFUNCTION("""COMPUTED_VALUE"""),5.08)</f>
        <v>5.08</v>
      </c>
      <c r="G139" s="1">
        <f ca="1">IFERROR(__xludf.DUMMYFUNCTION("""COMPUTED_VALUE"""),5.64)</f>
        <v>5.64</v>
      </c>
      <c r="H139" s="1">
        <f ca="1">IFERROR(__xludf.DUMMYFUNCTION("""COMPUTED_VALUE"""),9)</f>
        <v>9</v>
      </c>
      <c r="I139" s="1">
        <f ca="1">IFERROR(__xludf.DUMMYFUNCTION("""COMPUTED_VALUE"""),9)</f>
        <v>9</v>
      </c>
      <c r="J139" s="1">
        <f ca="1">IFERROR(__xludf.DUMMYFUNCTION("""COMPUTED_VALUE"""),11)</f>
        <v>11</v>
      </c>
      <c r="K139" s="1">
        <f ca="1">IFERROR(__xludf.DUMMYFUNCTION("""COMPUTED_VALUE"""),3)</f>
        <v>3</v>
      </c>
      <c r="L139" s="1">
        <f ca="1">IFERROR(__xludf.DUMMYFUNCTION("""COMPUTED_VALUE"""),4)</f>
        <v>4</v>
      </c>
      <c r="M139" s="1">
        <f ca="1">IFERROR(__xludf.DUMMYFUNCTION("""COMPUTED_VALUE"""),10)</f>
        <v>10</v>
      </c>
      <c r="N139" s="1">
        <f ca="1">IFERROR(__xludf.DUMMYFUNCTION("""COMPUTED_VALUE"""),2159)</f>
        <v>2159</v>
      </c>
      <c r="O139" s="1">
        <f ca="1">IFERROR(__xludf.DUMMYFUNCTION("""COMPUTED_VALUE"""),2164)</f>
        <v>2164</v>
      </c>
      <c r="P139" s="1">
        <f ca="1">IFERROR(__xludf.DUMMYFUNCTION("""COMPUTED_VALUE"""),1340)</f>
        <v>1340</v>
      </c>
      <c r="Q139" s="1">
        <f ca="1">IFERROR(__xludf.DUMMYFUNCTION("""COMPUTED_VALUE"""),733)</f>
        <v>733</v>
      </c>
      <c r="R139" s="1">
        <f ca="1">IFERROR(__xludf.DUMMYFUNCTION("""COMPUTED_VALUE"""),1709)</f>
        <v>1709</v>
      </c>
      <c r="S139" s="1">
        <f ca="1">IFERROR(__xludf.DUMMYFUNCTION("""COMPUTED_VALUE"""),0.429)</f>
        <v>0.42899999999999999</v>
      </c>
      <c r="T139" s="1">
        <f ca="1">IFERROR(__xludf.DUMMYFUNCTION("""COMPUTED_VALUE"""),186)</f>
        <v>186</v>
      </c>
      <c r="U139" s="1">
        <f ca="1">IFERROR(__xludf.DUMMYFUNCTION("""COMPUTED_VALUE"""),579)</f>
        <v>579</v>
      </c>
      <c r="V139" s="1">
        <f ca="1">IFERROR(__xludf.DUMMYFUNCTION("""COMPUTED_VALUE"""),0.321)</f>
        <v>0.32100000000000001</v>
      </c>
      <c r="W139" s="1">
        <f ca="1">IFERROR(__xludf.DUMMYFUNCTION("""COMPUTED_VALUE"""),507)</f>
        <v>507</v>
      </c>
      <c r="X139" s="1">
        <f ca="1">IFERROR(__xludf.DUMMYFUNCTION("""COMPUTED_VALUE"""),717)</f>
        <v>717</v>
      </c>
      <c r="Y139" s="1">
        <f ca="1">IFERROR(__xludf.DUMMYFUNCTION("""COMPUTED_VALUE"""),0.707)</f>
        <v>0.70699999999999996</v>
      </c>
      <c r="Z139" s="1">
        <f ca="1">IFERROR(__xludf.DUMMYFUNCTION("""COMPUTED_VALUE"""),290)</f>
        <v>290</v>
      </c>
      <c r="AA139" s="1">
        <f ca="1">IFERROR(__xludf.DUMMYFUNCTION("""COMPUTED_VALUE"""),1003)</f>
        <v>1003</v>
      </c>
      <c r="AB139" s="1">
        <f ca="1">IFERROR(__xludf.DUMMYFUNCTION("""COMPUTED_VALUE"""),390)</f>
        <v>390</v>
      </c>
      <c r="AC139" s="1">
        <f ca="1">IFERROR(__xludf.DUMMYFUNCTION("""COMPUTED_VALUE"""),185)</f>
        <v>185</v>
      </c>
      <c r="AD139" s="1">
        <f ca="1">IFERROR(__xludf.DUMMYFUNCTION("""COMPUTED_VALUE"""),107)</f>
        <v>107</v>
      </c>
      <c r="AE139" s="1">
        <f ca="1">IFERROR(__xludf.DUMMYFUNCTION("""COMPUTED_VALUE"""),427)</f>
        <v>427</v>
      </c>
      <c r="AF139" s="1">
        <f ca="1">IFERROR(__xludf.DUMMYFUNCTION("""COMPUTED_VALUE"""),583)</f>
        <v>583</v>
      </c>
    </row>
    <row r="140" spans="1:32" ht="12.5" x14ac:dyDescent="0.25">
      <c r="A140" s="1" t="str">
        <f ca="1">IFERROR(__xludf.DUMMYFUNCTION("""COMPUTED_VALUE"""),"IndianaNCAA")</f>
        <v>IndianaNCAA</v>
      </c>
      <c r="B140" s="1">
        <f ca="1">IFERROR(__xludf.DUMMYFUNCTION("""COMPUTED_VALUE"""),36)</f>
        <v>36</v>
      </c>
      <c r="C140" s="1">
        <f ca="1">IFERROR(__xludf.DUMMYFUNCTION("""COMPUTED_VALUE"""),29)</f>
        <v>29</v>
      </c>
      <c r="D140" s="1">
        <f ca="1">IFERROR(__xludf.DUMMYFUNCTION("""COMPUTED_VALUE"""),7)</f>
        <v>7</v>
      </c>
      <c r="E140" s="1">
        <f ca="1">IFERROR(__xludf.DUMMYFUNCTION("""COMPUTED_VALUE"""),0.806)</f>
        <v>0.80600000000000005</v>
      </c>
      <c r="F140" s="1">
        <f ca="1">IFERROR(__xludf.DUMMYFUNCTION("""COMPUTED_VALUE"""),24.9)</f>
        <v>24.9</v>
      </c>
      <c r="G140" s="1">
        <f ca="1">IFERROR(__xludf.DUMMYFUNCTION("""COMPUTED_VALUE"""),8.38)</f>
        <v>8.3800000000000008</v>
      </c>
      <c r="H140" s="1">
        <f ca="1">IFERROR(__xludf.DUMMYFUNCTION("""COMPUTED_VALUE"""),14)</f>
        <v>14</v>
      </c>
      <c r="I140" s="1">
        <f ca="1">IFERROR(__xludf.DUMMYFUNCTION("""COMPUTED_VALUE"""),4)</f>
        <v>4</v>
      </c>
      <c r="J140" s="1">
        <f ca="1">IFERROR(__xludf.DUMMYFUNCTION("""COMPUTED_VALUE"""),17)</f>
        <v>17</v>
      </c>
      <c r="K140" s="1">
        <f ca="1">IFERROR(__xludf.DUMMYFUNCTION("""COMPUTED_VALUE"""),2)</f>
        <v>2</v>
      </c>
      <c r="L140" s="1">
        <f ca="1">IFERROR(__xludf.DUMMYFUNCTION("""COMPUTED_VALUE"""),7)</f>
        <v>7</v>
      </c>
      <c r="M140" s="1">
        <f ca="1">IFERROR(__xludf.DUMMYFUNCTION("""COMPUTED_VALUE"""),2)</f>
        <v>2</v>
      </c>
      <c r="N140" s="1">
        <f ca="1">IFERROR(__xludf.DUMMYFUNCTION("""COMPUTED_VALUE"""),2831)</f>
        <v>2831</v>
      </c>
      <c r="O140" s="1">
        <f ca="1">IFERROR(__xludf.DUMMYFUNCTION("""COMPUTED_VALUE"""),2236)</f>
        <v>2236</v>
      </c>
      <c r="P140" s="1">
        <f ca="1">IFERROR(__xludf.DUMMYFUNCTION("""COMPUTED_VALUE"""),1451)</f>
        <v>1451</v>
      </c>
      <c r="Q140" s="1">
        <f ca="1">IFERROR(__xludf.DUMMYFUNCTION("""COMPUTED_VALUE"""),951)</f>
        <v>951</v>
      </c>
      <c r="R140" s="1">
        <f ca="1">IFERROR(__xludf.DUMMYFUNCTION("""COMPUTED_VALUE"""),1971)</f>
        <v>1971</v>
      </c>
      <c r="S140" s="1">
        <f ca="1">IFERROR(__xludf.DUMMYFUNCTION("""COMPUTED_VALUE"""),0.482)</f>
        <v>0.48199999999999998</v>
      </c>
      <c r="T140" s="1">
        <f ca="1">IFERROR(__xludf.DUMMYFUNCTION("""COMPUTED_VALUE"""),257)</f>
        <v>257</v>
      </c>
      <c r="U140" s="1">
        <f ca="1">IFERROR(__xludf.DUMMYFUNCTION("""COMPUTED_VALUE"""),637)</f>
        <v>637</v>
      </c>
      <c r="V140" s="1">
        <f ca="1">IFERROR(__xludf.DUMMYFUNCTION("""COMPUTED_VALUE"""),0.403)</f>
        <v>0.40300000000000002</v>
      </c>
      <c r="W140" s="1">
        <f ca="1">IFERROR(__xludf.DUMMYFUNCTION("""COMPUTED_VALUE"""),672)</f>
        <v>672</v>
      </c>
      <c r="X140" s="1">
        <f ca="1">IFERROR(__xludf.DUMMYFUNCTION("""COMPUTED_VALUE"""),904)</f>
        <v>904</v>
      </c>
      <c r="Y140" s="1">
        <f ca="1">IFERROR(__xludf.DUMMYFUNCTION("""COMPUTED_VALUE"""),0.743)</f>
        <v>0.74299999999999999</v>
      </c>
      <c r="Z140" s="1">
        <f ca="1">IFERROR(__xludf.DUMMYFUNCTION("""COMPUTED_VALUE"""),439)</f>
        <v>439</v>
      </c>
      <c r="AA140" s="1">
        <f ca="1">IFERROR(__xludf.DUMMYFUNCTION("""COMPUTED_VALUE"""),1270)</f>
        <v>1270</v>
      </c>
      <c r="AB140" s="1">
        <f ca="1">IFERROR(__xludf.DUMMYFUNCTION("""COMPUTED_VALUE"""),514)</f>
        <v>514</v>
      </c>
      <c r="AC140" s="1">
        <f ca="1">IFERROR(__xludf.DUMMYFUNCTION("""COMPUTED_VALUE"""),256)</f>
        <v>256</v>
      </c>
      <c r="AD140" s="1">
        <f ca="1">IFERROR(__xludf.DUMMYFUNCTION("""COMPUTED_VALUE"""),130)</f>
        <v>130</v>
      </c>
      <c r="AE140" s="1">
        <f ca="1">IFERROR(__xludf.DUMMYFUNCTION("""COMPUTED_VALUE"""),469)</f>
        <v>469</v>
      </c>
      <c r="AF140" s="1">
        <f ca="1">IFERROR(__xludf.DUMMYFUNCTION("""COMPUTED_VALUE"""),598)</f>
        <v>598</v>
      </c>
    </row>
    <row r="141" spans="1:32" ht="12.5" x14ac:dyDescent="0.25">
      <c r="A141" s="1" t="str">
        <f ca="1">IFERROR(__xludf.DUMMYFUNCTION("""COMPUTED_VALUE"""),"IonaNCAA")</f>
        <v>IonaNCAA</v>
      </c>
      <c r="B141" s="1">
        <f ca="1">IFERROR(__xludf.DUMMYFUNCTION("""COMPUTED_VALUE"""),34)</f>
        <v>34</v>
      </c>
      <c r="C141" s="1">
        <f ca="1">IFERROR(__xludf.DUMMYFUNCTION("""COMPUTED_VALUE"""),20)</f>
        <v>20</v>
      </c>
      <c r="D141" s="1">
        <f ca="1">IFERROR(__xludf.DUMMYFUNCTION("""COMPUTED_VALUE"""),14)</f>
        <v>14</v>
      </c>
      <c r="E141" s="1">
        <f ca="1">IFERROR(__xludf.DUMMYFUNCTION("""COMPUTED_VALUE"""),0.588)</f>
        <v>0.58799999999999997</v>
      </c>
      <c r="F141" s="1">
        <f ca="1">IFERROR(__xludf.DUMMYFUNCTION("""COMPUTED_VALUE"""),4.04)</f>
        <v>4.04</v>
      </c>
      <c r="G141" s="1">
        <f ca="1">IFERROR(__xludf.DUMMYFUNCTION("""COMPUTED_VALUE"""),-0.02)</f>
        <v>-0.02</v>
      </c>
      <c r="H141" s="1">
        <f ca="1">IFERROR(__xludf.DUMMYFUNCTION("""COMPUTED_VALUE"""),11)</f>
        <v>11</v>
      </c>
      <c r="I141" s="1">
        <f ca="1">IFERROR(__xludf.DUMMYFUNCTION("""COMPUTED_VALUE"""),7)</f>
        <v>7</v>
      </c>
      <c r="J141" s="1">
        <f ca="1">IFERROR(__xludf.DUMMYFUNCTION("""COMPUTED_VALUE"""),11)</f>
        <v>11</v>
      </c>
      <c r="K141" s="1">
        <f ca="1">IFERROR(__xludf.DUMMYFUNCTION("""COMPUTED_VALUE"""),1)</f>
        <v>1</v>
      </c>
      <c r="L141" s="1">
        <f ca="1">IFERROR(__xludf.DUMMYFUNCTION("""COMPUTED_VALUE"""),5)</f>
        <v>5</v>
      </c>
      <c r="M141" s="1">
        <f ca="1">IFERROR(__xludf.DUMMYFUNCTION("""COMPUTED_VALUE"""),9)</f>
        <v>9</v>
      </c>
      <c r="N141" s="1">
        <f ca="1">IFERROR(__xludf.DUMMYFUNCTION("""COMPUTED_VALUE"""),2733)</f>
        <v>2733</v>
      </c>
      <c r="O141" s="1">
        <f ca="1">IFERROR(__xludf.DUMMYFUNCTION("""COMPUTED_VALUE"""),2595)</f>
        <v>2595</v>
      </c>
      <c r="P141" s="1">
        <f ca="1">IFERROR(__xludf.DUMMYFUNCTION("""COMPUTED_VALUE"""),1395)</f>
        <v>1395</v>
      </c>
      <c r="Q141" s="1">
        <f ca="1">IFERROR(__xludf.DUMMYFUNCTION("""COMPUTED_VALUE"""),956)</f>
        <v>956</v>
      </c>
      <c r="R141" s="1">
        <f ca="1">IFERROR(__xludf.DUMMYFUNCTION("""COMPUTED_VALUE"""),2106)</f>
        <v>2106</v>
      </c>
      <c r="S141" s="1">
        <f ca="1">IFERROR(__xludf.DUMMYFUNCTION("""COMPUTED_VALUE"""),0.454)</f>
        <v>0.45400000000000001</v>
      </c>
      <c r="T141" s="1">
        <f ca="1">IFERROR(__xludf.DUMMYFUNCTION("""COMPUTED_VALUE"""),283)</f>
        <v>283</v>
      </c>
      <c r="U141" s="1">
        <f ca="1">IFERROR(__xludf.DUMMYFUNCTION("""COMPUTED_VALUE"""),771)</f>
        <v>771</v>
      </c>
      <c r="V141" s="1">
        <f ca="1">IFERROR(__xludf.DUMMYFUNCTION("""COMPUTED_VALUE"""),0.367)</f>
        <v>0.36699999999999999</v>
      </c>
      <c r="W141" s="1">
        <f ca="1">IFERROR(__xludf.DUMMYFUNCTION("""COMPUTED_VALUE"""),538)</f>
        <v>538</v>
      </c>
      <c r="X141" s="1">
        <f ca="1">IFERROR(__xludf.DUMMYFUNCTION("""COMPUTED_VALUE"""),689)</f>
        <v>689</v>
      </c>
      <c r="Y141" s="1">
        <f ca="1">IFERROR(__xludf.DUMMYFUNCTION("""COMPUTED_VALUE"""),0.781)</f>
        <v>0.78100000000000003</v>
      </c>
      <c r="Z141" s="1">
        <f ca="1">IFERROR(__xludf.DUMMYFUNCTION("""COMPUTED_VALUE"""),395)</f>
        <v>395</v>
      </c>
      <c r="AA141" s="1">
        <f ca="1">IFERROR(__xludf.DUMMYFUNCTION("""COMPUTED_VALUE"""),1094)</f>
        <v>1094</v>
      </c>
      <c r="AB141" s="1">
        <f ca="1">IFERROR(__xludf.DUMMYFUNCTION("""COMPUTED_VALUE"""),523)</f>
        <v>523</v>
      </c>
      <c r="AC141" s="1">
        <f ca="1">IFERROR(__xludf.DUMMYFUNCTION("""COMPUTED_VALUE"""),222)</f>
        <v>222</v>
      </c>
      <c r="AD141" s="1">
        <f ca="1">IFERROR(__xludf.DUMMYFUNCTION("""COMPUTED_VALUE"""),101)</f>
        <v>101</v>
      </c>
      <c r="AE141" s="1">
        <f ca="1">IFERROR(__xludf.DUMMYFUNCTION("""COMPUTED_VALUE"""),421)</f>
        <v>421</v>
      </c>
      <c r="AF141" s="1">
        <f ca="1">IFERROR(__xludf.DUMMYFUNCTION("""COMPUTED_VALUE"""),582)</f>
        <v>582</v>
      </c>
    </row>
    <row r="142" spans="1:32" ht="12.5" x14ac:dyDescent="0.25">
      <c r="A142" s="1" t="str">
        <f ca="1">IFERROR(__xludf.DUMMYFUNCTION("""COMPUTED_VALUE"""),"Iowa StateNCAA")</f>
        <v>Iowa StateNCAA</v>
      </c>
      <c r="B142" s="1">
        <f ca="1">IFERROR(__xludf.DUMMYFUNCTION("""COMPUTED_VALUE"""),35)</f>
        <v>35</v>
      </c>
      <c r="C142" s="1">
        <f ca="1">IFERROR(__xludf.DUMMYFUNCTION("""COMPUTED_VALUE"""),23)</f>
        <v>23</v>
      </c>
      <c r="D142" s="1">
        <f ca="1">IFERROR(__xludf.DUMMYFUNCTION("""COMPUTED_VALUE"""),12)</f>
        <v>12</v>
      </c>
      <c r="E142" s="1">
        <f ca="1">IFERROR(__xludf.DUMMYFUNCTION("""COMPUTED_VALUE"""),0.657)</f>
        <v>0.65700000000000003</v>
      </c>
      <c r="F142" s="1">
        <f ca="1">IFERROR(__xludf.DUMMYFUNCTION("""COMPUTED_VALUE"""),14.5)</f>
        <v>14.5</v>
      </c>
      <c r="G142" s="1">
        <f ca="1">IFERROR(__xludf.DUMMYFUNCTION("""COMPUTED_VALUE"""),6.13)</f>
        <v>6.13</v>
      </c>
      <c r="H142" s="1">
        <f ca="1">IFERROR(__xludf.DUMMYFUNCTION("""COMPUTED_VALUE"""),11)</f>
        <v>11</v>
      </c>
      <c r="I142" s="1">
        <f ca="1">IFERROR(__xludf.DUMMYFUNCTION("""COMPUTED_VALUE"""),7)</f>
        <v>7</v>
      </c>
      <c r="J142" s="1">
        <f ca="1">IFERROR(__xludf.DUMMYFUNCTION("""COMPUTED_VALUE"""),16)</f>
        <v>16</v>
      </c>
      <c r="K142" s="1">
        <f ca="1">IFERROR(__xludf.DUMMYFUNCTION("""COMPUTED_VALUE"""),1)</f>
        <v>1</v>
      </c>
      <c r="L142" s="1">
        <f ca="1">IFERROR(__xludf.DUMMYFUNCTION("""COMPUTED_VALUE"""),4)</f>
        <v>4</v>
      </c>
      <c r="M142" s="1">
        <f ca="1">IFERROR(__xludf.DUMMYFUNCTION("""COMPUTED_VALUE"""),7)</f>
        <v>7</v>
      </c>
      <c r="N142" s="1">
        <f ca="1">IFERROR(__xludf.DUMMYFUNCTION("""COMPUTED_VALUE"""),2779)</f>
        <v>2779</v>
      </c>
      <c r="O142" s="1">
        <f ca="1">IFERROR(__xludf.DUMMYFUNCTION("""COMPUTED_VALUE"""),2486)</f>
        <v>2486</v>
      </c>
      <c r="P142" s="1">
        <f ca="1">IFERROR(__xludf.DUMMYFUNCTION("""COMPUTED_VALUE"""),1420)</f>
        <v>1420</v>
      </c>
      <c r="Q142" s="1">
        <f ca="1">IFERROR(__xludf.DUMMYFUNCTION("""COMPUTED_VALUE"""),962)</f>
        <v>962</v>
      </c>
      <c r="R142" s="1">
        <f ca="1">IFERROR(__xludf.DUMMYFUNCTION("""COMPUTED_VALUE"""),2111)</f>
        <v>2111</v>
      </c>
      <c r="S142" s="1">
        <f ca="1">IFERROR(__xludf.DUMMYFUNCTION("""COMPUTED_VALUE"""),0.456)</f>
        <v>0.45600000000000002</v>
      </c>
      <c r="T142" s="1">
        <f ca="1">IFERROR(__xludf.DUMMYFUNCTION("""COMPUTED_VALUE"""),346)</f>
        <v>346</v>
      </c>
      <c r="U142" s="1">
        <f ca="1">IFERROR(__xludf.DUMMYFUNCTION("""COMPUTED_VALUE"""),924)</f>
        <v>924</v>
      </c>
      <c r="V142" s="1">
        <f ca="1">IFERROR(__xludf.DUMMYFUNCTION("""COMPUTED_VALUE"""),0.374)</f>
        <v>0.374</v>
      </c>
      <c r="W142" s="1">
        <f ca="1">IFERROR(__xludf.DUMMYFUNCTION("""COMPUTED_VALUE"""),509)</f>
        <v>509</v>
      </c>
      <c r="X142" s="1">
        <f ca="1">IFERROR(__xludf.DUMMYFUNCTION("""COMPUTED_VALUE"""),696)</f>
        <v>696</v>
      </c>
      <c r="Y142" s="1">
        <f ca="1">IFERROR(__xludf.DUMMYFUNCTION("""COMPUTED_VALUE"""),0.731)</f>
        <v>0.73099999999999998</v>
      </c>
      <c r="Z142" s="1">
        <f ca="1">IFERROR(__xludf.DUMMYFUNCTION("""COMPUTED_VALUE"""),422)</f>
        <v>422</v>
      </c>
      <c r="AA142" s="1">
        <f ca="1">IFERROR(__xludf.DUMMYFUNCTION("""COMPUTED_VALUE"""),1238)</f>
        <v>1238</v>
      </c>
      <c r="AB142" s="1">
        <f ca="1">IFERROR(__xludf.DUMMYFUNCTION("""COMPUTED_VALUE"""),560)</f>
        <v>560</v>
      </c>
      <c r="AC142" s="1">
        <f ca="1">IFERROR(__xludf.DUMMYFUNCTION("""COMPUTED_VALUE"""),223)</f>
        <v>223</v>
      </c>
      <c r="AD142" s="1">
        <f ca="1">IFERROR(__xludf.DUMMYFUNCTION("""COMPUTED_VALUE"""),97)</f>
        <v>97</v>
      </c>
      <c r="AE142" s="1">
        <f ca="1">IFERROR(__xludf.DUMMYFUNCTION("""COMPUTED_VALUE"""),460)</f>
        <v>460</v>
      </c>
      <c r="AF142" s="1">
        <f ca="1">IFERROR(__xludf.DUMMYFUNCTION("""COMPUTED_VALUE"""),593)</f>
        <v>593</v>
      </c>
    </row>
    <row r="143" spans="1:32" ht="12.5" x14ac:dyDescent="0.25">
      <c r="A143" s="1" t="str">
        <f ca="1">IFERROR(__xludf.DUMMYFUNCTION("""COMPUTED_VALUE"""),"Iowa")</f>
        <v>Iowa</v>
      </c>
      <c r="B143" s="1">
        <f ca="1">IFERROR(__xludf.DUMMYFUNCTION("""COMPUTED_VALUE"""),38)</f>
        <v>38</v>
      </c>
      <c r="C143" s="1">
        <f ca="1">IFERROR(__xludf.DUMMYFUNCTION("""COMPUTED_VALUE"""),25)</f>
        <v>25</v>
      </c>
      <c r="D143" s="1">
        <f ca="1">IFERROR(__xludf.DUMMYFUNCTION("""COMPUTED_VALUE"""),13)</f>
        <v>13</v>
      </c>
      <c r="E143" s="1">
        <f ca="1">IFERROR(__xludf.DUMMYFUNCTION("""COMPUTED_VALUE"""),0.658)</f>
        <v>0.65800000000000003</v>
      </c>
      <c r="F143" s="1">
        <f ca="1">IFERROR(__xludf.DUMMYFUNCTION("""COMPUTED_VALUE"""),14.22)</f>
        <v>14.22</v>
      </c>
      <c r="G143" s="1">
        <f ca="1">IFERROR(__xludf.DUMMYFUNCTION("""COMPUTED_VALUE"""),6.93)</f>
        <v>6.93</v>
      </c>
      <c r="H143" s="1">
        <f ca="1">IFERROR(__xludf.DUMMYFUNCTION("""COMPUTED_VALUE"""),9)</f>
        <v>9</v>
      </c>
      <c r="I143" s="1">
        <f ca="1">IFERROR(__xludf.DUMMYFUNCTION("""COMPUTED_VALUE"""),9)</f>
        <v>9</v>
      </c>
      <c r="J143" s="1">
        <f ca="1">IFERROR(__xludf.DUMMYFUNCTION("""COMPUTED_VALUE"""),18)</f>
        <v>18</v>
      </c>
      <c r="K143" s="1">
        <f ca="1">IFERROR(__xludf.DUMMYFUNCTION("""COMPUTED_VALUE"""),2)</f>
        <v>2</v>
      </c>
      <c r="L143" s="1">
        <f ca="1">IFERROR(__xludf.DUMMYFUNCTION("""COMPUTED_VALUE"""),3)</f>
        <v>3</v>
      </c>
      <c r="M143" s="1">
        <f ca="1">IFERROR(__xludf.DUMMYFUNCTION("""COMPUTED_VALUE"""),8)</f>
        <v>8</v>
      </c>
      <c r="N143" s="1">
        <f ca="1">IFERROR(__xludf.DUMMYFUNCTION("""COMPUTED_VALUE"""),2665)</f>
        <v>2665</v>
      </c>
      <c r="O143" s="1">
        <f ca="1">IFERROR(__xludf.DUMMYFUNCTION("""COMPUTED_VALUE"""),2388)</f>
        <v>2388</v>
      </c>
      <c r="P143" s="1">
        <f ca="1">IFERROR(__xludf.DUMMYFUNCTION("""COMPUTED_VALUE"""),1535)</f>
        <v>1535</v>
      </c>
      <c r="Q143" s="1">
        <f ca="1">IFERROR(__xludf.DUMMYFUNCTION("""COMPUTED_VALUE"""),903)</f>
        <v>903</v>
      </c>
      <c r="R143" s="1">
        <f ca="1">IFERROR(__xludf.DUMMYFUNCTION("""COMPUTED_VALUE"""),2156)</f>
        <v>2156</v>
      </c>
      <c r="S143" s="1">
        <f ca="1">IFERROR(__xludf.DUMMYFUNCTION("""COMPUTED_VALUE"""),0.419)</f>
        <v>0.41899999999999998</v>
      </c>
      <c r="T143" s="1">
        <f ca="1">IFERROR(__xludf.DUMMYFUNCTION("""COMPUTED_VALUE"""),204)</f>
        <v>204</v>
      </c>
      <c r="U143" s="1">
        <f ca="1">IFERROR(__xludf.DUMMYFUNCTION("""COMPUTED_VALUE"""),668)</f>
        <v>668</v>
      </c>
      <c r="V143" s="1">
        <f ca="1">IFERROR(__xludf.DUMMYFUNCTION("""COMPUTED_VALUE"""),0.305)</f>
        <v>0.30499999999999999</v>
      </c>
      <c r="W143" s="1">
        <f ca="1">IFERROR(__xludf.DUMMYFUNCTION("""COMPUTED_VALUE"""),655)</f>
        <v>655</v>
      </c>
      <c r="X143" s="1">
        <f ca="1">IFERROR(__xludf.DUMMYFUNCTION("""COMPUTED_VALUE"""),896)</f>
        <v>896</v>
      </c>
      <c r="Y143" s="1">
        <f ca="1">IFERROR(__xludf.DUMMYFUNCTION("""COMPUTED_VALUE"""),0.731)</f>
        <v>0.73099999999999998</v>
      </c>
      <c r="Z143" s="1">
        <f ca="1">IFERROR(__xludf.DUMMYFUNCTION("""COMPUTED_VALUE"""),499)</f>
        <v>499</v>
      </c>
      <c r="AA143" s="1">
        <f ca="1">IFERROR(__xludf.DUMMYFUNCTION("""COMPUTED_VALUE"""),1365)</f>
        <v>1365</v>
      </c>
      <c r="AB143" s="1">
        <f ca="1">IFERROR(__xludf.DUMMYFUNCTION("""COMPUTED_VALUE"""),573)</f>
        <v>573</v>
      </c>
      <c r="AC143" s="1">
        <f ca="1">IFERROR(__xludf.DUMMYFUNCTION("""COMPUTED_VALUE"""),263)</f>
        <v>263</v>
      </c>
      <c r="AD143" s="1">
        <f ca="1">IFERROR(__xludf.DUMMYFUNCTION("""COMPUTED_VALUE"""),183)</f>
        <v>183</v>
      </c>
      <c r="AE143" s="1">
        <f ca="1">IFERROR(__xludf.DUMMYFUNCTION("""COMPUTED_VALUE"""),476)</f>
        <v>476</v>
      </c>
      <c r="AF143" s="1">
        <f ca="1">IFERROR(__xludf.DUMMYFUNCTION("""COMPUTED_VALUE"""),648)</f>
        <v>648</v>
      </c>
    </row>
    <row r="144" spans="1:32" ht="12.5" x14ac:dyDescent="0.25">
      <c r="A144" s="1" t="str">
        <f ca="1">IFERROR(__xludf.DUMMYFUNCTION("""COMPUTED_VALUE"""),"Purdue-Fort Wayne")</f>
        <v>Purdue-Fort Wayne</v>
      </c>
      <c r="B144" s="1">
        <f ca="1">IFERROR(__xludf.DUMMYFUNCTION("""COMPUTED_VALUE"""),33)</f>
        <v>33</v>
      </c>
      <c r="C144" s="1">
        <f ca="1">IFERROR(__xludf.DUMMYFUNCTION("""COMPUTED_VALUE"""),16)</f>
        <v>16</v>
      </c>
      <c r="D144" s="1">
        <f ca="1">IFERROR(__xludf.DUMMYFUNCTION("""COMPUTED_VALUE"""),17)</f>
        <v>17</v>
      </c>
      <c r="E144" s="1">
        <f ca="1">IFERROR(__xludf.DUMMYFUNCTION("""COMPUTED_VALUE"""),0.485)</f>
        <v>0.48499999999999999</v>
      </c>
      <c r="F144" s="1">
        <f ca="1">IFERROR(__xludf.DUMMYFUNCTION("""COMPUTED_VALUE"""),-7)</f>
        <v>-7</v>
      </c>
      <c r="G144" s="1">
        <f ca="1">IFERROR(__xludf.DUMMYFUNCTION("""COMPUTED_VALUE"""),-5.32)</f>
        <v>-5.32</v>
      </c>
      <c r="H144" s="1">
        <f ca="1">IFERROR(__xludf.DUMMYFUNCTION("""COMPUTED_VALUE"""),7)</f>
        <v>7</v>
      </c>
      <c r="I144" s="1">
        <f ca="1">IFERROR(__xludf.DUMMYFUNCTION("""COMPUTED_VALUE"""),9)</f>
        <v>9</v>
      </c>
      <c r="J144" s="1">
        <f ca="1">IFERROR(__xludf.DUMMYFUNCTION("""COMPUTED_VALUE"""),10)</f>
        <v>10</v>
      </c>
      <c r="K144" s="1">
        <f ca="1">IFERROR(__xludf.DUMMYFUNCTION("""COMPUTED_VALUE"""),4)</f>
        <v>4</v>
      </c>
      <c r="L144" s="1">
        <f ca="1">IFERROR(__xludf.DUMMYFUNCTION("""COMPUTED_VALUE"""),4)</f>
        <v>4</v>
      </c>
      <c r="M144" s="1">
        <f ca="1">IFERROR(__xludf.DUMMYFUNCTION("""COMPUTED_VALUE"""),10)</f>
        <v>10</v>
      </c>
      <c r="N144" s="1">
        <f ca="1">IFERROR(__xludf.DUMMYFUNCTION("""COMPUTED_VALUE"""),2213)</f>
        <v>2213</v>
      </c>
      <c r="O144" s="1">
        <f ca="1">IFERROR(__xludf.DUMMYFUNCTION("""COMPUTED_VALUE"""),2178)</f>
        <v>2178</v>
      </c>
      <c r="P144" s="1">
        <f ca="1">IFERROR(__xludf.DUMMYFUNCTION("""COMPUTED_VALUE"""),1340)</f>
        <v>1340</v>
      </c>
      <c r="Q144" s="1">
        <f ca="1">IFERROR(__xludf.DUMMYFUNCTION("""COMPUTED_VALUE"""),777)</f>
        <v>777</v>
      </c>
      <c r="R144" s="1">
        <f ca="1">IFERROR(__xludf.DUMMYFUNCTION("""COMPUTED_VALUE"""),1771)</f>
        <v>1771</v>
      </c>
      <c r="S144" s="1">
        <f ca="1">IFERROR(__xludf.DUMMYFUNCTION("""COMPUTED_VALUE"""),0.439)</f>
        <v>0.439</v>
      </c>
      <c r="T144" s="1">
        <f ca="1">IFERROR(__xludf.DUMMYFUNCTION("""COMPUTED_VALUE"""),222)</f>
        <v>222</v>
      </c>
      <c r="U144" s="1">
        <f ca="1">IFERROR(__xludf.DUMMYFUNCTION("""COMPUTED_VALUE"""),620)</f>
        <v>620</v>
      </c>
      <c r="V144" s="1">
        <f ca="1">IFERROR(__xludf.DUMMYFUNCTION("""COMPUTED_VALUE"""),0.358)</f>
        <v>0.35799999999999998</v>
      </c>
      <c r="W144" s="1">
        <f ca="1">IFERROR(__xludf.DUMMYFUNCTION("""COMPUTED_VALUE"""),437)</f>
        <v>437</v>
      </c>
      <c r="X144" s="1">
        <f ca="1">IFERROR(__xludf.DUMMYFUNCTION("""COMPUTED_VALUE"""),681)</f>
        <v>681</v>
      </c>
      <c r="Y144" s="1">
        <f ca="1">IFERROR(__xludf.DUMMYFUNCTION("""COMPUTED_VALUE"""),0.642)</f>
        <v>0.64200000000000002</v>
      </c>
      <c r="Z144" s="1">
        <f ca="1">IFERROR(__xludf.DUMMYFUNCTION("""COMPUTED_VALUE"""),346)</f>
        <v>346</v>
      </c>
      <c r="AA144" s="1">
        <f ca="1">IFERROR(__xludf.DUMMYFUNCTION("""COMPUTED_VALUE"""),1031)</f>
        <v>1031</v>
      </c>
      <c r="AB144" s="1">
        <f ca="1">IFERROR(__xludf.DUMMYFUNCTION("""COMPUTED_VALUE"""),413)</f>
        <v>413</v>
      </c>
      <c r="AC144" s="1">
        <f ca="1">IFERROR(__xludf.DUMMYFUNCTION("""COMPUTED_VALUE"""),250)</f>
        <v>250</v>
      </c>
      <c r="AD144" s="1">
        <f ca="1">IFERROR(__xludf.DUMMYFUNCTION("""COMPUTED_VALUE"""),87)</f>
        <v>87</v>
      </c>
      <c r="AE144" s="1">
        <f ca="1">IFERROR(__xludf.DUMMYFUNCTION("""COMPUTED_VALUE"""),449)</f>
        <v>449</v>
      </c>
      <c r="AF144" s="1">
        <f ca="1">IFERROR(__xludf.DUMMYFUNCTION("""COMPUTED_VALUE"""),583)</f>
        <v>583</v>
      </c>
    </row>
    <row r="145" spans="1:32" ht="12.5" x14ac:dyDescent="0.25">
      <c r="A145" s="1" t="str">
        <f ca="1">IFERROR(__xludf.DUMMYFUNCTION("""COMPUTED_VALUE"""),"IUPUI")</f>
        <v>IUPUI</v>
      </c>
      <c r="B145" s="1">
        <f ca="1">IFERROR(__xludf.DUMMYFUNCTION("""COMPUTED_VALUE"""),32)</f>
        <v>32</v>
      </c>
      <c r="C145" s="1">
        <f ca="1">IFERROR(__xludf.DUMMYFUNCTION("""COMPUTED_VALUE"""),6)</f>
        <v>6</v>
      </c>
      <c r="D145" s="1">
        <f ca="1">IFERROR(__xludf.DUMMYFUNCTION("""COMPUTED_VALUE"""),26)</f>
        <v>26</v>
      </c>
      <c r="E145" s="1">
        <f ca="1">IFERROR(__xludf.DUMMYFUNCTION("""COMPUTED_VALUE"""),0.188)</f>
        <v>0.188</v>
      </c>
      <c r="F145" s="1">
        <f ca="1">IFERROR(__xludf.DUMMYFUNCTION("""COMPUTED_VALUE"""),-15.93)</f>
        <v>-15.93</v>
      </c>
      <c r="G145" s="1">
        <f ca="1">IFERROR(__xludf.DUMMYFUNCTION("""COMPUTED_VALUE"""),-2.79)</f>
        <v>-2.79</v>
      </c>
      <c r="H145" s="1">
        <f ca="1">IFERROR(__xludf.DUMMYFUNCTION("""COMPUTED_VALUE"""),1)</f>
        <v>1</v>
      </c>
      <c r="I145" s="1">
        <f ca="1">IFERROR(__xludf.DUMMYFUNCTION("""COMPUTED_VALUE"""),15)</f>
        <v>15</v>
      </c>
      <c r="J145" s="1">
        <f ca="1">IFERROR(__xludf.DUMMYFUNCTION("""COMPUTED_VALUE"""),3)</f>
        <v>3</v>
      </c>
      <c r="K145" s="1">
        <f ca="1">IFERROR(__xludf.DUMMYFUNCTION("""COMPUTED_VALUE"""),8)</f>
        <v>8</v>
      </c>
      <c r="L145" s="1">
        <f ca="1">IFERROR(__xludf.DUMMYFUNCTION("""COMPUTED_VALUE"""),1)</f>
        <v>1</v>
      </c>
      <c r="M145" s="1">
        <f ca="1">IFERROR(__xludf.DUMMYFUNCTION("""COMPUTED_VALUE"""),13)</f>
        <v>13</v>
      </c>
      <c r="N145" s="1">
        <f ca="1">IFERROR(__xludf.DUMMYFUNCTION("""COMPUTED_VALUE"""),2096)</f>
        <v>2096</v>
      </c>
      <c r="O145" s="1">
        <f ca="1">IFERROR(__xludf.DUMMYFUNCTION("""COMPUTED_VALUE"""),2451)</f>
        <v>2451</v>
      </c>
      <c r="P145" s="1">
        <f ca="1">IFERROR(__xludf.DUMMYFUNCTION("""COMPUTED_VALUE"""),1300)</f>
        <v>1300</v>
      </c>
      <c r="Q145" s="1">
        <f ca="1">IFERROR(__xludf.DUMMYFUNCTION("""COMPUTED_VALUE"""),790)</f>
        <v>790</v>
      </c>
      <c r="R145" s="1">
        <f ca="1">IFERROR(__xludf.DUMMYFUNCTION("""COMPUTED_VALUE"""),1785)</f>
        <v>1785</v>
      </c>
      <c r="S145" s="1">
        <f ca="1">IFERROR(__xludf.DUMMYFUNCTION("""COMPUTED_VALUE"""),0.443)</f>
        <v>0.443</v>
      </c>
      <c r="T145" s="1">
        <f ca="1">IFERROR(__xludf.DUMMYFUNCTION("""COMPUTED_VALUE"""),222)</f>
        <v>222</v>
      </c>
      <c r="U145" s="1">
        <f ca="1">IFERROR(__xludf.DUMMYFUNCTION("""COMPUTED_VALUE"""),621)</f>
        <v>621</v>
      </c>
      <c r="V145" s="1">
        <f ca="1">IFERROR(__xludf.DUMMYFUNCTION("""COMPUTED_VALUE"""),0.357)</f>
        <v>0.35699999999999998</v>
      </c>
      <c r="W145" s="1">
        <f ca="1">IFERROR(__xludf.DUMMYFUNCTION("""COMPUTED_VALUE"""),294)</f>
        <v>294</v>
      </c>
      <c r="X145" s="1">
        <f ca="1">IFERROR(__xludf.DUMMYFUNCTION("""COMPUTED_VALUE"""),439)</f>
        <v>439</v>
      </c>
      <c r="Y145" s="1">
        <f ca="1">IFERROR(__xludf.DUMMYFUNCTION("""COMPUTED_VALUE"""),0.67)</f>
        <v>0.67</v>
      </c>
      <c r="Z145" s="1">
        <f ca="1">IFERROR(__xludf.DUMMYFUNCTION("""COMPUTED_VALUE"""),249)</f>
        <v>249</v>
      </c>
      <c r="AA145" s="1">
        <f ca="1">IFERROR(__xludf.DUMMYFUNCTION("""COMPUTED_VALUE"""),846)</f>
        <v>846</v>
      </c>
      <c r="AB145" s="1">
        <f ca="1">IFERROR(__xludf.DUMMYFUNCTION("""COMPUTED_VALUE"""),420)</f>
        <v>420</v>
      </c>
      <c r="AC145" s="1">
        <f ca="1">IFERROR(__xludf.DUMMYFUNCTION("""COMPUTED_VALUE"""),177)</f>
        <v>177</v>
      </c>
      <c r="AD145" s="1">
        <f ca="1">IFERROR(__xludf.DUMMYFUNCTION("""COMPUTED_VALUE"""),75)</f>
        <v>75</v>
      </c>
      <c r="AE145" s="1">
        <f ca="1">IFERROR(__xludf.DUMMYFUNCTION("""COMPUTED_VALUE"""),406)</f>
        <v>406</v>
      </c>
      <c r="AF145" s="1">
        <f ca="1">IFERROR(__xludf.DUMMYFUNCTION("""COMPUTED_VALUE"""),506)</f>
        <v>506</v>
      </c>
    </row>
    <row r="146" spans="1:32" ht="12.5" x14ac:dyDescent="0.25">
      <c r="A146" s="1" t="str">
        <f ca="1">IFERROR(__xludf.DUMMYFUNCTION("""COMPUTED_VALUE"""),"Jackson State")</f>
        <v>Jackson State</v>
      </c>
      <c r="B146" s="1">
        <f ca="1">IFERROR(__xludf.DUMMYFUNCTION("""COMPUTED_VALUE"""),29)</f>
        <v>29</v>
      </c>
      <c r="C146" s="1">
        <f ca="1">IFERROR(__xludf.DUMMYFUNCTION("""COMPUTED_VALUE"""),11)</f>
        <v>11</v>
      </c>
      <c r="D146" s="1">
        <f ca="1">IFERROR(__xludf.DUMMYFUNCTION("""COMPUTED_VALUE"""),18)</f>
        <v>18</v>
      </c>
      <c r="E146" s="1">
        <f ca="1">IFERROR(__xludf.DUMMYFUNCTION("""COMPUTED_VALUE"""),0.379)</f>
        <v>0.379</v>
      </c>
      <c r="F146" s="1">
        <f ca="1">IFERROR(__xludf.DUMMYFUNCTION("""COMPUTED_VALUE"""),-14.8)</f>
        <v>-14.8</v>
      </c>
      <c r="G146" s="1">
        <f ca="1">IFERROR(__xludf.DUMMYFUNCTION("""COMPUTED_VALUE"""),-9.52)</f>
        <v>-9.52</v>
      </c>
      <c r="H146" s="1">
        <f ca="1">IFERROR(__xludf.DUMMYFUNCTION("""COMPUTED_VALUE"""),9)</f>
        <v>9</v>
      </c>
      <c r="I146" s="1">
        <f ca="1">IFERROR(__xludf.DUMMYFUNCTION("""COMPUTED_VALUE"""),9)</f>
        <v>9</v>
      </c>
      <c r="J146" s="1">
        <f ca="1">IFERROR(__xludf.DUMMYFUNCTION("""COMPUTED_VALUE"""),6)</f>
        <v>6</v>
      </c>
      <c r="K146" s="1">
        <f ca="1">IFERROR(__xludf.DUMMYFUNCTION("""COMPUTED_VALUE"""),3)</f>
        <v>3</v>
      </c>
      <c r="L146" s="1">
        <f ca="1">IFERROR(__xludf.DUMMYFUNCTION("""COMPUTED_VALUE"""),4)</f>
        <v>4</v>
      </c>
      <c r="M146" s="1">
        <f ca="1">IFERROR(__xludf.DUMMYFUNCTION("""COMPUTED_VALUE"""),14)</f>
        <v>14</v>
      </c>
      <c r="N146" s="1">
        <f ca="1">IFERROR(__xludf.DUMMYFUNCTION("""COMPUTED_VALUE"""),1920)</f>
        <v>1920</v>
      </c>
      <c r="O146" s="1">
        <f ca="1">IFERROR(__xludf.DUMMYFUNCTION("""COMPUTED_VALUE"""),2073)</f>
        <v>2073</v>
      </c>
      <c r="P146" s="1">
        <f ca="1">IFERROR(__xludf.DUMMYFUNCTION("""COMPUTED_VALUE"""),1175)</f>
        <v>1175</v>
      </c>
      <c r="Q146" s="1">
        <f ca="1">IFERROR(__xludf.DUMMYFUNCTION("""COMPUTED_VALUE"""),647)</f>
        <v>647</v>
      </c>
      <c r="R146" s="1">
        <f ca="1">IFERROR(__xludf.DUMMYFUNCTION("""COMPUTED_VALUE"""),1659)</f>
        <v>1659</v>
      </c>
      <c r="S146" s="1">
        <f ca="1">IFERROR(__xludf.DUMMYFUNCTION("""COMPUTED_VALUE"""),0.39)</f>
        <v>0.39</v>
      </c>
      <c r="T146" s="1">
        <f ca="1">IFERROR(__xludf.DUMMYFUNCTION("""COMPUTED_VALUE"""),181)</f>
        <v>181</v>
      </c>
      <c r="U146" s="1">
        <f ca="1">IFERROR(__xludf.DUMMYFUNCTION("""COMPUTED_VALUE"""),580)</f>
        <v>580</v>
      </c>
      <c r="V146" s="1">
        <f ca="1">IFERROR(__xludf.DUMMYFUNCTION("""COMPUTED_VALUE"""),0.312)</f>
        <v>0.312</v>
      </c>
      <c r="W146" s="1">
        <f ca="1">IFERROR(__xludf.DUMMYFUNCTION("""COMPUTED_VALUE"""),445)</f>
        <v>445</v>
      </c>
      <c r="X146" s="1">
        <f ca="1">IFERROR(__xludf.DUMMYFUNCTION("""COMPUTED_VALUE"""),637)</f>
        <v>637</v>
      </c>
      <c r="Y146" s="1">
        <f ca="1">IFERROR(__xludf.DUMMYFUNCTION("""COMPUTED_VALUE"""),0.699)</f>
        <v>0.69899999999999995</v>
      </c>
      <c r="Z146" s="1">
        <f ca="1">IFERROR(__xludf.DUMMYFUNCTION("""COMPUTED_VALUE"""),292)</f>
        <v>292</v>
      </c>
      <c r="AA146" s="1">
        <f ca="1">IFERROR(__xludf.DUMMYFUNCTION("""COMPUTED_VALUE"""),848)</f>
        <v>848</v>
      </c>
      <c r="AB146" s="1">
        <f ca="1">IFERROR(__xludf.DUMMYFUNCTION("""COMPUTED_VALUE"""),275)</f>
        <v>275</v>
      </c>
      <c r="AC146" s="1">
        <f ca="1">IFERROR(__xludf.DUMMYFUNCTION("""COMPUTED_VALUE"""),241)</f>
        <v>241</v>
      </c>
      <c r="AD146" s="1">
        <f ca="1">IFERROR(__xludf.DUMMYFUNCTION("""COMPUTED_VALUE"""),65)</f>
        <v>65</v>
      </c>
      <c r="AE146" s="1">
        <f ca="1">IFERROR(__xludf.DUMMYFUNCTION("""COMPUTED_VALUE"""),370)</f>
        <v>370</v>
      </c>
      <c r="AF146" s="1">
        <f ca="1">IFERROR(__xludf.DUMMYFUNCTION("""COMPUTED_VALUE"""),568)</f>
        <v>568</v>
      </c>
    </row>
    <row r="147" spans="1:32" ht="12.5" x14ac:dyDescent="0.25">
      <c r="A147" s="1" t="str">
        <f ca="1">IFERROR(__xludf.DUMMYFUNCTION("""COMPUTED_VALUE"""),"Jacksonville State")</f>
        <v>Jacksonville State</v>
      </c>
      <c r="B147" s="1">
        <f ca="1">IFERROR(__xludf.DUMMYFUNCTION("""COMPUTED_VALUE"""),28)</f>
        <v>28</v>
      </c>
      <c r="C147" s="1">
        <f ca="1">IFERROR(__xludf.DUMMYFUNCTION("""COMPUTED_VALUE"""),17)</f>
        <v>17</v>
      </c>
      <c r="D147" s="1">
        <f ca="1">IFERROR(__xludf.DUMMYFUNCTION("""COMPUTED_VALUE"""),11)</f>
        <v>11</v>
      </c>
      <c r="E147" s="1">
        <f ca="1">IFERROR(__xludf.DUMMYFUNCTION("""COMPUTED_VALUE"""),0.607)</f>
        <v>0.60699999999999998</v>
      </c>
      <c r="F147" s="1">
        <f ca="1">IFERROR(__xludf.DUMMYFUNCTION("""COMPUTED_VALUE"""),-4.48)</f>
        <v>-4.4800000000000004</v>
      </c>
      <c r="G147" s="1">
        <f ca="1">IFERROR(__xludf.DUMMYFUNCTION("""COMPUTED_VALUE"""),-4.29)</f>
        <v>-4.29</v>
      </c>
      <c r="H147" s="1">
        <f ca="1">IFERROR(__xludf.DUMMYFUNCTION("""COMPUTED_VALUE"""),8)</f>
        <v>8</v>
      </c>
      <c r="I147" s="1">
        <f ca="1">IFERROR(__xludf.DUMMYFUNCTION("""COMPUTED_VALUE"""),8)</f>
        <v>8</v>
      </c>
      <c r="J147" s="1">
        <f ca="1">IFERROR(__xludf.DUMMYFUNCTION("""COMPUTED_VALUE"""),9)</f>
        <v>9</v>
      </c>
      <c r="K147" s="1">
        <f ca="1">IFERROR(__xludf.DUMMYFUNCTION("""COMPUTED_VALUE"""),3)</f>
        <v>3</v>
      </c>
      <c r="L147" s="1">
        <f ca="1">IFERROR(__xludf.DUMMYFUNCTION("""COMPUTED_VALUE"""),6)</f>
        <v>6</v>
      </c>
      <c r="M147" s="1">
        <f ca="1">IFERROR(__xludf.DUMMYFUNCTION("""COMPUTED_VALUE"""),8)</f>
        <v>8</v>
      </c>
      <c r="N147" s="1">
        <f ca="1">IFERROR(__xludf.DUMMYFUNCTION("""COMPUTED_VALUE"""),1857)</f>
        <v>1857</v>
      </c>
      <c r="O147" s="1">
        <f ca="1">IFERROR(__xludf.DUMMYFUNCTION("""COMPUTED_VALUE"""),1817)</f>
        <v>1817</v>
      </c>
      <c r="P147" s="1">
        <f ca="1">IFERROR(__xludf.DUMMYFUNCTION("""COMPUTED_VALUE"""),1130)</f>
        <v>1130</v>
      </c>
      <c r="Q147" s="1">
        <f ca="1">IFERROR(__xludf.DUMMYFUNCTION("""COMPUTED_VALUE"""),637)</f>
        <v>637</v>
      </c>
      <c r="R147" s="1">
        <f ca="1">IFERROR(__xludf.DUMMYFUNCTION("""COMPUTED_VALUE"""),1433)</f>
        <v>1433</v>
      </c>
      <c r="S147" s="1">
        <f ca="1">IFERROR(__xludf.DUMMYFUNCTION("""COMPUTED_VALUE"""),0.445)</f>
        <v>0.44500000000000001</v>
      </c>
      <c r="T147" s="1">
        <f ca="1">IFERROR(__xludf.DUMMYFUNCTION("""COMPUTED_VALUE"""),159)</f>
        <v>159</v>
      </c>
      <c r="U147" s="1">
        <f ca="1">IFERROR(__xludf.DUMMYFUNCTION("""COMPUTED_VALUE"""),450)</f>
        <v>450</v>
      </c>
      <c r="V147" s="1">
        <f ca="1">IFERROR(__xludf.DUMMYFUNCTION("""COMPUTED_VALUE"""),0.353)</f>
        <v>0.35299999999999998</v>
      </c>
      <c r="W147" s="1">
        <f ca="1">IFERROR(__xludf.DUMMYFUNCTION("""COMPUTED_VALUE"""),424)</f>
        <v>424</v>
      </c>
      <c r="X147" s="1">
        <f ca="1">IFERROR(__xludf.DUMMYFUNCTION("""COMPUTED_VALUE"""),625)</f>
        <v>625</v>
      </c>
      <c r="Y147" s="1">
        <f ca="1">IFERROR(__xludf.DUMMYFUNCTION("""COMPUTED_VALUE"""),0.678)</f>
        <v>0.67800000000000005</v>
      </c>
      <c r="Z147" s="1">
        <f ca="1">IFERROR(__xludf.DUMMYFUNCTION("""COMPUTED_VALUE"""),292)</f>
        <v>292</v>
      </c>
      <c r="AA147" s="1">
        <f ca="1">IFERROR(__xludf.DUMMYFUNCTION("""COMPUTED_VALUE"""),724)</f>
        <v>724</v>
      </c>
      <c r="AB147" s="1">
        <f ca="1">IFERROR(__xludf.DUMMYFUNCTION("""COMPUTED_VALUE"""),363)</f>
        <v>363</v>
      </c>
      <c r="AC147" s="1">
        <f ca="1">IFERROR(__xludf.DUMMYFUNCTION("""COMPUTED_VALUE"""),237)</f>
        <v>237</v>
      </c>
      <c r="AD147" s="1">
        <f ca="1">IFERROR(__xludf.DUMMYFUNCTION("""COMPUTED_VALUE"""),116)</f>
        <v>116</v>
      </c>
      <c r="AE147" s="1">
        <f ca="1">IFERROR(__xludf.DUMMYFUNCTION("""COMPUTED_VALUE"""),365)</f>
        <v>365</v>
      </c>
      <c r="AF147" s="1">
        <f ca="1">IFERROR(__xludf.DUMMYFUNCTION("""COMPUTED_VALUE"""),472)</f>
        <v>472</v>
      </c>
    </row>
    <row r="148" spans="1:32" ht="12.5" x14ac:dyDescent="0.25">
      <c r="A148" s="1" t="str">
        <f ca="1">IFERROR(__xludf.DUMMYFUNCTION("""COMPUTED_VALUE"""),"Jacksonville")</f>
        <v>Jacksonville</v>
      </c>
      <c r="B148" s="1">
        <f ca="1">IFERROR(__xludf.DUMMYFUNCTION("""COMPUTED_VALUE"""),32)</f>
        <v>32</v>
      </c>
      <c r="C148" s="1">
        <f ca="1">IFERROR(__xludf.DUMMYFUNCTION("""COMPUTED_VALUE"""),14)</f>
        <v>14</v>
      </c>
      <c r="D148" s="1">
        <f ca="1">IFERROR(__xludf.DUMMYFUNCTION("""COMPUTED_VALUE"""),18)</f>
        <v>18</v>
      </c>
      <c r="E148" s="1">
        <f ca="1">IFERROR(__xludf.DUMMYFUNCTION("""COMPUTED_VALUE"""),0.438)</f>
        <v>0.438</v>
      </c>
      <c r="F148" s="1">
        <f ca="1">IFERROR(__xludf.DUMMYFUNCTION("""COMPUTED_VALUE"""),-10.47)</f>
        <v>-10.47</v>
      </c>
      <c r="G148" s="1">
        <f ca="1">IFERROR(__xludf.DUMMYFUNCTION("""COMPUTED_VALUE"""),-4.74)</f>
        <v>-4.74</v>
      </c>
      <c r="H148" s="1">
        <f ca="1">IFERROR(__xludf.DUMMYFUNCTION("""COMPUTED_VALUE"""),9)</f>
        <v>9</v>
      </c>
      <c r="I148" s="1">
        <f ca="1">IFERROR(__xludf.DUMMYFUNCTION("""COMPUTED_VALUE"""),9)</f>
        <v>9</v>
      </c>
      <c r="J148" s="1">
        <f ca="1">IFERROR(__xludf.DUMMYFUNCTION("""COMPUTED_VALUE"""),10)</f>
        <v>10</v>
      </c>
      <c r="K148" s="1">
        <f ca="1">IFERROR(__xludf.DUMMYFUNCTION("""COMPUTED_VALUE"""),3)</f>
        <v>3</v>
      </c>
      <c r="L148" s="1">
        <f ca="1">IFERROR(__xludf.DUMMYFUNCTION("""COMPUTED_VALUE"""),3)</f>
        <v>3</v>
      </c>
      <c r="M148" s="1">
        <f ca="1">IFERROR(__xludf.DUMMYFUNCTION("""COMPUTED_VALUE"""),13)</f>
        <v>13</v>
      </c>
      <c r="N148" s="1">
        <f ca="1">IFERROR(__xludf.DUMMYFUNCTION("""COMPUTED_VALUE"""),2181)</f>
        <v>2181</v>
      </c>
      <c r="O148" s="1">
        <f ca="1">IFERROR(__xludf.DUMMYFUNCTION("""COMPUTED_VALUE"""),2300)</f>
        <v>2300</v>
      </c>
      <c r="P148" s="1">
        <f ca="1">IFERROR(__xludf.DUMMYFUNCTION("""COMPUTED_VALUE"""),1301)</f>
        <v>1301</v>
      </c>
      <c r="Q148" s="1">
        <f ca="1">IFERROR(__xludf.DUMMYFUNCTION("""COMPUTED_VALUE"""),774)</f>
        <v>774</v>
      </c>
      <c r="R148" s="1">
        <f ca="1">IFERROR(__xludf.DUMMYFUNCTION("""COMPUTED_VALUE"""),1831)</f>
        <v>1831</v>
      </c>
      <c r="S148" s="1">
        <f ca="1">IFERROR(__xludf.DUMMYFUNCTION("""COMPUTED_VALUE"""),0.423)</f>
        <v>0.42299999999999999</v>
      </c>
      <c r="T148" s="1">
        <f ca="1">IFERROR(__xludf.DUMMYFUNCTION("""COMPUTED_VALUE"""),166)</f>
        <v>166</v>
      </c>
      <c r="U148" s="1">
        <f ca="1">IFERROR(__xludf.DUMMYFUNCTION("""COMPUTED_VALUE"""),512)</f>
        <v>512</v>
      </c>
      <c r="V148" s="1">
        <f ca="1">IFERROR(__xludf.DUMMYFUNCTION("""COMPUTED_VALUE"""),0.324)</f>
        <v>0.32400000000000001</v>
      </c>
      <c r="W148" s="1">
        <f ca="1">IFERROR(__xludf.DUMMYFUNCTION("""COMPUTED_VALUE"""),467)</f>
        <v>467</v>
      </c>
      <c r="X148" s="1">
        <f ca="1">IFERROR(__xludf.DUMMYFUNCTION("""COMPUTED_VALUE"""),664)</f>
        <v>664</v>
      </c>
      <c r="Y148" s="1">
        <f ca="1">IFERROR(__xludf.DUMMYFUNCTION("""COMPUTED_VALUE"""),0.703)</f>
        <v>0.70299999999999996</v>
      </c>
      <c r="Z148" s="1">
        <f ca="1">IFERROR(__xludf.DUMMYFUNCTION("""COMPUTED_VALUE"""),384)</f>
        <v>384</v>
      </c>
      <c r="AA148" s="1">
        <f ca="1">IFERROR(__xludf.DUMMYFUNCTION("""COMPUTED_VALUE"""),1066)</f>
        <v>1066</v>
      </c>
      <c r="AB148" s="1">
        <f ca="1">IFERROR(__xludf.DUMMYFUNCTION("""COMPUTED_VALUE"""),414)</f>
        <v>414</v>
      </c>
      <c r="AC148" s="1">
        <f ca="1">IFERROR(__xludf.DUMMYFUNCTION("""COMPUTED_VALUE"""),215)</f>
        <v>215</v>
      </c>
      <c r="AD148" s="1">
        <f ca="1">IFERROR(__xludf.DUMMYFUNCTION("""COMPUTED_VALUE"""),104)</f>
        <v>104</v>
      </c>
      <c r="AE148" s="1">
        <f ca="1">IFERROR(__xludf.DUMMYFUNCTION("""COMPUTED_VALUE"""),488)</f>
        <v>488</v>
      </c>
      <c r="AF148" s="1">
        <f ca="1">IFERROR(__xludf.DUMMYFUNCTION("""COMPUTED_VALUE"""),615)</f>
        <v>615</v>
      </c>
    </row>
    <row r="149" spans="1:32" ht="12.5" x14ac:dyDescent="0.25">
      <c r="A149" s="1" t="str">
        <f ca="1">IFERROR(__xludf.DUMMYFUNCTION("""COMPUTED_VALUE"""),"James MadisonNCAA")</f>
        <v>James MadisonNCAA</v>
      </c>
      <c r="B149" s="1">
        <f ca="1">IFERROR(__xludf.DUMMYFUNCTION("""COMPUTED_VALUE"""),36)</f>
        <v>36</v>
      </c>
      <c r="C149" s="1">
        <f ca="1">IFERROR(__xludf.DUMMYFUNCTION("""COMPUTED_VALUE"""),21)</f>
        <v>21</v>
      </c>
      <c r="D149" s="1">
        <f ca="1">IFERROR(__xludf.DUMMYFUNCTION("""COMPUTED_VALUE"""),15)</f>
        <v>15</v>
      </c>
      <c r="E149" s="1">
        <f ca="1">IFERROR(__xludf.DUMMYFUNCTION("""COMPUTED_VALUE"""),0.583)</f>
        <v>0.58299999999999996</v>
      </c>
      <c r="F149" s="1">
        <f ca="1">IFERROR(__xludf.DUMMYFUNCTION("""COMPUTED_VALUE"""),-1.73)</f>
        <v>-1.73</v>
      </c>
      <c r="G149" s="1">
        <f ca="1">IFERROR(__xludf.DUMMYFUNCTION("""COMPUTED_VALUE"""),-2.28)</f>
        <v>-2.2799999999999998</v>
      </c>
      <c r="H149" s="1">
        <f ca="1">IFERROR(__xludf.DUMMYFUNCTION("""COMPUTED_VALUE"""),11)</f>
        <v>11</v>
      </c>
      <c r="I149" s="1">
        <f ca="1">IFERROR(__xludf.DUMMYFUNCTION("""COMPUTED_VALUE"""),7)</f>
        <v>7</v>
      </c>
      <c r="J149" s="1">
        <f ca="1">IFERROR(__xludf.DUMMYFUNCTION("""COMPUTED_VALUE"""),10)</f>
        <v>10</v>
      </c>
      <c r="K149" s="1">
        <f ca="1">IFERROR(__xludf.DUMMYFUNCTION("""COMPUTED_VALUE"""),4)</f>
        <v>4</v>
      </c>
      <c r="L149" s="1">
        <f ca="1">IFERROR(__xludf.DUMMYFUNCTION("""COMPUTED_VALUE"""),4)</f>
        <v>4</v>
      </c>
      <c r="M149" s="1">
        <f ca="1">IFERROR(__xludf.DUMMYFUNCTION("""COMPUTED_VALUE"""),9)</f>
        <v>9</v>
      </c>
      <c r="N149" s="1">
        <f ca="1">IFERROR(__xludf.DUMMYFUNCTION("""COMPUTED_VALUE"""),2346)</f>
        <v>2346</v>
      </c>
      <c r="O149" s="1">
        <f ca="1">IFERROR(__xludf.DUMMYFUNCTION("""COMPUTED_VALUE"""),2326)</f>
        <v>2326</v>
      </c>
      <c r="P149" s="1">
        <f ca="1">IFERROR(__xludf.DUMMYFUNCTION("""COMPUTED_VALUE"""),1450)</f>
        <v>1450</v>
      </c>
      <c r="Q149" s="1">
        <f ca="1">IFERROR(__xludf.DUMMYFUNCTION("""COMPUTED_VALUE"""),818)</f>
        <v>818</v>
      </c>
      <c r="R149" s="1">
        <f ca="1">IFERROR(__xludf.DUMMYFUNCTION("""COMPUTED_VALUE"""),1941)</f>
        <v>1941</v>
      </c>
      <c r="S149" s="1">
        <f ca="1">IFERROR(__xludf.DUMMYFUNCTION("""COMPUTED_VALUE"""),0.421)</f>
        <v>0.42099999999999999</v>
      </c>
      <c r="T149" s="1">
        <f ca="1">IFERROR(__xludf.DUMMYFUNCTION("""COMPUTED_VALUE"""),211)</f>
        <v>211</v>
      </c>
      <c r="U149" s="1">
        <f ca="1">IFERROR(__xludf.DUMMYFUNCTION("""COMPUTED_VALUE"""),628)</f>
        <v>628</v>
      </c>
      <c r="V149" s="1">
        <f ca="1">IFERROR(__xludf.DUMMYFUNCTION("""COMPUTED_VALUE"""),0.336)</f>
        <v>0.33600000000000002</v>
      </c>
      <c r="W149" s="1">
        <f ca="1">IFERROR(__xludf.DUMMYFUNCTION("""COMPUTED_VALUE"""),499)</f>
        <v>499</v>
      </c>
      <c r="X149" s="1">
        <f ca="1">IFERROR(__xludf.DUMMYFUNCTION("""COMPUTED_VALUE"""),714)</f>
        <v>714</v>
      </c>
      <c r="Y149" s="1">
        <f ca="1">IFERROR(__xludf.DUMMYFUNCTION("""COMPUTED_VALUE"""),0.699)</f>
        <v>0.69899999999999995</v>
      </c>
      <c r="Z149" s="1">
        <f ca="1">IFERROR(__xludf.DUMMYFUNCTION("""COMPUTED_VALUE"""),365)</f>
        <v>365</v>
      </c>
      <c r="AA149" s="1">
        <f ca="1">IFERROR(__xludf.DUMMYFUNCTION("""COMPUTED_VALUE"""),1064)</f>
        <v>1064</v>
      </c>
      <c r="AB149" s="1">
        <f ca="1">IFERROR(__xludf.DUMMYFUNCTION("""COMPUTED_VALUE"""),423)</f>
        <v>423</v>
      </c>
      <c r="AC149" s="1">
        <f ca="1">IFERROR(__xludf.DUMMYFUNCTION("""COMPUTED_VALUE"""),272)</f>
        <v>272</v>
      </c>
      <c r="AD149" s="1">
        <f ca="1">IFERROR(__xludf.DUMMYFUNCTION("""COMPUTED_VALUE"""),166)</f>
        <v>166</v>
      </c>
      <c r="AE149" s="1">
        <f ca="1">IFERROR(__xludf.DUMMYFUNCTION("""COMPUTED_VALUE"""),401)</f>
        <v>401</v>
      </c>
      <c r="AF149" s="1">
        <f ca="1">IFERROR(__xludf.DUMMYFUNCTION("""COMPUTED_VALUE"""),620)</f>
        <v>620</v>
      </c>
    </row>
    <row r="150" spans="1:32" ht="12.5" x14ac:dyDescent="0.25">
      <c r="A150" s="1" t="str">
        <f ca="1">IFERROR(__xludf.DUMMYFUNCTION("""COMPUTED_VALUE"""),"Kansas StateNCAA")</f>
        <v>Kansas StateNCAA</v>
      </c>
      <c r="B150" s="1">
        <f ca="1">IFERROR(__xludf.DUMMYFUNCTION("""COMPUTED_VALUE"""),35)</f>
        <v>35</v>
      </c>
      <c r="C150" s="1">
        <f ca="1">IFERROR(__xludf.DUMMYFUNCTION("""COMPUTED_VALUE"""),27)</f>
        <v>27</v>
      </c>
      <c r="D150" s="1">
        <f ca="1">IFERROR(__xludf.DUMMYFUNCTION("""COMPUTED_VALUE"""),8)</f>
        <v>8</v>
      </c>
      <c r="E150" s="1">
        <f ca="1">IFERROR(__xludf.DUMMYFUNCTION("""COMPUTED_VALUE"""),0.771)</f>
        <v>0.77100000000000002</v>
      </c>
      <c r="F150" s="1">
        <f ca="1">IFERROR(__xludf.DUMMYFUNCTION("""COMPUTED_VALUE"""),13.53)</f>
        <v>13.53</v>
      </c>
      <c r="G150" s="1">
        <f ca="1">IFERROR(__xludf.DUMMYFUNCTION("""COMPUTED_VALUE"""),6.53)</f>
        <v>6.53</v>
      </c>
      <c r="H150" s="1">
        <f ca="1">IFERROR(__xludf.DUMMYFUNCTION("""COMPUTED_VALUE"""),14)</f>
        <v>14</v>
      </c>
      <c r="I150" s="1">
        <f ca="1">IFERROR(__xludf.DUMMYFUNCTION("""COMPUTED_VALUE"""),4)</f>
        <v>4</v>
      </c>
      <c r="J150" s="1">
        <f ca="1">IFERROR(__xludf.DUMMYFUNCTION("""COMPUTED_VALUE"""),15)</f>
        <v>15</v>
      </c>
      <c r="K150" s="1">
        <f ca="1">IFERROR(__xludf.DUMMYFUNCTION("""COMPUTED_VALUE"""),1)</f>
        <v>1</v>
      </c>
      <c r="L150" s="1">
        <f ca="1">IFERROR(__xludf.DUMMYFUNCTION("""COMPUTED_VALUE"""),7)</f>
        <v>7</v>
      </c>
      <c r="M150" s="1">
        <f ca="1">IFERROR(__xludf.DUMMYFUNCTION("""COMPUTED_VALUE"""),3)</f>
        <v>3</v>
      </c>
      <c r="N150" s="1">
        <f ca="1">IFERROR(__xludf.DUMMYFUNCTION("""COMPUTED_VALUE"""),2414)</f>
        <v>2414</v>
      </c>
      <c r="O150" s="1">
        <f ca="1">IFERROR(__xludf.DUMMYFUNCTION("""COMPUTED_VALUE"""),2115)</f>
        <v>2115</v>
      </c>
      <c r="P150" s="1">
        <f ca="1">IFERROR(__xludf.DUMMYFUNCTION("""COMPUTED_VALUE"""),1400)</f>
        <v>1400</v>
      </c>
      <c r="Q150" s="1">
        <f ca="1">IFERROR(__xludf.DUMMYFUNCTION("""COMPUTED_VALUE"""),872)</f>
        <v>872</v>
      </c>
      <c r="R150" s="1">
        <f ca="1">IFERROR(__xludf.DUMMYFUNCTION("""COMPUTED_VALUE"""),2002)</f>
        <v>2002</v>
      </c>
      <c r="S150" s="1">
        <f ca="1">IFERROR(__xludf.DUMMYFUNCTION("""COMPUTED_VALUE"""),0.436)</f>
        <v>0.436</v>
      </c>
      <c r="T150" s="1">
        <f ca="1">IFERROR(__xludf.DUMMYFUNCTION("""COMPUTED_VALUE"""),238)</f>
        <v>238</v>
      </c>
      <c r="U150" s="1">
        <f ca="1">IFERROR(__xludf.DUMMYFUNCTION("""COMPUTED_VALUE"""),658)</f>
        <v>658</v>
      </c>
      <c r="V150" s="1">
        <f ca="1">IFERROR(__xludf.DUMMYFUNCTION("""COMPUTED_VALUE"""),0.362)</f>
        <v>0.36199999999999999</v>
      </c>
      <c r="W150" s="1">
        <f ca="1">IFERROR(__xludf.DUMMYFUNCTION("""COMPUTED_VALUE"""),432)</f>
        <v>432</v>
      </c>
      <c r="X150" s="1">
        <f ca="1">IFERROR(__xludf.DUMMYFUNCTION("""COMPUTED_VALUE"""),631)</f>
        <v>631</v>
      </c>
      <c r="Y150" s="1">
        <f ca="1">IFERROR(__xludf.DUMMYFUNCTION("""COMPUTED_VALUE"""),0.685)</f>
        <v>0.68500000000000005</v>
      </c>
      <c r="Z150" s="1">
        <f ca="1">IFERROR(__xludf.DUMMYFUNCTION("""COMPUTED_VALUE"""),470)</f>
        <v>470</v>
      </c>
      <c r="AA150" s="1">
        <f ca="1">IFERROR(__xludf.DUMMYFUNCTION("""COMPUTED_VALUE"""),1145)</f>
        <v>1145</v>
      </c>
      <c r="AB150" s="1">
        <f ca="1">IFERROR(__xludf.DUMMYFUNCTION("""COMPUTED_VALUE"""),557)</f>
        <v>557</v>
      </c>
      <c r="AC150" s="1">
        <f ca="1">IFERROR(__xludf.DUMMYFUNCTION("""COMPUTED_VALUE"""),247)</f>
        <v>247</v>
      </c>
      <c r="AD150" s="1">
        <f ca="1">IFERROR(__xludf.DUMMYFUNCTION("""COMPUTED_VALUE"""),129)</f>
        <v>129</v>
      </c>
      <c r="AE150" s="1">
        <f ca="1">IFERROR(__xludf.DUMMYFUNCTION("""COMPUTED_VALUE"""),403)</f>
        <v>403</v>
      </c>
      <c r="AF150" s="1">
        <f ca="1">IFERROR(__xludf.DUMMYFUNCTION("""COMPUTED_VALUE"""),631)</f>
        <v>631</v>
      </c>
    </row>
    <row r="151" spans="1:32" ht="12.5" x14ac:dyDescent="0.25">
      <c r="A151" s="1" t="str">
        <f ca="1">IFERROR(__xludf.DUMMYFUNCTION("""COMPUTED_VALUE"""),"KansasNCAA")</f>
        <v>KansasNCAA</v>
      </c>
      <c r="B151" s="1">
        <f ca="1">IFERROR(__xludf.DUMMYFUNCTION("""COMPUTED_VALUE"""),37)</f>
        <v>37</v>
      </c>
      <c r="C151" s="1">
        <f ca="1">IFERROR(__xludf.DUMMYFUNCTION("""COMPUTED_VALUE"""),31)</f>
        <v>31</v>
      </c>
      <c r="D151" s="1">
        <f ca="1">IFERROR(__xludf.DUMMYFUNCTION("""COMPUTED_VALUE"""),6)</f>
        <v>6</v>
      </c>
      <c r="E151" s="1">
        <f ca="1">IFERROR(__xludf.DUMMYFUNCTION("""COMPUTED_VALUE"""),0.838)</f>
        <v>0.83799999999999997</v>
      </c>
      <c r="F151" s="1">
        <f ca="1">IFERROR(__xludf.DUMMYFUNCTION("""COMPUTED_VALUE"""),20.79)</f>
        <v>20.79</v>
      </c>
      <c r="G151" s="1">
        <f ca="1">IFERROR(__xludf.DUMMYFUNCTION("""COMPUTED_VALUE"""),7.54)</f>
        <v>7.54</v>
      </c>
      <c r="H151" s="1">
        <f ca="1">IFERROR(__xludf.DUMMYFUNCTION("""COMPUTED_VALUE"""),14)</f>
        <v>14</v>
      </c>
      <c r="I151" s="1">
        <f ca="1">IFERROR(__xludf.DUMMYFUNCTION("""COMPUTED_VALUE"""),4)</f>
        <v>4</v>
      </c>
      <c r="J151" s="1">
        <f ca="1">IFERROR(__xludf.DUMMYFUNCTION("""COMPUTED_VALUE"""),16)</f>
        <v>16</v>
      </c>
      <c r="K151" s="1">
        <f ca="1">IFERROR(__xludf.DUMMYFUNCTION("""COMPUTED_VALUE"""),1)</f>
        <v>1</v>
      </c>
      <c r="L151" s="1">
        <f ca="1">IFERROR(__xludf.DUMMYFUNCTION("""COMPUTED_VALUE"""),7)</f>
        <v>7</v>
      </c>
      <c r="M151" s="1">
        <f ca="1">IFERROR(__xludf.DUMMYFUNCTION("""COMPUTED_VALUE"""),3)</f>
        <v>3</v>
      </c>
      <c r="N151" s="1">
        <f ca="1">IFERROR(__xludf.DUMMYFUNCTION("""COMPUTED_VALUE"""),2782)</f>
        <v>2782</v>
      </c>
      <c r="O151" s="1">
        <f ca="1">IFERROR(__xludf.DUMMYFUNCTION("""COMPUTED_VALUE"""),2292)</f>
        <v>2292</v>
      </c>
      <c r="P151" s="1">
        <f ca="1">IFERROR(__xludf.DUMMYFUNCTION("""COMPUTED_VALUE"""),1505)</f>
        <v>1505</v>
      </c>
      <c r="Q151" s="1">
        <f ca="1">IFERROR(__xludf.DUMMYFUNCTION("""COMPUTED_VALUE"""),985)</f>
        <v>985</v>
      </c>
      <c r="R151" s="1">
        <f ca="1">IFERROR(__xludf.DUMMYFUNCTION("""COMPUTED_VALUE"""),2049)</f>
        <v>2049</v>
      </c>
      <c r="S151" s="1">
        <f ca="1">IFERROR(__xludf.DUMMYFUNCTION("""COMPUTED_VALUE"""),0.481)</f>
        <v>0.48099999999999998</v>
      </c>
      <c r="T151" s="1">
        <f ca="1">IFERROR(__xludf.DUMMYFUNCTION("""COMPUTED_VALUE"""),216)</f>
        <v>216</v>
      </c>
      <c r="U151" s="1">
        <f ca="1">IFERROR(__xludf.DUMMYFUNCTION("""COMPUTED_VALUE"""),594)</f>
        <v>594</v>
      </c>
      <c r="V151" s="1">
        <f ca="1">IFERROR(__xludf.DUMMYFUNCTION("""COMPUTED_VALUE"""),0.364)</f>
        <v>0.36399999999999999</v>
      </c>
      <c r="W151" s="1">
        <f ca="1">IFERROR(__xludf.DUMMYFUNCTION("""COMPUTED_VALUE"""),596)</f>
        <v>596</v>
      </c>
      <c r="X151" s="1">
        <f ca="1">IFERROR(__xludf.DUMMYFUNCTION("""COMPUTED_VALUE"""),809)</f>
        <v>809</v>
      </c>
      <c r="Y151" s="1">
        <f ca="1">IFERROR(__xludf.DUMMYFUNCTION("""COMPUTED_VALUE"""),0.737)</f>
        <v>0.73699999999999999</v>
      </c>
      <c r="Z151" s="1">
        <f ca="1">IFERROR(__xludf.DUMMYFUNCTION("""COMPUTED_VALUE"""),399)</f>
        <v>399</v>
      </c>
      <c r="AA151" s="1">
        <f ca="1">IFERROR(__xludf.DUMMYFUNCTION("""COMPUTED_VALUE"""),1354)</f>
        <v>1354</v>
      </c>
      <c r="AB151" s="1">
        <f ca="1">IFERROR(__xludf.DUMMYFUNCTION("""COMPUTED_VALUE"""),575)</f>
        <v>575</v>
      </c>
      <c r="AC151" s="1">
        <f ca="1">IFERROR(__xludf.DUMMYFUNCTION("""COMPUTED_VALUE"""),260)</f>
        <v>260</v>
      </c>
      <c r="AD151" s="1">
        <f ca="1">IFERROR(__xludf.DUMMYFUNCTION("""COMPUTED_VALUE"""),247)</f>
        <v>247</v>
      </c>
      <c r="AE151" s="1">
        <f ca="1">IFERROR(__xludf.DUMMYFUNCTION("""COMPUTED_VALUE"""),517)</f>
        <v>517</v>
      </c>
      <c r="AF151" s="1">
        <f ca="1">IFERROR(__xludf.DUMMYFUNCTION("""COMPUTED_VALUE"""),620)</f>
        <v>620</v>
      </c>
    </row>
    <row r="152" spans="1:32" ht="12.5" x14ac:dyDescent="0.25">
      <c r="A152" s="1" t="str">
        <f ca="1">IFERROR(__xludf.DUMMYFUNCTION("""COMPUTED_VALUE"""),"Kennesaw State")</f>
        <v>Kennesaw State</v>
      </c>
      <c r="B152" s="1">
        <f ca="1">IFERROR(__xludf.DUMMYFUNCTION("""COMPUTED_VALUE"""),30)</f>
        <v>30</v>
      </c>
      <c r="C152" s="1">
        <f ca="1">IFERROR(__xludf.DUMMYFUNCTION("""COMPUTED_VALUE"""),3)</f>
        <v>3</v>
      </c>
      <c r="D152" s="1">
        <f ca="1">IFERROR(__xludf.DUMMYFUNCTION("""COMPUTED_VALUE"""),27)</f>
        <v>27</v>
      </c>
      <c r="E152" s="1">
        <f ca="1">IFERROR(__xludf.DUMMYFUNCTION("""COMPUTED_VALUE"""),0.1)</f>
        <v>0.1</v>
      </c>
      <c r="F152" s="1">
        <f ca="1">IFERROR(__xludf.DUMMYFUNCTION("""COMPUTED_VALUE"""),-15.4)</f>
        <v>-15.4</v>
      </c>
      <c r="G152" s="1">
        <f ca="1">IFERROR(__xludf.DUMMYFUNCTION("""COMPUTED_VALUE"""),-4.76)</f>
        <v>-4.76</v>
      </c>
      <c r="H152" s="1">
        <f ca="1">IFERROR(__xludf.DUMMYFUNCTION("""COMPUTED_VALUE"""),2)</f>
        <v>2</v>
      </c>
      <c r="I152" s="1">
        <f ca="1">IFERROR(__xludf.DUMMYFUNCTION("""COMPUTED_VALUE"""),16)</f>
        <v>16</v>
      </c>
      <c r="J152" s="1">
        <f ca="1">IFERROR(__xludf.DUMMYFUNCTION("""COMPUTED_VALUE"""),2)</f>
        <v>2</v>
      </c>
      <c r="K152" s="1">
        <f ca="1">IFERROR(__xludf.DUMMYFUNCTION("""COMPUTED_VALUE"""),10)</f>
        <v>10</v>
      </c>
      <c r="L152" s="1">
        <f ca="1">IFERROR(__xludf.DUMMYFUNCTION("""COMPUTED_VALUE"""),1)</f>
        <v>1</v>
      </c>
      <c r="M152" s="1">
        <f ca="1">IFERROR(__xludf.DUMMYFUNCTION("""COMPUTED_VALUE"""),15)</f>
        <v>15</v>
      </c>
      <c r="N152" s="1">
        <f ca="1">IFERROR(__xludf.DUMMYFUNCTION("""COMPUTED_VALUE"""),1831)</f>
        <v>1831</v>
      </c>
      <c r="O152" s="1">
        <f ca="1">IFERROR(__xludf.DUMMYFUNCTION("""COMPUTED_VALUE"""),2150)</f>
        <v>2150</v>
      </c>
      <c r="P152" s="1">
        <f ca="1">IFERROR(__xludf.DUMMYFUNCTION("""COMPUTED_VALUE"""),1225)</f>
        <v>1225</v>
      </c>
      <c r="Q152" s="1">
        <f ca="1">IFERROR(__xludf.DUMMYFUNCTION("""COMPUTED_VALUE"""),644)</f>
        <v>644</v>
      </c>
      <c r="R152" s="1">
        <f ca="1">IFERROR(__xludf.DUMMYFUNCTION("""COMPUTED_VALUE"""),1609)</f>
        <v>1609</v>
      </c>
      <c r="S152" s="1">
        <f ca="1">IFERROR(__xludf.DUMMYFUNCTION("""COMPUTED_VALUE"""),0.4)</f>
        <v>0.4</v>
      </c>
      <c r="T152" s="1">
        <f ca="1">IFERROR(__xludf.DUMMYFUNCTION("""COMPUTED_VALUE"""),152)</f>
        <v>152</v>
      </c>
      <c r="U152" s="1">
        <f ca="1">IFERROR(__xludf.DUMMYFUNCTION("""COMPUTED_VALUE"""),502)</f>
        <v>502</v>
      </c>
      <c r="V152" s="1">
        <f ca="1">IFERROR(__xludf.DUMMYFUNCTION("""COMPUTED_VALUE"""),0.303)</f>
        <v>0.30299999999999999</v>
      </c>
      <c r="W152" s="1">
        <f ca="1">IFERROR(__xludf.DUMMYFUNCTION("""COMPUTED_VALUE"""),391)</f>
        <v>391</v>
      </c>
      <c r="X152" s="1">
        <f ca="1">IFERROR(__xludf.DUMMYFUNCTION("""COMPUTED_VALUE"""),601)</f>
        <v>601</v>
      </c>
      <c r="Y152" s="1">
        <f ca="1">IFERROR(__xludf.DUMMYFUNCTION("""COMPUTED_VALUE"""),0.651)</f>
        <v>0.65100000000000002</v>
      </c>
      <c r="Z152" s="1">
        <f ca="1">IFERROR(__xludf.DUMMYFUNCTION("""COMPUTED_VALUE"""),328)</f>
        <v>328</v>
      </c>
      <c r="AA152" s="1">
        <f ca="1">IFERROR(__xludf.DUMMYFUNCTION("""COMPUTED_VALUE"""),798)</f>
        <v>798</v>
      </c>
      <c r="AB152" s="1">
        <f ca="1">IFERROR(__xludf.DUMMYFUNCTION("""COMPUTED_VALUE"""),312)</f>
        <v>312</v>
      </c>
      <c r="AC152" s="1">
        <f ca="1">IFERROR(__xludf.DUMMYFUNCTION("""COMPUTED_VALUE"""),211)</f>
        <v>211</v>
      </c>
      <c r="AD152" s="1">
        <f ca="1">IFERROR(__xludf.DUMMYFUNCTION("""COMPUTED_VALUE"""),50)</f>
        <v>50</v>
      </c>
      <c r="AE152" s="1">
        <f ca="1">IFERROR(__xludf.DUMMYFUNCTION("""COMPUTED_VALUE"""),414)</f>
        <v>414</v>
      </c>
      <c r="AF152" s="1">
        <f ca="1">IFERROR(__xludf.DUMMYFUNCTION("""COMPUTED_VALUE"""),603)</f>
        <v>603</v>
      </c>
    </row>
    <row r="153" spans="1:32" ht="12.5" x14ac:dyDescent="0.25">
      <c r="A153" s="1" t="str">
        <f ca="1">IFERROR(__xludf.DUMMYFUNCTION("""COMPUTED_VALUE"""),"Kent State")</f>
        <v>Kent State</v>
      </c>
      <c r="B153" s="1">
        <f ca="1">IFERROR(__xludf.DUMMYFUNCTION("""COMPUTED_VALUE"""),35)</f>
        <v>35</v>
      </c>
      <c r="C153" s="1">
        <f ca="1">IFERROR(__xludf.DUMMYFUNCTION("""COMPUTED_VALUE"""),21)</f>
        <v>21</v>
      </c>
      <c r="D153" s="1">
        <f ca="1">IFERROR(__xludf.DUMMYFUNCTION("""COMPUTED_VALUE"""),14)</f>
        <v>14</v>
      </c>
      <c r="E153" s="1">
        <f ca="1">IFERROR(__xludf.DUMMYFUNCTION("""COMPUTED_VALUE"""),0.6)</f>
        <v>0.6</v>
      </c>
      <c r="F153" s="1">
        <f ca="1">IFERROR(__xludf.DUMMYFUNCTION("""COMPUTED_VALUE"""),2.38)</f>
        <v>2.38</v>
      </c>
      <c r="G153" s="1">
        <f ca="1">IFERROR(__xludf.DUMMYFUNCTION("""COMPUTED_VALUE"""),-0.83)</f>
        <v>-0.83</v>
      </c>
      <c r="H153" s="1">
        <f ca="1">IFERROR(__xludf.DUMMYFUNCTION("""COMPUTED_VALUE"""),9)</f>
        <v>9</v>
      </c>
      <c r="I153" s="1">
        <f ca="1">IFERROR(__xludf.DUMMYFUNCTION("""COMPUTED_VALUE"""),7)</f>
        <v>7</v>
      </c>
      <c r="J153" s="1">
        <f ca="1">IFERROR(__xludf.DUMMYFUNCTION("""COMPUTED_VALUE"""),12)</f>
        <v>12</v>
      </c>
      <c r="K153" s="1">
        <f ca="1">IFERROR(__xludf.DUMMYFUNCTION("""COMPUTED_VALUE"""),6)</f>
        <v>6</v>
      </c>
      <c r="L153" s="1">
        <f ca="1">IFERROR(__xludf.DUMMYFUNCTION("""COMPUTED_VALUE"""),8)</f>
        <v>8</v>
      </c>
      <c r="M153" s="1">
        <f ca="1">IFERROR(__xludf.DUMMYFUNCTION("""COMPUTED_VALUE"""),7)</f>
        <v>7</v>
      </c>
      <c r="N153" s="1">
        <f ca="1">IFERROR(__xludf.DUMMYFUNCTION("""COMPUTED_VALUE"""),2484)</f>
        <v>2484</v>
      </c>
      <c r="O153" s="1">
        <f ca="1">IFERROR(__xludf.DUMMYFUNCTION("""COMPUTED_VALUE"""),2373)</f>
        <v>2373</v>
      </c>
      <c r="P153" s="1">
        <f ca="1">IFERROR(__xludf.DUMMYFUNCTION("""COMPUTED_VALUE"""),1425)</f>
        <v>1425</v>
      </c>
      <c r="Q153" s="1">
        <f ca="1">IFERROR(__xludf.DUMMYFUNCTION("""COMPUTED_VALUE"""),823)</f>
        <v>823</v>
      </c>
      <c r="R153" s="1">
        <f ca="1">IFERROR(__xludf.DUMMYFUNCTION("""COMPUTED_VALUE"""),1921)</f>
        <v>1921</v>
      </c>
      <c r="S153" s="1">
        <f ca="1">IFERROR(__xludf.DUMMYFUNCTION("""COMPUTED_VALUE"""),0.428)</f>
        <v>0.42799999999999999</v>
      </c>
      <c r="T153" s="1">
        <f ca="1">IFERROR(__xludf.DUMMYFUNCTION("""COMPUTED_VALUE"""),241)</f>
        <v>241</v>
      </c>
      <c r="U153" s="1">
        <f ca="1">IFERROR(__xludf.DUMMYFUNCTION("""COMPUTED_VALUE"""),669)</f>
        <v>669</v>
      </c>
      <c r="V153" s="1">
        <f ca="1">IFERROR(__xludf.DUMMYFUNCTION("""COMPUTED_VALUE"""),0.36)</f>
        <v>0.36</v>
      </c>
      <c r="W153" s="1">
        <f ca="1">IFERROR(__xludf.DUMMYFUNCTION("""COMPUTED_VALUE"""),597)</f>
        <v>597</v>
      </c>
      <c r="X153" s="1">
        <f ca="1">IFERROR(__xludf.DUMMYFUNCTION("""COMPUTED_VALUE"""),842)</f>
        <v>842</v>
      </c>
      <c r="Y153" s="1">
        <f ca="1">IFERROR(__xludf.DUMMYFUNCTION("""COMPUTED_VALUE"""),0.709)</f>
        <v>0.70899999999999996</v>
      </c>
      <c r="Z153" s="1">
        <f ca="1">IFERROR(__xludf.DUMMYFUNCTION("""COMPUTED_VALUE"""),427)</f>
        <v>427</v>
      </c>
      <c r="AA153" s="1">
        <f ca="1">IFERROR(__xludf.DUMMYFUNCTION("""COMPUTED_VALUE"""),1116)</f>
        <v>1116</v>
      </c>
      <c r="AB153" s="1">
        <f ca="1">IFERROR(__xludf.DUMMYFUNCTION("""COMPUTED_VALUE"""),402)</f>
        <v>402</v>
      </c>
      <c r="AC153" s="1">
        <f ca="1">IFERROR(__xludf.DUMMYFUNCTION("""COMPUTED_VALUE"""),235)</f>
        <v>235</v>
      </c>
      <c r="AD153" s="1">
        <f ca="1">IFERROR(__xludf.DUMMYFUNCTION("""COMPUTED_VALUE"""),93)</f>
        <v>93</v>
      </c>
      <c r="AE153" s="1">
        <f ca="1">IFERROR(__xludf.DUMMYFUNCTION("""COMPUTED_VALUE"""),447)</f>
        <v>447</v>
      </c>
      <c r="AF153" s="1">
        <f ca="1">IFERROR(__xludf.DUMMYFUNCTION("""COMPUTED_VALUE"""),684)</f>
        <v>684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IFERROR(__xludf.DUMMYFUNCTION("""COMPUTED_VALUE"""),"Kentucky")</f>
        <v>Kentucky</v>
      </c>
      <c r="B156" s="1">
        <f ca="1">IFERROR(__xludf.DUMMYFUNCTION("""COMPUTED_VALUE"""),33)</f>
        <v>33</v>
      </c>
      <c r="C156" s="1">
        <f ca="1">IFERROR(__xludf.DUMMYFUNCTION("""COMPUTED_VALUE"""),21)</f>
        <v>21</v>
      </c>
      <c r="D156" s="1">
        <f ca="1">IFERROR(__xludf.DUMMYFUNCTION("""COMPUTED_VALUE"""),12)</f>
        <v>12</v>
      </c>
      <c r="E156" s="1">
        <f ca="1">IFERROR(__xludf.DUMMYFUNCTION("""COMPUTED_VALUE"""),0.636)</f>
        <v>0.63600000000000001</v>
      </c>
      <c r="F156" s="1">
        <f ca="1">IFERROR(__xludf.DUMMYFUNCTION("""COMPUTED_VALUE"""),13.94)</f>
        <v>13.94</v>
      </c>
      <c r="G156" s="1">
        <f ca="1">IFERROR(__xludf.DUMMYFUNCTION("""COMPUTED_VALUE"""),5.78)</f>
        <v>5.78</v>
      </c>
      <c r="H156" s="1">
        <f ca="1">IFERROR(__xludf.DUMMYFUNCTION("""COMPUTED_VALUE"""),12)</f>
        <v>12</v>
      </c>
      <c r="I156" s="1">
        <f ca="1">IFERROR(__xludf.DUMMYFUNCTION("""COMPUTED_VALUE"""),6)</f>
        <v>6</v>
      </c>
      <c r="J156" s="1">
        <f ca="1">IFERROR(__xludf.DUMMYFUNCTION("""COMPUTED_VALUE"""),16)</f>
        <v>16</v>
      </c>
      <c r="K156" s="1">
        <f ca="1">IFERROR(__xludf.DUMMYFUNCTION("""COMPUTED_VALUE"""),2)</f>
        <v>2</v>
      </c>
      <c r="L156" s="1">
        <f ca="1">IFERROR(__xludf.DUMMYFUNCTION("""COMPUTED_VALUE"""),4)</f>
        <v>4</v>
      </c>
      <c r="M156" s="1">
        <f ca="1">IFERROR(__xludf.DUMMYFUNCTION("""COMPUTED_VALUE"""),8)</f>
        <v>8</v>
      </c>
      <c r="N156" s="1">
        <f ca="1">IFERROR(__xludf.DUMMYFUNCTION("""COMPUTED_VALUE"""),2396)</f>
        <v>2396</v>
      </c>
      <c r="O156" s="1">
        <f ca="1">IFERROR(__xludf.DUMMYFUNCTION("""COMPUTED_VALUE"""),2127)</f>
        <v>2127</v>
      </c>
      <c r="P156" s="1">
        <f ca="1">IFERROR(__xludf.DUMMYFUNCTION("""COMPUTED_VALUE"""),1330)</f>
        <v>1330</v>
      </c>
      <c r="Q156" s="1">
        <f ca="1">IFERROR(__xludf.DUMMYFUNCTION("""COMPUTED_VALUE"""),863)</f>
        <v>863</v>
      </c>
      <c r="R156" s="1">
        <f ca="1">IFERROR(__xludf.DUMMYFUNCTION("""COMPUTED_VALUE"""),1815)</f>
        <v>1815</v>
      </c>
      <c r="S156" s="1">
        <f ca="1">IFERROR(__xludf.DUMMYFUNCTION("""COMPUTED_VALUE"""),0.475)</f>
        <v>0.47499999999999998</v>
      </c>
      <c r="T156" s="1">
        <f ca="1">IFERROR(__xludf.DUMMYFUNCTION("""COMPUTED_VALUE"""),184)</f>
        <v>184</v>
      </c>
      <c r="U156" s="1">
        <f ca="1">IFERROR(__xludf.DUMMYFUNCTION("""COMPUTED_VALUE"""),532)</f>
        <v>532</v>
      </c>
      <c r="V156" s="1">
        <f ca="1">IFERROR(__xludf.DUMMYFUNCTION("""COMPUTED_VALUE"""),0.346)</f>
        <v>0.34599999999999997</v>
      </c>
      <c r="W156" s="1">
        <f ca="1">IFERROR(__xludf.DUMMYFUNCTION("""COMPUTED_VALUE"""),486)</f>
        <v>486</v>
      </c>
      <c r="X156" s="1">
        <f ca="1">IFERROR(__xludf.DUMMYFUNCTION("""COMPUTED_VALUE"""),757)</f>
        <v>757</v>
      </c>
      <c r="Y156" s="1">
        <f ca="1">IFERROR(__xludf.DUMMYFUNCTION("""COMPUTED_VALUE"""),0.642)</f>
        <v>0.64200000000000002</v>
      </c>
      <c r="Z156" s="1">
        <f ca="1">IFERROR(__xludf.DUMMYFUNCTION("""COMPUTED_VALUE"""),379)</f>
        <v>379</v>
      </c>
      <c r="AA156" s="1">
        <f ca="1">IFERROR(__xludf.DUMMYFUNCTION("""COMPUTED_VALUE"""),1163)</f>
        <v>1163</v>
      </c>
      <c r="AB156" s="1">
        <f ca="1">IFERROR(__xludf.DUMMYFUNCTION("""COMPUTED_VALUE"""),441)</f>
        <v>441</v>
      </c>
      <c r="AC156" s="1">
        <f ca="1">IFERROR(__xludf.DUMMYFUNCTION("""COMPUTED_VALUE"""),185)</f>
        <v>185</v>
      </c>
      <c r="AD156" s="1">
        <f ca="1">IFERROR(__xludf.DUMMYFUNCTION("""COMPUTED_VALUE"""),217)</f>
        <v>217</v>
      </c>
      <c r="AE156" s="1">
        <f ca="1">IFERROR(__xludf.DUMMYFUNCTION("""COMPUTED_VALUE"""),430)</f>
        <v>430</v>
      </c>
      <c r="AF156" s="1">
        <f ca="1">IFERROR(__xludf.DUMMYFUNCTION("""COMPUTED_VALUE"""),566)</f>
        <v>566</v>
      </c>
    </row>
    <row r="157" spans="1:32" ht="12.5" x14ac:dyDescent="0.25">
      <c r="A157" s="1" t="str">
        <f ca="1">IFERROR(__xludf.DUMMYFUNCTION("""COMPUTED_VALUE"""),"La SalleNCAA")</f>
        <v>La SalleNCAA</v>
      </c>
      <c r="B157" s="1">
        <f ca="1">IFERROR(__xludf.DUMMYFUNCTION("""COMPUTED_VALUE"""),34)</f>
        <v>34</v>
      </c>
      <c r="C157" s="1">
        <f ca="1">IFERROR(__xludf.DUMMYFUNCTION("""COMPUTED_VALUE"""),24)</f>
        <v>24</v>
      </c>
      <c r="D157" s="1">
        <f ca="1">IFERROR(__xludf.DUMMYFUNCTION("""COMPUTED_VALUE"""),10)</f>
        <v>10</v>
      </c>
      <c r="E157" s="1">
        <f ca="1">IFERROR(__xludf.DUMMYFUNCTION("""COMPUTED_VALUE"""),0.706)</f>
        <v>0.70599999999999996</v>
      </c>
      <c r="F157" s="1">
        <f ca="1">IFERROR(__xludf.DUMMYFUNCTION("""COMPUTED_VALUE"""),10.14)</f>
        <v>10.14</v>
      </c>
      <c r="G157" s="1">
        <f ca="1">IFERROR(__xludf.DUMMYFUNCTION("""COMPUTED_VALUE"""),4.46)</f>
        <v>4.46</v>
      </c>
      <c r="H157" s="1">
        <f ca="1">IFERROR(__xludf.DUMMYFUNCTION("""COMPUTED_VALUE"""),11)</f>
        <v>11</v>
      </c>
      <c r="I157" s="1">
        <f ca="1">IFERROR(__xludf.DUMMYFUNCTION("""COMPUTED_VALUE"""),5)</f>
        <v>5</v>
      </c>
      <c r="J157" s="1">
        <f ca="1">IFERROR(__xludf.DUMMYFUNCTION("""COMPUTED_VALUE"""),13)</f>
        <v>13</v>
      </c>
      <c r="K157" s="1">
        <f ca="1">IFERROR(__xludf.DUMMYFUNCTION("""COMPUTED_VALUE"""),2)</f>
        <v>2</v>
      </c>
      <c r="L157" s="1">
        <f ca="1">IFERROR(__xludf.DUMMYFUNCTION("""COMPUTED_VALUE"""),8)</f>
        <v>8</v>
      </c>
      <c r="M157" s="1">
        <f ca="1">IFERROR(__xludf.DUMMYFUNCTION("""COMPUTED_VALUE"""),6)</f>
        <v>6</v>
      </c>
      <c r="N157" s="1">
        <f ca="1">IFERROR(__xludf.DUMMYFUNCTION("""COMPUTED_VALUE"""),2450)</f>
        <v>2450</v>
      </c>
      <c r="O157" s="1">
        <f ca="1">IFERROR(__xludf.DUMMYFUNCTION("""COMPUTED_VALUE"""),2257)</f>
        <v>2257</v>
      </c>
      <c r="P157" s="1">
        <f ca="1">IFERROR(__xludf.DUMMYFUNCTION("""COMPUTED_VALUE"""),1370)</f>
        <v>1370</v>
      </c>
      <c r="Q157" s="1">
        <f ca="1">IFERROR(__xludf.DUMMYFUNCTION("""COMPUTED_VALUE"""),871)</f>
        <v>871</v>
      </c>
      <c r="R157" s="1">
        <f ca="1">IFERROR(__xludf.DUMMYFUNCTION("""COMPUTED_VALUE"""),1931)</f>
        <v>1931</v>
      </c>
      <c r="S157" s="1">
        <f ca="1">IFERROR(__xludf.DUMMYFUNCTION("""COMPUTED_VALUE"""),0.451)</f>
        <v>0.45100000000000001</v>
      </c>
      <c r="T157" s="1">
        <f ca="1">IFERROR(__xludf.DUMMYFUNCTION("""COMPUTED_VALUE"""),262)</f>
        <v>262</v>
      </c>
      <c r="U157" s="1">
        <f ca="1">IFERROR(__xludf.DUMMYFUNCTION("""COMPUTED_VALUE"""),695)</f>
        <v>695</v>
      </c>
      <c r="V157" s="1">
        <f ca="1">IFERROR(__xludf.DUMMYFUNCTION("""COMPUTED_VALUE"""),0.377)</f>
        <v>0.377</v>
      </c>
      <c r="W157" s="1">
        <f ca="1">IFERROR(__xludf.DUMMYFUNCTION("""COMPUTED_VALUE"""),446)</f>
        <v>446</v>
      </c>
      <c r="X157" s="1">
        <f ca="1">IFERROR(__xludf.DUMMYFUNCTION("""COMPUTED_VALUE"""),605)</f>
        <v>605</v>
      </c>
      <c r="Y157" s="1">
        <f ca="1">IFERROR(__xludf.DUMMYFUNCTION("""COMPUTED_VALUE"""),0.737)</f>
        <v>0.73699999999999999</v>
      </c>
      <c r="Z157" s="1">
        <f ca="1">IFERROR(__xludf.DUMMYFUNCTION("""COMPUTED_VALUE"""),332)</f>
        <v>332</v>
      </c>
      <c r="AA157" s="1">
        <f ca="1">IFERROR(__xludf.DUMMYFUNCTION("""COMPUTED_VALUE"""),958)</f>
        <v>958</v>
      </c>
      <c r="AB157" s="1">
        <f ca="1">IFERROR(__xludf.DUMMYFUNCTION("""COMPUTED_VALUE"""),481)</f>
        <v>481</v>
      </c>
      <c r="AC157" s="1">
        <f ca="1">IFERROR(__xludf.DUMMYFUNCTION("""COMPUTED_VALUE"""),263)</f>
        <v>263</v>
      </c>
      <c r="AD157" s="1">
        <f ca="1">IFERROR(__xludf.DUMMYFUNCTION("""COMPUTED_VALUE"""),119)</f>
        <v>119</v>
      </c>
      <c r="AE157" s="1">
        <f ca="1">IFERROR(__xludf.DUMMYFUNCTION("""COMPUTED_VALUE"""),390)</f>
        <v>390</v>
      </c>
      <c r="AF157" s="1">
        <f ca="1">IFERROR(__xludf.DUMMYFUNCTION("""COMPUTED_VALUE"""),520)</f>
        <v>520</v>
      </c>
    </row>
    <row r="158" spans="1:32" ht="12.5" x14ac:dyDescent="0.25">
      <c r="A158" s="1" t="str">
        <f ca="1">IFERROR(__xludf.DUMMYFUNCTION("""COMPUTED_VALUE"""),"Lafayette")</f>
        <v>Lafayette</v>
      </c>
      <c r="B158" s="1">
        <f ca="1">IFERROR(__xludf.DUMMYFUNCTION("""COMPUTED_VALUE"""),34)</f>
        <v>34</v>
      </c>
      <c r="C158" s="1">
        <f ca="1">IFERROR(__xludf.DUMMYFUNCTION("""COMPUTED_VALUE"""),19)</f>
        <v>19</v>
      </c>
      <c r="D158" s="1">
        <f ca="1">IFERROR(__xludf.DUMMYFUNCTION("""COMPUTED_VALUE"""),15)</f>
        <v>15</v>
      </c>
      <c r="E158" s="1">
        <f ca="1">IFERROR(__xludf.DUMMYFUNCTION("""COMPUTED_VALUE"""),0.559)</f>
        <v>0.55900000000000005</v>
      </c>
      <c r="F158" s="1">
        <f ca="1">IFERROR(__xludf.DUMMYFUNCTION("""COMPUTED_VALUE"""),-3)</f>
        <v>-3</v>
      </c>
      <c r="G158" s="1">
        <f ca="1">IFERROR(__xludf.DUMMYFUNCTION("""COMPUTED_VALUE"""),-2.36)</f>
        <v>-2.36</v>
      </c>
      <c r="H158" s="1">
        <f ca="1">IFERROR(__xludf.DUMMYFUNCTION("""COMPUTED_VALUE"""),10)</f>
        <v>10</v>
      </c>
      <c r="I158" s="1">
        <f ca="1">IFERROR(__xludf.DUMMYFUNCTION("""COMPUTED_VALUE"""),4)</f>
        <v>4</v>
      </c>
      <c r="J158" s="1">
        <f ca="1">IFERROR(__xludf.DUMMYFUNCTION("""COMPUTED_VALUE"""),14)</f>
        <v>14</v>
      </c>
      <c r="K158" s="1">
        <f ca="1">IFERROR(__xludf.DUMMYFUNCTION("""COMPUTED_VALUE"""),3)</f>
        <v>3</v>
      </c>
      <c r="L158" s="1">
        <f ca="1">IFERROR(__xludf.DUMMYFUNCTION("""COMPUTED_VALUE"""),5)</f>
        <v>5</v>
      </c>
      <c r="M158" s="1">
        <f ca="1">IFERROR(__xludf.DUMMYFUNCTION("""COMPUTED_VALUE"""),12)</f>
        <v>12</v>
      </c>
      <c r="N158" s="1">
        <f ca="1">IFERROR(__xludf.DUMMYFUNCTION("""COMPUTED_VALUE"""),2349)</f>
        <v>2349</v>
      </c>
      <c r="O158" s="1">
        <f ca="1">IFERROR(__xludf.DUMMYFUNCTION("""COMPUTED_VALUE"""),2346)</f>
        <v>2346</v>
      </c>
      <c r="P158" s="1">
        <f ca="1">IFERROR(__xludf.DUMMYFUNCTION("""COMPUTED_VALUE"""),1365)</f>
        <v>1365</v>
      </c>
      <c r="Q158" s="1">
        <f ca="1">IFERROR(__xludf.DUMMYFUNCTION("""COMPUTED_VALUE"""),842)</f>
        <v>842</v>
      </c>
      <c r="R158" s="1">
        <f ca="1">IFERROR(__xludf.DUMMYFUNCTION("""COMPUTED_VALUE"""),1842)</f>
        <v>1842</v>
      </c>
      <c r="S158" s="1">
        <f ca="1">IFERROR(__xludf.DUMMYFUNCTION("""COMPUTED_VALUE"""),0.457)</f>
        <v>0.45700000000000002</v>
      </c>
      <c r="T158" s="1">
        <f ca="1">IFERROR(__xludf.DUMMYFUNCTION("""COMPUTED_VALUE"""),276)</f>
        <v>276</v>
      </c>
      <c r="U158" s="1">
        <f ca="1">IFERROR(__xludf.DUMMYFUNCTION("""COMPUTED_VALUE"""),718)</f>
        <v>718</v>
      </c>
      <c r="V158" s="1">
        <f ca="1">IFERROR(__xludf.DUMMYFUNCTION("""COMPUTED_VALUE"""),0.384)</f>
        <v>0.38400000000000001</v>
      </c>
      <c r="W158" s="1">
        <f ca="1">IFERROR(__xludf.DUMMYFUNCTION("""COMPUTED_VALUE"""),389)</f>
        <v>389</v>
      </c>
      <c r="X158" s="1">
        <f ca="1">IFERROR(__xludf.DUMMYFUNCTION("""COMPUTED_VALUE"""),516)</f>
        <v>516</v>
      </c>
      <c r="Y158" s="1">
        <f ca="1">IFERROR(__xludf.DUMMYFUNCTION("""COMPUTED_VALUE"""),0.754)</f>
        <v>0.754</v>
      </c>
      <c r="Z158" s="1">
        <f ca="1">IFERROR(__xludf.DUMMYFUNCTION("""COMPUTED_VALUE"""),270)</f>
        <v>270</v>
      </c>
      <c r="AA158" s="1">
        <f ca="1">IFERROR(__xludf.DUMMYFUNCTION("""COMPUTED_VALUE"""),896)</f>
        <v>896</v>
      </c>
      <c r="AB158" s="1">
        <f ca="1">IFERROR(__xludf.DUMMYFUNCTION("""COMPUTED_VALUE"""),486)</f>
        <v>486</v>
      </c>
      <c r="AC158" s="1">
        <f ca="1">IFERROR(__xludf.DUMMYFUNCTION("""COMPUTED_VALUE"""),231)</f>
        <v>231</v>
      </c>
      <c r="AD158" s="1">
        <f ca="1">IFERROR(__xludf.DUMMYFUNCTION("""COMPUTED_VALUE"""),107)</f>
        <v>107</v>
      </c>
      <c r="AE158" s="1">
        <f ca="1">IFERROR(__xludf.DUMMYFUNCTION("""COMPUTED_VALUE"""),424)</f>
        <v>424</v>
      </c>
      <c r="AF158" s="1">
        <f ca="1">IFERROR(__xludf.DUMMYFUNCTION("""COMPUTED_VALUE"""),530)</f>
        <v>530</v>
      </c>
    </row>
    <row r="159" spans="1:32" ht="12.5" x14ac:dyDescent="0.25">
      <c r="A159" s="1" t="str">
        <f ca="1">IFERROR(__xludf.DUMMYFUNCTION("""COMPUTED_VALUE"""),"Lamar")</f>
        <v>Lamar</v>
      </c>
      <c r="B159" s="1">
        <f ca="1">IFERROR(__xludf.DUMMYFUNCTION("""COMPUTED_VALUE"""),31)</f>
        <v>31</v>
      </c>
      <c r="C159" s="1">
        <f ca="1">IFERROR(__xludf.DUMMYFUNCTION("""COMPUTED_VALUE"""),3)</f>
        <v>3</v>
      </c>
      <c r="D159" s="1">
        <f ca="1">IFERROR(__xludf.DUMMYFUNCTION("""COMPUTED_VALUE"""),28)</f>
        <v>28</v>
      </c>
      <c r="E159" s="1">
        <f ca="1">IFERROR(__xludf.DUMMYFUNCTION("""COMPUTED_VALUE"""),0.097)</f>
        <v>9.7000000000000003E-2</v>
      </c>
      <c r="F159" s="1">
        <f ca="1">IFERROR(__xludf.DUMMYFUNCTION("""COMPUTED_VALUE"""),-20.55)</f>
        <v>-20.55</v>
      </c>
      <c r="G159" s="1">
        <f ca="1">IFERROR(__xludf.DUMMYFUNCTION("""COMPUTED_VALUE"""),-3.26)</f>
        <v>-3.26</v>
      </c>
      <c r="H159" s="1">
        <f ca="1">IFERROR(__xludf.DUMMYFUNCTION("""COMPUTED_VALUE"""),1)</f>
        <v>1</v>
      </c>
      <c r="I159" s="1">
        <f ca="1">IFERROR(__xludf.DUMMYFUNCTION("""COMPUTED_VALUE"""),17)</f>
        <v>17</v>
      </c>
      <c r="J159" s="1">
        <f ca="1">IFERROR(__xludf.DUMMYFUNCTION("""COMPUTED_VALUE"""),1)</f>
        <v>1</v>
      </c>
      <c r="K159" s="1">
        <f ca="1">IFERROR(__xludf.DUMMYFUNCTION("""COMPUTED_VALUE"""),10)</f>
        <v>10</v>
      </c>
      <c r="L159" s="1">
        <f ca="1">IFERROR(__xludf.DUMMYFUNCTION("""COMPUTED_VALUE"""),1)</f>
        <v>1</v>
      </c>
      <c r="M159" s="1">
        <f ca="1">IFERROR(__xludf.DUMMYFUNCTION("""COMPUTED_VALUE"""),17)</f>
        <v>17</v>
      </c>
      <c r="N159" s="1">
        <f ca="1">IFERROR(__xludf.DUMMYFUNCTION("""COMPUTED_VALUE"""),1862)</f>
        <v>1862</v>
      </c>
      <c r="O159" s="1">
        <f ca="1">IFERROR(__xludf.DUMMYFUNCTION("""COMPUTED_VALUE"""),2398)</f>
        <v>2398</v>
      </c>
      <c r="P159" s="1">
        <f ca="1">IFERROR(__xludf.DUMMYFUNCTION("""COMPUTED_VALUE"""),1251)</f>
        <v>1251</v>
      </c>
      <c r="Q159" s="1">
        <f ca="1">IFERROR(__xludf.DUMMYFUNCTION("""COMPUTED_VALUE"""),710)</f>
        <v>710</v>
      </c>
      <c r="R159" s="1">
        <f ca="1">IFERROR(__xludf.DUMMYFUNCTION("""COMPUTED_VALUE"""),1741)</f>
        <v>1741</v>
      </c>
      <c r="S159" s="1">
        <f ca="1">IFERROR(__xludf.DUMMYFUNCTION("""COMPUTED_VALUE"""),0.408)</f>
        <v>0.40799999999999997</v>
      </c>
      <c r="T159" s="1">
        <f ca="1">IFERROR(__xludf.DUMMYFUNCTION("""COMPUTED_VALUE"""),57)</f>
        <v>57</v>
      </c>
      <c r="U159" s="1">
        <f ca="1">IFERROR(__xludf.DUMMYFUNCTION("""COMPUTED_VALUE"""),188)</f>
        <v>188</v>
      </c>
      <c r="V159" s="1">
        <f ca="1">IFERROR(__xludf.DUMMYFUNCTION("""COMPUTED_VALUE"""),0.303)</f>
        <v>0.30299999999999999</v>
      </c>
      <c r="W159" s="1">
        <f ca="1">IFERROR(__xludf.DUMMYFUNCTION("""COMPUTED_VALUE"""),385)</f>
        <v>385</v>
      </c>
      <c r="X159" s="1">
        <f ca="1">IFERROR(__xludf.DUMMYFUNCTION("""COMPUTED_VALUE"""),548)</f>
        <v>548</v>
      </c>
      <c r="Y159" s="1">
        <f ca="1">IFERROR(__xludf.DUMMYFUNCTION("""COMPUTED_VALUE"""),0.703)</f>
        <v>0.70299999999999996</v>
      </c>
      <c r="Z159" s="1">
        <f ca="1">IFERROR(__xludf.DUMMYFUNCTION("""COMPUTED_VALUE"""),359)</f>
        <v>359</v>
      </c>
      <c r="AA159" s="1">
        <f ca="1">IFERROR(__xludf.DUMMYFUNCTION("""COMPUTED_VALUE"""),1016)</f>
        <v>1016</v>
      </c>
      <c r="AB159" s="1">
        <f ca="1">IFERROR(__xludf.DUMMYFUNCTION("""COMPUTED_VALUE"""),353)</f>
        <v>353</v>
      </c>
      <c r="AC159" s="1">
        <f ca="1">IFERROR(__xludf.DUMMYFUNCTION("""COMPUTED_VALUE"""),133)</f>
        <v>133</v>
      </c>
      <c r="AD159" s="1">
        <f ca="1">IFERROR(__xludf.DUMMYFUNCTION("""COMPUTED_VALUE"""),128)</f>
        <v>128</v>
      </c>
      <c r="AE159" s="1">
        <f ca="1">IFERROR(__xludf.DUMMYFUNCTION("""COMPUTED_VALUE"""),564)</f>
        <v>564</v>
      </c>
      <c r="AF159" s="1">
        <f ca="1">IFERROR(__xludf.DUMMYFUNCTION("""COMPUTED_VALUE"""),508)</f>
        <v>508</v>
      </c>
    </row>
    <row r="160" spans="1:32" ht="12.5" x14ac:dyDescent="0.25">
      <c r="A160" s="1" t="str">
        <f ca="1">IFERROR(__xludf.DUMMYFUNCTION("""COMPUTED_VALUE"""),"Lehigh")</f>
        <v>Lehigh</v>
      </c>
      <c r="B160" s="1">
        <f ca="1">IFERROR(__xludf.DUMMYFUNCTION("""COMPUTED_VALUE"""),31)</f>
        <v>31</v>
      </c>
      <c r="C160" s="1">
        <f ca="1">IFERROR(__xludf.DUMMYFUNCTION("""COMPUTED_VALUE"""),21)</f>
        <v>21</v>
      </c>
      <c r="D160" s="1">
        <f ca="1">IFERROR(__xludf.DUMMYFUNCTION("""COMPUTED_VALUE"""),10)</f>
        <v>10</v>
      </c>
      <c r="E160" s="1">
        <f ca="1">IFERROR(__xludf.DUMMYFUNCTION("""COMPUTED_VALUE"""),0.677)</f>
        <v>0.67700000000000005</v>
      </c>
      <c r="F160" s="1">
        <f ca="1">IFERROR(__xludf.DUMMYFUNCTION("""COMPUTED_VALUE"""),3.95)</f>
        <v>3.95</v>
      </c>
      <c r="G160" s="1">
        <f ca="1">IFERROR(__xludf.DUMMYFUNCTION("""COMPUTED_VALUE"""),-3.01)</f>
        <v>-3.01</v>
      </c>
      <c r="H160" s="1">
        <f ca="1">IFERROR(__xludf.DUMMYFUNCTION("""COMPUTED_VALUE"""),10)</f>
        <v>10</v>
      </c>
      <c r="I160" s="1">
        <f ca="1">IFERROR(__xludf.DUMMYFUNCTION("""COMPUTED_VALUE"""),4)</f>
        <v>4</v>
      </c>
      <c r="J160" s="1">
        <f ca="1">IFERROR(__xludf.DUMMYFUNCTION("""COMPUTED_VALUE"""),11)</f>
        <v>11</v>
      </c>
      <c r="K160" s="1">
        <f ca="1">IFERROR(__xludf.DUMMYFUNCTION("""COMPUTED_VALUE"""),3)</f>
        <v>3</v>
      </c>
      <c r="L160" s="1">
        <f ca="1">IFERROR(__xludf.DUMMYFUNCTION("""COMPUTED_VALUE"""),9)</f>
        <v>9</v>
      </c>
      <c r="M160" s="1">
        <f ca="1">IFERROR(__xludf.DUMMYFUNCTION("""COMPUTED_VALUE"""),7)</f>
        <v>7</v>
      </c>
      <c r="N160" s="1">
        <f ca="1">IFERROR(__xludf.DUMMYFUNCTION("""COMPUTED_VALUE"""),2266)</f>
        <v>2266</v>
      </c>
      <c r="O160" s="1">
        <f ca="1">IFERROR(__xludf.DUMMYFUNCTION("""COMPUTED_VALUE"""),2022)</f>
        <v>2022</v>
      </c>
      <c r="P160" s="1">
        <f ca="1">IFERROR(__xludf.DUMMYFUNCTION("""COMPUTED_VALUE"""),1240)</f>
        <v>1240</v>
      </c>
      <c r="Q160" s="1">
        <f ca="1">IFERROR(__xludf.DUMMYFUNCTION("""COMPUTED_VALUE"""),788)</f>
        <v>788</v>
      </c>
      <c r="R160" s="1">
        <f ca="1">IFERROR(__xludf.DUMMYFUNCTION("""COMPUTED_VALUE"""),1705)</f>
        <v>1705</v>
      </c>
      <c r="S160" s="1">
        <f ca="1">IFERROR(__xludf.DUMMYFUNCTION("""COMPUTED_VALUE"""),0.462)</f>
        <v>0.46200000000000002</v>
      </c>
      <c r="T160" s="1">
        <f ca="1">IFERROR(__xludf.DUMMYFUNCTION("""COMPUTED_VALUE"""),235)</f>
        <v>235</v>
      </c>
      <c r="U160" s="1">
        <f ca="1">IFERROR(__xludf.DUMMYFUNCTION("""COMPUTED_VALUE"""),600)</f>
        <v>600</v>
      </c>
      <c r="V160" s="1">
        <f ca="1">IFERROR(__xludf.DUMMYFUNCTION("""COMPUTED_VALUE"""),0.392)</f>
        <v>0.39200000000000002</v>
      </c>
      <c r="W160" s="1">
        <f ca="1">IFERROR(__xludf.DUMMYFUNCTION("""COMPUTED_VALUE"""),455)</f>
        <v>455</v>
      </c>
      <c r="X160" s="1">
        <f ca="1">IFERROR(__xludf.DUMMYFUNCTION("""COMPUTED_VALUE"""),617)</f>
        <v>617</v>
      </c>
      <c r="Y160" s="1">
        <f ca="1">IFERROR(__xludf.DUMMYFUNCTION("""COMPUTED_VALUE"""),0.737)</f>
        <v>0.73699999999999999</v>
      </c>
      <c r="Z160" s="1">
        <f ca="1">IFERROR(__xludf.DUMMYFUNCTION("""COMPUTED_VALUE"""),272)</f>
        <v>272</v>
      </c>
      <c r="AA160" s="1">
        <f ca="1">IFERROR(__xludf.DUMMYFUNCTION("""COMPUTED_VALUE"""),905)</f>
        <v>905</v>
      </c>
      <c r="AB160" s="1">
        <f ca="1">IFERROR(__xludf.DUMMYFUNCTION("""COMPUTED_VALUE"""),453)</f>
        <v>453</v>
      </c>
      <c r="AC160" s="1">
        <f ca="1">IFERROR(__xludf.DUMMYFUNCTION("""COMPUTED_VALUE"""),219)</f>
        <v>219</v>
      </c>
      <c r="AD160" s="1">
        <f ca="1">IFERROR(__xludf.DUMMYFUNCTION("""COMPUTED_VALUE"""),105)</f>
        <v>105</v>
      </c>
      <c r="AE160" s="1">
        <f ca="1">IFERROR(__xludf.DUMMYFUNCTION("""COMPUTED_VALUE"""),339)</f>
        <v>339</v>
      </c>
      <c r="AF160" s="1">
        <f ca="1">IFERROR(__xludf.DUMMYFUNCTION("""COMPUTED_VALUE"""),478)</f>
        <v>478</v>
      </c>
    </row>
    <row r="161" spans="1:32" ht="12.5" x14ac:dyDescent="0.25">
      <c r="A161" s="1" t="str">
        <f ca="1">IFERROR(__xludf.DUMMYFUNCTION("""COMPUTED_VALUE"""),"LibertyNCAA")</f>
        <v>LibertyNCAA</v>
      </c>
      <c r="B161" s="1">
        <f ca="1">IFERROR(__xludf.DUMMYFUNCTION("""COMPUTED_VALUE"""),36)</f>
        <v>36</v>
      </c>
      <c r="C161" s="1">
        <f ca="1">IFERROR(__xludf.DUMMYFUNCTION("""COMPUTED_VALUE"""),15)</f>
        <v>15</v>
      </c>
      <c r="D161" s="1">
        <f ca="1">IFERROR(__xludf.DUMMYFUNCTION("""COMPUTED_VALUE"""),21)</f>
        <v>21</v>
      </c>
      <c r="E161" s="1">
        <f ca="1">IFERROR(__xludf.DUMMYFUNCTION("""COMPUTED_VALUE"""),0.417)</f>
        <v>0.41699999999999998</v>
      </c>
      <c r="F161" s="1">
        <f ca="1">IFERROR(__xludf.DUMMYFUNCTION("""COMPUTED_VALUE"""),-9.13)</f>
        <v>-9.1300000000000008</v>
      </c>
      <c r="G161" s="1">
        <f ca="1">IFERROR(__xludf.DUMMYFUNCTION("""COMPUTED_VALUE"""),-5.8)</f>
        <v>-5.8</v>
      </c>
      <c r="H161" s="1">
        <f ca="1">IFERROR(__xludf.DUMMYFUNCTION("""COMPUTED_VALUE"""),6)</f>
        <v>6</v>
      </c>
      <c r="I161" s="1">
        <f ca="1">IFERROR(__xludf.DUMMYFUNCTION("""COMPUTED_VALUE"""),10)</f>
        <v>10</v>
      </c>
      <c r="J161" s="1">
        <f ca="1">IFERROR(__xludf.DUMMYFUNCTION("""COMPUTED_VALUE"""),8)</f>
        <v>8</v>
      </c>
      <c r="K161" s="1">
        <f ca="1">IFERROR(__xludf.DUMMYFUNCTION("""COMPUTED_VALUE"""),7)</f>
        <v>7</v>
      </c>
      <c r="L161" s="1">
        <f ca="1">IFERROR(__xludf.DUMMYFUNCTION("""COMPUTED_VALUE"""),4)</f>
        <v>4</v>
      </c>
      <c r="M161" s="1">
        <f ca="1">IFERROR(__xludf.DUMMYFUNCTION("""COMPUTED_VALUE"""),11)</f>
        <v>11</v>
      </c>
      <c r="N161" s="1">
        <f ca="1">IFERROR(__xludf.DUMMYFUNCTION("""COMPUTED_VALUE"""),2489)</f>
        <v>2489</v>
      </c>
      <c r="O161" s="1">
        <f ca="1">IFERROR(__xludf.DUMMYFUNCTION("""COMPUTED_VALUE"""),2519)</f>
        <v>2519</v>
      </c>
      <c r="P161" s="1">
        <f ca="1">IFERROR(__xludf.DUMMYFUNCTION("""COMPUTED_VALUE"""),1455)</f>
        <v>1455</v>
      </c>
      <c r="Q161" s="1">
        <f ca="1">IFERROR(__xludf.DUMMYFUNCTION("""COMPUTED_VALUE"""),838)</f>
        <v>838</v>
      </c>
      <c r="R161" s="1">
        <f ca="1">IFERROR(__xludf.DUMMYFUNCTION("""COMPUTED_VALUE"""),1954)</f>
        <v>1954</v>
      </c>
      <c r="S161" s="1">
        <f ca="1">IFERROR(__xludf.DUMMYFUNCTION("""COMPUTED_VALUE"""),0.429)</f>
        <v>0.42899999999999999</v>
      </c>
      <c r="T161" s="1">
        <f ca="1">IFERROR(__xludf.DUMMYFUNCTION("""COMPUTED_VALUE"""),251)</f>
        <v>251</v>
      </c>
      <c r="U161" s="1">
        <f ca="1">IFERROR(__xludf.DUMMYFUNCTION("""COMPUTED_VALUE"""),669)</f>
        <v>669</v>
      </c>
      <c r="V161" s="1">
        <f ca="1">IFERROR(__xludf.DUMMYFUNCTION("""COMPUTED_VALUE"""),0.375)</f>
        <v>0.375</v>
      </c>
      <c r="W161" s="1">
        <f ca="1">IFERROR(__xludf.DUMMYFUNCTION("""COMPUTED_VALUE"""),562)</f>
        <v>562</v>
      </c>
      <c r="X161" s="1">
        <f ca="1">IFERROR(__xludf.DUMMYFUNCTION("""COMPUTED_VALUE"""),770)</f>
        <v>770</v>
      </c>
      <c r="Y161" s="1">
        <f ca="1">IFERROR(__xludf.DUMMYFUNCTION("""COMPUTED_VALUE"""),0.73)</f>
        <v>0.73</v>
      </c>
      <c r="Z161" s="1">
        <f ca="1">IFERROR(__xludf.DUMMYFUNCTION("""COMPUTED_VALUE"""),367)</f>
        <v>367</v>
      </c>
      <c r="AA161" s="1">
        <f ca="1">IFERROR(__xludf.DUMMYFUNCTION("""COMPUTED_VALUE"""),1164)</f>
        <v>1164</v>
      </c>
      <c r="AB161" s="1">
        <f ca="1">IFERROR(__xludf.DUMMYFUNCTION("""COMPUTED_VALUE"""),443)</f>
        <v>443</v>
      </c>
      <c r="AC161" s="1">
        <f ca="1">IFERROR(__xludf.DUMMYFUNCTION("""COMPUTED_VALUE"""),197)</f>
        <v>197</v>
      </c>
      <c r="AD161" s="1">
        <f ca="1">IFERROR(__xludf.DUMMYFUNCTION("""COMPUTED_VALUE"""),105)</f>
        <v>105</v>
      </c>
      <c r="AE161" s="1">
        <f ca="1">IFERROR(__xludf.DUMMYFUNCTION("""COMPUTED_VALUE"""),478)</f>
        <v>478</v>
      </c>
      <c r="AF161" s="1">
        <f ca="1">IFERROR(__xludf.DUMMYFUNCTION("""COMPUTED_VALUE"""),685)</f>
        <v>685</v>
      </c>
    </row>
    <row r="162" spans="1:32" ht="12.5" x14ac:dyDescent="0.25">
      <c r="A162" s="1" t="str">
        <f ca="1">IFERROR(__xludf.DUMMYFUNCTION("""COMPUTED_VALUE"""),"Lipscomb")</f>
        <v>Lipscomb</v>
      </c>
      <c r="B162" s="1">
        <f ca="1">IFERROR(__xludf.DUMMYFUNCTION("""COMPUTED_VALUE"""),30)</f>
        <v>30</v>
      </c>
      <c r="C162" s="1">
        <f ca="1">IFERROR(__xludf.DUMMYFUNCTION("""COMPUTED_VALUE"""),12)</f>
        <v>12</v>
      </c>
      <c r="D162" s="1">
        <f ca="1">IFERROR(__xludf.DUMMYFUNCTION("""COMPUTED_VALUE"""),18)</f>
        <v>18</v>
      </c>
      <c r="E162" s="1">
        <f ca="1">IFERROR(__xludf.DUMMYFUNCTION("""COMPUTED_VALUE"""),0.4)</f>
        <v>0.4</v>
      </c>
      <c r="F162" s="1">
        <f ca="1">IFERROR(__xludf.DUMMYFUNCTION("""COMPUTED_VALUE"""),-11.7)</f>
        <v>-11.7</v>
      </c>
      <c r="G162" s="1">
        <f ca="1">IFERROR(__xludf.DUMMYFUNCTION("""COMPUTED_VALUE"""),-3.45)</f>
        <v>-3.45</v>
      </c>
      <c r="H162" s="1">
        <f ca="1">IFERROR(__xludf.DUMMYFUNCTION("""COMPUTED_VALUE"""),7)</f>
        <v>7</v>
      </c>
      <c r="I162" s="1">
        <f ca="1">IFERROR(__xludf.DUMMYFUNCTION("""COMPUTED_VALUE"""),11)</f>
        <v>11</v>
      </c>
      <c r="J162" s="1">
        <f ca="1">IFERROR(__xludf.DUMMYFUNCTION("""COMPUTED_VALUE"""),8)</f>
        <v>8</v>
      </c>
      <c r="K162" s="1">
        <f ca="1">IFERROR(__xludf.DUMMYFUNCTION("""COMPUTED_VALUE"""),6)</f>
        <v>6</v>
      </c>
      <c r="L162" s="1">
        <f ca="1">IFERROR(__xludf.DUMMYFUNCTION("""COMPUTED_VALUE"""),4)</f>
        <v>4</v>
      </c>
      <c r="M162" s="1">
        <f ca="1">IFERROR(__xludf.DUMMYFUNCTION("""COMPUTED_VALUE"""),11)</f>
        <v>11</v>
      </c>
      <c r="N162" s="1">
        <f ca="1">IFERROR(__xludf.DUMMYFUNCTION("""COMPUTED_VALUE"""),2079)</f>
        <v>2079</v>
      </c>
      <c r="O162" s="1">
        <f ca="1">IFERROR(__xludf.DUMMYFUNCTION("""COMPUTED_VALUE"""),2300)</f>
        <v>2300</v>
      </c>
      <c r="P162" s="1">
        <f ca="1">IFERROR(__xludf.DUMMYFUNCTION("""COMPUTED_VALUE"""),1215)</f>
        <v>1215</v>
      </c>
      <c r="Q162" s="1">
        <f ca="1">IFERROR(__xludf.DUMMYFUNCTION("""COMPUTED_VALUE"""),717)</f>
        <v>717</v>
      </c>
      <c r="R162" s="1">
        <f ca="1">IFERROR(__xludf.DUMMYFUNCTION("""COMPUTED_VALUE"""),1690)</f>
        <v>1690</v>
      </c>
      <c r="S162" s="1">
        <f ca="1">IFERROR(__xludf.DUMMYFUNCTION("""COMPUTED_VALUE"""),0.424)</f>
        <v>0.42399999999999999</v>
      </c>
      <c r="T162" s="1">
        <f ca="1">IFERROR(__xludf.DUMMYFUNCTION("""COMPUTED_VALUE"""),159)</f>
        <v>159</v>
      </c>
      <c r="U162" s="1">
        <f ca="1">IFERROR(__xludf.DUMMYFUNCTION("""COMPUTED_VALUE"""),497)</f>
        <v>497</v>
      </c>
      <c r="V162" s="1">
        <f ca="1">IFERROR(__xludf.DUMMYFUNCTION("""COMPUTED_VALUE"""),0.32)</f>
        <v>0.32</v>
      </c>
      <c r="W162" s="1">
        <f ca="1">IFERROR(__xludf.DUMMYFUNCTION("""COMPUTED_VALUE"""),486)</f>
        <v>486</v>
      </c>
      <c r="X162" s="1">
        <f ca="1">IFERROR(__xludf.DUMMYFUNCTION("""COMPUTED_VALUE"""),753)</f>
        <v>753</v>
      </c>
      <c r="Y162" s="1">
        <f ca="1">IFERROR(__xludf.DUMMYFUNCTION("""COMPUTED_VALUE"""),0.645)</f>
        <v>0.64500000000000002</v>
      </c>
      <c r="Z162" s="1">
        <f ca="1">IFERROR(__xludf.DUMMYFUNCTION("""COMPUTED_VALUE"""),401)</f>
        <v>401</v>
      </c>
      <c r="AA162" s="1">
        <f ca="1">IFERROR(__xludf.DUMMYFUNCTION("""COMPUTED_VALUE"""),1051)</f>
        <v>1051</v>
      </c>
      <c r="AB162" s="1">
        <f ca="1">IFERROR(__xludf.DUMMYFUNCTION("""COMPUTED_VALUE"""),345)</f>
        <v>345</v>
      </c>
      <c r="AC162" s="1">
        <f ca="1">IFERROR(__xludf.DUMMYFUNCTION("""COMPUTED_VALUE"""),209)</f>
        <v>209</v>
      </c>
      <c r="AD162" s="1">
        <f ca="1">IFERROR(__xludf.DUMMYFUNCTION("""COMPUTED_VALUE"""),52)</f>
        <v>52</v>
      </c>
      <c r="AE162" s="1">
        <f ca="1">IFERROR(__xludf.DUMMYFUNCTION("""COMPUTED_VALUE"""),504)</f>
        <v>504</v>
      </c>
      <c r="AF162" s="1">
        <f ca="1">IFERROR(__xludf.DUMMYFUNCTION("""COMPUTED_VALUE"""),657)</f>
        <v>657</v>
      </c>
    </row>
    <row r="163" spans="1:32" ht="12.5" x14ac:dyDescent="0.25">
      <c r="A163" s="1" t="str">
        <f ca="1">IFERROR(__xludf.DUMMYFUNCTION("""COMPUTED_VALUE"""),"Cal State Long Beach")</f>
        <v>Cal State Long Beach</v>
      </c>
      <c r="B163" s="1">
        <f ca="1">IFERROR(__xludf.DUMMYFUNCTION("""COMPUTED_VALUE"""),33)</f>
        <v>33</v>
      </c>
      <c r="C163" s="1">
        <f ca="1">IFERROR(__xludf.DUMMYFUNCTION("""COMPUTED_VALUE"""),19)</f>
        <v>19</v>
      </c>
      <c r="D163" s="1">
        <f ca="1">IFERROR(__xludf.DUMMYFUNCTION("""COMPUTED_VALUE"""),14)</f>
        <v>14</v>
      </c>
      <c r="E163" s="1">
        <f ca="1">IFERROR(__xludf.DUMMYFUNCTION("""COMPUTED_VALUE"""),0.576)</f>
        <v>0.57599999999999996</v>
      </c>
      <c r="F163" s="1">
        <f ca="1">IFERROR(__xludf.DUMMYFUNCTION("""COMPUTED_VALUE"""),-1.18)</f>
        <v>-1.18</v>
      </c>
      <c r="G163" s="1">
        <f ca="1">IFERROR(__xludf.DUMMYFUNCTION("""COMPUTED_VALUE"""),1.92)</f>
        <v>1.92</v>
      </c>
      <c r="H163" s="1">
        <f ca="1">IFERROR(__xludf.DUMMYFUNCTION("""COMPUTED_VALUE"""),14)</f>
        <v>14</v>
      </c>
      <c r="I163" s="1">
        <f ca="1">IFERROR(__xludf.DUMMYFUNCTION("""COMPUTED_VALUE"""),4)</f>
        <v>4</v>
      </c>
      <c r="J163" s="1">
        <f ca="1">IFERROR(__xludf.DUMMYFUNCTION("""COMPUTED_VALUE"""),11)</f>
        <v>11</v>
      </c>
      <c r="K163" s="1">
        <f ca="1">IFERROR(__xludf.DUMMYFUNCTION("""COMPUTED_VALUE"""),3)</f>
        <v>3</v>
      </c>
      <c r="L163" s="1">
        <f ca="1">IFERROR(__xludf.DUMMYFUNCTION("""COMPUTED_VALUE"""),7)</f>
        <v>7</v>
      </c>
      <c r="M163" s="1">
        <f ca="1">IFERROR(__xludf.DUMMYFUNCTION("""COMPUTED_VALUE"""),10)</f>
        <v>10</v>
      </c>
      <c r="N163" s="1">
        <f ca="1">IFERROR(__xludf.DUMMYFUNCTION("""COMPUTED_VALUE"""),2291)</f>
        <v>2291</v>
      </c>
      <c r="O163" s="1">
        <f ca="1">IFERROR(__xludf.DUMMYFUNCTION("""COMPUTED_VALUE"""),2360)</f>
        <v>2360</v>
      </c>
      <c r="P163" s="1">
        <f ca="1">IFERROR(__xludf.DUMMYFUNCTION("""COMPUTED_VALUE"""),1325)</f>
        <v>1325</v>
      </c>
      <c r="Q163" s="1">
        <f ca="1">IFERROR(__xludf.DUMMYFUNCTION("""COMPUTED_VALUE"""),811)</f>
        <v>811</v>
      </c>
      <c r="R163" s="1">
        <f ca="1">IFERROR(__xludf.DUMMYFUNCTION("""COMPUTED_VALUE"""),1836)</f>
        <v>1836</v>
      </c>
      <c r="S163" s="1">
        <f ca="1">IFERROR(__xludf.DUMMYFUNCTION("""COMPUTED_VALUE"""),0.442)</f>
        <v>0.442</v>
      </c>
      <c r="T163" s="1">
        <f ca="1">IFERROR(__xludf.DUMMYFUNCTION("""COMPUTED_VALUE"""),223)</f>
        <v>223</v>
      </c>
      <c r="U163" s="1">
        <f ca="1">IFERROR(__xludf.DUMMYFUNCTION("""COMPUTED_VALUE"""),656)</f>
        <v>656</v>
      </c>
      <c r="V163" s="1">
        <f ca="1">IFERROR(__xludf.DUMMYFUNCTION("""COMPUTED_VALUE"""),0.34)</f>
        <v>0.34</v>
      </c>
      <c r="W163" s="1">
        <f ca="1">IFERROR(__xludf.DUMMYFUNCTION("""COMPUTED_VALUE"""),446)</f>
        <v>446</v>
      </c>
      <c r="X163" s="1">
        <f ca="1">IFERROR(__xludf.DUMMYFUNCTION("""COMPUTED_VALUE"""),675)</f>
        <v>675</v>
      </c>
      <c r="Y163" s="1">
        <f ca="1">IFERROR(__xludf.DUMMYFUNCTION("""COMPUTED_VALUE"""),0.661)</f>
        <v>0.66100000000000003</v>
      </c>
      <c r="Z163" s="1">
        <f ca="1">IFERROR(__xludf.DUMMYFUNCTION("""COMPUTED_VALUE"""),374)</f>
        <v>374</v>
      </c>
      <c r="AA163" s="1">
        <f ca="1">IFERROR(__xludf.DUMMYFUNCTION("""COMPUTED_VALUE"""),1063)</f>
        <v>1063</v>
      </c>
      <c r="AB163" s="1">
        <f ca="1">IFERROR(__xludf.DUMMYFUNCTION("""COMPUTED_VALUE"""),398)</f>
        <v>398</v>
      </c>
      <c r="AC163" s="1">
        <f ca="1">IFERROR(__xludf.DUMMYFUNCTION("""COMPUTED_VALUE"""),214)</f>
        <v>214</v>
      </c>
      <c r="AD163" s="1">
        <f ca="1">IFERROR(__xludf.DUMMYFUNCTION("""COMPUTED_VALUE"""),114)</f>
        <v>114</v>
      </c>
      <c r="AE163" s="1">
        <f ca="1">IFERROR(__xludf.DUMMYFUNCTION("""COMPUTED_VALUE"""),485)</f>
        <v>485</v>
      </c>
      <c r="AF163" s="1">
        <f ca="1">IFERROR(__xludf.DUMMYFUNCTION("""COMPUTED_VALUE"""),570)</f>
        <v>570</v>
      </c>
    </row>
    <row r="164" spans="1:32" ht="12.5" x14ac:dyDescent="0.25">
      <c r="A164" s="1" t="str">
        <f ca="1">IFERROR(__xludf.DUMMYFUNCTION("""COMPUTED_VALUE"""),"Long Island UniversityNCAA")</f>
        <v>Long Island UniversityNCAA</v>
      </c>
      <c r="B164" s="1">
        <f ca="1">IFERROR(__xludf.DUMMYFUNCTION("""COMPUTED_VALUE"""),34)</f>
        <v>34</v>
      </c>
      <c r="C164" s="1">
        <f ca="1">IFERROR(__xludf.DUMMYFUNCTION("""COMPUTED_VALUE"""),20)</f>
        <v>20</v>
      </c>
      <c r="D164" s="1">
        <f ca="1">IFERROR(__xludf.DUMMYFUNCTION("""COMPUTED_VALUE"""),14)</f>
        <v>14</v>
      </c>
      <c r="E164" s="1">
        <f ca="1">IFERROR(__xludf.DUMMYFUNCTION("""COMPUTED_VALUE"""),0.588)</f>
        <v>0.58799999999999997</v>
      </c>
      <c r="F164" s="1">
        <f ca="1">IFERROR(__xludf.DUMMYFUNCTION("""COMPUTED_VALUE"""),-3.21)</f>
        <v>-3.21</v>
      </c>
      <c r="G164" s="1">
        <f ca="1">IFERROR(__xludf.DUMMYFUNCTION("""COMPUTED_VALUE"""),-5.8)</f>
        <v>-5.8</v>
      </c>
      <c r="H164" s="1">
        <f ca="1">IFERROR(__xludf.DUMMYFUNCTION("""COMPUTED_VALUE"""),12)</f>
        <v>12</v>
      </c>
      <c r="I164" s="1">
        <f ca="1">IFERROR(__xludf.DUMMYFUNCTION("""COMPUTED_VALUE"""),6)</f>
        <v>6</v>
      </c>
      <c r="J164" s="1">
        <f ca="1">IFERROR(__xludf.DUMMYFUNCTION("""COMPUTED_VALUE"""),12)</f>
        <v>12</v>
      </c>
      <c r="K164" s="1">
        <f ca="1">IFERROR(__xludf.DUMMYFUNCTION("""COMPUTED_VALUE"""),2)</f>
        <v>2</v>
      </c>
      <c r="L164" s="1">
        <f ca="1">IFERROR(__xludf.DUMMYFUNCTION("""COMPUTED_VALUE"""),7)</f>
        <v>7</v>
      </c>
      <c r="M164" s="1">
        <f ca="1">IFERROR(__xludf.DUMMYFUNCTION("""COMPUTED_VALUE"""),9)</f>
        <v>9</v>
      </c>
      <c r="N164" s="1">
        <f ca="1">IFERROR(__xludf.DUMMYFUNCTION("""COMPUTED_VALUE"""),2677)</f>
        <v>2677</v>
      </c>
      <c r="O164" s="1">
        <f ca="1">IFERROR(__xludf.DUMMYFUNCTION("""COMPUTED_VALUE"""),2589)</f>
        <v>2589</v>
      </c>
      <c r="P164" s="1">
        <f ca="1">IFERROR(__xludf.DUMMYFUNCTION("""COMPUTED_VALUE"""),1370)</f>
        <v>1370</v>
      </c>
      <c r="Q164" s="1">
        <f ca="1">IFERROR(__xludf.DUMMYFUNCTION("""COMPUTED_VALUE"""),915)</f>
        <v>915</v>
      </c>
      <c r="R164" s="1">
        <f ca="1">IFERROR(__xludf.DUMMYFUNCTION("""COMPUTED_VALUE"""),1909)</f>
        <v>1909</v>
      </c>
      <c r="S164" s="1">
        <f ca="1">IFERROR(__xludf.DUMMYFUNCTION("""COMPUTED_VALUE"""),0.479)</f>
        <v>0.47899999999999998</v>
      </c>
      <c r="T164" s="1">
        <f ca="1">IFERROR(__xludf.DUMMYFUNCTION("""COMPUTED_VALUE"""),246)</f>
        <v>246</v>
      </c>
      <c r="U164" s="1">
        <f ca="1">IFERROR(__xludf.DUMMYFUNCTION("""COMPUTED_VALUE"""),647)</f>
        <v>647</v>
      </c>
      <c r="V164" s="1">
        <f ca="1">IFERROR(__xludf.DUMMYFUNCTION("""COMPUTED_VALUE"""),0.38)</f>
        <v>0.38</v>
      </c>
      <c r="W164" s="1">
        <f ca="1">IFERROR(__xludf.DUMMYFUNCTION("""COMPUTED_VALUE"""),601)</f>
        <v>601</v>
      </c>
      <c r="X164" s="1">
        <f ca="1">IFERROR(__xludf.DUMMYFUNCTION("""COMPUTED_VALUE"""),870)</f>
        <v>870</v>
      </c>
      <c r="Y164" s="1">
        <f ca="1">IFERROR(__xludf.DUMMYFUNCTION("""COMPUTED_VALUE"""),0.691)</f>
        <v>0.69099999999999995</v>
      </c>
      <c r="Z164" s="1">
        <f ca="1">IFERROR(__xludf.DUMMYFUNCTION("""COMPUTED_VALUE"""),404)</f>
        <v>404</v>
      </c>
      <c r="AA164" s="1">
        <f ca="1">IFERROR(__xludf.DUMMYFUNCTION("""COMPUTED_VALUE"""),1083)</f>
        <v>1083</v>
      </c>
      <c r="AB164" s="1">
        <f ca="1">IFERROR(__xludf.DUMMYFUNCTION("""COMPUTED_VALUE"""),515)</f>
        <v>515</v>
      </c>
      <c r="AC164" s="1">
        <f ca="1">IFERROR(__xludf.DUMMYFUNCTION("""COMPUTED_VALUE"""),232)</f>
        <v>232</v>
      </c>
      <c r="AD164" s="1">
        <f ca="1">IFERROR(__xludf.DUMMYFUNCTION("""COMPUTED_VALUE"""),117)</f>
        <v>117</v>
      </c>
      <c r="AE164" s="1">
        <f ca="1">IFERROR(__xludf.DUMMYFUNCTION("""COMPUTED_VALUE"""),486)</f>
        <v>486</v>
      </c>
      <c r="AF164" s="1">
        <f ca="1">IFERROR(__xludf.DUMMYFUNCTION("""COMPUTED_VALUE"""),597)</f>
        <v>597</v>
      </c>
    </row>
    <row r="165" spans="1:32" ht="12.5" x14ac:dyDescent="0.25">
      <c r="A165" s="1" t="str">
        <f ca="1">IFERROR(__xludf.DUMMYFUNCTION("""COMPUTED_VALUE"""),"Longwood")</f>
        <v>Longwood</v>
      </c>
      <c r="B165" s="1">
        <f ca="1">IFERROR(__xludf.DUMMYFUNCTION("""COMPUTED_VALUE"""),33)</f>
        <v>33</v>
      </c>
      <c r="C165" s="1">
        <f ca="1">IFERROR(__xludf.DUMMYFUNCTION("""COMPUTED_VALUE"""),8)</f>
        <v>8</v>
      </c>
      <c r="D165" s="1">
        <f ca="1">IFERROR(__xludf.DUMMYFUNCTION("""COMPUTED_VALUE"""),25)</f>
        <v>25</v>
      </c>
      <c r="E165" s="1">
        <f ca="1">IFERROR(__xludf.DUMMYFUNCTION("""COMPUTED_VALUE"""),0.242)</f>
        <v>0.24199999999999999</v>
      </c>
      <c r="F165" s="1">
        <f ca="1">IFERROR(__xludf.DUMMYFUNCTION("""COMPUTED_VALUE"""),-19.36)</f>
        <v>-19.36</v>
      </c>
      <c r="G165" s="1">
        <f ca="1">IFERROR(__xludf.DUMMYFUNCTION("""COMPUTED_VALUE"""),-5.1)</f>
        <v>-5.0999999999999996</v>
      </c>
      <c r="H165" s="1">
        <f ca="1">IFERROR(__xludf.DUMMYFUNCTION("""COMPUTED_VALUE"""),4)</f>
        <v>4</v>
      </c>
      <c r="I165" s="1">
        <f ca="1">IFERROR(__xludf.DUMMYFUNCTION("""COMPUTED_VALUE"""),12)</f>
        <v>12</v>
      </c>
      <c r="J165" s="1">
        <f ca="1">IFERROR(__xludf.DUMMYFUNCTION("""COMPUTED_VALUE"""),4)</f>
        <v>4</v>
      </c>
      <c r="K165" s="1">
        <f ca="1">IFERROR(__xludf.DUMMYFUNCTION("""COMPUTED_VALUE"""),9)</f>
        <v>9</v>
      </c>
      <c r="L165" s="1">
        <f ca="1">IFERROR(__xludf.DUMMYFUNCTION("""COMPUTED_VALUE"""),2)</f>
        <v>2</v>
      </c>
      <c r="M165" s="1">
        <f ca="1">IFERROR(__xludf.DUMMYFUNCTION("""COMPUTED_VALUE"""),14)</f>
        <v>14</v>
      </c>
      <c r="N165" s="1">
        <f ca="1">IFERROR(__xludf.DUMMYFUNCTION("""COMPUTED_VALUE"""),2270)</f>
        <v>2270</v>
      </c>
      <c r="O165" s="1">
        <f ca="1">IFERROR(__xludf.DUMMYFUNCTION("""COMPUTED_VALUE"""),2687)</f>
        <v>2687</v>
      </c>
      <c r="P165" s="1">
        <f ca="1">IFERROR(__xludf.DUMMYFUNCTION("""COMPUTED_VALUE"""),1325)</f>
        <v>1325</v>
      </c>
      <c r="Q165" s="1">
        <f ca="1">IFERROR(__xludf.DUMMYFUNCTION("""COMPUTED_VALUE"""),841)</f>
        <v>841</v>
      </c>
      <c r="R165" s="1">
        <f ca="1">IFERROR(__xludf.DUMMYFUNCTION("""COMPUTED_VALUE"""),1898)</f>
        <v>1898</v>
      </c>
      <c r="S165" s="1">
        <f ca="1">IFERROR(__xludf.DUMMYFUNCTION("""COMPUTED_VALUE"""),0.443)</f>
        <v>0.443</v>
      </c>
      <c r="T165" s="1">
        <f ca="1">IFERROR(__xludf.DUMMYFUNCTION("""COMPUTED_VALUE"""),167)</f>
        <v>167</v>
      </c>
      <c r="U165" s="1">
        <f ca="1">IFERROR(__xludf.DUMMYFUNCTION("""COMPUTED_VALUE"""),524)</f>
        <v>524</v>
      </c>
      <c r="V165" s="1">
        <f ca="1">IFERROR(__xludf.DUMMYFUNCTION("""COMPUTED_VALUE"""),0.319)</f>
        <v>0.31900000000000001</v>
      </c>
      <c r="W165" s="1">
        <f ca="1">IFERROR(__xludf.DUMMYFUNCTION("""COMPUTED_VALUE"""),421)</f>
        <v>421</v>
      </c>
      <c r="X165" s="1">
        <f ca="1">IFERROR(__xludf.DUMMYFUNCTION("""COMPUTED_VALUE"""),593)</f>
        <v>593</v>
      </c>
      <c r="Y165" s="1">
        <f ca="1">IFERROR(__xludf.DUMMYFUNCTION("""COMPUTED_VALUE"""),0.71)</f>
        <v>0.71</v>
      </c>
      <c r="Z165" s="1">
        <f ca="1">IFERROR(__xludf.DUMMYFUNCTION("""COMPUTED_VALUE"""),341)</f>
        <v>341</v>
      </c>
      <c r="AA165" s="1">
        <f ca="1">IFERROR(__xludf.DUMMYFUNCTION("""COMPUTED_VALUE"""),1003)</f>
        <v>1003</v>
      </c>
      <c r="AB165" s="1">
        <f ca="1">IFERROR(__xludf.DUMMYFUNCTION("""COMPUTED_VALUE"""),459)</f>
        <v>459</v>
      </c>
      <c r="AC165" s="1">
        <f ca="1">IFERROR(__xludf.DUMMYFUNCTION("""COMPUTED_VALUE"""),226)</f>
        <v>226</v>
      </c>
      <c r="AD165" s="1">
        <f ca="1">IFERROR(__xludf.DUMMYFUNCTION("""COMPUTED_VALUE"""),96)</f>
        <v>96</v>
      </c>
      <c r="AE165" s="1">
        <f ca="1">IFERROR(__xludf.DUMMYFUNCTION("""COMPUTED_VALUE"""),548)</f>
        <v>548</v>
      </c>
      <c r="AF165" s="1">
        <f ca="1">IFERROR(__xludf.DUMMYFUNCTION("""COMPUTED_VALUE"""),592)</f>
        <v>592</v>
      </c>
    </row>
    <row r="166" spans="1:32" ht="12.5" x14ac:dyDescent="0.25">
      <c r="A166" s="1" t="str">
        <f ca="1">IFERROR(__xludf.DUMMYFUNCTION("""COMPUTED_VALUE"""),"Louisiana")</f>
        <v>Louisiana</v>
      </c>
      <c r="B166" s="1">
        <f ca="1">IFERROR(__xludf.DUMMYFUNCTION("""COMPUTED_VALUE"""),33)</f>
        <v>33</v>
      </c>
      <c r="C166" s="1">
        <f ca="1">IFERROR(__xludf.DUMMYFUNCTION("""COMPUTED_VALUE"""),13)</f>
        <v>13</v>
      </c>
      <c r="D166" s="1">
        <f ca="1">IFERROR(__xludf.DUMMYFUNCTION("""COMPUTED_VALUE"""),20)</f>
        <v>20</v>
      </c>
      <c r="E166" s="1">
        <f ca="1">IFERROR(__xludf.DUMMYFUNCTION("""COMPUTED_VALUE"""),0.394)</f>
        <v>0.39400000000000002</v>
      </c>
      <c r="F166" s="1">
        <f ca="1">IFERROR(__xludf.DUMMYFUNCTION("""COMPUTED_VALUE"""),-4.92)</f>
        <v>-4.92</v>
      </c>
      <c r="G166" s="1">
        <f ca="1">IFERROR(__xludf.DUMMYFUNCTION("""COMPUTED_VALUE"""),-2.23)</f>
        <v>-2.23</v>
      </c>
      <c r="H166" s="1">
        <f ca="1">IFERROR(__xludf.DUMMYFUNCTION("""COMPUTED_VALUE"""),8)</f>
        <v>8</v>
      </c>
      <c r="I166" s="1">
        <f ca="1">IFERROR(__xludf.DUMMYFUNCTION("""COMPUTED_VALUE"""),12)</f>
        <v>12</v>
      </c>
      <c r="J166" s="1">
        <f ca="1">IFERROR(__xludf.DUMMYFUNCTION("""COMPUTED_VALUE"""),10)</f>
        <v>10</v>
      </c>
      <c r="K166" s="1">
        <f ca="1">IFERROR(__xludf.DUMMYFUNCTION("""COMPUTED_VALUE"""),5)</f>
        <v>5</v>
      </c>
      <c r="L166" s="1">
        <f ca="1">IFERROR(__xludf.DUMMYFUNCTION("""COMPUTED_VALUE"""),2)</f>
        <v>2</v>
      </c>
      <c r="M166" s="1">
        <f ca="1">IFERROR(__xludf.DUMMYFUNCTION("""COMPUTED_VALUE"""),14)</f>
        <v>14</v>
      </c>
      <c r="N166" s="1">
        <f ca="1">IFERROR(__xludf.DUMMYFUNCTION("""COMPUTED_VALUE"""),2337)</f>
        <v>2337</v>
      </c>
      <c r="O166" s="1">
        <f ca="1">IFERROR(__xludf.DUMMYFUNCTION("""COMPUTED_VALUE"""),2413)</f>
        <v>2413</v>
      </c>
      <c r="P166" s="1">
        <f ca="1">IFERROR(__xludf.DUMMYFUNCTION("""COMPUTED_VALUE"""),1335)</f>
        <v>1335</v>
      </c>
      <c r="Q166" s="1">
        <f ca="1">IFERROR(__xludf.DUMMYFUNCTION("""COMPUTED_VALUE"""),827)</f>
        <v>827</v>
      </c>
      <c r="R166" s="1">
        <f ca="1">IFERROR(__xludf.DUMMYFUNCTION("""COMPUTED_VALUE"""),1935)</f>
        <v>1935</v>
      </c>
      <c r="S166" s="1">
        <f ca="1">IFERROR(__xludf.DUMMYFUNCTION("""COMPUTED_VALUE"""),0.427)</f>
        <v>0.42699999999999999</v>
      </c>
      <c r="T166" s="1">
        <f ca="1">IFERROR(__xludf.DUMMYFUNCTION("""COMPUTED_VALUE"""),226)</f>
        <v>226</v>
      </c>
      <c r="U166" s="1">
        <f ca="1">IFERROR(__xludf.DUMMYFUNCTION("""COMPUTED_VALUE"""),663)</f>
        <v>663</v>
      </c>
      <c r="V166" s="1">
        <f ca="1">IFERROR(__xludf.DUMMYFUNCTION("""COMPUTED_VALUE"""),0.341)</f>
        <v>0.34100000000000003</v>
      </c>
      <c r="W166" s="1">
        <f ca="1">IFERROR(__xludf.DUMMYFUNCTION("""COMPUTED_VALUE"""),457)</f>
        <v>457</v>
      </c>
      <c r="X166" s="1">
        <f ca="1">IFERROR(__xludf.DUMMYFUNCTION("""COMPUTED_VALUE"""),681)</f>
        <v>681</v>
      </c>
      <c r="Y166" s="1">
        <f ca="1">IFERROR(__xludf.DUMMYFUNCTION("""COMPUTED_VALUE"""),0.671)</f>
        <v>0.67100000000000004</v>
      </c>
      <c r="Z166" s="1">
        <f ca="1">IFERROR(__xludf.DUMMYFUNCTION("""COMPUTED_VALUE"""),354)</f>
        <v>354</v>
      </c>
      <c r="AA166" s="1">
        <f ca="1">IFERROR(__xludf.DUMMYFUNCTION("""COMPUTED_VALUE"""),1019)</f>
        <v>1019</v>
      </c>
      <c r="AB166" s="1">
        <f ca="1">IFERROR(__xludf.DUMMYFUNCTION("""COMPUTED_VALUE"""),367)</f>
        <v>367</v>
      </c>
      <c r="AC166" s="1">
        <f ca="1">IFERROR(__xludf.DUMMYFUNCTION("""COMPUTED_VALUE"""),235)</f>
        <v>235</v>
      </c>
      <c r="AD166" s="1">
        <f ca="1">IFERROR(__xludf.DUMMYFUNCTION("""COMPUTED_VALUE"""),121)</f>
        <v>121</v>
      </c>
      <c r="AE166" s="1">
        <f ca="1">IFERROR(__xludf.DUMMYFUNCTION("""COMPUTED_VALUE"""),466)</f>
        <v>466</v>
      </c>
      <c r="AF166" s="1">
        <f ca="1">IFERROR(__xludf.DUMMYFUNCTION("""COMPUTED_VALUE"""),622)</f>
        <v>622</v>
      </c>
    </row>
    <row r="167" spans="1:32" ht="12.5" x14ac:dyDescent="0.25">
      <c r="A167" s="1" t="str">
        <f ca="1">IFERROR(__xludf.DUMMYFUNCTION("""COMPUTED_VALUE"""),"Louisiana-Monroe")</f>
        <v>Louisiana-Monroe</v>
      </c>
      <c r="B167" s="1">
        <f ca="1">IFERROR(__xludf.DUMMYFUNCTION("""COMPUTED_VALUE"""),27)</f>
        <v>27</v>
      </c>
      <c r="C167" s="1">
        <f ca="1">IFERROR(__xludf.DUMMYFUNCTION("""COMPUTED_VALUE"""),4)</f>
        <v>4</v>
      </c>
      <c r="D167" s="1">
        <f ca="1">IFERROR(__xludf.DUMMYFUNCTION("""COMPUTED_VALUE"""),23)</f>
        <v>23</v>
      </c>
      <c r="E167" s="1">
        <f ca="1">IFERROR(__xludf.DUMMYFUNCTION("""COMPUTED_VALUE"""),0.148)</f>
        <v>0.14799999999999999</v>
      </c>
      <c r="F167" s="1">
        <f ca="1">IFERROR(__xludf.DUMMYFUNCTION("""COMPUTED_VALUE"""),-13.97)</f>
        <v>-13.97</v>
      </c>
      <c r="G167" s="1">
        <f ca="1">IFERROR(__xludf.DUMMYFUNCTION("""COMPUTED_VALUE"""),-1.45)</f>
        <v>-1.45</v>
      </c>
      <c r="H167" s="1">
        <f ca="1">IFERROR(__xludf.DUMMYFUNCTION("""COMPUTED_VALUE"""),3)</f>
        <v>3</v>
      </c>
      <c r="I167" s="1">
        <f ca="1">IFERROR(__xludf.DUMMYFUNCTION("""COMPUTED_VALUE"""),17)</f>
        <v>17</v>
      </c>
      <c r="J167" s="1">
        <f ca="1">IFERROR(__xludf.DUMMYFUNCTION("""COMPUTED_VALUE"""),3)</f>
        <v>3</v>
      </c>
      <c r="K167" s="1">
        <f ca="1">IFERROR(__xludf.DUMMYFUNCTION("""COMPUTED_VALUE"""),9)</f>
        <v>9</v>
      </c>
      <c r="L167" s="1">
        <f ca="1">IFERROR(__xludf.DUMMYFUNCTION("""COMPUTED_VALUE"""),1)</f>
        <v>1</v>
      </c>
      <c r="M167" s="1">
        <f ca="1">IFERROR(__xludf.DUMMYFUNCTION("""COMPUTED_VALUE"""),13)</f>
        <v>13</v>
      </c>
      <c r="N167" s="1">
        <f ca="1">IFERROR(__xludf.DUMMYFUNCTION("""COMPUTED_VALUE"""),1621)</f>
        <v>1621</v>
      </c>
      <c r="O167" s="1">
        <f ca="1">IFERROR(__xludf.DUMMYFUNCTION("""COMPUTED_VALUE"""),1959)</f>
        <v>1959</v>
      </c>
      <c r="P167" s="1">
        <f ca="1">IFERROR(__xludf.DUMMYFUNCTION("""COMPUTED_VALUE"""),1090)</f>
        <v>1090</v>
      </c>
      <c r="Q167" s="1">
        <f ca="1">IFERROR(__xludf.DUMMYFUNCTION("""COMPUTED_VALUE"""),602)</f>
        <v>602</v>
      </c>
      <c r="R167" s="1">
        <f ca="1">IFERROR(__xludf.DUMMYFUNCTION("""COMPUTED_VALUE"""),1409)</f>
        <v>1409</v>
      </c>
      <c r="S167" s="1">
        <f ca="1">IFERROR(__xludf.DUMMYFUNCTION("""COMPUTED_VALUE"""),0.427)</f>
        <v>0.42699999999999999</v>
      </c>
      <c r="T167" s="1">
        <f ca="1">IFERROR(__xludf.DUMMYFUNCTION("""COMPUTED_VALUE"""),161)</f>
        <v>161</v>
      </c>
      <c r="U167" s="1">
        <f ca="1">IFERROR(__xludf.DUMMYFUNCTION("""COMPUTED_VALUE"""),462)</f>
        <v>462</v>
      </c>
      <c r="V167" s="1">
        <f ca="1">IFERROR(__xludf.DUMMYFUNCTION("""COMPUTED_VALUE"""),0.348)</f>
        <v>0.34799999999999998</v>
      </c>
      <c r="W167" s="1">
        <f ca="1">IFERROR(__xludf.DUMMYFUNCTION("""COMPUTED_VALUE"""),256)</f>
        <v>256</v>
      </c>
      <c r="X167" s="1">
        <f ca="1">IFERROR(__xludf.DUMMYFUNCTION("""COMPUTED_VALUE"""),444)</f>
        <v>444</v>
      </c>
      <c r="Y167" s="1">
        <f ca="1">IFERROR(__xludf.DUMMYFUNCTION("""COMPUTED_VALUE"""),0.577)</f>
        <v>0.57699999999999996</v>
      </c>
      <c r="Z167" s="1">
        <f ca="1">IFERROR(__xludf.DUMMYFUNCTION("""COMPUTED_VALUE"""),245)</f>
        <v>245</v>
      </c>
      <c r="AA167" s="1">
        <f ca="1">IFERROR(__xludf.DUMMYFUNCTION("""COMPUTED_VALUE"""),713)</f>
        <v>713</v>
      </c>
      <c r="AB167" s="1">
        <f ca="1">IFERROR(__xludf.DUMMYFUNCTION("""COMPUTED_VALUE"""),367)</f>
        <v>367</v>
      </c>
      <c r="AC167" s="1">
        <f ca="1">IFERROR(__xludf.DUMMYFUNCTION("""COMPUTED_VALUE"""),194)</f>
        <v>194</v>
      </c>
      <c r="AD167" s="1">
        <f ca="1">IFERROR(__xludf.DUMMYFUNCTION("""COMPUTED_VALUE"""),36)</f>
        <v>36</v>
      </c>
      <c r="AE167" s="1">
        <f ca="1">IFERROR(__xludf.DUMMYFUNCTION("""COMPUTED_VALUE"""),439)</f>
        <v>439</v>
      </c>
      <c r="AF167" s="1">
        <f ca="1">IFERROR(__xludf.DUMMYFUNCTION("""COMPUTED_VALUE"""),498)</f>
        <v>498</v>
      </c>
    </row>
    <row r="168" spans="1:32" ht="12.5" x14ac:dyDescent="0.25">
      <c r="A168" s="1" t="str">
        <f ca="1">IFERROR(__xludf.DUMMYFUNCTION("""COMPUTED_VALUE"""),"Louisiana State")</f>
        <v>Louisiana State</v>
      </c>
      <c r="B168" s="1">
        <f ca="1">IFERROR(__xludf.DUMMYFUNCTION("""COMPUTED_VALUE"""),31)</f>
        <v>31</v>
      </c>
      <c r="C168" s="1">
        <f ca="1">IFERROR(__xludf.DUMMYFUNCTION("""COMPUTED_VALUE"""),19)</f>
        <v>19</v>
      </c>
      <c r="D168" s="1">
        <f ca="1">IFERROR(__xludf.DUMMYFUNCTION("""COMPUTED_VALUE"""),12)</f>
        <v>12</v>
      </c>
      <c r="E168" s="1">
        <f ca="1">IFERROR(__xludf.DUMMYFUNCTION("""COMPUTED_VALUE"""),0.613)</f>
        <v>0.61299999999999999</v>
      </c>
      <c r="F168" s="1">
        <f ca="1">IFERROR(__xludf.DUMMYFUNCTION("""COMPUTED_VALUE"""),5.82)</f>
        <v>5.82</v>
      </c>
      <c r="G168" s="1">
        <f ca="1">IFERROR(__xludf.DUMMYFUNCTION("""COMPUTED_VALUE"""),4.01)</f>
        <v>4.01</v>
      </c>
      <c r="H168" s="1">
        <f ca="1">IFERROR(__xludf.DUMMYFUNCTION("""COMPUTED_VALUE"""),9)</f>
        <v>9</v>
      </c>
      <c r="I168" s="1">
        <f ca="1">IFERROR(__xludf.DUMMYFUNCTION("""COMPUTED_VALUE"""),9)</f>
        <v>9</v>
      </c>
      <c r="J168" s="1">
        <f ca="1">IFERROR(__xludf.DUMMYFUNCTION("""COMPUTED_VALUE"""),14)</f>
        <v>14</v>
      </c>
      <c r="K168" s="1">
        <f ca="1">IFERROR(__xludf.DUMMYFUNCTION("""COMPUTED_VALUE"""),3)</f>
        <v>3</v>
      </c>
      <c r="L168" s="1">
        <f ca="1">IFERROR(__xludf.DUMMYFUNCTION("""COMPUTED_VALUE"""),4)</f>
        <v>4</v>
      </c>
      <c r="M168" s="1">
        <f ca="1">IFERROR(__xludf.DUMMYFUNCTION("""COMPUTED_VALUE"""),8)</f>
        <v>8</v>
      </c>
      <c r="N168" s="1">
        <f ca="1">IFERROR(__xludf.DUMMYFUNCTION("""COMPUTED_VALUE"""),2194)</f>
        <v>2194</v>
      </c>
      <c r="O168" s="1">
        <f ca="1">IFERROR(__xludf.DUMMYFUNCTION("""COMPUTED_VALUE"""),2138)</f>
        <v>2138</v>
      </c>
      <c r="P168" s="1">
        <f ca="1">IFERROR(__xludf.DUMMYFUNCTION("""COMPUTED_VALUE"""),1260)</f>
        <v>1260</v>
      </c>
      <c r="Q168" s="1">
        <f ca="1">IFERROR(__xludf.DUMMYFUNCTION("""COMPUTED_VALUE"""),788)</f>
        <v>788</v>
      </c>
      <c r="R168" s="1">
        <f ca="1">IFERROR(__xludf.DUMMYFUNCTION("""COMPUTED_VALUE"""),1839)</f>
        <v>1839</v>
      </c>
      <c r="S168" s="1">
        <f ca="1">IFERROR(__xludf.DUMMYFUNCTION("""COMPUTED_VALUE"""),0.428)</f>
        <v>0.42799999999999999</v>
      </c>
      <c r="T168" s="1">
        <f ca="1">IFERROR(__xludf.DUMMYFUNCTION("""COMPUTED_VALUE"""),234)</f>
        <v>234</v>
      </c>
      <c r="U168" s="1">
        <f ca="1">IFERROR(__xludf.DUMMYFUNCTION("""COMPUTED_VALUE"""),658)</f>
        <v>658</v>
      </c>
      <c r="V168" s="1">
        <f ca="1">IFERROR(__xludf.DUMMYFUNCTION("""COMPUTED_VALUE"""),0.356)</f>
        <v>0.35599999999999998</v>
      </c>
      <c r="W168" s="1">
        <f ca="1">IFERROR(__xludf.DUMMYFUNCTION("""COMPUTED_VALUE"""),384)</f>
        <v>384</v>
      </c>
      <c r="X168" s="1">
        <f ca="1">IFERROR(__xludf.DUMMYFUNCTION("""COMPUTED_VALUE"""),614)</f>
        <v>614</v>
      </c>
      <c r="Y168" s="1">
        <f ca="1">IFERROR(__xludf.DUMMYFUNCTION("""COMPUTED_VALUE"""),0.625)</f>
        <v>0.625</v>
      </c>
      <c r="Z168" s="1">
        <f ca="1">IFERROR(__xludf.DUMMYFUNCTION("""COMPUTED_VALUE"""),402)</f>
        <v>402</v>
      </c>
      <c r="AA168" s="1">
        <f ca="1">IFERROR(__xludf.DUMMYFUNCTION("""COMPUTED_VALUE"""),1055)</f>
        <v>1055</v>
      </c>
      <c r="AB168" s="1">
        <f ca="1">IFERROR(__xludf.DUMMYFUNCTION("""COMPUTED_VALUE"""),442)</f>
        <v>442</v>
      </c>
      <c r="AC168" s="1">
        <f ca="1">IFERROR(__xludf.DUMMYFUNCTION("""COMPUTED_VALUE"""),282)</f>
        <v>282</v>
      </c>
      <c r="AD168" s="1">
        <f ca="1">IFERROR(__xludf.DUMMYFUNCTION("""COMPUTED_VALUE"""),119)</f>
        <v>119</v>
      </c>
      <c r="AE168" s="1">
        <f ca="1">IFERROR(__xludf.DUMMYFUNCTION("""COMPUTED_VALUE"""),445)</f>
        <v>445</v>
      </c>
      <c r="AF168" s="1">
        <f ca="1">IFERROR(__xludf.DUMMYFUNCTION("""COMPUTED_VALUE"""),584)</f>
        <v>584</v>
      </c>
    </row>
    <row r="169" spans="1:32" ht="12.5" x14ac:dyDescent="0.25">
      <c r="A169" s="1" t="str">
        <f ca="1">IFERROR(__xludf.DUMMYFUNCTION("""COMPUTED_VALUE"""),"Louisiana Tech")</f>
        <v>Louisiana Tech</v>
      </c>
      <c r="B169" s="1">
        <f ca="1">IFERROR(__xludf.DUMMYFUNCTION("""COMPUTED_VALUE"""),34)</f>
        <v>34</v>
      </c>
      <c r="C169" s="1">
        <f ca="1">IFERROR(__xludf.DUMMYFUNCTION("""COMPUTED_VALUE"""),27)</f>
        <v>27</v>
      </c>
      <c r="D169" s="1">
        <f ca="1">IFERROR(__xludf.DUMMYFUNCTION("""COMPUTED_VALUE"""),7)</f>
        <v>7</v>
      </c>
      <c r="E169" s="1">
        <f ca="1">IFERROR(__xludf.DUMMYFUNCTION("""COMPUTED_VALUE"""),0.794)</f>
        <v>0.79400000000000004</v>
      </c>
      <c r="F169" s="1">
        <f ca="1">IFERROR(__xludf.DUMMYFUNCTION("""COMPUTED_VALUE"""),5.48)</f>
        <v>5.48</v>
      </c>
      <c r="G169" s="1">
        <f ca="1">IFERROR(__xludf.DUMMYFUNCTION("""COMPUTED_VALUE"""),-2.06)</f>
        <v>-2.06</v>
      </c>
      <c r="H169" s="1">
        <f ca="1">IFERROR(__xludf.DUMMYFUNCTION("""COMPUTED_VALUE"""),16)</f>
        <v>16</v>
      </c>
      <c r="I169" s="1">
        <f ca="1">IFERROR(__xludf.DUMMYFUNCTION("""COMPUTED_VALUE"""),2)</f>
        <v>2</v>
      </c>
      <c r="J169" s="1">
        <f ca="1">IFERROR(__xludf.DUMMYFUNCTION("""COMPUTED_VALUE"""),14)</f>
        <v>14</v>
      </c>
      <c r="K169" s="1">
        <f ca="1">IFERROR(__xludf.DUMMYFUNCTION("""COMPUTED_VALUE"""),0)</f>
        <v>0</v>
      </c>
      <c r="L169" s="1">
        <f ca="1">IFERROR(__xludf.DUMMYFUNCTION("""COMPUTED_VALUE"""),11)</f>
        <v>11</v>
      </c>
      <c r="M169" s="1">
        <f ca="1">IFERROR(__xludf.DUMMYFUNCTION("""COMPUTED_VALUE"""),6)</f>
        <v>6</v>
      </c>
      <c r="N169" s="1">
        <f ca="1">IFERROR(__xludf.DUMMYFUNCTION("""COMPUTED_VALUE"""),2470)</f>
        <v>2470</v>
      </c>
      <c r="O169" s="1">
        <f ca="1">IFERROR(__xludf.DUMMYFUNCTION("""COMPUTED_VALUE"""),2151)</f>
        <v>2151</v>
      </c>
      <c r="P169" s="1">
        <f ca="1">IFERROR(__xludf.DUMMYFUNCTION("""COMPUTED_VALUE"""),1360)</f>
        <v>1360</v>
      </c>
      <c r="Q169" s="1">
        <f ca="1">IFERROR(__xludf.DUMMYFUNCTION("""COMPUTED_VALUE"""),857)</f>
        <v>857</v>
      </c>
      <c r="R169" s="1">
        <f ca="1">IFERROR(__xludf.DUMMYFUNCTION("""COMPUTED_VALUE"""),2092)</f>
        <v>2092</v>
      </c>
      <c r="S169" s="1">
        <f ca="1">IFERROR(__xludf.DUMMYFUNCTION("""COMPUTED_VALUE"""),0.41)</f>
        <v>0.41</v>
      </c>
      <c r="T169" s="1">
        <f ca="1">IFERROR(__xludf.DUMMYFUNCTION("""COMPUTED_VALUE"""),253)</f>
        <v>253</v>
      </c>
      <c r="U169" s="1">
        <f ca="1">IFERROR(__xludf.DUMMYFUNCTION("""COMPUTED_VALUE"""),787)</f>
        <v>787</v>
      </c>
      <c r="V169" s="1">
        <f ca="1">IFERROR(__xludf.DUMMYFUNCTION("""COMPUTED_VALUE"""),0.321)</f>
        <v>0.32100000000000001</v>
      </c>
      <c r="W169" s="1">
        <f ca="1">IFERROR(__xludf.DUMMYFUNCTION("""COMPUTED_VALUE"""),503)</f>
        <v>503</v>
      </c>
      <c r="X169" s="1">
        <f ca="1">IFERROR(__xludf.DUMMYFUNCTION("""COMPUTED_VALUE"""),722)</f>
        <v>722</v>
      </c>
      <c r="Y169" s="1">
        <f ca="1">IFERROR(__xludf.DUMMYFUNCTION("""COMPUTED_VALUE"""),0.697)</f>
        <v>0.69699999999999995</v>
      </c>
      <c r="Z169" s="1">
        <f ca="1">IFERROR(__xludf.DUMMYFUNCTION("""COMPUTED_VALUE"""),465)</f>
        <v>465</v>
      </c>
      <c r="AA169" s="1">
        <f ca="1">IFERROR(__xludf.DUMMYFUNCTION("""COMPUTED_VALUE"""),1168)</f>
        <v>1168</v>
      </c>
      <c r="AB169" s="1">
        <f ca="1">IFERROR(__xludf.DUMMYFUNCTION("""COMPUTED_VALUE"""),454)</f>
        <v>454</v>
      </c>
      <c r="AC169" s="1">
        <f ca="1">IFERROR(__xludf.DUMMYFUNCTION("""COMPUTED_VALUE"""),309)</f>
        <v>309</v>
      </c>
      <c r="AD169" s="1">
        <f ca="1">IFERROR(__xludf.DUMMYFUNCTION("""COMPUTED_VALUE"""),168)</f>
        <v>168</v>
      </c>
      <c r="AE169" s="1">
        <f ca="1">IFERROR(__xludf.DUMMYFUNCTION("""COMPUTED_VALUE"""),421)</f>
        <v>421</v>
      </c>
      <c r="AF169" s="1">
        <f ca="1">IFERROR(__xludf.DUMMYFUNCTION("""COMPUTED_VALUE"""),624)</f>
        <v>624</v>
      </c>
    </row>
    <row r="170" spans="1:32" ht="12.5" x14ac:dyDescent="0.25">
      <c r="A170" s="1" t="str">
        <f ca="1">IFERROR(__xludf.DUMMYFUNCTION("""COMPUTED_VALUE"""),"LouisvilleNCAA")</f>
        <v>LouisvilleNCAA</v>
      </c>
      <c r="B170" s="1">
        <f ca="1">IFERROR(__xludf.DUMMYFUNCTION("""COMPUTED_VALUE"""),40)</f>
        <v>40</v>
      </c>
      <c r="C170" s="1">
        <f ca="1">IFERROR(__xludf.DUMMYFUNCTION("""COMPUTED_VALUE"""),35)</f>
        <v>35</v>
      </c>
      <c r="D170" s="1">
        <f ca="1">IFERROR(__xludf.DUMMYFUNCTION("""COMPUTED_VALUE"""),5)</f>
        <v>5</v>
      </c>
      <c r="E170" s="1">
        <f ca="1">IFERROR(__xludf.DUMMYFUNCTION("""COMPUTED_VALUE"""),0.875)</f>
        <v>0.875</v>
      </c>
      <c r="F170" s="1">
        <f ca="1">IFERROR(__xludf.DUMMYFUNCTION("""COMPUTED_VALUE"""),24.81)</f>
        <v>24.81</v>
      </c>
      <c r="G170" s="1">
        <f ca="1">IFERROR(__xludf.DUMMYFUNCTION("""COMPUTED_VALUE"""),9.13)</f>
        <v>9.1300000000000008</v>
      </c>
      <c r="H170" s="1">
        <f ca="1">IFERROR(__xludf.DUMMYFUNCTION("""COMPUTED_VALUE"""),14)</f>
        <v>14</v>
      </c>
      <c r="I170" s="1">
        <f ca="1">IFERROR(__xludf.DUMMYFUNCTION("""COMPUTED_VALUE"""),4)</f>
        <v>4</v>
      </c>
      <c r="J170" s="1">
        <f ca="1">IFERROR(__xludf.DUMMYFUNCTION("""COMPUTED_VALUE"""),15)</f>
        <v>15</v>
      </c>
      <c r="K170" s="1">
        <f ca="1">IFERROR(__xludf.DUMMYFUNCTION("""COMPUTED_VALUE"""),1)</f>
        <v>1</v>
      </c>
      <c r="L170" s="1">
        <f ca="1">IFERROR(__xludf.DUMMYFUNCTION("""COMPUTED_VALUE"""),8)</f>
        <v>8</v>
      </c>
      <c r="M170" s="1">
        <f ca="1">IFERROR(__xludf.DUMMYFUNCTION("""COMPUTED_VALUE"""),3)</f>
        <v>3</v>
      </c>
      <c r="N170" s="1">
        <f ca="1">IFERROR(__xludf.DUMMYFUNCTION("""COMPUTED_VALUE"""),2978)</f>
        <v>2978</v>
      </c>
      <c r="O170" s="1">
        <f ca="1">IFERROR(__xludf.DUMMYFUNCTION("""COMPUTED_VALUE"""),2351)</f>
        <v>2351</v>
      </c>
      <c r="P170" s="1">
        <f ca="1">IFERROR(__xludf.DUMMYFUNCTION("""COMPUTED_VALUE"""),1625)</f>
        <v>1625</v>
      </c>
      <c r="Q170" s="1">
        <f ca="1">IFERROR(__xludf.DUMMYFUNCTION("""COMPUTED_VALUE"""),1048)</f>
        <v>1048</v>
      </c>
      <c r="R170" s="1">
        <f ca="1">IFERROR(__xludf.DUMMYFUNCTION("""COMPUTED_VALUE"""),2300)</f>
        <v>2300</v>
      </c>
      <c r="S170" s="1">
        <f ca="1">IFERROR(__xludf.DUMMYFUNCTION("""COMPUTED_VALUE"""),0.456)</f>
        <v>0.45600000000000002</v>
      </c>
      <c r="T170" s="1">
        <f ca="1">IFERROR(__xludf.DUMMYFUNCTION("""COMPUTED_VALUE"""),230)</f>
        <v>230</v>
      </c>
      <c r="U170" s="1">
        <f ca="1">IFERROR(__xludf.DUMMYFUNCTION("""COMPUTED_VALUE"""),691)</f>
        <v>691</v>
      </c>
      <c r="V170" s="1">
        <f ca="1">IFERROR(__xludf.DUMMYFUNCTION("""COMPUTED_VALUE"""),0.333)</f>
        <v>0.33300000000000002</v>
      </c>
      <c r="W170" s="1">
        <f ca="1">IFERROR(__xludf.DUMMYFUNCTION("""COMPUTED_VALUE"""),652)</f>
        <v>652</v>
      </c>
      <c r="X170" s="1">
        <f ca="1">IFERROR(__xludf.DUMMYFUNCTION("""COMPUTED_VALUE"""),920)</f>
        <v>920</v>
      </c>
      <c r="Y170" s="1">
        <f ca="1">IFERROR(__xludf.DUMMYFUNCTION("""COMPUTED_VALUE"""),0.709)</f>
        <v>0.70899999999999996</v>
      </c>
      <c r="Z170" s="1">
        <f ca="1">IFERROR(__xludf.DUMMYFUNCTION("""COMPUTED_VALUE"""),531)</f>
        <v>531</v>
      </c>
      <c r="AA170" s="1">
        <f ca="1">IFERROR(__xludf.DUMMYFUNCTION("""COMPUTED_VALUE"""),1385)</f>
        <v>1385</v>
      </c>
      <c r="AB170" s="1">
        <f ca="1">IFERROR(__xludf.DUMMYFUNCTION("""COMPUTED_VALUE"""),584)</f>
        <v>584</v>
      </c>
      <c r="AC170" s="1">
        <f ca="1">IFERROR(__xludf.DUMMYFUNCTION("""COMPUTED_VALUE"""),430)</f>
        <v>430</v>
      </c>
      <c r="AD170" s="1">
        <f ca="1">IFERROR(__xludf.DUMMYFUNCTION("""COMPUTED_VALUE"""),168)</f>
        <v>168</v>
      </c>
      <c r="AE170" s="1">
        <f ca="1">IFERROR(__xludf.DUMMYFUNCTION("""COMPUTED_VALUE"""),495)</f>
        <v>495</v>
      </c>
      <c r="AF170" s="1">
        <f ca="1">IFERROR(__xludf.DUMMYFUNCTION("""COMPUTED_VALUE"""),727)</f>
        <v>727</v>
      </c>
    </row>
    <row r="171" spans="1:32" ht="12.5" x14ac:dyDescent="0.25">
      <c r="A171" s="1" t="str">
        <f ca="1">IFERROR(__xludf.DUMMYFUNCTION("""COMPUTED_VALUE"""),"Loyola (IL)")</f>
        <v>Loyola (IL)</v>
      </c>
      <c r="B171" s="1">
        <f ca="1">IFERROR(__xludf.DUMMYFUNCTION("""COMPUTED_VALUE"""),31)</f>
        <v>31</v>
      </c>
      <c r="C171" s="1">
        <f ca="1">IFERROR(__xludf.DUMMYFUNCTION("""COMPUTED_VALUE"""),15)</f>
        <v>15</v>
      </c>
      <c r="D171" s="1">
        <f ca="1">IFERROR(__xludf.DUMMYFUNCTION("""COMPUTED_VALUE"""),16)</f>
        <v>16</v>
      </c>
      <c r="E171" s="1">
        <f ca="1">IFERROR(__xludf.DUMMYFUNCTION("""COMPUTED_VALUE"""),0.484)</f>
        <v>0.48399999999999999</v>
      </c>
      <c r="F171" s="1">
        <f ca="1">IFERROR(__xludf.DUMMYFUNCTION("""COMPUTED_VALUE"""),-1.03)</f>
        <v>-1.03</v>
      </c>
      <c r="G171" s="1">
        <f ca="1">IFERROR(__xludf.DUMMYFUNCTION("""COMPUTED_VALUE"""),-2.3)</f>
        <v>-2.2999999999999998</v>
      </c>
      <c r="H171" s="1">
        <f ca="1">IFERROR(__xludf.DUMMYFUNCTION("""COMPUTED_VALUE"""),5)</f>
        <v>5</v>
      </c>
      <c r="I171" s="1">
        <f ca="1">IFERROR(__xludf.DUMMYFUNCTION("""COMPUTED_VALUE"""),11)</f>
        <v>11</v>
      </c>
      <c r="J171" s="1">
        <f ca="1">IFERROR(__xludf.DUMMYFUNCTION("""COMPUTED_VALUE"""),8)</f>
        <v>8</v>
      </c>
      <c r="K171" s="1">
        <f ca="1">IFERROR(__xludf.DUMMYFUNCTION("""COMPUTED_VALUE"""),6)</f>
        <v>6</v>
      </c>
      <c r="L171" s="1">
        <f ca="1">IFERROR(__xludf.DUMMYFUNCTION("""COMPUTED_VALUE"""),6)</f>
        <v>6</v>
      </c>
      <c r="M171" s="1">
        <f ca="1">IFERROR(__xludf.DUMMYFUNCTION("""COMPUTED_VALUE"""),9)</f>
        <v>9</v>
      </c>
      <c r="N171" s="1">
        <f ca="1">IFERROR(__xludf.DUMMYFUNCTION("""COMPUTED_VALUE"""),1995)</f>
        <v>1995</v>
      </c>
      <c r="O171" s="1">
        <f ca="1">IFERROR(__xludf.DUMMYFUNCTION("""COMPUTED_VALUE"""),1934)</f>
        <v>1934</v>
      </c>
      <c r="P171" s="1">
        <f ca="1">IFERROR(__xludf.DUMMYFUNCTION("""COMPUTED_VALUE"""),1245)</f>
        <v>1245</v>
      </c>
      <c r="Q171" s="1">
        <f ca="1">IFERROR(__xludf.DUMMYFUNCTION("""COMPUTED_VALUE"""),708)</f>
        <v>708</v>
      </c>
      <c r="R171" s="1">
        <f ca="1">IFERROR(__xludf.DUMMYFUNCTION("""COMPUTED_VALUE"""),1586)</f>
        <v>1586</v>
      </c>
      <c r="S171" s="1">
        <f ca="1">IFERROR(__xludf.DUMMYFUNCTION("""COMPUTED_VALUE"""),0.446)</f>
        <v>0.44600000000000001</v>
      </c>
      <c r="T171" s="1">
        <f ca="1">IFERROR(__xludf.DUMMYFUNCTION("""COMPUTED_VALUE"""),184)</f>
        <v>184</v>
      </c>
      <c r="U171" s="1">
        <f ca="1">IFERROR(__xludf.DUMMYFUNCTION("""COMPUTED_VALUE"""),505)</f>
        <v>505</v>
      </c>
      <c r="V171" s="1">
        <f ca="1">IFERROR(__xludf.DUMMYFUNCTION("""COMPUTED_VALUE"""),0.364)</f>
        <v>0.36399999999999999</v>
      </c>
      <c r="W171" s="1">
        <f ca="1">IFERROR(__xludf.DUMMYFUNCTION("""COMPUTED_VALUE"""),395)</f>
        <v>395</v>
      </c>
      <c r="X171" s="1">
        <f ca="1">IFERROR(__xludf.DUMMYFUNCTION("""COMPUTED_VALUE"""),550)</f>
        <v>550</v>
      </c>
      <c r="Y171" s="1">
        <f ca="1">IFERROR(__xludf.DUMMYFUNCTION("""COMPUTED_VALUE"""),0.718)</f>
        <v>0.71799999999999997</v>
      </c>
      <c r="Z171" s="1">
        <f ca="1">IFERROR(__xludf.DUMMYFUNCTION("""COMPUTED_VALUE"""),296)</f>
        <v>296</v>
      </c>
      <c r="AA171" s="1">
        <f ca="1">IFERROR(__xludf.DUMMYFUNCTION("""COMPUTED_VALUE"""),909)</f>
        <v>909</v>
      </c>
      <c r="AB171" s="1">
        <f ca="1">IFERROR(__xludf.DUMMYFUNCTION("""COMPUTED_VALUE"""),430)</f>
        <v>430</v>
      </c>
      <c r="AC171" s="1">
        <f ca="1">IFERROR(__xludf.DUMMYFUNCTION("""COMPUTED_VALUE"""),157)</f>
        <v>157</v>
      </c>
      <c r="AD171" s="1">
        <f ca="1">IFERROR(__xludf.DUMMYFUNCTION("""COMPUTED_VALUE"""),83)</f>
        <v>83</v>
      </c>
      <c r="AE171" s="1">
        <f ca="1">IFERROR(__xludf.DUMMYFUNCTION("""COMPUTED_VALUE"""),408)</f>
        <v>408</v>
      </c>
      <c r="AF171" s="1">
        <f ca="1">IFERROR(__xludf.DUMMYFUNCTION("""COMPUTED_VALUE"""),480)</f>
        <v>480</v>
      </c>
    </row>
    <row r="172" spans="1:32" ht="12.5" x14ac:dyDescent="0.25">
      <c r="A172" s="1" t="str">
        <f ca="1">IFERROR(__xludf.DUMMYFUNCTION("""COMPUTED_VALUE"""),"Loyola Marymount")</f>
        <v>Loyola Marymount</v>
      </c>
      <c r="B172" s="1">
        <f ca="1">IFERROR(__xludf.DUMMYFUNCTION("""COMPUTED_VALUE"""),34)</f>
        <v>34</v>
      </c>
      <c r="C172" s="1">
        <f ca="1">IFERROR(__xludf.DUMMYFUNCTION("""COMPUTED_VALUE"""),11)</f>
        <v>11</v>
      </c>
      <c r="D172" s="1">
        <f ca="1">IFERROR(__xludf.DUMMYFUNCTION("""COMPUTED_VALUE"""),23)</f>
        <v>23</v>
      </c>
      <c r="E172" s="1">
        <f ca="1">IFERROR(__xludf.DUMMYFUNCTION("""COMPUTED_VALUE"""),0.324)</f>
        <v>0.32400000000000001</v>
      </c>
      <c r="F172" s="1">
        <f ca="1">IFERROR(__xludf.DUMMYFUNCTION("""COMPUTED_VALUE"""),-3.04)</f>
        <v>-3.04</v>
      </c>
      <c r="G172" s="1">
        <f ca="1">IFERROR(__xludf.DUMMYFUNCTION("""COMPUTED_VALUE"""),2.86)</f>
        <v>2.86</v>
      </c>
      <c r="H172" s="1">
        <f ca="1">IFERROR(__xludf.DUMMYFUNCTION("""COMPUTED_VALUE"""),1)</f>
        <v>1</v>
      </c>
      <c r="I172" s="1">
        <f ca="1">IFERROR(__xludf.DUMMYFUNCTION("""COMPUTED_VALUE"""),15)</f>
        <v>15</v>
      </c>
      <c r="J172" s="1">
        <f ca="1">IFERROR(__xludf.DUMMYFUNCTION("""COMPUTED_VALUE"""),5)</f>
        <v>5</v>
      </c>
      <c r="K172" s="1">
        <f ca="1">IFERROR(__xludf.DUMMYFUNCTION("""COMPUTED_VALUE"""),9)</f>
        <v>9</v>
      </c>
      <c r="L172" s="1">
        <f ca="1">IFERROR(__xludf.DUMMYFUNCTION("""COMPUTED_VALUE"""),2)</f>
        <v>2</v>
      </c>
      <c r="M172" s="1">
        <f ca="1">IFERROR(__xludf.DUMMYFUNCTION("""COMPUTED_VALUE"""),12)</f>
        <v>12</v>
      </c>
      <c r="N172" s="1">
        <f ca="1">IFERROR(__xludf.DUMMYFUNCTION("""COMPUTED_VALUE"""),2202)</f>
        <v>2202</v>
      </c>
      <c r="O172" s="1">
        <f ca="1">IFERROR(__xludf.DUMMYFUNCTION("""COMPUTED_VALUE"""),2338)</f>
        <v>2338</v>
      </c>
      <c r="P172" s="1">
        <f ca="1">IFERROR(__xludf.DUMMYFUNCTION("""COMPUTED_VALUE"""),1375)</f>
        <v>1375</v>
      </c>
      <c r="Q172" s="1">
        <f ca="1">IFERROR(__xludf.DUMMYFUNCTION("""COMPUTED_VALUE"""),769)</f>
        <v>769</v>
      </c>
      <c r="R172" s="1">
        <f ca="1">IFERROR(__xludf.DUMMYFUNCTION("""COMPUTED_VALUE"""),1915)</f>
        <v>1915</v>
      </c>
      <c r="S172" s="1">
        <f ca="1">IFERROR(__xludf.DUMMYFUNCTION("""COMPUTED_VALUE"""),0.402)</f>
        <v>0.40200000000000002</v>
      </c>
      <c r="T172" s="1">
        <f ca="1">IFERROR(__xludf.DUMMYFUNCTION("""COMPUTED_VALUE"""),198)</f>
        <v>198</v>
      </c>
      <c r="U172" s="1">
        <f ca="1">IFERROR(__xludf.DUMMYFUNCTION("""COMPUTED_VALUE"""),599)</f>
        <v>599</v>
      </c>
      <c r="V172" s="1">
        <f ca="1">IFERROR(__xludf.DUMMYFUNCTION("""COMPUTED_VALUE"""),0.331)</f>
        <v>0.33100000000000002</v>
      </c>
      <c r="W172" s="1">
        <f ca="1">IFERROR(__xludf.DUMMYFUNCTION("""COMPUTED_VALUE"""),466)</f>
        <v>466</v>
      </c>
      <c r="X172" s="1">
        <f ca="1">IFERROR(__xludf.DUMMYFUNCTION("""COMPUTED_VALUE"""),663)</f>
        <v>663</v>
      </c>
      <c r="Y172" s="1">
        <f ca="1">IFERROR(__xludf.DUMMYFUNCTION("""COMPUTED_VALUE"""),0.703)</f>
        <v>0.70299999999999996</v>
      </c>
      <c r="Z172" s="1">
        <f ca="1">IFERROR(__xludf.DUMMYFUNCTION("""COMPUTED_VALUE"""),416)</f>
        <v>416</v>
      </c>
      <c r="AA172" s="1">
        <f ca="1">IFERROR(__xludf.DUMMYFUNCTION("""COMPUTED_VALUE"""),1095)</f>
        <v>1095</v>
      </c>
      <c r="AB172" s="1">
        <f ca="1">IFERROR(__xludf.DUMMYFUNCTION("""COMPUTED_VALUE"""),367)</f>
        <v>367</v>
      </c>
      <c r="AC172" s="1">
        <f ca="1">IFERROR(__xludf.DUMMYFUNCTION("""COMPUTED_VALUE"""),246)</f>
        <v>246</v>
      </c>
      <c r="AD172" s="1">
        <f ca="1">IFERROR(__xludf.DUMMYFUNCTION("""COMPUTED_VALUE"""),83)</f>
        <v>83</v>
      </c>
      <c r="AE172" s="1">
        <f ca="1">IFERROR(__xludf.DUMMYFUNCTION("""COMPUTED_VALUE"""),450)</f>
        <v>450</v>
      </c>
      <c r="AF172" s="1">
        <f ca="1">IFERROR(__xludf.DUMMYFUNCTION("""COMPUTED_VALUE"""),629)</f>
        <v>629</v>
      </c>
    </row>
    <row r="173" spans="1:32" ht="12.5" x14ac:dyDescent="0.25">
      <c r="A173" s="1" t="str">
        <f ca="1">IFERROR(__xludf.DUMMYFUNCTION("""COMPUTED_VALUE"""),"Loyola (MD)")</f>
        <v>Loyola (MD)</v>
      </c>
      <c r="B173" s="1">
        <f ca="1">IFERROR(__xludf.DUMMYFUNCTION("""COMPUTED_VALUE"""),35)</f>
        <v>35</v>
      </c>
      <c r="C173" s="1">
        <f ca="1">IFERROR(__xludf.DUMMYFUNCTION("""COMPUTED_VALUE"""),23)</f>
        <v>23</v>
      </c>
      <c r="D173" s="1">
        <f ca="1">IFERROR(__xludf.DUMMYFUNCTION("""COMPUTED_VALUE"""),12)</f>
        <v>12</v>
      </c>
      <c r="E173" s="1">
        <f ca="1">IFERROR(__xludf.DUMMYFUNCTION("""COMPUTED_VALUE"""),0.657)</f>
        <v>0.65700000000000003</v>
      </c>
      <c r="F173" s="1">
        <f ca="1">IFERROR(__xludf.DUMMYFUNCTION("""COMPUTED_VALUE"""),1.33)</f>
        <v>1.33</v>
      </c>
      <c r="G173" s="1">
        <f ca="1">IFERROR(__xludf.DUMMYFUNCTION("""COMPUTED_VALUE"""),-2.1)</f>
        <v>-2.1</v>
      </c>
      <c r="H173" s="1">
        <f ca="1">IFERROR(__xludf.DUMMYFUNCTION("""COMPUTED_VALUE"""),12)</f>
        <v>12</v>
      </c>
      <c r="I173" s="1">
        <f ca="1">IFERROR(__xludf.DUMMYFUNCTION("""COMPUTED_VALUE"""),6)</f>
        <v>6</v>
      </c>
      <c r="J173" s="1">
        <f ca="1">IFERROR(__xludf.DUMMYFUNCTION("""COMPUTED_VALUE"""),13)</f>
        <v>13</v>
      </c>
      <c r="K173" s="1">
        <f ca="1">IFERROR(__xludf.DUMMYFUNCTION("""COMPUTED_VALUE"""),3)</f>
        <v>3</v>
      </c>
      <c r="L173" s="1">
        <f ca="1">IFERROR(__xludf.DUMMYFUNCTION("""COMPUTED_VALUE"""),7)</f>
        <v>7</v>
      </c>
      <c r="M173" s="1">
        <f ca="1">IFERROR(__xludf.DUMMYFUNCTION("""COMPUTED_VALUE"""),8)</f>
        <v>8</v>
      </c>
      <c r="N173" s="1">
        <f ca="1">IFERROR(__xludf.DUMMYFUNCTION("""COMPUTED_VALUE"""),2341)</f>
        <v>2341</v>
      </c>
      <c r="O173" s="1">
        <f ca="1">IFERROR(__xludf.DUMMYFUNCTION("""COMPUTED_VALUE"""),2221)</f>
        <v>2221</v>
      </c>
      <c r="P173" s="1">
        <f ca="1">IFERROR(__xludf.DUMMYFUNCTION("""COMPUTED_VALUE"""),1420)</f>
        <v>1420</v>
      </c>
      <c r="Q173" s="1">
        <f ca="1">IFERROR(__xludf.DUMMYFUNCTION("""COMPUTED_VALUE"""),826)</f>
        <v>826</v>
      </c>
      <c r="R173" s="1">
        <f ca="1">IFERROR(__xludf.DUMMYFUNCTION("""COMPUTED_VALUE"""),1919)</f>
        <v>1919</v>
      </c>
      <c r="S173" s="1">
        <f ca="1">IFERROR(__xludf.DUMMYFUNCTION("""COMPUTED_VALUE"""),0.43)</f>
        <v>0.43</v>
      </c>
      <c r="T173" s="1">
        <f ca="1">IFERROR(__xludf.DUMMYFUNCTION("""COMPUTED_VALUE"""),147)</f>
        <v>147</v>
      </c>
      <c r="U173" s="1">
        <f ca="1">IFERROR(__xludf.DUMMYFUNCTION("""COMPUTED_VALUE"""),492)</f>
        <v>492</v>
      </c>
      <c r="V173" s="1">
        <f ca="1">IFERROR(__xludf.DUMMYFUNCTION("""COMPUTED_VALUE"""),0.299)</f>
        <v>0.29899999999999999</v>
      </c>
      <c r="W173" s="1">
        <f ca="1">IFERROR(__xludf.DUMMYFUNCTION("""COMPUTED_VALUE"""),542)</f>
        <v>542</v>
      </c>
      <c r="X173" s="1">
        <f ca="1">IFERROR(__xludf.DUMMYFUNCTION("""COMPUTED_VALUE"""),786)</f>
        <v>786</v>
      </c>
      <c r="Y173" s="1">
        <f ca="1">IFERROR(__xludf.DUMMYFUNCTION("""COMPUTED_VALUE"""),0.69)</f>
        <v>0.69</v>
      </c>
      <c r="Z173" s="1">
        <f ca="1">IFERROR(__xludf.DUMMYFUNCTION("""COMPUTED_VALUE"""),441)</f>
        <v>441</v>
      </c>
      <c r="AA173" s="1">
        <f ca="1">IFERROR(__xludf.DUMMYFUNCTION("""COMPUTED_VALUE"""),1091)</f>
        <v>1091</v>
      </c>
      <c r="AB173" s="1">
        <f ca="1">IFERROR(__xludf.DUMMYFUNCTION("""COMPUTED_VALUE"""),422)</f>
        <v>422</v>
      </c>
      <c r="AC173" s="1">
        <f ca="1">IFERROR(__xludf.DUMMYFUNCTION("""COMPUTED_VALUE"""),250)</f>
        <v>250</v>
      </c>
      <c r="AD173" s="1">
        <f ca="1">IFERROR(__xludf.DUMMYFUNCTION("""COMPUTED_VALUE"""),155)</f>
        <v>155</v>
      </c>
      <c r="AE173" s="1">
        <f ca="1">IFERROR(__xludf.DUMMYFUNCTION("""COMPUTED_VALUE"""),418)</f>
        <v>418</v>
      </c>
      <c r="AF173" s="1">
        <f ca="1">IFERROR(__xludf.DUMMYFUNCTION("""COMPUTED_VALUE"""),648)</f>
        <v>648</v>
      </c>
    </row>
    <row r="174" spans="1:32" ht="12.5" x14ac:dyDescent="0.25">
      <c r="A174" s="1" t="str">
        <f ca="1">IFERROR(__xludf.DUMMYFUNCTION("""COMPUTED_VALUE"""),"Maine")</f>
        <v>Maine</v>
      </c>
      <c r="B174" s="1">
        <f ca="1">IFERROR(__xludf.DUMMYFUNCTION("""COMPUTED_VALUE"""),30)</f>
        <v>30</v>
      </c>
      <c r="C174" s="1">
        <f ca="1">IFERROR(__xludf.DUMMYFUNCTION("""COMPUTED_VALUE"""),11)</f>
        <v>11</v>
      </c>
      <c r="D174" s="1">
        <f ca="1">IFERROR(__xludf.DUMMYFUNCTION("""COMPUTED_VALUE"""),19)</f>
        <v>19</v>
      </c>
      <c r="E174" s="1">
        <f ca="1">IFERROR(__xludf.DUMMYFUNCTION("""COMPUTED_VALUE"""),0.367)</f>
        <v>0.36699999999999999</v>
      </c>
      <c r="F174" s="1">
        <f ca="1">IFERROR(__xludf.DUMMYFUNCTION("""COMPUTED_VALUE"""),-9.57)</f>
        <v>-9.57</v>
      </c>
      <c r="G174" s="1">
        <f ca="1">IFERROR(__xludf.DUMMYFUNCTION("""COMPUTED_VALUE"""),-4.12)</f>
        <v>-4.12</v>
      </c>
      <c r="H174" s="1">
        <f ca="1">IFERROR(__xludf.DUMMYFUNCTION("""COMPUTED_VALUE"""),6)</f>
        <v>6</v>
      </c>
      <c r="I174" s="1">
        <f ca="1">IFERROR(__xludf.DUMMYFUNCTION("""COMPUTED_VALUE"""),10)</f>
        <v>10</v>
      </c>
      <c r="J174" s="1">
        <f ca="1">IFERROR(__xludf.DUMMYFUNCTION("""COMPUTED_VALUE"""),8)</f>
        <v>8</v>
      </c>
      <c r="K174" s="1">
        <f ca="1">IFERROR(__xludf.DUMMYFUNCTION("""COMPUTED_VALUE"""),4)</f>
        <v>4</v>
      </c>
      <c r="L174" s="1">
        <f ca="1">IFERROR(__xludf.DUMMYFUNCTION("""COMPUTED_VALUE"""),3)</f>
        <v>3</v>
      </c>
      <c r="M174" s="1">
        <f ca="1">IFERROR(__xludf.DUMMYFUNCTION("""COMPUTED_VALUE"""),15)</f>
        <v>15</v>
      </c>
      <c r="N174" s="1">
        <f ca="1">IFERROR(__xludf.DUMMYFUNCTION("""COMPUTED_VALUE"""),1988)</f>
        <v>1988</v>
      </c>
      <c r="O174" s="1">
        <f ca="1">IFERROR(__xludf.DUMMYFUNCTION("""COMPUTED_VALUE"""),2091)</f>
        <v>2091</v>
      </c>
      <c r="P174" s="1">
        <f ca="1">IFERROR(__xludf.DUMMYFUNCTION("""COMPUTED_VALUE"""),1200)</f>
        <v>1200</v>
      </c>
      <c r="Q174" s="1">
        <f ca="1">IFERROR(__xludf.DUMMYFUNCTION("""COMPUTED_VALUE"""),733)</f>
        <v>733</v>
      </c>
      <c r="R174" s="1">
        <f ca="1">IFERROR(__xludf.DUMMYFUNCTION("""COMPUTED_VALUE"""),1688)</f>
        <v>1688</v>
      </c>
      <c r="S174" s="1">
        <f ca="1">IFERROR(__xludf.DUMMYFUNCTION("""COMPUTED_VALUE"""),0.434)</f>
        <v>0.434</v>
      </c>
      <c r="T174" s="1">
        <f ca="1">IFERROR(__xludf.DUMMYFUNCTION("""COMPUTED_VALUE"""),156)</f>
        <v>156</v>
      </c>
      <c r="U174" s="1">
        <f ca="1">IFERROR(__xludf.DUMMYFUNCTION("""COMPUTED_VALUE"""),530)</f>
        <v>530</v>
      </c>
      <c r="V174" s="1">
        <f ca="1">IFERROR(__xludf.DUMMYFUNCTION("""COMPUTED_VALUE"""),0.294)</f>
        <v>0.29399999999999998</v>
      </c>
      <c r="W174" s="1">
        <f ca="1">IFERROR(__xludf.DUMMYFUNCTION("""COMPUTED_VALUE"""),366)</f>
        <v>366</v>
      </c>
      <c r="X174" s="1">
        <f ca="1">IFERROR(__xludf.DUMMYFUNCTION("""COMPUTED_VALUE"""),559)</f>
        <v>559</v>
      </c>
      <c r="Y174" s="1">
        <f ca="1">IFERROR(__xludf.DUMMYFUNCTION("""COMPUTED_VALUE"""),0.655)</f>
        <v>0.65500000000000003</v>
      </c>
      <c r="Z174" s="1">
        <f ca="1">IFERROR(__xludf.DUMMYFUNCTION("""COMPUTED_VALUE"""),326)</f>
        <v>326</v>
      </c>
      <c r="AA174" s="1">
        <f ca="1">IFERROR(__xludf.DUMMYFUNCTION("""COMPUTED_VALUE"""),1006)</f>
        <v>1006</v>
      </c>
      <c r="AB174" s="1">
        <f ca="1">IFERROR(__xludf.DUMMYFUNCTION("""COMPUTED_VALUE"""),384)</f>
        <v>384</v>
      </c>
      <c r="AC174" s="1">
        <f ca="1">IFERROR(__xludf.DUMMYFUNCTION("""COMPUTED_VALUE"""),209)</f>
        <v>209</v>
      </c>
      <c r="AD174" s="1">
        <f ca="1">IFERROR(__xludf.DUMMYFUNCTION("""COMPUTED_VALUE"""),123)</f>
        <v>123</v>
      </c>
      <c r="AE174" s="1">
        <f ca="1">IFERROR(__xludf.DUMMYFUNCTION("""COMPUTED_VALUE"""),450)</f>
        <v>450</v>
      </c>
      <c r="AF174" s="1">
        <f ca="1">IFERROR(__xludf.DUMMYFUNCTION("""COMPUTED_VALUE"""),547)</f>
        <v>547</v>
      </c>
    </row>
    <row r="175" spans="1:32" ht="12.5" x14ac:dyDescent="0.25">
      <c r="A175" s="1" t="str">
        <f ca="1">IFERROR(__xludf.DUMMYFUNCTION("""COMPUTED_VALUE"""),"Manhattan")</f>
        <v>Manhattan</v>
      </c>
      <c r="B175" s="1">
        <f ca="1">IFERROR(__xludf.DUMMYFUNCTION("""COMPUTED_VALUE"""),32)</f>
        <v>32</v>
      </c>
      <c r="C175" s="1">
        <f ca="1">IFERROR(__xludf.DUMMYFUNCTION("""COMPUTED_VALUE"""),14)</f>
        <v>14</v>
      </c>
      <c r="D175" s="1">
        <f ca="1">IFERROR(__xludf.DUMMYFUNCTION("""COMPUTED_VALUE"""),18)</f>
        <v>18</v>
      </c>
      <c r="E175" s="1">
        <f ca="1">IFERROR(__xludf.DUMMYFUNCTION("""COMPUTED_VALUE"""),0.438)</f>
        <v>0.438</v>
      </c>
      <c r="F175" s="1">
        <f ca="1">IFERROR(__xludf.DUMMYFUNCTION("""COMPUTED_VALUE"""),-1.97)</f>
        <v>-1.97</v>
      </c>
      <c r="G175" s="1">
        <f ca="1">IFERROR(__xludf.DUMMYFUNCTION("""COMPUTED_VALUE"""),-0.38)</f>
        <v>-0.38</v>
      </c>
      <c r="H175" s="1">
        <f ca="1">IFERROR(__xludf.DUMMYFUNCTION("""COMPUTED_VALUE"""),9)</f>
        <v>9</v>
      </c>
      <c r="I175" s="1">
        <f ca="1">IFERROR(__xludf.DUMMYFUNCTION("""COMPUTED_VALUE"""),9)</f>
        <v>9</v>
      </c>
      <c r="J175" s="1">
        <f ca="1">IFERROR(__xludf.DUMMYFUNCTION("""COMPUTED_VALUE"""),7)</f>
        <v>7</v>
      </c>
      <c r="K175" s="1">
        <f ca="1">IFERROR(__xludf.DUMMYFUNCTION("""COMPUTED_VALUE"""),4)</f>
        <v>4</v>
      </c>
      <c r="L175" s="1">
        <f ca="1">IFERROR(__xludf.DUMMYFUNCTION("""COMPUTED_VALUE"""),5)</f>
        <v>5</v>
      </c>
      <c r="M175" s="1">
        <f ca="1">IFERROR(__xludf.DUMMYFUNCTION("""COMPUTED_VALUE"""),11)</f>
        <v>11</v>
      </c>
      <c r="N175" s="1">
        <f ca="1">IFERROR(__xludf.DUMMYFUNCTION("""COMPUTED_VALUE"""),1865)</f>
        <v>1865</v>
      </c>
      <c r="O175" s="1">
        <f ca="1">IFERROR(__xludf.DUMMYFUNCTION("""COMPUTED_VALUE"""),1916)</f>
        <v>1916</v>
      </c>
      <c r="P175" s="1">
        <f ca="1">IFERROR(__xludf.DUMMYFUNCTION("""COMPUTED_VALUE"""),1290)</f>
        <v>1290</v>
      </c>
      <c r="Q175" s="1">
        <f ca="1">IFERROR(__xludf.DUMMYFUNCTION("""COMPUTED_VALUE"""),614)</f>
        <v>614</v>
      </c>
      <c r="R175" s="1">
        <f ca="1">IFERROR(__xludf.DUMMYFUNCTION("""COMPUTED_VALUE"""),1506)</f>
        <v>1506</v>
      </c>
      <c r="S175" s="1">
        <f ca="1">IFERROR(__xludf.DUMMYFUNCTION("""COMPUTED_VALUE"""),0.408)</f>
        <v>0.40799999999999997</v>
      </c>
      <c r="T175" s="1">
        <f ca="1">IFERROR(__xludf.DUMMYFUNCTION("""COMPUTED_VALUE"""),181)</f>
        <v>181</v>
      </c>
      <c r="U175" s="1">
        <f ca="1">IFERROR(__xludf.DUMMYFUNCTION("""COMPUTED_VALUE"""),538)</f>
        <v>538</v>
      </c>
      <c r="V175" s="1">
        <f ca="1">IFERROR(__xludf.DUMMYFUNCTION("""COMPUTED_VALUE"""),0.336)</f>
        <v>0.33600000000000002</v>
      </c>
      <c r="W175" s="1">
        <f ca="1">IFERROR(__xludf.DUMMYFUNCTION("""COMPUTED_VALUE"""),456)</f>
        <v>456</v>
      </c>
      <c r="X175" s="1">
        <f ca="1">IFERROR(__xludf.DUMMYFUNCTION("""COMPUTED_VALUE"""),689)</f>
        <v>689</v>
      </c>
      <c r="Y175" s="1">
        <f ca="1">IFERROR(__xludf.DUMMYFUNCTION("""COMPUTED_VALUE"""),0.662)</f>
        <v>0.66200000000000003</v>
      </c>
      <c r="Z175" s="1">
        <f ca="1">IFERROR(__xludf.DUMMYFUNCTION("""COMPUTED_VALUE"""),328)</f>
        <v>328</v>
      </c>
      <c r="AA175" s="1">
        <f ca="1">IFERROR(__xludf.DUMMYFUNCTION("""COMPUTED_VALUE"""),918)</f>
        <v>918</v>
      </c>
      <c r="AB175" s="1">
        <f ca="1">IFERROR(__xludf.DUMMYFUNCTION("""COMPUTED_VALUE"""),341)</f>
        <v>341</v>
      </c>
      <c r="AC175" s="1">
        <f ca="1">IFERROR(__xludf.DUMMYFUNCTION("""COMPUTED_VALUE"""),212)</f>
        <v>212</v>
      </c>
      <c r="AD175" s="1">
        <f ca="1">IFERROR(__xludf.DUMMYFUNCTION("""COMPUTED_VALUE"""),134)</f>
        <v>134</v>
      </c>
      <c r="AE175" s="1">
        <f ca="1">IFERROR(__xludf.DUMMYFUNCTION("""COMPUTED_VALUE"""),518)</f>
        <v>518</v>
      </c>
      <c r="AF175" s="1">
        <f ca="1">IFERROR(__xludf.DUMMYFUNCTION("""COMPUTED_VALUE"""),674)</f>
        <v>674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IFERROR(__xludf.DUMMYFUNCTION("""COMPUTED_VALUE"""),"Marist")</f>
        <v>Marist</v>
      </c>
      <c r="B178" s="1">
        <f ca="1">IFERROR(__xludf.DUMMYFUNCTION("""COMPUTED_VALUE"""),31)</f>
        <v>31</v>
      </c>
      <c r="C178" s="1">
        <f ca="1">IFERROR(__xludf.DUMMYFUNCTION("""COMPUTED_VALUE"""),10)</f>
        <v>10</v>
      </c>
      <c r="D178" s="1">
        <f ca="1">IFERROR(__xludf.DUMMYFUNCTION("""COMPUTED_VALUE"""),21)</f>
        <v>21</v>
      </c>
      <c r="E178" s="1">
        <f ca="1">IFERROR(__xludf.DUMMYFUNCTION("""COMPUTED_VALUE"""),0.323)</f>
        <v>0.32300000000000001</v>
      </c>
      <c r="F178" s="1">
        <f ca="1">IFERROR(__xludf.DUMMYFUNCTION("""COMPUTED_VALUE"""),-6.34)</f>
        <v>-6.34</v>
      </c>
      <c r="G178" s="1">
        <f ca="1">IFERROR(__xludf.DUMMYFUNCTION("""COMPUTED_VALUE"""),-1.63)</f>
        <v>-1.63</v>
      </c>
      <c r="H178" s="1">
        <f ca="1">IFERROR(__xludf.DUMMYFUNCTION("""COMPUTED_VALUE"""),6)</f>
        <v>6</v>
      </c>
      <c r="I178" s="1">
        <f ca="1">IFERROR(__xludf.DUMMYFUNCTION("""COMPUTED_VALUE"""),12)</f>
        <v>12</v>
      </c>
      <c r="J178" s="1">
        <f ca="1">IFERROR(__xludf.DUMMYFUNCTION("""COMPUTED_VALUE"""),6)</f>
        <v>6</v>
      </c>
      <c r="K178" s="1">
        <f ca="1">IFERROR(__xludf.DUMMYFUNCTION("""COMPUTED_VALUE"""),7)</f>
        <v>7</v>
      </c>
      <c r="L178" s="1">
        <f ca="1">IFERROR(__xludf.DUMMYFUNCTION("""COMPUTED_VALUE"""),3)</f>
        <v>3</v>
      </c>
      <c r="M178" s="1">
        <f ca="1">IFERROR(__xludf.DUMMYFUNCTION("""COMPUTED_VALUE"""),11)</f>
        <v>11</v>
      </c>
      <c r="N178" s="1">
        <f ca="1">IFERROR(__xludf.DUMMYFUNCTION("""COMPUTED_VALUE"""),2045)</f>
        <v>2045</v>
      </c>
      <c r="O178" s="1">
        <f ca="1">IFERROR(__xludf.DUMMYFUNCTION("""COMPUTED_VALUE"""),2191)</f>
        <v>2191</v>
      </c>
      <c r="P178" s="1">
        <f ca="1">IFERROR(__xludf.DUMMYFUNCTION("""COMPUTED_VALUE"""),1255)</f>
        <v>1255</v>
      </c>
      <c r="Q178" s="1">
        <f ca="1">IFERROR(__xludf.DUMMYFUNCTION("""COMPUTED_VALUE"""),710)</f>
        <v>710</v>
      </c>
      <c r="R178" s="1">
        <f ca="1">IFERROR(__xludf.DUMMYFUNCTION("""COMPUTED_VALUE"""),1670)</f>
        <v>1670</v>
      </c>
      <c r="S178" s="1">
        <f ca="1">IFERROR(__xludf.DUMMYFUNCTION("""COMPUTED_VALUE"""),0.425)</f>
        <v>0.42499999999999999</v>
      </c>
      <c r="T178" s="1">
        <f ca="1">IFERROR(__xludf.DUMMYFUNCTION("""COMPUTED_VALUE"""),197)</f>
        <v>197</v>
      </c>
      <c r="U178" s="1">
        <f ca="1">IFERROR(__xludf.DUMMYFUNCTION("""COMPUTED_VALUE"""),569)</f>
        <v>569</v>
      </c>
      <c r="V178" s="1">
        <f ca="1">IFERROR(__xludf.DUMMYFUNCTION("""COMPUTED_VALUE"""),0.346)</f>
        <v>0.34599999999999997</v>
      </c>
      <c r="W178" s="1">
        <f ca="1">IFERROR(__xludf.DUMMYFUNCTION("""COMPUTED_VALUE"""),428)</f>
        <v>428</v>
      </c>
      <c r="X178" s="1">
        <f ca="1">IFERROR(__xludf.DUMMYFUNCTION("""COMPUTED_VALUE"""),661)</f>
        <v>661</v>
      </c>
      <c r="Y178" s="1">
        <f ca="1">IFERROR(__xludf.DUMMYFUNCTION("""COMPUTED_VALUE"""),0.648)</f>
        <v>0.64800000000000002</v>
      </c>
      <c r="Z178" s="1">
        <f ca="1">IFERROR(__xludf.DUMMYFUNCTION("""COMPUTED_VALUE"""),293)</f>
        <v>293</v>
      </c>
      <c r="AA178" s="1">
        <f ca="1">IFERROR(__xludf.DUMMYFUNCTION("""COMPUTED_VALUE"""),940)</f>
        <v>940</v>
      </c>
      <c r="AB178" s="1">
        <f ca="1">IFERROR(__xludf.DUMMYFUNCTION("""COMPUTED_VALUE"""),396)</f>
        <v>396</v>
      </c>
      <c r="AC178" s="1">
        <f ca="1">IFERROR(__xludf.DUMMYFUNCTION("""COMPUTED_VALUE"""),194)</f>
        <v>194</v>
      </c>
      <c r="AD178" s="1">
        <f ca="1">IFERROR(__xludf.DUMMYFUNCTION("""COMPUTED_VALUE"""),128)</f>
        <v>128</v>
      </c>
      <c r="AE178" s="1">
        <f ca="1">IFERROR(__xludf.DUMMYFUNCTION("""COMPUTED_VALUE"""),443)</f>
        <v>443</v>
      </c>
      <c r="AF178" s="1">
        <f ca="1">IFERROR(__xludf.DUMMYFUNCTION("""COMPUTED_VALUE"""),530)</f>
        <v>530</v>
      </c>
    </row>
    <row r="179" spans="1:32" ht="12.5" x14ac:dyDescent="0.25">
      <c r="A179" s="1" t="str">
        <f ca="1">IFERROR(__xludf.DUMMYFUNCTION("""COMPUTED_VALUE"""),"MarquetteNCAA")</f>
        <v>MarquetteNCAA</v>
      </c>
      <c r="B179" s="1">
        <f ca="1">IFERROR(__xludf.DUMMYFUNCTION("""COMPUTED_VALUE"""),35)</f>
        <v>35</v>
      </c>
      <c r="C179" s="1">
        <f ca="1">IFERROR(__xludf.DUMMYFUNCTION("""COMPUTED_VALUE"""),26)</f>
        <v>26</v>
      </c>
      <c r="D179" s="1">
        <f ca="1">IFERROR(__xludf.DUMMYFUNCTION("""COMPUTED_VALUE"""),9)</f>
        <v>9</v>
      </c>
      <c r="E179" s="1">
        <f ca="1">IFERROR(__xludf.DUMMYFUNCTION("""COMPUTED_VALUE"""),0.743)</f>
        <v>0.74299999999999999</v>
      </c>
      <c r="F179" s="1">
        <f ca="1">IFERROR(__xludf.DUMMYFUNCTION("""COMPUTED_VALUE"""),14.04)</f>
        <v>14.04</v>
      </c>
      <c r="G179" s="1">
        <f ca="1">IFERROR(__xludf.DUMMYFUNCTION("""COMPUTED_VALUE"""),8.58)</f>
        <v>8.58</v>
      </c>
      <c r="H179" s="1">
        <f ca="1">IFERROR(__xludf.DUMMYFUNCTION("""COMPUTED_VALUE"""),14)</f>
        <v>14</v>
      </c>
      <c r="I179" s="1">
        <f ca="1">IFERROR(__xludf.DUMMYFUNCTION("""COMPUTED_VALUE"""),4)</f>
        <v>4</v>
      </c>
      <c r="J179" s="1">
        <f ca="1">IFERROR(__xludf.DUMMYFUNCTION("""COMPUTED_VALUE"""),16)</f>
        <v>16</v>
      </c>
      <c r="K179" s="1">
        <f ca="1">IFERROR(__xludf.DUMMYFUNCTION("""COMPUTED_VALUE"""),0)</f>
        <v>0</v>
      </c>
      <c r="L179" s="1">
        <f ca="1">IFERROR(__xludf.DUMMYFUNCTION("""COMPUTED_VALUE"""),5)</f>
        <v>5</v>
      </c>
      <c r="M179" s="1">
        <f ca="1">IFERROR(__xludf.DUMMYFUNCTION("""COMPUTED_VALUE"""),6)</f>
        <v>6</v>
      </c>
      <c r="N179" s="1">
        <f ca="1">IFERROR(__xludf.DUMMYFUNCTION("""COMPUTED_VALUE"""),2382)</f>
        <v>2382</v>
      </c>
      <c r="O179" s="1">
        <f ca="1">IFERROR(__xludf.DUMMYFUNCTION("""COMPUTED_VALUE"""),2191)</f>
        <v>2191</v>
      </c>
      <c r="P179" s="1">
        <f ca="1">IFERROR(__xludf.DUMMYFUNCTION("""COMPUTED_VALUE"""),1420)</f>
        <v>1420</v>
      </c>
      <c r="Q179" s="1">
        <f ca="1">IFERROR(__xludf.DUMMYFUNCTION("""COMPUTED_VALUE"""),842)</f>
        <v>842</v>
      </c>
      <c r="R179" s="1">
        <f ca="1">IFERROR(__xludf.DUMMYFUNCTION("""COMPUTED_VALUE"""),1844)</f>
        <v>1844</v>
      </c>
      <c r="S179" s="1">
        <f ca="1">IFERROR(__xludf.DUMMYFUNCTION("""COMPUTED_VALUE"""),0.457)</f>
        <v>0.45700000000000002</v>
      </c>
      <c r="T179" s="1">
        <f ca="1">IFERROR(__xludf.DUMMYFUNCTION("""COMPUTED_VALUE"""),147)</f>
        <v>147</v>
      </c>
      <c r="U179" s="1">
        <f ca="1">IFERROR(__xludf.DUMMYFUNCTION("""COMPUTED_VALUE"""),497)</f>
        <v>497</v>
      </c>
      <c r="V179" s="1">
        <f ca="1">IFERROR(__xludf.DUMMYFUNCTION("""COMPUTED_VALUE"""),0.296)</f>
        <v>0.29599999999999999</v>
      </c>
      <c r="W179" s="1">
        <f ca="1">IFERROR(__xludf.DUMMYFUNCTION("""COMPUTED_VALUE"""),551)</f>
        <v>551</v>
      </c>
      <c r="X179" s="1">
        <f ca="1">IFERROR(__xludf.DUMMYFUNCTION("""COMPUTED_VALUE"""),755)</f>
        <v>755</v>
      </c>
      <c r="Y179" s="1">
        <f ca="1">IFERROR(__xludf.DUMMYFUNCTION("""COMPUTED_VALUE"""),0.73)</f>
        <v>0.73</v>
      </c>
      <c r="Z179" s="1">
        <f ca="1">IFERROR(__xludf.DUMMYFUNCTION("""COMPUTED_VALUE"""),418)</f>
        <v>418</v>
      </c>
      <c r="AA179" s="1">
        <f ca="1">IFERROR(__xludf.DUMMYFUNCTION("""COMPUTED_VALUE"""),1116)</f>
        <v>1116</v>
      </c>
      <c r="AB179" s="1">
        <f ca="1">IFERROR(__xludf.DUMMYFUNCTION("""COMPUTED_VALUE"""),483)</f>
        <v>483</v>
      </c>
      <c r="AC179" s="1">
        <f ca="1">IFERROR(__xludf.DUMMYFUNCTION("""COMPUTED_VALUE"""),231)</f>
        <v>231</v>
      </c>
      <c r="AD179" s="1">
        <f ca="1">IFERROR(__xludf.DUMMYFUNCTION("""COMPUTED_VALUE"""),123)</f>
        <v>123</v>
      </c>
      <c r="AE179" s="1">
        <f ca="1">IFERROR(__xludf.DUMMYFUNCTION("""COMPUTED_VALUE"""),471)</f>
        <v>471</v>
      </c>
      <c r="AF179" s="1">
        <f ca="1">IFERROR(__xludf.DUMMYFUNCTION("""COMPUTED_VALUE"""),590)</f>
        <v>590</v>
      </c>
    </row>
    <row r="180" spans="1:32" ht="12.5" x14ac:dyDescent="0.25">
      <c r="A180" s="1" t="str">
        <f ca="1">IFERROR(__xludf.DUMMYFUNCTION("""COMPUTED_VALUE"""),"Marshall")</f>
        <v>Marshall</v>
      </c>
      <c r="B180" s="1">
        <f ca="1">IFERROR(__xludf.DUMMYFUNCTION("""COMPUTED_VALUE"""),32)</f>
        <v>32</v>
      </c>
      <c r="C180" s="1">
        <f ca="1">IFERROR(__xludf.DUMMYFUNCTION("""COMPUTED_VALUE"""),13)</f>
        <v>13</v>
      </c>
      <c r="D180" s="1">
        <f ca="1">IFERROR(__xludf.DUMMYFUNCTION("""COMPUTED_VALUE"""),19)</f>
        <v>19</v>
      </c>
      <c r="E180" s="1">
        <f ca="1">IFERROR(__xludf.DUMMYFUNCTION("""COMPUTED_VALUE"""),0.406)</f>
        <v>0.40600000000000003</v>
      </c>
      <c r="F180" s="1">
        <f ca="1">IFERROR(__xludf.DUMMYFUNCTION("""COMPUTED_VALUE"""),-3.62)</f>
        <v>-3.62</v>
      </c>
      <c r="G180" s="1">
        <f ca="1">IFERROR(__xludf.DUMMYFUNCTION("""COMPUTED_VALUE"""),0.93)</f>
        <v>0.93</v>
      </c>
      <c r="H180" s="1">
        <f ca="1">IFERROR(__xludf.DUMMYFUNCTION("""COMPUTED_VALUE"""),6)</f>
        <v>6</v>
      </c>
      <c r="I180" s="1">
        <f ca="1">IFERROR(__xludf.DUMMYFUNCTION("""COMPUTED_VALUE"""),10)</f>
        <v>10</v>
      </c>
      <c r="J180" s="1">
        <f ca="1">IFERROR(__xludf.DUMMYFUNCTION("""COMPUTED_VALUE"""),11)</f>
        <v>11</v>
      </c>
      <c r="K180" s="1">
        <f ca="1">IFERROR(__xludf.DUMMYFUNCTION("""COMPUTED_VALUE"""),4)</f>
        <v>4</v>
      </c>
      <c r="L180" s="1">
        <f ca="1">IFERROR(__xludf.DUMMYFUNCTION("""COMPUTED_VALUE"""),1)</f>
        <v>1</v>
      </c>
      <c r="M180" s="1">
        <f ca="1">IFERROR(__xludf.DUMMYFUNCTION("""COMPUTED_VALUE"""),11)</f>
        <v>11</v>
      </c>
      <c r="N180" s="1">
        <f ca="1">IFERROR(__xludf.DUMMYFUNCTION("""COMPUTED_VALUE"""),2208)</f>
        <v>2208</v>
      </c>
      <c r="O180" s="1">
        <f ca="1">IFERROR(__xludf.DUMMYFUNCTION("""COMPUTED_VALUE"""),2327)</f>
        <v>2327</v>
      </c>
      <c r="P180" s="1">
        <f ca="1">IFERROR(__xludf.DUMMYFUNCTION("""COMPUTED_VALUE"""),1290)</f>
        <v>1290</v>
      </c>
      <c r="Q180" s="1">
        <f ca="1">IFERROR(__xludf.DUMMYFUNCTION("""COMPUTED_VALUE"""),767)</f>
        <v>767</v>
      </c>
      <c r="R180" s="1">
        <f ca="1">IFERROR(__xludf.DUMMYFUNCTION("""COMPUTED_VALUE"""),1796)</f>
        <v>1796</v>
      </c>
      <c r="S180" s="1">
        <f ca="1">IFERROR(__xludf.DUMMYFUNCTION("""COMPUTED_VALUE"""),0.427)</f>
        <v>0.42699999999999999</v>
      </c>
      <c r="T180" s="1">
        <f ca="1">IFERROR(__xludf.DUMMYFUNCTION("""COMPUTED_VALUE"""),198)</f>
        <v>198</v>
      </c>
      <c r="U180" s="1">
        <f ca="1">IFERROR(__xludf.DUMMYFUNCTION("""COMPUTED_VALUE"""),646)</f>
        <v>646</v>
      </c>
      <c r="V180" s="1">
        <f ca="1">IFERROR(__xludf.DUMMYFUNCTION("""COMPUTED_VALUE"""),0.307)</f>
        <v>0.307</v>
      </c>
      <c r="W180" s="1">
        <f ca="1">IFERROR(__xludf.DUMMYFUNCTION("""COMPUTED_VALUE"""),476)</f>
        <v>476</v>
      </c>
      <c r="X180" s="1">
        <f ca="1">IFERROR(__xludf.DUMMYFUNCTION("""COMPUTED_VALUE"""),796)</f>
        <v>796</v>
      </c>
      <c r="Y180" s="1">
        <f ca="1">IFERROR(__xludf.DUMMYFUNCTION("""COMPUTED_VALUE"""),0.598)</f>
        <v>0.59799999999999998</v>
      </c>
      <c r="Z180" s="1">
        <f ca="1">IFERROR(__xludf.DUMMYFUNCTION("""COMPUTED_VALUE"""),460)</f>
        <v>460</v>
      </c>
      <c r="AA180" s="1">
        <f ca="1">IFERROR(__xludf.DUMMYFUNCTION("""COMPUTED_VALUE"""),1100)</f>
        <v>1100</v>
      </c>
      <c r="AB180" s="1">
        <f ca="1">IFERROR(__xludf.DUMMYFUNCTION("""COMPUTED_VALUE"""),448)</f>
        <v>448</v>
      </c>
      <c r="AC180" s="1">
        <f ca="1">IFERROR(__xludf.DUMMYFUNCTION("""COMPUTED_VALUE"""),207)</f>
        <v>207</v>
      </c>
      <c r="AD180" s="1">
        <f ca="1">IFERROR(__xludf.DUMMYFUNCTION("""COMPUTED_VALUE"""),145)</f>
        <v>145</v>
      </c>
      <c r="AE180" s="1">
        <f ca="1">IFERROR(__xludf.DUMMYFUNCTION("""COMPUTED_VALUE"""),506)</f>
        <v>506</v>
      </c>
      <c r="AF180" s="1">
        <f ca="1">IFERROR(__xludf.DUMMYFUNCTION("""COMPUTED_VALUE"""),617)</f>
        <v>617</v>
      </c>
    </row>
    <row r="181" spans="1:32" ht="12.5" x14ac:dyDescent="0.25">
      <c r="A181" s="1" t="str">
        <f ca="1">IFERROR(__xludf.DUMMYFUNCTION("""COMPUTED_VALUE"""),"Maryland-Baltimore County")</f>
        <v>Maryland-Baltimore County</v>
      </c>
      <c r="B181" s="1">
        <f ca="1">IFERROR(__xludf.DUMMYFUNCTION("""COMPUTED_VALUE"""),31)</f>
        <v>31</v>
      </c>
      <c r="C181" s="1">
        <f ca="1">IFERROR(__xludf.DUMMYFUNCTION("""COMPUTED_VALUE"""),8)</f>
        <v>8</v>
      </c>
      <c r="D181" s="1">
        <f ca="1">IFERROR(__xludf.DUMMYFUNCTION("""COMPUTED_VALUE"""),23)</f>
        <v>23</v>
      </c>
      <c r="E181" s="1">
        <f ca="1">IFERROR(__xludf.DUMMYFUNCTION("""COMPUTED_VALUE"""),0.258)</f>
        <v>0.25800000000000001</v>
      </c>
      <c r="F181" s="1">
        <f ca="1">IFERROR(__xludf.DUMMYFUNCTION("""COMPUTED_VALUE"""),-12.5)</f>
        <v>-12.5</v>
      </c>
      <c r="G181" s="1">
        <f ca="1">IFERROR(__xludf.DUMMYFUNCTION("""COMPUTED_VALUE"""),-3.7)</f>
        <v>-3.7</v>
      </c>
      <c r="H181" s="1">
        <f ca="1">IFERROR(__xludf.DUMMYFUNCTION("""COMPUTED_VALUE"""),5)</f>
        <v>5</v>
      </c>
      <c r="I181" s="1">
        <f ca="1">IFERROR(__xludf.DUMMYFUNCTION("""COMPUTED_VALUE"""),11)</f>
        <v>11</v>
      </c>
      <c r="J181" s="1">
        <f ca="1">IFERROR(__xludf.DUMMYFUNCTION("""COMPUTED_VALUE"""),6)</f>
        <v>6</v>
      </c>
      <c r="K181" s="1">
        <f ca="1">IFERROR(__xludf.DUMMYFUNCTION("""COMPUTED_VALUE"""),8)</f>
        <v>8</v>
      </c>
      <c r="L181" s="1">
        <f ca="1">IFERROR(__xludf.DUMMYFUNCTION("""COMPUTED_VALUE"""),1)</f>
        <v>1</v>
      </c>
      <c r="M181" s="1">
        <f ca="1">IFERROR(__xludf.DUMMYFUNCTION("""COMPUTED_VALUE"""),14)</f>
        <v>14</v>
      </c>
      <c r="N181" s="1">
        <f ca="1">IFERROR(__xludf.DUMMYFUNCTION("""COMPUTED_VALUE"""),1970)</f>
        <v>1970</v>
      </c>
      <c r="O181" s="1">
        <f ca="1">IFERROR(__xludf.DUMMYFUNCTION("""COMPUTED_VALUE"""),2216)</f>
        <v>2216</v>
      </c>
      <c r="P181" s="1">
        <f ca="1">IFERROR(__xludf.DUMMYFUNCTION("""COMPUTED_VALUE"""),1260)</f>
        <v>1260</v>
      </c>
      <c r="Q181" s="1">
        <f ca="1">IFERROR(__xludf.DUMMYFUNCTION("""COMPUTED_VALUE"""),718)</f>
        <v>718</v>
      </c>
      <c r="R181" s="1">
        <f ca="1">IFERROR(__xludf.DUMMYFUNCTION("""COMPUTED_VALUE"""),1763)</f>
        <v>1763</v>
      </c>
      <c r="S181" s="1">
        <f ca="1">IFERROR(__xludf.DUMMYFUNCTION("""COMPUTED_VALUE"""),0.407)</f>
        <v>0.40699999999999997</v>
      </c>
      <c r="T181" s="1">
        <f ca="1">IFERROR(__xludf.DUMMYFUNCTION("""COMPUTED_VALUE"""),206)</f>
        <v>206</v>
      </c>
      <c r="U181" s="1">
        <f ca="1">IFERROR(__xludf.DUMMYFUNCTION("""COMPUTED_VALUE"""),611)</f>
        <v>611</v>
      </c>
      <c r="V181" s="1">
        <f ca="1">IFERROR(__xludf.DUMMYFUNCTION("""COMPUTED_VALUE"""),0.337)</f>
        <v>0.33700000000000002</v>
      </c>
      <c r="W181" s="1">
        <f ca="1">IFERROR(__xludf.DUMMYFUNCTION("""COMPUTED_VALUE"""),328)</f>
        <v>328</v>
      </c>
      <c r="X181" s="1">
        <f ca="1">IFERROR(__xludf.DUMMYFUNCTION("""COMPUTED_VALUE"""),520)</f>
        <v>520</v>
      </c>
      <c r="Y181" s="1">
        <f ca="1">IFERROR(__xludf.DUMMYFUNCTION("""COMPUTED_VALUE"""),0.631)</f>
        <v>0.63100000000000001</v>
      </c>
      <c r="Z181" s="1">
        <f ca="1">IFERROR(__xludf.DUMMYFUNCTION("""COMPUTED_VALUE"""),335)</f>
        <v>335</v>
      </c>
      <c r="AA181" s="1">
        <f ca="1">IFERROR(__xludf.DUMMYFUNCTION("""COMPUTED_VALUE"""),946)</f>
        <v>946</v>
      </c>
      <c r="AB181" s="1">
        <f ca="1">IFERROR(__xludf.DUMMYFUNCTION("""COMPUTED_VALUE"""),368)</f>
        <v>368</v>
      </c>
      <c r="AC181" s="1">
        <f ca="1">IFERROR(__xludf.DUMMYFUNCTION("""COMPUTED_VALUE"""),223)</f>
        <v>223</v>
      </c>
      <c r="AD181" s="1">
        <f ca="1">IFERROR(__xludf.DUMMYFUNCTION("""COMPUTED_VALUE"""),69)</f>
        <v>69</v>
      </c>
      <c r="AE181" s="1">
        <f ca="1">IFERROR(__xludf.DUMMYFUNCTION("""COMPUTED_VALUE"""),455)</f>
        <v>455</v>
      </c>
      <c r="AF181" s="1">
        <f ca="1">IFERROR(__xludf.DUMMYFUNCTION("""COMPUTED_VALUE"""),625)</f>
        <v>625</v>
      </c>
    </row>
    <row r="182" spans="1:32" ht="12.5" x14ac:dyDescent="0.25">
      <c r="A182" s="1" t="str">
        <f ca="1">IFERROR(__xludf.DUMMYFUNCTION("""COMPUTED_VALUE"""),"Maryland-Eastern Shore")</f>
        <v>Maryland-Eastern Shore</v>
      </c>
      <c r="B182" s="1">
        <f ca="1">IFERROR(__xludf.DUMMYFUNCTION("""COMPUTED_VALUE"""),28)</f>
        <v>28</v>
      </c>
      <c r="C182" s="1">
        <f ca="1">IFERROR(__xludf.DUMMYFUNCTION("""COMPUTED_VALUE"""),2)</f>
        <v>2</v>
      </c>
      <c r="D182" s="1">
        <f ca="1">IFERROR(__xludf.DUMMYFUNCTION("""COMPUTED_VALUE"""),26)</f>
        <v>26</v>
      </c>
      <c r="E182" s="1">
        <f ca="1">IFERROR(__xludf.DUMMYFUNCTION("""COMPUTED_VALUE"""),0.071)</f>
        <v>7.0999999999999994E-2</v>
      </c>
      <c r="F182" s="1">
        <f ca="1">IFERROR(__xludf.DUMMYFUNCTION("""COMPUTED_VALUE"""),-19.61)</f>
        <v>-19.61</v>
      </c>
      <c r="G182" s="1">
        <f ca="1">IFERROR(__xludf.DUMMYFUNCTION("""COMPUTED_VALUE"""),-5.11)</f>
        <v>-5.1100000000000003</v>
      </c>
      <c r="H182" s="1">
        <f ca="1">IFERROR(__xludf.DUMMYFUNCTION("""COMPUTED_VALUE"""),2)</f>
        <v>2</v>
      </c>
      <c r="I182" s="1">
        <f ca="1">IFERROR(__xludf.DUMMYFUNCTION("""COMPUTED_VALUE"""),14)</f>
        <v>14</v>
      </c>
      <c r="J182" s="1">
        <f ca="1">IFERROR(__xludf.DUMMYFUNCTION("""COMPUTED_VALUE"""),2)</f>
        <v>2</v>
      </c>
      <c r="K182" s="1">
        <f ca="1">IFERROR(__xludf.DUMMYFUNCTION("""COMPUTED_VALUE"""),6)</f>
        <v>6</v>
      </c>
      <c r="L182" s="1">
        <f ca="1">IFERROR(__xludf.DUMMYFUNCTION("""COMPUTED_VALUE"""),0)</f>
        <v>0</v>
      </c>
      <c r="M182" s="1">
        <f ca="1">IFERROR(__xludf.DUMMYFUNCTION("""COMPUTED_VALUE"""),15)</f>
        <v>15</v>
      </c>
      <c r="N182" s="1">
        <f ca="1">IFERROR(__xludf.DUMMYFUNCTION("""COMPUTED_VALUE"""),1535)</f>
        <v>1535</v>
      </c>
      <c r="O182" s="1">
        <f ca="1">IFERROR(__xludf.DUMMYFUNCTION("""COMPUTED_VALUE"""),1941)</f>
        <v>1941</v>
      </c>
      <c r="P182" s="1">
        <f ca="1">IFERROR(__xludf.DUMMYFUNCTION("""COMPUTED_VALUE"""),1130)</f>
        <v>1130</v>
      </c>
      <c r="Q182" s="1">
        <f ca="1">IFERROR(__xludf.DUMMYFUNCTION("""COMPUTED_VALUE"""),538)</f>
        <v>538</v>
      </c>
      <c r="R182" s="1">
        <f ca="1">IFERROR(__xludf.DUMMYFUNCTION("""COMPUTED_VALUE"""),1507)</f>
        <v>1507</v>
      </c>
      <c r="S182" s="1">
        <f ca="1">IFERROR(__xludf.DUMMYFUNCTION("""COMPUTED_VALUE"""),0.357)</f>
        <v>0.35699999999999998</v>
      </c>
      <c r="T182" s="1">
        <f ca="1">IFERROR(__xludf.DUMMYFUNCTION("""COMPUTED_VALUE"""),123)</f>
        <v>123</v>
      </c>
      <c r="U182" s="1">
        <f ca="1">IFERROR(__xludf.DUMMYFUNCTION("""COMPUTED_VALUE"""),452)</f>
        <v>452</v>
      </c>
      <c r="V182" s="1">
        <f ca="1">IFERROR(__xludf.DUMMYFUNCTION("""COMPUTED_VALUE"""),0.272)</f>
        <v>0.27200000000000002</v>
      </c>
      <c r="W182" s="1">
        <f ca="1">IFERROR(__xludf.DUMMYFUNCTION("""COMPUTED_VALUE"""),336)</f>
        <v>336</v>
      </c>
      <c r="X182" s="1">
        <f ca="1">IFERROR(__xludf.DUMMYFUNCTION("""COMPUTED_VALUE"""),532)</f>
        <v>532</v>
      </c>
      <c r="Y182" s="1">
        <f ca="1">IFERROR(__xludf.DUMMYFUNCTION("""COMPUTED_VALUE"""),0.632)</f>
        <v>0.63200000000000001</v>
      </c>
      <c r="Z182" s="1">
        <f ca="1">IFERROR(__xludf.DUMMYFUNCTION("""COMPUTED_VALUE"""),370)</f>
        <v>370</v>
      </c>
      <c r="AA182" s="1">
        <f ca="1">IFERROR(__xludf.DUMMYFUNCTION("""COMPUTED_VALUE"""),828)</f>
        <v>828</v>
      </c>
      <c r="AB182" s="1">
        <f ca="1">IFERROR(__xludf.DUMMYFUNCTION("""COMPUTED_VALUE"""),261)</f>
        <v>261</v>
      </c>
      <c r="AC182" s="1">
        <f ca="1">IFERROR(__xludf.DUMMYFUNCTION("""COMPUTED_VALUE"""),187)</f>
        <v>187</v>
      </c>
      <c r="AD182" s="1">
        <f ca="1">IFERROR(__xludf.DUMMYFUNCTION("""COMPUTED_VALUE"""),72)</f>
        <v>72</v>
      </c>
      <c r="AE182" s="1">
        <f ca="1">IFERROR(__xludf.DUMMYFUNCTION("""COMPUTED_VALUE"""),429)</f>
        <v>429</v>
      </c>
      <c r="AF182" s="1">
        <f ca="1">IFERROR(__xludf.DUMMYFUNCTION("""COMPUTED_VALUE"""),462)</f>
        <v>462</v>
      </c>
    </row>
    <row r="183" spans="1:32" ht="12.5" x14ac:dyDescent="0.25">
      <c r="A183" s="1" t="str">
        <f ca="1">IFERROR(__xludf.DUMMYFUNCTION("""COMPUTED_VALUE"""),"Maryland")</f>
        <v>Maryland</v>
      </c>
      <c r="B183" s="1">
        <f ca="1">IFERROR(__xludf.DUMMYFUNCTION("""COMPUTED_VALUE"""),38)</f>
        <v>38</v>
      </c>
      <c r="C183" s="1">
        <f ca="1">IFERROR(__xludf.DUMMYFUNCTION("""COMPUTED_VALUE"""),25)</f>
        <v>25</v>
      </c>
      <c r="D183" s="1">
        <f ca="1">IFERROR(__xludf.DUMMYFUNCTION("""COMPUTED_VALUE"""),13)</f>
        <v>13</v>
      </c>
      <c r="E183" s="1">
        <f ca="1">IFERROR(__xludf.DUMMYFUNCTION("""COMPUTED_VALUE"""),0.658)</f>
        <v>0.65800000000000003</v>
      </c>
      <c r="F183" s="1">
        <f ca="1">IFERROR(__xludf.DUMMYFUNCTION("""COMPUTED_VALUE"""),11.37)</f>
        <v>11.37</v>
      </c>
      <c r="G183" s="1">
        <f ca="1">IFERROR(__xludf.DUMMYFUNCTION("""COMPUTED_VALUE"""),4.66)</f>
        <v>4.66</v>
      </c>
      <c r="H183" s="1">
        <f ca="1">IFERROR(__xludf.DUMMYFUNCTION("""COMPUTED_VALUE"""),8)</f>
        <v>8</v>
      </c>
      <c r="I183" s="1">
        <f ca="1">IFERROR(__xludf.DUMMYFUNCTION("""COMPUTED_VALUE"""),10)</f>
        <v>10</v>
      </c>
      <c r="J183" s="1">
        <f ca="1">IFERROR(__xludf.DUMMYFUNCTION("""COMPUTED_VALUE"""),18)</f>
        <v>18</v>
      </c>
      <c r="K183" s="1">
        <f ca="1">IFERROR(__xludf.DUMMYFUNCTION("""COMPUTED_VALUE"""),3)</f>
        <v>3</v>
      </c>
      <c r="L183" s="1">
        <f ca="1">IFERROR(__xludf.DUMMYFUNCTION("""COMPUTED_VALUE"""),4)</f>
        <v>4</v>
      </c>
      <c r="M183" s="1">
        <f ca="1">IFERROR(__xludf.DUMMYFUNCTION("""COMPUTED_VALUE"""),7)</f>
        <v>7</v>
      </c>
      <c r="N183" s="1">
        <f ca="1">IFERROR(__xludf.DUMMYFUNCTION("""COMPUTED_VALUE"""),2688)</f>
        <v>2688</v>
      </c>
      <c r="O183" s="1">
        <f ca="1">IFERROR(__xludf.DUMMYFUNCTION("""COMPUTED_VALUE"""),2433)</f>
        <v>2433</v>
      </c>
      <c r="P183" s="1">
        <f ca="1">IFERROR(__xludf.DUMMYFUNCTION("""COMPUTED_VALUE"""),1525)</f>
        <v>1525</v>
      </c>
      <c r="Q183" s="1">
        <f ca="1">IFERROR(__xludf.DUMMYFUNCTION("""COMPUTED_VALUE"""),986)</f>
        <v>986</v>
      </c>
      <c r="R183" s="1">
        <f ca="1">IFERROR(__xludf.DUMMYFUNCTION("""COMPUTED_VALUE"""),2124)</f>
        <v>2124</v>
      </c>
      <c r="S183" s="1">
        <f ca="1">IFERROR(__xludf.DUMMYFUNCTION("""COMPUTED_VALUE"""),0.464)</f>
        <v>0.46400000000000002</v>
      </c>
      <c r="T183" s="1">
        <f ca="1">IFERROR(__xludf.DUMMYFUNCTION("""COMPUTED_VALUE"""),219)</f>
        <v>219</v>
      </c>
      <c r="U183" s="1">
        <f ca="1">IFERROR(__xludf.DUMMYFUNCTION("""COMPUTED_VALUE"""),646)</f>
        <v>646</v>
      </c>
      <c r="V183" s="1">
        <f ca="1">IFERROR(__xludf.DUMMYFUNCTION("""COMPUTED_VALUE"""),0.339)</f>
        <v>0.33900000000000002</v>
      </c>
      <c r="W183" s="1">
        <f ca="1">IFERROR(__xludf.DUMMYFUNCTION("""COMPUTED_VALUE"""),497)</f>
        <v>497</v>
      </c>
      <c r="X183" s="1">
        <f ca="1">IFERROR(__xludf.DUMMYFUNCTION("""COMPUTED_VALUE"""),732)</f>
        <v>732</v>
      </c>
      <c r="Y183" s="1">
        <f ca="1">IFERROR(__xludf.DUMMYFUNCTION("""COMPUTED_VALUE"""),0.679)</f>
        <v>0.67900000000000005</v>
      </c>
      <c r="Z183" s="1">
        <f ca="1">IFERROR(__xludf.DUMMYFUNCTION("""COMPUTED_VALUE"""),464)</f>
        <v>464</v>
      </c>
      <c r="AA183" s="1">
        <f ca="1">IFERROR(__xludf.DUMMYFUNCTION("""COMPUTED_VALUE"""),1419)</f>
        <v>1419</v>
      </c>
      <c r="AB183" s="1">
        <f ca="1">IFERROR(__xludf.DUMMYFUNCTION("""COMPUTED_VALUE"""),551)</f>
        <v>551</v>
      </c>
      <c r="AC183" s="1">
        <f ca="1">IFERROR(__xludf.DUMMYFUNCTION("""COMPUTED_VALUE"""),195)</f>
        <v>195</v>
      </c>
      <c r="AD183" s="1">
        <f ca="1">IFERROR(__xludf.DUMMYFUNCTION("""COMPUTED_VALUE"""),166)</f>
        <v>166</v>
      </c>
      <c r="AE183" s="1">
        <f ca="1">IFERROR(__xludf.DUMMYFUNCTION("""COMPUTED_VALUE"""),569)</f>
        <v>569</v>
      </c>
      <c r="AF183" s="1">
        <f ca="1">IFERROR(__xludf.DUMMYFUNCTION("""COMPUTED_VALUE"""),633)</f>
        <v>633</v>
      </c>
    </row>
    <row r="184" spans="1:32" ht="12.5" x14ac:dyDescent="0.25">
      <c r="A184" s="1" t="str">
        <f ca="1">IFERROR(__xludf.DUMMYFUNCTION("""COMPUTED_VALUE"""),"Massachusetts")</f>
        <v>Massachusetts</v>
      </c>
      <c r="B184" s="1">
        <f ca="1">IFERROR(__xludf.DUMMYFUNCTION("""COMPUTED_VALUE"""),33)</f>
        <v>33</v>
      </c>
      <c r="C184" s="1">
        <f ca="1">IFERROR(__xludf.DUMMYFUNCTION("""COMPUTED_VALUE"""),21)</f>
        <v>21</v>
      </c>
      <c r="D184" s="1">
        <f ca="1">IFERROR(__xludf.DUMMYFUNCTION("""COMPUTED_VALUE"""),12)</f>
        <v>12</v>
      </c>
      <c r="E184" s="1">
        <f ca="1">IFERROR(__xludf.DUMMYFUNCTION("""COMPUTED_VALUE"""),0.636)</f>
        <v>0.63600000000000001</v>
      </c>
      <c r="F184" s="1">
        <f ca="1">IFERROR(__xludf.DUMMYFUNCTION("""COMPUTED_VALUE"""),5.82)</f>
        <v>5.82</v>
      </c>
      <c r="G184" s="1">
        <f ca="1">IFERROR(__xludf.DUMMYFUNCTION("""COMPUTED_VALUE"""),4.55)</f>
        <v>4.55</v>
      </c>
      <c r="H184" s="1">
        <f ca="1">IFERROR(__xludf.DUMMYFUNCTION("""COMPUTED_VALUE"""),9)</f>
        <v>9</v>
      </c>
      <c r="I184" s="1">
        <f ca="1">IFERROR(__xludf.DUMMYFUNCTION("""COMPUTED_VALUE"""),7)</f>
        <v>7</v>
      </c>
      <c r="J184" s="1">
        <f ca="1">IFERROR(__xludf.DUMMYFUNCTION("""COMPUTED_VALUE"""),10)</f>
        <v>10</v>
      </c>
      <c r="K184" s="1">
        <f ca="1">IFERROR(__xludf.DUMMYFUNCTION("""COMPUTED_VALUE"""),5)</f>
        <v>5</v>
      </c>
      <c r="L184" s="1">
        <f ca="1">IFERROR(__xludf.DUMMYFUNCTION("""COMPUTED_VALUE"""),8)</f>
        <v>8</v>
      </c>
      <c r="M184" s="1">
        <f ca="1">IFERROR(__xludf.DUMMYFUNCTION("""COMPUTED_VALUE"""),4)</f>
        <v>4</v>
      </c>
      <c r="N184" s="1">
        <f ca="1">IFERROR(__xludf.DUMMYFUNCTION("""COMPUTED_VALUE"""),2408)</f>
        <v>2408</v>
      </c>
      <c r="O184" s="1">
        <f ca="1">IFERROR(__xludf.DUMMYFUNCTION("""COMPUTED_VALUE"""),2366)</f>
        <v>2366</v>
      </c>
      <c r="P184" s="1">
        <f ca="1">IFERROR(__xludf.DUMMYFUNCTION("""COMPUTED_VALUE"""),1325)</f>
        <v>1325</v>
      </c>
      <c r="Q184" s="1">
        <f ca="1">IFERROR(__xludf.DUMMYFUNCTION("""COMPUTED_VALUE"""),838)</f>
        <v>838</v>
      </c>
      <c r="R184" s="1">
        <f ca="1">IFERROR(__xludf.DUMMYFUNCTION("""COMPUTED_VALUE"""),1932)</f>
        <v>1932</v>
      </c>
      <c r="S184" s="1">
        <f ca="1">IFERROR(__xludf.DUMMYFUNCTION("""COMPUTED_VALUE"""),0.434)</f>
        <v>0.434</v>
      </c>
      <c r="T184" s="1">
        <f ca="1">IFERROR(__xludf.DUMMYFUNCTION("""COMPUTED_VALUE"""),235)</f>
        <v>235</v>
      </c>
      <c r="U184" s="1">
        <f ca="1">IFERROR(__xludf.DUMMYFUNCTION("""COMPUTED_VALUE"""),699)</f>
        <v>699</v>
      </c>
      <c r="V184" s="1">
        <f ca="1">IFERROR(__xludf.DUMMYFUNCTION("""COMPUTED_VALUE"""),0.336)</f>
        <v>0.33600000000000002</v>
      </c>
      <c r="W184" s="1">
        <f ca="1">IFERROR(__xludf.DUMMYFUNCTION("""COMPUTED_VALUE"""),497)</f>
        <v>497</v>
      </c>
      <c r="X184" s="1">
        <f ca="1">IFERROR(__xludf.DUMMYFUNCTION("""COMPUTED_VALUE"""),691)</f>
        <v>691</v>
      </c>
      <c r="Y184" s="1">
        <f ca="1">IFERROR(__xludf.DUMMYFUNCTION("""COMPUTED_VALUE"""),0.719)</f>
        <v>0.71899999999999997</v>
      </c>
      <c r="Z184" s="1">
        <f ca="1">IFERROR(__xludf.DUMMYFUNCTION("""COMPUTED_VALUE"""),383)</f>
        <v>383</v>
      </c>
      <c r="AA184" s="1">
        <f ca="1">IFERROR(__xludf.DUMMYFUNCTION("""COMPUTED_VALUE"""),1109)</f>
        <v>1109</v>
      </c>
      <c r="AB184" s="1">
        <f ca="1">IFERROR(__xludf.DUMMYFUNCTION("""COMPUTED_VALUE"""),482)</f>
        <v>482</v>
      </c>
      <c r="AC184" s="1">
        <f ca="1">IFERROR(__xludf.DUMMYFUNCTION("""COMPUTED_VALUE"""),248)</f>
        <v>248</v>
      </c>
      <c r="AD184" s="1">
        <f ca="1">IFERROR(__xludf.DUMMYFUNCTION("""COMPUTED_VALUE"""),172)</f>
        <v>172</v>
      </c>
      <c r="AE184" s="1">
        <f ca="1">IFERROR(__xludf.DUMMYFUNCTION("""COMPUTED_VALUE"""),476)</f>
        <v>476</v>
      </c>
      <c r="AF184" s="1">
        <f ca="1">IFERROR(__xludf.DUMMYFUNCTION("""COMPUTED_VALUE"""),632)</f>
        <v>632</v>
      </c>
    </row>
    <row r="185" spans="1:32" ht="12.5" x14ac:dyDescent="0.25">
      <c r="A185" s="1" t="str">
        <f ca="1">IFERROR(__xludf.DUMMYFUNCTION("""COMPUTED_VALUE"""),"McNeese State")</f>
        <v>McNeese State</v>
      </c>
      <c r="B185" s="1">
        <f ca="1">IFERROR(__xludf.DUMMYFUNCTION("""COMPUTED_VALUE"""),31)</f>
        <v>31</v>
      </c>
      <c r="C185" s="1">
        <f ca="1">IFERROR(__xludf.DUMMYFUNCTION("""COMPUTED_VALUE"""),14)</f>
        <v>14</v>
      </c>
      <c r="D185" s="1">
        <f ca="1">IFERROR(__xludf.DUMMYFUNCTION("""COMPUTED_VALUE"""),17)</f>
        <v>17</v>
      </c>
      <c r="E185" s="1">
        <f ca="1">IFERROR(__xludf.DUMMYFUNCTION("""COMPUTED_VALUE"""),0.452)</f>
        <v>0.45200000000000001</v>
      </c>
      <c r="F185" s="1">
        <f ca="1">IFERROR(__xludf.DUMMYFUNCTION("""COMPUTED_VALUE"""),-11.49)</f>
        <v>-11.49</v>
      </c>
      <c r="G185" s="1">
        <f ca="1">IFERROR(__xludf.DUMMYFUNCTION("""COMPUTED_VALUE"""),-4.63)</f>
        <v>-4.63</v>
      </c>
      <c r="H185" s="1">
        <f ca="1">IFERROR(__xludf.DUMMYFUNCTION("""COMPUTED_VALUE"""),7)</f>
        <v>7</v>
      </c>
      <c r="I185" s="1">
        <f ca="1">IFERROR(__xludf.DUMMYFUNCTION("""COMPUTED_VALUE"""),11)</f>
        <v>11</v>
      </c>
      <c r="J185" s="1">
        <f ca="1">IFERROR(__xludf.DUMMYFUNCTION("""COMPUTED_VALUE"""),9)</f>
        <v>9</v>
      </c>
      <c r="K185" s="1">
        <f ca="1">IFERROR(__xludf.DUMMYFUNCTION("""COMPUTED_VALUE"""),5)</f>
        <v>5</v>
      </c>
      <c r="L185" s="1">
        <f ca="1">IFERROR(__xludf.DUMMYFUNCTION("""COMPUTED_VALUE"""),4)</f>
        <v>4</v>
      </c>
      <c r="M185" s="1">
        <f ca="1">IFERROR(__xludf.DUMMYFUNCTION("""COMPUTED_VALUE"""),11)</f>
        <v>11</v>
      </c>
      <c r="N185" s="1">
        <f ca="1">IFERROR(__xludf.DUMMYFUNCTION("""COMPUTED_VALUE"""),2055)</f>
        <v>2055</v>
      </c>
      <c r="O185" s="1">
        <f ca="1">IFERROR(__xludf.DUMMYFUNCTION("""COMPUTED_VALUE"""),2172)</f>
        <v>2172</v>
      </c>
      <c r="P185" s="1">
        <f ca="1">IFERROR(__xludf.DUMMYFUNCTION("""COMPUTED_VALUE"""),1271)</f>
        <v>1271</v>
      </c>
      <c r="Q185" s="1">
        <f ca="1">IFERROR(__xludf.DUMMYFUNCTION("""COMPUTED_VALUE"""),771)</f>
        <v>771</v>
      </c>
      <c r="R185" s="1">
        <f ca="1">IFERROR(__xludf.DUMMYFUNCTION("""COMPUTED_VALUE"""),1847)</f>
        <v>1847</v>
      </c>
      <c r="S185" s="1">
        <f ca="1">IFERROR(__xludf.DUMMYFUNCTION("""COMPUTED_VALUE"""),0.417)</f>
        <v>0.41699999999999998</v>
      </c>
      <c r="T185" s="1">
        <f ca="1">IFERROR(__xludf.DUMMYFUNCTION("""COMPUTED_VALUE"""),160)</f>
        <v>160</v>
      </c>
      <c r="U185" s="1">
        <f ca="1">IFERROR(__xludf.DUMMYFUNCTION("""COMPUTED_VALUE"""),485)</f>
        <v>485</v>
      </c>
      <c r="V185" s="1">
        <f ca="1">IFERROR(__xludf.DUMMYFUNCTION("""COMPUTED_VALUE"""),0.33)</f>
        <v>0.33</v>
      </c>
      <c r="W185" s="1">
        <f ca="1">IFERROR(__xludf.DUMMYFUNCTION("""COMPUTED_VALUE"""),353)</f>
        <v>353</v>
      </c>
      <c r="X185" s="1">
        <f ca="1">IFERROR(__xludf.DUMMYFUNCTION("""COMPUTED_VALUE"""),549)</f>
        <v>549</v>
      </c>
      <c r="Y185" s="1">
        <f ca="1">IFERROR(__xludf.DUMMYFUNCTION("""COMPUTED_VALUE"""),0.643)</f>
        <v>0.64300000000000002</v>
      </c>
      <c r="Z185" s="1">
        <f ca="1">IFERROR(__xludf.DUMMYFUNCTION("""COMPUTED_VALUE"""),379)</f>
        <v>379</v>
      </c>
      <c r="AA185" s="1">
        <f ca="1">IFERROR(__xludf.DUMMYFUNCTION("""COMPUTED_VALUE"""),1009)</f>
        <v>1009</v>
      </c>
      <c r="AB185" s="1">
        <f ca="1">IFERROR(__xludf.DUMMYFUNCTION("""COMPUTED_VALUE"""),380)</f>
        <v>380</v>
      </c>
      <c r="AC185" s="1">
        <f ca="1">IFERROR(__xludf.DUMMYFUNCTION("""COMPUTED_VALUE"""),242)</f>
        <v>242</v>
      </c>
      <c r="AD185" s="1">
        <f ca="1">IFERROR(__xludf.DUMMYFUNCTION("""COMPUTED_VALUE"""),149)</f>
        <v>149</v>
      </c>
      <c r="AE185" s="1">
        <f ca="1">IFERROR(__xludf.DUMMYFUNCTION("""COMPUTED_VALUE"""),373)</f>
        <v>373</v>
      </c>
      <c r="AF185" s="1">
        <f ca="1">IFERROR(__xludf.DUMMYFUNCTION("""COMPUTED_VALUE"""),532)</f>
        <v>532</v>
      </c>
    </row>
    <row r="186" spans="1:32" ht="12.5" x14ac:dyDescent="0.25">
      <c r="A186" s="1" t="str">
        <f ca="1">IFERROR(__xludf.DUMMYFUNCTION("""COMPUTED_VALUE"""),"MemphisNCAA")</f>
        <v>MemphisNCAA</v>
      </c>
      <c r="B186" s="1">
        <f ca="1">IFERROR(__xludf.DUMMYFUNCTION("""COMPUTED_VALUE"""),36)</f>
        <v>36</v>
      </c>
      <c r="C186" s="1">
        <f ca="1">IFERROR(__xludf.DUMMYFUNCTION("""COMPUTED_VALUE"""),31)</f>
        <v>31</v>
      </c>
      <c r="D186" s="1">
        <f ca="1">IFERROR(__xludf.DUMMYFUNCTION("""COMPUTED_VALUE"""),5)</f>
        <v>5</v>
      </c>
      <c r="E186" s="1">
        <f ca="1">IFERROR(__xludf.DUMMYFUNCTION("""COMPUTED_VALUE"""),0.861)</f>
        <v>0.86099999999999999</v>
      </c>
      <c r="F186" s="1">
        <f ca="1">IFERROR(__xludf.DUMMYFUNCTION("""COMPUTED_VALUE"""),12.26)</f>
        <v>12.26</v>
      </c>
      <c r="G186" s="1">
        <f ca="1">IFERROR(__xludf.DUMMYFUNCTION("""COMPUTED_VALUE"""),2.7)</f>
        <v>2.7</v>
      </c>
      <c r="H186" s="1">
        <f ca="1">IFERROR(__xludf.DUMMYFUNCTION("""COMPUTED_VALUE"""),16)</f>
        <v>16</v>
      </c>
      <c r="I186" s="1">
        <f ca="1">IFERROR(__xludf.DUMMYFUNCTION("""COMPUTED_VALUE"""),0)</f>
        <v>0</v>
      </c>
      <c r="J186" s="1">
        <f ca="1">IFERROR(__xludf.DUMMYFUNCTION("""COMPUTED_VALUE"""),17)</f>
        <v>17</v>
      </c>
      <c r="K186" s="1">
        <f ca="1">IFERROR(__xludf.DUMMYFUNCTION("""COMPUTED_VALUE"""),1)</f>
        <v>1</v>
      </c>
      <c r="L186" s="1">
        <f ca="1">IFERROR(__xludf.DUMMYFUNCTION("""COMPUTED_VALUE"""),9)</f>
        <v>9</v>
      </c>
      <c r="M186" s="1">
        <f ca="1">IFERROR(__xludf.DUMMYFUNCTION("""COMPUTED_VALUE"""),1)</f>
        <v>1</v>
      </c>
      <c r="N186" s="1">
        <f ca="1">IFERROR(__xludf.DUMMYFUNCTION("""COMPUTED_VALUE"""),2681)</f>
        <v>2681</v>
      </c>
      <c r="O186" s="1">
        <f ca="1">IFERROR(__xludf.DUMMYFUNCTION("""COMPUTED_VALUE"""),2337)</f>
        <v>2337</v>
      </c>
      <c r="P186" s="1">
        <f ca="1">IFERROR(__xludf.DUMMYFUNCTION("""COMPUTED_VALUE"""),1450)</f>
        <v>1450</v>
      </c>
      <c r="Q186" s="1">
        <f ca="1">IFERROR(__xludf.DUMMYFUNCTION("""COMPUTED_VALUE"""),976)</f>
        <v>976</v>
      </c>
      <c r="R186" s="1">
        <f ca="1">IFERROR(__xludf.DUMMYFUNCTION("""COMPUTED_VALUE"""),2071)</f>
        <v>2071</v>
      </c>
      <c r="S186" s="1">
        <f ca="1">IFERROR(__xludf.DUMMYFUNCTION("""COMPUTED_VALUE"""),0.471)</f>
        <v>0.47099999999999997</v>
      </c>
      <c r="T186" s="1">
        <f ca="1">IFERROR(__xludf.DUMMYFUNCTION("""COMPUTED_VALUE"""),220)</f>
        <v>220</v>
      </c>
      <c r="U186" s="1">
        <f ca="1">IFERROR(__xludf.DUMMYFUNCTION("""COMPUTED_VALUE"""),592)</f>
        <v>592</v>
      </c>
      <c r="V186" s="1">
        <f ca="1">IFERROR(__xludf.DUMMYFUNCTION("""COMPUTED_VALUE"""),0.372)</f>
        <v>0.372</v>
      </c>
      <c r="W186" s="1">
        <f ca="1">IFERROR(__xludf.DUMMYFUNCTION("""COMPUTED_VALUE"""),509)</f>
        <v>509</v>
      </c>
      <c r="X186" s="1">
        <f ca="1">IFERROR(__xludf.DUMMYFUNCTION("""COMPUTED_VALUE"""),771)</f>
        <v>771</v>
      </c>
      <c r="Y186" s="1">
        <f ca="1">IFERROR(__xludf.DUMMYFUNCTION("""COMPUTED_VALUE"""),0.66)</f>
        <v>0.66</v>
      </c>
      <c r="Z186" s="1">
        <f ca="1">IFERROR(__xludf.DUMMYFUNCTION("""COMPUTED_VALUE"""),438)</f>
        <v>438</v>
      </c>
      <c r="AA186" s="1">
        <f ca="1">IFERROR(__xludf.DUMMYFUNCTION("""COMPUTED_VALUE"""),1243)</f>
        <v>1243</v>
      </c>
      <c r="AB186" s="1">
        <f ca="1">IFERROR(__xludf.DUMMYFUNCTION("""COMPUTED_VALUE"""),605)</f>
        <v>605</v>
      </c>
      <c r="AC186" s="1">
        <f ca="1">IFERROR(__xludf.DUMMYFUNCTION("""COMPUTED_VALUE"""),321)</f>
        <v>321</v>
      </c>
      <c r="AD186" s="1">
        <f ca="1">IFERROR(__xludf.DUMMYFUNCTION("""COMPUTED_VALUE"""),231)</f>
        <v>231</v>
      </c>
      <c r="AE186" s="1">
        <f ca="1">IFERROR(__xludf.DUMMYFUNCTION("""COMPUTED_VALUE"""),523)</f>
        <v>523</v>
      </c>
      <c r="AF186" s="1">
        <f ca="1">IFERROR(__xludf.DUMMYFUNCTION("""COMPUTED_VALUE"""),651)</f>
        <v>651</v>
      </c>
    </row>
    <row r="187" spans="1:32" ht="12.5" x14ac:dyDescent="0.25">
      <c r="A187" s="1" t="str">
        <f ca="1">IFERROR(__xludf.DUMMYFUNCTION("""COMPUTED_VALUE"""),"Mercer")</f>
        <v>Mercer</v>
      </c>
      <c r="B187" s="1">
        <f ca="1">IFERROR(__xludf.DUMMYFUNCTION("""COMPUTED_VALUE"""),36)</f>
        <v>36</v>
      </c>
      <c r="C187" s="1">
        <f ca="1">IFERROR(__xludf.DUMMYFUNCTION("""COMPUTED_VALUE"""),24)</f>
        <v>24</v>
      </c>
      <c r="D187" s="1">
        <f ca="1">IFERROR(__xludf.DUMMYFUNCTION("""COMPUTED_VALUE"""),12)</f>
        <v>12</v>
      </c>
      <c r="E187" s="1">
        <f ca="1">IFERROR(__xludf.DUMMYFUNCTION("""COMPUTED_VALUE"""),0.667)</f>
        <v>0.66700000000000004</v>
      </c>
      <c r="F187" s="1">
        <f ca="1">IFERROR(__xludf.DUMMYFUNCTION("""COMPUTED_VALUE"""),0.69)</f>
        <v>0.69</v>
      </c>
      <c r="G187" s="1">
        <f ca="1">IFERROR(__xludf.DUMMYFUNCTION("""COMPUTED_VALUE"""),-4.08)</f>
        <v>-4.08</v>
      </c>
      <c r="H187" s="1">
        <f ca="1">IFERROR(__xludf.DUMMYFUNCTION("""COMPUTED_VALUE"""),14)</f>
        <v>14</v>
      </c>
      <c r="I187" s="1">
        <f ca="1">IFERROR(__xludf.DUMMYFUNCTION("""COMPUTED_VALUE"""),4)</f>
        <v>4</v>
      </c>
      <c r="J187" s="1">
        <f ca="1">IFERROR(__xludf.DUMMYFUNCTION("""COMPUTED_VALUE"""),13)</f>
        <v>13</v>
      </c>
      <c r="K187" s="1">
        <f ca="1">IFERROR(__xludf.DUMMYFUNCTION("""COMPUTED_VALUE"""),0)</f>
        <v>0</v>
      </c>
      <c r="L187" s="1">
        <f ca="1">IFERROR(__xludf.DUMMYFUNCTION("""COMPUTED_VALUE"""),9)</f>
        <v>9</v>
      </c>
      <c r="M187" s="1">
        <f ca="1">IFERROR(__xludf.DUMMYFUNCTION("""COMPUTED_VALUE"""),8)</f>
        <v>8</v>
      </c>
      <c r="N187" s="1">
        <f ca="1">IFERROR(__xludf.DUMMYFUNCTION("""COMPUTED_VALUE"""),2371)</f>
        <v>2371</v>
      </c>
      <c r="O187" s="1">
        <f ca="1">IFERROR(__xludf.DUMMYFUNCTION("""COMPUTED_VALUE"""),2135)</f>
        <v>2135</v>
      </c>
      <c r="P187" s="1">
        <f ca="1">IFERROR(__xludf.DUMMYFUNCTION("""COMPUTED_VALUE"""),1450)</f>
        <v>1450</v>
      </c>
      <c r="Q187" s="1">
        <f ca="1">IFERROR(__xludf.DUMMYFUNCTION("""COMPUTED_VALUE"""),807)</f>
        <v>807</v>
      </c>
      <c r="R187" s="1">
        <f ca="1">IFERROR(__xludf.DUMMYFUNCTION("""COMPUTED_VALUE"""),1856)</f>
        <v>1856</v>
      </c>
      <c r="S187" s="1">
        <f ca="1">IFERROR(__xludf.DUMMYFUNCTION("""COMPUTED_VALUE"""),0.435)</f>
        <v>0.435</v>
      </c>
      <c r="T187" s="1">
        <f ca="1">IFERROR(__xludf.DUMMYFUNCTION("""COMPUTED_VALUE"""),265)</f>
        <v>265</v>
      </c>
      <c r="U187" s="1">
        <f ca="1">IFERROR(__xludf.DUMMYFUNCTION("""COMPUTED_VALUE"""),746)</f>
        <v>746</v>
      </c>
      <c r="V187" s="1">
        <f ca="1">IFERROR(__xludf.DUMMYFUNCTION("""COMPUTED_VALUE"""),0.355)</f>
        <v>0.35499999999999998</v>
      </c>
      <c r="W187" s="1">
        <f ca="1">IFERROR(__xludf.DUMMYFUNCTION("""COMPUTED_VALUE"""),492)</f>
        <v>492</v>
      </c>
      <c r="X187" s="1">
        <f ca="1">IFERROR(__xludf.DUMMYFUNCTION("""COMPUTED_VALUE"""),653)</f>
        <v>653</v>
      </c>
      <c r="Y187" s="1">
        <f ca="1">IFERROR(__xludf.DUMMYFUNCTION("""COMPUTED_VALUE"""),0.753)</f>
        <v>0.753</v>
      </c>
      <c r="Z187" s="1">
        <f ca="1">IFERROR(__xludf.DUMMYFUNCTION("""COMPUTED_VALUE"""),342)</f>
        <v>342</v>
      </c>
      <c r="AA187" s="1">
        <f ca="1">IFERROR(__xludf.DUMMYFUNCTION("""COMPUTED_VALUE"""),1045)</f>
        <v>1045</v>
      </c>
      <c r="AB187" s="1">
        <f ca="1">IFERROR(__xludf.DUMMYFUNCTION("""COMPUTED_VALUE"""),516)</f>
        <v>516</v>
      </c>
      <c r="AC187" s="1">
        <f ca="1">IFERROR(__xludf.DUMMYFUNCTION("""COMPUTED_VALUE"""),239)</f>
        <v>239</v>
      </c>
      <c r="AD187" s="1">
        <f ca="1">IFERROR(__xludf.DUMMYFUNCTION("""COMPUTED_VALUE"""),145)</f>
        <v>145</v>
      </c>
      <c r="AE187" s="1">
        <f ca="1">IFERROR(__xludf.DUMMYFUNCTION("""COMPUTED_VALUE"""),454)</f>
        <v>454</v>
      </c>
      <c r="AF187" s="1">
        <f ca="1">IFERROR(__xludf.DUMMYFUNCTION("""COMPUTED_VALUE"""),644)</f>
        <v>644</v>
      </c>
    </row>
    <row r="188" spans="1:32" ht="12.5" x14ac:dyDescent="0.25">
      <c r="A188" s="1" t="str">
        <f ca="1">IFERROR(__xludf.DUMMYFUNCTION("""COMPUTED_VALUE"""),"Miami (FL)NCAA")</f>
        <v>Miami (FL)NCAA</v>
      </c>
      <c r="B188" s="1">
        <f ca="1">IFERROR(__xludf.DUMMYFUNCTION("""COMPUTED_VALUE"""),36)</f>
        <v>36</v>
      </c>
      <c r="C188" s="1">
        <f ca="1">IFERROR(__xludf.DUMMYFUNCTION("""COMPUTED_VALUE"""),29)</f>
        <v>29</v>
      </c>
      <c r="D188" s="1">
        <f ca="1">IFERROR(__xludf.DUMMYFUNCTION("""COMPUTED_VALUE"""),7)</f>
        <v>7</v>
      </c>
      <c r="E188" s="1">
        <f ca="1">IFERROR(__xludf.DUMMYFUNCTION("""COMPUTED_VALUE"""),0.806)</f>
        <v>0.80600000000000005</v>
      </c>
      <c r="F188" s="1">
        <f ca="1">IFERROR(__xludf.DUMMYFUNCTION("""COMPUTED_VALUE"""),16.99)</f>
        <v>16.989999999999998</v>
      </c>
      <c r="G188" s="1">
        <f ca="1">IFERROR(__xludf.DUMMYFUNCTION("""COMPUTED_VALUE"""),7.88)</f>
        <v>7.88</v>
      </c>
      <c r="H188" s="1">
        <f ca="1">IFERROR(__xludf.DUMMYFUNCTION("""COMPUTED_VALUE"""),15)</f>
        <v>15</v>
      </c>
      <c r="I188" s="1">
        <f ca="1">IFERROR(__xludf.DUMMYFUNCTION("""COMPUTED_VALUE"""),3)</f>
        <v>3</v>
      </c>
      <c r="J188" s="1">
        <f ca="1">IFERROR(__xludf.DUMMYFUNCTION("""COMPUTED_VALUE"""),14)</f>
        <v>14</v>
      </c>
      <c r="K188" s="1">
        <f ca="1">IFERROR(__xludf.DUMMYFUNCTION("""COMPUTED_VALUE"""),1)</f>
        <v>1</v>
      </c>
      <c r="L188" s="1">
        <f ca="1">IFERROR(__xludf.DUMMYFUNCTION("""COMPUTED_VALUE"""),10)</f>
        <v>10</v>
      </c>
      <c r="M188" s="1">
        <f ca="1">IFERROR(__xludf.DUMMYFUNCTION("""COMPUTED_VALUE"""),3)</f>
        <v>3</v>
      </c>
      <c r="N188" s="1">
        <f ca="1">IFERROR(__xludf.DUMMYFUNCTION("""COMPUTED_VALUE"""),2509)</f>
        <v>2509</v>
      </c>
      <c r="O188" s="1">
        <f ca="1">IFERROR(__xludf.DUMMYFUNCTION("""COMPUTED_VALUE"""),2181)</f>
        <v>2181</v>
      </c>
      <c r="P188" s="1">
        <f ca="1">IFERROR(__xludf.DUMMYFUNCTION("""COMPUTED_VALUE"""),1445)</f>
        <v>1445</v>
      </c>
      <c r="Q188" s="1">
        <f ca="1">IFERROR(__xludf.DUMMYFUNCTION("""COMPUTED_VALUE"""),895)</f>
        <v>895</v>
      </c>
      <c r="R188" s="1">
        <f ca="1">IFERROR(__xludf.DUMMYFUNCTION("""COMPUTED_VALUE"""),1968)</f>
        <v>1968</v>
      </c>
      <c r="S188" s="1">
        <f ca="1">IFERROR(__xludf.DUMMYFUNCTION("""COMPUTED_VALUE"""),0.455)</f>
        <v>0.45500000000000002</v>
      </c>
      <c r="T188" s="1">
        <f ca="1">IFERROR(__xludf.DUMMYFUNCTION("""COMPUTED_VALUE"""),254)</f>
        <v>254</v>
      </c>
      <c r="U188" s="1">
        <f ca="1">IFERROR(__xludf.DUMMYFUNCTION("""COMPUTED_VALUE"""),701)</f>
        <v>701</v>
      </c>
      <c r="V188" s="1">
        <f ca="1">IFERROR(__xludf.DUMMYFUNCTION("""COMPUTED_VALUE"""),0.362)</f>
        <v>0.36199999999999999</v>
      </c>
      <c r="W188" s="1">
        <f ca="1">IFERROR(__xludf.DUMMYFUNCTION("""COMPUTED_VALUE"""),465)</f>
        <v>465</v>
      </c>
      <c r="X188" s="1">
        <f ca="1">IFERROR(__xludf.DUMMYFUNCTION("""COMPUTED_VALUE"""),680)</f>
        <v>680</v>
      </c>
      <c r="Y188" s="1">
        <f ca="1">IFERROR(__xludf.DUMMYFUNCTION("""COMPUTED_VALUE"""),0.684)</f>
        <v>0.68400000000000005</v>
      </c>
      <c r="Z188" s="1">
        <f ca="1">IFERROR(__xludf.DUMMYFUNCTION("""COMPUTED_VALUE"""),357)</f>
        <v>357</v>
      </c>
      <c r="AA188" s="1">
        <f ca="1">IFERROR(__xludf.DUMMYFUNCTION("""COMPUTED_VALUE"""),1179)</f>
        <v>1179</v>
      </c>
      <c r="AB188" s="1">
        <f ca="1">IFERROR(__xludf.DUMMYFUNCTION("""COMPUTED_VALUE"""),408)</f>
        <v>408</v>
      </c>
      <c r="AC188" s="1">
        <f ca="1">IFERROR(__xludf.DUMMYFUNCTION("""COMPUTED_VALUE"""),223)</f>
        <v>223</v>
      </c>
      <c r="AD188" s="1">
        <f ca="1">IFERROR(__xludf.DUMMYFUNCTION("""COMPUTED_VALUE"""),159)</f>
        <v>159</v>
      </c>
      <c r="AE188" s="1">
        <f ca="1">IFERROR(__xludf.DUMMYFUNCTION("""COMPUTED_VALUE"""),377)</f>
        <v>377</v>
      </c>
      <c r="AF188" s="1">
        <f ca="1">IFERROR(__xludf.DUMMYFUNCTION("""COMPUTED_VALUE"""),525)</f>
        <v>525</v>
      </c>
    </row>
    <row r="189" spans="1:32" ht="12.5" x14ac:dyDescent="0.25">
      <c r="A189" s="1" t="str">
        <f ca="1">IFERROR(__xludf.DUMMYFUNCTION("""COMPUTED_VALUE"""),"Miami (OH)")</f>
        <v>Miami (OH)</v>
      </c>
      <c r="B189" s="1">
        <f ca="1">IFERROR(__xludf.DUMMYFUNCTION("""COMPUTED_VALUE"""),31)</f>
        <v>31</v>
      </c>
      <c r="C189" s="1">
        <f ca="1">IFERROR(__xludf.DUMMYFUNCTION("""COMPUTED_VALUE"""),9)</f>
        <v>9</v>
      </c>
      <c r="D189" s="1">
        <f ca="1">IFERROR(__xludf.DUMMYFUNCTION("""COMPUTED_VALUE"""),22)</f>
        <v>22</v>
      </c>
      <c r="E189" s="1">
        <f ca="1">IFERROR(__xludf.DUMMYFUNCTION("""COMPUTED_VALUE"""),0.29)</f>
        <v>0.28999999999999998</v>
      </c>
      <c r="F189" s="1">
        <f ca="1">IFERROR(__xludf.DUMMYFUNCTION("""COMPUTED_VALUE"""),-6.62)</f>
        <v>-6.62</v>
      </c>
      <c r="G189" s="1">
        <f ca="1">IFERROR(__xludf.DUMMYFUNCTION("""COMPUTED_VALUE"""),-0.26)</f>
        <v>-0.26</v>
      </c>
      <c r="H189" s="1">
        <f ca="1">IFERROR(__xludf.DUMMYFUNCTION("""COMPUTED_VALUE"""),3)</f>
        <v>3</v>
      </c>
      <c r="I189" s="1">
        <f ca="1">IFERROR(__xludf.DUMMYFUNCTION("""COMPUTED_VALUE"""),13)</f>
        <v>13</v>
      </c>
      <c r="J189" s="1">
        <f ca="1">IFERROR(__xludf.DUMMYFUNCTION("""COMPUTED_VALUE"""),5)</f>
        <v>5</v>
      </c>
      <c r="K189" s="1">
        <f ca="1">IFERROR(__xludf.DUMMYFUNCTION("""COMPUTED_VALUE"""),8)</f>
        <v>8</v>
      </c>
      <c r="L189" s="1">
        <f ca="1">IFERROR(__xludf.DUMMYFUNCTION("""COMPUTED_VALUE"""),4)</f>
        <v>4</v>
      </c>
      <c r="M189" s="1">
        <f ca="1">IFERROR(__xludf.DUMMYFUNCTION("""COMPUTED_VALUE"""),13)</f>
        <v>13</v>
      </c>
      <c r="N189" s="1">
        <f ca="1">IFERROR(__xludf.DUMMYFUNCTION("""COMPUTED_VALUE"""),1954)</f>
        <v>1954</v>
      </c>
      <c r="O189" s="1">
        <f ca="1">IFERROR(__xludf.DUMMYFUNCTION("""COMPUTED_VALUE"""),2128)</f>
        <v>2128</v>
      </c>
      <c r="P189" s="1">
        <f ca="1">IFERROR(__xludf.DUMMYFUNCTION("""COMPUTED_VALUE"""),1245)</f>
        <v>1245</v>
      </c>
      <c r="Q189" s="1">
        <f ca="1">IFERROR(__xludf.DUMMYFUNCTION("""COMPUTED_VALUE"""),687)</f>
        <v>687</v>
      </c>
      <c r="R189" s="1">
        <f ca="1">IFERROR(__xludf.DUMMYFUNCTION("""COMPUTED_VALUE"""),1598)</f>
        <v>1598</v>
      </c>
      <c r="S189" s="1">
        <f ca="1">IFERROR(__xludf.DUMMYFUNCTION("""COMPUTED_VALUE"""),0.43)</f>
        <v>0.43</v>
      </c>
      <c r="T189" s="1">
        <f ca="1">IFERROR(__xludf.DUMMYFUNCTION("""COMPUTED_VALUE"""),178)</f>
        <v>178</v>
      </c>
      <c r="U189" s="1">
        <f ca="1">IFERROR(__xludf.DUMMYFUNCTION("""COMPUTED_VALUE"""),537)</f>
        <v>537</v>
      </c>
      <c r="V189" s="1">
        <f ca="1">IFERROR(__xludf.DUMMYFUNCTION("""COMPUTED_VALUE"""),0.331)</f>
        <v>0.33100000000000002</v>
      </c>
      <c r="W189" s="1">
        <f ca="1">IFERROR(__xludf.DUMMYFUNCTION("""COMPUTED_VALUE"""),402)</f>
        <v>402</v>
      </c>
      <c r="X189" s="1">
        <f ca="1">IFERROR(__xludf.DUMMYFUNCTION("""COMPUTED_VALUE"""),591)</f>
        <v>591</v>
      </c>
      <c r="Y189" s="1">
        <f ca="1">IFERROR(__xludf.DUMMYFUNCTION("""COMPUTED_VALUE"""),0.68)</f>
        <v>0.68</v>
      </c>
      <c r="Z189" s="1">
        <f ca="1">IFERROR(__xludf.DUMMYFUNCTION("""COMPUTED_VALUE"""),279)</f>
        <v>279</v>
      </c>
      <c r="AA189" s="1">
        <f ca="1">IFERROR(__xludf.DUMMYFUNCTION("""COMPUTED_VALUE"""),821)</f>
        <v>821</v>
      </c>
      <c r="AB189" s="1">
        <f ca="1">IFERROR(__xludf.DUMMYFUNCTION("""COMPUTED_VALUE"""),379)</f>
        <v>379</v>
      </c>
      <c r="AC189" s="1">
        <f ca="1">IFERROR(__xludf.DUMMYFUNCTION("""COMPUTED_VALUE"""),258)</f>
        <v>258</v>
      </c>
      <c r="AD189" s="1">
        <f ca="1">IFERROR(__xludf.DUMMYFUNCTION("""COMPUTED_VALUE"""),74)</f>
        <v>74</v>
      </c>
      <c r="AE189" s="1">
        <f ca="1">IFERROR(__xludf.DUMMYFUNCTION("""COMPUTED_VALUE"""),441)</f>
        <v>441</v>
      </c>
      <c r="AF189" s="1">
        <f ca="1">IFERROR(__xludf.DUMMYFUNCTION("""COMPUTED_VALUE"""),558)</f>
        <v>558</v>
      </c>
    </row>
    <row r="190" spans="1:32" ht="12.5" x14ac:dyDescent="0.25">
      <c r="A190" s="1" t="str">
        <f ca="1">IFERROR(__xludf.DUMMYFUNCTION("""COMPUTED_VALUE"""),"Michigan StateNCAA")</f>
        <v>Michigan StateNCAA</v>
      </c>
      <c r="B190" s="1">
        <f ca="1">IFERROR(__xludf.DUMMYFUNCTION("""COMPUTED_VALUE"""),36)</f>
        <v>36</v>
      </c>
      <c r="C190" s="1">
        <f ca="1">IFERROR(__xludf.DUMMYFUNCTION("""COMPUTED_VALUE"""),27)</f>
        <v>27</v>
      </c>
      <c r="D190" s="1">
        <f ca="1">IFERROR(__xludf.DUMMYFUNCTION("""COMPUTED_VALUE"""),9)</f>
        <v>9</v>
      </c>
      <c r="E190" s="1">
        <f ca="1">IFERROR(__xludf.DUMMYFUNCTION("""COMPUTED_VALUE"""),0.75)</f>
        <v>0.75</v>
      </c>
      <c r="F190" s="1">
        <f ca="1">IFERROR(__xludf.DUMMYFUNCTION("""COMPUTED_VALUE"""),18.64)</f>
        <v>18.64</v>
      </c>
      <c r="G190" s="1">
        <f ca="1">IFERROR(__xludf.DUMMYFUNCTION("""COMPUTED_VALUE"""),10.55)</f>
        <v>10.55</v>
      </c>
      <c r="H190" s="1">
        <f ca="1">IFERROR(__xludf.DUMMYFUNCTION("""COMPUTED_VALUE"""),13)</f>
        <v>13</v>
      </c>
      <c r="I190" s="1">
        <f ca="1">IFERROR(__xludf.DUMMYFUNCTION("""COMPUTED_VALUE"""),5)</f>
        <v>5</v>
      </c>
      <c r="J190" s="1">
        <f ca="1">IFERROR(__xludf.DUMMYFUNCTION("""COMPUTED_VALUE"""),17)</f>
        <v>17</v>
      </c>
      <c r="K190" s="1">
        <f ca="1">IFERROR(__xludf.DUMMYFUNCTION("""COMPUTED_VALUE"""),1)</f>
        <v>1</v>
      </c>
      <c r="L190" s="1">
        <f ca="1">IFERROR(__xludf.DUMMYFUNCTION("""COMPUTED_VALUE"""),6)</f>
        <v>6</v>
      </c>
      <c r="M190" s="1">
        <f ca="1">IFERROR(__xludf.DUMMYFUNCTION("""COMPUTED_VALUE"""),5)</f>
        <v>5</v>
      </c>
      <c r="N190" s="1">
        <f ca="1">IFERROR(__xludf.DUMMYFUNCTION("""COMPUTED_VALUE"""),2448)</f>
        <v>2448</v>
      </c>
      <c r="O190" s="1">
        <f ca="1">IFERROR(__xludf.DUMMYFUNCTION("""COMPUTED_VALUE"""),2129)</f>
        <v>2129</v>
      </c>
      <c r="P190" s="1">
        <f ca="1">IFERROR(__xludf.DUMMYFUNCTION("""COMPUTED_VALUE"""),1440)</f>
        <v>1440</v>
      </c>
      <c r="Q190" s="1">
        <f ca="1">IFERROR(__xludf.DUMMYFUNCTION("""COMPUTED_VALUE"""),882)</f>
        <v>882</v>
      </c>
      <c r="R190" s="1">
        <f ca="1">IFERROR(__xludf.DUMMYFUNCTION("""COMPUTED_VALUE"""),1921)</f>
        <v>1921</v>
      </c>
      <c r="S190" s="1">
        <f ca="1">IFERROR(__xludf.DUMMYFUNCTION("""COMPUTED_VALUE"""),0.459)</f>
        <v>0.45900000000000002</v>
      </c>
      <c r="T190" s="1">
        <f ca="1">IFERROR(__xludf.DUMMYFUNCTION("""COMPUTED_VALUE"""),177)</f>
        <v>177</v>
      </c>
      <c r="U190" s="1">
        <f ca="1">IFERROR(__xludf.DUMMYFUNCTION("""COMPUTED_VALUE"""),523)</f>
        <v>523</v>
      </c>
      <c r="V190" s="1">
        <f ca="1">IFERROR(__xludf.DUMMYFUNCTION("""COMPUTED_VALUE"""),0.338)</f>
        <v>0.33800000000000002</v>
      </c>
      <c r="W190" s="1">
        <f ca="1">IFERROR(__xludf.DUMMYFUNCTION("""COMPUTED_VALUE"""),507)</f>
        <v>507</v>
      </c>
      <c r="X190" s="1">
        <f ca="1">IFERROR(__xludf.DUMMYFUNCTION("""COMPUTED_VALUE"""),710)</f>
        <v>710</v>
      </c>
      <c r="Y190" s="1">
        <f ca="1">IFERROR(__xludf.DUMMYFUNCTION("""COMPUTED_VALUE"""),0.714)</f>
        <v>0.71399999999999997</v>
      </c>
      <c r="Z190" s="1">
        <f ca="1">IFERROR(__xludf.DUMMYFUNCTION("""COMPUTED_VALUE"""),421)</f>
        <v>421</v>
      </c>
      <c r="AA190" s="1">
        <f ca="1">IFERROR(__xludf.DUMMYFUNCTION("""COMPUTED_VALUE"""),1241)</f>
        <v>1241</v>
      </c>
      <c r="AB190" s="1">
        <f ca="1">IFERROR(__xludf.DUMMYFUNCTION("""COMPUTED_VALUE"""),474)</f>
        <v>474</v>
      </c>
      <c r="AC190" s="1">
        <f ca="1">IFERROR(__xludf.DUMMYFUNCTION("""COMPUTED_VALUE"""),289)</f>
        <v>289</v>
      </c>
      <c r="AD190" s="1">
        <f ca="1">IFERROR(__xludf.DUMMYFUNCTION("""COMPUTED_VALUE"""),140)</f>
        <v>140</v>
      </c>
      <c r="AE190" s="1">
        <f ca="1">IFERROR(__xludf.DUMMYFUNCTION("""COMPUTED_VALUE"""),489)</f>
        <v>489</v>
      </c>
      <c r="AF190" s="1">
        <f ca="1">IFERROR(__xludf.DUMMYFUNCTION("""COMPUTED_VALUE"""),579)</f>
        <v>579</v>
      </c>
    </row>
    <row r="191" spans="1:32" ht="12.5" x14ac:dyDescent="0.25">
      <c r="A191" s="1" t="str">
        <f ca="1">IFERROR(__xludf.DUMMYFUNCTION("""COMPUTED_VALUE"""),"MichiganNCAA")</f>
        <v>MichiganNCAA</v>
      </c>
      <c r="B191" s="1">
        <f ca="1">IFERROR(__xludf.DUMMYFUNCTION("""COMPUTED_VALUE"""),39)</f>
        <v>39</v>
      </c>
      <c r="C191" s="1">
        <f ca="1">IFERROR(__xludf.DUMMYFUNCTION("""COMPUTED_VALUE"""),31)</f>
        <v>31</v>
      </c>
      <c r="D191" s="1">
        <f ca="1">IFERROR(__xludf.DUMMYFUNCTION("""COMPUTED_VALUE"""),8)</f>
        <v>8</v>
      </c>
      <c r="E191" s="1">
        <f ca="1">IFERROR(__xludf.DUMMYFUNCTION("""COMPUTED_VALUE"""),0.795)</f>
        <v>0.79500000000000004</v>
      </c>
      <c r="F191" s="1">
        <f ca="1">IFERROR(__xludf.DUMMYFUNCTION("""COMPUTED_VALUE"""),21.28)</f>
        <v>21.28</v>
      </c>
      <c r="G191" s="1">
        <f ca="1">IFERROR(__xludf.DUMMYFUNCTION("""COMPUTED_VALUE"""),10.05)</f>
        <v>10.050000000000001</v>
      </c>
      <c r="H191" s="1">
        <f ca="1">IFERROR(__xludf.DUMMYFUNCTION("""COMPUTED_VALUE"""),12)</f>
        <v>12</v>
      </c>
      <c r="I191" s="1">
        <f ca="1">IFERROR(__xludf.DUMMYFUNCTION("""COMPUTED_VALUE"""),6)</f>
        <v>6</v>
      </c>
      <c r="J191" s="1">
        <f ca="1">IFERROR(__xludf.DUMMYFUNCTION("""COMPUTED_VALUE"""),17)</f>
        <v>17</v>
      </c>
      <c r="K191" s="1">
        <f ca="1">IFERROR(__xludf.DUMMYFUNCTION("""COMPUTED_VALUE"""),1)</f>
        <v>1</v>
      </c>
      <c r="L191" s="1">
        <f ca="1">IFERROR(__xludf.DUMMYFUNCTION("""COMPUTED_VALUE"""),5)</f>
        <v>5</v>
      </c>
      <c r="M191" s="1">
        <f ca="1">IFERROR(__xludf.DUMMYFUNCTION("""COMPUTED_VALUE"""),5)</f>
        <v>5</v>
      </c>
      <c r="N191" s="1">
        <f ca="1">IFERROR(__xludf.DUMMYFUNCTION("""COMPUTED_VALUE"""),2932)</f>
        <v>2932</v>
      </c>
      <c r="O191" s="1">
        <f ca="1">IFERROR(__xludf.DUMMYFUNCTION("""COMPUTED_VALUE"""),2467)</f>
        <v>2467</v>
      </c>
      <c r="P191" s="1">
        <f ca="1">IFERROR(__xludf.DUMMYFUNCTION("""COMPUTED_VALUE"""),1575)</f>
        <v>1575</v>
      </c>
      <c r="Q191" s="1">
        <f ca="1">IFERROR(__xludf.DUMMYFUNCTION("""COMPUTED_VALUE"""),1093)</f>
        <v>1093</v>
      </c>
      <c r="R191" s="1">
        <f ca="1">IFERROR(__xludf.DUMMYFUNCTION("""COMPUTED_VALUE"""),2260)</f>
        <v>2260</v>
      </c>
      <c r="S191" s="1">
        <f ca="1">IFERROR(__xludf.DUMMYFUNCTION("""COMPUTED_VALUE"""),0.484)</f>
        <v>0.48399999999999999</v>
      </c>
      <c r="T191" s="1">
        <f ca="1">IFERROR(__xludf.DUMMYFUNCTION("""COMPUTED_VALUE"""),296)</f>
        <v>296</v>
      </c>
      <c r="U191" s="1">
        <f ca="1">IFERROR(__xludf.DUMMYFUNCTION("""COMPUTED_VALUE"""),769)</f>
        <v>769</v>
      </c>
      <c r="V191" s="1">
        <f ca="1">IFERROR(__xludf.DUMMYFUNCTION("""COMPUTED_VALUE"""),0.385)</f>
        <v>0.38500000000000001</v>
      </c>
      <c r="W191" s="1">
        <f ca="1">IFERROR(__xludf.DUMMYFUNCTION("""COMPUTED_VALUE"""),450)</f>
        <v>450</v>
      </c>
      <c r="X191" s="1">
        <f ca="1">IFERROR(__xludf.DUMMYFUNCTION("""COMPUTED_VALUE"""),642)</f>
        <v>642</v>
      </c>
      <c r="Y191" s="1">
        <f ca="1">IFERROR(__xludf.DUMMYFUNCTION("""COMPUTED_VALUE"""),0.701)</f>
        <v>0.70099999999999996</v>
      </c>
      <c r="Z191" s="1">
        <f ca="1">IFERROR(__xludf.DUMMYFUNCTION("""COMPUTED_VALUE"""),416)</f>
        <v>416</v>
      </c>
      <c r="AA191" s="1">
        <f ca="1">IFERROR(__xludf.DUMMYFUNCTION("""COMPUTED_VALUE"""),1246)</f>
        <v>1246</v>
      </c>
      <c r="AB191" s="1">
        <f ca="1">IFERROR(__xludf.DUMMYFUNCTION("""COMPUTED_VALUE"""),565)</f>
        <v>565</v>
      </c>
      <c r="AC191" s="1">
        <f ca="1">IFERROR(__xludf.DUMMYFUNCTION("""COMPUTED_VALUE"""),239)</f>
        <v>239</v>
      </c>
      <c r="AD191" s="1">
        <f ca="1">IFERROR(__xludf.DUMMYFUNCTION("""COMPUTED_VALUE"""),108)</f>
        <v>108</v>
      </c>
      <c r="AE191" s="1">
        <f ca="1">IFERROR(__xludf.DUMMYFUNCTION("""COMPUTED_VALUE"""),368)</f>
        <v>368</v>
      </c>
      <c r="AF191" s="1">
        <f ca="1">IFERROR(__xludf.DUMMYFUNCTION("""COMPUTED_VALUE"""),496)</f>
        <v>496</v>
      </c>
    </row>
    <row r="192" spans="1:32" ht="12.5" x14ac:dyDescent="0.25">
      <c r="A192" s="1" t="str">
        <f ca="1">IFERROR(__xludf.DUMMYFUNCTION("""COMPUTED_VALUE"""),"Middle TennesseeNCAA")</f>
        <v>Middle TennesseeNCAA</v>
      </c>
      <c r="B192" s="1">
        <f ca="1">IFERROR(__xludf.DUMMYFUNCTION("""COMPUTED_VALUE"""),34)</f>
        <v>34</v>
      </c>
      <c r="C192" s="1">
        <f ca="1">IFERROR(__xludf.DUMMYFUNCTION("""COMPUTED_VALUE"""),28)</f>
        <v>28</v>
      </c>
      <c r="D192" s="1">
        <f ca="1">IFERROR(__xludf.DUMMYFUNCTION("""COMPUTED_VALUE"""),6)</f>
        <v>6</v>
      </c>
      <c r="E192" s="1">
        <f ca="1">IFERROR(__xludf.DUMMYFUNCTION("""COMPUTED_VALUE"""),0.824)</f>
        <v>0.82399999999999995</v>
      </c>
      <c r="F192" s="1">
        <f ca="1">IFERROR(__xludf.DUMMYFUNCTION("""COMPUTED_VALUE"""),11.16)</f>
        <v>11.16</v>
      </c>
      <c r="G192" s="1">
        <f ca="1">IFERROR(__xludf.DUMMYFUNCTION("""COMPUTED_VALUE"""),-1.52)</f>
        <v>-1.52</v>
      </c>
      <c r="H192" s="1">
        <f ca="1">IFERROR(__xludf.DUMMYFUNCTION("""COMPUTED_VALUE"""),19)</f>
        <v>19</v>
      </c>
      <c r="I192" s="1">
        <f ca="1">IFERROR(__xludf.DUMMYFUNCTION("""COMPUTED_VALUE"""),1)</f>
        <v>1</v>
      </c>
      <c r="J192" s="1">
        <f ca="1">IFERROR(__xludf.DUMMYFUNCTION("""COMPUTED_VALUE"""),15)</f>
        <v>15</v>
      </c>
      <c r="K192" s="1">
        <f ca="1">IFERROR(__xludf.DUMMYFUNCTION("""COMPUTED_VALUE"""),0)</f>
        <v>0</v>
      </c>
      <c r="L192" s="1">
        <f ca="1">IFERROR(__xludf.DUMMYFUNCTION("""COMPUTED_VALUE"""),11)</f>
        <v>11</v>
      </c>
      <c r="M192" s="1">
        <f ca="1">IFERROR(__xludf.DUMMYFUNCTION("""COMPUTED_VALUE"""),3)</f>
        <v>3</v>
      </c>
      <c r="N192" s="1">
        <f ca="1">IFERROR(__xludf.DUMMYFUNCTION("""COMPUTED_VALUE"""),2405)</f>
        <v>2405</v>
      </c>
      <c r="O192" s="1">
        <f ca="1">IFERROR(__xludf.DUMMYFUNCTION("""COMPUTED_VALUE"""),1974)</f>
        <v>1974</v>
      </c>
      <c r="P192" s="1">
        <f ca="1">IFERROR(__xludf.DUMMYFUNCTION("""COMPUTED_VALUE"""),1370)</f>
        <v>1370</v>
      </c>
      <c r="Q192" s="1">
        <f ca="1">IFERROR(__xludf.DUMMYFUNCTION("""COMPUTED_VALUE"""),848)</f>
        <v>848</v>
      </c>
      <c r="R192" s="1">
        <f ca="1">IFERROR(__xludf.DUMMYFUNCTION("""COMPUTED_VALUE"""),1835)</f>
        <v>1835</v>
      </c>
      <c r="S192" s="1">
        <f ca="1">IFERROR(__xludf.DUMMYFUNCTION("""COMPUTED_VALUE"""),0.462)</f>
        <v>0.46200000000000002</v>
      </c>
      <c r="T192" s="1">
        <f ca="1">IFERROR(__xludf.DUMMYFUNCTION("""COMPUTED_VALUE"""),181)</f>
        <v>181</v>
      </c>
      <c r="U192" s="1">
        <f ca="1">IFERROR(__xludf.DUMMYFUNCTION("""COMPUTED_VALUE"""),480)</f>
        <v>480</v>
      </c>
      <c r="V192" s="1">
        <f ca="1">IFERROR(__xludf.DUMMYFUNCTION("""COMPUTED_VALUE"""),0.377)</f>
        <v>0.377</v>
      </c>
      <c r="W192" s="1">
        <f ca="1">IFERROR(__xludf.DUMMYFUNCTION("""COMPUTED_VALUE"""),528)</f>
        <v>528</v>
      </c>
      <c r="X192" s="1">
        <f ca="1">IFERROR(__xludf.DUMMYFUNCTION("""COMPUTED_VALUE"""),759)</f>
        <v>759</v>
      </c>
      <c r="Y192" s="1">
        <f ca="1">IFERROR(__xludf.DUMMYFUNCTION("""COMPUTED_VALUE"""),0.696)</f>
        <v>0.69599999999999995</v>
      </c>
      <c r="Z192" s="1">
        <f ca="1">IFERROR(__xludf.DUMMYFUNCTION("""COMPUTED_VALUE"""),407)</f>
        <v>407</v>
      </c>
      <c r="AA192" s="1">
        <f ca="1">IFERROR(__xludf.DUMMYFUNCTION("""COMPUTED_VALUE"""),1147)</f>
        <v>1147</v>
      </c>
      <c r="AB192" s="1">
        <f ca="1">IFERROR(__xludf.DUMMYFUNCTION("""COMPUTED_VALUE"""),481)</f>
        <v>481</v>
      </c>
      <c r="AC192" s="1">
        <f ca="1">IFERROR(__xludf.DUMMYFUNCTION("""COMPUTED_VALUE"""),238)</f>
        <v>238</v>
      </c>
      <c r="AD192" s="1">
        <f ca="1">IFERROR(__xludf.DUMMYFUNCTION("""COMPUTED_VALUE"""),128)</f>
        <v>128</v>
      </c>
      <c r="AE192" s="1">
        <f ca="1">IFERROR(__xludf.DUMMYFUNCTION("""COMPUTED_VALUE"""),464)</f>
        <v>464</v>
      </c>
      <c r="AF192" s="1">
        <f ca="1">IFERROR(__xludf.DUMMYFUNCTION("""COMPUTED_VALUE"""),700)</f>
        <v>700</v>
      </c>
    </row>
    <row r="193" spans="1:32" ht="12.5" x14ac:dyDescent="0.25">
      <c r="A193" s="1" t="str">
        <f ca="1">IFERROR(__xludf.DUMMYFUNCTION("""COMPUTED_VALUE"""),"Milwaukee")</f>
        <v>Milwaukee</v>
      </c>
      <c r="B193" s="1">
        <f ca="1">IFERROR(__xludf.DUMMYFUNCTION("""COMPUTED_VALUE"""),32)</f>
        <v>32</v>
      </c>
      <c r="C193" s="1">
        <f ca="1">IFERROR(__xludf.DUMMYFUNCTION("""COMPUTED_VALUE"""),8)</f>
        <v>8</v>
      </c>
      <c r="D193" s="1">
        <f ca="1">IFERROR(__xludf.DUMMYFUNCTION("""COMPUTED_VALUE"""),24)</f>
        <v>24</v>
      </c>
      <c r="E193" s="1">
        <f ca="1">IFERROR(__xludf.DUMMYFUNCTION("""COMPUTED_VALUE"""),0.25)</f>
        <v>0.25</v>
      </c>
      <c r="F193" s="1">
        <f ca="1">IFERROR(__xludf.DUMMYFUNCTION("""COMPUTED_VALUE"""),-10.33)</f>
        <v>-10.33</v>
      </c>
      <c r="G193" s="1">
        <f ca="1">IFERROR(__xludf.DUMMYFUNCTION("""COMPUTED_VALUE"""),-0.26)</f>
        <v>-0.26</v>
      </c>
      <c r="H193" s="1">
        <f ca="1">IFERROR(__xludf.DUMMYFUNCTION("""COMPUTED_VALUE"""),3)</f>
        <v>3</v>
      </c>
      <c r="I193" s="1">
        <f ca="1">IFERROR(__xludf.DUMMYFUNCTION("""COMPUTED_VALUE"""),13)</f>
        <v>13</v>
      </c>
      <c r="J193" s="1">
        <f ca="1">IFERROR(__xludf.DUMMYFUNCTION("""COMPUTED_VALUE"""),7)</f>
        <v>7</v>
      </c>
      <c r="K193" s="1">
        <f ca="1">IFERROR(__xludf.DUMMYFUNCTION("""COMPUTED_VALUE"""),7)</f>
        <v>7</v>
      </c>
      <c r="L193" s="1">
        <f ca="1">IFERROR(__xludf.DUMMYFUNCTION("""COMPUTED_VALUE"""),1)</f>
        <v>1</v>
      </c>
      <c r="M193" s="1">
        <f ca="1">IFERROR(__xludf.DUMMYFUNCTION("""COMPUTED_VALUE"""),15)</f>
        <v>15</v>
      </c>
      <c r="N193" s="1">
        <f ca="1">IFERROR(__xludf.DUMMYFUNCTION("""COMPUTED_VALUE"""),2007)</f>
        <v>2007</v>
      </c>
      <c r="O193" s="1">
        <f ca="1">IFERROR(__xludf.DUMMYFUNCTION("""COMPUTED_VALUE"""),2264)</f>
        <v>2264</v>
      </c>
      <c r="P193" s="1">
        <f ca="1">IFERROR(__xludf.DUMMYFUNCTION("""COMPUTED_VALUE"""),1300)</f>
        <v>1300</v>
      </c>
      <c r="Q193" s="1">
        <f ca="1">IFERROR(__xludf.DUMMYFUNCTION("""COMPUTED_VALUE"""),675)</f>
        <v>675</v>
      </c>
      <c r="R193" s="1">
        <f ca="1">IFERROR(__xludf.DUMMYFUNCTION("""COMPUTED_VALUE"""),1741)</f>
        <v>1741</v>
      </c>
      <c r="S193" s="1">
        <f ca="1">IFERROR(__xludf.DUMMYFUNCTION("""COMPUTED_VALUE"""),0.388)</f>
        <v>0.38800000000000001</v>
      </c>
      <c r="T193" s="1">
        <f ca="1">IFERROR(__xludf.DUMMYFUNCTION("""COMPUTED_VALUE"""),223)</f>
        <v>223</v>
      </c>
      <c r="U193" s="1">
        <f ca="1">IFERROR(__xludf.DUMMYFUNCTION("""COMPUTED_VALUE"""),708)</f>
        <v>708</v>
      </c>
      <c r="V193" s="1">
        <f ca="1">IFERROR(__xludf.DUMMYFUNCTION("""COMPUTED_VALUE"""),0.315)</f>
        <v>0.315</v>
      </c>
      <c r="W193" s="1">
        <f ca="1">IFERROR(__xludf.DUMMYFUNCTION("""COMPUTED_VALUE"""),432)</f>
        <v>432</v>
      </c>
      <c r="X193" s="1">
        <f ca="1">IFERROR(__xludf.DUMMYFUNCTION("""COMPUTED_VALUE"""),632)</f>
        <v>632</v>
      </c>
      <c r="Y193" s="1">
        <f ca="1">IFERROR(__xludf.DUMMYFUNCTION("""COMPUTED_VALUE"""),0.684)</f>
        <v>0.68400000000000005</v>
      </c>
      <c r="Z193" s="1">
        <f ca="1">IFERROR(__xludf.DUMMYFUNCTION("""COMPUTED_VALUE"""),341)</f>
        <v>341</v>
      </c>
      <c r="AA193" s="1">
        <f ca="1">IFERROR(__xludf.DUMMYFUNCTION("""COMPUTED_VALUE"""),932)</f>
        <v>932</v>
      </c>
      <c r="AB193" s="1">
        <f ca="1">IFERROR(__xludf.DUMMYFUNCTION("""COMPUTED_VALUE"""),350)</f>
        <v>350</v>
      </c>
      <c r="AC193" s="1">
        <f ca="1">IFERROR(__xludf.DUMMYFUNCTION("""COMPUTED_VALUE"""),172)</f>
        <v>172</v>
      </c>
      <c r="AD193" s="1">
        <f ca="1">IFERROR(__xludf.DUMMYFUNCTION("""COMPUTED_VALUE"""),114)</f>
        <v>114</v>
      </c>
      <c r="AE193" s="1">
        <f ca="1">IFERROR(__xludf.DUMMYFUNCTION("""COMPUTED_VALUE"""),453)</f>
        <v>453</v>
      </c>
      <c r="AF193" s="1">
        <f ca="1">IFERROR(__xludf.DUMMYFUNCTION("""COMPUTED_VALUE"""),523)</f>
        <v>523</v>
      </c>
    </row>
    <row r="194" spans="1:32" ht="12.5" x14ac:dyDescent="0.25">
      <c r="A194" s="1" t="str">
        <f ca="1">IFERROR(__xludf.DUMMYFUNCTION("""COMPUTED_VALUE"""),"MinnesotaNCAA")</f>
        <v>MinnesotaNCAA</v>
      </c>
      <c r="B194" s="1">
        <f ca="1">IFERROR(__xludf.DUMMYFUNCTION("""COMPUTED_VALUE"""),34)</f>
        <v>34</v>
      </c>
      <c r="C194" s="1">
        <f ca="1">IFERROR(__xludf.DUMMYFUNCTION("""COMPUTED_VALUE"""),21)</f>
        <v>21</v>
      </c>
      <c r="D194" s="1">
        <f ca="1">IFERROR(__xludf.DUMMYFUNCTION("""COMPUTED_VALUE"""),13)</f>
        <v>13</v>
      </c>
      <c r="E194" s="1">
        <f ca="1">IFERROR(__xludf.DUMMYFUNCTION("""COMPUTED_VALUE"""),0.618)</f>
        <v>0.61799999999999999</v>
      </c>
      <c r="F194" s="1">
        <f ca="1">IFERROR(__xludf.DUMMYFUNCTION("""COMPUTED_VALUE"""),16.83)</f>
        <v>16.829999999999998</v>
      </c>
      <c r="G194" s="1">
        <f ca="1">IFERROR(__xludf.DUMMYFUNCTION("""COMPUTED_VALUE"""),10.31)</f>
        <v>10.31</v>
      </c>
      <c r="H194" s="1">
        <f ca="1">IFERROR(__xludf.DUMMYFUNCTION("""COMPUTED_VALUE"""),8)</f>
        <v>8</v>
      </c>
      <c r="I194" s="1">
        <f ca="1">IFERROR(__xludf.DUMMYFUNCTION("""COMPUTED_VALUE"""),10)</f>
        <v>10</v>
      </c>
      <c r="J194" s="1">
        <f ca="1">IFERROR(__xludf.DUMMYFUNCTION("""COMPUTED_VALUE"""),15)</f>
        <v>15</v>
      </c>
      <c r="K194" s="1">
        <f ca="1">IFERROR(__xludf.DUMMYFUNCTION("""COMPUTED_VALUE"""),2)</f>
        <v>2</v>
      </c>
      <c r="L194" s="1">
        <f ca="1">IFERROR(__xludf.DUMMYFUNCTION("""COMPUTED_VALUE"""),3)</f>
        <v>3</v>
      </c>
      <c r="M194" s="1">
        <f ca="1">IFERROR(__xludf.DUMMYFUNCTION("""COMPUTED_VALUE"""),8)</f>
        <v>8</v>
      </c>
      <c r="N194" s="1">
        <f ca="1">IFERROR(__xludf.DUMMYFUNCTION("""COMPUTED_VALUE"""),2337)</f>
        <v>2337</v>
      </c>
      <c r="O194" s="1">
        <f ca="1">IFERROR(__xludf.DUMMYFUNCTION("""COMPUTED_VALUE"""),2115)</f>
        <v>2115</v>
      </c>
      <c r="P194" s="1">
        <f ca="1">IFERROR(__xludf.DUMMYFUNCTION("""COMPUTED_VALUE"""),1365)</f>
        <v>1365</v>
      </c>
      <c r="Q194" s="1">
        <f ca="1">IFERROR(__xludf.DUMMYFUNCTION("""COMPUTED_VALUE"""),815)</f>
        <v>815</v>
      </c>
      <c r="R194" s="1">
        <f ca="1">IFERROR(__xludf.DUMMYFUNCTION("""COMPUTED_VALUE"""),1838)</f>
        <v>1838</v>
      </c>
      <c r="S194" s="1">
        <f ca="1">IFERROR(__xludf.DUMMYFUNCTION("""COMPUTED_VALUE"""),0.443)</f>
        <v>0.443</v>
      </c>
      <c r="T194" s="1">
        <f ca="1">IFERROR(__xludf.DUMMYFUNCTION("""COMPUTED_VALUE"""),184)</f>
        <v>184</v>
      </c>
      <c r="U194" s="1">
        <f ca="1">IFERROR(__xludf.DUMMYFUNCTION("""COMPUTED_VALUE"""),546)</f>
        <v>546</v>
      </c>
      <c r="V194" s="1">
        <f ca="1">IFERROR(__xludf.DUMMYFUNCTION("""COMPUTED_VALUE"""),0.337)</f>
        <v>0.33700000000000002</v>
      </c>
      <c r="W194" s="1">
        <f ca="1">IFERROR(__xludf.DUMMYFUNCTION("""COMPUTED_VALUE"""),523)</f>
        <v>523</v>
      </c>
      <c r="X194" s="1">
        <f ca="1">IFERROR(__xludf.DUMMYFUNCTION("""COMPUTED_VALUE"""),764)</f>
        <v>764</v>
      </c>
      <c r="Y194" s="1">
        <f ca="1">IFERROR(__xludf.DUMMYFUNCTION("""COMPUTED_VALUE"""),0.685)</f>
        <v>0.68500000000000005</v>
      </c>
      <c r="Z194" s="1">
        <f ca="1">IFERROR(__xludf.DUMMYFUNCTION("""COMPUTED_VALUE"""),501)</f>
        <v>501</v>
      </c>
      <c r="AA194" s="1">
        <f ca="1">IFERROR(__xludf.DUMMYFUNCTION("""COMPUTED_VALUE"""),1186)</f>
        <v>1186</v>
      </c>
      <c r="AB194" s="1">
        <f ca="1">IFERROR(__xludf.DUMMYFUNCTION("""COMPUTED_VALUE"""),503)</f>
        <v>503</v>
      </c>
      <c r="AC194" s="1">
        <f ca="1">IFERROR(__xludf.DUMMYFUNCTION("""COMPUTED_VALUE"""),253)</f>
        <v>253</v>
      </c>
      <c r="AD194" s="1">
        <f ca="1">IFERROR(__xludf.DUMMYFUNCTION("""COMPUTED_VALUE"""),187)</f>
        <v>187</v>
      </c>
      <c r="AE194" s="1">
        <f ca="1">IFERROR(__xludf.DUMMYFUNCTION("""COMPUTED_VALUE"""),467)</f>
        <v>467</v>
      </c>
      <c r="AF194" s="1">
        <f ca="1">IFERROR(__xludf.DUMMYFUNCTION("""COMPUTED_VALUE"""),605)</f>
        <v>605</v>
      </c>
    </row>
    <row r="195" spans="1:32" ht="12.5" x14ac:dyDescent="0.25">
      <c r="A195" s="1" t="str">
        <f ca="1">IFERROR(__xludf.DUMMYFUNCTION("""COMPUTED_VALUE"""),"Mississippi State")</f>
        <v>Mississippi State</v>
      </c>
      <c r="B195" s="1">
        <f ca="1">IFERROR(__xludf.DUMMYFUNCTION("""COMPUTED_VALUE"""),32)</f>
        <v>32</v>
      </c>
      <c r="C195" s="1">
        <f ca="1">IFERROR(__xludf.DUMMYFUNCTION("""COMPUTED_VALUE"""),10)</f>
        <v>10</v>
      </c>
      <c r="D195" s="1">
        <f ca="1">IFERROR(__xludf.DUMMYFUNCTION("""COMPUTED_VALUE"""),22)</f>
        <v>22</v>
      </c>
      <c r="E195" s="1">
        <f ca="1">IFERROR(__xludf.DUMMYFUNCTION("""COMPUTED_VALUE"""),0.313)</f>
        <v>0.313</v>
      </c>
      <c r="F195" s="1">
        <f ca="1">IFERROR(__xludf.DUMMYFUNCTION("""COMPUTED_VALUE"""),-4.54)</f>
        <v>-4.54</v>
      </c>
      <c r="G195" s="1">
        <f ca="1">IFERROR(__xludf.DUMMYFUNCTION("""COMPUTED_VALUE"""),4.34)</f>
        <v>4.34</v>
      </c>
      <c r="H195" s="1">
        <f ca="1">IFERROR(__xludf.DUMMYFUNCTION("""COMPUTED_VALUE"""),4)</f>
        <v>4</v>
      </c>
      <c r="I195" s="1">
        <f ca="1">IFERROR(__xludf.DUMMYFUNCTION("""COMPUTED_VALUE"""),14)</f>
        <v>14</v>
      </c>
      <c r="J195" s="1">
        <f ca="1">IFERROR(__xludf.DUMMYFUNCTION("""COMPUTED_VALUE"""),7)</f>
        <v>7</v>
      </c>
      <c r="K195" s="1">
        <f ca="1">IFERROR(__xludf.DUMMYFUNCTION("""COMPUTED_VALUE"""),7)</f>
        <v>7</v>
      </c>
      <c r="L195" s="1">
        <f ca="1">IFERROR(__xludf.DUMMYFUNCTION("""COMPUTED_VALUE"""),1)</f>
        <v>1</v>
      </c>
      <c r="M195" s="1">
        <f ca="1">IFERROR(__xludf.DUMMYFUNCTION("""COMPUTED_VALUE"""),11)</f>
        <v>11</v>
      </c>
      <c r="N195" s="1">
        <f ca="1">IFERROR(__xludf.DUMMYFUNCTION("""COMPUTED_VALUE"""),1940)</f>
        <v>1940</v>
      </c>
      <c r="O195" s="1">
        <f ca="1">IFERROR(__xludf.DUMMYFUNCTION("""COMPUTED_VALUE"""),2224)</f>
        <v>2224</v>
      </c>
      <c r="P195" s="1">
        <f ca="1">IFERROR(__xludf.DUMMYFUNCTION("""COMPUTED_VALUE"""),1290)</f>
        <v>1290</v>
      </c>
      <c r="Q195" s="1">
        <f ca="1">IFERROR(__xludf.DUMMYFUNCTION("""COMPUTED_VALUE"""),670)</f>
        <v>670</v>
      </c>
      <c r="R195" s="1">
        <f ca="1">IFERROR(__xludf.DUMMYFUNCTION("""COMPUTED_VALUE"""),1672)</f>
        <v>1672</v>
      </c>
      <c r="S195" s="1">
        <f ca="1">IFERROR(__xludf.DUMMYFUNCTION("""COMPUTED_VALUE"""),0.401)</f>
        <v>0.40100000000000002</v>
      </c>
      <c r="T195" s="1">
        <f ca="1">IFERROR(__xludf.DUMMYFUNCTION("""COMPUTED_VALUE"""),151)</f>
        <v>151</v>
      </c>
      <c r="U195" s="1">
        <f ca="1">IFERROR(__xludf.DUMMYFUNCTION("""COMPUTED_VALUE"""),531)</f>
        <v>531</v>
      </c>
      <c r="V195" s="1">
        <f ca="1">IFERROR(__xludf.DUMMYFUNCTION("""COMPUTED_VALUE"""),0.284)</f>
        <v>0.28399999999999997</v>
      </c>
      <c r="W195" s="1">
        <f ca="1">IFERROR(__xludf.DUMMYFUNCTION("""COMPUTED_VALUE"""),449)</f>
        <v>449</v>
      </c>
      <c r="X195" s="1">
        <f ca="1">IFERROR(__xludf.DUMMYFUNCTION("""COMPUTED_VALUE"""),683)</f>
        <v>683</v>
      </c>
      <c r="Y195" s="1">
        <f ca="1">IFERROR(__xludf.DUMMYFUNCTION("""COMPUTED_VALUE"""),0.657)</f>
        <v>0.65700000000000003</v>
      </c>
      <c r="Z195" s="1">
        <f ca="1">IFERROR(__xludf.DUMMYFUNCTION("""COMPUTED_VALUE"""),343)</f>
        <v>343</v>
      </c>
      <c r="AA195" s="1">
        <f ca="1">IFERROR(__xludf.DUMMYFUNCTION("""COMPUTED_VALUE"""),960)</f>
        <v>960</v>
      </c>
      <c r="AB195" s="1">
        <f ca="1">IFERROR(__xludf.DUMMYFUNCTION("""COMPUTED_VALUE"""),321)</f>
        <v>321</v>
      </c>
      <c r="AC195" s="1">
        <f ca="1">IFERROR(__xludf.DUMMYFUNCTION("""COMPUTED_VALUE"""),257)</f>
        <v>257</v>
      </c>
      <c r="AD195" s="1">
        <f ca="1">IFERROR(__xludf.DUMMYFUNCTION("""COMPUTED_VALUE"""),124)</f>
        <v>124</v>
      </c>
      <c r="AE195" s="1">
        <f ca="1">IFERROR(__xludf.DUMMYFUNCTION("""COMPUTED_VALUE"""),545)</f>
        <v>545</v>
      </c>
      <c r="AF195" s="1">
        <f ca="1">IFERROR(__xludf.DUMMYFUNCTION("""COMPUTED_VALUE"""),519)</f>
        <v>519</v>
      </c>
    </row>
    <row r="196" spans="1:32" ht="12.5" x14ac:dyDescent="0.25">
      <c r="A196" s="1" t="str">
        <f ca="1">IFERROR(__xludf.DUMMYFUNCTION("""COMPUTED_VALUE"""),"Mississippi Valley State")</f>
        <v>Mississippi Valley State</v>
      </c>
      <c r="B196" s="1">
        <f ca="1">IFERROR(__xludf.DUMMYFUNCTION("""COMPUTED_VALUE"""),28)</f>
        <v>28</v>
      </c>
      <c r="C196" s="1">
        <f ca="1">IFERROR(__xludf.DUMMYFUNCTION("""COMPUTED_VALUE"""),5)</f>
        <v>5</v>
      </c>
      <c r="D196" s="1">
        <f ca="1">IFERROR(__xludf.DUMMYFUNCTION("""COMPUTED_VALUE"""),23)</f>
        <v>23</v>
      </c>
      <c r="E196" s="1">
        <f ca="1">IFERROR(__xludf.DUMMYFUNCTION("""COMPUTED_VALUE"""),0.179)</f>
        <v>0.17899999999999999</v>
      </c>
      <c r="F196" s="1">
        <f ca="1">IFERROR(__xludf.DUMMYFUNCTION("""COMPUTED_VALUE"""),-19.13)</f>
        <v>-19.13</v>
      </c>
      <c r="G196" s="1">
        <f ca="1">IFERROR(__xludf.DUMMYFUNCTION("""COMPUTED_VALUE"""),-8.28)</f>
        <v>-8.2799999999999994</v>
      </c>
      <c r="H196" s="1">
        <f ca="1">IFERROR(__xludf.DUMMYFUNCTION("""COMPUTED_VALUE"""),5)</f>
        <v>5</v>
      </c>
      <c r="I196" s="1">
        <f ca="1">IFERROR(__xludf.DUMMYFUNCTION("""COMPUTED_VALUE"""),13)</f>
        <v>13</v>
      </c>
      <c r="J196" s="1">
        <f ca="1">IFERROR(__xludf.DUMMYFUNCTION("""COMPUTED_VALUE"""),4)</f>
        <v>4</v>
      </c>
      <c r="K196" s="1">
        <f ca="1">IFERROR(__xludf.DUMMYFUNCTION("""COMPUTED_VALUE"""),5)</f>
        <v>5</v>
      </c>
      <c r="L196" s="1">
        <f ca="1">IFERROR(__xludf.DUMMYFUNCTION("""COMPUTED_VALUE"""),1)</f>
        <v>1</v>
      </c>
      <c r="M196" s="1">
        <f ca="1">IFERROR(__xludf.DUMMYFUNCTION("""COMPUTED_VALUE"""),16)</f>
        <v>16</v>
      </c>
      <c r="N196" s="1">
        <f ca="1">IFERROR(__xludf.DUMMYFUNCTION("""COMPUTED_VALUE"""),1765)</f>
        <v>1765</v>
      </c>
      <c r="O196" s="1">
        <f ca="1">IFERROR(__xludf.DUMMYFUNCTION("""COMPUTED_VALUE"""),2069)</f>
        <v>2069</v>
      </c>
      <c r="P196" s="1">
        <f ca="1">IFERROR(__xludf.DUMMYFUNCTION("""COMPUTED_VALUE"""),1125)</f>
        <v>1125</v>
      </c>
      <c r="Q196" s="1">
        <f ca="1">IFERROR(__xludf.DUMMYFUNCTION("""COMPUTED_VALUE"""),593)</f>
        <v>593</v>
      </c>
      <c r="R196" s="1">
        <f ca="1">IFERROR(__xludf.DUMMYFUNCTION("""COMPUTED_VALUE"""),1604)</f>
        <v>1604</v>
      </c>
      <c r="S196" s="1">
        <f ca="1">IFERROR(__xludf.DUMMYFUNCTION("""COMPUTED_VALUE"""),0.37)</f>
        <v>0.37</v>
      </c>
      <c r="T196" s="1">
        <f ca="1">IFERROR(__xludf.DUMMYFUNCTION("""COMPUTED_VALUE"""),169)</f>
        <v>169</v>
      </c>
      <c r="U196" s="1">
        <f ca="1">IFERROR(__xludf.DUMMYFUNCTION("""COMPUTED_VALUE"""),557)</f>
        <v>557</v>
      </c>
      <c r="V196" s="1">
        <f ca="1">IFERROR(__xludf.DUMMYFUNCTION("""COMPUTED_VALUE"""),0.303)</f>
        <v>0.30299999999999999</v>
      </c>
      <c r="W196" s="1">
        <f ca="1">IFERROR(__xludf.DUMMYFUNCTION("""COMPUTED_VALUE"""),410)</f>
        <v>410</v>
      </c>
      <c r="X196" s="1">
        <f ca="1">IFERROR(__xludf.DUMMYFUNCTION("""COMPUTED_VALUE"""),633)</f>
        <v>633</v>
      </c>
      <c r="Y196" s="1">
        <f ca="1">IFERROR(__xludf.DUMMYFUNCTION("""COMPUTED_VALUE"""),0.648)</f>
        <v>0.64800000000000002</v>
      </c>
      <c r="Z196" s="1">
        <f ca="1">IFERROR(__xludf.DUMMYFUNCTION("""COMPUTED_VALUE"""),347)</f>
        <v>347</v>
      </c>
      <c r="AA196" s="1">
        <f ca="1">IFERROR(__xludf.DUMMYFUNCTION("""COMPUTED_VALUE"""),844)</f>
        <v>844</v>
      </c>
      <c r="AB196" s="1">
        <f ca="1">IFERROR(__xludf.DUMMYFUNCTION("""COMPUTED_VALUE"""),271)</f>
        <v>271</v>
      </c>
      <c r="AC196" s="1">
        <f ca="1">IFERROR(__xludf.DUMMYFUNCTION("""COMPUTED_VALUE"""),198)</f>
        <v>198</v>
      </c>
      <c r="AD196" s="1">
        <f ca="1">IFERROR(__xludf.DUMMYFUNCTION("""COMPUTED_VALUE"""),71)</f>
        <v>71</v>
      </c>
      <c r="AE196" s="1">
        <f ca="1">IFERROR(__xludf.DUMMYFUNCTION("""COMPUTED_VALUE"""),427)</f>
        <v>427</v>
      </c>
      <c r="AF196" s="1">
        <f ca="1">IFERROR(__xludf.DUMMYFUNCTION("""COMPUTED_VALUE"""),564)</f>
        <v>564</v>
      </c>
    </row>
    <row r="197" spans="1:32" ht="12.5" x14ac:dyDescent="0.25">
      <c r="A197" s="1" t="str">
        <f ca="1">IFERROR(__xludf.DUMMYFUNCTION("""COMPUTED_VALUE"""),"MississippiNCAA")</f>
        <v>MississippiNCAA</v>
      </c>
      <c r="B197" s="1">
        <f ca="1">IFERROR(__xludf.DUMMYFUNCTION("""COMPUTED_VALUE"""),36)</f>
        <v>36</v>
      </c>
      <c r="C197" s="1">
        <f ca="1">IFERROR(__xludf.DUMMYFUNCTION("""COMPUTED_VALUE"""),27)</f>
        <v>27</v>
      </c>
      <c r="D197" s="1">
        <f ca="1">IFERROR(__xludf.DUMMYFUNCTION("""COMPUTED_VALUE"""),9)</f>
        <v>9</v>
      </c>
      <c r="E197" s="1">
        <f ca="1">IFERROR(__xludf.DUMMYFUNCTION("""COMPUTED_VALUE"""),0.75)</f>
        <v>0.75</v>
      </c>
      <c r="F197" s="1">
        <f ca="1">IFERROR(__xludf.DUMMYFUNCTION("""COMPUTED_VALUE"""),14.42)</f>
        <v>14.42</v>
      </c>
      <c r="G197" s="1">
        <f ca="1">IFERROR(__xludf.DUMMYFUNCTION("""COMPUTED_VALUE"""),4.14)</f>
        <v>4.1399999999999997</v>
      </c>
      <c r="H197" s="1">
        <f ca="1">IFERROR(__xludf.DUMMYFUNCTION("""COMPUTED_VALUE"""),12)</f>
        <v>12</v>
      </c>
      <c r="I197" s="1">
        <f ca="1">IFERROR(__xludf.DUMMYFUNCTION("""COMPUTED_VALUE"""),6)</f>
        <v>6</v>
      </c>
      <c r="J197" s="1">
        <f ca="1">IFERROR(__xludf.DUMMYFUNCTION("""COMPUTED_VALUE"""),16)</f>
        <v>16</v>
      </c>
      <c r="K197" s="1">
        <f ca="1">IFERROR(__xludf.DUMMYFUNCTION("""COMPUTED_VALUE"""),1)</f>
        <v>1</v>
      </c>
      <c r="L197" s="1">
        <f ca="1">IFERROR(__xludf.DUMMYFUNCTION("""COMPUTED_VALUE"""),6)</f>
        <v>6</v>
      </c>
      <c r="M197" s="1">
        <f ca="1">IFERROR(__xludf.DUMMYFUNCTION("""COMPUTED_VALUE"""),6)</f>
        <v>6</v>
      </c>
      <c r="N197" s="1">
        <f ca="1">IFERROR(__xludf.DUMMYFUNCTION("""COMPUTED_VALUE"""),2779)</f>
        <v>2779</v>
      </c>
      <c r="O197" s="1">
        <f ca="1">IFERROR(__xludf.DUMMYFUNCTION("""COMPUTED_VALUE"""),2409)</f>
        <v>2409</v>
      </c>
      <c r="P197" s="1">
        <f ca="1">IFERROR(__xludf.DUMMYFUNCTION("""COMPUTED_VALUE"""),1455)</f>
        <v>1455</v>
      </c>
      <c r="Q197" s="1">
        <f ca="1">IFERROR(__xludf.DUMMYFUNCTION("""COMPUTED_VALUE"""),977)</f>
        <v>977</v>
      </c>
      <c r="R197" s="1">
        <f ca="1">IFERROR(__xludf.DUMMYFUNCTION("""COMPUTED_VALUE"""),2230)</f>
        <v>2230</v>
      </c>
      <c r="S197" s="1">
        <f ca="1">IFERROR(__xludf.DUMMYFUNCTION("""COMPUTED_VALUE"""),0.438)</f>
        <v>0.438</v>
      </c>
      <c r="T197" s="1">
        <f ca="1">IFERROR(__xludf.DUMMYFUNCTION("""COMPUTED_VALUE"""),238)</f>
        <v>238</v>
      </c>
      <c r="U197" s="1">
        <f ca="1">IFERROR(__xludf.DUMMYFUNCTION("""COMPUTED_VALUE"""),735)</f>
        <v>735</v>
      </c>
      <c r="V197" s="1">
        <f ca="1">IFERROR(__xludf.DUMMYFUNCTION("""COMPUTED_VALUE"""),0.324)</f>
        <v>0.32400000000000001</v>
      </c>
      <c r="W197" s="1">
        <f ca="1">IFERROR(__xludf.DUMMYFUNCTION("""COMPUTED_VALUE"""),587)</f>
        <v>587</v>
      </c>
      <c r="X197" s="1">
        <f ca="1">IFERROR(__xludf.DUMMYFUNCTION("""COMPUTED_VALUE"""),866)</f>
        <v>866</v>
      </c>
      <c r="Y197" s="1">
        <f ca="1">IFERROR(__xludf.DUMMYFUNCTION("""COMPUTED_VALUE"""),0.678)</f>
        <v>0.67800000000000005</v>
      </c>
      <c r="Z197" s="1">
        <f ca="1">IFERROR(__xludf.DUMMYFUNCTION("""COMPUTED_VALUE"""),466)</f>
        <v>466</v>
      </c>
      <c r="AA197" s="1">
        <f ca="1">IFERROR(__xludf.DUMMYFUNCTION("""COMPUTED_VALUE"""),1251)</f>
        <v>1251</v>
      </c>
      <c r="AB197" s="1">
        <f ca="1">IFERROR(__xludf.DUMMYFUNCTION("""COMPUTED_VALUE"""),450)</f>
        <v>450</v>
      </c>
      <c r="AC197" s="1">
        <f ca="1">IFERROR(__xludf.DUMMYFUNCTION("""COMPUTED_VALUE"""),297)</f>
        <v>297</v>
      </c>
      <c r="AD197" s="1">
        <f ca="1">IFERROR(__xludf.DUMMYFUNCTION("""COMPUTED_VALUE"""),185)</f>
        <v>185</v>
      </c>
      <c r="AE197" s="1">
        <f ca="1">IFERROR(__xludf.DUMMYFUNCTION("""COMPUTED_VALUE"""),395)</f>
        <v>395</v>
      </c>
      <c r="AF197" s="1">
        <f ca="1">IFERROR(__xludf.DUMMYFUNCTION("""COMPUTED_VALUE"""),606)</f>
        <v>606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IFERROR(__xludf.DUMMYFUNCTION("""COMPUTED_VALUE"""),"Missouri-Kansas City")</f>
        <v>Missouri-Kansas City</v>
      </c>
      <c r="B200" s="1">
        <f ca="1">IFERROR(__xludf.DUMMYFUNCTION("""COMPUTED_VALUE"""),32)</f>
        <v>32</v>
      </c>
      <c r="C200" s="1">
        <f ca="1">IFERROR(__xludf.DUMMYFUNCTION("""COMPUTED_VALUE"""),8)</f>
        <v>8</v>
      </c>
      <c r="D200" s="1">
        <f ca="1">IFERROR(__xludf.DUMMYFUNCTION("""COMPUTED_VALUE"""),24)</f>
        <v>24</v>
      </c>
      <c r="E200" s="1">
        <f ca="1">IFERROR(__xludf.DUMMYFUNCTION("""COMPUTED_VALUE"""),0.25)</f>
        <v>0.25</v>
      </c>
      <c r="F200" s="1">
        <f ca="1">IFERROR(__xludf.DUMMYFUNCTION("""COMPUTED_VALUE"""),-13.61)</f>
        <v>-13.61</v>
      </c>
      <c r="G200" s="1">
        <f ca="1">IFERROR(__xludf.DUMMYFUNCTION("""COMPUTED_VALUE"""),-2.74)</f>
        <v>-2.74</v>
      </c>
      <c r="H200" s="1">
        <f ca="1">IFERROR(__xludf.DUMMYFUNCTION("""COMPUTED_VALUE"""),5)</f>
        <v>5</v>
      </c>
      <c r="I200" s="1">
        <f ca="1">IFERROR(__xludf.DUMMYFUNCTION("""COMPUTED_VALUE"""),11)</f>
        <v>11</v>
      </c>
      <c r="J200" s="1">
        <f ca="1">IFERROR(__xludf.DUMMYFUNCTION("""COMPUTED_VALUE"""),3)</f>
        <v>3</v>
      </c>
      <c r="K200" s="1">
        <f ca="1">IFERROR(__xludf.DUMMYFUNCTION("""COMPUTED_VALUE"""),11)</f>
        <v>11</v>
      </c>
      <c r="L200" s="1">
        <f ca="1">IFERROR(__xludf.DUMMYFUNCTION("""COMPUTED_VALUE"""),4)</f>
        <v>4</v>
      </c>
      <c r="M200" s="1">
        <f ca="1">IFERROR(__xludf.DUMMYFUNCTION("""COMPUTED_VALUE"""),11)</f>
        <v>11</v>
      </c>
      <c r="N200" s="1">
        <f ca="1">IFERROR(__xludf.DUMMYFUNCTION("""COMPUTED_VALUE"""),1950)</f>
        <v>1950</v>
      </c>
      <c r="O200" s="1">
        <f ca="1">IFERROR(__xludf.DUMMYFUNCTION("""COMPUTED_VALUE"""),2252)</f>
        <v>2252</v>
      </c>
      <c r="P200" s="1">
        <f ca="1">IFERROR(__xludf.DUMMYFUNCTION("""COMPUTED_VALUE"""),1280)</f>
        <v>1280</v>
      </c>
      <c r="Q200" s="1">
        <f ca="1">IFERROR(__xludf.DUMMYFUNCTION("""COMPUTED_VALUE"""),703)</f>
        <v>703</v>
      </c>
      <c r="R200" s="1">
        <f ca="1">IFERROR(__xludf.DUMMYFUNCTION("""COMPUTED_VALUE"""),1667)</f>
        <v>1667</v>
      </c>
      <c r="S200" s="1">
        <f ca="1">IFERROR(__xludf.DUMMYFUNCTION("""COMPUTED_VALUE"""),0.422)</f>
        <v>0.42199999999999999</v>
      </c>
      <c r="T200" s="1">
        <f ca="1">IFERROR(__xludf.DUMMYFUNCTION("""COMPUTED_VALUE"""),199)</f>
        <v>199</v>
      </c>
      <c r="U200" s="1">
        <f ca="1">IFERROR(__xludf.DUMMYFUNCTION("""COMPUTED_VALUE"""),585)</f>
        <v>585</v>
      </c>
      <c r="V200" s="1">
        <f ca="1">IFERROR(__xludf.DUMMYFUNCTION("""COMPUTED_VALUE"""),0.34)</f>
        <v>0.34</v>
      </c>
      <c r="W200" s="1">
        <f ca="1">IFERROR(__xludf.DUMMYFUNCTION("""COMPUTED_VALUE"""),345)</f>
        <v>345</v>
      </c>
      <c r="X200" s="1">
        <f ca="1">IFERROR(__xludf.DUMMYFUNCTION("""COMPUTED_VALUE"""),512)</f>
        <v>512</v>
      </c>
      <c r="Y200" s="1">
        <f ca="1">IFERROR(__xludf.DUMMYFUNCTION("""COMPUTED_VALUE"""),0.674)</f>
        <v>0.67400000000000004</v>
      </c>
      <c r="Z200" s="1">
        <f ca="1">IFERROR(__xludf.DUMMYFUNCTION("""COMPUTED_VALUE"""),310)</f>
        <v>310</v>
      </c>
      <c r="AA200" s="1">
        <f ca="1">IFERROR(__xludf.DUMMYFUNCTION("""COMPUTED_VALUE"""),901)</f>
        <v>901</v>
      </c>
      <c r="AB200" s="1">
        <f ca="1">IFERROR(__xludf.DUMMYFUNCTION("""COMPUTED_VALUE"""),315)</f>
        <v>315</v>
      </c>
      <c r="AC200" s="1">
        <f ca="1">IFERROR(__xludf.DUMMYFUNCTION("""COMPUTED_VALUE"""),189)</f>
        <v>189</v>
      </c>
      <c r="AD200" s="1">
        <f ca="1">IFERROR(__xludf.DUMMYFUNCTION("""COMPUTED_VALUE"""),97)</f>
        <v>97</v>
      </c>
      <c r="AE200" s="1">
        <f ca="1">IFERROR(__xludf.DUMMYFUNCTION("""COMPUTED_VALUE"""),482)</f>
        <v>482</v>
      </c>
      <c r="AF200" s="1">
        <f ca="1">IFERROR(__xludf.DUMMYFUNCTION("""COMPUTED_VALUE"""),595)</f>
        <v>595</v>
      </c>
    </row>
    <row r="201" spans="1:32" ht="12.5" x14ac:dyDescent="0.25">
      <c r="A201" s="1" t="str">
        <f ca="1">IFERROR(__xludf.DUMMYFUNCTION("""COMPUTED_VALUE"""),"Missouri State")</f>
        <v>Missouri State</v>
      </c>
      <c r="B201" s="1">
        <f ca="1">IFERROR(__xludf.DUMMYFUNCTION("""COMPUTED_VALUE"""),33)</f>
        <v>33</v>
      </c>
      <c r="C201" s="1">
        <f ca="1">IFERROR(__xludf.DUMMYFUNCTION("""COMPUTED_VALUE"""),11)</f>
        <v>11</v>
      </c>
      <c r="D201" s="1">
        <f ca="1">IFERROR(__xludf.DUMMYFUNCTION("""COMPUTED_VALUE"""),22)</f>
        <v>22</v>
      </c>
      <c r="E201" s="1">
        <f ca="1">IFERROR(__xludf.DUMMYFUNCTION("""COMPUTED_VALUE"""),0.333)</f>
        <v>0.33300000000000002</v>
      </c>
      <c r="F201" s="1">
        <f ca="1">IFERROR(__xludf.DUMMYFUNCTION("""COMPUTED_VALUE"""),-2.8)</f>
        <v>-2.8</v>
      </c>
      <c r="G201" s="1">
        <f ca="1">IFERROR(__xludf.DUMMYFUNCTION("""COMPUTED_VALUE"""),4.65)</f>
        <v>4.6500000000000004</v>
      </c>
      <c r="H201" s="1">
        <f ca="1">IFERROR(__xludf.DUMMYFUNCTION("""COMPUTED_VALUE"""),7)</f>
        <v>7</v>
      </c>
      <c r="I201" s="1">
        <f ca="1">IFERROR(__xludf.DUMMYFUNCTION("""COMPUTED_VALUE"""),11)</f>
        <v>11</v>
      </c>
      <c r="J201" s="1">
        <f ca="1">IFERROR(__xludf.DUMMYFUNCTION("""COMPUTED_VALUE"""),8)</f>
        <v>8</v>
      </c>
      <c r="K201" s="1">
        <f ca="1">IFERROR(__xludf.DUMMYFUNCTION("""COMPUTED_VALUE"""),7)</f>
        <v>7</v>
      </c>
      <c r="L201" s="1">
        <f ca="1">IFERROR(__xludf.DUMMYFUNCTION("""COMPUTED_VALUE"""),2)</f>
        <v>2</v>
      </c>
      <c r="M201" s="1">
        <f ca="1">IFERROR(__xludf.DUMMYFUNCTION("""COMPUTED_VALUE"""),12)</f>
        <v>12</v>
      </c>
      <c r="N201" s="1">
        <f ca="1">IFERROR(__xludf.DUMMYFUNCTION("""COMPUTED_VALUE"""),1966)</f>
        <v>1966</v>
      </c>
      <c r="O201" s="1">
        <f ca="1">IFERROR(__xludf.DUMMYFUNCTION("""COMPUTED_VALUE"""),2136)</f>
        <v>2136</v>
      </c>
      <c r="P201" s="1">
        <f ca="1">IFERROR(__xludf.DUMMYFUNCTION("""COMPUTED_VALUE"""),1330)</f>
        <v>1330</v>
      </c>
      <c r="Q201" s="1">
        <f ca="1">IFERROR(__xludf.DUMMYFUNCTION("""COMPUTED_VALUE"""),698)</f>
        <v>698</v>
      </c>
      <c r="R201" s="1">
        <f ca="1">IFERROR(__xludf.DUMMYFUNCTION("""COMPUTED_VALUE"""),1721)</f>
        <v>1721</v>
      </c>
      <c r="S201" s="1">
        <f ca="1">IFERROR(__xludf.DUMMYFUNCTION("""COMPUTED_VALUE"""),0.406)</f>
        <v>0.40600000000000003</v>
      </c>
      <c r="T201" s="1">
        <f ca="1">IFERROR(__xludf.DUMMYFUNCTION("""COMPUTED_VALUE"""),179)</f>
        <v>179</v>
      </c>
      <c r="U201" s="1">
        <f ca="1">IFERROR(__xludf.DUMMYFUNCTION("""COMPUTED_VALUE"""),602)</f>
        <v>602</v>
      </c>
      <c r="V201" s="1">
        <f ca="1">IFERROR(__xludf.DUMMYFUNCTION("""COMPUTED_VALUE"""),0.297)</f>
        <v>0.29699999999999999</v>
      </c>
      <c r="W201" s="1">
        <f ca="1">IFERROR(__xludf.DUMMYFUNCTION("""COMPUTED_VALUE"""),391)</f>
        <v>391</v>
      </c>
      <c r="X201" s="1">
        <f ca="1">IFERROR(__xludf.DUMMYFUNCTION("""COMPUTED_VALUE"""),584)</f>
        <v>584</v>
      </c>
      <c r="Y201" s="1">
        <f ca="1">IFERROR(__xludf.DUMMYFUNCTION("""COMPUTED_VALUE"""),0.67)</f>
        <v>0.67</v>
      </c>
      <c r="Z201" s="1">
        <f ca="1">IFERROR(__xludf.DUMMYFUNCTION("""COMPUTED_VALUE"""),297)</f>
        <v>297</v>
      </c>
      <c r="AA201" s="1">
        <f ca="1">IFERROR(__xludf.DUMMYFUNCTION("""COMPUTED_VALUE"""),911)</f>
        <v>911</v>
      </c>
      <c r="AB201" s="1">
        <f ca="1">IFERROR(__xludf.DUMMYFUNCTION("""COMPUTED_VALUE"""),334)</f>
        <v>334</v>
      </c>
      <c r="AC201" s="1">
        <f ca="1">IFERROR(__xludf.DUMMYFUNCTION("""COMPUTED_VALUE"""),156)</f>
        <v>156</v>
      </c>
      <c r="AD201" s="1">
        <f ca="1">IFERROR(__xludf.DUMMYFUNCTION("""COMPUTED_VALUE"""),46)</f>
        <v>46</v>
      </c>
      <c r="AE201" s="1">
        <f ca="1">IFERROR(__xludf.DUMMYFUNCTION("""COMPUTED_VALUE"""),336)</f>
        <v>336</v>
      </c>
      <c r="AF201" s="1">
        <f ca="1">IFERROR(__xludf.DUMMYFUNCTION("""COMPUTED_VALUE"""),584)</f>
        <v>584</v>
      </c>
    </row>
    <row r="202" spans="1:32" ht="12.5" x14ac:dyDescent="0.25">
      <c r="A202" s="1" t="str">
        <f ca="1">IFERROR(__xludf.DUMMYFUNCTION("""COMPUTED_VALUE"""),"MissouriNCAA")</f>
        <v>MissouriNCAA</v>
      </c>
      <c r="B202" s="1">
        <f ca="1">IFERROR(__xludf.DUMMYFUNCTION("""COMPUTED_VALUE"""),34)</f>
        <v>34</v>
      </c>
      <c r="C202" s="1">
        <f ca="1">IFERROR(__xludf.DUMMYFUNCTION("""COMPUTED_VALUE"""),23)</f>
        <v>23</v>
      </c>
      <c r="D202" s="1">
        <f ca="1">IFERROR(__xludf.DUMMYFUNCTION("""COMPUTED_VALUE"""),11)</f>
        <v>11</v>
      </c>
      <c r="E202" s="1">
        <f ca="1">IFERROR(__xludf.DUMMYFUNCTION("""COMPUTED_VALUE"""),0.676)</f>
        <v>0.67600000000000005</v>
      </c>
      <c r="F202" s="1">
        <f ca="1">IFERROR(__xludf.DUMMYFUNCTION("""COMPUTED_VALUE"""),15.41)</f>
        <v>15.41</v>
      </c>
      <c r="G202" s="1">
        <f ca="1">IFERROR(__xludf.DUMMYFUNCTION("""COMPUTED_VALUE"""),6)</f>
        <v>6</v>
      </c>
      <c r="H202" s="1">
        <f ca="1">IFERROR(__xludf.DUMMYFUNCTION("""COMPUTED_VALUE"""),11)</f>
        <v>11</v>
      </c>
      <c r="I202" s="1">
        <f ca="1">IFERROR(__xludf.DUMMYFUNCTION("""COMPUTED_VALUE"""),7)</f>
        <v>7</v>
      </c>
      <c r="J202" s="1">
        <f ca="1">IFERROR(__xludf.DUMMYFUNCTION("""COMPUTED_VALUE"""),17)</f>
        <v>17</v>
      </c>
      <c r="K202" s="1">
        <f ca="1">IFERROR(__xludf.DUMMYFUNCTION("""COMPUTED_VALUE"""),0)</f>
        <v>0</v>
      </c>
      <c r="L202" s="1">
        <f ca="1">IFERROR(__xludf.DUMMYFUNCTION("""COMPUTED_VALUE"""),2)</f>
        <v>2</v>
      </c>
      <c r="M202" s="1">
        <f ca="1">IFERROR(__xludf.DUMMYFUNCTION("""COMPUTED_VALUE"""),8)</f>
        <v>8</v>
      </c>
      <c r="N202" s="1">
        <f ca="1">IFERROR(__xludf.DUMMYFUNCTION("""COMPUTED_VALUE"""),2588)</f>
        <v>2588</v>
      </c>
      <c r="O202" s="1">
        <f ca="1">IFERROR(__xludf.DUMMYFUNCTION("""COMPUTED_VALUE"""),2268)</f>
        <v>2268</v>
      </c>
      <c r="P202" s="1">
        <f ca="1">IFERROR(__xludf.DUMMYFUNCTION("""COMPUTED_VALUE"""),1370)</f>
        <v>1370</v>
      </c>
      <c r="Q202" s="1">
        <f ca="1">IFERROR(__xludf.DUMMYFUNCTION("""COMPUTED_VALUE"""),924)</f>
        <v>924</v>
      </c>
      <c r="R202" s="1">
        <f ca="1">IFERROR(__xludf.DUMMYFUNCTION("""COMPUTED_VALUE"""),2015)</f>
        <v>2015</v>
      </c>
      <c r="S202" s="1">
        <f ca="1">IFERROR(__xludf.DUMMYFUNCTION("""COMPUTED_VALUE"""),0.459)</f>
        <v>0.45900000000000002</v>
      </c>
      <c r="T202" s="1">
        <f ca="1">IFERROR(__xludf.DUMMYFUNCTION("""COMPUTED_VALUE"""),215)</f>
        <v>215</v>
      </c>
      <c r="U202" s="1">
        <f ca="1">IFERROR(__xludf.DUMMYFUNCTION("""COMPUTED_VALUE"""),635)</f>
        <v>635</v>
      </c>
      <c r="V202" s="1">
        <f ca="1">IFERROR(__xludf.DUMMYFUNCTION("""COMPUTED_VALUE"""),0.339)</f>
        <v>0.33900000000000002</v>
      </c>
      <c r="W202" s="1">
        <f ca="1">IFERROR(__xludf.DUMMYFUNCTION("""COMPUTED_VALUE"""),525)</f>
        <v>525</v>
      </c>
      <c r="X202" s="1">
        <f ca="1">IFERROR(__xludf.DUMMYFUNCTION("""COMPUTED_VALUE"""),706)</f>
        <v>706</v>
      </c>
      <c r="Y202" s="1">
        <f ca="1">IFERROR(__xludf.DUMMYFUNCTION("""COMPUTED_VALUE"""),0.744)</f>
        <v>0.74399999999999999</v>
      </c>
      <c r="Z202" s="1">
        <f ca="1">IFERROR(__xludf.DUMMYFUNCTION("""COMPUTED_VALUE"""),454)</f>
        <v>454</v>
      </c>
      <c r="AA202" s="1">
        <f ca="1">IFERROR(__xludf.DUMMYFUNCTION("""COMPUTED_VALUE"""),1266)</f>
        <v>1266</v>
      </c>
      <c r="AB202" s="1">
        <f ca="1">IFERROR(__xludf.DUMMYFUNCTION("""COMPUTED_VALUE"""),472)</f>
        <v>472</v>
      </c>
      <c r="AC202" s="1">
        <f ca="1">IFERROR(__xludf.DUMMYFUNCTION("""COMPUTED_VALUE"""),229)</f>
        <v>229</v>
      </c>
      <c r="AD202" s="1">
        <f ca="1">IFERROR(__xludf.DUMMYFUNCTION("""COMPUTED_VALUE"""),119)</f>
        <v>119</v>
      </c>
      <c r="AE202" s="1">
        <f ca="1">IFERROR(__xludf.DUMMYFUNCTION("""COMPUTED_VALUE"""),442)</f>
        <v>442</v>
      </c>
      <c r="AF202" s="1">
        <f ca="1">IFERROR(__xludf.DUMMYFUNCTION("""COMPUTED_VALUE"""),567)</f>
        <v>567</v>
      </c>
    </row>
    <row r="203" spans="1:32" ht="12.5" x14ac:dyDescent="0.25">
      <c r="A203" s="1" t="str">
        <f ca="1">IFERROR(__xludf.DUMMYFUNCTION("""COMPUTED_VALUE"""),"Monmouth")</f>
        <v>Monmouth</v>
      </c>
      <c r="B203" s="1">
        <f ca="1">IFERROR(__xludf.DUMMYFUNCTION("""COMPUTED_VALUE"""),31)</f>
        <v>31</v>
      </c>
      <c r="C203" s="1">
        <f ca="1">IFERROR(__xludf.DUMMYFUNCTION("""COMPUTED_VALUE"""),10)</f>
        <v>10</v>
      </c>
      <c r="D203" s="1">
        <f ca="1">IFERROR(__xludf.DUMMYFUNCTION("""COMPUTED_VALUE"""),21)</f>
        <v>21</v>
      </c>
      <c r="E203" s="1">
        <f ca="1">IFERROR(__xludf.DUMMYFUNCTION("""COMPUTED_VALUE"""),0.323)</f>
        <v>0.32300000000000001</v>
      </c>
      <c r="F203" s="1">
        <f ca="1">IFERROR(__xludf.DUMMYFUNCTION("""COMPUTED_VALUE"""),-12.02)</f>
        <v>-12.02</v>
      </c>
      <c r="G203" s="1">
        <f ca="1">IFERROR(__xludf.DUMMYFUNCTION("""COMPUTED_VALUE"""),-4.19)</f>
        <v>-4.1900000000000004</v>
      </c>
      <c r="H203" s="1">
        <f ca="1">IFERROR(__xludf.DUMMYFUNCTION("""COMPUTED_VALUE"""),5)</f>
        <v>5</v>
      </c>
      <c r="I203" s="1">
        <f ca="1">IFERROR(__xludf.DUMMYFUNCTION("""COMPUTED_VALUE"""),13)</f>
        <v>13</v>
      </c>
      <c r="J203" s="1">
        <f ca="1">IFERROR(__xludf.DUMMYFUNCTION("""COMPUTED_VALUE"""),5)</f>
        <v>5</v>
      </c>
      <c r="K203" s="1">
        <f ca="1">IFERROR(__xludf.DUMMYFUNCTION("""COMPUTED_VALUE"""),8)</f>
        <v>8</v>
      </c>
      <c r="L203" s="1">
        <f ca="1">IFERROR(__xludf.DUMMYFUNCTION("""COMPUTED_VALUE"""),3)</f>
        <v>3</v>
      </c>
      <c r="M203" s="1">
        <f ca="1">IFERROR(__xludf.DUMMYFUNCTION("""COMPUTED_VALUE"""),13)</f>
        <v>13</v>
      </c>
      <c r="N203" s="1">
        <f ca="1">IFERROR(__xludf.DUMMYFUNCTION("""COMPUTED_VALUE"""),2009)</f>
        <v>2009</v>
      </c>
      <c r="O203" s="1">
        <f ca="1">IFERROR(__xludf.DUMMYFUNCTION("""COMPUTED_VALUE"""),2252)</f>
        <v>2252</v>
      </c>
      <c r="P203" s="1">
        <f ca="1">IFERROR(__xludf.DUMMYFUNCTION("""COMPUTED_VALUE"""),1240)</f>
        <v>1240</v>
      </c>
      <c r="Q203" s="1">
        <f ca="1">IFERROR(__xludf.DUMMYFUNCTION("""COMPUTED_VALUE"""),715)</f>
        <v>715</v>
      </c>
      <c r="R203" s="1">
        <f ca="1">IFERROR(__xludf.DUMMYFUNCTION("""COMPUTED_VALUE"""),1800)</f>
        <v>1800</v>
      </c>
      <c r="S203" s="1">
        <f ca="1">IFERROR(__xludf.DUMMYFUNCTION("""COMPUTED_VALUE"""),0.397)</f>
        <v>0.39700000000000002</v>
      </c>
      <c r="T203" s="1">
        <f ca="1">IFERROR(__xludf.DUMMYFUNCTION("""COMPUTED_VALUE"""),169)</f>
        <v>169</v>
      </c>
      <c r="U203" s="1">
        <f ca="1">IFERROR(__xludf.DUMMYFUNCTION("""COMPUTED_VALUE"""),545)</f>
        <v>545</v>
      </c>
      <c r="V203" s="1">
        <f ca="1">IFERROR(__xludf.DUMMYFUNCTION("""COMPUTED_VALUE"""),0.31)</f>
        <v>0.31</v>
      </c>
      <c r="W203" s="1">
        <f ca="1">IFERROR(__xludf.DUMMYFUNCTION("""COMPUTED_VALUE"""),410)</f>
        <v>410</v>
      </c>
      <c r="X203" s="1">
        <f ca="1">IFERROR(__xludf.DUMMYFUNCTION("""COMPUTED_VALUE"""),581)</f>
        <v>581</v>
      </c>
      <c r="Y203" s="1">
        <f ca="1">IFERROR(__xludf.DUMMYFUNCTION("""COMPUTED_VALUE"""),0.706)</f>
        <v>0.70599999999999996</v>
      </c>
      <c r="Z203" s="1">
        <f ca="1">IFERROR(__xludf.DUMMYFUNCTION("""COMPUTED_VALUE"""),350)</f>
        <v>350</v>
      </c>
      <c r="AA203" s="1">
        <f ca="1">IFERROR(__xludf.DUMMYFUNCTION("""COMPUTED_VALUE"""),860)</f>
        <v>860</v>
      </c>
      <c r="AB203" s="1">
        <f ca="1">IFERROR(__xludf.DUMMYFUNCTION("""COMPUTED_VALUE"""),377)</f>
        <v>377</v>
      </c>
      <c r="AC203" s="1">
        <f ca="1">IFERROR(__xludf.DUMMYFUNCTION("""COMPUTED_VALUE"""),273)</f>
        <v>273</v>
      </c>
      <c r="AD203" s="1">
        <f ca="1">IFERROR(__xludf.DUMMYFUNCTION("""COMPUTED_VALUE"""),46)</f>
        <v>46</v>
      </c>
      <c r="AE203" s="1">
        <f ca="1">IFERROR(__xludf.DUMMYFUNCTION("""COMPUTED_VALUE"""),460)</f>
        <v>460</v>
      </c>
      <c r="AF203" s="1">
        <f ca="1">IFERROR(__xludf.DUMMYFUNCTION("""COMPUTED_VALUE"""),631)</f>
        <v>631</v>
      </c>
    </row>
    <row r="204" spans="1:32" ht="12.5" x14ac:dyDescent="0.25">
      <c r="A204" s="1" t="str">
        <f ca="1">IFERROR(__xludf.DUMMYFUNCTION("""COMPUTED_VALUE"""),"Montana State")</f>
        <v>Montana State</v>
      </c>
      <c r="B204" s="1">
        <f ca="1">IFERROR(__xludf.DUMMYFUNCTION("""COMPUTED_VALUE"""),30)</f>
        <v>30</v>
      </c>
      <c r="C204" s="1">
        <f ca="1">IFERROR(__xludf.DUMMYFUNCTION("""COMPUTED_VALUE"""),13)</f>
        <v>13</v>
      </c>
      <c r="D204" s="1">
        <f ca="1">IFERROR(__xludf.DUMMYFUNCTION("""COMPUTED_VALUE"""),17)</f>
        <v>17</v>
      </c>
      <c r="E204" s="1">
        <f ca="1">IFERROR(__xludf.DUMMYFUNCTION("""COMPUTED_VALUE"""),0.433)</f>
        <v>0.433</v>
      </c>
      <c r="F204" s="1">
        <f ca="1">IFERROR(__xludf.DUMMYFUNCTION("""COMPUTED_VALUE"""),-10.9)</f>
        <v>-10.9</v>
      </c>
      <c r="G204" s="1">
        <f ca="1">IFERROR(__xludf.DUMMYFUNCTION("""COMPUTED_VALUE"""),-6.69)</f>
        <v>-6.69</v>
      </c>
      <c r="H204" s="1">
        <f ca="1">IFERROR(__xludf.DUMMYFUNCTION("""COMPUTED_VALUE"""),10)</f>
        <v>10</v>
      </c>
      <c r="I204" s="1">
        <f ca="1">IFERROR(__xludf.DUMMYFUNCTION("""COMPUTED_VALUE"""),10)</f>
        <v>10</v>
      </c>
      <c r="J204" s="1">
        <f ca="1">IFERROR(__xludf.DUMMYFUNCTION("""COMPUTED_VALUE"""),10)</f>
        <v>10</v>
      </c>
      <c r="K204" s="1">
        <f ca="1">IFERROR(__xludf.DUMMYFUNCTION("""COMPUTED_VALUE"""),6)</f>
        <v>6</v>
      </c>
      <c r="L204" s="1">
        <f ca="1">IFERROR(__xludf.DUMMYFUNCTION("""COMPUTED_VALUE"""),3)</f>
        <v>3</v>
      </c>
      <c r="M204" s="1">
        <f ca="1">IFERROR(__xludf.DUMMYFUNCTION("""COMPUTED_VALUE"""),10)</f>
        <v>10</v>
      </c>
      <c r="N204" s="1">
        <f ca="1">IFERROR(__xludf.DUMMYFUNCTION("""COMPUTED_VALUE"""),2118)</f>
        <v>2118</v>
      </c>
      <c r="O204" s="1">
        <f ca="1">IFERROR(__xludf.DUMMYFUNCTION("""COMPUTED_VALUE"""),2181)</f>
        <v>2181</v>
      </c>
      <c r="P204" s="1">
        <f ca="1">IFERROR(__xludf.DUMMYFUNCTION("""COMPUTED_VALUE"""),1220)</f>
        <v>1220</v>
      </c>
      <c r="Q204" s="1">
        <f ca="1">IFERROR(__xludf.DUMMYFUNCTION("""COMPUTED_VALUE"""),733)</f>
        <v>733</v>
      </c>
      <c r="R204" s="1">
        <f ca="1">IFERROR(__xludf.DUMMYFUNCTION("""COMPUTED_VALUE"""),1717)</f>
        <v>1717</v>
      </c>
      <c r="S204" s="1">
        <f ca="1">IFERROR(__xludf.DUMMYFUNCTION("""COMPUTED_VALUE"""),0.427)</f>
        <v>0.42699999999999999</v>
      </c>
      <c r="T204" s="1">
        <f ca="1">IFERROR(__xludf.DUMMYFUNCTION("""COMPUTED_VALUE"""),202)</f>
        <v>202</v>
      </c>
      <c r="U204" s="1">
        <f ca="1">IFERROR(__xludf.DUMMYFUNCTION("""COMPUTED_VALUE"""),599)</f>
        <v>599</v>
      </c>
      <c r="V204" s="1">
        <f ca="1">IFERROR(__xludf.DUMMYFUNCTION("""COMPUTED_VALUE"""),0.337)</f>
        <v>0.33700000000000002</v>
      </c>
      <c r="W204" s="1">
        <f ca="1">IFERROR(__xludf.DUMMYFUNCTION("""COMPUTED_VALUE"""),450)</f>
        <v>450</v>
      </c>
      <c r="X204" s="1">
        <f ca="1">IFERROR(__xludf.DUMMYFUNCTION("""COMPUTED_VALUE"""),626)</f>
        <v>626</v>
      </c>
      <c r="Y204" s="1">
        <f ca="1">IFERROR(__xludf.DUMMYFUNCTION("""COMPUTED_VALUE"""),0.719)</f>
        <v>0.71899999999999997</v>
      </c>
      <c r="Z204" s="1">
        <f ca="1">IFERROR(__xludf.DUMMYFUNCTION("""COMPUTED_VALUE"""),324)</f>
        <v>324</v>
      </c>
      <c r="AA204" s="1">
        <f ca="1">IFERROR(__xludf.DUMMYFUNCTION("""COMPUTED_VALUE"""),883)</f>
        <v>883</v>
      </c>
      <c r="AB204" s="1">
        <f ca="1">IFERROR(__xludf.DUMMYFUNCTION("""COMPUTED_VALUE"""),339)</f>
        <v>339</v>
      </c>
      <c r="AC204" s="1">
        <f ca="1">IFERROR(__xludf.DUMMYFUNCTION("""COMPUTED_VALUE"""),238)</f>
        <v>238</v>
      </c>
      <c r="AD204" s="1">
        <f ca="1">IFERROR(__xludf.DUMMYFUNCTION("""COMPUTED_VALUE"""),51)</f>
        <v>51</v>
      </c>
      <c r="AE204" s="1">
        <f ca="1">IFERROR(__xludf.DUMMYFUNCTION("""COMPUTED_VALUE"""),353)</f>
        <v>353</v>
      </c>
      <c r="AF204" s="1">
        <f ca="1">IFERROR(__xludf.DUMMYFUNCTION("""COMPUTED_VALUE"""),536)</f>
        <v>536</v>
      </c>
    </row>
    <row r="205" spans="1:32" ht="12.5" x14ac:dyDescent="0.25">
      <c r="A205" s="1" t="str">
        <f ca="1">IFERROR(__xludf.DUMMYFUNCTION("""COMPUTED_VALUE"""),"MontanaNCAA")</f>
        <v>MontanaNCAA</v>
      </c>
      <c r="B205" s="1">
        <f ca="1">IFERROR(__xludf.DUMMYFUNCTION("""COMPUTED_VALUE"""),32)</f>
        <v>32</v>
      </c>
      <c r="C205" s="1">
        <f ca="1">IFERROR(__xludf.DUMMYFUNCTION("""COMPUTED_VALUE"""),25)</f>
        <v>25</v>
      </c>
      <c r="D205" s="1">
        <f ca="1">IFERROR(__xludf.DUMMYFUNCTION("""COMPUTED_VALUE"""),7)</f>
        <v>7</v>
      </c>
      <c r="E205" s="1">
        <f ca="1">IFERROR(__xludf.DUMMYFUNCTION("""COMPUTED_VALUE"""),0.781)</f>
        <v>0.78100000000000003</v>
      </c>
      <c r="F205" s="1">
        <f ca="1">IFERROR(__xludf.DUMMYFUNCTION("""COMPUTED_VALUE"""),-1.11)</f>
        <v>-1.1100000000000001</v>
      </c>
      <c r="G205" s="1">
        <f ca="1">IFERROR(__xludf.DUMMYFUNCTION("""COMPUTED_VALUE"""),-4.21)</f>
        <v>-4.21</v>
      </c>
      <c r="H205" s="1">
        <f ca="1">IFERROR(__xludf.DUMMYFUNCTION("""COMPUTED_VALUE"""),19)</f>
        <v>19</v>
      </c>
      <c r="I205" s="1">
        <f ca="1">IFERROR(__xludf.DUMMYFUNCTION("""COMPUTED_VALUE"""),1)</f>
        <v>1</v>
      </c>
      <c r="J205" s="1">
        <f ca="1">IFERROR(__xludf.DUMMYFUNCTION("""COMPUTED_VALUE"""),15)</f>
        <v>15</v>
      </c>
      <c r="K205" s="1">
        <f ca="1">IFERROR(__xludf.DUMMYFUNCTION("""COMPUTED_VALUE"""),1)</f>
        <v>1</v>
      </c>
      <c r="L205" s="1">
        <f ca="1">IFERROR(__xludf.DUMMYFUNCTION("""COMPUTED_VALUE"""),10)</f>
        <v>10</v>
      </c>
      <c r="M205" s="1">
        <f ca="1">IFERROR(__xludf.DUMMYFUNCTION("""COMPUTED_VALUE"""),4)</f>
        <v>4</v>
      </c>
      <c r="N205" s="1">
        <f ca="1">IFERROR(__xludf.DUMMYFUNCTION("""COMPUTED_VALUE"""),2238)</f>
        <v>2238</v>
      </c>
      <c r="O205" s="1">
        <f ca="1">IFERROR(__xludf.DUMMYFUNCTION("""COMPUTED_VALUE"""),2096)</f>
        <v>2096</v>
      </c>
      <c r="P205" s="1">
        <f ca="1">IFERROR(__xludf.DUMMYFUNCTION("""COMPUTED_VALUE"""),1305)</f>
        <v>1305</v>
      </c>
      <c r="Q205" s="1">
        <f ca="1">IFERROR(__xludf.DUMMYFUNCTION("""COMPUTED_VALUE"""),760)</f>
        <v>760</v>
      </c>
      <c r="R205" s="1">
        <f ca="1">IFERROR(__xludf.DUMMYFUNCTION("""COMPUTED_VALUE"""),1635)</f>
        <v>1635</v>
      </c>
      <c r="S205" s="1">
        <f ca="1">IFERROR(__xludf.DUMMYFUNCTION("""COMPUTED_VALUE"""),0.465)</f>
        <v>0.46500000000000002</v>
      </c>
      <c r="T205" s="1">
        <f ca="1">IFERROR(__xludf.DUMMYFUNCTION("""COMPUTED_VALUE"""),219)</f>
        <v>219</v>
      </c>
      <c r="U205" s="1">
        <f ca="1">IFERROR(__xludf.DUMMYFUNCTION("""COMPUTED_VALUE"""),589)</f>
        <v>589</v>
      </c>
      <c r="V205" s="1">
        <f ca="1">IFERROR(__xludf.DUMMYFUNCTION("""COMPUTED_VALUE"""),0.372)</f>
        <v>0.372</v>
      </c>
      <c r="W205" s="1">
        <f ca="1">IFERROR(__xludf.DUMMYFUNCTION("""COMPUTED_VALUE"""),499)</f>
        <v>499</v>
      </c>
      <c r="X205" s="1">
        <f ca="1">IFERROR(__xludf.DUMMYFUNCTION("""COMPUTED_VALUE"""),651)</f>
        <v>651</v>
      </c>
      <c r="Y205" s="1">
        <f ca="1">IFERROR(__xludf.DUMMYFUNCTION("""COMPUTED_VALUE"""),0.767)</f>
        <v>0.76700000000000002</v>
      </c>
      <c r="Z205" s="1">
        <f ca="1">IFERROR(__xludf.DUMMYFUNCTION("""COMPUTED_VALUE"""),248)</f>
        <v>248</v>
      </c>
      <c r="AA205" s="1">
        <f ca="1">IFERROR(__xludf.DUMMYFUNCTION("""COMPUTED_VALUE"""),905)</f>
        <v>905</v>
      </c>
      <c r="AB205" s="1">
        <f ca="1">IFERROR(__xludf.DUMMYFUNCTION("""COMPUTED_VALUE"""),405)</f>
        <v>405</v>
      </c>
      <c r="AC205" s="1">
        <f ca="1">IFERROR(__xludf.DUMMYFUNCTION("""COMPUTED_VALUE"""),187)</f>
        <v>187</v>
      </c>
      <c r="AD205" s="1">
        <f ca="1">IFERROR(__xludf.DUMMYFUNCTION("""COMPUTED_VALUE"""),100)</f>
        <v>100</v>
      </c>
      <c r="AE205" s="1">
        <f ca="1">IFERROR(__xludf.DUMMYFUNCTION("""COMPUTED_VALUE"""),391)</f>
        <v>391</v>
      </c>
      <c r="AF205" s="1">
        <f ca="1">IFERROR(__xludf.DUMMYFUNCTION("""COMPUTED_VALUE"""),543)</f>
        <v>543</v>
      </c>
    </row>
    <row r="206" spans="1:32" ht="12.5" x14ac:dyDescent="0.25">
      <c r="A206" s="1" t="str">
        <f ca="1">IFERROR(__xludf.DUMMYFUNCTION("""COMPUTED_VALUE"""),"Morehead State")</f>
        <v>Morehead State</v>
      </c>
      <c r="B206" s="1">
        <f ca="1">IFERROR(__xludf.DUMMYFUNCTION("""COMPUTED_VALUE"""),33)</f>
        <v>33</v>
      </c>
      <c r="C206" s="1">
        <f ca="1">IFERROR(__xludf.DUMMYFUNCTION("""COMPUTED_VALUE"""),15)</f>
        <v>15</v>
      </c>
      <c r="D206" s="1">
        <f ca="1">IFERROR(__xludf.DUMMYFUNCTION("""COMPUTED_VALUE"""),18)</f>
        <v>18</v>
      </c>
      <c r="E206" s="1">
        <f ca="1">IFERROR(__xludf.DUMMYFUNCTION("""COMPUTED_VALUE"""),0.455)</f>
        <v>0.45500000000000002</v>
      </c>
      <c r="F206" s="1">
        <f ca="1">IFERROR(__xludf.DUMMYFUNCTION("""COMPUTED_VALUE"""),-5.36)</f>
        <v>-5.36</v>
      </c>
      <c r="G206" s="1">
        <f ca="1">IFERROR(__xludf.DUMMYFUNCTION("""COMPUTED_VALUE"""),-1.81)</f>
        <v>-1.81</v>
      </c>
      <c r="H206" s="1">
        <f ca="1">IFERROR(__xludf.DUMMYFUNCTION("""COMPUTED_VALUE"""),8)</f>
        <v>8</v>
      </c>
      <c r="I206" s="1">
        <f ca="1">IFERROR(__xludf.DUMMYFUNCTION("""COMPUTED_VALUE"""),8)</f>
        <v>8</v>
      </c>
      <c r="J206" s="1">
        <f ca="1">IFERROR(__xludf.DUMMYFUNCTION("""COMPUTED_VALUE"""),10)</f>
        <v>10</v>
      </c>
      <c r="K206" s="1">
        <f ca="1">IFERROR(__xludf.DUMMYFUNCTION("""COMPUTED_VALUE"""),5)</f>
        <v>5</v>
      </c>
      <c r="L206" s="1">
        <f ca="1">IFERROR(__xludf.DUMMYFUNCTION("""COMPUTED_VALUE"""),3)</f>
        <v>3</v>
      </c>
      <c r="M206" s="1">
        <f ca="1">IFERROR(__xludf.DUMMYFUNCTION("""COMPUTED_VALUE"""),12)</f>
        <v>12</v>
      </c>
      <c r="N206" s="1">
        <f ca="1">IFERROR(__xludf.DUMMYFUNCTION("""COMPUTED_VALUE"""),2396)</f>
        <v>2396</v>
      </c>
      <c r="O206" s="1">
        <f ca="1">IFERROR(__xludf.DUMMYFUNCTION("""COMPUTED_VALUE"""),2408)</f>
        <v>2408</v>
      </c>
      <c r="P206" s="1">
        <f ca="1">IFERROR(__xludf.DUMMYFUNCTION("""COMPUTED_VALUE"""),1340)</f>
        <v>1340</v>
      </c>
      <c r="Q206" s="1">
        <f ca="1">IFERROR(__xludf.DUMMYFUNCTION("""COMPUTED_VALUE"""),842)</f>
        <v>842</v>
      </c>
      <c r="R206" s="1">
        <f ca="1">IFERROR(__xludf.DUMMYFUNCTION("""COMPUTED_VALUE"""),1934)</f>
        <v>1934</v>
      </c>
      <c r="S206" s="1">
        <f ca="1">IFERROR(__xludf.DUMMYFUNCTION("""COMPUTED_VALUE"""),0.435)</f>
        <v>0.435</v>
      </c>
      <c r="T206" s="1">
        <f ca="1">IFERROR(__xludf.DUMMYFUNCTION("""COMPUTED_VALUE"""),201)</f>
        <v>201</v>
      </c>
      <c r="U206" s="1">
        <f ca="1">IFERROR(__xludf.DUMMYFUNCTION("""COMPUTED_VALUE"""),626)</f>
        <v>626</v>
      </c>
      <c r="V206" s="1">
        <f ca="1">IFERROR(__xludf.DUMMYFUNCTION("""COMPUTED_VALUE"""),0.321)</f>
        <v>0.32100000000000001</v>
      </c>
      <c r="W206" s="1">
        <f ca="1">IFERROR(__xludf.DUMMYFUNCTION("""COMPUTED_VALUE"""),511)</f>
        <v>511</v>
      </c>
      <c r="X206" s="1">
        <f ca="1">IFERROR(__xludf.DUMMYFUNCTION("""COMPUTED_VALUE"""),739)</f>
        <v>739</v>
      </c>
      <c r="Y206" s="1">
        <f ca="1">IFERROR(__xludf.DUMMYFUNCTION("""COMPUTED_VALUE"""),0.691)</f>
        <v>0.69099999999999995</v>
      </c>
      <c r="Z206" s="1">
        <f ca="1">IFERROR(__xludf.DUMMYFUNCTION("""COMPUTED_VALUE"""),480)</f>
        <v>480</v>
      </c>
      <c r="AA206" s="1">
        <f ca="1">IFERROR(__xludf.DUMMYFUNCTION("""COMPUTED_VALUE"""),1108)</f>
        <v>1108</v>
      </c>
      <c r="AB206" s="1">
        <f ca="1">IFERROR(__xludf.DUMMYFUNCTION("""COMPUTED_VALUE"""),489)</f>
        <v>489</v>
      </c>
      <c r="AC206" s="1">
        <f ca="1">IFERROR(__xludf.DUMMYFUNCTION("""COMPUTED_VALUE"""),295)</f>
        <v>295</v>
      </c>
      <c r="AD206" s="1">
        <f ca="1">IFERROR(__xludf.DUMMYFUNCTION("""COMPUTED_VALUE"""),96)</f>
        <v>96</v>
      </c>
      <c r="AE206" s="1">
        <f ca="1">IFERROR(__xludf.DUMMYFUNCTION("""COMPUTED_VALUE"""),573)</f>
        <v>573</v>
      </c>
      <c r="AF206" s="1">
        <f ca="1">IFERROR(__xludf.DUMMYFUNCTION("""COMPUTED_VALUE"""),815)</f>
        <v>815</v>
      </c>
    </row>
    <row r="207" spans="1:32" ht="12.5" x14ac:dyDescent="0.25">
      <c r="A207" s="1" t="str">
        <f ca="1">IFERROR(__xludf.DUMMYFUNCTION("""COMPUTED_VALUE"""),"Morgan State")</f>
        <v>Morgan State</v>
      </c>
      <c r="B207" s="1">
        <f ca="1">IFERROR(__xludf.DUMMYFUNCTION("""COMPUTED_VALUE"""),32)</f>
        <v>32</v>
      </c>
      <c r="C207" s="1">
        <f ca="1">IFERROR(__xludf.DUMMYFUNCTION("""COMPUTED_VALUE"""),17)</f>
        <v>17</v>
      </c>
      <c r="D207" s="1">
        <f ca="1">IFERROR(__xludf.DUMMYFUNCTION("""COMPUTED_VALUE"""),15)</f>
        <v>15</v>
      </c>
      <c r="E207" s="1">
        <f ca="1">IFERROR(__xludf.DUMMYFUNCTION("""COMPUTED_VALUE"""),0.531)</f>
        <v>0.53100000000000003</v>
      </c>
      <c r="F207" s="1">
        <f ca="1">IFERROR(__xludf.DUMMYFUNCTION("""COMPUTED_VALUE"""),-5.39)</f>
        <v>-5.39</v>
      </c>
      <c r="G207" s="1">
        <f ca="1">IFERROR(__xludf.DUMMYFUNCTION("""COMPUTED_VALUE"""),-7.51)</f>
        <v>-7.51</v>
      </c>
      <c r="H207" s="1">
        <f ca="1">IFERROR(__xludf.DUMMYFUNCTION("""COMPUTED_VALUE"""),10)</f>
        <v>10</v>
      </c>
      <c r="I207" s="1">
        <f ca="1">IFERROR(__xludf.DUMMYFUNCTION("""COMPUTED_VALUE"""),6)</f>
        <v>6</v>
      </c>
      <c r="J207" s="1">
        <f ca="1">IFERROR(__xludf.DUMMYFUNCTION("""COMPUTED_VALUE"""),5)</f>
        <v>5</v>
      </c>
      <c r="K207" s="1">
        <f ca="1">IFERROR(__xludf.DUMMYFUNCTION("""COMPUTED_VALUE"""),4)</f>
        <v>4</v>
      </c>
      <c r="L207" s="1">
        <f ca="1">IFERROR(__xludf.DUMMYFUNCTION("""COMPUTED_VALUE"""),8)</f>
        <v>8</v>
      </c>
      <c r="M207" s="1">
        <f ca="1">IFERROR(__xludf.DUMMYFUNCTION("""COMPUTED_VALUE"""),9)</f>
        <v>9</v>
      </c>
      <c r="N207" s="1">
        <f ca="1">IFERROR(__xludf.DUMMYFUNCTION("""COMPUTED_VALUE"""),2162)</f>
        <v>2162</v>
      </c>
      <c r="O207" s="1">
        <f ca="1">IFERROR(__xludf.DUMMYFUNCTION("""COMPUTED_VALUE"""),2094)</f>
        <v>2094</v>
      </c>
      <c r="P207" s="1">
        <f ca="1">IFERROR(__xludf.DUMMYFUNCTION("""COMPUTED_VALUE"""),1300)</f>
        <v>1300</v>
      </c>
      <c r="Q207" s="1">
        <f ca="1">IFERROR(__xludf.DUMMYFUNCTION("""COMPUTED_VALUE"""),806)</f>
        <v>806</v>
      </c>
      <c r="R207" s="1">
        <f ca="1">IFERROR(__xludf.DUMMYFUNCTION("""COMPUTED_VALUE"""),1807)</f>
        <v>1807</v>
      </c>
      <c r="S207" s="1">
        <f ca="1">IFERROR(__xludf.DUMMYFUNCTION("""COMPUTED_VALUE"""),0.446)</f>
        <v>0.44600000000000001</v>
      </c>
      <c r="T207" s="1">
        <f ca="1">IFERROR(__xludf.DUMMYFUNCTION("""COMPUTED_VALUE"""),133)</f>
        <v>133</v>
      </c>
      <c r="U207" s="1">
        <f ca="1">IFERROR(__xludf.DUMMYFUNCTION("""COMPUTED_VALUE"""),456)</f>
        <v>456</v>
      </c>
      <c r="V207" s="1">
        <f ca="1">IFERROR(__xludf.DUMMYFUNCTION("""COMPUTED_VALUE"""),0.292)</f>
        <v>0.29199999999999998</v>
      </c>
      <c r="W207" s="1">
        <f ca="1">IFERROR(__xludf.DUMMYFUNCTION("""COMPUTED_VALUE"""),417)</f>
        <v>417</v>
      </c>
      <c r="X207" s="1">
        <f ca="1">IFERROR(__xludf.DUMMYFUNCTION("""COMPUTED_VALUE"""),708)</f>
        <v>708</v>
      </c>
      <c r="Y207" s="1">
        <f ca="1">IFERROR(__xludf.DUMMYFUNCTION("""COMPUTED_VALUE"""),0.589)</f>
        <v>0.58899999999999997</v>
      </c>
      <c r="Z207" s="1">
        <f ca="1">IFERROR(__xludf.DUMMYFUNCTION("""COMPUTED_VALUE"""),445)</f>
        <v>445</v>
      </c>
      <c r="AA207" s="1">
        <f ca="1">IFERROR(__xludf.DUMMYFUNCTION("""COMPUTED_VALUE"""),1070)</f>
        <v>1070</v>
      </c>
      <c r="AB207" s="1">
        <f ca="1">IFERROR(__xludf.DUMMYFUNCTION("""COMPUTED_VALUE"""),410)</f>
        <v>410</v>
      </c>
      <c r="AC207" s="1">
        <f ca="1">IFERROR(__xludf.DUMMYFUNCTION("""COMPUTED_VALUE"""),206)</f>
        <v>206</v>
      </c>
      <c r="AD207" s="1">
        <f ca="1">IFERROR(__xludf.DUMMYFUNCTION("""COMPUTED_VALUE"""),170)</f>
        <v>170</v>
      </c>
      <c r="AE207" s="1">
        <f ca="1">IFERROR(__xludf.DUMMYFUNCTION("""COMPUTED_VALUE"""),487)</f>
        <v>487</v>
      </c>
      <c r="AF207" s="1">
        <f ca="1">IFERROR(__xludf.DUMMYFUNCTION("""COMPUTED_VALUE"""),568)</f>
        <v>568</v>
      </c>
    </row>
    <row r="208" spans="1:32" ht="12.5" x14ac:dyDescent="0.25">
      <c r="A208" s="1" t="str">
        <f ca="1">IFERROR(__xludf.DUMMYFUNCTION("""COMPUTED_VALUE"""),"Mount St. Mary's")</f>
        <v>Mount St. Mary's</v>
      </c>
      <c r="B208" s="1">
        <f ca="1">IFERROR(__xludf.DUMMYFUNCTION("""COMPUTED_VALUE"""),32)</f>
        <v>32</v>
      </c>
      <c r="C208" s="1">
        <f ca="1">IFERROR(__xludf.DUMMYFUNCTION("""COMPUTED_VALUE"""),18)</f>
        <v>18</v>
      </c>
      <c r="D208" s="1">
        <f ca="1">IFERROR(__xludf.DUMMYFUNCTION("""COMPUTED_VALUE"""),14)</f>
        <v>14</v>
      </c>
      <c r="E208" s="1">
        <f ca="1">IFERROR(__xludf.DUMMYFUNCTION("""COMPUTED_VALUE"""),0.563)</f>
        <v>0.56299999999999994</v>
      </c>
      <c r="F208" s="1">
        <f ca="1">IFERROR(__xludf.DUMMYFUNCTION("""COMPUTED_VALUE"""),-5.85)</f>
        <v>-5.85</v>
      </c>
      <c r="G208" s="1">
        <f ca="1">IFERROR(__xludf.DUMMYFUNCTION("""COMPUTED_VALUE"""),-4.1)</f>
        <v>-4.0999999999999996</v>
      </c>
      <c r="H208" s="1">
        <f ca="1">IFERROR(__xludf.DUMMYFUNCTION("""COMPUTED_VALUE"""),11)</f>
        <v>11</v>
      </c>
      <c r="I208" s="1">
        <f ca="1">IFERROR(__xludf.DUMMYFUNCTION("""COMPUTED_VALUE"""),7)</f>
        <v>7</v>
      </c>
      <c r="J208" s="1">
        <f ca="1">IFERROR(__xludf.DUMMYFUNCTION("""COMPUTED_VALUE"""),10)</f>
        <v>10</v>
      </c>
      <c r="K208" s="1">
        <f ca="1">IFERROR(__xludf.DUMMYFUNCTION("""COMPUTED_VALUE"""),2)</f>
        <v>2</v>
      </c>
      <c r="L208" s="1">
        <f ca="1">IFERROR(__xludf.DUMMYFUNCTION("""COMPUTED_VALUE"""),8)</f>
        <v>8</v>
      </c>
      <c r="M208" s="1">
        <f ca="1">IFERROR(__xludf.DUMMYFUNCTION("""COMPUTED_VALUE"""),12)</f>
        <v>12</v>
      </c>
      <c r="N208" s="1">
        <f ca="1">IFERROR(__xludf.DUMMYFUNCTION("""COMPUTED_VALUE"""),2233)</f>
        <v>2233</v>
      </c>
      <c r="O208" s="1">
        <f ca="1">IFERROR(__xludf.DUMMYFUNCTION("""COMPUTED_VALUE"""),2289)</f>
        <v>2289</v>
      </c>
      <c r="P208" s="1">
        <f ca="1">IFERROR(__xludf.DUMMYFUNCTION("""COMPUTED_VALUE"""),1285)</f>
        <v>1285</v>
      </c>
      <c r="Q208" s="1">
        <f ca="1">IFERROR(__xludf.DUMMYFUNCTION("""COMPUTED_VALUE"""),778)</f>
        <v>778</v>
      </c>
      <c r="R208" s="1">
        <f ca="1">IFERROR(__xludf.DUMMYFUNCTION("""COMPUTED_VALUE"""),1813)</f>
        <v>1813</v>
      </c>
      <c r="S208" s="1">
        <f ca="1">IFERROR(__xludf.DUMMYFUNCTION("""COMPUTED_VALUE"""),0.429)</f>
        <v>0.42899999999999999</v>
      </c>
      <c r="T208" s="1">
        <f ca="1">IFERROR(__xludf.DUMMYFUNCTION("""COMPUTED_VALUE"""),274)</f>
        <v>274</v>
      </c>
      <c r="U208" s="1">
        <f ca="1">IFERROR(__xludf.DUMMYFUNCTION("""COMPUTED_VALUE"""),811)</f>
        <v>811</v>
      </c>
      <c r="V208" s="1">
        <f ca="1">IFERROR(__xludf.DUMMYFUNCTION("""COMPUTED_VALUE"""),0.338)</f>
        <v>0.33800000000000002</v>
      </c>
      <c r="W208" s="1">
        <f ca="1">IFERROR(__xludf.DUMMYFUNCTION("""COMPUTED_VALUE"""),403)</f>
        <v>403</v>
      </c>
      <c r="X208" s="1">
        <f ca="1">IFERROR(__xludf.DUMMYFUNCTION("""COMPUTED_VALUE"""),578)</f>
        <v>578</v>
      </c>
      <c r="Y208" s="1">
        <f ca="1">IFERROR(__xludf.DUMMYFUNCTION("""COMPUTED_VALUE"""),0.697)</f>
        <v>0.69699999999999995</v>
      </c>
      <c r="Z208" s="1">
        <f ca="1">IFERROR(__xludf.DUMMYFUNCTION("""COMPUTED_VALUE"""),319)</f>
        <v>319</v>
      </c>
      <c r="AA208" s="1">
        <f ca="1">IFERROR(__xludf.DUMMYFUNCTION("""COMPUTED_VALUE"""),857)</f>
        <v>857</v>
      </c>
      <c r="AB208" s="1">
        <f ca="1">IFERROR(__xludf.DUMMYFUNCTION("""COMPUTED_VALUE"""),389)</f>
        <v>389</v>
      </c>
      <c r="AC208" s="1">
        <f ca="1">IFERROR(__xludf.DUMMYFUNCTION("""COMPUTED_VALUE"""),269)</f>
        <v>269</v>
      </c>
      <c r="AD208" s="1">
        <f ca="1">IFERROR(__xludf.DUMMYFUNCTION("""COMPUTED_VALUE"""),67)</f>
        <v>67</v>
      </c>
      <c r="AE208" s="1">
        <f ca="1">IFERROR(__xludf.DUMMYFUNCTION("""COMPUTED_VALUE"""),398)</f>
        <v>398</v>
      </c>
      <c r="AF208" s="1">
        <f ca="1">IFERROR(__xludf.DUMMYFUNCTION("""COMPUTED_VALUE"""),623)</f>
        <v>623</v>
      </c>
    </row>
    <row r="209" spans="1:32" ht="12.5" x14ac:dyDescent="0.25">
      <c r="A209" s="1" t="str">
        <f ca="1">IFERROR(__xludf.DUMMYFUNCTION("""COMPUTED_VALUE"""),"Murray State")</f>
        <v>Murray State</v>
      </c>
      <c r="B209" s="1">
        <f ca="1">IFERROR(__xludf.DUMMYFUNCTION("""COMPUTED_VALUE"""),31)</f>
        <v>31</v>
      </c>
      <c r="C209" s="1">
        <f ca="1">IFERROR(__xludf.DUMMYFUNCTION("""COMPUTED_VALUE"""),21)</f>
        <v>21</v>
      </c>
      <c r="D209" s="1">
        <f ca="1">IFERROR(__xludf.DUMMYFUNCTION("""COMPUTED_VALUE"""),10)</f>
        <v>10</v>
      </c>
      <c r="E209" s="1">
        <f ca="1">IFERROR(__xludf.DUMMYFUNCTION("""COMPUTED_VALUE"""),0.677)</f>
        <v>0.67700000000000005</v>
      </c>
      <c r="F209" s="1">
        <f ca="1">IFERROR(__xludf.DUMMYFUNCTION("""COMPUTED_VALUE"""),1.21)</f>
        <v>1.21</v>
      </c>
      <c r="G209" s="1">
        <f ca="1">IFERROR(__xludf.DUMMYFUNCTION("""COMPUTED_VALUE"""),-2.89)</f>
        <v>-2.89</v>
      </c>
      <c r="H209" s="1">
        <f ca="1">IFERROR(__xludf.DUMMYFUNCTION("""COMPUTED_VALUE"""),10)</f>
        <v>10</v>
      </c>
      <c r="I209" s="1">
        <f ca="1">IFERROR(__xludf.DUMMYFUNCTION("""COMPUTED_VALUE"""),6)</f>
        <v>6</v>
      </c>
      <c r="J209" s="1">
        <f ca="1">IFERROR(__xludf.DUMMYFUNCTION("""COMPUTED_VALUE"""),10)</f>
        <v>10</v>
      </c>
      <c r="K209" s="1">
        <f ca="1">IFERROR(__xludf.DUMMYFUNCTION("""COMPUTED_VALUE"""),4)</f>
        <v>4</v>
      </c>
      <c r="L209" s="1">
        <f ca="1">IFERROR(__xludf.DUMMYFUNCTION("""COMPUTED_VALUE"""),8)</f>
        <v>8</v>
      </c>
      <c r="M209" s="1">
        <f ca="1">IFERROR(__xludf.DUMMYFUNCTION("""COMPUTED_VALUE"""),4)</f>
        <v>4</v>
      </c>
      <c r="N209" s="1">
        <f ca="1">IFERROR(__xludf.DUMMYFUNCTION("""COMPUTED_VALUE"""),2257)</f>
        <v>2257</v>
      </c>
      <c r="O209" s="1">
        <f ca="1">IFERROR(__xludf.DUMMYFUNCTION("""COMPUTED_VALUE"""),2071)</f>
        <v>2071</v>
      </c>
      <c r="P209" s="1">
        <f ca="1">IFERROR(__xludf.DUMMYFUNCTION("""COMPUTED_VALUE"""),1260)</f>
        <v>1260</v>
      </c>
      <c r="Q209" s="1">
        <f ca="1">IFERROR(__xludf.DUMMYFUNCTION("""COMPUTED_VALUE"""),776)</f>
        <v>776</v>
      </c>
      <c r="R209" s="1">
        <f ca="1">IFERROR(__xludf.DUMMYFUNCTION("""COMPUTED_VALUE"""),1716)</f>
        <v>1716</v>
      </c>
      <c r="S209" s="1">
        <f ca="1">IFERROR(__xludf.DUMMYFUNCTION("""COMPUTED_VALUE"""),0.452)</f>
        <v>0.45200000000000001</v>
      </c>
      <c r="T209" s="1">
        <f ca="1">IFERROR(__xludf.DUMMYFUNCTION("""COMPUTED_VALUE"""),243)</f>
        <v>243</v>
      </c>
      <c r="U209" s="1">
        <f ca="1">IFERROR(__xludf.DUMMYFUNCTION("""COMPUTED_VALUE"""),701)</f>
        <v>701</v>
      </c>
      <c r="V209" s="1">
        <f ca="1">IFERROR(__xludf.DUMMYFUNCTION("""COMPUTED_VALUE"""),0.347)</f>
        <v>0.34699999999999998</v>
      </c>
      <c r="W209" s="1">
        <f ca="1">IFERROR(__xludf.DUMMYFUNCTION("""COMPUTED_VALUE"""),462)</f>
        <v>462</v>
      </c>
      <c r="X209" s="1">
        <f ca="1">IFERROR(__xludf.DUMMYFUNCTION("""COMPUTED_VALUE"""),669)</f>
        <v>669</v>
      </c>
      <c r="Y209" s="1">
        <f ca="1">IFERROR(__xludf.DUMMYFUNCTION("""COMPUTED_VALUE"""),0.691)</f>
        <v>0.69099999999999995</v>
      </c>
      <c r="Z209" s="1">
        <f ca="1">IFERROR(__xludf.DUMMYFUNCTION("""COMPUTED_VALUE"""),356)</f>
        <v>356</v>
      </c>
      <c r="AA209" s="1">
        <f ca="1">IFERROR(__xludf.DUMMYFUNCTION("""COMPUTED_VALUE"""),1018)</f>
        <v>1018</v>
      </c>
      <c r="AB209" s="1">
        <f ca="1">IFERROR(__xludf.DUMMYFUNCTION("""COMPUTED_VALUE"""),397)</f>
        <v>397</v>
      </c>
      <c r="AC209" s="1">
        <f ca="1">IFERROR(__xludf.DUMMYFUNCTION("""COMPUTED_VALUE"""),210)</f>
        <v>210</v>
      </c>
      <c r="AD209" s="1">
        <f ca="1">IFERROR(__xludf.DUMMYFUNCTION("""COMPUTED_VALUE"""),103)</f>
        <v>103</v>
      </c>
      <c r="AE209" s="1">
        <f ca="1">IFERROR(__xludf.DUMMYFUNCTION("""COMPUTED_VALUE"""),433)</f>
        <v>433</v>
      </c>
      <c r="AF209" s="1">
        <f ca="1">IFERROR(__xludf.DUMMYFUNCTION("""COMPUTED_VALUE"""),536)</f>
        <v>536</v>
      </c>
    </row>
    <row r="210" spans="1:32" ht="12.5" x14ac:dyDescent="0.25">
      <c r="A210" s="1" t="str">
        <f ca="1">IFERROR(__xludf.DUMMYFUNCTION("""COMPUTED_VALUE"""),"Navy")</f>
        <v>Navy</v>
      </c>
      <c r="B210" s="1">
        <f ca="1">IFERROR(__xludf.DUMMYFUNCTION("""COMPUTED_VALUE"""),31)</f>
        <v>31</v>
      </c>
      <c r="C210" s="1">
        <f ca="1">IFERROR(__xludf.DUMMYFUNCTION("""COMPUTED_VALUE"""),8)</f>
        <v>8</v>
      </c>
      <c r="D210" s="1">
        <f ca="1">IFERROR(__xludf.DUMMYFUNCTION("""COMPUTED_VALUE"""),23)</f>
        <v>23</v>
      </c>
      <c r="E210" s="1">
        <f ca="1">IFERROR(__xludf.DUMMYFUNCTION("""COMPUTED_VALUE"""),0.258)</f>
        <v>0.25800000000000001</v>
      </c>
      <c r="F210" s="1">
        <f ca="1">IFERROR(__xludf.DUMMYFUNCTION("""COMPUTED_VALUE"""),-11.31)</f>
        <v>-11.31</v>
      </c>
      <c r="G210" s="1">
        <f ca="1">IFERROR(__xludf.DUMMYFUNCTION("""COMPUTED_VALUE"""),-4.44)</f>
        <v>-4.4400000000000004</v>
      </c>
      <c r="H210" s="1">
        <f ca="1">IFERROR(__xludf.DUMMYFUNCTION("""COMPUTED_VALUE"""),2)</f>
        <v>2</v>
      </c>
      <c r="I210" s="1">
        <f ca="1">IFERROR(__xludf.DUMMYFUNCTION("""COMPUTED_VALUE"""),12)</f>
        <v>12</v>
      </c>
      <c r="J210" s="1">
        <f ca="1">IFERROR(__xludf.DUMMYFUNCTION("""COMPUTED_VALUE"""),5)</f>
        <v>5</v>
      </c>
      <c r="K210" s="1">
        <f ca="1">IFERROR(__xludf.DUMMYFUNCTION("""COMPUTED_VALUE"""),9)</f>
        <v>9</v>
      </c>
      <c r="L210" s="1">
        <f ca="1">IFERROR(__xludf.DUMMYFUNCTION("""COMPUTED_VALUE"""),2)</f>
        <v>2</v>
      </c>
      <c r="M210" s="1">
        <f ca="1">IFERROR(__xludf.DUMMYFUNCTION("""COMPUTED_VALUE"""),13)</f>
        <v>13</v>
      </c>
      <c r="N210" s="1">
        <f ca="1">IFERROR(__xludf.DUMMYFUNCTION("""COMPUTED_VALUE"""),1709)</f>
        <v>1709</v>
      </c>
      <c r="O210" s="1">
        <f ca="1">IFERROR(__xludf.DUMMYFUNCTION("""COMPUTED_VALUE"""),1888)</f>
        <v>1888</v>
      </c>
      <c r="P210" s="1">
        <f ca="1">IFERROR(__xludf.DUMMYFUNCTION("""COMPUTED_VALUE"""),1245)</f>
        <v>1245</v>
      </c>
      <c r="Q210" s="1">
        <f ca="1">IFERROR(__xludf.DUMMYFUNCTION("""COMPUTED_VALUE"""),628)</f>
        <v>628</v>
      </c>
      <c r="R210" s="1">
        <f ca="1">IFERROR(__xludf.DUMMYFUNCTION("""COMPUTED_VALUE"""),1605)</f>
        <v>1605</v>
      </c>
      <c r="S210" s="1">
        <f ca="1">IFERROR(__xludf.DUMMYFUNCTION("""COMPUTED_VALUE"""),0.391)</f>
        <v>0.39100000000000001</v>
      </c>
      <c r="T210" s="1">
        <f ca="1">IFERROR(__xludf.DUMMYFUNCTION("""COMPUTED_VALUE"""),172)</f>
        <v>172</v>
      </c>
      <c r="U210" s="1">
        <f ca="1">IFERROR(__xludf.DUMMYFUNCTION("""COMPUTED_VALUE"""),528)</f>
        <v>528</v>
      </c>
      <c r="V210" s="1">
        <f ca="1">IFERROR(__xludf.DUMMYFUNCTION("""COMPUTED_VALUE"""),0.326)</f>
        <v>0.32600000000000001</v>
      </c>
      <c r="W210" s="1">
        <f ca="1">IFERROR(__xludf.DUMMYFUNCTION("""COMPUTED_VALUE"""),281)</f>
        <v>281</v>
      </c>
      <c r="X210" s="1">
        <f ca="1">IFERROR(__xludf.DUMMYFUNCTION("""COMPUTED_VALUE"""),448)</f>
        <v>448</v>
      </c>
      <c r="Y210" s="1">
        <f ca="1">IFERROR(__xludf.DUMMYFUNCTION("""COMPUTED_VALUE"""),0.627)</f>
        <v>0.627</v>
      </c>
      <c r="Z210" s="1">
        <f ca="1">IFERROR(__xludf.DUMMYFUNCTION("""COMPUTED_VALUE"""),280)</f>
        <v>280</v>
      </c>
      <c r="AA210" s="1">
        <f ca="1">IFERROR(__xludf.DUMMYFUNCTION("""COMPUTED_VALUE"""),817)</f>
        <v>817</v>
      </c>
      <c r="AB210" s="1">
        <f ca="1">IFERROR(__xludf.DUMMYFUNCTION("""COMPUTED_VALUE"""),364)</f>
        <v>364</v>
      </c>
      <c r="AC210" s="1">
        <f ca="1">IFERROR(__xludf.DUMMYFUNCTION("""COMPUTED_VALUE"""),183)</f>
        <v>183</v>
      </c>
      <c r="AD210" s="1">
        <f ca="1">IFERROR(__xludf.DUMMYFUNCTION("""COMPUTED_VALUE"""),68)</f>
        <v>68</v>
      </c>
      <c r="AE210" s="1">
        <f ca="1">IFERROR(__xludf.DUMMYFUNCTION("""COMPUTED_VALUE"""),351)</f>
        <v>351</v>
      </c>
      <c r="AF210" s="1">
        <f ca="1">IFERROR(__xludf.DUMMYFUNCTION("""COMPUTED_VALUE"""),525)</f>
        <v>525</v>
      </c>
    </row>
    <row r="211" spans="1:32" ht="12.5" x14ac:dyDescent="0.25">
      <c r="A211" s="1" t="str">
        <f ca="1">IFERROR(__xludf.DUMMYFUNCTION("""COMPUTED_VALUE"""),"Omaha")</f>
        <v>Omaha</v>
      </c>
      <c r="B211" s="1">
        <f ca="1">IFERROR(__xludf.DUMMYFUNCTION("""COMPUTED_VALUE"""),31)</f>
        <v>31</v>
      </c>
      <c r="C211" s="1">
        <f ca="1">IFERROR(__xludf.DUMMYFUNCTION("""COMPUTED_VALUE"""),11)</f>
        <v>11</v>
      </c>
      <c r="D211" s="1">
        <f ca="1">IFERROR(__xludf.DUMMYFUNCTION("""COMPUTED_VALUE"""),20)</f>
        <v>20</v>
      </c>
      <c r="E211" s="1">
        <f ca="1">IFERROR(__xludf.DUMMYFUNCTION("""COMPUTED_VALUE"""),0.355)</f>
        <v>0.35499999999999998</v>
      </c>
      <c r="F211" s="1">
        <f ca="1">IFERROR(__xludf.DUMMYFUNCTION("""COMPUTED_VALUE"""),-15.18)</f>
        <v>-15.18</v>
      </c>
      <c r="G211" s="1">
        <f ca="1">IFERROR(__xludf.DUMMYFUNCTION("""COMPUTED_VALUE"""),-3.9)</f>
        <v>-3.9</v>
      </c>
      <c r="H211" s="1">
        <f ca="1">IFERROR(__xludf.DUMMYFUNCTION("""COMPUTED_VALUE"""),6)</f>
        <v>6</v>
      </c>
      <c r="I211" s="1">
        <f ca="1">IFERROR(__xludf.DUMMYFUNCTION("""COMPUTED_VALUE"""),10)</f>
        <v>10</v>
      </c>
      <c r="J211" s="1">
        <f ca="1">IFERROR(__xludf.DUMMYFUNCTION("""COMPUTED_VALUE"""),7)</f>
        <v>7</v>
      </c>
      <c r="K211" s="1">
        <f ca="1">IFERROR(__xludf.DUMMYFUNCTION("""COMPUTED_VALUE"""),6)</f>
        <v>6</v>
      </c>
      <c r="L211" s="1">
        <f ca="1">IFERROR(__xludf.DUMMYFUNCTION("""COMPUTED_VALUE"""),3)</f>
        <v>3</v>
      </c>
      <c r="M211" s="1">
        <f ca="1">IFERROR(__xludf.DUMMYFUNCTION("""COMPUTED_VALUE"""),13)</f>
        <v>13</v>
      </c>
      <c r="N211" s="1">
        <f ca="1">IFERROR(__xludf.DUMMYFUNCTION("""COMPUTED_VALUE"""),2215)</f>
        <v>2215</v>
      </c>
      <c r="O211" s="1">
        <f ca="1">IFERROR(__xludf.DUMMYFUNCTION("""COMPUTED_VALUE"""),2548)</f>
        <v>2548</v>
      </c>
      <c r="P211" s="1">
        <f ca="1">IFERROR(__xludf.DUMMYFUNCTION("""COMPUTED_VALUE"""),1240)</f>
        <v>1240</v>
      </c>
      <c r="Q211" s="1">
        <f ca="1">IFERROR(__xludf.DUMMYFUNCTION("""COMPUTED_VALUE"""),826)</f>
        <v>826</v>
      </c>
      <c r="R211" s="1">
        <f ca="1">IFERROR(__xludf.DUMMYFUNCTION("""COMPUTED_VALUE"""),1786)</f>
        <v>1786</v>
      </c>
      <c r="S211" s="1">
        <f ca="1">IFERROR(__xludf.DUMMYFUNCTION("""COMPUTED_VALUE"""),0.462)</f>
        <v>0.46200000000000002</v>
      </c>
      <c r="T211" s="1">
        <f ca="1">IFERROR(__xludf.DUMMYFUNCTION("""COMPUTED_VALUE"""),189)</f>
        <v>189</v>
      </c>
      <c r="U211" s="1">
        <f ca="1">IFERROR(__xludf.DUMMYFUNCTION("""COMPUTED_VALUE"""),528)</f>
        <v>528</v>
      </c>
      <c r="V211" s="1">
        <f ca="1">IFERROR(__xludf.DUMMYFUNCTION("""COMPUTED_VALUE"""),0.358)</f>
        <v>0.35799999999999998</v>
      </c>
      <c r="W211" s="1">
        <f ca="1">IFERROR(__xludf.DUMMYFUNCTION("""COMPUTED_VALUE"""),374)</f>
        <v>374</v>
      </c>
      <c r="X211" s="1">
        <f ca="1">IFERROR(__xludf.DUMMYFUNCTION("""COMPUTED_VALUE"""),536)</f>
        <v>536</v>
      </c>
      <c r="Y211" s="1">
        <f ca="1">IFERROR(__xludf.DUMMYFUNCTION("""COMPUTED_VALUE"""),0.698)</f>
        <v>0.69799999999999995</v>
      </c>
      <c r="Z211" s="1">
        <f ca="1">IFERROR(__xludf.DUMMYFUNCTION("""COMPUTED_VALUE"""),262)</f>
        <v>262</v>
      </c>
      <c r="AA211" s="1">
        <f ca="1">IFERROR(__xludf.DUMMYFUNCTION("""COMPUTED_VALUE"""),865)</f>
        <v>865</v>
      </c>
      <c r="AB211" s="1">
        <f ca="1">IFERROR(__xludf.DUMMYFUNCTION("""COMPUTED_VALUE"""),409)</f>
        <v>409</v>
      </c>
      <c r="AC211" s="1">
        <f ca="1">IFERROR(__xludf.DUMMYFUNCTION("""COMPUTED_VALUE"""),205)</f>
        <v>205</v>
      </c>
      <c r="AD211" s="1">
        <f ca="1">IFERROR(__xludf.DUMMYFUNCTION("""COMPUTED_VALUE"""),86)</f>
        <v>86</v>
      </c>
      <c r="AE211" s="1">
        <f ca="1">IFERROR(__xludf.DUMMYFUNCTION("""COMPUTED_VALUE"""),453)</f>
        <v>453</v>
      </c>
      <c r="AF211" s="1">
        <f ca="1">IFERROR(__xludf.DUMMYFUNCTION("""COMPUTED_VALUE"""),527)</f>
        <v>527</v>
      </c>
    </row>
    <row r="212" spans="1:32" ht="12.5" x14ac:dyDescent="0.25">
      <c r="A212" s="1" t="str">
        <f ca="1">IFERROR(__xludf.DUMMYFUNCTION("""COMPUTED_VALUE"""),"Nebraska")</f>
        <v>Nebraska</v>
      </c>
      <c r="B212" s="1">
        <f ca="1">IFERROR(__xludf.DUMMYFUNCTION("""COMPUTED_VALUE"""),33)</f>
        <v>33</v>
      </c>
      <c r="C212" s="1">
        <f ca="1">IFERROR(__xludf.DUMMYFUNCTION("""COMPUTED_VALUE"""),15)</f>
        <v>15</v>
      </c>
      <c r="D212" s="1">
        <f ca="1">IFERROR(__xludf.DUMMYFUNCTION("""COMPUTED_VALUE"""),18)</f>
        <v>18</v>
      </c>
      <c r="E212" s="1">
        <f ca="1">IFERROR(__xludf.DUMMYFUNCTION("""COMPUTED_VALUE"""),0.455)</f>
        <v>0.45500000000000002</v>
      </c>
      <c r="F212" s="1">
        <f ca="1">IFERROR(__xludf.DUMMYFUNCTION("""COMPUTED_VALUE"""),4.4)</f>
        <v>4.4000000000000004</v>
      </c>
      <c r="G212" s="1">
        <f ca="1">IFERROR(__xludf.DUMMYFUNCTION("""COMPUTED_VALUE"""),9.59)</f>
        <v>9.59</v>
      </c>
      <c r="H212" s="1">
        <f ca="1">IFERROR(__xludf.DUMMYFUNCTION("""COMPUTED_VALUE"""),5)</f>
        <v>5</v>
      </c>
      <c r="I212" s="1">
        <f ca="1">IFERROR(__xludf.DUMMYFUNCTION("""COMPUTED_VALUE"""),13)</f>
        <v>13</v>
      </c>
      <c r="J212" s="1">
        <f ca="1">IFERROR(__xludf.DUMMYFUNCTION("""COMPUTED_VALUE"""),11)</f>
        <v>11</v>
      </c>
      <c r="K212" s="1">
        <f ca="1">IFERROR(__xludf.DUMMYFUNCTION("""COMPUTED_VALUE"""),7)</f>
        <v>7</v>
      </c>
      <c r="L212" s="1">
        <f ca="1">IFERROR(__xludf.DUMMYFUNCTION("""COMPUTED_VALUE"""),2)</f>
        <v>2</v>
      </c>
      <c r="M212" s="1">
        <f ca="1">IFERROR(__xludf.DUMMYFUNCTION("""COMPUTED_VALUE"""),9)</f>
        <v>9</v>
      </c>
      <c r="N212" s="1">
        <f ca="1">IFERROR(__xludf.DUMMYFUNCTION("""COMPUTED_VALUE"""),1923)</f>
        <v>1923</v>
      </c>
      <c r="O212" s="1">
        <f ca="1">IFERROR(__xludf.DUMMYFUNCTION("""COMPUTED_VALUE"""),2094)</f>
        <v>2094</v>
      </c>
      <c r="P212" s="1">
        <f ca="1">IFERROR(__xludf.DUMMYFUNCTION("""COMPUTED_VALUE"""),1320)</f>
        <v>1320</v>
      </c>
      <c r="Q212" s="1">
        <f ca="1">IFERROR(__xludf.DUMMYFUNCTION("""COMPUTED_VALUE"""),708)</f>
        <v>708</v>
      </c>
      <c r="R212" s="1">
        <f ca="1">IFERROR(__xludf.DUMMYFUNCTION("""COMPUTED_VALUE"""),1741)</f>
        <v>1741</v>
      </c>
      <c r="S212" s="1">
        <f ca="1">IFERROR(__xludf.DUMMYFUNCTION("""COMPUTED_VALUE"""),0.407)</f>
        <v>0.40699999999999997</v>
      </c>
      <c r="T212" s="1">
        <f ca="1">IFERROR(__xludf.DUMMYFUNCTION("""COMPUTED_VALUE"""),165)</f>
        <v>165</v>
      </c>
      <c r="U212" s="1">
        <f ca="1">IFERROR(__xludf.DUMMYFUNCTION("""COMPUTED_VALUE"""),537)</f>
        <v>537</v>
      </c>
      <c r="V212" s="1">
        <f ca="1">IFERROR(__xludf.DUMMYFUNCTION("""COMPUTED_VALUE"""),0.307)</f>
        <v>0.307</v>
      </c>
      <c r="W212" s="1">
        <f ca="1">IFERROR(__xludf.DUMMYFUNCTION("""COMPUTED_VALUE"""),342)</f>
        <v>342</v>
      </c>
      <c r="X212" s="1">
        <f ca="1">IFERROR(__xludf.DUMMYFUNCTION("""COMPUTED_VALUE"""),494)</f>
        <v>494</v>
      </c>
      <c r="Y212" s="1">
        <f ca="1">IFERROR(__xludf.DUMMYFUNCTION("""COMPUTED_VALUE"""),0.692)</f>
        <v>0.69199999999999995</v>
      </c>
      <c r="Z212" s="1">
        <f ca="1">IFERROR(__xludf.DUMMYFUNCTION("""COMPUTED_VALUE"""),293)</f>
        <v>293</v>
      </c>
      <c r="AA212" s="1">
        <f ca="1">IFERROR(__xludf.DUMMYFUNCTION("""COMPUTED_VALUE"""),924)</f>
        <v>924</v>
      </c>
      <c r="AB212" s="1">
        <f ca="1">IFERROR(__xludf.DUMMYFUNCTION("""COMPUTED_VALUE"""),325)</f>
        <v>325</v>
      </c>
      <c r="AC212" s="1">
        <f ca="1">IFERROR(__xludf.DUMMYFUNCTION("""COMPUTED_VALUE"""),167)</f>
        <v>167</v>
      </c>
      <c r="AD212" s="1">
        <f ca="1">IFERROR(__xludf.DUMMYFUNCTION("""COMPUTED_VALUE"""),103)</f>
        <v>103</v>
      </c>
      <c r="AE212" s="1">
        <f ca="1">IFERROR(__xludf.DUMMYFUNCTION("""COMPUTED_VALUE"""),352)</f>
        <v>352</v>
      </c>
      <c r="AF212" s="1">
        <f ca="1">IFERROR(__xludf.DUMMYFUNCTION("""COMPUTED_VALUE"""),571)</f>
        <v>571</v>
      </c>
    </row>
    <row r="213" spans="1:32" ht="12.5" x14ac:dyDescent="0.25">
      <c r="A213" s="1" t="str">
        <f ca="1">IFERROR(__xludf.DUMMYFUNCTION("""COMPUTED_VALUE"""),"Nevada-Las VegasNCAA")</f>
        <v>Nevada-Las VegasNCAA</v>
      </c>
      <c r="B213" s="1">
        <f ca="1">IFERROR(__xludf.DUMMYFUNCTION("""COMPUTED_VALUE"""),35)</f>
        <v>35</v>
      </c>
      <c r="C213" s="1">
        <f ca="1">IFERROR(__xludf.DUMMYFUNCTION("""COMPUTED_VALUE"""),25)</f>
        <v>25</v>
      </c>
      <c r="D213" s="1">
        <f ca="1">IFERROR(__xludf.DUMMYFUNCTION("""COMPUTED_VALUE"""),10)</f>
        <v>10</v>
      </c>
      <c r="E213" s="1">
        <f ca="1">IFERROR(__xludf.DUMMYFUNCTION("""COMPUTED_VALUE"""),0.714)</f>
        <v>0.71399999999999997</v>
      </c>
      <c r="F213" s="1">
        <f ca="1">IFERROR(__xludf.DUMMYFUNCTION("""COMPUTED_VALUE"""),12.92)</f>
        <v>12.92</v>
      </c>
      <c r="G213" s="1">
        <f ca="1">IFERROR(__xludf.DUMMYFUNCTION("""COMPUTED_VALUE"""),5.71)</f>
        <v>5.71</v>
      </c>
      <c r="H213" s="1">
        <f ca="1">IFERROR(__xludf.DUMMYFUNCTION("""COMPUTED_VALUE"""),10)</f>
        <v>10</v>
      </c>
      <c r="I213" s="1">
        <f ca="1">IFERROR(__xludf.DUMMYFUNCTION("""COMPUTED_VALUE"""),6)</f>
        <v>6</v>
      </c>
      <c r="J213" s="1">
        <f ca="1">IFERROR(__xludf.DUMMYFUNCTION("""COMPUTED_VALUE"""),17)</f>
        <v>17</v>
      </c>
      <c r="K213" s="1">
        <f ca="1">IFERROR(__xludf.DUMMYFUNCTION("""COMPUTED_VALUE"""),2)</f>
        <v>2</v>
      </c>
      <c r="L213" s="1">
        <f ca="1">IFERROR(__xludf.DUMMYFUNCTION("""COMPUTED_VALUE"""),6)</f>
        <v>6</v>
      </c>
      <c r="M213" s="1">
        <f ca="1">IFERROR(__xludf.DUMMYFUNCTION("""COMPUTED_VALUE"""),6)</f>
        <v>6</v>
      </c>
      <c r="N213" s="1">
        <f ca="1">IFERROR(__xludf.DUMMYFUNCTION("""COMPUTED_VALUE"""),2498)</f>
        <v>2498</v>
      </c>
      <c r="O213" s="1">
        <f ca="1">IFERROR(__xludf.DUMMYFUNCTION("""COMPUTED_VALUE"""),2206)</f>
        <v>2206</v>
      </c>
      <c r="P213" s="1">
        <f ca="1">IFERROR(__xludf.DUMMYFUNCTION("""COMPUTED_VALUE"""),1405)</f>
        <v>1405</v>
      </c>
      <c r="Q213" s="1">
        <f ca="1">IFERROR(__xludf.DUMMYFUNCTION("""COMPUTED_VALUE"""),872)</f>
        <v>872</v>
      </c>
      <c r="R213" s="1">
        <f ca="1">IFERROR(__xludf.DUMMYFUNCTION("""COMPUTED_VALUE"""),2002)</f>
        <v>2002</v>
      </c>
      <c r="S213" s="1">
        <f ca="1">IFERROR(__xludf.DUMMYFUNCTION("""COMPUTED_VALUE"""),0.436)</f>
        <v>0.436</v>
      </c>
      <c r="T213" s="1">
        <f ca="1">IFERROR(__xludf.DUMMYFUNCTION("""COMPUTED_VALUE"""),227)</f>
        <v>227</v>
      </c>
      <c r="U213" s="1">
        <f ca="1">IFERROR(__xludf.DUMMYFUNCTION("""COMPUTED_VALUE"""),689)</f>
        <v>689</v>
      </c>
      <c r="V213" s="1">
        <f ca="1">IFERROR(__xludf.DUMMYFUNCTION("""COMPUTED_VALUE"""),0.329)</f>
        <v>0.32900000000000001</v>
      </c>
      <c r="W213" s="1">
        <f ca="1">IFERROR(__xludf.DUMMYFUNCTION("""COMPUTED_VALUE"""),525)</f>
        <v>525</v>
      </c>
      <c r="X213" s="1">
        <f ca="1">IFERROR(__xludf.DUMMYFUNCTION("""COMPUTED_VALUE"""),747)</f>
        <v>747</v>
      </c>
      <c r="Y213" s="1">
        <f ca="1">IFERROR(__xludf.DUMMYFUNCTION("""COMPUTED_VALUE"""),0.703)</f>
        <v>0.70299999999999996</v>
      </c>
      <c r="Z213" s="1">
        <f ca="1">IFERROR(__xludf.DUMMYFUNCTION("""COMPUTED_VALUE"""),418)</f>
        <v>418</v>
      </c>
      <c r="AA213" s="1">
        <f ca="1">IFERROR(__xludf.DUMMYFUNCTION("""COMPUTED_VALUE"""),1281)</f>
        <v>1281</v>
      </c>
      <c r="AB213" s="1">
        <f ca="1">IFERROR(__xludf.DUMMYFUNCTION("""COMPUTED_VALUE"""),562)</f>
        <v>562</v>
      </c>
      <c r="AC213" s="1">
        <f ca="1">IFERROR(__xludf.DUMMYFUNCTION("""COMPUTED_VALUE"""),253)</f>
        <v>253</v>
      </c>
      <c r="AD213" s="1">
        <f ca="1">IFERROR(__xludf.DUMMYFUNCTION("""COMPUTED_VALUE"""),203)</f>
        <v>203</v>
      </c>
      <c r="AE213" s="1">
        <f ca="1">IFERROR(__xludf.DUMMYFUNCTION("""COMPUTED_VALUE"""),487)</f>
        <v>487</v>
      </c>
      <c r="AF213" s="1">
        <f ca="1">IFERROR(__xludf.DUMMYFUNCTION("""COMPUTED_VALUE"""),593)</f>
        <v>593</v>
      </c>
    </row>
    <row r="214" spans="1:32" ht="12.5" x14ac:dyDescent="0.25">
      <c r="A214" s="1" t="str">
        <f ca="1">IFERROR(__xludf.DUMMYFUNCTION("""COMPUTED_VALUE"""),"Nevada")</f>
        <v>Nevada</v>
      </c>
      <c r="B214" s="1">
        <f ca="1">IFERROR(__xludf.DUMMYFUNCTION("""COMPUTED_VALUE"""),31)</f>
        <v>31</v>
      </c>
      <c r="C214" s="1">
        <f ca="1">IFERROR(__xludf.DUMMYFUNCTION("""COMPUTED_VALUE"""),12)</f>
        <v>12</v>
      </c>
      <c r="D214" s="1">
        <f ca="1">IFERROR(__xludf.DUMMYFUNCTION("""COMPUTED_VALUE"""),19)</f>
        <v>19</v>
      </c>
      <c r="E214" s="1">
        <f ca="1">IFERROR(__xludf.DUMMYFUNCTION("""COMPUTED_VALUE"""),0.387)</f>
        <v>0.38700000000000001</v>
      </c>
      <c r="F214" s="1">
        <f ca="1">IFERROR(__xludf.DUMMYFUNCTION("""COMPUTED_VALUE"""),0.45)</f>
        <v>0.45</v>
      </c>
      <c r="G214" s="1">
        <f ca="1">IFERROR(__xludf.DUMMYFUNCTION("""COMPUTED_VALUE"""),5.35)</f>
        <v>5.35</v>
      </c>
      <c r="H214" s="1">
        <f ca="1">IFERROR(__xludf.DUMMYFUNCTION("""COMPUTED_VALUE"""),3)</f>
        <v>3</v>
      </c>
      <c r="I214" s="1">
        <f ca="1">IFERROR(__xludf.DUMMYFUNCTION("""COMPUTED_VALUE"""),13)</f>
        <v>13</v>
      </c>
      <c r="J214" s="1">
        <f ca="1">IFERROR(__xludf.DUMMYFUNCTION("""COMPUTED_VALUE"""),10)</f>
        <v>10</v>
      </c>
      <c r="K214" s="1">
        <f ca="1">IFERROR(__xludf.DUMMYFUNCTION("""COMPUTED_VALUE"""),7)</f>
        <v>7</v>
      </c>
      <c r="L214" s="1">
        <f ca="1">IFERROR(__xludf.DUMMYFUNCTION("""COMPUTED_VALUE"""),2)</f>
        <v>2</v>
      </c>
      <c r="M214" s="1">
        <f ca="1">IFERROR(__xludf.DUMMYFUNCTION("""COMPUTED_VALUE"""),11)</f>
        <v>11</v>
      </c>
      <c r="N214" s="1">
        <f ca="1">IFERROR(__xludf.DUMMYFUNCTION("""COMPUTED_VALUE"""),2092)</f>
        <v>2092</v>
      </c>
      <c r="O214" s="1">
        <f ca="1">IFERROR(__xludf.DUMMYFUNCTION("""COMPUTED_VALUE"""),2229)</f>
        <v>2229</v>
      </c>
      <c r="P214" s="1">
        <f ca="1">IFERROR(__xludf.DUMMYFUNCTION("""COMPUTED_VALUE"""),1250)</f>
        <v>1250</v>
      </c>
      <c r="Q214" s="1">
        <f ca="1">IFERROR(__xludf.DUMMYFUNCTION("""COMPUTED_VALUE"""),703)</f>
        <v>703</v>
      </c>
      <c r="R214" s="1">
        <f ca="1">IFERROR(__xludf.DUMMYFUNCTION("""COMPUTED_VALUE"""),1671)</f>
        <v>1671</v>
      </c>
      <c r="S214" s="1">
        <f ca="1">IFERROR(__xludf.DUMMYFUNCTION("""COMPUTED_VALUE"""),0.421)</f>
        <v>0.42099999999999999</v>
      </c>
      <c r="T214" s="1">
        <f ca="1">IFERROR(__xludf.DUMMYFUNCTION("""COMPUTED_VALUE"""),183)</f>
        <v>183</v>
      </c>
      <c r="U214" s="1">
        <f ca="1">IFERROR(__xludf.DUMMYFUNCTION("""COMPUTED_VALUE"""),595)</f>
        <v>595</v>
      </c>
      <c r="V214" s="1">
        <f ca="1">IFERROR(__xludf.DUMMYFUNCTION("""COMPUTED_VALUE"""),0.308)</f>
        <v>0.308</v>
      </c>
      <c r="W214" s="1">
        <f ca="1">IFERROR(__xludf.DUMMYFUNCTION("""COMPUTED_VALUE"""),503)</f>
        <v>503</v>
      </c>
      <c r="X214" s="1">
        <f ca="1">IFERROR(__xludf.DUMMYFUNCTION("""COMPUTED_VALUE"""),690)</f>
        <v>690</v>
      </c>
      <c r="Y214" s="1">
        <f ca="1">IFERROR(__xludf.DUMMYFUNCTION("""COMPUTED_VALUE"""),0.729)</f>
        <v>0.72899999999999998</v>
      </c>
      <c r="Z214" s="1">
        <f ca="1">IFERROR(__xludf.DUMMYFUNCTION("""COMPUTED_VALUE"""),310)</f>
        <v>310</v>
      </c>
      <c r="AA214" s="1">
        <f ca="1">IFERROR(__xludf.DUMMYFUNCTION("""COMPUTED_VALUE"""),901)</f>
        <v>901</v>
      </c>
      <c r="AB214" s="1">
        <f ca="1">IFERROR(__xludf.DUMMYFUNCTION("""COMPUTED_VALUE"""),351)</f>
        <v>351</v>
      </c>
      <c r="AC214" s="1">
        <f ca="1">IFERROR(__xludf.DUMMYFUNCTION("""COMPUTED_VALUE"""),172)</f>
        <v>172</v>
      </c>
      <c r="AD214" s="1">
        <f ca="1">IFERROR(__xludf.DUMMYFUNCTION("""COMPUTED_VALUE"""),99)</f>
        <v>99</v>
      </c>
      <c r="AE214" s="1">
        <f ca="1">IFERROR(__xludf.DUMMYFUNCTION("""COMPUTED_VALUE"""),396)</f>
        <v>396</v>
      </c>
      <c r="AF214" s="1">
        <f ca="1">IFERROR(__xludf.DUMMYFUNCTION("""COMPUTED_VALUE"""),590)</f>
        <v>590</v>
      </c>
    </row>
    <row r="215" spans="1:32" ht="12.5" x14ac:dyDescent="0.25">
      <c r="A215" s="1" t="str">
        <f ca="1">IFERROR(__xludf.DUMMYFUNCTION("""COMPUTED_VALUE"""),"New Hampshire")</f>
        <v>New Hampshire</v>
      </c>
      <c r="B215" s="1">
        <f ca="1">IFERROR(__xludf.DUMMYFUNCTION("""COMPUTED_VALUE"""),29)</f>
        <v>29</v>
      </c>
      <c r="C215" s="1">
        <f ca="1">IFERROR(__xludf.DUMMYFUNCTION("""COMPUTED_VALUE"""),9)</f>
        <v>9</v>
      </c>
      <c r="D215" s="1">
        <f ca="1">IFERROR(__xludf.DUMMYFUNCTION("""COMPUTED_VALUE"""),20)</f>
        <v>20</v>
      </c>
      <c r="E215" s="1">
        <f ca="1">IFERROR(__xludf.DUMMYFUNCTION("""COMPUTED_VALUE"""),0.31)</f>
        <v>0.31</v>
      </c>
      <c r="F215" s="1">
        <f ca="1">IFERROR(__xludf.DUMMYFUNCTION("""COMPUTED_VALUE"""),-8.26)</f>
        <v>-8.26</v>
      </c>
      <c r="G215" s="1">
        <f ca="1">IFERROR(__xludf.DUMMYFUNCTION("""COMPUTED_VALUE"""),-4.19)</f>
        <v>-4.1900000000000004</v>
      </c>
      <c r="H215" s="1">
        <f ca="1">IFERROR(__xludf.DUMMYFUNCTION("""COMPUTED_VALUE"""),5)</f>
        <v>5</v>
      </c>
      <c r="I215" s="1">
        <f ca="1">IFERROR(__xludf.DUMMYFUNCTION("""COMPUTED_VALUE"""),11)</f>
        <v>11</v>
      </c>
      <c r="J215" s="1">
        <f ca="1">IFERROR(__xludf.DUMMYFUNCTION("""COMPUTED_VALUE"""),6)</f>
        <v>6</v>
      </c>
      <c r="K215" s="1">
        <f ca="1">IFERROR(__xludf.DUMMYFUNCTION("""COMPUTED_VALUE"""),6)</f>
        <v>6</v>
      </c>
      <c r="L215" s="1">
        <f ca="1">IFERROR(__xludf.DUMMYFUNCTION("""COMPUTED_VALUE"""),3)</f>
        <v>3</v>
      </c>
      <c r="M215" s="1">
        <f ca="1">IFERROR(__xludf.DUMMYFUNCTION("""COMPUTED_VALUE"""),13)</f>
        <v>13</v>
      </c>
      <c r="N215" s="1">
        <f ca="1">IFERROR(__xludf.DUMMYFUNCTION("""COMPUTED_VALUE"""),1745)</f>
        <v>1745</v>
      </c>
      <c r="O215" s="1">
        <f ca="1">IFERROR(__xludf.DUMMYFUNCTION("""COMPUTED_VALUE"""),1819)</f>
        <v>1819</v>
      </c>
      <c r="P215" s="1">
        <f ca="1">IFERROR(__xludf.DUMMYFUNCTION("""COMPUTED_VALUE"""),1169)</f>
        <v>1169</v>
      </c>
      <c r="Q215" s="1">
        <f ca="1">IFERROR(__xludf.DUMMYFUNCTION("""COMPUTED_VALUE"""),609)</f>
        <v>609</v>
      </c>
      <c r="R215" s="1">
        <f ca="1">IFERROR(__xludf.DUMMYFUNCTION("""COMPUTED_VALUE"""),1566)</f>
        <v>1566</v>
      </c>
      <c r="S215" s="1">
        <f ca="1">IFERROR(__xludf.DUMMYFUNCTION("""COMPUTED_VALUE"""),0.389)</f>
        <v>0.38900000000000001</v>
      </c>
      <c r="T215" s="1">
        <f ca="1">IFERROR(__xludf.DUMMYFUNCTION("""COMPUTED_VALUE"""),179)</f>
        <v>179</v>
      </c>
      <c r="U215" s="1">
        <f ca="1">IFERROR(__xludf.DUMMYFUNCTION("""COMPUTED_VALUE"""),581)</f>
        <v>581</v>
      </c>
      <c r="V215" s="1">
        <f ca="1">IFERROR(__xludf.DUMMYFUNCTION("""COMPUTED_VALUE"""),0.308)</f>
        <v>0.308</v>
      </c>
      <c r="W215" s="1">
        <f ca="1">IFERROR(__xludf.DUMMYFUNCTION("""COMPUTED_VALUE"""),348)</f>
        <v>348</v>
      </c>
      <c r="X215" s="1">
        <f ca="1">IFERROR(__xludf.DUMMYFUNCTION("""COMPUTED_VALUE"""),545)</f>
        <v>545</v>
      </c>
      <c r="Y215" s="1">
        <f ca="1">IFERROR(__xludf.DUMMYFUNCTION("""COMPUTED_VALUE"""),0.639)</f>
        <v>0.63900000000000001</v>
      </c>
      <c r="Z215" s="1">
        <f ca="1">IFERROR(__xludf.DUMMYFUNCTION("""COMPUTED_VALUE"""),298)</f>
        <v>298</v>
      </c>
      <c r="AA215" s="1">
        <f ca="1">IFERROR(__xludf.DUMMYFUNCTION("""COMPUTED_VALUE"""),909)</f>
        <v>909</v>
      </c>
      <c r="AB215" s="1">
        <f ca="1">IFERROR(__xludf.DUMMYFUNCTION("""COMPUTED_VALUE"""),304)</f>
        <v>304</v>
      </c>
      <c r="AC215" s="1">
        <f ca="1">IFERROR(__xludf.DUMMYFUNCTION("""COMPUTED_VALUE"""),169)</f>
        <v>169</v>
      </c>
      <c r="AD215" s="1">
        <f ca="1">IFERROR(__xludf.DUMMYFUNCTION("""COMPUTED_VALUE"""),82)</f>
        <v>82</v>
      </c>
      <c r="AE215" s="1">
        <f ca="1">IFERROR(__xludf.DUMMYFUNCTION("""COMPUTED_VALUE"""),351)</f>
        <v>351</v>
      </c>
      <c r="AF215" s="1">
        <f ca="1">IFERROR(__xludf.DUMMYFUNCTION("""COMPUTED_VALUE"""),498)</f>
        <v>498</v>
      </c>
    </row>
    <row r="216" spans="1:32" ht="12.5" x14ac:dyDescent="0.25">
      <c r="A216" s="1" t="str">
        <f ca="1">IFERROR(__xludf.DUMMYFUNCTION("""COMPUTED_VALUE"""),"New Mexico StateNCAA")</f>
        <v>New Mexico StateNCAA</v>
      </c>
      <c r="B216" s="1">
        <f ca="1">IFERROR(__xludf.DUMMYFUNCTION("""COMPUTED_VALUE"""),35)</f>
        <v>35</v>
      </c>
      <c r="C216" s="1">
        <f ca="1">IFERROR(__xludf.DUMMYFUNCTION("""COMPUTED_VALUE"""),24)</f>
        <v>24</v>
      </c>
      <c r="D216" s="1">
        <f ca="1">IFERROR(__xludf.DUMMYFUNCTION("""COMPUTED_VALUE"""),11)</f>
        <v>11</v>
      </c>
      <c r="E216" s="1">
        <f ca="1">IFERROR(__xludf.DUMMYFUNCTION("""COMPUTED_VALUE"""),0.686)</f>
        <v>0.68600000000000005</v>
      </c>
      <c r="F216" s="1">
        <f ca="1">IFERROR(__xludf.DUMMYFUNCTION("""COMPUTED_VALUE"""),5.11)</f>
        <v>5.1100000000000003</v>
      </c>
      <c r="G216" s="1">
        <f ca="1">IFERROR(__xludf.DUMMYFUNCTION("""COMPUTED_VALUE"""),0.7)</f>
        <v>0.7</v>
      </c>
      <c r="H216" s="1">
        <f ca="1">IFERROR(__xludf.DUMMYFUNCTION("""COMPUTED_VALUE"""),14)</f>
        <v>14</v>
      </c>
      <c r="I216" s="1">
        <f ca="1">IFERROR(__xludf.DUMMYFUNCTION("""COMPUTED_VALUE"""),4)</f>
        <v>4</v>
      </c>
      <c r="J216" s="1">
        <f ca="1">IFERROR(__xludf.DUMMYFUNCTION("""COMPUTED_VALUE"""),15)</f>
        <v>15</v>
      </c>
      <c r="K216" s="1">
        <f ca="1">IFERROR(__xludf.DUMMYFUNCTION("""COMPUTED_VALUE"""),1)</f>
        <v>1</v>
      </c>
      <c r="L216" s="1">
        <f ca="1">IFERROR(__xludf.DUMMYFUNCTION("""COMPUTED_VALUE"""),6)</f>
        <v>6</v>
      </c>
      <c r="M216" s="1">
        <f ca="1">IFERROR(__xludf.DUMMYFUNCTION("""COMPUTED_VALUE"""),8)</f>
        <v>8</v>
      </c>
      <c r="N216" s="1">
        <f ca="1">IFERROR(__xludf.DUMMYFUNCTION("""COMPUTED_VALUE"""),2355)</f>
        <v>2355</v>
      </c>
      <c r="O216" s="1">
        <f ca="1">IFERROR(__xludf.DUMMYFUNCTION("""COMPUTED_VALUE"""),2175)</f>
        <v>2175</v>
      </c>
      <c r="P216" s="1">
        <f ca="1">IFERROR(__xludf.DUMMYFUNCTION("""COMPUTED_VALUE"""),1410)</f>
        <v>1410</v>
      </c>
      <c r="Q216" s="1">
        <f ca="1">IFERROR(__xludf.DUMMYFUNCTION("""COMPUTED_VALUE"""),832)</f>
        <v>832</v>
      </c>
      <c r="R216" s="1">
        <f ca="1">IFERROR(__xludf.DUMMYFUNCTION("""COMPUTED_VALUE"""),1828)</f>
        <v>1828</v>
      </c>
      <c r="S216" s="1">
        <f ca="1">IFERROR(__xludf.DUMMYFUNCTION("""COMPUTED_VALUE"""),0.455)</f>
        <v>0.45500000000000002</v>
      </c>
      <c r="T216" s="1">
        <f ca="1">IFERROR(__xludf.DUMMYFUNCTION("""COMPUTED_VALUE"""),137)</f>
        <v>137</v>
      </c>
      <c r="U216" s="1">
        <f ca="1">IFERROR(__xludf.DUMMYFUNCTION("""COMPUTED_VALUE"""),438)</f>
        <v>438</v>
      </c>
      <c r="V216" s="1">
        <f ca="1">IFERROR(__xludf.DUMMYFUNCTION("""COMPUTED_VALUE"""),0.313)</f>
        <v>0.313</v>
      </c>
      <c r="W216" s="1">
        <f ca="1">IFERROR(__xludf.DUMMYFUNCTION("""COMPUTED_VALUE"""),554)</f>
        <v>554</v>
      </c>
      <c r="X216" s="1">
        <f ca="1">IFERROR(__xludf.DUMMYFUNCTION("""COMPUTED_VALUE"""),845)</f>
        <v>845</v>
      </c>
      <c r="Y216" s="1">
        <f ca="1">IFERROR(__xludf.DUMMYFUNCTION("""COMPUTED_VALUE"""),0.656)</f>
        <v>0.65600000000000003</v>
      </c>
      <c r="Z216" s="1">
        <f ca="1">IFERROR(__xludf.DUMMYFUNCTION("""COMPUTED_VALUE"""),429)</f>
        <v>429</v>
      </c>
      <c r="AA216" s="1">
        <f ca="1">IFERROR(__xludf.DUMMYFUNCTION("""COMPUTED_VALUE"""),1235)</f>
        <v>1235</v>
      </c>
      <c r="AB216" s="1">
        <f ca="1">IFERROR(__xludf.DUMMYFUNCTION("""COMPUTED_VALUE"""),401)</f>
        <v>401</v>
      </c>
      <c r="AC216" s="1">
        <f ca="1">IFERROR(__xludf.DUMMYFUNCTION("""COMPUTED_VALUE"""),198)</f>
        <v>198</v>
      </c>
      <c r="AD216" s="1">
        <f ca="1">IFERROR(__xludf.DUMMYFUNCTION("""COMPUTED_VALUE"""),193)</f>
        <v>193</v>
      </c>
      <c r="AE216" s="1">
        <f ca="1">IFERROR(__xludf.DUMMYFUNCTION("""COMPUTED_VALUE"""),506)</f>
        <v>506</v>
      </c>
      <c r="AF216" s="1">
        <f ca="1">IFERROR(__xludf.DUMMYFUNCTION("""COMPUTED_VALUE"""),525)</f>
        <v>525</v>
      </c>
    </row>
    <row r="217" spans="1:32" ht="12.5" x14ac:dyDescent="0.25">
      <c r="A217" s="1" t="str">
        <f ca="1">IFERROR(__xludf.DUMMYFUNCTION("""COMPUTED_VALUE"""),"New MexicoNCAA")</f>
        <v>New MexicoNCAA</v>
      </c>
      <c r="B217" s="1">
        <f ca="1">IFERROR(__xludf.DUMMYFUNCTION("""COMPUTED_VALUE"""),35)</f>
        <v>35</v>
      </c>
      <c r="C217" s="1">
        <f ca="1">IFERROR(__xludf.DUMMYFUNCTION("""COMPUTED_VALUE"""),29)</f>
        <v>29</v>
      </c>
      <c r="D217" s="1">
        <f ca="1">IFERROR(__xludf.DUMMYFUNCTION("""COMPUTED_VALUE"""),6)</f>
        <v>6</v>
      </c>
      <c r="E217" s="1">
        <f ca="1">IFERROR(__xludf.DUMMYFUNCTION("""COMPUTED_VALUE"""),0.829)</f>
        <v>0.82899999999999996</v>
      </c>
      <c r="F217" s="1">
        <f ca="1">IFERROR(__xludf.DUMMYFUNCTION("""COMPUTED_VALUE"""),13.28)</f>
        <v>13.28</v>
      </c>
      <c r="G217" s="1">
        <f ca="1">IFERROR(__xludf.DUMMYFUNCTION("""COMPUTED_VALUE"""),6.63)</f>
        <v>6.63</v>
      </c>
      <c r="H217" s="1">
        <f ca="1">IFERROR(__xludf.DUMMYFUNCTION("""COMPUTED_VALUE"""),13)</f>
        <v>13</v>
      </c>
      <c r="I217" s="1">
        <f ca="1">IFERROR(__xludf.DUMMYFUNCTION("""COMPUTED_VALUE"""),3)</f>
        <v>3</v>
      </c>
      <c r="J217" s="1">
        <f ca="1">IFERROR(__xludf.DUMMYFUNCTION("""COMPUTED_VALUE"""),15)</f>
        <v>15</v>
      </c>
      <c r="K217" s="1">
        <f ca="1">IFERROR(__xludf.DUMMYFUNCTION("""COMPUTED_VALUE"""),1)</f>
        <v>1</v>
      </c>
      <c r="L217" s="1">
        <f ca="1">IFERROR(__xludf.DUMMYFUNCTION("""COMPUTED_VALUE"""),8)</f>
        <v>8</v>
      </c>
      <c r="M217" s="1">
        <f ca="1">IFERROR(__xludf.DUMMYFUNCTION("""COMPUTED_VALUE"""),4)</f>
        <v>4</v>
      </c>
      <c r="N217" s="1">
        <f ca="1">IFERROR(__xludf.DUMMYFUNCTION("""COMPUTED_VALUE"""),2355)</f>
        <v>2355</v>
      </c>
      <c r="O217" s="1">
        <f ca="1">IFERROR(__xludf.DUMMYFUNCTION("""COMPUTED_VALUE"""),2122)</f>
        <v>2122</v>
      </c>
      <c r="P217" s="1">
        <f ca="1">IFERROR(__xludf.DUMMYFUNCTION("""COMPUTED_VALUE"""),1410)</f>
        <v>1410</v>
      </c>
      <c r="Q217" s="1">
        <f ca="1">IFERROR(__xludf.DUMMYFUNCTION("""COMPUTED_VALUE"""),768)</f>
        <v>768</v>
      </c>
      <c r="R217" s="1">
        <f ca="1">IFERROR(__xludf.DUMMYFUNCTION("""COMPUTED_VALUE"""),1815)</f>
        <v>1815</v>
      </c>
      <c r="S217" s="1">
        <f ca="1">IFERROR(__xludf.DUMMYFUNCTION("""COMPUTED_VALUE"""),0.423)</f>
        <v>0.42299999999999999</v>
      </c>
      <c r="T217" s="1">
        <f ca="1">IFERROR(__xludf.DUMMYFUNCTION("""COMPUTED_VALUE"""),221)</f>
        <v>221</v>
      </c>
      <c r="U217" s="1">
        <f ca="1">IFERROR(__xludf.DUMMYFUNCTION("""COMPUTED_VALUE"""),629)</f>
        <v>629</v>
      </c>
      <c r="V217" s="1">
        <f ca="1">IFERROR(__xludf.DUMMYFUNCTION("""COMPUTED_VALUE"""),0.351)</f>
        <v>0.35099999999999998</v>
      </c>
      <c r="W217" s="1">
        <f ca="1">IFERROR(__xludf.DUMMYFUNCTION("""COMPUTED_VALUE"""),598)</f>
        <v>598</v>
      </c>
      <c r="X217" s="1">
        <f ca="1">IFERROR(__xludf.DUMMYFUNCTION("""COMPUTED_VALUE"""),829)</f>
        <v>829</v>
      </c>
      <c r="Y217" s="1">
        <f ca="1">IFERROR(__xludf.DUMMYFUNCTION("""COMPUTED_VALUE"""),0.721)</f>
        <v>0.72099999999999997</v>
      </c>
      <c r="Z217" s="1">
        <f ca="1">IFERROR(__xludf.DUMMYFUNCTION("""COMPUTED_VALUE"""),335)</f>
        <v>335</v>
      </c>
      <c r="AA217" s="1">
        <f ca="1">IFERROR(__xludf.DUMMYFUNCTION("""COMPUTED_VALUE"""),1123)</f>
        <v>1123</v>
      </c>
      <c r="AB217" s="1">
        <f ca="1">IFERROR(__xludf.DUMMYFUNCTION("""COMPUTED_VALUE"""),505)</f>
        <v>505</v>
      </c>
      <c r="AC217" s="1">
        <f ca="1">IFERROR(__xludf.DUMMYFUNCTION("""COMPUTED_VALUE"""),220)</f>
        <v>220</v>
      </c>
      <c r="AD217" s="1">
        <f ca="1">IFERROR(__xludf.DUMMYFUNCTION("""COMPUTED_VALUE"""),134)</f>
        <v>134</v>
      </c>
      <c r="AE217" s="1">
        <f ca="1">IFERROR(__xludf.DUMMYFUNCTION("""COMPUTED_VALUE"""),402)</f>
        <v>402</v>
      </c>
      <c r="AF217" s="1">
        <f ca="1">IFERROR(__xludf.DUMMYFUNCTION("""COMPUTED_VALUE"""),542)</f>
        <v>542</v>
      </c>
    </row>
    <row r="218" spans="1:32" ht="12.5" x14ac:dyDescent="0.25">
      <c r="A218" s="1" t="str">
        <f ca="1">IFERROR(__xludf.DUMMYFUNCTION("""COMPUTED_VALUE"""),"New Orleans")</f>
        <v>New Orleans</v>
      </c>
      <c r="B218" s="1">
        <f ca="1">IFERROR(__xludf.DUMMYFUNCTION("""COMPUTED_VALUE"""),26)</f>
        <v>26</v>
      </c>
      <c r="C218" s="1">
        <f ca="1">IFERROR(__xludf.DUMMYFUNCTION("""COMPUTED_VALUE"""),8)</f>
        <v>8</v>
      </c>
      <c r="D218" s="1">
        <f ca="1">IFERROR(__xludf.DUMMYFUNCTION("""COMPUTED_VALUE"""),18)</f>
        <v>18</v>
      </c>
      <c r="E218" s="1">
        <f ca="1">IFERROR(__xludf.DUMMYFUNCTION("""COMPUTED_VALUE"""),0.308)</f>
        <v>0.308</v>
      </c>
      <c r="F218" s="1">
        <f ca="1">IFERROR(__xludf.DUMMYFUNCTION("""COMPUTED_VALUE"""),-21.26)</f>
        <v>-21.26</v>
      </c>
      <c r="G218" s="1">
        <f ca="1">IFERROR(__xludf.DUMMYFUNCTION("""COMPUTED_VALUE"""),-6.12)</f>
        <v>-6.12</v>
      </c>
      <c r="H218" s="1">
        <f ca="1">IFERROR(__xludf.DUMMYFUNCTION("""COMPUTED_VALUE"""),0)</f>
        <v>0</v>
      </c>
      <c r="I218" s="1">
        <f ca="1">IFERROR(__xludf.DUMMYFUNCTION("""COMPUTED_VALUE"""),0)</f>
        <v>0</v>
      </c>
      <c r="J218" s="1">
        <f ca="1">IFERROR(__xludf.DUMMYFUNCTION("""COMPUTED_VALUE"""),8)</f>
        <v>8</v>
      </c>
      <c r="K218" s="1">
        <f ca="1">IFERROR(__xludf.DUMMYFUNCTION("""COMPUTED_VALUE"""),4)</f>
        <v>4</v>
      </c>
      <c r="L218" s="1">
        <f ca="1">IFERROR(__xludf.DUMMYFUNCTION("""COMPUTED_VALUE"""),0)</f>
        <v>0</v>
      </c>
      <c r="M218" s="1">
        <f ca="1">IFERROR(__xludf.DUMMYFUNCTION("""COMPUTED_VALUE"""),13)</f>
        <v>13</v>
      </c>
      <c r="N218" s="1">
        <f ca="1">IFERROR(__xludf.DUMMYFUNCTION("""COMPUTED_VALUE"""),1791)</f>
        <v>1791</v>
      </c>
      <c r="O218" s="1">
        <f ca="1">IFERROR(__xludf.DUMMYFUNCTION("""COMPUTED_VALUE"""),1958)</f>
        <v>1958</v>
      </c>
      <c r="P218" s="1">
        <f ca="1">IFERROR(__xludf.DUMMYFUNCTION("""COMPUTED_VALUE"""),1065)</f>
        <v>1065</v>
      </c>
      <c r="Q218" s="1">
        <f ca="1">IFERROR(__xludf.DUMMYFUNCTION("""COMPUTED_VALUE"""),666)</f>
        <v>666</v>
      </c>
      <c r="R218" s="1">
        <f ca="1">IFERROR(__xludf.DUMMYFUNCTION("""COMPUTED_VALUE"""),1513)</f>
        <v>1513</v>
      </c>
      <c r="S218" s="1">
        <f ca="1">IFERROR(__xludf.DUMMYFUNCTION("""COMPUTED_VALUE"""),0.44)</f>
        <v>0.44</v>
      </c>
      <c r="T218" s="1">
        <f ca="1">IFERROR(__xludf.DUMMYFUNCTION("""COMPUTED_VALUE"""),91)</f>
        <v>91</v>
      </c>
      <c r="U218" s="1">
        <f ca="1">IFERROR(__xludf.DUMMYFUNCTION("""COMPUTED_VALUE"""),316)</f>
        <v>316</v>
      </c>
      <c r="V218" s="1">
        <f ca="1">IFERROR(__xludf.DUMMYFUNCTION("""COMPUTED_VALUE"""),0.288)</f>
        <v>0.28799999999999998</v>
      </c>
      <c r="W218" s="1">
        <f ca="1">IFERROR(__xludf.DUMMYFUNCTION("""COMPUTED_VALUE"""),368)</f>
        <v>368</v>
      </c>
      <c r="X218" s="1">
        <f ca="1">IFERROR(__xludf.DUMMYFUNCTION("""COMPUTED_VALUE"""),557)</f>
        <v>557</v>
      </c>
      <c r="Y218" s="1">
        <f ca="1">IFERROR(__xludf.DUMMYFUNCTION("""COMPUTED_VALUE"""),0.661)</f>
        <v>0.66100000000000003</v>
      </c>
      <c r="Z218" s="1">
        <f ca="1">IFERROR(__xludf.DUMMYFUNCTION("""COMPUTED_VALUE"""),293)</f>
        <v>293</v>
      </c>
      <c r="AA218" s="1">
        <f ca="1">IFERROR(__xludf.DUMMYFUNCTION("""COMPUTED_VALUE"""),813)</f>
        <v>813</v>
      </c>
      <c r="AB218" s="1">
        <f ca="1">IFERROR(__xludf.DUMMYFUNCTION("""COMPUTED_VALUE"""),359)</f>
        <v>359</v>
      </c>
      <c r="AC218" s="1">
        <f ca="1">IFERROR(__xludf.DUMMYFUNCTION("""COMPUTED_VALUE"""),224)</f>
        <v>224</v>
      </c>
      <c r="AD218" s="1">
        <f ca="1">IFERROR(__xludf.DUMMYFUNCTION("""COMPUTED_VALUE"""),75)</f>
        <v>75</v>
      </c>
      <c r="AE218" s="1">
        <f ca="1">IFERROR(__xludf.DUMMYFUNCTION("""COMPUTED_VALUE"""),461)</f>
        <v>461</v>
      </c>
      <c r="AF218" s="1">
        <f ca="1">IFERROR(__xludf.DUMMYFUNCTION("""COMPUTED_VALUE"""),531)</f>
        <v>531</v>
      </c>
    </row>
    <row r="219" spans="1:32" ht="12.5" x14ac:dyDescent="0.25">
      <c r="A219" s="1" t="str">
        <f ca="1">IFERROR(__xludf.DUMMYFUNCTION("""COMPUTED_VALUE"""),"Niagara")</f>
        <v>Niagara</v>
      </c>
      <c r="B219" s="1">
        <f ca="1">IFERROR(__xludf.DUMMYFUNCTION("""COMPUTED_VALUE"""),33)</f>
        <v>33</v>
      </c>
      <c r="C219" s="1">
        <f ca="1">IFERROR(__xludf.DUMMYFUNCTION("""COMPUTED_VALUE"""),19)</f>
        <v>19</v>
      </c>
      <c r="D219" s="1">
        <f ca="1">IFERROR(__xludf.DUMMYFUNCTION("""COMPUTED_VALUE"""),14)</f>
        <v>14</v>
      </c>
      <c r="E219" s="1">
        <f ca="1">IFERROR(__xludf.DUMMYFUNCTION("""COMPUTED_VALUE"""),0.576)</f>
        <v>0.57599999999999996</v>
      </c>
      <c r="F219" s="1">
        <f ca="1">IFERROR(__xludf.DUMMYFUNCTION("""COMPUTED_VALUE"""),0.58)</f>
        <v>0.57999999999999996</v>
      </c>
      <c r="G219" s="1">
        <f ca="1">IFERROR(__xludf.DUMMYFUNCTION("""COMPUTED_VALUE"""),-1.15)</f>
        <v>-1.1499999999999999</v>
      </c>
      <c r="H219" s="1">
        <f ca="1">IFERROR(__xludf.DUMMYFUNCTION("""COMPUTED_VALUE"""),13)</f>
        <v>13</v>
      </c>
      <c r="I219" s="1">
        <f ca="1">IFERROR(__xludf.DUMMYFUNCTION("""COMPUTED_VALUE"""),5)</f>
        <v>5</v>
      </c>
      <c r="J219" s="1">
        <f ca="1">IFERROR(__xludf.DUMMYFUNCTION("""COMPUTED_VALUE"""),11)</f>
        <v>11</v>
      </c>
      <c r="K219" s="1">
        <f ca="1">IFERROR(__xludf.DUMMYFUNCTION("""COMPUTED_VALUE"""),4)</f>
        <v>4</v>
      </c>
      <c r="L219" s="1">
        <f ca="1">IFERROR(__xludf.DUMMYFUNCTION("""COMPUTED_VALUE"""),7)</f>
        <v>7</v>
      </c>
      <c r="M219" s="1">
        <f ca="1">IFERROR(__xludf.DUMMYFUNCTION("""COMPUTED_VALUE"""),8)</f>
        <v>8</v>
      </c>
      <c r="N219" s="1">
        <f ca="1">IFERROR(__xludf.DUMMYFUNCTION("""COMPUTED_VALUE"""),2436)</f>
        <v>2436</v>
      </c>
      <c r="O219" s="1">
        <f ca="1">IFERROR(__xludf.DUMMYFUNCTION("""COMPUTED_VALUE"""),2379)</f>
        <v>2379</v>
      </c>
      <c r="P219" s="1">
        <f ca="1">IFERROR(__xludf.DUMMYFUNCTION("""COMPUTED_VALUE"""),1340)</f>
        <v>1340</v>
      </c>
      <c r="Q219" s="1">
        <f ca="1">IFERROR(__xludf.DUMMYFUNCTION("""COMPUTED_VALUE"""),837)</f>
        <v>837</v>
      </c>
      <c r="R219" s="1">
        <f ca="1">IFERROR(__xludf.DUMMYFUNCTION("""COMPUTED_VALUE"""),1982)</f>
        <v>1982</v>
      </c>
      <c r="S219" s="1">
        <f ca="1">IFERROR(__xludf.DUMMYFUNCTION("""COMPUTED_VALUE"""),0.422)</f>
        <v>0.42199999999999999</v>
      </c>
      <c r="T219" s="1">
        <f ca="1">IFERROR(__xludf.DUMMYFUNCTION("""COMPUTED_VALUE"""),241)</f>
        <v>241</v>
      </c>
      <c r="U219" s="1">
        <f ca="1">IFERROR(__xludf.DUMMYFUNCTION("""COMPUTED_VALUE"""),738)</f>
        <v>738</v>
      </c>
      <c r="V219" s="1">
        <f ca="1">IFERROR(__xludf.DUMMYFUNCTION("""COMPUTED_VALUE"""),0.327)</f>
        <v>0.32700000000000001</v>
      </c>
      <c r="W219" s="1">
        <f ca="1">IFERROR(__xludf.DUMMYFUNCTION("""COMPUTED_VALUE"""),521)</f>
        <v>521</v>
      </c>
      <c r="X219" s="1">
        <f ca="1">IFERROR(__xludf.DUMMYFUNCTION("""COMPUTED_VALUE"""),754)</f>
        <v>754</v>
      </c>
      <c r="Y219" s="1">
        <f ca="1">IFERROR(__xludf.DUMMYFUNCTION("""COMPUTED_VALUE"""),0.691)</f>
        <v>0.69099999999999995</v>
      </c>
      <c r="Z219" s="1">
        <f ca="1">IFERROR(__xludf.DUMMYFUNCTION("""COMPUTED_VALUE"""),412)</f>
        <v>412</v>
      </c>
      <c r="AA219" s="1">
        <f ca="1">IFERROR(__xludf.DUMMYFUNCTION("""COMPUTED_VALUE"""),1028)</f>
        <v>1028</v>
      </c>
      <c r="AB219" s="1">
        <f ca="1">IFERROR(__xludf.DUMMYFUNCTION("""COMPUTED_VALUE"""),424)</f>
        <v>424</v>
      </c>
      <c r="AC219" s="1">
        <f ca="1">IFERROR(__xludf.DUMMYFUNCTION("""COMPUTED_VALUE"""),262)</f>
        <v>262</v>
      </c>
      <c r="AD219" s="1">
        <f ca="1">IFERROR(__xludf.DUMMYFUNCTION("""COMPUTED_VALUE"""),89)</f>
        <v>89</v>
      </c>
      <c r="AE219" s="1">
        <f ca="1">IFERROR(__xludf.DUMMYFUNCTION("""COMPUTED_VALUE"""),379)</f>
        <v>379</v>
      </c>
      <c r="AF219" s="1">
        <f ca="1">IFERROR(__xludf.DUMMYFUNCTION("""COMPUTED_VALUE"""),653)</f>
        <v>653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IFERROR(__xludf.DUMMYFUNCTION("""COMPUTED_VALUE"""),"Nicholls State")</f>
        <v>Nicholls State</v>
      </c>
      <c r="B222" s="1">
        <f ca="1">IFERROR(__xludf.DUMMYFUNCTION("""COMPUTED_VALUE"""),30)</f>
        <v>30</v>
      </c>
      <c r="C222" s="1">
        <f ca="1">IFERROR(__xludf.DUMMYFUNCTION("""COMPUTED_VALUE"""),9)</f>
        <v>9</v>
      </c>
      <c r="D222" s="1">
        <f ca="1">IFERROR(__xludf.DUMMYFUNCTION("""COMPUTED_VALUE"""),21)</f>
        <v>21</v>
      </c>
      <c r="E222" s="1">
        <f ca="1">IFERROR(__xludf.DUMMYFUNCTION("""COMPUTED_VALUE"""),0.3)</f>
        <v>0.3</v>
      </c>
      <c r="F222" s="1">
        <f ca="1">IFERROR(__xludf.DUMMYFUNCTION("""COMPUTED_VALUE"""),-10.54)</f>
        <v>-10.54</v>
      </c>
      <c r="G222" s="1">
        <f ca="1">IFERROR(__xludf.DUMMYFUNCTION("""COMPUTED_VALUE"""),-4.97)</f>
        <v>-4.97</v>
      </c>
      <c r="H222" s="1">
        <f ca="1">IFERROR(__xludf.DUMMYFUNCTION("""COMPUTED_VALUE"""),8)</f>
        <v>8</v>
      </c>
      <c r="I222" s="1">
        <f ca="1">IFERROR(__xludf.DUMMYFUNCTION("""COMPUTED_VALUE"""),10)</f>
        <v>10</v>
      </c>
      <c r="J222" s="1">
        <f ca="1">IFERROR(__xludf.DUMMYFUNCTION("""COMPUTED_VALUE"""),5)</f>
        <v>5</v>
      </c>
      <c r="K222" s="1">
        <f ca="1">IFERROR(__xludf.DUMMYFUNCTION("""COMPUTED_VALUE"""),5)</f>
        <v>5</v>
      </c>
      <c r="L222" s="1">
        <f ca="1">IFERROR(__xludf.DUMMYFUNCTION("""COMPUTED_VALUE"""),4)</f>
        <v>4</v>
      </c>
      <c r="M222" s="1">
        <f ca="1">IFERROR(__xludf.DUMMYFUNCTION("""COMPUTED_VALUE"""),13)</f>
        <v>13</v>
      </c>
      <c r="N222" s="1">
        <f ca="1">IFERROR(__xludf.DUMMYFUNCTION("""COMPUTED_VALUE"""),2020)</f>
        <v>2020</v>
      </c>
      <c r="O222" s="1">
        <f ca="1">IFERROR(__xludf.DUMMYFUNCTION("""COMPUTED_VALUE"""),2187)</f>
        <v>2187</v>
      </c>
      <c r="P222" s="1">
        <f ca="1">IFERROR(__xludf.DUMMYFUNCTION("""COMPUTED_VALUE"""),1216)</f>
        <v>1216</v>
      </c>
      <c r="Q222" s="1">
        <f ca="1">IFERROR(__xludf.DUMMYFUNCTION("""COMPUTED_VALUE"""),713)</f>
        <v>713</v>
      </c>
      <c r="R222" s="1">
        <f ca="1">IFERROR(__xludf.DUMMYFUNCTION("""COMPUTED_VALUE"""),1627)</f>
        <v>1627</v>
      </c>
      <c r="S222" s="1">
        <f ca="1">IFERROR(__xludf.DUMMYFUNCTION("""COMPUTED_VALUE"""),0.438)</f>
        <v>0.438</v>
      </c>
      <c r="T222" s="1">
        <f ca="1">IFERROR(__xludf.DUMMYFUNCTION("""COMPUTED_VALUE"""),159)</f>
        <v>159</v>
      </c>
      <c r="U222" s="1">
        <f ca="1">IFERROR(__xludf.DUMMYFUNCTION("""COMPUTED_VALUE"""),521)</f>
        <v>521</v>
      </c>
      <c r="V222" s="1">
        <f ca="1">IFERROR(__xludf.DUMMYFUNCTION("""COMPUTED_VALUE"""),0.305)</f>
        <v>0.30499999999999999</v>
      </c>
      <c r="W222" s="1">
        <f ca="1">IFERROR(__xludf.DUMMYFUNCTION("""COMPUTED_VALUE"""),435)</f>
        <v>435</v>
      </c>
      <c r="X222" s="1">
        <f ca="1">IFERROR(__xludf.DUMMYFUNCTION("""COMPUTED_VALUE"""),651)</f>
        <v>651</v>
      </c>
      <c r="Y222" s="1">
        <f ca="1">IFERROR(__xludf.DUMMYFUNCTION("""COMPUTED_VALUE"""),0.668)</f>
        <v>0.66800000000000004</v>
      </c>
      <c r="Z222" s="1">
        <f ca="1">IFERROR(__xludf.DUMMYFUNCTION("""COMPUTED_VALUE"""),313)</f>
        <v>313</v>
      </c>
      <c r="AA222" s="1">
        <f ca="1">IFERROR(__xludf.DUMMYFUNCTION("""COMPUTED_VALUE"""),827)</f>
        <v>827</v>
      </c>
      <c r="AB222" s="1">
        <f ca="1">IFERROR(__xludf.DUMMYFUNCTION("""COMPUTED_VALUE"""),377)</f>
        <v>377</v>
      </c>
      <c r="AC222" s="1">
        <f ca="1">IFERROR(__xludf.DUMMYFUNCTION("""COMPUTED_VALUE"""),190)</f>
        <v>190</v>
      </c>
      <c r="AD222" s="1">
        <f ca="1">IFERROR(__xludf.DUMMYFUNCTION("""COMPUTED_VALUE"""),66)</f>
        <v>66</v>
      </c>
      <c r="AE222" s="1">
        <f ca="1">IFERROR(__xludf.DUMMYFUNCTION("""COMPUTED_VALUE"""),414)</f>
        <v>414</v>
      </c>
      <c r="AF222" s="1">
        <f ca="1">IFERROR(__xludf.DUMMYFUNCTION("""COMPUTED_VALUE"""),564)</f>
        <v>564</v>
      </c>
    </row>
    <row r="223" spans="1:32" ht="12.5" x14ac:dyDescent="0.25">
      <c r="A223" s="1" t="str">
        <f ca="1">IFERROR(__xludf.DUMMYFUNCTION("""COMPUTED_VALUE"""),"NJIT")</f>
        <v>NJIT</v>
      </c>
      <c r="B223" s="1">
        <f ca="1">IFERROR(__xludf.DUMMYFUNCTION("""COMPUTED_VALUE"""),29)</f>
        <v>29</v>
      </c>
      <c r="C223" s="1">
        <f ca="1">IFERROR(__xludf.DUMMYFUNCTION("""COMPUTED_VALUE"""),16)</f>
        <v>16</v>
      </c>
      <c r="D223" s="1">
        <f ca="1">IFERROR(__xludf.DUMMYFUNCTION("""COMPUTED_VALUE"""),13)</f>
        <v>13</v>
      </c>
      <c r="E223" s="1">
        <f ca="1">IFERROR(__xludf.DUMMYFUNCTION("""COMPUTED_VALUE"""),0.552)</f>
        <v>0.55200000000000005</v>
      </c>
      <c r="F223" s="1">
        <f ca="1">IFERROR(__xludf.DUMMYFUNCTION("""COMPUTED_VALUE"""),-8.33)</f>
        <v>-8.33</v>
      </c>
      <c r="G223" s="1">
        <f ca="1">IFERROR(__xludf.DUMMYFUNCTION("""COMPUTED_VALUE"""),-9.01)</f>
        <v>-9.01</v>
      </c>
      <c r="H223" s="1">
        <f ca="1">IFERROR(__xludf.DUMMYFUNCTION("""COMPUTED_VALUE"""),6)</f>
        <v>6</v>
      </c>
      <c r="I223" s="1">
        <f ca="1">IFERROR(__xludf.DUMMYFUNCTION("""COMPUTED_VALUE"""),2)</f>
        <v>2</v>
      </c>
      <c r="J223" s="1">
        <f ca="1">IFERROR(__xludf.DUMMYFUNCTION("""COMPUTED_VALUE"""),12)</f>
        <v>12</v>
      </c>
      <c r="K223" s="1">
        <f ca="1">IFERROR(__xludf.DUMMYFUNCTION("""COMPUTED_VALUE"""),3)</f>
        <v>3</v>
      </c>
      <c r="L223" s="1">
        <f ca="1">IFERROR(__xludf.DUMMYFUNCTION("""COMPUTED_VALUE"""),4)</f>
        <v>4</v>
      </c>
      <c r="M223" s="1">
        <f ca="1">IFERROR(__xludf.DUMMYFUNCTION("""COMPUTED_VALUE"""),9)</f>
        <v>9</v>
      </c>
      <c r="N223" s="1">
        <f ca="1">IFERROR(__xludf.DUMMYFUNCTION("""COMPUTED_VALUE"""),2042)</f>
        <v>2042</v>
      </c>
      <c r="O223" s="1">
        <f ca="1">IFERROR(__xludf.DUMMYFUNCTION("""COMPUTED_VALUE"""),1869)</f>
        <v>1869</v>
      </c>
      <c r="P223" s="1">
        <f ca="1">IFERROR(__xludf.DUMMYFUNCTION("""COMPUTED_VALUE"""),1190)</f>
        <v>1190</v>
      </c>
      <c r="Q223" s="1">
        <f ca="1">IFERROR(__xludf.DUMMYFUNCTION("""COMPUTED_VALUE"""),702)</f>
        <v>702</v>
      </c>
      <c r="R223" s="1">
        <f ca="1">IFERROR(__xludf.DUMMYFUNCTION("""COMPUTED_VALUE"""),1667)</f>
        <v>1667</v>
      </c>
      <c r="S223" s="1">
        <f ca="1">IFERROR(__xludf.DUMMYFUNCTION("""COMPUTED_VALUE"""),0.421)</f>
        <v>0.42099999999999999</v>
      </c>
      <c r="T223" s="1">
        <f ca="1">IFERROR(__xludf.DUMMYFUNCTION("""COMPUTED_VALUE"""),183)</f>
        <v>183</v>
      </c>
      <c r="U223" s="1">
        <f ca="1">IFERROR(__xludf.DUMMYFUNCTION("""COMPUTED_VALUE"""),495)</f>
        <v>495</v>
      </c>
      <c r="V223" s="1">
        <f ca="1">IFERROR(__xludf.DUMMYFUNCTION("""COMPUTED_VALUE"""),0.37)</f>
        <v>0.37</v>
      </c>
      <c r="W223" s="1">
        <f ca="1">IFERROR(__xludf.DUMMYFUNCTION("""COMPUTED_VALUE"""),455)</f>
        <v>455</v>
      </c>
      <c r="X223" s="1">
        <f ca="1">IFERROR(__xludf.DUMMYFUNCTION("""COMPUTED_VALUE"""),678)</f>
        <v>678</v>
      </c>
      <c r="Y223" s="1">
        <f ca="1">IFERROR(__xludf.DUMMYFUNCTION("""COMPUTED_VALUE"""),0.671)</f>
        <v>0.67100000000000004</v>
      </c>
      <c r="Z223" s="1">
        <f ca="1">IFERROR(__xludf.DUMMYFUNCTION("""COMPUTED_VALUE"""),380)</f>
        <v>380</v>
      </c>
      <c r="AA223" s="1">
        <f ca="1">IFERROR(__xludf.DUMMYFUNCTION("""COMPUTED_VALUE"""),1022)</f>
        <v>1022</v>
      </c>
      <c r="AB223" s="1">
        <f ca="1">IFERROR(__xludf.DUMMYFUNCTION("""COMPUTED_VALUE"""),374)</f>
        <v>374</v>
      </c>
      <c r="AC223" s="1">
        <f ca="1">IFERROR(__xludf.DUMMYFUNCTION("""COMPUTED_VALUE"""),253)</f>
        <v>253</v>
      </c>
      <c r="AD223" s="1">
        <f ca="1">IFERROR(__xludf.DUMMYFUNCTION("""COMPUTED_VALUE"""),147)</f>
        <v>147</v>
      </c>
      <c r="AE223" s="1">
        <f ca="1">IFERROR(__xludf.DUMMYFUNCTION("""COMPUTED_VALUE"""),424)</f>
        <v>424</v>
      </c>
      <c r="AF223" s="1">
        <f ca="1">IFERROR(__xludf.DUMMYFUNCTION("""COMPUTED_VALUE"""),567)</f>
        <v>567</v>
      </c>
    </row>
    <row r="224" spans="1:32" ht="12.5" x14ac:dyDescent="0.25">
      <c r="A224" s="1" t="str">
        <f ca="1">IFERROR(__xludf.DUMMYFUNCTION("""COMPUTED_VALUE"""),"Norfolk State")</f>
        <v>Norfolk State</v>
      </c>
      <c r="B224" s="1">
        <f ca="1">IFERROR(__xludf.DUMMYFUNCTION("""COMPUTED_VALUE"""),33)</f>
        <v>33</v>
      </c>
      <c r="C224" s="1">
        <f ca="1">IFERROR(__xludf.DUMMYFUNCTION("""COMPUTED_VALUE"""),21)</f>
        <v>21</v>
      </c>
      <c r="D224" s="1">
        <f ca="1">IFERROR(__xludf.DUMMYFUNCTION("""COMPUTED_VALUE"""),12)</f>
        <v>12</v>
      </c>
      <c r="E224" s="1">
        <f ca="1">IFERROR(__xludf.DUMMYFUNCTION("""COMPUTED_VALUE"""),0.636)</f>
        <v>0.63600000000000001</v>
      </c>
      <c r="F224" s="1">
        <f ca="1">IFERROR(__xludf.DUMMYFUNCTION("""COMPUTED_VALUE"""),-5.77)</f>
        <v>-5.77</v>
      </c>
      <c r="G224" s="1">
        <f ca="1">IFERROR(__xludf.DUMMYFUNCTION("""COMPUTED_VALUE"""),-6.56)</f>
        <v>-6.56</v>
      </c>
      <c r="H224" s="1">
        <f ca="1">IFERROR(__xludf.DUMMYFUNCTION("""COMPUTED_VALUE"""),16)</f>
        <v>16</v>
      </c>
      <c r="I224" s="1">
        <f ca="1">IFERROR(__xludf.DUMMYFUNCTION("""COMPUTED_VALUE"""),0)</f>
        <v>0</v>
      </c>
      <c r="J224" s="1">
        <f ca="1">IFERROR(__xludf.DUMMYFUNCTION("""COMPUTED_VALUE"""),11)</f>
        <v>11</v>
      </c>
      <c r="K224" s="1">
        <f ca="1">IFERROR(__xludf.DUMMYFUNCTION("""COMPUTED_VALUE"""),0)</f>
        <v>0</v>
      </c>
      <c r="L224" s="1">
        <f ca="1">IFERROR(__xludf.DUMMYFUNCTION("""COMPUTED_VALUE"""),10)</f>
        <v>10</v>
      </c>
      <c r="M224" s="1">
        <f ca="1">IFERROR(__xludf.DUMMYFUNCTION("""COMPUTED_VALUE"""),9)</f>
        <v>9</v>
      </c>
      <c r="N224" s="1">
        <f ca="1">IFERROR(__xludf.DUMMYFUNCTION("""COMPUTED_VALUE"""),2188)</f>
        <v>2188</v>
      </c>
      <c r="O224" s="1">
        <f ca="1">IFERROR(__xludf.DUMMYFUNCTION("""COMPUTED_VALUE"""),2162)</f>
        <v>2162</v>
      </c>
      <c r="P224" s="1">
        <f ca="1">IFERROR(__xludf.DUMMYFUNCTION("""COMPUTED_VALUE"""),1325)</f>
        <v>1325</v>
      </c>
      <c r="Q224" s="1">
        <f ca="1">IFERROR(__xludf.DUMMYFUNCTION("""COMPUTED_VALUE"""),769)</f>
        <v>769</v>
      </c>
      <c r="R224" s="1">
        <f ca="1">IFERROR(__xludf.DUMMYFUNCTION("""COMPUTED_VALUE"""),1850)</f>
        <v>1850</v>
      </c>
      <c r="S224" s="1">
        <f ca="1">IFERROR(__xludf.DUMMYFUNCTION("""COMPUTED_VALUE"""),0.416)</f>
        <v>0.41599999999999998</v>
      </c>
      <c r="T224" s="1">
        <f ca="1">IFERROR(__xludf.DUMMYFUNCTION("""COMPUTED_VALUE"""),172)</f>
        <v>172</v>
      </c>
      <c r="U224" s="1">
        <f ca="1">IFERROR(__xludf.DUMMYFUNCTION("""COMPUTED_VALUE"""),529)</f>
        <v>529</v>
      </c>
      <c r="V224" s="1">
        <f ca="1">IFERROR(__xludf.DUMMYFUNCTION("""COMPUTED_VALUE"""),0.325)</f>
        <v>0.32500000000000001</v>
      </c>
      <c r="W224" s="1">
        <f ca="1">IFERROR(__xludf.DUMMYFUNCTION("""COMPUTED_VALUE"""),478)</f>
        <v>478</v>
      </c>
      <c r="X224" s="1">
        <f ca="1">IFERROR(__xludf.DUMMYFUNCTION("""COMPUTED_VALUE"""),740)</f>
        <v>740</v>
      </c>
      <c r="Y224" s="1">
        <f ca="1">IFERROR(__xludf.DUMMYFUNCTION("""COMPUTED_VALUE"""),0.646)</f>
        <v>0.64600000000000002</v>
      </c>
      <c r="Z224" s="1">
        <f ca="1">IFERROR(__xludf.DUMMYFUNCTION("""COMPUTED_VALUE"""),407)</f>
        <v>407</v>
      </c>
      <c r="AA224" s="1">
        <f ca="1">IFERROR(__xludf.DUMMYFUNCTION("""COMPUTED_VALUE"""),1088)</f>
        <v>1088</v>
      </c>
      <c r="AB224" s="1">
        <f ca="1">IFERROR(__xludf.DUMMYFUNCTION("""COMPUTED_VALUE"""),392)</f>
        <v>392</v>
      </c>
      <c r="AC224" s="1">
        <f ca="1">IFERROR(__xludf.DUMMYFUNCTION("""COMPUTED_VALUE"""),242)</f>
        <v>242</v>
      </c>
      <c r="AD224" s="1">
        <f ca="1">IFERROR(__xludf.DUMMYFUNCTION("""COMPUTED_VALUE"""),151)</f>
        <v>151</v>
      </c>
      <c r="AE224" s="1">
        <f ca="1">IFERROR(__xludf.DUMMYFUNCTION("""COMPUTED_VALUE"""),481)</f>
        <v>481</v>
      </c>
      <c r="AF224" s="1">
        <f ca="1">IFERROR(__xludf.DUMMYFUNCTION("""COMPUTED_VALUE"""),617)</f>
        <v>617</v>
      </c>
    </row>
    <row r="225" spans="1:32" ht="12.5" x14ac:dyDescent="0.25">
      <c r="A225" s="1" t="str">
        <f ca="1">IFERROR(__xludf.DUMMYFUNCTION("""COMPUTED_VALUE"""),"North Carolina-Asheville")</f>
        <v>North Carolina-Asheville</v>
      </c>
      <c r="B225" s="1">
        <f ca="1">IFERROR(__xludf.DUMMYFUNCTION("""COMPUTED_VALUE"""),32)</f>
        <v>32</v>
      </c>
      <c r="C225" s="1">
        <f ca="1">IFERROR(__xludf.DUMMYFUNCTION("""COMPUTED_VALUE"""),16)</f>
        <v>16</v>
      </c>
      <c r="D225" s="1">
        <f ca="1">IFERROR(__xludf.DUMMYFUNCTION("""COMPUTED_VALUE"""),16)</f>
        <v>16</v>
      </c>
      <c r="E225" s="1">
        <f ca="1">IFERROR(__xludf.DUMMYFUNCTION("""COMPUTED_VALUE"""),0.5)</f>
        <v>0.5</v>
      </c>
      <c r="F225" s="1">
        <f ca="1">IFERROR(__xludf.DUMMYFUNCTION("""COMPUTED_VALUE"""),-3.67)</f>
        <v>-3.67</v>
      </c>
      <c r="G225" s="1">
        <f ca="1">IFERROR(__xludf.DUMMYFUNCTION("""COMPUTED_VALUE"""),-3.98)</f>
        <v>-3.98</v>
      </c>
      <c r="H225" s="1">
        <f ca="1">IFERROR(__xludf.DUMMYFUNCTION("""COMPUTED_VALUE"""),10)</f>
        <v>10</v>
      </c>
      <c r="I225" s="1">
        <f ca="1">IFERROR(__xludf.DUMMYFUNCTION("""COMPUTED_VALUE"""),6)</f>
        <v>6</v>
      </c>
      <c r="J225" s="1">
        <f ca="1">IFERROR(__xludf.DUMMYFUNCTION("""COMPUTED_VALUE"""),10)</f>
        <v>10</v>
      </c>
      <c r="K225" s="1">
        <f ca="1">IFERROR(__xludf.DUMMYFUNCTION("""COMPUTED_VALUE"""),4)</f>
        <v>4</v>
      </c>
      <c r="L225" s="1">
        <f ca="1">IFERROR(__xludf.DUMMYFUNCTION("""COMPUTED_VALUE"""),6)</f>
        <v>6</v>
      </c>
      <c r="M225" s="1">
        <f ca="1">IFERROR(__xludf.DUMMYFUNCTION("""COMPUTED_VALUE"""),8)</f>
        <v>8</v>
      </c>
      <c r="N225" s="1">
        <f ca="1">IFERROR(__xludf.DUMMYFUNCTION("""COMPUTED_VALUE"""),2296)</f>
        <v>2296</v>
      </c>
      <c r="O225" s="1">
        <f ca="1">IFERROR(__xludf.DUMMYFUNCTION("""COMPUTED_VALUE"""),2213)</f>
        <v>2213</v>
      </c>
      <c r="P225" s="1">
        <f ca="1">IFERROR(__xludf.DUMMYFUNCTION("""COMPUTED_VALUE"""),1285)</f>
        <v>1285</v>
      </c>
      <c r="Q225" s="1">
        <f ca="1">IFERROR(__xludf.DUMMYFUNCTION("""COMPUTED_VALUE"""),824)</f>
        <v>824</v>
      </c>
      <c r="R225" s="1">
        <f ca="1">IFERROR(__xludf.DUMMYFUNCTION("""COMPUTED_VALUE"""),1831)</f>
        <v>1831</v>
      </c>
      <c r="S225" s="1">
        <f ca="1">IFERROR(__xludf.DUMMYFUNCTION("""COMPUTED_VALUE"""),0.45)</f>
        <v>0.45</v>
      </c>
      <c r="T225" s="1">
        <f ca="1">IFERROR(__xludf.DUMMYFUNCTION("""COMPUTED_VALUE"""),155)</f>
        <v>155</v>
      </c>
      <c r="U225" s="1">
        <f ca="1">IFERROR(__xludf.DUMMYFUNCTION("""COMPUTED_VALUE"""),468)</f>
        <v>468</v>
      </c>
      <c r="V225" s="1">
        <f ca="1">IFERROR(__xludf.DUMMYFUNCTION("""COMPUTED_VALUE"""),0.331)</f>
        <v>0.33100000000000002</v>
      </c>
      <c r="W225" s="1">
        <f ca="1">IFERROR(__xludf.DUMMYFUNCTION("""COMPUTED_VALUE"""),493)</f>
        <v>493</v>
      </c>
      <c r="X225" s="1">
        <f ca="1">IFERROR(__xludf.DUMMYFUNCTION("""COMPUTED_VALUE"""),690)</f>
        <v>690</v>
      </c>
      <c r="Y225" s="1">
        <f ca="1">IFERROR(__xludf.DUMMYFUNCTION("""COMPUTED_VALUE"""),0.714)</f>
        <v>0.71399999999999997</v>
      </c>
      <c r="Z225" s="1">
        <f ca="1">IFERROR(__xludf.DUMMYFUNCTION("""COMPUTED_VALUE"""),385)</f>
        <v>385</v>
      </c>
      <c r="AA225" s="1">
        <f ca="1">IFERROR(__xludf.DUMMYFUNCTION("""COMPUTED_VALUE"""),1068)</f>
        <v>1068</v>
      </c>
      <c r="AB225" s="1">
        <f ca="1">IFERROR(__xludf.DUMMYFUNCTION("""COMPUTED_VALUE"""),457)</f>
        <v>457</v>
      </c>
      <c r="AC225" s="1">
        <f ca="1">IFERROR(__xludf.DUMMYFUNCTION("""COMPUTED_VALUE"""),261)</f>
        <v>261</v>
      </c>
      <c r="AD225" s="1">
        <f ca="1">IFERROR(__xludf.DUMMYFUNCTION("""COMPUTED_VALUE"""),169)</f>
        <v>169</v>
      </c>
      <c r="AE225" s="1">
        <f ca="1">IFERROR(__xludf.DUMMYFUNCTION("""COMPUTED_VALUE"""),465)</f>
        <v>465</v>
      </c>
      <c r="AF225" s="1">
        <f ca="1">IFERROR(__xludf.DUMMYFUNCTION("""COMPUTED_VALUE"""),518)</f>
        <v>518</v>
      </c>
    </row>
    <row r="226" spans="1:32" ht="12.5" x14ac:dyDescent="0.25">
      <c r="A226" s="1" t="str">
        <f ca="1">IFERROR(__xludf.DUMMYFUNCTION("""COMPUTED_VALUE"""),"North Carolina A&amp;TNCAA")</f>
        <v>North Carolina A&amp;TNCAA</v>
      </c>
      <c r="B226" s="1">
        <f ca="1">IFERROR(__xludf.DUMMYFUNCTION("""COMPUTED_VALUE"""),37)</f>
        <v>37</v>
      </c>
      <c r="C226" s="1">
        <f ca="1">IFERROR(__xludf.DUMMYFUNCTION("""COMPUTED_VALUE"""),20)</f>
        <v>20</v>
      </c>
      <c r="D226" s="1">
        <f ca="1">IFERROR(__xludf.DUMMYFUNCTION("""COMPUTED_VALUE"""),17)</f>
        <v>17</v>
      </c>
      <c r="E226" s="1">
        <f ca="1">IFERROR(__xludf.DUMMYFUNCTION("""COMPUTED_VALUE"""),0.541)</f>
        <v>0.54100000000000004</v>
      </c>
      <c r="F226" s="1">
        <f ca="1">IFERROR(__xludf.DUMMYFUNCTION("""COMPUTED_VALUE"""),-6.94)</f>
        <v>-6.94</v>
      </c>
      <c r="G226" s="1">
        <f ca="1">IFERROR(__xludf.DUMMYFUNCTION("""COMPUTED_VALUE"""),-6.3)</f>
        <v>-6.3</v>
      </c>
      <c r="H226" s="1">
        <f ca="1">IFERROR(__xludf.DUMMYFUNCTION("""COMPUTED_VALUE"""),8)</f>
        <v>8</v>
      </c>
      <c r="I226" s="1">
        <f ca="1">IFERROR(__xludf.DUMMYFUNCTION("""COMPUTED_VALUE"""),8)</f>
        <v>8</v>
      </c>
      <c r="J226" s="1">
        <f ca="1">IFERROR(__xludf.DUMMYFUNCTION("""COMPUTED_VALUE"""),9)</f>
        <v>9</v>
      </c>
      <c r="K226" s="1">
        <f ca="1">IFERROR(__xludf.DUMMYFUNCTION("""COMPUTED_VALUE"""),3)</f>
        <v>3</v>
      </c>
      <c r="L226" s="1">
        <f ca="1">IFERROR(__xludf.DUMMYFUNCTION("""COMPUTED_VALUE"""),5)</f>
        <v>5</v>
      </c>
      <c r="M226" s="1">
        <f ca="1">IFERROR(__xludf.DUMMYFUNCTION("""COMPUTED_VALUE"""),12)</f>
        <v>12</v>
      </c>
      <c r="N226" s="1">
        <f ca="1">IFERROR(__xludf.DUMMYFUNCTION("""COMPUTED_VALUE"""),2299)</f>
        <v>2299</v>
      </c>
      <c r="O226" s="1">
        <f ca="1">IFERROR(__xludf.DUMMYFUNCTION("""COMPUTED_VALUE"""),2291)</f>
        <v>2291</v>
      </c>
      <c r="P226" s="1">
        <f ca="1">IFERROR(__xludf.DUMMYFUNCTION("""COMPUTED_VALUE"""),1485)</f>
        <v>1485</v>
      </c>
      <c r="Q226" s="1">
        <f ca="1">IFERROR(__xludf.DUMMYFUNCTION("""COMPUTED_VALUE"""),776)</f>
        <v>776</v>
      </c>
      <c r="R226" s="1">
        <f ca="1">IFERROR(__xludf.DUMMYFUNCTION("""COMPUTED_VALUE"""),1927)</f>
        <v>1927</v>
      </c>
      <c r="S226" s="1">
        <f ca="1">IFERROR(__xludf.DUMMYFUNCTION("""COMPUTED_VALUE"""),0.403)</f>
        <v>0.40300000000000002</v>
      </c>
      <c r="T226" s="1">
        <f ca="1">IFERROR(__xludf.DUMMYFUNCTION("""COMPUTED_VALUE"""),215)</f>
        <v>215</v>
      </c>
      <c r="U226" s="1">
        <f ca="1">IFERROR(__xludf.DUMMYFUNCTION("""COMPUTED_VALUE"""),707)</f>
        <v>707</v>
      </c>
      <c r="V226" s="1">
        <f ca="1">IFERROR(__xludf.DUMMYFUNCTION("""COMPUTED_VALUE"""),0.304)</f>
        <v>0.30399999999999999</v>
      </c>
      <c r="W226" s="1">
        <f ca="1">IFERROR(__xludf.DUMMYFUNCTION("""COMPUTED_VALUE"""),532)</f>
        <v>532</v>
      </c>
      <c r="X226" s="1">
        <f ca="1">IFERROR(__xludf.DUMMYFUNCTION("""COMPUTED_VALUE"""),809)</f>
        <v>809</v>
      </c>
      <c r="Y226" s="1">
        <f ca="1">IFERROR(__xludf.DUMMYFUNCTION("""COMPUTED_VALUE"""),0.658)</f>
        <v>0.65800000000000003</v>
      </c>
      <c r="Z226" s="1">
        <f ca="1">IFERROR(__xludf.DUMMYFUNCTION("""COMPUTED_VALUE"""),387)</f>
        <v>387</v>
      </c>
      <c r="AA226" s="1">
        <f ca="1">IFERROR(__xludf.DUMMYFUNCTION("""COMPUTED_VALUE"""),1166)</f>
        <v>1166</v>
      </c>
      <c r="AB226" s="1">
        <f ca="1">IFERROR(__xludf.DUMMYFUNCTION("""COMPUTED_VALUE"""),405)</f>
        <v>405</v>
      </c>
      <c r="AC226" s="1">
        <f ca="1">IFERROR(__xludf.DUMMYFUNCTION("""COMPUTED_VALUE"""),261)</f>
        <v>261</v>
      </c>
      <c r="AD226" s="1">
        <f ca="1">IFERROR(__xludf.DUMMYFUNCTION("""COMPUTED_VALUE"""),165)</f>
        <v>165</v>
      </c>
      <c r="AE226" s="1">
        <f ca="1">IFERROR(__xludf.DUMMYFUNCTION("""COMPUTED_VALUE"""),564)</f>
        <v>564</v>
      </c>
      <c r="AF226" s="1">
        <f ca="1">IFERROR(__xludf.DUMMYFUNCTION("""COMPUTED_VALUE"""),716)</f>
        <v>716</v>
      </c>
    </row>
    <row r="227" spans="1:32" ht="12.5" x14ac:dyDescent="0.25">
      <c r="A227" s="1" t="str">
        <f ca="1">IFERROR(__xludf.DUMMYFUNCTION("""COMPUTED_VALUE"""),"North Carolina Central")</f>
        <v>North Carolina Central</v>
      </c>
      <c r="B227" s="1">
        <f ca="1">IFERROR(__xludf.DUMMYFUNCTION("""COMPUTED_VALUE"""),31)</f>
        <v>31</v>
      </c>
      <c r="C227" s="1">
        <f ca="1">IFERROR(__xludf.DUMMYFUNCTION("""COMPUTED_VALUE"""),22)</f>
        <v>22</v>
      </c>
      <c r="D227" s="1">
        <f ca="1">IFERROR(__xludf.DUMMYFUNCTION("""COMPUTED_VALUE"""),9)</f>
        <v>9</v>
      </c>
      <c r="E227" s="1">
        <f ca="1">IFERROR(__xludf.DUMMYFUNCTION("""COMPUTED_VALUE"""),0.71)</f>
        <v>0.71</v>
      </c>
      <c r="F227" s="1">
        <f ca="1">IFERROR(__xludf.DUMMYFUNCTION("""COMPUTED_VALUE"""),-2.23)</f>
        <v>-2.23</v>
      </c>
      <c r="G227" s="1">
        <f ca="1">IFERROR(__xludf.DUMMYFUNCTION("""COMPUTED_VALUE"""),-7.05)</f>
        <v>-7.05</v>
      </c>
      <c r="H227" s="1">
        <f ca="1">IFERROR(__xludf.DUMMYFUNCTION("""COMPUTED_VALUE"""),15)</f>
        <v>15</v>
      </c>
      <c r="I227" s="1">
        <f ca="1">IFERROR(__xludf.DUMMYFUNCTION("""COMPUTED_VALUE"""),1)</f>
        <v>1</v>
      </c>
      <c r="J227" s="1">
        <f ca="1">IFERROR(__xludf.DUMMYFUNCTION("""COMPUTED_VALUE"""),12)</f>
        <v>12</v>
      </c>
      <c r="K227" s="1">
        <f ca="1">IFERROR(__xludf.DUMMYFUNCTION("""COMPUTED_VALUE"""),2)</f>
        <v>2</v>
      </c>
      <c r="L227" s="1">
        <f ca="1">IFERROR(__xludf.DUMMYFUNCTION("""COMPUTED_VALUE"""),9)</f>
        <v>9</v>
      </c>
      <c r="M227" s="1">
        <f ca="1">IFERROR(__xludf.DUMMYFUNCTION("""COMPUTED_VALUE"""),5)</f>
        <v>5</v>
      </c>
      <c r="N227" s="1">
        <f ca="1">IFERROR(__xludf.DUMMYFUNCTION("""COMPUTED_VALUE"""),2079)</f>
        <v>2079</v>
      </c>
      <c r="O227" s="1">
        <f ca="1">IFERROR(__xludf.DUMMYFUNCTION("""COMPUTED_VALUE"""),1758)</f>
        <v>1758</v>
      </c>
      <c r="P227" s="1">
        <f ca="1">IFERROR(__xludf.DUMMYFUNCTION("""COMPUTED_VALUE"""),1240)</f>
        <v>1240</v>
      </c>
      <c r="Q227" s="1">
        <f ca="1">IFERROR(__xludf.DUMMYFUNCTION("""COMPUTED_VALUE"""),706)</f>
        <v>706</v>
      </c>
      <c r="R227" s="1">
        <f ca="1">IFERROR(__xludf.DUMMYFUNCTION("""COMPUTED_VALUE"""),1536)</f>
        <v>1536</v>
      </c>
      <c r="S227" s="1">
        <f ca="1">IFERROR(__xludf.DUMMYFUNCTION("""COMPUTED_VALUE"""),0.46)</f>
        <v>0.46</v>
      </c>
      <c r="T227" s="1">
        <f ca="1">IFERROR(__xludf.DUMMYFUNCTION("""COMPUTED_VALUE"""),168)</f>
        <v>168</v>
      </c>
      <c r="U227" s="1">
        <f ca="1">IFERROR(__xludf.DUMMYFUNCTION("""COMPUTED_VALUE"""),483)</f>
        <v>483</v>
      </c>
      <c r="V227" s="1">
        <f ca="1">IFERROR(__xludf.DUMMYFUNCTION("""COMPUTED_VALUE"""),0.348)</f>
        <v>0.34799999999999998</v>
      </c>
      <c r="W227" s="1">
        <f ca="1">IFERROR(__xludf.DUMMYFUNCTION("""COMPUTED_VALUE"""),499)</f>
        <v>499</v>
      </c>
      <c r="X227" s="1">
        <f ca="1">IFERROR(__xludf.DUMMYFUNCTION("""COMPUTED_VALUE"""),680)</f>
        <v>680</v>
      </c>
      <c r="Y227" s="1">
        <f ca="1">IFERROR(__xludf.DUMMYFUNCTION("""COMPUTED_VALUE"""),0.734)</f>
        <v>0.73399999999999999</v>
      </c>
      <c r="Z227" s="1">
        <f ca="1">IFERROR(__xludf.DUMMYFUNCTION("""COMPUTED_VALUE"""),284)</f>
        <v>284</v>
      </c>
      <c r="AA227" s="1">
        <f ca="1">IFERROR(__xludf.DUMMYFUNCTION("""COMPUTED_VALUE"""),922)</f>
        <v>922</v>
      </c>
      <c r="AB227" s="1">
        <f ca="1">IFERROR(__xludf.DUMMYFUNCTION("""COMPUTED_VALUE"""),436)</f>
        <v>436</v>
      </c>
      <c r="AC227" s="1">
        <f ca="1">IFERROR(__xludf.DUMMYFUNCTION("""COMPUTED_VALUE"""),236)</f>
        <v>236</v>
      </c>
      <c r="AD227" s="1">
        <f ca="1">IFERROR(__xludf.DUMMYFUNCTION("""COMPUTED_VALUE"""),90)</f>
        <v>90</v>
      </c>
      <c r="AE227" s="1">
        <f ca="1">IFERROR(__xludf.DUMMYFUNCTION("""COMPUTED_VALUE"""),444)</f>
        <v>444</v>
      </c>
      <c r="AF227" s="1">
        <f ca="1">IFERROR(__xludf.DUMMYFUNCTION("""COMPUTED_VALUE"""),548)</f>
        <v>548</v>
      </c>
    </row>
    <row r="228" spans="1:32" ht="12.5" x14ac:dyDescent="0.25">
      <c r="A228" s="1" t="str">
        <f ca="1">IFERROR(__xludf.DUMMYFUNCTION("""COMPUTED_VALUE"""),"North Carolina-Greensboro")</f>
        <v>North Carolina-Greensboro</v>
      </c>
      <c r="B228" s="1">
        <f ca="1">IFERROR(__xludf.DUMMYFUNCTION("""COMPUTED_VALUE"""),31)</f>
        <v>31</v>
      </c>
      <c r="C228" s="1">
        <f ca="1">IFERROR(__xludf.DUMMYFUNCTION("""COMPUTED_VALUE"""),9)</f>
        <v>9</v>
      </c>
      <c r="D228" s="1">
        <f ca="1">IFERROR(__xludf.DUMMYFUNCTION("""COMPUTED_VALUE"""),22)</f>
        <v>22</v>
      </c>
      <c r="E228" s="1">
        <f ca="1">IFERROR(__xludf.DUMMYFUNCTION("""COMPUTED_VALUE"""),0.29)</f>
        <v>0.28999999999999998</v>
      </c>
      <c r="F228" s="1">
        <f ca="1">IFERROR(__xludf.DUMMYFUNCTION("""COMPUTED_VALUE"""),-9.42)</f>
        <v>-9.42</v>
      </c>
      <c r="G228" s="1">
        <f ca="1">IFERROR(__xludf.DUMMYFUNCTION("""COMPUTED_VALUE"""),-5.31)</f>
        <v>-5.31</v>
      </c>
      <c r="H228" s="1">
        <f ca="1">IFERROR(__xludf.DUMMYFUNCTION("""COMPUTED_VALUE"""),6)</f>
        <v>6</v>
      </c>
      <c r="I228" s="1">
        <f ca="1">IFERROR(__xludf.DUMMYFUNCTION("""COMPUTED_VALUE"""),12)</f>
        <v>12</v>
      </c>
      <c r="J228" s="1">
        <f ca="1">IFERROR(__xludf.DUMMYFUNCTION("""COMPUTED_VALUE"""),6)</f>
        <v>6</v>
      </c>
      <c r="K228" s="1">
        <f ca="1">IFERROR(__xludf.DUMMYFUNCTION("""COMPUTED_VALUE"""),9)</f>
        <v>9</v>
      </c>
      <c r="L228" s="1">
        <f ca="1">IFERROR(__xludf.DUMMYFUNCTION("""COMPUTED_VALUE"""),2)</f>
        <v>2</v>
      </c>
      <c r="M228" s="1">
        <f ca="1">IFERROR(__xludf.DUMMYFUNCTION("""COMPUTED_VALUE"""),12)</f>
        <v>12</v>
      </c>
      <c r="N228" s="1">
        <f ca="1">IFERROR(__xludf.DUMMYFUNCTION("""COMPUTED_VALUE"""),2222)</f>
        <v>2222</v>
      </c>
      <c r="O228" s="1">
        <f ca="1">IFERROR(__xludf.DUMMYFUNCTION("""COMPUTED_VALUE"""),2286)</f>
        <v>2286</v>
      </c>
      <c r="P228" s="1">
        <f ca="1">IFERROR(__xludf.DUMMYFUNCTION("""COMPUTED_VALUE"""),1240)</f>
        <v>1240</v>
      </c>
      <c r="Q228" s="1">
        <f ca="1">IFERROR(__xludf.DUMMYFUNCTION("""COMPUTED_VALUE"""),788)</f>
        <v>788</v>
      </c>
      <c r="R228" s="1">
        <f ca="1">IFERROR(__xludf.DUMMYFUNCTION("""COMPUTED_VALUE"""),1886)</f>
        <v>1886</v>
      </c>
      <c r="S228" s="1">
        <f ca="1">IFERROR(__xludf.DUMMYFUNCTION("""COMPUTED_VALUE"""),0.418)</f>
        <v>0.41799999999999998</v>
      </c>
      <c r="T228" s="1">
        <f ca="1">IFERROR(__xludf.DUMMYFUNCTION("""COMPUTED_VALUE"""),227)</f>
        <v>227</v>
      </c>
      <c r="U228" s="1">
        <f ca="1">IFERROR(__xludf.DUMMYFUNCTION("""COMPUTED_VALUE"""),665)</f>
        <v>665</v>
      </c>
      <c r="V228" s="1">
        <f ca="1">IFERROR(__xludf.DUMMYFUNCTION("""COMPUTED_VALUE"""),0.341)</f>
        <v>0.34100000000000003</v>
      </c>
      <c r="W228" s="1">
        <f ca="1">IFERROR(__xludf.DUMMYFUNCTION("""COMPUTED_VALUE"""),419)</f>
        <v>419</v>
      </c>
      <c r="X228" s="1">
        <f ca="1">IFERROR(__xludf.DUMMYFUNCTION("""COMPUTED_VALUE"""),623)</f>
        <v>623</v>
      </c>
      <c r="Y228" s="1">
        <f ca="1">IFERROR(__xludf.DUMMYFUNCTION("""COMPUTED_VALUE"""),0.673)</f>
        <v>0.67300000000000004</v>
      </c>
      <c r="Z228" s="1">
        <f ca="1">IFERROR(__xludf.DUMMYFUNCTION("""COMPUTED_VALUE"""),350)</f>
        <v>350</v>
      </c>
      <c r="AA228" s="1">
        <f ca="1">IFERROR(__xludf.DUMMYFUNCTION("""COMPUTED_VALUE"""),1037)</f>
        <v>1037</v>
      </c>
      <c r="AB228" s="1">
        <f ca="1">IFERROR(__xludf.DUMMYFUNCTION("""COMPUTED_VALUE"""),374)</f>
        <v>374</v>
      </c>
      <c r="AC228" s="1">
        <f ca="1">IFERROR(__xludf.DUMMYFUNCTION("""COMPUTED_VALUE"""),227)</f>
        <v>227</v>
      </c>
      <c r="AD228" s="1">
        <f ca="1">IFERROR(__xludf.DUMMYFUNCTION("""COMPUTED_VALUE"""),50)</f>
        <v>50</v>
      </c>
      <c r="AE228" s="1">
        <f ca="1">IFERROR(__xludf.DUMMYFUNCTION("""COMPUTED_VALUE"""),393)</f>
        <v>393</v>
      </c>
      <c r="AF228" s="1">
        <f ca="1">IFERROR(__xludf.DUMMYFUNCTION("""COMPUTED_VALUE"""),676)</f>
        <v>676</v>
      </c>
    </row>
    <row r="229" spans="1:32" ht="12.5" x14ac:dyDescent="0.25">
      <c r="A229" s="1" t="str">
        <f ca="1">IFERROR(__xludf.DUMMYFUNCTION("""COMPUTED_VALUE"""),"North Carolina StateNCAA")</f>
        <v>North Carolina StateNCAA</v>
      </c>
      <c r="B229" s="1">
        <f ca="1">IFERROR(__xludf.DUMMYFUNCTION("""COMPUTED_VALUE"""),35)</f>
        <v>35</v>
      </c>
      <c r="C229" s="1">
        <f ca="1">IFERROR(__xludf.DUMMYFUNCTION("""COMPUTED_VALUE"""),24)</f>
        <v>24</v>
      </c>
      <c r="D229" s="1">
        <f ca="1">IFERROR(__xludf.DUMMYFUNCTION("""COMPUTED_VALUE"""),11)</f>
        <v>11</v>
      </c>
      <c r="E229" s="1">
        <f ca="1">IFERROR(__xludf.DUMMYFUNCTION("""COMPUTED_VALUE"""),0.686)</f>
        <v>0.68600000000000005</v>
      </c>
      <c r="F229" s="1">
        <f ca="1">IFERROR(__xludf.DUMMYFUNCTION("""COMPUTED_VALUE"""),14.32)</f>
        <v>14.32</v>
      </c>
      <c r="G229" s="1">
        <f ca="1">IFERROR(__xludf.DUMMYFUNCTION("""COMPUTED_VALUE"""),7.17)</f>
        <v>7.17</v>
      </c>
      <c r="H229" s="1">
        <f ca="1">IFERROR(__xludf.DUMMYFUNCTION("""COMPUTED_VALUE"""),11)</f>
        <v>11</v>
      </c>
      <c r="I229" s="1">
        <f ca="1">IFERROR(__xludf.DUMMYFUNCTION("""COMPUTED_VALUE"""),7)</f>
        <v>7</v>
      </c>
      <c r="J229" s="1">
        <f ca="1">IFERROR(__xludf.DUMMYFUNCTION("""COMPUTED_VALUE"""),16)</f>
        <v>16</v>
      </c>
      <c r="K229" s="1">
        <f ca="1">IFERROR(__xludf.DUMMYFUNCTION("""COMPUTED_VALUE"""),1)</f>
        <v>1</v>
      </c>
      <c r="L229" s="1">
        <f ca="1">IFERROR(__xludf.DUMMYFUNCTION("""COMPUTED_VALUE"""),3)</f>
        <v>3</v>
      </c>
      <c r="M229" s="1">
        <f ca="1">IFERROR(__xludf.DUMMYFUNCTION("""COMPUTED_VALUE"""),7)</f>
        <v>7</v>
      </c>
      <c r="N229" s="1">
        <f ca="1">IFERROR(__xludf.DUMMYFUNCTION("""COMPUTED_VALUE"""),2708)</f>
        <v>2708</v>
      </c>
      <c r="O229" s="1">
        <f ca="1">IFERROR(__xludf.DUMMYFUNCTION("""COMPUTED_VALUE"""),2458)</f>
        <v>2458</v>
      </c>
      <c r="P229" s="1">
        <f ca="1">IFERROR(__xludf.DUMMYFUNCTION("""COMPUTED_VALUE"""),1405)</f>
        <v>1405</v>
      </c>
      <c r="Q229" s="1">
        <f ca="1">IFERROR(__xludf.DUMMYFUNCTION("""COMPUTED_VALUE"""),985)</f>
        <v>985</v>
      </c>
      <c r="R229" s="1">
        <f ca="1">IFERROR(__xludf.DUMMYFUNCTION("""COMPUTED_VALUE"""),1987)</f>
        <v>1987</v>
      </c>
      <c r="S229" s="1">
        <f ca="1">IFERROR(__xludf.DUMMYFUNCTION("""COMPUTED_VALUE"""),0.496)</f>
        <v>0.496</v>
      </c>
      <c r="T229" s="1">
        <f ca="1">IFERROR(__xludf.DUMMYFUNCTION("""COMPUTED_VALUE"""),184)</f>
        <v>184</v>
      </c>
      <c r="U229" s="1">
        <f ca="1">IFERROR(__xludf.DUMMYFUNCTION("""COMPUTED_VALUE"""),471)</f>
        <v>471</v>
      </c>
      <c r="V229" s="1">
        <f ca="1">IFERROR(__xludf.DUMMYFUNCTION("""COMPUTED_VALUE"""),0.391)</f>
        <v>0.39100000000000001</v>
      </c>
      <c r="W229" s="1">
        <f ca="1">IFERROR(__xludf.DUMMYFUNCTION("""COMPUTED_VALUE"""),554)</f>
        <v>554</v>
      </c>
      <c r="X229" s="1">
        <f ca="1">IFERROR(__xludf.DUMMYFUNCTION("""COMPUTED_VALUE"""),813)</f>
        <v>813</v>
      </c>
      <c r="Y229" s="1">
        <f ca="1">IFERROR(__xludf.DUMMYFUNCTION("""COMPUTED_VALUE"""),0.681)</f>
        <v>0.68100000000000005</v>
      </c>
      <c r="Z229" s="1">
        <f ca="1">IFERROR(__xludf.DUMMYFUNCTION("""COMPUTED_VALUE"""),396)</f>
        <v>396</v>
      </c>
      <c r="AA229" s="1">
        <f ca="1">IFERROR(__xludf.DUMMYFUNCTION("""COMPUTED_VALUE"""),1186)</f>
        <v>1186</v>
      </c>
      <c r="AB229" s="1">
        <f ca="1">IFERROR(__xludf.DUMMYFUNCTION("""COMPUTED_VALUE"""),511)</f>
        <v>511</v>
      </c>
      <c r="AC229" s="1">
        <f ca="1">IFERROR(__xludf.DUMMYFUNCTION("""COMPUTED_VALUE"""),227)</f>
        <v>227</v>
      </c>
      <c r="AD229" s="1">
        <f ca="1">IFERROR(__xludf.DUMMYFUNCTION("""COMPUTED_VALUE"""),147)</f>
        <v>147</v>
      </c>
      <c r="AE229" s="1">
        <f ca="1">IFERROR(__xludf.DUMMYFUNCTION("""COMPUTED_VALUE"""),433)</f>
        <v>433</v>
      </c>
      <c r="AF229" s="1">
        <f ca="1">IFERROR(__xludf.DUMMYFUNCTION("""COMPUTED_VALUE"""),544)</f>
        <v>544</v>
      </c>
    </row>
    <row r="230" spans="1:32" ht="12.5" x14ac:dyDescent="0.25">
      <c r="A230" s="1" t="str">
        <f ca="1">IFERROR(__xludf.DUMMYFUNCTION("""COMPUTED_VALUE"""),"North Carolina-Wilmington")</f>
        <v>North Carolina-Wilmington</v>
      </c>
      <c r="B230" s="1">
        <f ca="1">IFERROR(__xludf.DUMMYFUNCTION("""COMPUTED_VALUE"""),30)</f>
        <v>30</v>
      </c>
      <c r="C230" s="1">
        <f ca="1">IFERROR(__xludf.DUMMYFUNCTION("""COMPUTED_VALUE"""),10)</f>
        <v>10</v>
      </c>
      <c r="D230" s="1">
        <f ca="1">IFERROR(__xludf.DUMMYFUNCTION("""COMPUTED_VALUE"""),20)</f>
        <v>20</v>
      </c>
      <c r="E230" s="1">
        <f ca="1">IFERROR(__xludf.DUMMYFUNCTION("""COMPUTED_VALUE"""),0.333)</f>
        <v>0.33300000000000002</v>
      </c>
      <c r="F230" s="1">
        <f ca="1">IFERROR(__xludf.DUMMYFUNCTION("""COMPUTED_VALUE"""),-10.09)</f>
        <v>-10.09</v>
      </c>
      <c r="G230" s="1">
        <f ca="1">IFERROR(__xludf.DUMMYFUNCTION("""COMPUTED_VALUE"""),-2.27)</f>
        <v>-2.27</v>
      </c>
      <c r="H230" s="1">
        <f ca="1">IFERROR(__xludf.DUMMYFUNCTION("""COMPUTED_VALUE"""),5)</f>
        <v>5</v>
      </c>
      <c r="I230" s="1">
        <f ca="1">IFERROR(__xludf.DUMMYFUNCTION("""COMPUTED_VALUE"""),13)</f>
        <v>13</v>
      </c>
      <c r="J230" s="1">
        <f ca="1">IFERROR(__xludf.DUMMYFUNCTION("""COMPUTED_VALUE"""),9)</f>
        <v>9</v>
      </c>
      <c r="K230" s="1">
        <f ca="1">IFERROR(__xludf.DUMMYFUNCTION("""COMPUTED_VALUE"""),5)</f>
        <v>5</v>
      </c>
      <c r="L230" s="1">
        <f ca="1">IFERROR(__xludf.DUMMYFUNCTION("""COMPUTED_VALUE"""),1)</f>
        <v>1</v>
      </c>
      <c r="M230" s="1">
        <f ca="1">IFERROR(__xludf.DUMMYFUNCTION("""COMPUTED_VALUE"""),15)</f>
        <v>15</v>
      </c>
      <c r="N230" s="1">
        <f ca="1">IFERROR(__xludf.DUMMYFUNCTION("""COMPUTED_VALUE"""),1899)</f>
        <v>1899</v>
      </c>
      <c r="O230" s="1">
        <f ca="1">IFERROR(__xludf.DUMMYFUNCTION("""COMPUTED_VALUE"""),2111)</f>
        <v>2111</v>
      </c>
      <c r="P230" s="1">
        <f ca="1">IFERROR(__xludf.DUMMYFUNCTION("""COMPUTED_VALUE"""),1200)</f>
        <v>1200</v>
      </c>
      <c r="Q230" s="1">
        <f ca="1">IFERROR(__xludf.DUMMYFUNCTION("""COMPUTED_VALUE"""),679)</f>
        <v>679</v>
      </c>
      <c r="R230" s="1">
        <f ca="1">IFERROR(__xludf.DUMMYFUNCTION("""COMPUTED_VALUE"""),1627)</f>
        <v>1627</v>
      </c>
      <c r="S230" s="1">
        <f ca="1">IFERROR(__xludf.DUMMYFUNCTION("""COMPUTED_VALUE"""),0.417)</f>
        <v>0.41699999999999998</v>
      </c>
      <c r="T230" s="1">
        <f ca="1">IFERROR(__xludf.DUMMYFUNCTION("""COMPUTED_VALUE"""),160)</f>
        <v>160</v>
      </c>
      <c r="U230" s="1">
        <f ca="1">IFERROR(__xludf.DUMMYFUNCTION("""COMPUTED_VALUE"""),475)</f>
        <v>475</v>
      </c>
      <c r="V230" s="1">
        <f ca="1">IFERROR(__xludf.DUMMYFUNCTION("""COMPUTED_VALUE"""),0.337)</f>
        <v>0.33700000000000002</v>
      </c>
      <c r="W230" s="1">
        <f ca="1">IFERROR(__xludf.DUMMYFUNCTION("""COMPUTED_VALUE"""),381)</f>
        <v>381</v>
      </c>
      <c r="X230" s="1">
        <f ca="1">IFERROR(__xludf.DUMMYFUNCTION("""COMPUTED_VALUE"""),593)</f>
        <v>593</v>
      </c>
      <c r="Y230" s="1">
        <f ca="1">IFERROR(__xludf.DUMMYFUNCTION("""COMPUTED_VALUE"""),0.642)</f>
        <v>0.64200000000000002</v>
      </c>
      <c r="Z230" s="1">
        <f ca="1">IFERROR(__xludf.DUMMYFUNCTION("""COMPUTED_VALUE"""),339)</f>
        <v>339</v>
      </c>
      <c r="AA230" s="1">
        <f ca="1">IFERROR(__xludf.DUMMYFUNCTION("""COMPUTED_VALUE"""),962)</f>
        <v>962</v>
      </c>
      <c r="AB230" s="1">
        <f ca="1">IFERROR(__xludf.DUMMYFUNCTION("""COMPUTED_VALUE"""),338)</f>
        <v>338</v>
      </c>
      <c r="AC230" s="1">
        <f ca="1">IFERROR(__xludf.DUMMYFUNCTION("""COMPUTED_VALUE"""),184)</f>
        <v>184</v>
      </c>
      <c r="AD230" s="1">
        <f ca="1">IFERROR(__xludf.DUMMYFUNCTION("""COMPUTED_VALUE"""),126)</f>
        <v>126</v>
      </c>
      <c r="AE230" s="1">
        <f ca="1">IFERROR(__xludf.DUMMYFUNCTION("""COMPUTED_VALUE"""),428)</f>
        <v>428</v>
      </c>
      <c r="AF230" s="1">
        <f ca="1">IFERROR(__xludf.DUMMYFUNCTION("""COMPUTED_VALUE"""),535)</f>
        <v>535</v>
      </c>
    </row>
    <row r="231" spans="1:32" ht="12.5" x14ac:dyDescent="0.25">
      <c r="A231" s="1" t="str">
        <f ca="1">IFERROR(__xludf.DUMMYFUNCTION("""COMPUTED_VALUE"""),"North CarolinaNCAA")</f>
        <v>North CarolinaNCAA</v>
      </c>
      <c r="B231" s="1">
        <f ca="1">IFERROR(__xludf.DUMMYFUNCTION("""COMPUTED_VALUE"""),36)</f>
        <v>36</v>
      </c>
      <c r="C231" s="1">
        <f ca="1">IFERROR(__xludf.DUMMYFUNCTION("""COMPUTED_VALUE"""),25)</f>
        <v>25</v>
      </c>
      <c r="D231" s="1">
        <f ca="1">IFERROR(__xludf.DUMMYFUNCTION("""COMPUTED_VALUE"""),11)</f>
        <v>11</v>
      </c>
      <c r="E231" s="1">
        <f ca="1">IFERROR(__xludf.DUMMYFUNCTION("""COMPUTED_VALUE"""),0.694)</f>
        <v>0.69399999999999995</v>
      </c>
      <c r="F231" s="1">
        <f ca="1">IFERROR(__xludf.DUMMYFUNCTION("""COMPUTED_VALUE"""),14.52)</f>
        <v>14.52</v>
      </c>
      <c r="G231" s="1">
        <f ca="1">IFERROR(__xludf.DUMMYFUNCTION("""COMPUTED_VALUE"""),8.01)</f>
        <v>8.01</v>
      </c>
      <c r="H231" s="1">
        <f ca="1">IFERROR(__xludf.DUMMYFUNCTION("""COMPUTED_VALUE"""),12)</f>
        <v>12</v>
      </c>
      <c r="I231" s="1">
        <f ca="1">IFERROR(__xludf.DUMMYFUNCTION("""COMPUTED_VALUE"""),6)</f>
        <v>6</v>
      </c>
      <c r="J231" s="1">
        <f ca="1">IFERROR(__xludf.DUMMYFUNCTION("""COMPUTED_VALUE"""),14)</f>
        <v>14</v>
      </c>
      <c r="K231" s="1">
        <f ca="1">IFERROR(__xludf.DUMMYFUNCTION("""COMPUTED_VALUE"""),2)</f>
        <v>2</v>
      </c>
      <c r="L231" s="1">
        <f ca="1">IFERROR(__xludf.DUMMYFUNCTION("""COMPUTED_VALUE"""),7)</f>
        <v>7</v>
      </c>
      <c r="M231" s="1">
        <f ca="1">IFERROR(__xludf.DUMMYFUNCTION("""COMPUTED_VALUE"""),6)</f>
        <v>6</v>
      </c>
      <c r="N231" s="1">
        <f ca="1">IFERROR(__xludf.DUMMYFUNCTION("""COMPUTED_VALUE"""),2762)</f>
        <v>2762</v>
      </c>
      <c r="O231" s="1">
        <f ca="1">IFERROR(__xludf.DUMMYFUNCTION("""COMPUTED_VALUE"""),2492)</f>
        <v>2492</v>
      </c>
      <c r="P231" s="1">
        <f ca="1">IFERROR(__xludf.DUMMYFUNCTION("""COMPUTED_VALUE"""),1445)</f>
        <v>1445</v>
      </c>
      <c r="Q231" s="1">
        <f ca="1">IFERROR(__xludf.DUMMYFUNCTION("""COMPUTED_VALUE"""),1023)</f>
        <v>1023</v>
      </c>
      <c r="R231" s="1">
        <f ca="1">IFERROR(__xludf.DUMMYFUNCTION("""COMPUTED_VALUE"""),2321)</f>
        <v>2321</v>
      </c>
      <c r="S231" s="1">
        <f ca="1">IFERROR(__xludf.DUMMYFUNCTION("""COMPUTED_VALUE"""),0.441)</f>
        <v>0.441</v>
      </c>
      <c r="T231" s="1">
        <f ca="1">IFERROR(__xludf.DUMMYFUNCTION("""COMPUTED_VALUE"""),272)</f>
        <v>272</v>
      </c>
      <c r="U231" s="1">
        <f ca="1">IFERROR(__xludf.DUMMYFUNCTION("""COMPUTED_VALUE"""),723)</f>
        <v>723</v>
      </c>
      <c r="V231" s="1">
        <f ca="1">IFERROR(__xludf.DUMMYFUNCTION("""COMPUTED_VALUE"""),0.376)</f>
        <v>0.376</v>
      </c>
      <c r="W231" s="1">
        <f ca="1">IFERROR(__xludf.DUMMYFUNCTION("""COMPUTED_VALUE"""),442)</f>
        <v>442</v>
      </c>
      <c r="X231" s="1">
        <f ca="1">IFERROR(__xludf.DUMMYFUNCTION("""COMPUTED_VALUE"""),655)</f>
        <v>655</v>
      </c>
      <c r="Y231" s="1">
        <f ca="1">IFERROR(__xludf.DUMMYFUNCTION("""COMPUTED_VALUE"""),0.675)</f>
        <v>0.67500000000000004</v>
      </c>
      <c r="Z231" s="1">
        <f ca="1">IFERROR(__xludf.DUMMYFUNCTION("""COMPUTED_VALUE"""),478)</f>
        <v>478</v>
      </c>
      <c r="AA231" s="1">
        <f ca="1">IFERROR(__xludf.DUMMYFUNCTION("""COMPUTED_VALUE"""),1254)</f>
        <v>1254</v>
      </c>
      <c r="AB231" s="1">
        <f ca="1">IFERROR(__xludf.DUMMYFUNCTION("""COMPUTED_VALUE"""),616)</f>
        <v>616</v>
      </c>
      <c r="AC231" s="1">
        <f ca="1">IFERROR(__xludf.DUMMYFUNCTION("""COMPUTED_VALUE"""),303)</f>
        <v>303</v>
      </c>
      <c r="AD231" s="1">
        <f ca="1">IFERROR(__xludf.DUMMYFUNCTION("""COMPUTED_VALUE"""),117)</f>
        <v>117</v>
      </c>
      <c r="AE231" s="1">
        <f ca="1">IFERROR(__xludf.DUMMYFUNCTION("""COMPUTED_VALUE"""),433)</f>
        <v>433</v>
      </c>
      <c r="AF231" s="1">
        <f ca="1">IFERROR(__xludf.DUMMYFUNCTION("""COMPUTED_VALUE"""),539)</f>
        <v>539</v>
      </c>
    </row>
    <row r="232" spans="1:32" ht="12.5" x14ac:dyDescent="0.25">
      <c r="A232" s="1" t="str">
        <f ca="1">IFERROR(__xludf.DUMMYFUNCTION("""COMPUTED_VALUE"""),"North Dakota State")</f>
        <v>North Dakota State</v>
      </c>
      <c r="B232" s="1">
        <f ca="1">IFERROR(__xludf.DUMMYFUNCTION("""COMPUTED_VALUE"""),34)</f>
        <v>34</v>
      </c>
      <c r="C232" s="1">
        <f ca="1">IFERROR(__xludf.DUMMYFUNCTION("""COMPUTED_VALUE"""),24)</f>
        <v>24</v>
      </c>
      <c r="D232" s="1">
        <f ca="1">IFERROR(__xludf.DUMMYFUNCTION("""COMPUTED_VALUE"""),10)</f>
        <v>10</v>
      </c>
      <c r="E232" s="1">
        <f ca="1">IFERROR(__xludf.DUMMYFUNCTION("""COMPUTED_VALUE"""),0.706)</f>
        <v>0.70599999999999996</v>
      </c>
      <c r="F232" s="1">
        <f ca="1">IFERROR(__xludf.DUMMYFUNCTION("""COMPUTED_VALUE"""),5.21)</f>
        <v>5.21</v>
      </c>
      <c r="G232" s="1">
        <f ca="1">IFERROR(__xludf.DUMMYFUNCTION("""COMPUTED_VALUE"""),-4.01)</f>
        <v>-4.01</v>
      </c>
      <c r="H232" s="1">
        <f ca="1">IFERROR(__xludf.DUMMYFUNCTION("""COMPUTED_VALUE"""),12)</f>
        <v>12</v>
      </c>
      <c r="I232" s="1">
        <f ca="1">IFERROR(__xludf.DUMMYFUNCTION("""COMPUTED_VALUE"""),4)</f>
        <v>4</v>
      </c>
      <c r="J232" s="1">
        <f ca="1">IFERROR(__xludf.DUMMYFUNCTION("""COMPUTED_VALUE"""),12)</f>
        <v>12</v>
      </c>
      <c r="K232" s="1">
        <f ca="1">IFERROR(__xludf.DUMMYFUNCTION("""COMPUTED_VALUE"""),1)</f>
        <v>1</v>
      </c>
      <c r="L232" s="1">
        <f ca="1">IFERROR(__xludf.DUMMYFUNCTION("""COMPUTED_VALUE"""),7)</f>
        <v>7</v>
      </c>
      <c r="M232" s="1">
        <f ca="1">IFERROR(__xludf.DUMMYFUNCTION("""COMPUTED_VALUE"""),8)</f>
        <v>8</v>
      </c>
      <c r="N232" s="1">
        <f ca="1">IFERROR(__xludf.DUMMYFUNCTION("""COMPUTED_VALUE"""),2282)</f>
        <v>2282</v>
      </c>
      <c r="O232" s="1">
        <f ca="1">IFERROR(__xludf.DUMMYFUNCTION("""COMPUTED_VALUE"""),1908)</f>
        <v>1908</v>
      </c>
      <c r="P232" s="1">
        <f ca="1">IFERROR(__xludf.DUMMYFUNCTION("""COMPUTED_VALUE"""),1370)</f>
        <v>1370</v>
      </c>
      <c r="Q232" s="1">
        <f ca="1">IFERROR(__xludf.DUMMYFUNCTION("""COMPUTED_VALUE"""),838)</f>
        <v>838</v>
      </c>
      <c r="R232" s="1">
        <f ca="1">IFERROR(__xludf.DUMMYFUNCTION("""COMPUTED_VALUE"""),1789)</f>
        <v>1789</v>
      </c>
      <c r="S232" s="1">
        <f ca="1">IFERROR(__xludf.DUMMYFUNCTION("""COMPUTED_VALUE"""),0.468)</f>
        <v>0.46800000000000003</v>
      </c>
      <c r="T232" s="1">
        <f ca="1">IFERROR(__xludf.DUMMYFUNCTION("""COMPUTED_VALUE"""),234)</f>
        <v>234</v>
      </c>
      <c r="U232" s="1">
        <f ca="1">IFERROR(__xludf.DUMMYFUNCTION("""COMPUTED_VALUE"""),654)</f>
        <v>654</v>
      </c>
      <c r="V232" s="1">
        <f ca="1">IFERROR(__xludf.DUMMYFUNCTION("""COMPUTED_VALUE"""),0.358)</f>
        <v>0.35799999999999998</v>
      </c>
      <c r="W232" s="1">
        <f ca="1">IFERROR(__xludf.DUMMYFUNCTION("""COMPUTED_VALUE"""),372)</f>
        <v>372</v>
      </c>
      <c r="X232" s="1">
        <f ca="1">IFERROR(__xludf.DUMMYFUNCTION("""COMPUTED_VALUE"""),515)</f>
        <v>515</v>
      </c>
      <c r="Y232" s="1">
        <f ca="1">IFERROR(__xludf.DUMMYFUNCTION("""COMPUTED_VALUE"""),0.722)</f>
        <v>0.72199999999999998</v>
      </c>
      <c r="Z232" s="1">
        <f ca="1">IFERROR(__xludf.DUMMYFUNCTION("""COMPUTED_VALUE"""),315)</f>
        <v>315</v>
      </c>
      <c r="AA232" s="1">
        <f ca="1">IFERROR(__xludf.DUMMYFUNCTION("""COMPUTED_VALUE"""),1082)</f>
        <v>1082</v>
      </c>
      <c r="AB232" s="1">
        <f ca="1">IFERROR(__xludf.DUMMYFUNCTION("""COMPUTED_VALUE"""),426)</f>
        <v>426</v>
      </c>
      <c r="AC232" s="1">
        <f ca="1">IFERROR(__xludf.DUMMYFUNCTION("""COMPUTED_VALUE"""),196)</f>
        <v>196</v>
      </c>
      <c r="AD232" s="1">
        <f ca="1">IFERROR(__xludf.DUMMYFUNCTION("""COMPUTED_VALUE"""),144)</f>
        <v>144</v>
      </c>
      <c r="AE232" s="1">
        <f ca="1">IFERROR(__xludf.DUMMYFUNCTION("""COMPUTED_VALUE"""),375)</f>
        <v>375</v>
      </c>
      <c r="AF232" s="1">
        <f ca="1">IFERROR(__xludf.DUMMYFUNCTION("""COMPUTED_VALUE"""),542)</f>
        <v>542</v>
      </c>
    </row>
    <row r="233" spans="1:32" ht="12.5" x14ac:dyDescent="0.25">
      <c r="A233" s="1" t="str">
        <f ca="1">IFERROR(__xludf.DUMMYFUNCTION("""COMPUTED_VALUE"""),"North Dakota")</f>
        <v>North Dakota</v>
      </c>
      <c r="B233" s="1">
        <f ca="1">IFERROR(__xludf.DUMMYFUNCTION("""COMPUTED_VALUE"""),33)</f>
        <v>33</v>
      </c>
      <c r="C233" s="1">
        <f ca="1">IFERROR(__xludf.DUMMYFUNCTION("""COMPUTED_VALUE"""),16)</f>
        <v>16</v>
      </c>
      <c r="D233" s="1">
        <f ca="1">IFERROR(__xludf.DUMMYFUNCTION("""COMPUTED_VALUE"""),17)</f>
        <v>17</v>
      </c>
      <c r="E233" s="1">
        <f ca="1">IFERROR(__xludf.DUMMYFUNCTION("""COMPUTED_VALUE"""),0.485)</f>
        <v>0.48499999999999999</v>
      </c>
      <c r="F233" s="1">
        <f ca="1">IFERROR(__xludf.DUMMYFUNCTION("""COMPUTED_VALUE"""),-8.53)</f>
        <v>-8.5299999999999994</v>
      </c>
      <c r="G233" s="1">
        <f ca="1">IFERROR(__xludf.DUMMYFUNCTION("""COMPUTED_VALUE"""),-5.34)</f>
        <v>-5.34</v>
      </c>
      <c r="H233" s="1">
        <f ca="1">IFERROR(__xludf.DUMMYFUNCTION("""COMPUTED_VALUE"""),12)</f>
        <v>12</v>
      </c>
      <c r="I233" s="1">
        <f ca="1">IFERROR(__xludf.DUMMYFUNCTION("""COMPUTED_VALUE"""),8)</f>
        <v>8</v>
      </c>
      <c r="J233" s="1">
        <f ca="1">IFERROR(__xludf.DUMMYFUNCTION("""COMPUTED_VALUE"""),9)</f>
        <v>9</v>
      </c>
      <c r="K233" s="1">
        <f ca="1">IFERROR(__xludf.DUMMYFUNCTION("""COMPUTED_VALUE"""),5)</f>
        <v>5</v>
      </c>
      <c r="L233" s="1">
        <f ca="1">IFERROR(__xludf.DUMMYFUNCTION("""COMPUTED_VALUE"""),6)</f>
        <v>6</v>
      </c>
      <c r="M233" s="1">
        <f ca="1">IFERROR(__xludf.DUMMYFUNCTION("""COMPUTED_VALUE"""),11)</f>
        <v>11</v>
      </c>
      <c r="N233" s="1">
        <f ca="1">IFERROR(__xludf.DUMMYFUNCTION("""COMPUTED_VALUE"""),2222)</f>
        <v>2222</v>
      </c>
      <c r="O233" s="1">
        <f ca="1">IFERROR(__xludf.DUMMYFUNCTION("""COMPUTED_VALUE"""),2243)</f>
        <v>2243</v>
      </c>
      <c r="P233" s="1">
        <f ca="1">IFERROR(__xludf.DUMMYFUNCTION("""COMPUTED_VALUE"""),1325)</f>
        <v>1325</v>
      </c>
      <c r="Q233" s="1">
        <f ca="1">IFERROR(__xludf.DUMMYFUNCTION("""COMPUTED_VALUE"""),776)</f>
        <v>776</v>
      </c>
      <c r="R233" s="1">
        <f ca="1">IFERROR(__xludf.DUMMYFUNCTION("""COMPUTED_VALUE"""),1833)</f>
        <v>1833</v>
      </c>
      <c r="S233" s="1">
        <f ca="1">IFERROR(__xludf.DUMMYFUNCTION("""COMPUTED_VALUE"""),0.423)</f>
        <v>0.42299999999999999</v>
      </c>
      <c r="T233" s="1">
        <f ca="1">IFERROR(__xludf.DUMMYFUNCTION("""COMPUTED_VALUE"""),207)</f>
        <v>207</v>
      </c>
      <c r="U233" s="1">
        <f ca="1">IFERROR(__xludf.DUMMYFUNCTION("""COMPUTED_VALUE"""),603)</f>
        <v>603</v>
      </c>
      <c r="V233" s="1">
        <f ca="1">IFERROR(__xludf.DUMMYFUNCTION("""COMPUTED_VALUE"""),0.343)</f>
        <v>0.34300000000000003</v>
      </c>
      <c r="W233" s="1">
        <f ca="1">IFERROR(__xludf.DUMMYFUNCTION("""COMPUTED_VALUE"""),463)</f>
        <v>463</v>
      </c>
      <c r="X233" s="1">
        <f ca="1">IFERROR(__xludf.DUMMYFUNCTION("""COMPUTED_VALUE"""),651)</f>
        <v>651</v>
      </c>
      <c r="Y233" s="1">
        <f ca="1">IFERROR(__xludf.DUMMYFUNCTION("""COMPUTED_VALUE"""),0.711)</f>
        <v>0.71099999999999997</v>
      </c>
      <c r="Z233" s="1">
        <f ca="1">IFERROR(__xludf.DUMMYFUNCTION("""COMPUTED_VALUE"""),348)</f>
        <v>348</v>
      </c>
      <c r="AA233" s="1">
        <f ca="1">IFERROR(__xludf.DUMMYFUNCTION("""COMPUTED_VALUE"""),1011)</f>
        <v>1011</v>
      </c>
      <c r="AB233" s="1">
        <f ca="1">IFERROR(__xludf.DUMMYFUNCTION("""COMPUTED_VALUE"""),385)</f>
        <v>385</v>
      </c>
      <c r="AC233" s="1">
        <f ca="1">IFERROR(__xludf.DUMMYFUNCTION("""COMPUTED_VALUE"""),258)</f>
        <v>258</v>
      </c>
      <c r="AD233" s="1">
        <f ca="1">IFERROR(__xludf.DUMMYFUNCTION("""COMPUTED_VALUE"""),123)</f>
        <v>123</v>
      </c>
      <c r="AE233" s="1">
        <f ca="1">IFERROR(__xludf.DUMMYFUNCTION("""COMPUTED_VALUE"""),421)</f>
        <v>421</v>
      </c>
      <c r="AF233" s="1">
        <f ca="1">IFERROR(__xludf.DUMMYFUNCTION("""COMPUTED_VALUE"""),544)</f>
        <v>544</v>
      </c>
    </row>
    <row r="234" spans="1:32" ht="12.5" x14ac:dyDescent="0.25">
      <c r="A234" s="1" t="str">
        <f ca="1">IFERROR(__xludf.DUMMYFUNCTION("""COMPUTED_VALUE"""),"North Florida")</f>
        <v>North Florida</v>
      </c>
      <c r="B234" s="1">
        <f ca="1">IFERROR(__xludf.DUMMYFUNCTION("""COMPUTED_VALUE"""),32)</f>
        <v>32</v>
      </c>
      <c r="C234" s="1">
        <f ca="1">IFERROR(__xludf.DUMMYFUNCTION("""COMPUTED_VALUE"""),13)</f>
        <v>13</v>
      </c>
      <c r="D234" s="1">
        <f ca="1">IFERROR(__xludf.DUMMYFUNCTION("""COMPUTED_VALUE"""),19)</f>
        <v>19</v>
      </c>
      <c r="E234" s="1">
        <f ca="1">IFERROR(__xludf.DUMMYFUNCTION("""COMPUTED_VALUE"""),0.406)</f>
        <v>0.40600000000000003</v>
      </c>
      <c r="F234" s="1">
        <f ca="1">IFERROR(__xludf.DUMMYFUNCTION("""COMPUTED_VALUE"""),-7.35)</f>
        <v>-7.35</v>
      </c>
      <c r="G234" s="1">
        <f ca="1">IFERROR(__xludf.DUMMYFUNCTION("""COMPUTED_VALUE"""),-3.22)</f>
        <v>-3.22</v>
      </c>
      <c r="H234" s="1">
        <f ca="1">IFERROR(__xludf.DUMMYFUNCTION("""COMPUTED_VALUE"""),8)</f>
        <v>8</v>
      </c>
      <c r="I234" s="1">
        <f ca="1">IFERROR(__xludf.DUMMYFUNCTION("""COMPUTED_VALUE"""),10)</f>
        <v>10</v>
      </c>
      <c r="J234" s="1">
        <f ca="1">IFERROR(__xludf.DUMMYFUNCTION("""COMPUTED_VALUE"""),7)</f>
        <v>7</v>
      </c>
      <c r="K234" s="1">
        <f ca="1">IFERROR(__xludf.DUMMYFUNCTION("""COMPUTED_VALUE"""),4)</f>
        <v>4</v>
      </c>
      <c r="L234" s="1">
        <f ca="1">IFERROR(__xludf.DUMMYFUNCTION("""COMPUTED_VALUE"""),4)</f>
        <v>4</v>
      </c>
      <c r="M234" s="1">
        <f ca="1">IFERROR(__xludf.DUMMYFUNCTION("""COMPUTED_VALUE"""),14)</f>
        <v>14</v>
      </c>
      <c r="N234" s="1">
        <f ca="1">IFERROR(__xludf.DUMMYFUNCTION("""COMPUTED_VALUE"""),2121)</f>
        <v>2121</v>
      </c>
      <c r="O234" s="1">
        <f ca="1">IFERROR(__xludf.DUMMYFUNCTION("""COMPUTED_VALUE"""),2235)</f>
        <v>2235</v>
      </c>
      <c r="P234" s="1">
        <f ca="1">IFERROR(__xludf.DUMMYFUNCTION("""COMPUTED_VALUE"""),1280)</f>
        <v>1280</v>
      </c>
      <c r="Q234" s="1">
        <f ca="1">IFERROR(__xludf.DUMMYFUNCTION("""COMPUTED_VALUE"""),763)</f>
        <v>763</v>
      </c>
      <c r="R234" s="1">
        <f ca="1">IFERROR(__xludf.DUMMYFUNCTION("""COMPUTED_VALUE"""),1746)</f>
        <v>1746</v>
      </c>
      <c r="S234" s="1">
        <f ca="1">IFERROR(__xludf.DUMMYFUNCTION("""COMPUTED_VALUE"""),0.437)</f>
        <v>0.437</v>
      </c>
      <c r="T234" s="1">
        <f ca="1">IFERROR(__xludf.DUMMYFUNCTION("""COMPUTED_VALUE"""),250)</f>
        <v>250</v>
      </c>
      <c r="U234" s="1">
        <f ca="1">IFERROR(__xludf.DUMMYFUNCTION("""COMPUTED_VALUE"""),726)</f>
        <v>726</v>
      </c>
      <c r="V234" s="1">
        <f ca="1">IFERROR(__xludf.DUMMYFUNCTION("""COMPUTED_VALUE"""),0.344)</f>
        <v>0.34399999999999997</v>
      </c>
      <c r="W234" s="1">
        <f ca="1">IFERROR(__xludf.DUMMYFUNCTION("""COMPUTED_VALUE"""),343)</f>
        <v>343</v>
      </c>
      <c r="X234" s="1">
        <f ca="1">IFERROR(__xludf.DUMMYFUNCTION("""COMPUTED_VALUE"""),519)</f>
        <v>519</v>
      </c>
      <c r="Y234" s="1">
        <f ca="1">IFERROR(__xludf.DUMMYFUNCTION("""COMPUTED_VALUE"""),0.661)</f>
        <v>0.66100000000000003</v>
      </c>
      <c r="Z234" s="1">
        <f ca="1">IFERROR(__xludf.DUMMYFUNCTION("""COMPUTED_VALUE"""),330)</f>
        <v>330</v>
      </c>
      <c r="AA234" s="1">
        <f ca="1">IFERROR(__xludf.DUMMYFUNCTION("""COMPUTED_VALUE"""),949)</f>
        <v>949</v>
      </c>
      <c r="AB234" s="1">
        <f ca="1">IFERROR(__xludf.DUMMYFUNCTION("""COMPUTED_VALUE"""),441)</f>
        <v>441</v>
      </c>
      <c r="AC234" s="1">
        <f ca="1">IFERROR(__xludf.DUMMYFUNCTION("""COMPUTED_VALUE"""),195)</f>
        <v>195</v>
      </c>
      <c r="AD234" s="1">
        <f ca="1">IFERROR(__xludf.DUMMYFUNCTION("""COMPUTED_VALUE"""),119)</f>
        <v>119</v>
      </c>
      <c r="AE234" s="1">
        <f ca="1">IFERROR(__xludf.DUMMYFUNCTION("""COMPUTED_VALUE"""),469)</f>
        <v>469</v>
      </c>
      <c r="AF234" s="1">
        <f ca="1">IFERROR(__xludf.DUMMYFUNCTION("""COMPUTED_VALUE"""),562)</f>
        <v>562</v>
      </c>
    </row>
    <row r="235" spans="1:32" ht="12.5" x14ac:dyDescent="0.25">
      <c r="A235" s="1" t="str">
        <f ca="1">IFERROR(__xludf.DUMMYFUNCTION("""COMPUTED_VALUE"""),"North Texas")</f>
        <v>North Texas</v>
      </c>
      <c r="B235" s="1">
        <f ca="1">IFERROR(__xludf.DUMMYFUNCTION("""COMPUTED_VALUE"""),32)</f>
        <v>32</v>
      </c>
      <c r="C235" s="1">
        <f ca="1">IFERROR(__xludf.DUMMYFUNCTION("""COMPUTED_VALUE"""),12)</f>
        <v>12</v>
      </c>
      <c r="D235" s="1">
        <f ca="1">IFERROR(__xludf.DUMMYFUNCTION("""COMPUTED_VALUE"""),20)</f>
        <v>20</v>
      </c>
      <c r="E235" s="1">
        <f ca="1">IFERROR(__xludf.DUMMYFUNCTION("""COMPUTED_VALUE"""),0.375)</f>
        <v>0.375</v>
      </c>
      <c r="F235" s="1">
        <f ca="1">IFERROR(__xludf.DUMMYFUNCTION("""COMPUTED_VALUE"""),-6.39)</f>
        <v>-6.39</v>
      </c>
      <c r="G235" s="1">
        <f ca="1">IFERROR(__xludf.DUMMYFUNCTION("""COMPUTED_VALUE"""),-2.73)</f>
        <v>-2.73</v>
      </c>
      <c r="H235" s="1">
        <f ca="1">IFERROR(__xludf.DUMMYFUNCTION("""COMPUTED_VALUE"""),7)</f>
        <v>7</v>
      </c>
      <c r="I235" s="1">
        <f ca="1">IFERROR(__xludf.DUMMYFUNCTION("""COMPUTED_VALUE"""),13)</f>
        <v>13</v>
      </c>
      <c r="J235" s="1">
        <f ca="1">IFERROR(__xludf.DUMMYFUNCTION("""COMPUTED_VALUE"""),8)</f>
        <v>8</v>
      </c>
      <c r="K235" s="1">
        <f ca="1">IFERROR(__xludf.DUMMYFUNCTION("""COMPUTED_VALUE"""),7)</f>
        <v>7</v>
      </c>
      <c r="L235" s="1">
        <f ca="1">IFERROR(__xludf.DUMMYFUNCTION("""COMPUTED_VALUE"""),2)</f>
        <v>2</v>
      </c>
      <c r="M235" s="1">
        <f ca="1">IFERROR(__xludf.DUMMYFUNCTION("""COMPUTED_VALUE"""),11)</f>
        <v>11</v>
      </c>
      <c r="N235" s="1">
        <f ca="1">IFERROR(__xludf.DUMMYFUNCTION("""COMPUTED_VALUE"""),2117)</f>
        <v>2117</v>
      </c>
      <c r="O235" s="1">
        <f ca="1">IFERROR(__xludf.DUMMYFUNCTION("""COMPUTED_VALUE"""),2201)</f>
        <v>2201</v>
      </c>
      <c r="P235" s="1">
        <f ca="1">IFERROR(__xludf.DUMMYFUNCTION("""COMPUTED_VALUE"""),1295)</f>
        <v>1295</v>
      </c>
      <c r="Q235" s="1">
        <f ca="1">IFERROR(__xludf.DUMMYFUNCTION("""COMPUTED_VALUE"""),740)</f>
        <v>740</v>
      </c>
      <c r="R235" s="1">
        <f ca="1">IFERROR(__xludf.DUMMYFUNCTION("""COMPUTED_VALUE"""),1793)</f>
        <v>1793</v>
      </c>
      <c r="S235" s="1">
        <f ca="1">IFERROR(__xludf.DUMMYFUNCTION("""COMPUTED_VALUE"""),0.413)</f>
        <v>0.41299999999999998</v>
      </c>
      <c r="T235" s="1">
        <f ca="1">IFERROR(__xludf.DUMMYFUNCTION("""COMPUTED_VALUE"""),113)</f>
        <v>113</v>
      </c>
      <c r="U235" s="1">
        <f ca="1">IFERROR(__xludf.DUMMYFUNCTION("""COMPUTED_VALUE"""),397)</f>
        <v>397</v>
      </c>
      <c r="V235" s="1">
        <f ca="1">IFERROR(__xludf.DUMMYFUNCTION("""COMPUTED_VALUE"""),0.285)</f>
        <v>0.28499999999999998</v>
      </c>
      <c r="W235" s="1">
        <f ca="1">IFERROR(__xludf.DUMMYFUNCTION("""COMPUTED_VALUE"""),524)</f>
        <v>524</v>
      </c>
      <c r="X235" s="1">
        <f ca="1">IFERROR(__xludf.DUMMYFUNCTION("""COMPUTED_VALUE"""),740)</f>
        <v>740</v>
      </c>
      <c r="Y235" s="1">
        <f ca="1">IFERROR(__xludf.DUMMYFUNCTION("""COMPUTED_VALUE"""),0.708)</f>
        <v>0.70799999999999996</v>
      </c>
      <c r="Z235" s="1">
        <f ca="1">IFERROR(__xludf.DUMMYFUNCTION("""COMPUTED_VALUE"""),393)</f>
        <v>393</v>
      </c>
      <c r="AA235" s="1">
        <f ca="1">IFERROR(__xludf.DUMMYFUNCTION("""COMPUTED_VALUE"""),1061)</f>
        <v>1061</v>
      </c>
      <c r="AB235" s="1">
        <f ca="1">IFERROR(__xludf.DUMMYFUNCTION("""COMPUTED_VALUE"""),325)</f>
        <v>325</v>
      </c>
      <c r="AC235" s="1">
        <f ca="1">IFERROR(__xludf.DUMMYFUNCTION("""COMPUTED_VALUE"""),197)</f>
        <v>197</v>
      </c>
      <c r="AD235" s="1">
        <f ca="1">IFERROR(__xludf.DUMMYFUNCTION("""COMPUTED_VALUE"""),153)</f>
        <v>153</v>
      </c>
      <c r="AE235" s="1">
        <f ca="1">IFERROR(__xludf.DUMMYFUNCTION("""COMPUTED_VALUE"""),444)</f>
        <v>444</v>
      </c>
      <c r="AF235" s="1">
        <f ca="1">IFERROR(__xludf.DUMMYFUNCTION("""COMPUTED_VALUE"""),558)</f>
        <v>558</v>
      </c>
    </row>
    <row r="236" spans="1:32" ht="12.5" x14ac:dyDescent="0.25">
      <c r="A236" s="1" t="str">
        <f ca="1">IFERROR(__xludf.DUMMYFUNCTION("""COMPUTED_VALUE"""),"Northeastern")</f>
        <v>Northeastern</v>
      </c>
      <c r="B236" s="1">
        <f ca="1">IFERROR(__xludf.DUMMYFUNCTION("""COMPUTED_VALUE"""),33)</f>
        <v>33</v>
      </c>
      <c r="C236" s="1">
        <f ca="1">IFERROR(__xludf.DUMMYFUNCTION("""COMPUTED_VALUE"""),20)</f>
        <v>20</v>
      </c>
      <c r="D236" s="1">
        <f ca="1">IFERROR(__xludf.DUMMYFUNCTION("""COMPUTED_VALUE"""),13)</f>
        <v>13</v>
      </c>
      <c r="E236" s="1">
        <f ca="1">IFERROR(__xludf.DUMMYFUNCTION("""COMPUTED_VALUE"""),0.606)</f>
        <v>0.60599999999999998</v>
      </c>
      <c r="F236" s="1">
        <f ca="1">IFERROR(__xludf.DUMMYFUNCTION("""COMPUTED_VALUE"""),-1.35)</f>
        <v>-1.35</v>
      </c>
      <c r="G236" s="1">
        <f ca="1">IFERROR(__xludf.DUMMYFUNCTION("""COMPUTED_VALUE"""),-1.93)</f>
        <v>-1.93</v>
      </c>
      <c r="H236" s="1">
        <f ca="1">IFERROR(__xludf.DUMMYFUNCTION("""COMPUTED_VALUE"""),14)</f>
        <v>14</v>
      </c>
      <c r="I236" s="1">
        <f ca="1">IFERROR(__xludf.DUMMYFUNCTION("""COMPUTED_VALUE"""),4)</f>
        <v>4</v>
      </c>
      <c r="J236" s="1">
        <f ca="1">IFERROR(__xludf.DUMMYFUNCTION("""COMPUTED_VALUE"""),7)</f>
        <v>7</v>
      </c>
      <c r="K236" s="1">
        <f ca="1">IFERROR(__xludf.DUMMYFUNCTION("""COMPUTED_VALUE"""),8)</f>
        <v>8</v>
      </c>
      <c r="L236" s="1">
        <f ca="1">IFERROR(__xludf.DUMMYFUNCTION("""COMPUTED_VALUE"""),10)</f>
        <v>10</v>
      </c>
      <c r="M236" s="1">
        <f ca="1">IFERROR(__xludf.DUMMYFUNCTION("""COMPUTED_VALUE"""),3)</f>
        <v>3</v>
      </c>
      <c r="N236" s="1">
        <f ca="1">IFERROR(__xludf.DUMMYFUNCTION("""COMPUTED_VALUE"""),2273)</f>
        <v>2273</v>
      </c>
      <c r="O236" s="1">
        <f ca="1">IFERROR(__xludf.DUMMYFUNCTION("""COMPUTED_VALUE"""),2254)</f>
        <v>2254</v>
      </c>
      <c r="P236" s="1">
        <f ca="1">IFERROR(__xludf.DUMMYFUNCTION("""COMPUTED_VALUE"""),1350)</f>
        <v>1350</v>
      </c>
      <c r="Q236" s="1">
        <f ca="1">IFERROR(__xludf.DUMMYFUNCTION("""COMPUTED_VALUE"""),768)</f>
        <v>768</v>
      </c>
      <c r="R236" s="1">
        <f ca="1">IFERROR(__xludf.DUMMYFUNCTION("""COMPUTED_VALUE"""),1733)</f>
        <v>1733</v>
      </c>
      <c r="S236" s="1">
        <f ca="1">IFERROR(__xludf.DUMMYFUNCTION("""COMPUTED_VALUE"""),0.443)</f>
        <v>0.443</v>
      </c>
      <c r="T236" s="1">
        <f ca="1">IFERROR(__xludf.DUMMYFUNCTION("""COMPUTED_VALUE"""),231)</f>
        <v>231</v>
      </c>
      <c r="U236" s="1">
        <f ca="1">IFERROR(__xludf.DUMMYFUNCTION("""COMPUTED_VALUE"""),622)</f>
        <v>622</v>
      </c>
      <c r="V236" s="1">
        <f ca="1">IFERROR(__xludf.DUMMYFUNCTION("""COMPUTED_VALUE"""),0.371)</f>
        <v>0.371</v>
      </c>
      <c r="W236" s="1">
        <f ca="1">IFERROR(__xludf.DUMMYFUNCTION("""COMPUTED_VALUE"""),506)</f>
        <v>506</v>
      </c>
      <c r="X236" s="1">
        <f ca="1">IFERROR(__xludf.DUMMYFUNCTION("""COMPUTED_VALUE"""),672)</f>
        <v>672</v>
      </c>
      <c r="Y236" s="1">
        <f ca="1">IFERROR(__xludf.DUMMYFUNCTION("""COMPUTED_VALUE"""),0.753)</f>
        <v>0.753</v>
      </c>
      <c r="Z236" s="1">
        <f ca="1">IFERROR(__xludf.DUMMYFUNCTION("""COMPUTED_VALUE"""),328)</f>
        <v>328</v>
      </c>
      <c r="AA236" s="1">
        <f ca="1">IFERROR(__xludf.DUMMYFUNCTION("""COMPUTED_VALUE"""),884)</f>
        <v>884</v>
      </c>
      <c r="AB236" s="1">
        <f ca="1">IFERROR(__xludf.DUMMYFUNCTION("""COMPUTED_VALUE"""),453)</f>
        <v>453</v>
      </c>
      <c r="AC236" s="1">
        <f ca="1">IFERROR(__xludf.DUMMYFUNCTION("""COMPUTED_VALUE"""),259)</f>
        <v>259</v>
      </c>
      <c r="AD236" s="1">
        <f ca="1">IFERROR(__xludf.DUMMYFUNCTION("""COMPUTED_VALUE"""),83)</f>
        <v>83</v>
      </c>
      <c r="AE236" s="1">
        <f ca="1">IFERROR(__xludf.DUMMYFUNCTION("""COMPUTED_VALUE"""),427)</f>
        <v>427</v>
      </c>
      <c r="AF236" s="1">
        <f ca="1">IFERROR(__xludf.DUMMYFUNCTION("""COMPUTED_VALUE"""),505)</f>
        <v>505</v>
      </c>
    </row>
    <row r="237" spans="1:32" ht="12.5" x14ac:dyDescent="0.25">
      <c r="A237" s="1" t="str">
        <f ca="1">IFERROR(__xludf.DUMMYFUNCTION("""COMPUTED_VALUE"""),"Northern Arizona")</f>
        <v>Northern Arizona</v>
      </c>
      <c r="B237" s="1">
        <f ca="1">IFERROR(__xludf.DUMMYFUNCTION("""COMPUTED_VALUE"""),32)</f>
        <v>32</v>
      </c>
      <c r="C237" s="1">
        <f ca="1">IFERROR(__xludf.DUMMYFUNCTION("""COMPUTED_VALUE"""),11)</f>
        <v>11</v>
      </c>
      <c r="D237" s="1">
        <f ca="1">IFERROR(__xludf.DUMMYFUNCTION("""COMPUTED_VALUE"""),21)</f>
        <v>21</v>
      </c>
      <c r="E237" s="1">
        <f ca="1">IFERROR(__xludf.DUMMYFUNCTION("""COMPUTED_VALUE"""),0.344)</f>
        <v>0.34399999999999997</v>
      </c>
      <c r="F237" s="1">
        <f ca="1">IFERROR(__xludf.DUMMYFUNCTION("""COMPUTED_VALUE"""),-12.02)</f>
        <v>-12.02</v>
      </c>
      <c r="G237" s="1">
        <f ca="1">IFERROR(__xludf.DUMMYFUNCTION("""COMPUTED_VALUE"""),-3.55)</f>
        <v>-3.55</v>
      </c>
      <c r="H237" s="1">
        <f ca="1">IFERROR(__xludf.DUMMYFUNCTION("""COMPUTED_VALUE"""),8)</f>
        <v>8</v>
      </c>
      <c r="I237" s="1">
        <f ca="1">IFERROR(__xludf.DUMMYFUNCTION("""COMPUTED_VALUE"""),12)</f>
        <v>12</v>
      </c>
      <c r="J237" s="1">
        <f ca="1">IFERROR(__xludf.DUMMYFUNCTION("""COMPUTED_VALUE"""),6)</f>
        <v>6</v>
      </c>
      <c r="K237" s="1">
        <f ca="1">IFERROR(__xludf.DUMMYFUNCTION("""COMPUTED_VALUE"""),6)</f>
        <v>6</v>
      </c>
      <c r="L237" s="1">
        <f ca="1">IFERROR(__xludf.DUMMYFUNCTION("""COMPUTED_VALUE"""),4)</f>
        <v>4</v>
      </c>
      <c r="M237" s="1">
        <f ca="1">IFERROR(__xludf.DUMMYFUNCTION("""COMPUTED_VALUE"""),13)</f>
        <v>13</v>
      </c>
      <c r="N237" s="1">
        <f ca="1">IFERROR(__xludf.DUMMYFUNCTION("""COMPUTED_VALUE"""),2140)</f>
        <v>2140</v>
      </c>
      <c r="O237" s="1">
        <f ca="1">IFERROR(__xludf.DUMMYFUNCTION("""COMPUTED_VALUE"""),2411)</f>
        <v>2411</v>
      </c>
      <c r="P237" s="1">
        <f ca="1">IFERROR(__xludf.DUMMYFUNCTION("""COMPUTED_VALUE"""),1305)</f>
        <v>1305</v>
      </c>
      <c r="Q237" s="1">
        <f ca="1">IFERROR(__xludf.DUMMYFUNCTION("""COMPUTED_VALUE"""),788)</f>
        <v>788</v>
      </c>
      <c r="R237" s="1">
        <f ca="1">IFERROR(__xludf.DUMMYFUNCTION("""COMPUTED_VALUE"""),1805)</f>
        <v>1805</v>
      </c>
      <c r="S237" s="1">
        <f ca="1">IFERROR(__xludf.DUMMYFUNCTION("""COMPUTED_VALUE"""),0.437)</f>
        <v>0.437</v>
      </c>
      <c r="T237" s="1">
        <f ca="1">IFERROR(__xludf.DUMMYFUNCTION("""COMPUTED_VALUE"""),181)</f>
        <v>181</v>
      </c>
      <c r="U237" s="1">
        <f ca="1">IFERROR(__xludf.DUMMYFUNCTION("""COMPUTED_VALUE"""),554)</f>
        <v>554</v>
      </c>
      <c r="V237" s="1">
        <f ca="1">IFERROR(__xludf.DUMMYFUNCTION("""COMPUTED_VALUE"""),0.327)</f>
        <v>0.32700000000000001</v>
      </c>
      <c r="W237" s="1">
        <f ca="1">IFERROR(__xludf.DUMMYFUNCTION("""COMPUTED_VALUE"""),383)</f>
        <v>383</v>
      </c>
      <c r="X237" s="1">
        <f ca="1">IFERROR(__xludf.DUMMYFUNCTION("""COMPUTED_VALUE"""),567)</f>
        <v>567</v>
      </c>
      <c r="Y237" s="1">
        <f ca="1">IFERROR(__xludf.DUMMYFUNCTION("""COMPUTED_VALUE"""),0.675)</f>
        <v>0.67500000000000004</v>
      </c>
      <c r="Z237" s="1">
        <f ca="1">IFERROR(__xludf.DUMMYFUNCTION("""COMPUTED_VALUE"""),305)</f>
        <v>305</v>
      </c>
      <c r="AA237" s="1">
        <f ca="1">IFERROR(__xludf.DUMMYFUNCTION("""COMPUTED_VALUE"""),924)</f>
        <v>924</v>
      </c>
      <c r="AB237" s="1">
        <f ca="1">IFERROR(__xludf.DUMMYFUNCTION("""COMPUTED_VALUE"""),434)</f>
        <v>434</v>
      </c>
      <c r="AC237" s="1">
        <f ca="1">IFERROR(__xludf.DUMMYFUNCTION("""COMPUTED_VALUE"""),229)</f>
        <v>229</v>
      </c>
      <c r="AD237" s="1">
        <f ca="1">IFERROR(__xludf.DUMMYFUNCTION("""COMPUTED_VALUE"""),77)</f>
        <v>77</v>
      </c>
      <c r="AE237" s="1">
        <f ca="1">IFERROR(__xludf.DUMMYFUNCTION("""COMPUTED_VALUE"""),458)</f>
        <v>458</v>
      </c>
      <c r="AF237" s="1">
        <f ca="1">IFERROR(__xludf.DUMMYFUNCTION("""COMPUTED_VALUE"""),558)</f>
        <v>558</v>
      </c>
    </row>
    <row r="238" spans="1:32" ht="12.5" x14ac:dyDescent="0.25">
      <c r="A238" s="1" t="str">
        <f ca="1">IFERROR(__xludf.DUMMYFUNCTION("""COMPUTED_VALUE"""),"Northern Colorado")</f>
        <v>Northern Colorado</v>
      </c>
      <c r="B238" s="1">
        <f ca="1">IFERROR(__xludf.DUMMYFUNCTION("""COMPUTED_VALUE"""),31)</f>
        <v>31</v>
      </c>
      <c r="C238" s="1">
        <f ca="1">IFERROR(__xludf.DUMMYFUNCTION("""COMPUTED_VALUE"""),13)</f>
        <v>13</v>
      </c>
      <c r="D238" s="1">
        <f ca="1">IFERROR(__xludf.DUMMYFUNCTION("""COMPUTED_VALUE"""),18)</f>
        <v>18</v>
      </c>
      <c r="E238" s="1">
        <f ca="1">IFERROR(__xludf.DUMMYFUNCTION("""COMPUTED_VALUE"""),0.419)</f>
        <v>0.41899999999999998</v>
      </c>
      <c r="F238" s="1">
        <f ca="1">IFERROR(__xludf.DUMMYFUNCTION("""COMPUTED_VALUE"""),-7.64)</f>
        <v>-7.64</v>
      </c>
      <c r="G238" s="1">
        <f ca="1">IFERROR(__xludf.DUMMYFUNCTION("""COMPUTED_VALUE"""),-5.19)</f>
        <v>-5.19</v>
      </c>
      <c r="H238" s="1">
        <f ca="1">IFERROR(__xludf.DUMMYFUNCTION("""COMPUTED_VALUE"""),10)</f>
        <v>10</v>
      </c>
      <c r="I238" s="1">
        <f ca="1">IFERROR(__xludf.DUMMYFUNCTION("""COMPUTED_VALUE"""),10)</f>
        <v>10</v>
      </c>
      <c r="J238" s="1">
        <f ca="1">IFERROR(__xludf.DUMMYFUNCTION("""COMPUTED_VALUE"""),8)</f>
        <v>8</v>
      </c>
      <c r="K238" s="1">
        <f ca="1">IFERROR(__xludf.DUMMYFUNCTION("""COMPUTED_VALUE"""),5)</f>
        <v>5</v>
      </c>
      <c r="L238" s="1">
        <f ca="1">IFERROR(__xludf.DUMMYFUNCTION("""COMPUTED_VALUE"""),4)</f>
        <v>4</v>
      </c>
      <c r="M238" s="1">
        <f ca="1">IFERROR(__xludf.DUMMYFUNCTION("""COMPUTED_VALUE"""),13)</f>
        <v>13</v>
      </c>
      <c r="N238" s="1">
        <f ca="1">IFERROR(__xludf.DUMMYFUNCTION("""COMPUTED_VALUE"""),2184)</f>
        <v>2184</v>
      </c>
      <c r="O238" s="1">
        <f ca="1">IFERROR(__xludf.DUMMYFUNCTION("""COMPUTED_VALUE"""),2181)</f>
        <v>2181</v>
      </c>
      <c r="P238" s="1">
        <f ca="1">IFERROR(__xludf.DUMMYFUNCTION("""COMPUTED_VALUE"""),1245)</f>
        <v>1245</v>
      </c>
      <c r="Q238" s="1">
        <f ca="1">IFERROR(__xludf.DUMMYFUNCTION("""COMPUTED_VALUE"""),796)</f>
        <v>796</v>
      </c>
      <c r="R238" s="1">
        <f ca="1">IFERROR(__xludf.DUMMYFUNCTION("""COMPUTED_VALUE"""),1718)</f>
        <v>1718</v>
      </c>
      <c r="S238" s="1">
        <f ca="1">IFERROR(__xludf.DUMMYFUNCTION("""COMPUTED_VALUE"""),0.463)</f>
        <v>0.46300000000000002</v>
      </c>
      <c r="T238" s="1">
        <f ca="1">IFERROR(__xludf.DUMMYFUNCTION("""COMPUTED_VALUE"""),211)</f>
        <v>211</v>
      </c>
      <c r="U238" s="1">
        <f ca="1">IFERROR(__xludf.DUMMYFUNCTION("""COMPUTED_VALUE"""),560)</f>
        <v>560</v>
      </c>
      <c r="V238" s="1">
        <f ca="1">IFERROR(__xludf.DUMMYFUNCTION("""COMPUTED_VALUE"""),0.377)</f>
        <v>0.377</v>
      </c>
      <c r="W238" s="1">
        <f ca="1">IFERROR(__xludf.DUMMYFUNCTION("""COMPUTED_VALUE"""),381)</f>
        <v>381</v>
      </c>
      <c r="X238" s="1">
        <f ca="1">IFERROR(__xludf.DUMMYFUNCTION("""COMPUTED_VALUE"""),565)</f>
        <v>565</v>
      </c>
      <c r="Y238" s="1">
        <f ca="1">IFERROR(__xludf.DUMMYFUNCTION("""COMPUTED_VALUE"""),0.674)</f>
        <v>0.67400000000000004</v>
      </c>
      <c r="Z238" s="1">
        <f ca="1">IFERROR(__xludf.DUMMYFUNCTION("""COMPUTED_VALUE"""),330)</f>
        <v>330</v>
      </c>
      <c r="AA238" s="1">
        <f ca="1">IFERROR(__xludf.DUMMYFUNCTION("""COMPUTED_VALUE"""),984)</f>
        <v>984</v>
      </c>
      <c r="AB238" s="1">
        <f ca="1">IFERROR(__xludf.DUMMYFUNCTION("""COMPUTED_VALUE"""),405)</f>
        <v>405</v>
      </c>
      <c r="AC238" s="1">
        <f ca="1">IFERROR(__xludf.DUMMYFUNCTION("""COMPUTED_VALUE"""),207)</f>
        <v>207</v>
      </c>
      <c r="AD238" s="1">
        <f ca="1">IFERROR(__xludf.DUMMYFUNCTION("""COMPUTED_VALUE"""),71)</f>
        <v>71</v>
      </c>
      <c r="AE238" s="1">
        <f ca="1">IFERROR(__xludf.DUMMYFUNCTION("""COMPUTED_VALUE"""),407)</f>
        <v>407</v>
      </c>
      <c r="AF238" s="1">
        <f ca="1">IFERROR(__xludf.DUMMYFUNCTION("""COMPUTED_VALUE"""),551)</f>
        <v>551</v>
      </c>
    </row>
    <row r="239" spans="1:32" ht="12.5" x14ac:dyDescent="0.25">
      <c r="A239" s="1" t="str">
        <f ca="1">IFERROR(__xludf.DUMMYFUNCTION("""COMPUTED_VALUE"""),"Northern Illinois")</f>
        <v>Northern Illinois</v>
      </c>
      <c r="B239" s="1">
        <f ca="1">IFERROR(__xludf.DUMMYFUNCTION("""COMPUTED_VALUE"""),30)</f>
        <v>30</v>
      </c>
      <c r="C239" s="1">
        <f ca="1">IFERROR(__xludf.DUMMYFUNCTION("""COMPUTED_VALUE"""),5)</f>
        <v>5</v>
      </c>
      <c r="D239" s="1">
        <f ca="1">IFERROR(__xludf.DUMMYFUNCTION("""COMPUTED_VALUE"""),25)</f>
        <v>25</v>
      </c>
      <c r="E239" s="1">
        <f ca="1">IFERROR(__xludf.DUMMYFUNCTION("""COMPUTED_VALUE"""),0.167)</f>
        <v>0.16700000000000001</v>
      </c>
      <c r="F239" s="1">
        <f ca="1">IFERROR(__xludf.DUMMYFUNCTION("""COMPUTED_VALUE"""),-12)</f>
        <v>-12</v>
      </c>
      <c r="G239" s="1">
        <f ca="1">IFERROR(__xludf.DUMMYFUNCTION("""COMPUTED_VALUE"""),-2.2)</f>
        <v>-2.2000000000000002</v>
      </c>
      <c r="H239" s="1">
        <f ca="1">IFERROR(__xludf.DUMMYFUNCTION("""COMPUTED_VALUE"""),3)</f>
        <v>3</v>
      </c>
      <c r="I239" s="1">
        <f ca="1">IFERROR(__xludf.DUMMYFUNCTION("""COMPUTED_VALUE"""),13)</f>
        <v>13</v>
      </c>
      <c r="J239" s="1">
        <f ca="1">IFERROR(__xludf.DUMMYFUNCTION("""COMPUTED_VALUE"""),3)</f>
        <v>3</v>
      </c>
      <c r="K239" s="1">
        <f ca="1">IFERROR(__xludf.DUMMYFUNCTION("""COMPUTED_VALUE"""),11)</f>
        <v>11</v>
      </c>
      <c r="L239" s="1">
        <f ca="1">IFERROR(__xludf.DUMMYFUNCTION("""COMPUTED_VALUE"""),2)</f>
        <v>2</v>
      </c>
      <c r="M239" s="1">
        <f ca="1">IFERROR(__xludf.DUMMYFUNCTION("""COMPUTED_VALUE"""),14)</f>
        <v>14</v>
      </c>
      <c r="N239" s="1">
        <f ca="1">IFERROR(__xludf.DUMMYFUNCTION("""COMPUTED_VALUE"""),1619)</f>
        <v>1619</v>
      </c>
      <c r="O239" s="1">
        <f ca="1">IFERROR(__xludf.DUMMYFUNCTION("""COMPUTED_VALUE"""),1885)</f>
        <v>1885</v>
      </c>
      <c r="P239" s="1">
        <f ca="1">IFERROR(__xludf.DUMMYFUNCTION("""COMPUTED_VALUE"""),1205)</f>
        <v>1205</v>
      </c>
      <c r="Q239" s="1">
        <f ca="1">IFERROR(__xludf.DUMMYFUNCTION("""COMPUTED_VALUE"""),561)</f>
        <v>561</v>
      </c>
      <c r="R239" s="1">
        <f ca="1">IFERROR(__xludf.DUMMYFUNCTION("""COMPUTED_VALUE"""),1565)</f>
        <v>1565</v>
      </c>
      <c r="S239" s="1">
        <f ca="1">IFERROR(__xludf.DUMMYFUNCTION("""COMPUTED_VALUE"""),0.358)</f>
        <v>0.35799999999999998</v>
      </c>
      <c r="T239" s="1">
        <f ca="1">IFERROR(__xludf.DUMMYFUNCTION("""COMPUTED_VALUE"""),136)</f>
        <v>136</v>
      </c>
      <c r="U239" s="1">
        <f ca="1">IFERROR(__xludf.DUMMYFUNCTION("""COMPUTED_VALUE"""),493)</f>
        <v>493</v>
      </c>
      <c r="V239" s="1">
        <f ca="1">IFERROR(__xludf.DUMMYFUNCTION("""COMPUTED_VALUE"""),0.276)</f>
        <v>0.27600000000000002</v>
      </c>
      <c r="W239" s="1">
        <f ca="1">IFERROR(__xludf.DUMMYFUNCTION("""COMPUTED_VALUE"""),361)</f>
        <v>361</v>
      </c>
      <c r="X239" s="1">
        <f ca="1">IFERROR(__xludf.DUMMYFUNCTION("""COMPUTED_VALUE"""),553)</f>
        <v>553</v>
      </c>
      <c r="Y239" s="1">
        <f ca="1">IFERROR(__xludf.DUMMYFUNCTION("""COMPUTED_VALUE"""),0.653)</f>
        <v>0.65300000000000002</v>
      </c>
      <c r="Z239" s="1">
        <f ca="1">IFERROR(__xludf.DUMMYFUNCTION("""COMPUTED_VALUE"""),372)</f>
        <v>372</v>
      </c>
      <c r="AA239" s="1">
        <f ca="1">IFERROR(__xludf.DUMMYFUNCTION("""COMPUTED_VALUE"""),887)</f>
        <v>887</v>
      </c>
      <c r="AB239" s="1">
        <f ca="1">IFERROR(__xludf.DUMMYFUNCTION("""COMPUTED_VALUE"""),254)</f>
        <v>254</v>
      </c>
      <c r="AC239" s="1">
        <f ca="1">IFERROR(__xludf.DUMMYFUNCTION("""COMPUTED_VALUE"""),213)</f>
        <v>213</v>
      </c>
      <c r="AD239" s="1">
        <f ca="1">IFERROR(__xludf.DUMMYFUNCTION("""COMPUTED_VALUE"""),51)</f>
        <v>51</v>
      </c>
      <c r="AE239" s="1">
        <f ca="1">IFERROR(__xludf.DUMMYFUNCTION("""COMPUTED_VALUE"""),434)</f>
        <v>434</v>
      </c>
      <c r="AF239" s="1">
        <f ca="1">IFERROR(__xludf.DUMMYFUNCTION("""COMPUTED_VALUE"""),612)</f>
        <v>612</v>
      </c>
    </row>
    <row r="240" spans="1:32" ht="12.5" x14ac:dyDescent="0.25">
      <c r="A240" s="1" t="str">
        <f ca="1">IFERROR(__xludf.DUMMYFUNCTION("""COMPUTED_VALUE"""),"Northern Iowa")</f>
        <v>Northern Iowa</v>
      </c>
      <c r="B240" s="1">
        <f ca="1">IFERROR(__xludf.DUMMYFUNCTION("""COMPUTED_VALUE"""),36)</f>
        <v>36</v>
      </c>
      <c r="C240" s="1">
        <f ca="1">IFERROR(__xludf.DUMMYFUNCTION("""COMPUTED_VALUE"""),21)</f>
        <v>21</v>
      </c>
      <c r="D240" s="1">
        <f ca="1">IFERROR(__xludf.DUMMYFUNCTION("""COMPUTED_VALUE"""),15)</f>
        <v>15</v>
      </c>
      <c r="E240" s="1">
        <f ca="1">IFERROR(__xludf.DUMMYFUNCTION("""COMPUTED_VALUE"""),0.583)</f>
        <v>0.58299999999999996</v>
      </c>
      <c r="F240" s="1">
        <f ca="1">IFERROR(__xludf.DUMMYFUNCTION("""COMPUTED_VALUE"""),8.6)</f>
        <v>8.6</v>
      </c>
      <c r="G240" s="1">
        <f ca="1">IFERROR(__xludf.DUMMYFUNCTION("""COMPUTED_VALUE"""),5.23)</f>
        <v>5.23</v>
      </c>
      <c r="H240" s="1">
        <f ca="1">IFERROR(__xludf.DUMMYFUNCTION("""COMPUTED_VALUE"""),11)</f>
        <v>11</v>
      </c>
      <c r="I240" s="1">
        <f ca="1">IFERROR(__xludf.DUMMYFUNCTION("""COMPUTED_VALUE"""),7)</f>
        <v>7</v>
      </c>
      <c r="J240" s="1">
        <f ca="1">IFERROR(__xludf.DUMMYFUNCTION("""COMPUTED_VALUE"""),16)</f>
        <v>16</v>
      </c>
      <c r="K240" s="1">
        <f ca="1">IFERROR(__xludf.DUMMYFUNCTION("""COMPUTED_VALUE"""),4)</f>
        <v>4</v>
      </c>
      <c r="L240" s="1">
        <f ca="1">IFERROR(__xludf.DUMMYFUNCTION("""COMPUTED_VALUE"""),5)</f>
        <v>5</v>
      </c>
      <c r="M240" s="1">
        <f ca="1">IFERROR(__xludf.DUMMYFUNCTION("""COMPUTED_VALUE"""),6)</f>
        <v>6</v>
      </c>
      <c r="N240" s="1">
        <f ca="1">IFERROR(__xludf.DUMMYFUNCTION("""COMPUTED_VALUE"""),2400)</f>
        <v>2400</v>
      </c>
      <c r="O240" s="1">
        <f ca="1">IFERROR(__xludf.DUMMYFUNCTION("""COMPUTED_VALUE"""),2229)</f>
        <v>2229</v>
      </c>
      <c r="P240" s="1">
        <f ca="1">IFERROR(__xludf.DUMMYFUNCTION("""COMPUTED_VALUE"""),1455)</f>
        <v>1455</v>
      </c>
      <c r="Q240" s="1">
        <f ca="1">IFERROR(__xludf.DUMMYFUNCTION("""COMPUTED_VALUE"""),828)</f>
        <v>828</v>
      </c>
      <c r="R240" s="1">
        <f ca="1">IFERROR(__xludf.DUMMYFUNCTION("""COMPUTED_VALUE"""),1869)</f>
        <v>1869</v>
      </c>
      <c r="S240" s="1">
        <f ca="1">IFERROR(__xludf.DUMMYFUNCTION("""COMPUTED_VALUE"""),0.443)</f>
        <v>0.443</v>
      </c>
      <c r="T240" s="1">
        <f ca="1">IFERROR(__xludf.DUMMYFUNCTION("""COMPUTED_VALUE"""),280)</f>
        <v>280</v>
      </c>
      <c r="U240" s="1">
        <f ca="1">IFERROR(__xludf.DUMMYFUNCTION("""COMPUTED_VALUE"""),762)</f>
        <v>762</v>
      </c>
      <c r="V240" s="1">
        <f ca="1">IFERROR(__xludf.DUMMYFUNCTION("""COMPUTED_VALUE"""),0.367)</f>
        <v>0.36699999999999999</v>
      </c>
      <c r="W240" s="1">
        <f ca="1">IFERROR(__xludf.DUMMYFUNCTION("""COMPUTED_VALUE"""),464)</f>
        <v>464</v>
      </c>
      <c r="X240" s="1">
        <f ca="1">IFERROR(__xludf.DUMMYFUNCTION("""COMPUTED_VALUE"""),613)</f>
        <v>613</v>
      </c>
      <c r="Y240" s="1">
        <f ca="1">IFERROR(__xludf.DUMMYFUNCTION("""COMPUTED_VALUE"""),0.757)</f>
        <v>0.75700000000000001</v>
      </c>
      <c r="Z240" s="1">
        <f ca="1">IFERROR(__xludf.DUMMYFUNCTION("""COMPUTED_VALUE"""),281)</f>
        <v>281</v>
      </c>
      <c r="AA240" s="1">
        <f ca="1">IFERROR(__xludf.DUMMYFUNCTION("""COMPUTED_VALUE"""),1061)</f>
        <v>1061</v>
      </c>
      <c r="AB240" s="1">
        <f ca="1">IFERROR(__xludf.DUMMYFUNCTION("""COMPUTED_VALUE"""),442)</f>
        <v>442</v>
      </c>
      <c r="AC240" s="1">
        <f ca="1">IFERROR(__xludf.DUMMYFUNCTION("""COMPUTED_VALUE"""),223)</f>
        <v>223</v>
      </c>
      <c r="AD240" s="1">
        <f ca="1">IFERROR(__xludf.DUMMYFUNCTION("""COMPUTED_VALUE"""),88)</f>
        <v>88</v>
      </c>
      <c r="AE240" s="1">
        <f ca="1">IFERROR(__xludf.DUMMYFUNCTION("""COMPUTED_VALUE"""),432)</f>
        <v>432</v>
      </c>
      <c r="AF240" s="1">
        <f ca="1">IFERROR(__xludf.DUMMYFUNCTION("""COMPUTED_VALUE"""),527)</f>
        <v>527</v>
      </c>
    </row>
    <row r="241" spans="1:32" ht="12.5" x14ac:dyDescent="0.25">
      <c r="A241" s="1" t="str">
        <f ca="1">IFERROR(__xludf.DUMMYFUNCTION("""COMPUTED_VALUE"""),"Northern Kentucky")</f>
        <v>Northern Kentucky</v>
      </c>
      <c r="B241" s="1">
        <f ca="1">IFERROR(__xludf.DUMMYFUNCTION("""COMPUTED_VALUE"""),27)</f>
        <v>27</v>
      </c>
      <c r="C241" s="1">
        <f ca="1">IFERROR(__xludf.DUMMYFUNCTION("""COMPUTED_VALUE"""),11)</f>
        <v>11</v>
      </c>
      <c r="D241" s="1">
        <f ca="1">IFERROR(__xludf.DUMMYFUNCTION("""COMPUTED_VALUE"""),16)</f>
        <v>16</v>
      </c>
      <c r="E241" s="1">
        <f ca="1">IFERROR(__xludf.DUMMYFUNCTION("""COMPUTED_VALUE"""),0.407)</f>
        <v>0.40699999999999997</v>
      </c>
      <c r="F241" s="1">
        <f ca="1">IFERROR(__xludf.DUMMYFUNCTION("""COMPUTED_VALUE"""),-7.82)</f>
        <v>-7.82</v>
      </c>
      <c r="G241" s="1">
        <f ca="1">IFERROR(__xludf.DUMMYFUNCTION("""COMPUTED_VALUE"""),-5.42)</f>
        <v>-5.42</v>
      </c>
      <c r="H241" s="1">
        <f ca="1">IFERROR(__xludf.DUMMYFUNCTION("""COMPUTED_VALUE"""),9)</f>
        <v>9</v>
      </c>
      <c r="I241" s="1">
        <f ca="1">IFERROR(__xludf.DUMMYFUNCTION("""COMPUTED_VALUE"""),9)</f>
        <v>9</v>
      </c>
      <c r="J241" s="1">
        <f ca="1">IFERROR(__xludf.DUMMYFUNCTION("""COMPUTED_VALUE"""),5)</f>
        <v>5</v>
      </c>
      <c r="K241" s="1">
        <f ca="1">IFERROR(__xludf.DUMMYFUNCTION("""COMPUTED_VALUE"""),4)</f>
        <v>4</v>
      </c>
      <c r="L241" s="1">
        <f ca="1">IFERROR(__xludf.DUMMYFUNCTION("""COMPUTED_VALUE"""),6)</f>
        <v>6</v>
      </c>
      <c r="M241" s="1">
        <f ca="1">IFERROR(__xludf.DUMMYFUNCTION("""COMPUTED_VALUE"""),9)</f>
        <v>9</v>
      </c>
      <c r="N241" s="1">
        <f ca="1">IFERROR(__xludf.DUMMYFUNCTION("""COMPUTED_VALUE"""),1582)</f>
        <v>1582</v>
      </c>
      <c r="O241" s="1">
        <f ca="1">IFERROR(__xludf.DUMMYFUNCTION("""COMPUTED_VALUE"""),1647)</f>
        <v>1647</v>
      </c>
      <c r="P241" s="1">
        <f ca="1">IFERROR(__xludf.DUMMYFUNCTION("""COMPUTED_VALUE"""),1080)</f>
        <v>1080</v>
      </c>
      <c r="Q241" s="1">
        <f ca="1">IFERROR(__xludf.DUMMYFUNCTION("""COMPUTED_VALUE"""),553)</f>
        <v>553</v>
      </c>
      <c r="R241" s="1">
        <f ca="1">IFERROR(__xludf.DUMMYFUNCTION("""COMPUTED_VALUE"""),1363)</f>
        <v>1363</v>
      </c>
      <c r="S241" s="1">
        <f ca="1">IFERROR(__xludf.DUMMYFUNCTION("""COMPUTED_VALUE"""),0.406)</f>
        <v>0.40600000000000003</v>
      </c>
      <c r="T241" s="1">
        <f ca="1">IFERROR(__xludf.DUMMYFUNCTION("""COMPUTED_VALUE"""),204)</f>
        <v>204</v>
      </c>
      <c r="U241" s="1">
        <f ca="1">IFERROR(__xludf.DUMMYFUNCTION("""COMPUTED_VALUE"""),617)</f>
        <v>617</v>
      </c>
      <c r="V241" s="1">
        <f ca="1">IFERROR(__xludf.DUMMYFUNCTION("""COMPUTED_VALUE"""),0.331)</f>
        <v>0.33100000000000002</v>
      </c>
      <c r="W241" s="1">
        <f ca="1">IFERROR(__xludf.DUMMYFUNCTION("""COMPUTED_VALUE"""),272)</f>
        <v>272</v>
      </c>
      <c r="X241" s="1">
        <f ca="1">IFERROR(__xludf.DUMMYFUNCTION("""COMPUTED_VALUE"""),387)</f>
        <v>387</v>
      </c>
      <c r="Y241" s="1">
        <f ca="1">IFERROR(__xludf.DUMMYFUNCTION("""COMPUTED_VALUE"""),0.703)</f>
        <v>0.70299999999999996</v>
      </c>
      <c r="Z241" s="1">
        <f ca="1">IFERROR(__xludf.DUMMYFUNCTION("""COMPUTED_VALUE"""),220)</f>
        <v>220</v>
      </c>
      <c r="AA241" s="1">
        <f ca="1">IFERROR(__xludf.DUMMYFUNCTION("""COMPUTED_VALUE"""),709)</f>
        <v>709</v>
      </c>
      <c r="AB241" s="1">
        <f ca="1">IFERROR(__xludf.DUMMYFUNCTION("""COMPUTED_VALUE"""),340)</f>
        <v>340</v>
      </c>
      <c r="AC241" s="1">
        <f ca="1">IFERROR(__xludf.DUMMYFUNCTION("""COMPUTED_VALUE"""),165)</f>
        <v>165</v>
      </c>
      <c r="AD241" s="1">
        <f ca="1">IFERROR(__xludf.DUMMYFUNCTION("""COMPUTED_VALUE"""),52)</f>
        <v>52</v>
      </c>
      <c r="AE241" s="1">
        <f ca="1">IFERROR(__xludf.DUMMYFUNCTION("""COMPUTED_VALUE"""),308)</f>
        <v>308</v>
      </c>
      <c r="AF241" s="1">
        <f ca="1">IFERROR(__xludf.DUMMYFUNCTION("""COMPUTED_VALUE"""),427)</f>
        <v>427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IFERROR(__xludf.DUMMYFUNCTION("""COMPUTED_VALUE"""),"Northwestern StateNCAA")</f>
        <v>Northwestern StateNCAA</v>
      </c>
      <c r="B244" s="1">
        <f ca="1">IFERROR(__xludf.DUMMYFUNCTION("""COMPUTED_VALUE"""),32)</f>
        <v>32</v>
      </c>
      <c r="C244" s="1">
        <f ca="1">IFERROR(__xludf.DUMMYFUNCTION("""COMPUTED_VALUE"""),23)</f>
        <v>23</v>
      </c>
      <c r="D244" s="1">
        <f ca="1">IFERROR(__xludf.DUMMYFUNCTION("""COMPUTED_VALUE"""),9)</f>
        <v>9</v>
      </c>
      <c r="E244" s="1">
        <f ca="1">IFERROR(__xludf.DUMMYFUNCTION("""COMPUTED_VALUE"""),0.719)</f>
        <v>0.71899999999999997</v>
      </c>
      <c r="F244" s="1">
        <f ca="1">IFERROR(__xludf.DUMMYFUNCTION("""COMPUTED_VALUE"""),0.41)</f>
        <v>0.41</v>
      </c>
      <c r="G244" s="1">
        <f ca="1">IFERROR(__xludf.DUMMYFUNCTION("""COMPUTED_VALUE"""),-3.77)</f>
        <v>-3.77</v>
      </c>
      <c r="H244" s="1">
        <f ca="1">IFERROR(__xludf.DUMMYFUNCTION("""COMPUTED_VALUE"""),15)</f>
        <v>15</v>
      </c>
      <c r="I244" s="1">
        <f ca="1">IFERROR(__xludf.DUMMYFUNCTION("""COMPUTED_VALUE"""),3)</f>
        <v>3</v>
      </c>
      <c r="J244" s="1">
        <f ca="1">IFERROR(__xludf.DUMMYFUNCTION("""COMPUTED_VALUE"""),13)</f>
        <v>13</v>
      </c>
      <c r="K244" s="1">
        <f ca="1">IFERROR(__xludf.DUMMYFUNCTION("""COMPUTED_VALUE"""),1)</f>
        <v>1</v>
      </c>
      <c r="L244" s="1">
        <f ca="1">IFERROR(__xludf.DUMMYFUNCTION("""COMPUTED_VALUE"""),8)</f>
        <v>8</v>
      </c>
      <c r="M244" s="1">
        <f ca="1">IFERROR(__xludf.DUMMYFUNCTION("""COMPUTED_VALUE"""),7)</f>
        <v>7</v>
      </c>
      <c r="N244" s="1">
        <f ca="1">IFERROR(__xludf.DUMMYFUNCTION("""COMPUTED_VALUE"""),2559)</f>
        <v>2559</v>
      </c>
      <c r="O244" s="1">
        <f ca="1">IFERROR(__xludf.DUMMYFUNCTION("""COMPUTED_VALUE"""),2285)</f>
        <v>2285</v>
      </c>
      <c r="P244" s="1">
        <f ca="1">IFERROR(__xludf.DUMMYFUNCTION("""COMPUTED_VALUE"""),1280)</f>
        <v>1280</v>
      </c>
      <c r="Q244" s="1">
        <f ca="1">IFERROR(__xludf.DUMMYFUNCTION("""COMPUTED_VALUE"""),919)</f>
        <v>919</v>
      </c>
      <c r="R244" s="1">
        <f ca="1">IFERROR(__xludf.DUMMYFUNCTION("""COMPUTED_VALUE"""),2007)</f>
        <v>2007</v>
      </c>
      <c r="S244" s="1">
        <f ca="1">IFERROR(__xludf.DUMMYFUNCTION("""COMPUTED_VALUE"""),0.458)</f>
        <v>0.45800000000000002</v>
      </c>
      <c r="T244" s="1">
        <f ca="1">IFERROR(__xludf.DUMMYFUNCTION("""COMPUTED_VALUE"""),189)</f>
        <v>189</v>
      </c>
      <c r="U244" s="1">
        <f ca="1">IFERROR(__xludf.DUMMYFUNCTION("""COMPUTED_VALUE"""),603)</f>
        <v>603</v>
      </c>
      <c r="V244" s="1">
        <f ca="1">IFERROR(__xludf.DUMMYFUNCTION("""COMPUTED_VALUE"""),0.313)</f>
        <v>0.313</v>
      </c>
      <c r="W244" s="1">
        <f ca="1">IFERROR(__xludf.DUMMYFUNCTION("""COMPUTED_VALUE"""),532)</f>
        <v>532</v>
      </c>
      <c r="X244" s="1">
        <f ca="1">IFERROR(__xludf.DUMMYFUNCTION("""COMPUTED_VALUE"""),775)</f>
        <v>775</v>
      </c>
      <c r="Y244" s="1">
        <f ca="1">IFERROR(__xludf.DUMMYFUNCTION("""COMPUTED_VALUE"""),0.686)</f>
        <v>0.68600000000000005</v>
      </c>
      <c r="Z244" s="1">
        <f ca="1">IFERROR(__xludf.DUMMYFUNCTION("""COMPUTED_VALUE"""),435)</f>
        <v>435</v>
      </c>
      <c r="AA244" s="1">
        <f ca="1">IFERROR(__xludf.DUMMYFUNCTION("""COMPUTED_VALUE"""),1133)</f>
        <v>1133</v>
      </c>
      <c r="AB244" s="1">
        <f ca="1">IFERROR(__xludf.DUMMYFUNCTION("""COMPUTED_VALUE"""),489)</f>
        <v>489</v>
      </c>
      <c r="AC244" s="1">
        <f ca="1">IFERROR(__xludf.DUMMYFUNCTION("""COMPUTED_VALUE"""),307)</f>
        <v>307</v>
      </c>
      <c r="AD244" s="1">
        <f ca="1">IFERROR(__xludf.DUMMYFUNCTION("""COMPUTED_VALUE"""),151)</f>
        <v>151</v>
      </c>
      <c r="AE244" s="1">
        <f ca="1">IFERROR(__xludf.DUMMYFUNCTION("""COMPUTED_VALUE"""),448)</f>
        <v>448</v>
      </c>
      <c r="AF244" s="1">
        <f ca="1">IFERROR(__xludf.DUMMYFUNCTION("""COMPUTED_VALUE"""),619)</f>
        <v>619</v>
      </c>
    </row>
    <row r="245" spans="1:32" ht="12.5" x14ac:dyDescent="0.25">
      <c r="A245" s="1" t="str">
        <f ca="1">IFERROR(__xludf.DUMMYFUNCTION("""COMPUTED_VALUE"""),"Northwestern")</f>
        <v>Northwestern</v>
      </c>
      <c r="B245" s="1">
        <f ca="1">IFERROR(__xludf.DUMMYFUNCTION("""COMPUTED_VALUE"""),32)</f>
        <v>32</v>
      </c>
      <c r="C245" s="1">
        <f ca="1">IFERROR(__xludf.DUMMYFUNCTION("""COMPUTED_VALUE"""),13)</f>
        <v>13</v>
      </c>
      <c r="D245" s="1">
        <f ca="1">IFERROR(__xludf.DUMMYFUNCTION("""COMPUTED_VALUE"""),19)</f>
        <v>19</v>
      </c>
      <c r="E245" s="1">
        <f ca="1">IFERROR(__xludf.DUMMYFUNCTION("""COMPUTED_VALUE"""),0.406)</f>
        <v>0.40600000000000003</v>
      </c>
      <c r="F245" s="1">
        <f ca="1">IFERROR(__xludf.DUMMYFUNCTION("""COMPUTED_VALUE"""),5.36)</f>
        <v>5.36</v>
      </c>
      <c r="G245" s="1">
        <f ca="1">IFERROR(__xludf.DUMMYFUNCTION("""COMPUTED_VALUE"""),8.3)</f>
        <v>8.3000000000000007</v>
      </c>
      <c r="H245" s="1">
        <f ca="1">IFERROR(__xludf.DUMMYFUNCTION("""COMPUTED_VALUE"""),4)</f>
        <v>4</v>
      </c>
      <c r="I245" s="1">
        <f ca="1">IFERROR(__xludf.DUMMYFUNCTION("""COMPUTED_VALUE"""),14)</f>
        <v>14</v>
      </c>
      <c r="J245" s="1">
        <f ca="1">IFERROR(__xludf.DUMMYFUNCTION("""COMPUTED_VALUE"""),8)</f>
        <v>8</v>
      </c>
      <c r="K245" s="1">
        <f ca="1">IFERROR(__xludf.DUMMYFUNCTION("""COMPUTED_VALUE"""),11)</f>
        <v>11</v>
      </c>
      <c r="L245" s="1">
        <f ca="1">IFERROR(__xludf.DUMMYFUNCTION("""COMPUTED_VALUE"""),3)</f>
        <v>3</v>
      </c>
      <c r="M245" s="1">
        <f ca="1">IFERROR(__xludf.DUMMYFUNCTION("""COMPUTED_VALUE"""),7)</f>
        <v>7</v>
      </c>
      <c r="N245" s="1">
        <f ca="1">IFERROR(__xludf.DUMMYFUNCTION("""COMPUTED_VALUE"""),1943)</f>
        <v>1943</v>
      </c>
      <c r="O245" s="1">
        <f ca="1">IFERROR(__xludf.DUMMYFUNCTION("""COMPUTED_VALUE"""),2037)</f>
        <v>2037</v>
      </c>
      <c r="P245" s="1">
        <f ca="1">IFERROR(__xludf.DUMMYFUNCTION("""COMPUTED_VALUE"""),1285)</f>
        <v>1285</v>
      </c>
      <c r="Q245" s="1">
        <f ca="1">IFERROR(__xludf.DUMMYFUNCTION("""COMPUTED_VALUE"""),661)</f>
        <v>661</v>
      </c>
      <c r="R245" s="1">
        <f ca="1">IFERROR(__xludf.DUMMYFUNCTION("""COMPUTED_VALUE"""),1648)</f>
        <v>1648</v>
      </c>
      <c r="S245" s="1">
        <f ca="1">IFERROR(__xludf.DUMMYFUNCTION("""COMPUTED_VALUE"""),0.401)</f>
        <v>0.40100000000000002</v>
      </c>
      <c r="T245" s="1">
        <f ca="1">IFERROR(__xludf.DUMMYFUNCTION("""COMPUTED_VALUE"""),242)</f>
        <v>242</v>
      </c>
      <c r="U245" s="1">
        <f ca="1">IFERROR(__xludf.DUMMYFUNCTION("""COMPUTED_VALUE"""),710)</f>
        <v>710</v>
      </c>
      <c r="V245" s="1">
        <f ca="1">IFERROR(__xludf.DUMMYFUNCTION("""COMPUTED_VALUE"""),0.341)</f>
        <v>0.34100000000000003</v>
      </c>
      <c r="W245" s="1">
        <f ca="1">IFERROR(__xludf.DUMMYFUNCTION("""COMPUTED_VALUE"""),379)</f>
        <v>379</v>
      </c>
      <c r="X245" s="1">
        <f ca="1">IFERROR(__xludf.DUMMYFUNCTION("""COMPUTED_VALUE"""),558)</f>
        <v>558</v>
      </c>
      <c r="Y245" s="1">
        <f ca="1">IFERROR(__xludf.DUMMYFUNCTION("""COMPUTED_VALUE"""),0.679)</f>
        <v>0.67900000000000005</v>
      </c>
      <c r="Z245" s="1">
        <f ca="1">IFERROR(__xludf.DUMMYFUNCTION("""COMPUTED_VALUE"""),282)</f>
        <v>282</v>
      </c>
      <c r="AA245" s="1">
        <f ca="1">IFERROR(__xludf.DUMMYFUNCTION("""COMPUTED_VALUE"""),848)</f>
        <v>848</v>
      </c>
      <c r="AB245" s="1">
        <f ca="1">IFERROR(__xludf.DUMMYFUNCTION("""COMPUTED_VALUE"""),467)</f>
        <v>467</v>
      </c>
      <c r="AC245" s="1">
        <f ca="1">IFERROR(__xludf.DUMMYFUNCTION("""COMPUTED_VALUE"""),180)</f>
        <v>180</v>
      </c>
      <c r="AD245" s="1">
        <f ca="1">IFERROR(__xludf.DUMMYFUNCTION("""COMPUTED_VALUE"""),102)</f>
        <v>102</v>
      </c>
      <c r="AE245" s="1">
        <f ca="1">IFERROR(__xludf.DUMMYFUNCTION("""COMPUTED_VALUE"""),342)</f>
        <v>342</v>
      </c>
      <c r="AF245" s="1">
        <f ca="1">IFERROR(__xludf.DUMMYFUNCTION("""COMPUTED_VALUE"""),532)</f>
        <v>532</v>
      </c>
    </row>
    <row r="246" spans="1:32" ht="12.5" x14ac:dyDescent="0.25">
      <c r="A246" s="1" t="str">
        <f ca="1">IFERROR(__xludf.DUMMYFUNCTION("""COMPUTED_VALUE"""),"Notre DameNCAA")</f>
        <v>Notre DameNCAA</v>
      </c>
      <c r="B246" s="1">
        <f ca="1">IFERROR(__xludf.DUMMYFUNCTION("""COMPUTED_VALUE"""),35)</f>
        <v>35</v>
      </c>
      <c r="C246" s="1">
        <f ca="1">IFERROR(__xludf.DUMMYFUNCTION("""COMPUTED_VALUE"""),25)</f>
        <v>25</v>
      </c>
      <c r="D246" s="1">
        <f ca="1">IFERROR(__xludf.DUMMYFUNCTION("""COMPUTED_VALUE"""),10)</f>
        <v>10</v>
      </c>
      <c r="E246" s="1">
        <f ca="1">IFERROR(__xludf.DUMMYFUNCTION("""COMPUTED_VALUE"""),0.714)</f>
        <v>0.71399999999999997</v>
      </c>
      <c r="F246" s="1">
        <f ca="1">IFERROR(__xludf.DUMMYFUNCTION("""COMPUTED_VALUE"""),13.74)</f>
        <v>13.74</v>
      </c>
      <c r="G246" s="1">
        <f ca="1">IFERROR(__xludf.DUMMYFUNCTION("""COMPUTED_VALUE"""),7.22)</f>
        <v>7.22</v>
      </c>
      <c r="H246" s="1">
        <f ca="1">IFERROR(__xludf.DUMMYFUNCTION("""COMPUTED_VALUE"""),11)</f>
        <v>11</v>
      </c>
      <c r="I246" s="1">
        <f ca="1">IFERROR(__xludf.DUMMYFUNCTION("""COMPUTED_VALUE"""),7)</f>
        <v>7</v>
      </c>
      <c r="J246" s="1">
        <f ca="1">IFERROR(__xludf.DUMMYFUNCTION("""COMPUTED_VALUE"""),17)</f>
        <v>17</v>
      </c>
      <c r="K246" s="1">
        <f ca="1">IFERROR(__xludf.DUMMYFUNCTION("""COMPUTED_VALUE"""),2)</f>
        <v>2</v>
      </c>
      <c r="L246" s="1">
        <f ca="1">IFERROR(__xludf.DUMMYFUNCTION("""COMPUTED_VALUE"""),4)</f>
        <v>4</v>
      </c>
      <c r="M246" s="1">
        <f ca="1">IFERROR(__xludf.DUMMYFUNCTION("""COMPUTED_VALUE"""),5)</f>
        <v>5</v>
      </c>
      <c r="N246" s="1">
        <f ca="1">IFERROR(__xludf.DUMMYFUNCTION("""COMPUTED_VALUE"""),2450)</f>
        <v>2450</v>
      </c>
      <c r="O246" s="1">
        <f ca="1">IFERROR(__xludf.DUMMYFUNCTION("""COMPUTED_VALUE"""),2222)</f>
        <v>2222</v>
      </c>
      <c r="P246" s="1">
        <f ca="1">IFERROR(__xludf.DUMMYFUNCTION("""COMPUTED_VALUE"""),1440)</f>
        <v>1440</v>
      </c>
      <c r="Q246" s="1">
        <f ca="1">IFERROR(__xludf.DUMMYFUNCTION("""COMPUTED_VALUE"""),892)</f>
        <v>892</v>
      </c>
      <c r="R246" s="1">
        <f ca="1">IFERROR(__xludf.DUMMYFUNCTION("""COMPUTED_VALUE"""),1929)</f>
        <v>1929</v>
      </c>
      <c r="S246" s="1">
        <f ca="1">IFERROR(__xludf.DUMMYFUNCTION("""COMPUTED_VALUE"""),0.462)</f>
        <v>0.46200000000000002</v>
      </c>
      <c r="T246" s="1">
        <f ca="1">IFERROR(__xludf.DUMMYFUNCTION("""COMPUTED_VALUE"""),228)</f>
        <v>228</v>
      </c>
      <c r="U246" s="1">
        <f ca="1">IFERROR(__xludf.DUMMYFUNCTION("""COMPUTED_VALUE"""),617)</f>
        <v>617</v>
      </c>
      <c r="V246" s="1">
        <f ca="1">IFERROR(__xludf.DUMMYFUNCTION("""COMPUTED_VALUE"""),0.37)</f>
        <v>0.37</v>
      </c>
      <c r="W246" s="1">
        <f ca="1">IFERROR(__xludf.DUMMYFUNCTION("""COMPUTED_VALUE"""),438)</f>
        <v>438</v>
      </c>
      <c r="X246" s="1">
        <f ca="1">IFERROR(__xludf.DUMMYFUNCTION("""COMPUTED_VALUE"""),618)</f>
        <v>618</v>
      </c>
      <c r="Y246" s="1">
        <f ca="1">IFERROR(__xludf.DUMMYFUNCTION("""COMPUTED_VALUE"""),0.709)</f>
        <v>0.70899999999999996</v>
      </c>
      <c r="Z246" s="1">
        <f ca="1">IFERROR(__xludf.DUMMYFUNCTION("""COMPUTED_VALUE"""),387)</f>
        <v>387</v>
      </c>
      <c r="AA246" s="1">
        <f ca="1">IFERROR(__xludf.DUMMYFUNCTION("""COMPUTED_VALUE"""),1146)</f>
        <v>1146</v>
      </c>
      <c r="AB246" s="1">
        <f ca="1">IFERROR(__xludf.DUMMYFUNCTION("""COMPUTED_VALUE"""),587)</f>
        <v>587</v>
      </c>
      <c r="AC246" s="1">
        <f ca="1">IFERROR(__xludf.DUMMYFUNCTION("""COMPUTED_VALUE"""),175)</f>
        <v>175</v>
      </c>
      <c r="AD246" s="1">
        <f ca="1">IFERROR(__xludf.DUMMYFUNCTION("""COMPUTED_VALUE"""),132)</f>
        <v>132</v>
      </c>
      <c r="AE246" s="1">
        <f ca="1">IFERROR(__xludf.DUMMYFUNCTION("""COMPUTED_VALUE"""),393)</f>
        <v>393</v>
      </c>
      <c r="AF246" s="1">
        <f ca="1">IFERROR(__xludf.DUMMYFUNCTION("""COMPUTED_VALUE"""),495)</f>
        <v>495</v>
      </c>
    </row>
    <row r="247" spans="1:32" ht="12.5" x14ac:dyDescent="0.25">
      <c r="A247" s="1" t="str">
        <f ca="1">IFERROR(__xludf.DUMMYFUNCTION("""COMPUTED_VALUE"""),"Oakland")</f>
        <v>Oakland</v>
      </c>
      <c r="B247" s="1">
        <f ca="1">IFERROR(__xludf.DUMMYFUNCTION("""COMPUTED_VALUE"""),33)</f>
        <v>33</v>
      </c>
      <c r="C247" s="1">
        <f ca="1">IFERROR(__xludf.DUMMYFUNCTION("""COMPUTED_VALUE"""),16)</f>
        <v>16</v>
      </c>
      <c r="D247" s="1">
        <f ca="1">IFERROR(__xludf.DUMMYFUNCTION("""COMPUTED_VALUE"""),17)</f>
        <v>17</v>
      </c>
      <c r="E247" s="1">
        <f ca="1">IFERROR(__xludf.DUMMYFUNCTION("""COMPUTED_VALUE"""),0.485)</f>
        <v>0.48499999999999999</v>
      </c>
      <c r="F247" s="1">
        <f ca="1">IFERROR(__xludf.DUMMYFUNCTION("""COMPUTED_VALUE"""),-4.39)</f>
        <v>-4.3899999999999997</v>
      </c>
      <c r="G247" s="1">
        <f ca="1">IFERROR(__xludf.DUMMYFUNCTION("""COMPUTED_VALUE"""),-1.61)</f>
        <v>-1.61</v>
      </c>
      <c r="H247" s="1">
        <f ca="1">IFERROR(__xludf.DUMMYFUNCTION("""COMPUTED_VALUE"""),10)</f>
        <v>10</v>
      </c>
      <c r="I247" s="1">
        <f ca="1">IFERROR(__xludf.DUMMYFUNCTION("""COMPUTED_VALUE"""),6)</f>
        <v>6</v>
      </c>
      <c r="J247" s="1">
        <f ca="1">IFERROR(__xludf.DUMMYFUNCTION("""COMPUTED_VALUE"""),10)</f>
        <v>10</v>
      </c>
      <c r="K247" s="1">
        <f ca="1">IFERROR(__xludf.DUMMYFUNCTION("""COMPUTED_VALUE"""),2)</f>
        <v>2</v>
      </c>
      <c r="L247" s="1">
        <f ca="1">IFERROR(__xludf.DUMMYFUNCTION("""COMPUTED_VALUE"""),5)</f>
        <v>5</v>
      </c>
      <c r="M247" s="1">
        <f ca="1">IFERROR(__xludf.DUMMYFUNCTION("""COMPUTED_VALUE"""),14)</f>
        <v>14</v>
      </c>
      <c r="N247" s="1">
        <f ca="1">IFERROR(__xludf.DUMMYFUNCTION("""COMPUTED_VALUE"""),2444)</f>
        <v>2444</v>
      </c>
      <c r="O247" s="1">
        <f ca="1">IFERROR(__xludf.DUMMYFUNCTION("""COMPUTED_VALUE"""),2485)</f>
        <v>2485</v>
      </c>
      <c r="P247" s="1">
        <f ca="1">IFERROR(__xludf.DUMMYFUNCTION("""COMPUTED_VALUE"""),1330)</f>
        <v>1330</v>
      </c>
      <c r="Q247" s="1">
        <f ca="1">IFERROR(__xludf.DUMMYFUNCTION("""COMPUTED_VALUE"""),823)</f>
        <v>823</v>
      </c>
      <c r="R247" s="1">
        <f ca="1">IFERROR(__xludf.DUMMYFUNCTION("""COMPUTED_VALUE"""),1886)</f>
        <v>1886</v>
      </c>
      <c r="S247" s="1">
        <f ca="1">IFERROR(__xludf.DUMMYFUNCTION("""COMPUTED_VALUE"""),0.436)</f>
        <v>0.436</v>
      </c>
      <c r="T247" s="1">
        <f ca="1">IFERROR(__xludf.DUMMYFUNCTION("""COMPUTED_VALUE"""),239)</f>
        <v>239</v>
      </c>
      <c r="U247" s="1">
        <f ca="1">IFERROR(__xludf.DUMMYFUNCTION("""COMPUTED_VALUE"""),673)</f>
        <v>673</v>
      </c>
      <c r="V247" s="1">
        <f ca="1">IFERROR(__xludf.DUMMYFUNCTION("""COMPUTED_VALUE"""),0.355)</f>
        <v>0.35499999999999998</v>
      </c>
      <c r="W247" s="1">
        <f ca="1">IFERROR(__xludf.DUMMYFUNCTION("""COMPUTED_VALUE"""),559)</f>
        <v>559</v>
      </c>
      <c r="X247" s="1">
        <f ca="1">IFERROR(__xludf.DUMMYFUNCTION("""COMPUTED_VALUE"""),790)</f>
        <v>790</v>
      </c>
      <c r="Y247" s="1">
        <f ca="1">IFERROR(__xludf.DUMMYFUNCTION("""COMPUTED_VALUE"""),0.708)</f>
        <v>0.70799999999999996</v>
      </c>
      <c r="Z247" s="1">
        <f ca="1">IFERROR(__xludf.DUMMYFUNCTION("""COMPUTED_VALUE"""),370)</f>
        <v>370</v>
      </c>
      <c r="AA247" s="1">
        <f ca="1">IFERROR(__xludf.DUMMYFUNCTION("""COMPUTED_VALUE"""),962)</f>
        <v>962</v>
      </c>
      <c r="AB247" s="1">
        <f ca="1">IFERROR(__xludf.DUMMYFUNCTION("""COMPUTED_VALUE"""),433)</f>
        <v>433</v>
      </c>
      <c r="AC247" s="1">
        <f ca="1">IFERROR(__xludf.DUMMYFUNCTION("""COMPUTED_VALUE"""),272)</f>
        <v>272</v>
      </c>
      <c r="AD247" s="1">
        <f ca="1">IFERROR(__xludf.DUMMYFUNCTION("""COMPUTED_VALUE"""),39)</f>
        <v>39</v>
      </c>
      <c r="AE247" s="1">
        <f ca="1">IFERROR(__xludf.DUMMYFUNCTION("""COMPUTED_VALUE"""),399)</f>
        <v>399</v>
      </c>
      <c r="AF247" s="1">
        <f ca="1">IFERROR(__xludf.DUMMYFUNCTION("""COMPUTED_VALUE"""),621)</f>
        <v>621</v>
      </c>
    </row>
    <row r="248" spans="1:32" ht="12.5" x14ac:dyDescent="0.25">
      <c r="A248" s="1" t="str">
        <f ca="1">IFERROR(__xludf.DUMMYFUNCTION("""COMPUTED_VALUE"""),"Ohio StateNCAA")</f>
        <v>Ohio StateNCAA</v>
      </c>
      <c r="B248" s="1">
        <f ca="1">IFERROR(__xludf.DUMMYFUNCTION("""COMPUTED_VALUE"""),37)</f>
        <v>37</v>
      </c>
      <c r="C248" s="1">
        <f ca="1">IFERROR(__xludf.DUMMYFUNCTION("""COMPUTED_VALUE"""),29)</f>
        <v>29</v>
      </c>
      <c r="D248" s="1">
        <f ca="1">IFERROR(__xludf.DUMMYFUNCTION("""COMPUTED_VALUE"""),8)</f>
        <v>8</v>
      </c>
      <c r="E248" s="1">
        <f ca="1">IFERROR(__xludf.DUMMYFUNCTION("""COMPUTED_VALUE"""),0.784)</f>
        <v>0.78400000000000003</v>
      </c>
      <c r="F248" s="1">
        <f ca="1">IFERROR(__xludf.DUMMYFUNCTION("""COMPUTED_VALUE"""),20.19)</f>
        <v>20.190000000000001</v>
      </c>
      <c r="G248" s="1">
        <f ca="1">IFERROR(__xludf.DUMMYFUNCTION("""COMPUTED_VALUE"""),9.32)</f>
        <v>9.32</v>
      </c>
      <c r="H248" s="1">
        <f ca="1">IFERROR(__xludf.DUMMYFUNCTION("""COMPUTED_VALUE"""),13)</f>
        <v>13</v>
      </c>
      <c r="I248" s="1">
        <f ca="1">IFERROR(__xludf.DUMMYFUNCTION("""COMPUTED_VALUE"""),5)</f>
        <v>5</v>
      </c>
      <c r="J248" s="1">
        <f ca="1">IFERROR(__xludf.DUMMYFUNCTION("""COMPUTED_VALUE"""),16)</f>
        <v>16</v>
      </c>
      <c r="K248" s="1">
        <f ca="1">IFERROR(__xludf.DUMMYFUNCTION("""COMPUTED_VALUE"""),2)</f>
        <v>2</v>
      </c>
      <c r="L248" s="1">
        <f ca="1">IFERROR(__xludf.DUMMYFUNCTION("""COMPUTED_VALUE"""),5)</f>
        <v>5</v>
      </c>
      <c r="M248" s="1">
        <f ca="1">IFERROR(__xludf.DUMMYFUNCTION("""COMPUTED_VALUE"""),5)</f>
        <v>5</v>
      </c>
      <c r="N248" s="1">
        <f ca="1">IFERROR(__xludf.DUMMYFUNCTION("""COMPUTED_VALUE"""),2599)</f>
        <v>2599</v>
      </c>
      <c r="O248" s="1">
        <f ca="1">IFERROR(__xludf.DUMMYFUNCTION("""COMPUTED_VALUE"""),2197)</f>
        <v>2197</v>
      </c>
      <c r="P248" s="1">
        <f ca="1">IFERROR(__xludf.DUMMYFUNCTION("""COMPUTED_VALUE"""),1485)</f>
        <v>1485</v>
      </c>
      <c r="Q248" s="1">
        <f ca="1">IFERROR(__xludf.DUMMYFUNCTION("""COMPUTED_VALUE"""),928)</f>
        <v>928</v>
      </c>
      <c r="R248" s="1">
        <f ca="1">IFERROR(__xludf.DUMMYFUNCTION("""COMPUTED_VALUE"""),2057)</f>
        <v>2057</v>
      </c>
      <c r="S248" s="1">
        <f ca="1">IFERROR(__xludf.DUMMYFUNCTION("""COMPUTED_VALUE"""),0.451)</f>
        <v>0.45100000000000001</v>
      </c>
      <c r="T248" s="1">
        <f ca="1">IFERROR(__xludf.DUMMYFUNCTION("""COMPUTED_VALUE"""),227)</f>
        <v>227</v>
      </c>
      <c r="U248" s="1">
        <f ca="1">IFERROR(__xludf.DUMMYFUNCTION("""COMPUTED_VALUE"""),638)</f>
        <v>638</v>
      </c>
      <c r="V248" s="1">
        <f ca="1">IFERROR(__xludf.DUMMYFUNCTION("""COMPUTED_VALUE"""),0.356)</f>
        <v>0.35599999999999998</v>
      </c>
      <c r="W248" s="1">
        <f ca="1">IFERROR(__xludf.DUMMYFUNCTION("""COMPUTED_VALUE"""),516)</f>
        <v>516</v>
      </c>
      <c r="X248" s="1">
        <f ca="1">IFERROR(__xludf.DUMMYFUNCTION("""COMPUTED_VALUE"""),729)</f>
        <v>729</v>
      </c>
      <c r="Y248" s="1">
        <f ca="1">IFERROR(__xludf.DUMMYFUNCTION("""COMPUTED_VALUE"""),0.708)</f>
        <v>0.70799999999999996</v>
      </c>
      <c r="Z248" s="1">
        <f ca="1">IFERROR(__xludf.DUMMYFUNCTION("""COMPUTED_VALUE"""),378)</f>
        <v>378</v>
      </c>
      <c r="AA248" s="1">
        <f ca="1">IFERROR(__xludf.DUMMYFUNCTION("""COMPUTED_VALUE"""),1219)</f>
        <v>1219</v>
      </c>
      <c r="AB248" s="1">
        <f ca="1">IFERROR(__xludf.DUMMYFUNCTION("""COMPUTED_VALUE"""),493)</f>
        <v>493</v>
      </c>
      <c r="AC248" s="1">
        <f ca="1">IFERROR(__xludf.DUMMYFUNCTION("""COMPUTED_VALUE"""),248)</f>
        <v>248</v>
      </c>
      <c r="AD248" s="1">
        <f ca="1">IFERROR(__xludf.DUMMYFUNCTION("""COMPUTED_VALUE"""),162)</f>
        <v>162</v>
      </c>
      <c r="AE248" s="1">
        <f ca="1">IFERROR(__xludf.DUMMYFUNCTION("""COMPUTED_VALUE"""),377)</f>
        <v>377</v>
      </c>
      <c r="AF248" s="1">
        <f ca="1">IFERROR(__xludf.DUMMYFUNCTION("""COMPUTED_VALUE"""),590)</f>
        <v>590</v>
      </c>
    </row>
    <row r="249" spans="1:32" ht="12.5" x14ac:dyDescent="0.25">
      <c r="A249" s="1" t="str">
        <f ca="1">IFERROR(__xludf.DUMMYFUNCTION("""COMPUTED_VALUE"""),"Ohio")</f>
        <v>Ohio</v>
      </c>
      <c r="B249" s="1">
        <f ca="1">IFERROR(__xludf.DUMMYFUNCTION("""COMPUTED_VALUE"""),34)</f>
        <v>34</v>
      </c>
      <c r="C249" s="1">
        <f ca="1">IFERROR(__xludf.DUMMYFUNCTION("""COMPUTED_VALUE"""),24)</f>
        <v>24</v>
      </c>
      <c r="D249" s="1">
        <f ca="1">IFERROR(__xludf.DUMMYFUNCTION("""COMPUTED_VALUE"""),10)</f>
        <v>10</v>
      </c>
      <c r="E249" s="1">
        <f ca="1">IFERROR(__xludf.DUMMYFUNCTION("""COMPUTED_VALUE"""),0.706)</f>
        <v>0.70599999999999996</v>
      </c>
      <c r="F249" s="1">
        <f ca="1">IFERROR(__xludf.DUMMYFUNCTION("""COMPUTED_VALUE"""),6.94)</f>
        <v>6.94</v>
      </c>
      <c r="G249" s="1">
        <f ca="1">IFERROR(__xludf.DUMMYFUNCTION("""COMPUTED_VALUE"""),-1.06)</f>
        <v>-1.06</v>
      </c>
      <c r="H249" s="1">
        <f ca="1">IFERROR(__xludf.DUMMYFUNCTION("""COMPUTED_VALUE"""),14)</f>
        <v>14</v>
      </c>
      <c r="I249" s="1">
        <f ca="1">IFERROR(__xludf.DUMMYFUNCTION("""COMPUTED_VALUE"""),2)</f>
        <v>2</v>
      </c>
      <c r="J249" s="1">
        <f ca="1">IFERROR(__xludf.DUMMYFUNCTION("""COMPUTED_VALUE"""),16)</f>
        <v>16</v>
      </c>
      <c r="K249" s="1">
        <f ca="1">IFERROR(__xludf.DUMMYFUNCTION("""COMPUTED_VALUE"""),2)</f>
        <v>2</v>
      </c>
      <c r="L249" s="1">
        <f ca="1">IFERROR(__xludf.DUMMYFUNCTION("""COMPUTED_VALUE"""),7)</f>
        <v>7</v>
      </c>
      <c r="M249" s="1">
        <f ca="1">IFERROR(__xludf.DUMMYFUNCTION("""COMPUTED_VALUE"""),7)</f>
        <v>7</v>
      </c>
      <c r="N249" s="1">
        <f ca="1">IFERROR(__xludf.DUMMYFUNCTION("""COMPUTED_VALUE"""),2464)</f>
        <v>2464</v>
      </c>
      <c r="O249" s="1">
        <f ca="1">IFERROR(__xludf.DUMMYFUNCTION("""COMPUTED_VALUE"""),2192)</f>
        <v>2192</v>
      </c>
      <c r="P249" s="1">
        <f ca="1">IFERROR(__xludf.DUMMYFUNCTION("""COMPUTED_VALUE"""),1370)</f>
        <v>1370</v>
      </c>
      <c r="Q249" s="1">
        <f ca="1">IFERROR(__xludf.DUMMYFUNCTION("""COMPUTED_VALUE"""),889)</f>
        <v>889</v>
      </c>
      <c r="R249" s="1">
        <f ca="1">IFERROR(__xludf.DUMMYFUNCTION("""COMPUTED_VALUE"""),1908)</f>
        <v>1908</v>
      </c>
      <c r="S249" s="1">
        <f ca="1">IFERROR(__xludf.DUMMYFUNCTION("""COMPUTED_VALUE"""),0.466)</f>
        <v>0.46600000000000003</v>
      </c>
      <c r="T249" s="1">
        <f ca="1">IFERROR(__xludf.DUMMYFUNCTION("""COMPUTED_VALUE"""),268)</f>
        <v>268</v>
      </c>
      <c r="U249" s="1">
        <f ca="1">IFERROR(__xludf.DUMMYFUNCTION("""COMPUTED_VALUE"""),764)</f>
        <v>764</v>
      </c>
      <c r="V249" s="1">
        <f ca="1">IFERROR(__xludf.DUMMYFUNCTION("""COMPUTED_VALUE"""),0.351)</f>
        <v>0.35099999999999998</v>
      </c>
      <c r="W249" s="1">
        <f ca="1">IFERROR(__xludf.DUMMYFUNCTION("""COMPUTED_VALUE"""),418)</f>
        <v>418</v>
      </c>
      <c r="X249" s="1">
        <f ca="1">IFERROR(__xludf.DUMMYFUNCTION("""COMPUTED_VALUE"""),598)</f>
        <v>598</v>
      </c>
      <c r="Y249" s="1">
        <f ca="1">IFERROR(__xludf.DUMMYFUNCTION("""COMPUTED_VALUE"""),0.699)</f>
        <v>0.69899999999999995</v>
      </c>
      <c r="Z249" s="1">
        <f ca="1">IFERROR(__xludf.DUMMYFUNCTION("""COMPUTED_VALUE"""),305)</f>
        <v>305</v>
      </c>
      <c r="AA249" s="1">
        <f ca="1">IFERROR(__xludf.DUMMYFUNCTION("""COMPUTED_VALUE"""),948)</f>
        <v>948</v>
      </c>
      <c r="AB249" s="1">
        <f ca="1">IFERROR(__xludf.DUMMYFUNCTION("""COMPUTED_VALUE"""),594)</f>
        <v>594</v>
      </c>
      <c r="AC249" s="1">
        <f ca="1">IFERROR(__xludf.DUMMYFUNCTION("""COMPUTED_VALUE"""),303)</f>
        <v>303</v>
      </c>
      <c r="AD249" s="1">
        <f ca="1">IFERROR(__xludf.DUMMYFUNCTION("""COMPUTED_VALUE"""),120)</f>
        <v>120</v>
      </c>
      <c r="AE249" s="1">
        <f ca="1">IFERROR(__xludf.DUMMYFUNCTION("""COMPUTED_VALUE"""),430)</f>
        <v>430</v>
      </c>
      <c r="AF249" s="1">
        <f ca="1">IFERROR(__xludf.DUMMYFUNCTION("""COMPUTED_VALUE"""),669)</f>
        <v>669</v>
      </c>
    </row>
    <row r="250" spans="1:32" ht="12.5" x14ac:dyDescent="0.25">
      <c r="A250" s="1" t="str">
        <f ca="1">IFERROR(__xludf.DUMMYFUNCTION("""COMPUTED_VALUE"""),"Oklahoma StateNCAA")</f>
        <v>Oklahoma StateNCAA</v>
      </c>
      <c r="B250" s="1">
        <f ca="1">IFERROR(__xludf.DUMMYFUNCTION("""COMPUTED_VALUE"""),33)</f>
        <v>33</v>
      </c>
      <c r="C250" s="1">
        <f ca="1">IFERROR(__xludf.DUMMYFUNCTION("""COMPUTED_VALUE"""),24)</f>
        <v>24</v>
      </c>
      <c r="D250" s="1">
        <f ca="1">IFERROR(__xludf.DUMMYFUNCTION("""COMPUTED_VALUE"""),9)</f>
        <v>9</v>
      </c>
      <c r="E250" s="1">
        <f ca="1">IFERROR(__xludf.DUMMYFUNCTION("""COMPUTED_VALUE"""),0.727)</f>
        <v>0.72699999999999998</v>
      </c>
      <c r="F250" s="1">
        <f ca="1">IFERROR(__xludf.DUMMYFUNCTION("""COMPUTED_VALUE"""),15.57)</f>
        <v>15.57</v>
      </c>
      <c r="G250" s="1">
        <f ca="1">IFERROR(__xludf.DUMMYFUNCTION("""COMPUTED_VALUE"""),6.73)</f>
        <v>6.73</v>
      </c>
      <c r="H250" s="1">
        <f ca="1">IFERROR(__xludf.DUMMYFUNCTION("""COMPUTED_VALUE"""),13)</f>
        <v>13</v>
      </c>
      <c r="I250" s="1">
        <f ca="1">IFERROR(__xludf.DUMMYFUNCTION("""COMPUTED_VALUE"""),5)</f>
        <v>5</v>
      </c>
      <c r="J250" s="1">
        <f ca="1">IFERROR(__xludf.DUMMYFUNCTION("""COMPUTED_VALUE"""),15)</f>
        <v>15</v>
      </c>
      <c r="K250" s="1">
        <f ca="1">IFERROR(__xludf.DUMMYFUNCTION("""COMPUTED_VALUE"""),2)</f>
        <v>2</v>
      </c>
      <c r="L250" s="1">
        <f ca="1">IFERROR(__xludf.DUMMYFUNCTION("""COMPUTED_VALUE"""),5)</f>
        <v>5</v>
      </c>
      <c r="M250" s="1">
        <f ca="1">IFERROR(__xludf.DUMMYFUNCTION("""COMPUTED_VALUE"""),5)</f>
        <v>5</v>
      </c>
      <c r="N250" s="1">
        <f ca="1">IFERROR(__xludf.DUMMYFUNCTION("""COMPUTED_VALUE"""),2371)</f>
        <v>2371</v>
      </c>
      <c r="O250" s="1">
        <f ca="1">IFERROR(__xludf.DUMMYFUNCTION("""COMPUTED_VALUE"""),2079)</f>
        <v>2079</v>
      </c>
      <c r="P250" s="1">
        <f ca="1">IFERROR(__xludf.DUMMYFUNCTION("""COMPUTED_VALUE"""),1345)</f>
        <v>1345</v>
      </c>
      <c r="Q250" s="1">
        <f ca="1">IFERROR(__xludf.DUMMYFUNCTION("""COMPUTED_VALUE"""),814)</f>
        <v>814</v>
      </c>
      <c r="R250" s="1">
        <f ca="1">IFERROR(__xludf.DUMMYFUNCTION("""COMPUTED_VALUE"""),1854)</f>
        <v>1854</v>
      </c>
      <c r="S250" s="1">
        <f ca="1">IFERROR(__xludf.DUMMYFUNCTION("""COMPUTED_VALUE"""),0.439)</f>
        <v>0.439</v>
      </c>
      <c r="T250" s="1">
        <f ca="1">IFERROR(__xludf.DUMMYFUNCTION("""COMPUTED_VALUE"""),183)</f>
        <v>183</v>
      </c>
      <c r="U250" s="1">
        <f ca="1">IFERROR(__xludf.DUMMYFUNCTION("""COMPUTED_VALUE"""),580)</f>
        <v>580</v>
      </c>
      <c r="V250" s="1">
        <f ca="1">IFERROR(__xludf.DUMMYFUNCTION("""COMPUTED_VALUE"""),0.316)</f>
        <v>0.316</v>
      </c>
      <c r="W250" s="1">
        <f ca="1">IFERROR(__xludf.DUMMYFUNCTION("""COMPUTED_VALUE"""),560)</f>
        <v>560</v>
      </c>
      <c r="X250" s="1">
        <f ca="1">IFERROR(__xludf.DUMMYFUNCTION("""COMPUTED_VALUE"""),751)</f>
        <v>751</v>
      </c>
      <c r="Y250" s="1">
        <f ca="1">IFERROR(__xludf.DUMMYFUNCTION("""COMPUTED_VALUE"""),0.746)</f>
        <v>0.746</v>
      </c>
      <c r="Z250" s="1">
        <f ca="1">IFERROR(__xludf.DUMMYFUNCTION("""COMPUTED_VALUE"""),354)</f>
        <v>354</v>
      </c>
      <c r="AA250" s="1">
        <f ca="1">IFERROR(__xludf.DUMMYFUNCTION("""COMPUTED_VALUE"""),1110)</f>
        <v>1110</v>
      </c>
      <c r="AB250" s="1">
        <f ca="1">IFERROR(__xludf.DUMMYFUNCTION("""COMPUTED_VALUE"""),398)</f>
        <v>398</v>
      </c>
      <c r="AC250" s="1">
        <f ca="1">IFERROR(__xludf.DUMMYFUNCTION("""COMPUTED_VALUE"""),248)</f>
        <v>248</v>
      </c>
      <c r="AD250" s="1">
        <f ca="1">IFERROR(__xludf.DUMMYFUNCTION("""COMPUTED_VALUE"""),155)</f>
        <v>155</v>
      </c>
      <c r="AE250" s="1">
        <f ca="1">IFERROR(__xludf.DUMMYFUNCTION("""COMPUTED_VALUE"""),411)</f>
        <v>411</v>
      </c>
      <c r="AF250" s="1">
        <f ca="1">IFERROR(__xludf.DUMMYFUNCTION("""COMPUTED_VALUE"""),598)</f>
        <v>598</v>
      </c>
    </row>
    <row r="251" spans="1:32" ht="12.5" x14ac:dyDescent="0.25">
      <c r="A251" s="1" t="str">
        <f ca="1">IFERROR(__xludf.DUMMYFUNCTION("""COMPUTED_VALUE"""),"OklahomaNCAA")</f>
        <v>OklahomaNCAA</v>
      </c>
      <c r="B251" s="1">
        <f ca="1">IFERROR(__xludf.DUMMYFUNCTION("""COMPUTED_VALUE"""),32)</f>
        <v>32</v>
      </c>
      <c r="C251" s="1">
        <f ca="1">IFERROR(__xludf.DUMMYFUNCTION("""COMPUTED_VALUE"""),20)</f>
        <v>20</v>
      </c>
      <c r="D251" s="1">
        <f ca="1">IFERROR(__xludf.DUMMYFUNCTION("""COMPUTED_VALUE"""),12)</f>
        <v>12</v>
      </c>
      <c r="E251" s="1">
        <f ca="1">IFERROR(__xludf.DUMMYFUNCTION("""COMPUTED_VALUE"""),0.625)</f>
        <v>0.625</v>
      </c>
      <c r="F251" s="1">
        <f ca="1">IFERROR(__xludf.DUMMYFUNCTION("""COMPUTED_VALUE"""),11.4)</f>
        <v>11.4</v>
      </c>
      <c r="G251" s="1">
        <f ca="1">IFERROR(__xludf.DUMMYFUNCTION("""COMPUTED_VALUE"""),7.09)</f>
        <v>7.09</v>
      </c>
      <c r="H251" s="1">
        <f ca="1">IFERROR(__xludf.DUMMYFUNCTION("""COMPUTED_VALUE"""),12)</f>
        <v>12</v>
      </c>
      <c r="I251" s="1">
        <f ca="1">IFERROR(__xludf.DUMMYFUNCTION("""COMPUTED_VALUE"""),7)</f>
        <v>7</v>
      </c>
      <c r="J251" s="1">
        <f ca="1">IFERROR(__xludf.DUMMYFUNCTION("""COMPUTED_VALUE"""),12)</f>
        <v>12</v>
      </c>
      <c r="K251" s="1">
        <f ca="1">IFERROR(__xludf.DUMMYFUNCTION("""COMPUTED_VALUE"""),2)</f>
        <v>2</v>
      </c>
      <c r="L251" s="1">
        <f ca="1">IFERROR(__xludf.DUMMYFUNCTION("""COMPUTED_VALUE"""),5)</f>
        <v>5</v>
      </c>
      <c r="M251" s="1">
        <f ca="1">IFERROR(__xludf.DUMMYFUNCTION("""COMPUTED_VALUE"""),7)</f>
        <v>7</v>
      </c>
      <c r="N251" s="1">
        <f ca="1">IFERROR(__xludf.DUMMYFUNCTION("""COMPUTED_VALUE"""),2260)</f>
        <v>2260</v>
      </c>
      <c r="O251" s="1">
        <f ca="1">IFERROR(__xludf.DUMMYFUNCTION("""COMPUTED_VALUE"""),2122)</f>
        <v>2122</v>
      </c>
      <c r="P251" s="1">
        <f ca="1">IFERROR(__xludf.DUMMYFUNCTION("""COMPUTED_VALUE"""),1290)</f>
        <v>1290</v>
      </c>
      <c r="Q251" s="1">
        <f ca="1">IFERROR(__xludf.DUMMYFUNCTION("""COMPUTED_VALUE"""),803)</f>
        <v>803</v>
      </c>
      <c r="R251" s="1">
        <f ca="1">IFERROR(__xludf.DUMMYFUNCTION("""COMPUTED_VALUE"""),1847)</f>
        <v>1847</v>
      </c>
      <c r="S251" s="1">
        <f ca="1">IFERROR(__xludf.DUMMYFUNCTION("""COMPUTED_VALUE"""),0.435)</f>
        <v>0.435</v>
      </c>
      <c r="T251" s="1">
        <f ca="1">IFERROR(__xludf.DUMMYFUNCTION("""COMPUTED_VALUE"""),159)</f>
        <v>159</v>
      </c>
      <c r="U251" s="1">
        <f ca="1">IFERROR(__xludf.DUMMYFUNCTION("""COMPUTED_VALUE"""),493)</f>
        <v>493</v>
      </c>
      <c r="V251" s="1">
        <f ca="1">IFERROR(__xludf.DUMMYFUNCTION("""COMPUTED_VALUE"""),0.323)</f>
        <v>0.32300000000000001</v>
      </c>
      <c r="W251" s="1">
        <f ca="1">IFERROR(__xludf.DUMMYFUNCTION("""COMPUTED_VALUE"""),495)</f>
        <v>495</v>
      </c>
      <c r="X251" s="1">
        <f ca="1">IFERROR(__xludf.DUMMYFUNCTION("""COMPUTED_VALUE"""),654)</f>
        <v>654</v>
      </c>
      <c r="Y251" s="1">
        <f ca="1">IFERROR(__xludf.DUMMYFUNCTION("""COMPUTED_VALUE"""),0.757)</f>
        <v>0.75700000000000001</v>
      </c>
      <c r="Z251" s="1">
        <f ca="1">IFERROR(__xludf.DUMMYFUNCTION("""COMPUTED_VALUE"""),377)</f>
        <v>377</v>
      </c>
      <c r="AA251" s="1">
        <f ca="1">IFERROR(__xludf.DUMMYFUNCTION("""COMPUTED_VALUE"""),1066)</f>
        <v>1066</v>
      </c>
      <c r="AB251" s="1">
        <f ca="1">IFERROR(__xludf.DUMMYFUNCTION("""COMPUTED_VALUE"""),394)</f>
        <v>394</v>
      </c>
      <c r="AC251" s="1">
        <f ca="1">IFERROR(__xludf.DUMMYFUNCTION("""COMPUTED_VALUE"""),206)</f>
        <v>206</v>
      </c>
      <c r="AD251" s="1">
        <f ca="1">IFERROR(__xludf.DUMMYFUNCTION("""COMPUTED_VALUE"""),89)</f>
        <v>89</v>
      </c>
      <c r="AE251" s="1">
        <f ca="1">IFERROR(__xludf.DUMMYFUNCTION("""COMPUTED_VALUE"""),376)</f>
        <v>376</v>
      </c>
      <c r="AF251" s="1">
        <f ca="1">IFERROR(__xludf.DUMMYFUNCTION("""COMPUTED_VALUE"""),557)</f>
        <v>557</v>
      </c>
    </row>
    <row r="252" spans="1:32" ht="12.5" x14ac:dyDescent="0.25">
      <c r="A252" s="1" t="str">
        <f ca="1">IFERROR(__xludf.DUMMYFUNCTION("""COMPUTED_VALUE"""),"Old Dominion")</f>
        <v>Old Dominion</v>
      </c>
      <c r="B252" s="1">
        <f ca="1">IFERROR(__xludf.DUMMYFUNCTION("""COMPUTED_VALUE"""),30)</f>
        <v>30</v>
      </c>
      <c r="C252" s="1">
        <f ca="1">IFERROR(__xludf.DUMMYFUNCTION("""COMPUTED_VALUE"""),5)</f>
        <v>5</v>
      </c>
      <c r="D252" s="1">
        <f ca="1">IFERROR(__xludf.DUMMYFUNCTION("""COMPUTED_VALUE"""),25)</f>
        <v>25</v>
      </c>
      <c r="E252" s="1">
        <f ca="1">IFERROR(__xludf.DUMMYFUNCTION("""COMPUTED_VALUE"""),0.167)</f>
        <v>0.16700000000000001</v>
      </c>
      <c r="F252" s="1">
        <f ca="1">IFERROR(__xludf.DUMMYFUNCTION("""COMPUTED_VALUE"""),-7.59)</f>
        <v>-7.59</v>
      </c>
      <c r="G252" s="1">
        <f ca="1">IFERROR(__xludf.DUMMYFUNCTION("""COMPUTED_VALUE"""),-1.55)</f>
        <v>-1.55</v>
      </c>
      <c r="H252" s="1">
        <f ca="1">IFERROR(__xludf.DUMMYFUNCTION("""COMPUTED_VALUE"""),3)</f>
        <v>3</v>
      </c>
      <c r="I252" s="1">
        <f ca="1">IFERROR(__xludf.DUMMYFUNCTION("""COMPUTED_VALUE"""),15)</f>
        <v>15</v>
      </c>
      <c r="J252" s="1">
        <f ca="1">IFERROR(__xludf.DUMMYFUNCTION("""COMPUTED_VALUE"""),2)</f>
        <v>2</v>
      </c>
      <c r="K252" s="1">
        <f ca="1">IFERROR(__xludf.DUMMYFUNCTION("""COMPUTED_VALUE"""),15)</f>
        <v>15</v>
      </c>
      <c r="L252" s="1">
        <f ca="1">IFERROR(__xludf.DUMMYFUNCTION("""COMPUTED_VALUE"""),2)</f>
        <v>2</v>
      </c>
      <c r="M252" s="1">
        <f ca="1">IFERROR(__xludf.DUMMYFUNCTION("""COMPUTED_VALUE"""),10)</f>
        <v>10</v>
      </c>
      <c r="N252" s="1">
        <f ca="1">IFERROR(__xludf.DUMMYFUNCTION("""COMPUTED_VALUE"""),1947)</f>
        <v>1947</v>
      </c>
      <c r="O252" s="1">
        <f ca="1">IFERROR(__xludf.DUMMYFUNCTION("""COMPUTED_VALUE"""),2128)</f>
        <v>2128</v>
      </c>
      <c r="P252" s="1">
        <f ca="1">IFERROR(__xludf.DUMMYFUNCTION("""COMPUTED_VALUE"""),1205)</f>
        <v>1205</v>
      </c>
      <c r="Q252" s="1">
        <f ca="1">IFERROR(__xludf.DUMMYFUNCTION("""COMPUTED_VALUE"""),707)</f>
        <v>707</v>
      </c>
      <c r="R252" s="1">
        <f ca="1">IFERROR(__xludf.DUMMYFUNCTION("""COMPUTED_VALUE"""),1727)</f>
        <v>1727</v>
      </c>
      <c r="S252" s="1">
        <f ca="1">IFERROR(__xludf.DUMMYFUNCTION("""COMPUTED_VALUE"""),0.409)</f>
        <v>0.40899999999999997</v>
      </c>
      <c r="T252" s="1">
        <f ca="1">IFERROR(__xludf.DUMMYFUNCTION("""COMPUTED_VALUE"""),138)</f>
        <v>138</v>
      </c>
      <c r="U252" s="1">
        <f ca="1">IFERROR(__xludf.DUMMYFUNCTION("""COMPUTED_VALUE"""),506)</f>
        <v>506</v>
      </c>
      <c r="V252" s="1">
        <f ca="1">IFERROR(__xludf.DUMMYFUNCTION("""COMPUTED_VALUE"""),0.273)</f>
        <v>0.27300000000000002</v>
      </c>
      <c r="W252" s="1">
        <f ca="1">IFERROR(__xludf.DUMMYFUNCTION("""COMPUTED_VALUE"""),395)</f>
        <v>395</v>
      </c>
      <c r="X252" s="1">
        <f ca="1">IFERROR(__xludf.DUMMYFUNCTION("""COMPUTED_VALUE"""),598)</f>
        <v>598</v>
      </c>
      <c r="Y252" s="1">
        <f ca="1">IFERROR(__xludf.DUMMYFUNCTION("""COMPUTED_VALUE"""),0.661)</f>
        <v>0.66100000000000003</v>
      </c>
      <c r="Z252" s="1">
        <f ca="1">IFERROR(__xludf.DUMMYFUNCTION("""COMPUTED_VALUE"""),437)</f>
        <v>437</v>
      </c>
      <c r="AA252" s="1">
        <f ca="1">IFERROR(__xludf.DUMMYFUNCTION("""COMPUTED_VALUE"""),1012)</f>
        <v>1012</v>
      </c>
      <c r="AB252" s="1">
        <f ca="1">IFERROR(__xludf.DUMMYFUNCTION("""COMPUTED_VALUE"""),376)</f>
        <v>376</v>
      </c>
      <c r="AC252" s="1">
        <f ca="1">IFERROR(__xludf.DUMMYFUNCTION("""COMPUTED_VALUE"""),215)</f>
        <v>215</v>
      </c>
      <c r="AD252" s="1">
        <f ca="1">IFERROR(__xludf.DUMMYFUNCTION("""COMPUTED_VALUE"""),141)</f>
        <v>141</v>
      </c>
      <c r="AE252" s="1">
        <f ca="1">IFERROR(__xludf.DUMMYFUNCTION("""COMPUTED_VALUE"""),412)</f>
        <v>412</v>
      </c>
      <c r="AF252" s="1">
        <f ca="1">IFERROR(__xludf.DUMMYFUNCTION("""COMPUTED_VALUE"""),577)</f>
        <v>577</v>
      </c>
    </row>
    <row r="253" spans="1:32" ht="12.5" x14ac:dyDescent="0.25">
      <c r="A253" s="1" t="str">
        <f ca="1">IFERROR(__xludf.DUMMYFUNCTION("""COMPUTED_VALUE"""),"Oral Roberts")</f>
        <v>Oral Roberts</v>
      </c>
      <c r="B253" s="1">
        <f ca="1">IFERROR(__xludf.DUMMYFUNCTION("""COMPUTED_VALUE"""),35)</f>
        <v>35</v>
      </c>
      <c r="C253" s="1">
        <f ca="1">IFERROR(__xludf.DUMMYFUNCTION("""COMPUTED_VALUE"""),20)</f>
        <v>20</v>
      </c>
      <c r="D253" s="1">
        <f ca="1">IFERROR(__xludf.DUMMYFUNCTION("""COMPUTED_VALUE"""),15)</f>
        <v>15</v>
      </c>
      <c r="E253" s="1">
        <f ca="1">IFERROR(__xludf.DUMMYFUNCTION("""COMPUTED_VALUE"""),0.571)</f>
        <v>0.57099999999999995</v>
      </c>
      <c r="F253" s="1">
        <f ca="1">IFERROR(__xludf.DUMMYFUNCTION("""COMPUTED_VALUE"""),-0.23)</f>
        <v>-0.23</v>
      </c>
      <c r="G253" s="1">
        <f ca="1">IFERROR(__xludf.DUMMYFUNCTION("""COMPUTED_VALUE"""),-3)</f>
        <v>-3</v>
      </c>
      <c r="H253" s="1">
        <f ca="1">IFERROR(__xludf.DUMMYFUNCTION("""COMPUTED_VALUE"""),13)</f>
        <v>13</v>
      </c>
      <c r="I253" s="1">
        <f ca="1">IFERROR(__xludf.DUMMYFUNCTION("""COMPUTED_VALUE"""),5)</f>
        <v>5</v>
      </c>
      <c r="J253" s="1">
        <f ca="1">IFERROR(__xludf.DUMMYFUNCTION("""COMPUTED_VALUE"""),10)</f>
        <v>10</v>
      </c>
      <c r="K253" s="1">
        <f ca="1">IFERROR(__xludf.DUMMYFUNCTION("""COMPUTED_VALUE"""),4)</f>
        <v>4</v>
      </c>
      <c r="L253" s="1">
        <f ca="1">IFERROR(__xludf.DUMMYFUNCTION("""COMPUTED_VALUE"""),9)</f>
        <v>9</v>
      </c>
      <c r="M253" s="1">
        <f ca="1">IFERROR(__xludf.DUMMYFUNCTION("""COMPUTED_VALUE"""),8)</f>
        <v>8</v>
      </c>
      <c r="N253" s="1">
        <f ca="1">IFERROR(__xludf.DUMMYFUNCTION("""COMPUTED_VALUE"""),2484)</f>
        <v>2484</v>
      </c>
      <c r="O253" s="1">
        <f ca="1">IFERROR(__xludf.DUMMYFUNCTION("""COMPUTED_VALUE"""),2341)</f>
        <v>2341</v>
      </c>
      <c r="P253" s="1">
        <f ca="1">IFERROR(__xludf.DUMMYFUNCTION("""COMPUTED_VALUE"""),1411)</f>
        <v>1411</v>
      </c>
      <c r="Q253" s="1">
        <f ca="1">IFERROR(__xludf.DUMMYFUNCTION("""COMPUTED_VALUE"""),890)</f>
        <v>890</v>
      </c>
      <c r="R253" s="1">
        <f ca="1">IFERROR(__xludf.DUMMYFUNCTION("""COMPUTED_VALUE"""),1931)</f>
        <v>1931</v>
      </c>
      <c r="S253" s="1">
        <f ca="1">IFERROR(__xludf.DUMMYFUNCTION("""COMPUTED_VALUE"""),0.461)</f>
        <v>0.46100000000000002</v>
      </c>
      <c r="T253" s="1">
        <f ca="1">IFERROR(__xludf.DUMMYFUNCTION("""COMPUTED_VALUE"""),165)</f>
        <v>165</v>
      </c>
      <c r="U253" s="1">
        <f ca="1">IFERROR(__xludf.DUMMYFUNCTION("""COMPUTED_VALUE"""),467)</f>
        <v>467</v>
      </c>
      <c r="V253" s="1">
        <f ca="1">IFERROR(__xludf.DUMMYFUNCTION("""COMPUTED_VALUE"""),0.353)</f>
        <v>0.35299999999999998</v>
      </c>
      <c r="W253" s="1">
        <f ca="1">IFERROR(__xludf.DUMMYFUNCTION("""COMPUTED_VALUE"""),539)</f>
        <v>539</v>
      </c>
      <c r="X253" s="1">
        <f ca="1">IFERROR(__xludf.DUMMYFUNCTION("""COMPUTED_VALUE"""),730)</f>
        <v>730</v>
      </c>
      <c r="Y253" s="1">
        <f ca="1">IFERROR(__xludf.DUMMYFUNCTION("""COMPUTED_VALUE"""),0.738)</f>
        <v>0.73799999999999999</v>
      </c>
      <c r="Z253" s="1">
        <f ca="1">IFERROR(__xludf.DUMMYFUNCTION("""COMPUTED_VALUE"""),413)</f>
        <v>413</v>
      </c>
      <c r="AA253" s="1">
        <f ca="1">IFERROR(__xludf.DUMMYFUNCTION("""COMPUTED_VALUE"""),1137)</f>
        <v>1137</v>
      </c>
      <c r="AB253" s="1">
        <f ca="1">IFERROR(__xludf.DUMMYFUNCTION("""COMPUTED_VALUE"""),442)</f>
        <v>442</v>
      </c>
      <c r="AC253" s="1">
        <f ca="1">IFERROR(__xludf.DUMMYFUNCTION("""COMPUTED_VALUE"""),218)</f>
        <v>218</v>
      </c>
      <c r="AD253" s="1">
        <f ca="1">IFERROR(__xludf.DUMMYFUNCTION("""COMPUTED_VALUE"""),133)</f>
        <v>133</v>
      </c>
      <c r="AE253" s="1">
        <f ca="1">IFERROR(__xludf.DUMMYFUNCTION("""COMPUTED_VALUE"""),483)</f>
        <v>483</v>
      </c>
      <c r="AF253" s="1">
        <f ca="1">IFERROR(__xludf.DUMMYFUNCTION("""COMPUTED_VALUE"""),578)</f>
        <v>578</v>
      </c>
    </row>
    <row r="254" spans="1:32" ht="12.5" x14ac:dyDescent="0.25">
      <c r="A254" s="1" t="str">
        <f ca="1">IFERROR(__xludf.DUMMYFUNCTION("""COMPUTED_VALUE"""),"Oregon State")</f>
        <v>Oregon State</v>
      </c>
      <c r="B254" s="1">
        <f ca="1">IFERROR(__xludf.DUMMYFUNCTION("""COMPUTED_VALUE"""),32)</f>
        <v>32</v>
      </c>
      <c r="C254" s="1">
        <f ca="1">IFERROR(__xludf.DUMMYFUNCTION("""COMPUTED_VALUE"""),14)</f>
        <v>14</v>
      </c>
      <c r="D254" s="1">
        <f ca="1">IFERROR(__xludf.DUMMYFUNCTION("""COMPUTED_VALUE"""),18)</f>
        <v>18</v>
      </c>
      <c r="E254" s="1">
        <f ca="1">IFERROR(__xludf.DUMMYFUNCTION("""COMPUTED_VALUE"""),0.438)</f>
        <v>0.438</v>
      </c>
      <c r="F254" s="1">
        <f ca="1">IFERROR(__xludf.DUMMYFUNCTION("""COMPUTED_VALUE"""),6.04)</f>
        <v>6.04</v>
      </c>
      <c r="G254" s="1">
        <f ca="1">IFERROR(__xludf.DUMMYFUNCTION("""COMPUTED_VALUE"""),4.29)</f>
        <v>4.29</v>
      </c>
      <c r="H254" s="1">
        <f ca="1">IFERROR(__xludf.DUMMYFUNCTION("""COMPUTED_VALUE"""),4)</f>
        <v>4</v>
      </c>
      <c r="I254" s="1">
        <f ca="1">IFERROR(__xludf.DUMMYFUNCTION("""COMPUTED_VALUE"""),14)</f>
        <v>14</v>
      </c>
      <c r="J254" s="1">
        <f ca="1">IFERROR(__xludf.DUMMYFUNCTION("""COMPUTED_VALUE"""),9)</f>
        <v>9</v>
      </c>
      <c r="K254" s="1">
        <f ca="1">IFERROR(__xludf.DUMMYFUNCTION("""COMPUTED_VALUE"""),8)</f>
        <v>8</v>
      </c>
      <c r="L254" s="1">
        <f ca="1">IFERROR(__xludf.DUMMYFUNCTION("""COMPUTED_VALUE"""),3)</f>
        <v>3</v>
      </c>
      <c r="M254" s="1">
        <f ca="1">IFERROR(__xludf.DUMMYFUNCTION("""COMPUTED_VALUE"""),7)</f>
        <v>7</v>
      </c>
      <c r="N254" s="1">
        <f ca="1">IFERROR(__xludf.DUMMYFUNCTION("""COMPUTED_VALUE"""),2304)</f>
        <v>2304</v>
      </c>
      <c r="O254" s="1">
        <f ca="1">IFERROR(__xludf.DUMMYFUNCTION("""COMPUTED_VALUE"""),2248)</f>
        <v>2248</v>
      </c>
      <c r="P254" s="1">
        <f ca="1">IFERROR(__xludf.DUMMYFUNCTION("""COMPUTED_VALUE"""),1285)</f>
        <v>1285</v>
      </c>
      <c r="Q254" s="1">
        <f ca="1">IFERROR(__xludf.DUMMYFUNCTION("""COMPUTED_VALUE"""),829)</f>
        <v>829</v>
      </c>
      <c r="R254" s="1">
        <f ca="1">IFERROR(__xludf.DUMMYFUNCTION("""COMPUTED_VALUE"""),1855)</f>
        <v>1855</v>
      </c>
      <c r="S254" s="1">
        <f ca="1">IFERROR(__xludf.DUMMYFUNCTION("""COMPUTED_VALUE"""),0.447)</f>
        <v>0.44700000000000001</v>
      </c>
      <c r="T254" s="1">
        <f ca="1">IFERROR(__xludf.DUMMYFUNCTION("""COMPUTED_VALUE"""),186)</f>
        <v>186</v>
      </c>
      <c r="U254" s="1">
        <f ca="1">IFERROR(__xludf.DUMMYFUNCTION("""COMPUTED_VALUE"""),511)</f>
        <v>511</v>
      </c>
      <c r="V254" s="1">
        <f ca="1">IFERROR(__xludf.DUMMYFUNCTION("""COMPUTED_VALUE"""),0.364)</f>
        <v>0.36399999999999999</v>
      </c>
      <c r="W254" s="1">
        <f ca="1">IFERROR(__xludf.DUMMYFUNCTION("""COMPUTED_VALUE"""),460)</f>
        <v>460</v>
      </c>
      <c r="X254" s="1">
        <f ca="1">IFERROR(__xludf.DUMMYFUNCTION("""COMPUTED_VALUE"""),687)</f>
        <v>687</v>
      </c>
      <c r="Y254" s="1">
        <f ca="1">IFERROR(__xludf.DUMMYFUNCTION("""COMPUTED_VALUE"""),0.67)</f>
        <v>0.67</v>
      </c>
      <c r="Z254" s="1">
        <f ca="1">IFERROR(__xludf.DUMMYFUNCTION("""COMPUTED_VALUE"""),396)</f>
        <v>396</v>
      </c>
      <c r="AA254" s="1">
        <f ca="1">IFERROR(__xludf.DUMMYFUNCTION("""COMPUTED_VALUE"""),1082)</f>
        <v>1082</v>
      </c>
      <c r="AB254" s="1">
        <f ca="1">IFERROR(__xludf.DUMMYFUNCTION("""COMPUTED_VALUE"""),457)</f>
        <v>457</v>
      </c>
      <c r="AC254" s="1">
        <f ca="1">IFERROR(__xludf.DUMMYFUNCTION("""COMPUTED_VALUE"""),202)</f>
        <v>202</v>
      </c>
      <c r="AD254" s="1">
        <f ca="1">IFERROR(__xludf.DUMMYFUNCTION("""COMPUTED_VALUE"""),147)</f>
        <v>147</v>
      </c>
      <c r="AE254" s="1">
        <f ca="1">IFERROR(__xludf.DUMMYFUNCTION("""COMPUTED_VALUE"""),432)</f>
        <v>432</v>
      </c>
      <c r="AF254" s="1">
        <f ca="1">IFERROR(__xludf.DUMMYFUNCTION("""COMPUTED_VALUE"""),509)</f>
        <v>509</v>
      </c>
    </row>
    <row r="255" spans="1:32" ht="12.5" x14ac:dyDescent="0.25">
      <c r="A255" s="1" t="str">
        <f ca="1">IFERROR(__xludf.DUMMYFUNCTION("""COMPUTED_VALUE"""),"OregonNCAA")</f>
        <v>OregonNCAA</v>
      </c>
      <c r="B255" s="1">
        <f ca="1">IFERROR(__xludf.DUMMYFUNCTION("""COMPUTED_VALUE"""),37)</f>
        <v>37</v>
      </c>
      <c r="C255" s="1">
        <f ca="1">IFERROR(__xludf.DUMMYFUNCTION("""COMPUTED_VALUE"""),28)</f>
        <v>28</v>
      </c>
      <c r="D255" s="1">
        <f ca="1">IFERROR(__xludf.DUMMYFUNCTION("""COMPUTED_VALUE"""),9)</f>
        <v>9</v>
      </c>
      <c r="E255" s="1">
        <f ca="1">IFERROR(__xludf.DUMMYFUNCTION("""COMPUTED_VALUE"""),0.757)</f>
        <v>0.75700000000000001</v>
      </c>
      <c r="F255" s="1">
        <f ca="1">IFERROR(__xludf.DUMMYFUNCTION("""COMPUTED_VALUE"""),13.82)</f>
        <v>13.82</v>
      </c>
      <c r="G255" s="1">
        <f ca="1">IFERROR(__xludf.DUMMYFUNCTION("""COMPUTED_VALUE"""),5.77)</f>
        <v>5.77</v>
      </c>
      <c r="H255" s="1">
        <f ca="1">IFERROR(__xludf.DUMMYFUNCTION("""COMPUTED_VALUE"""),12)</f>
        <v>12</v>
      </c>
      <c r="I255" s="1">
        <f ca="1">IFERROR(__xludf.DUMMYFUNCTION("""COMPUTED_VALUE"""),6)</f>
        <v>6</v>
      </c>
      <c r="J255" s="1">
        <f ca="1">IFERROR(__xludf.DUMMYFUNCTION("""COMPUTED_VALUE"""),17)</f>
        <v>17</v>
      </c>
      <c r="K255" s="1">
        <f ca="1">IFERROR(__xludf.DUMMYFUNCTION("""COMPUTED_VALUE"""),2)</f>
        <v>2</v>
      </c>
      <c r="L255" s="1">
        <f ca="1">IFERROR(__xludf.DUMMYFUNCTION("""COMPUTED_VALUE"""),6)</f>
        <v>6</v>
      </c>
      <c r="M255" s="1">
        <f ca="1">IFERROR(__xludf.DUMMYFUNCTION("""COMPUTED_VALUE"""),5)</f>
        <v>5</v>
      </c>
      <c r="N255" s="1">
        <f ca="1">IFERROR(__xludf.DUMMYFUNCTION("""COMPUTED_VALUE"""),2650)</f>
        <v>2650</v>
      </c>
      <c r="O255" s="1">
        <f ca="1">IFERROR(__xludf.DUMMYFUNCTION("""COMPUTED_VALUE"""),2352)</f>
        <v>2352</v>
      </c>
      <c r="P255" s="1">
        <f ca="1">IFERROR(__xludf.DUMMYFUNCTION("""COMPUTED_VALUE"""),1505)</f>
        <v>1505</v>
      </c>
      <c r="Q255" s="1">
        <f ca="1">IFERROR(__xludf.DUMMYFUNCTION("""COMPUTED_VALUE"""),944)</f>
        <v>944</v>
      </c>
      <c r="R255" s="1">
        <f ca="1">IFERROR(__xludf.DUMMYFUNCTION("""COMPUTED_VALUE"""),2110)</f>
        <v>2110</v>
      </c>
      <c r="S255" s="1">
        <f ca="1">IFERROR(__xludf.DUMMYFUNCTION("""COMPUTED_VALUE"""),0.447)</f>
        <v>0.44700000000000001</v>
      </c>
      <c r="T255" s="1">
        <f ca="1">IFERROR(__xludf.DUMMYFUNCTION("""COMPUTED_VALUE"""),192)</f>
        <v>192</v>
      </c>
      <c r="U255" s="1">
        <f ca="1">IFERROR(__xludf.DUMMYFUNCTION("""COMPUTED_VALUE"""),577)</f>
        <v>577</v>
      </c>
      <c r="V255" s="1">
        <f ca="1">IFERROR(__xludf.DUMMYFUNCTION("""COMPUTED_VALUE"""),0.333)</f>
        <v>0.33300000000000002</v>
      </c>
      <c r="W255" s="1">
        <f ca="1">IFERROR(__xludf.DUMMYFUNCTION("""COMPUTED_VALUE"""),570)</f>
        <v>570</v>
      </c>
      <c r="X255" s="1">
        <f ca="1">IFERROR(__xludf.DUMMYFUNCTION("""COMPUTED_VALUE"""),809)</f>
        <v>809</v>
      </c>
      <c r="Y255" s="1">
        <f ca="1">IFERROR(__xludf.DUMMYFUNCTION("""COMPUTED_VALUE"""),0.705)</f>
        <v>0.70499999999999996</v>
      </c>
      <c r="Z255" s="1">
        <f ca="1">IFERROR(__xludf.DUMMYFUNCTION("""COMPUTED_VALUE"""),451)</f>
        <v>451</v>
      </c>
      <c r="AA255" s="1">
        <f ca="1">IFERROR(__xludf.DUMMYFUNCTION("""COMPUTED_VALUE"""),1285)</f>
        <v>1285</v>
      </c>
      <c r="AB255" s="1">
        <f ca="1">IFERROR(__xludf.DUMMYFUNCTION("""COMPUTED_VALUE"""),484)</f>
        <v>484</v>
      </c>
      <c r="AC255" s="1">
        <f ca="1">IFERROR(__xludf.DUMMYFUNCTION("""COMPUTED_VALUE"""),314)</f>
        <v>314</v>
      </c>
      <c r="AD255" s="1">
        <f ca="1">IFERROR(__xludf.DUMMYFUNCTION("""COMPUTED_VALUE"""),146)</f>
        <v>146</v>
      </c>
      <c r="AE255" s="1">
        <f ca="1">IFERROR(__xludf.DUMMYFUNCTION("""COMPUTED_VALUE"""),555)</f>
        <v>555</v>
      </c>
      <c r="AF255" s="1">
        <f ca="1">IFERROR(__xludf.DUMMYFUNCTION("""COMPUTED_VALUE"""),651)</f>
        <v>651</v>
      </c>
    </row>
    <row r="256" spans="1:32" ht="12.5" x14ac:dyDescent="0.25">
      <c r="A256" s="1" t="str">
        <f ca="1">IFERROR(__xludf.DUMMYFUNCTION("""COMPUTED_VALUE"""),"PacificNCAA")</f>
        <v>PacificNCAA</v>
      </c>
      <c r="B256" s="1">
        <f ca="1">IFERROR(__xludf.DUMMYFUNCTION("""COMPUTED_VALUE"""),35)</f>
        <v>35</v>
      </c>
      <c r="C256" s="1">
        <f ca="1">IFERROR(__xludf.DUMMYFUNCTION("""COMPUTED_VALUE"""),22)</f>
        <v>22</v>
      </c>
      <c r="D256" s="1">
        <f ca="1">IFERROR(__xludf.DUMMYFUNCTION("""COMPUTED_VALUE"""),13)</f>
        <v>13</v>
      </c>
      <c r="E256" s="1">
        <f ca="1">IFERROR(__xludf.DUMMYFUNCTION("""COMPUTED_VALUE"""),0.629)</f>
        <v>0.629</v>
      </c>
      <c r="F256" s="1">
        <f ca="1">IFERROR(__xludf.DUMMYFUNCTION("""COMPUTED_VALUE"""),1.96)</f>
        <v>1.96</v>
      </c>
      <c r="G256" s="1">
        <f ca="1">IFERROR(__xludf.DUMMYFUNCTION("""COMPUTED_VALUE"""),1.05)</f>
        <v>1.05</v>
      </c>
      <c r="H256" s="1">
        <f ca="1">IFERROR(__xludf.DUMMYFUNCTION("""COMPUTED_VALUE"""),13)</f>
        <v>13</v>
      </c>
      <c r="I256" s="1">
        <f ca="1">IFERROR(__xludf.DUMMYFUNCTION("""COMPUTED_VALUE"""),5)</f>
        <v>5</v>
      </c>
      <c r="J256" s="1">
        <f ca="1">IFERROR(__xludf.DUMMYFUNCTION("""COMPUTED_VALUE"""),13)</f>
        <v>13</v>
      </c>
      <c r="K256" s="1">
        <f ca="1">IFERROR(__xludf.DUMMYFUNCTION("""COMPUTED_VALUE"""),2)</f>
        <v>2</v>
      </c>
      <c r="L256" s="1">
        <f ca="1">IFERROR(__xludf.DUMMYFUNCTION("""COMPUTED_VALUE"""),4)</f>
        <v>4</v>
      </c>
      <c r="M256" s="1">
        <f ca="1">IFERROR(__xludf.DUMMYFUNCTION("""COMPUTED_VALUE"""),9)</f>
        <v>9</v>
      </c>
      <c r="N256" s="1">
        <f ca="1">IFERROR(__xludf.DUMMYFUNCTION("""COMPUTED_VALUE"""),2344)</f>
        <v>2344</v>
      </c>
      <c r="O256" s="1">
        <f ca="1">IFERROR(__xludf.DUMMYFUNCTION("""COMPUTED_VALUE"""),2238)</f>
        <v>2238</v>
      </c>
      <c r="P256" s="1">
        <f ca="1">IFERROR(__xludf.DUMMYFUNCTION("""COMPUTED_VALUE"""),1405)</f>
        <v>1405</v>
      </c>
      <c r="Q256" s="1">
        <f ca="1">IFERROR(__xludf.DUMMYFUNCTION("""COMPUTED_VALUE"""),824)</f>
        <v>824</v>
      </c>
      <c r="R256" s="1">
        <f ca="1">IFERROR(__xludf.DUMMYFUNCTION("""COMPUTED_VALUE"""),1839)</f>
        <v>1839</v>
      </c>
      <c r="S256" s="1">
        <f ca="1">IFERROR(__xludf.DUMMYFUNCTION("""COMPUTED_VALUE"""),0.448)</f>
        <v>0.44800000000000001</v>
      </c>
      <c r="T256" s="1">
        <f ca="1">IFERROR(__xludf.DUMMYFUNCTION("""COMPUTED_VALUE"""),225)</f>
        <v>225</v>
      </c>
      <c r="U256" s="1">
        <f ca="1">IFERROR(__xludf.DUMMYFUNCTION("""COMPUTED_VALUE"""),590)</f>
        <v>590</v>
      </c>
      <c r="V256" s="1">
        <f ca="1">IFERROR(__xludf.DUMMYFUNCTION("""COMPUTED_VALUE"""),0.381)</f>
        <v>0.38100000000000001</v>
      </c>
      <c r="W256" s="1">
        <f ca="1">IFERROR(__xludf.DUMMYFUNCTION("""COMPUTED_VALUE"""),471)</f>
        <v>471</v>
      </c>
      <c r="X256" s="1">
        <f ca="1">IFERROR(__xludf.DUMMYFUNCTION("""COMPUTED_VALUE"""),684)</f>
        <v>684</v>
      </c>
      <c r="Y256" s="1">
        <f ca="1">IFERROR(__xludf.DUMMYFUNCTION("""COMPUTED_VALUE"""),0.689)</f>
        <v>0.68899999999999995</v>
      </c>
      <c r="Z256" s="1">
        <f ca="1">IFERROR(__xludf.DUMMYFUNCTION("""COMPUTED_VALUE"""),333)</f>
        <v>333</v>
      </c>
      <c r="AA256" s="1">
        <f ca="1">IFERROR(__xludf.DUMMYFUNCTION("""COMPUTED_VALUE"""),1037)</f>
        <v>1037</v>
      </c>
      <c r="AB256" s="1">
        <f ca="1">IFERROR(__xludf.DUMMYFUNCTION("""COMPUTED_VALUE"""),510)</f>
        <v>510</v>
      </c>
      <c r="AC256" s="1">
        <f ca="1">IFERROR(__xludf.DUMMYFUNCTION("""COMPUTED_VALUE"""),194)</f>
        <v>194</v>
      </c>
      <c r="AD256" s="1">
        <f ca="1">IFERROR(__xludf.DUMMYFUNCTION("""COMPUTED_VALUE"""),46)</f>
        <v>46</v>
      </c>
      <c r="AE256" s="1">
        <f ca="1">IFERROR(__xludf.DUMMYFUNCTION("""COMPUTED_VALUE"""),390)</f>
        <v>390</v>
      </c>
      <c r="AF256" s="1">
        <f ca="1">IFERROR(__xludf.DUMMYFUNCTION("""COMPUTED_VALUE"""),621)</f>
        <v>621</v>
      </c>
    </row>
    <row r="257" spans="1:32" ht="12.5" x14ac:dyDescent="0.25">
      <c r="A257" s="1" t="str">
        <f ca="1">IFERROR(__xludf.DUMMYFUNCTION("""COMPUTED_VALUE"""),"Penn State")</f>
        <v>Penn State</v>
      </c>
      <c r="B257" s="1">
        <f ca="1">IFERROR(__xludf.DUMMYFUNCTION("""COMPUTED_VALUE"""),31)</f>
        <v>31</v>
      </c>
      <c r="C257" s="1">
        <f ca="1">IFERROR(__xludf.DUMMYFUNCTION("""COMPUTED_VALUE"""),10)</f>
        <v>10</v>
      </c>
      <c r="D257" s="1">
        <f ca="1">IFERROR(__xludf.DUMMYFUNCTION("""COMPUTED_VALUE"""),21)</f>
        <v>21</v>
      </c>
      <c r="E257" s="1">
        <f ca="1">IFERROR(__xludf.DUMMYFUNCTION("""COMPUTED_VALUE"""),0.323)</f>
        <v>0.32300000000000001</v>
      </c>
      <c r="F257" s="1">
        <f ca="1">IFERROR(__xludf.DUMMYFUNCTION("""COMPUTED_VALUE"""),2.85)</f>
        <v>2.85</v>
      </c>
      <c r="G257" s="1">
        <f ca="1">IFERROR(__xludf.DUMMYFUNCTION("""COMPUTED_VALUE"""),9.46)</f>
        <v>9.4600000000000009</v>
      </c>
      <c r="H257" s="1">
        <f ca="1">IFERROR(__xludf.DUMMYFUNCTION("""COMPUTED_VALUE"""),2)</f>
        <v>2</v>
      </c>
      <c r="I257" s="1">
        <f ca="1">IFERROR(__xludf.DUMMYFUNCTION("""COMPUTED_VALUE"""),16)</f>
        <v>16</v>
      </c>
      <c r="J257" s="1">
        <f ca="1">IFERROR(__xludf.DUMMYFUNCTION("""COMPUTED_VALUE"""),8)</f>
        <v>8</v>
      </c>
      <c r="K257" s="1">
        <f ca="1">IFERROR(__xludf.DUMMYFUNCTION("""COMPUTED_VALUE"""),9)</f>
        <v>9</v>
      </c>
      <c r="L257" s="1">
        <f ca="1">IFERROR(__xludf.DUMMYFUNCTION("""COMPUTED_VALUE"""),1)</f>
        <v>1</v>
      </c>
      <c r="M257" s="1">
        <f ca="1">IFERROR(__xludf.DUMMYFUNCTION("""COMPUTED_VALUE"""),9)</f>
        <v>9</v>
      </c>
      <c r="N257" s="1">
        <f ca="1">IFERROR(__xludf.DUMMYFUNCTION("""COMPUTED_VALUE"""),1910)</f>
        <v>1910</v>
      </c>
      <c r="O257" s="1">
        <f ca="1">IFERROR(__xludf.DUMMYFUNCTION("""COMPUTED_VALUE"""),2115)</f>
        <v>2115</v>
      </c>
      <c r="P257" s="1">
        <f ca="1">IFERROR(__xludf.DUMMYFUNCTION("""COMPUTED_VALUE"""),1250)</f>
        <v>1250</v>
      </c>
      <c r="Q257" s="1">
        <f ca="1">IFERROR(__xludf.DUMMYFUNCTION("""COMPUTED_VALUE"""),661)</f>
        <v>661</v>
      </c>
      <c r="R257" s="1">
        <f ca="1">IFERROR(__xludf.DUMMYFUNCTION("""COMPUTED_VALUE"""),1672)</f>
        <v>1672</v>
      </c>
      <c r="S257" s="1">
        <f ca="1">IFERROR(__xludf.DUMMYFUNCTION("""COMPUTED_VALUE"""),0.395)</f>
        <v>0.39500000000000002</v>
      </c>
      <c r="T257" s="1">
        <f ca="1">IFERROR(__xludf.DUMMYFUNCTION("""COMPUTED_VALUE"""),156)</f>
        <v>156</v>
      </c>
      <c r="U257" s="1">
        <f ca="1">IFERROR(__xludf.DUMMYFUNCTION("""COMPUTED_VALUE"""),527)</f>
        <v>527</v>
      </c>
      <c r="V257" s="1">
        <f ca="1">IFERROR(__xludf.DUMMYFUNCTION("""COMPUTED_VALUE"""),0.296)</f>
        <v>0.29599999999999999</v>
      </c>
      <c r="W257" s="1">
        <f ca="1">IFERROR(__xludf.DUMMYFUNCTION("""COMPUTED_VALUE"""),432)</f>
        <v>432</v>
      </c>
      <c r="X257" s="1">
        <f ca="1">IFERROR(__xludf.DUMMYFUNCTION("""COMPUTED_VALUE"""),621)</f>
        <v>621</v>
      </c>
      <c r="Y257" s="1">
        <f ca="1">IFERROR(__xludf.DUMMYFUNCTION("""COMPUTED_VALUE"""),0.696)</f>
        <v>0.69599999999999995</v>
      </c>
      <c r="Z257" s="1">
        <f ca="1">IFERROR(__xludf.DUMMYFUNCTION("""COMPUTED_VALUE"""),341)</f>
        <v>341</v>
      </c>
      <c r="AA257" s="1">
        <f ca="1">IFERROR(__xludf.DUMMYFUNCTION("""COMPUTED_VALUE"""),963)</f>
        <v>963</v>
      </c>
      <c r="AB257" s="1">
        <f ca="1">IFERROR(__xludf.DUMMYFUNCTION("""COMPUTED_VALUE"""),305)</f>
        <v>305</v>
      </c>
      <c r="AC257" s="1">
        <f ca="1">IFERROR(__xludf.DUMMYFUNCTION("""COMPUTED_VALUE"""),164)</f>
        <v>164</v>
      </c>
      <c r="AD257" s="1">
        <f ca="1">IFERROR(__xludf.DUMMYFUNCTION("""COMPUTED_VALUE"""),100)</f>
        <v>100</v>
      </c>
      <c r="AE257" s="1">
        <f ca="1">IFERROR(__xludf.DUMMYFUNCTION("""COMPUTED_VALUE"""),381)</f>
        <v>381</v>
      </c>
      <c r="AF257" s="1">
        <f ca="1">IFERROR(__xludf.DUMMYFUNCTION("""COMPUTED_VALUE"""),679)</f>
        <v>679</v>
      </c>
    </row>
    <row r="258" spans="1:32" ht="12.5" x14ac:dyDescent="0.25">
      <c r="A258" s="1" t="str">
        <f ca="1">IFERROR(__xludf.DUMMYFUNCTION("""COMPUTED_VALUE"""),"Pennsylvania")</f>
        <v>Pennsylvania</v>
      </c>
      <c r="B258" s="1">
        <f ca="1">IFERROR(__xludf.DUMMYFUNCTION("""COMPUTED_VALUE"""),31)</f>
        <v>31</v>
      </c>
      <c r="C258" s="1">
        <f ca="1">IFERROR(__xludf.DUMMYFUNCTION("""COMPUTED_VALUE"""),9)</f>
        <v>9</v>
      </c>
      <c r="D258" s="1">
        <f ca="1">IFERROR(__xludf.DUMMYFUNCTION("""COMPUTED_VALUE"""),22)</f>
        <v>22</v>
      </c>
      <c r="E258" s="1">
        <f ca="1">IFERROR(__xludf.DUMMYFUNCTION("""COMPUTED_VALUE"""),0.29)</f>
        <v>0.28999999999999998</v>
      </c>
      <c r="F258" s="1">
        <f ca="1">IFERROR(__xludf.DUMMYFUNCTION("""COMPUTED_VALUE"""),-6.97)</f>
        <v>-6.97</v>
      </c>
      <c r="G258" s="1">
        <f ca="1">IFERROR(__xludf.DUMMYFUNCTION("""COMPUTED_VALUE"""),-1.48)</f>
        <v>-1.48</v>
      </c>
      <c r="H258" s="1">
        <f ca="1">IFERROR(__xludf.DUMMYFUNCTION("""COMPUTED_VALUE"""),6)</f>
        <v>6</v>
      </c>
      <c r="I258" s="1">
        <f ca="1">IFERROR(__xludf.DUMMYFUNCTION("""COMPUTED_VALUE"""),8)</f>
        <v>8</v>
      </c>
      <c r="J258" s="1">
        <f ca="1">IFERROR(__xludf.DUMMYFUNCTION("""COMPUTED_VALUE"""),5)</f>
        <v>5</v>
      </c>
      <c r="K258" s="1">
        <f ca="1">IFERROR(__xludf.DUMMYFUNCTION("""COMPUTED_VALUE"""),7)</f>
        <v>7</v>
      </c>
      <c r="L258" s="1">
        <f ca="1">IFERROR(__xludf.DUMMYFUNCTION("""COMPUTED_VALUE"""),4)</f>
        <v>4</v>
      </c>
      <c r="M258" s="1">
        <f ca="1">IFERROR(__xludf.DUMMYFUNCTION("""COMPUTED_VALUE"""),12)</f>
        <v>12</v>
      </c>
      <c r="N258" s="1">
        <f ca="1">IFERROR(__xludf.DUMMYFUNCTION("""COMPUTED_VALUE"""),1947)</f>
        <v>1947</v>
      </c>
      <c r="O258" s="1">
        <f ca="1">IFERROR(__xludf.DUMMYFUNCTION("""COMPUTED_VALUE"""),2117)</f>
        <v>2117</v>
      </c>
      <c r="P258" s="1">
        <f ca="1">IFERROR(__xludf.DUMMYFUNCTION("""COMPUTED_VALUE"""),1245)</f>
        <v>1245</v>
      </c>
      <c r="Q258" s="1">
        <f ca="1">IFERROR(__xludf.DUMMYFUNCTION("""COMPUTED_VALUE"""),689)</f>
        <v>689</v>
      </c>
      <c r="R258" s="1">
        <f ca="1">IFERROR(__xludf.DUMMYFUNCTION("""COMPUTED_VALUE"""),1620)</f>
        <v>1620</v>
      </c>
      <c r="S258" s="1">
        <f ca="1">IFERROR(__xludf.DUMMYFUNCTION("""COMPUTED_VALUE"""),0.425)</f>
        <v>0.42499999999999999</v>
      </c>
      <c r="T258" s="1">
        <f ca="1">IFERROR(__xludf.DUMMYFUNCTION("""COMPUTED_VALUE"""),169)</f>
        <v>169</v>
      </c>
      <c r="U258" s="1">
        <f ca="1">IFERROR(__xludf.DUMMYFUNCTION("""COMPUTED_VALUE"""),493)</f>
        <v>493</v>
      </c>
      <c r="V258" s="1">
        <f ca="1">IFERROR(__xludf.DUMMYFUNCTION("""COMPUTED_VALUE"""),0.343)</f>
        <v>0.34300000000000003</v>
      </c>
      <c r="W258" s="1">
        <f ca="1">IFERROR(__xludf.DUMMYFUNCTION("""COMPUTED_VALUE"""),400)</f>
        <v>400</v>
      </c>
      <c r="X258" s="1">
        <f ca="1">IFERROR(__xludf.DUMMYFUNCTION("""COMPUTED_VALUE"""),558)</f>
        <v>558</v>
      </c>
      <c r="Y258" s="1">
        <f ca="1">IFERROR(__xludf.DUMMYFUNCTION("""COMPUTED_VALUE"""),0.717)</f>
        <v>0.71699999999999997</v>
      </c>
      <c r="Z258" s="1">
        <f ca="1">IFERROR(__xludf.DUMMYFUNCTION("""COMPUTED_VALUE"""),272)</f>
        <v>272</v>
      </c>
      <c r="AA258" s="1">
        <f ca="1">IFERROR(__xludf.DUMMYFUNCTION("""COMPUTED_VALUE"""),867)</f>
        <v>867</v>
      </c>
      <c r="AB258" s="1">
        <f ca="1">IFERROR(__xludf.DUMMYFUNCTION("""COMPUTED_VALUE"""),418)</f>
        <v>418</v>
      </c>
      <c r="AC258" s="1">
        <f ca="1">IFERROR(__xludf.DUMMYFUNCTION("""COMPUTED_VALUE"""),201)</f>
        <v>201</v>
      </c>
      <c r="AD258" s="1">
        <f ca="1">IFERROR(__xludf.DUMMYFUNCTION("""COMPUTED_VALUE"""),80)</f>
        <v>80</v>
      </c>
      <c r="AE258" s="1">
        <f ca="1">IFERROR(__xludf.DUMMYFUNCTION("""COMPUTED_VALUE"""),495)</f>
        <v>495</v>
      </c>
      <c r="AF258" s="1">
        <f ca="1">IFERROR(__xludf.DUMMYFUNCTION("""COMPUTED_VALUE"""),644)</f>
        <v>644</v>
      </c>
    </row>
    <row r="259" spans="1:32" ht="12.5" x14ac:dyDescent="0.25">
      <c r="A259" s="1" t="str">
        <f ca="1">IFERROR(__xludf.DUMMYFUNCTION("""COMPUTED_VALUE"""),"Pepperdine")</f>
        <v>Pepperdine</v>
      </c>
      <c r="B259" s="1">
        <f ca="1">IFERROR(__xludf.DUMMYFUNCTION("""COMPUTED_VALUE"""),30)</f>
        <v>30</v>
      </c>
      <c r="C259" s="1">
        <f ca="1">IFERROR(__xludf.DUMMYFUNCTION("""COMPUTED_VALUE"""),12)</f>
        <v>12</v>
      </c>
      <c r="D259" s="1">
        <f ca="1">IFERROR(__xludf.DUMMYFUNCTION("""COMPUTED_VALUE"""),18)</f>
        <v>18</v>
      </c>
      <c r="E259" s="1">
        <f ca="1">IFERROR(__xludf.DUMMYFUNCTION("""COMPUTED_VALUE"""),0.4)</f>
        <v>0.4</v>
      </c>
      <c r="F259" s="1">
        <f ca="1">IFERROR(__xludf.DUMMYFUNCTION("""COMPUTED_VALUE"""),-3.73)</f>
        <v>-3.73</v>
      </c>
      <c r="G259" s="1">
        <f ca="1">IFERROR(__xludf.DUMMYFUNCTION("""COMPUTED_VALUE"""),1.06)</f>
        <v>1.06</v>
      </c>
      <c r="H259" s="1">
        <f ca="1">IFERROR(__xludf.DUMMYFUNCTION("""COMPUTED_VALUE"""),4)</f>
        <v>4</v>
      </c>
      <c r="I259" s="1">
        <f ca="1">IFERROR(__xludf.DUMMYFUNCTION("""COMPUTED_VALUE"""),12)</f>
        <v>12</v>
      </c>
      <c r="J259" s="1">
        <f ca="1">IFERROR(__xludf.DUMMYFUNCTION("""COMPUTED_VALUE"""),6)</f>
        <v>6</v>
      </c>
      <c r="K259" s="1">
        <f ca="1">IFERROR(__xludf.DUMMYFUNCTION("""COMPUTED_VALUE"""),7)</f>
        <v>7</v>
      </c>
      <c r="L259" s="1">
        <f ca="1">IFERROR(__xludf.DUMMYFUNCTION("""COMPUTED_VALUE"""),5)</f>
        <v>5</v>
      </c>
      <c r="M259" s="1">
        <f ca="1">IFERROR(__xludf.DUMMYFUNCTION("""COMPUTED_VALUE"""),10)</f>
        <v>10</v>
      </c>
      <c r="N259" s="1">
        <f ca="1">IFERROR(__xludf.DUMMYFUNCTION("""COMPUTED_VALUE"""),1883)</f>
        <v>1883</v>
      </c>
      <c r="O259" s="1">
        <f ca="1">IFERROR(__xludf.DUMMYFUNCTION("""COMPUTED_VALUE"""),2021)</f>
        <v>2021</v>
      </c>
      <c r="P259" s="1">
        <f ca="1">IFERROR(__xludf.DUMMYFUNCTION("""COMPUTED_VALUE"""),1220)</f>
        <v>1220</v>
      </c>
      <c r="Q259" s="1">
        <f ca="1">IFERROR(__xludf.DUMMYFUNCTION("""COMPUTED_VALUE"""),673)</f>
        <v>673</v>
      </c>
      <c r="R259" s="1">
        <f ca="1">IFERROR(__xludf.DUMMYFUNCTION("""COMPUTED_VALUE"""),1551)</f>
        <v>1551</v>
      </c>
      <c r="S259" s="1">
        <f ca="1">IFERROR(__xludf.DUMMYFUNCTION("""COMPUTED_VALUE"""),0.434)</f>
        <v>0.434</v>
      </c>
      <c r="T259" s="1">
        <f ca="1">IFERROR(__xludf.DUMMYFUNCTION("""COMPUTED_VALUE"""),165)</f>
        <v>165</v>
      </c>
      <c r="U259" s="1">
        <f ca="1">IFERROR(__xludf.DUMMYFUNCTION("""COMPUTED_VALUE"""),463)</f>
        <v>463</v>
      </c>
      <c r="V259" s="1">
        <f ca="1">IFERROR(__xludf.DUMMYFUNCTION("""COMPUTED_VALUE"""),0.356)</f>
        <v>0.35599999999999998</v>
      </c>
      <c r="W259" s="1">
        <f ca="1">IFERROR(__xludf.DUMMYFUNCTION("""COMPUTED_VALUE"""),372)</f>
        <v>372</v>
      </c>
      <c r="X259" s="1">
        <f ca="1">IFERROR(__xludf.DUMMYFUNCTION("""COMPUTED_VALUE"""),529)</f>
        <v>529</v>
      </c>
      <c r="Y259" s="1">
        <f ca="1">IFERROR(__xludf.DUMMYFUNCTION("""COMPUTED_VALUE"""),0.703)</f>
        <v>0.70299999999999996</v>
      </c>
      <c r="Z259" s="1">
        <f ca="1">IFERROR(__xludf.DUMMYFUNCTION("""COMPUTED_VALUE"""),309)</f>
        <v>309</v>
      </c>
      <c r="AA259" s="1">
        <f ca="1">IFERROR(__xludf.DUMMYFUNCTION("""COMPUTED_VALUE"""),931)</f>
        <v>931</v>
      </c>
      <c r="AB259" s="1">
        <f ca="1">IFERROR(__xludf.DUMMYFUNCTION("""COMPUTED_VALUE"""),360)</f>
        <v>360</v>
      </c>
      <c r="AC259" s="1">
        <f ca="1">IFERROR(__xludf.DUMMYFUNCTION("""COMPUTED_VALUE"""),169)</f>
        <v>169</v>
      </c>
      <c r="AD259" s="1">
        <f ca="1">IFERROR(__xludf.DUMMYFUNCTION("""COMPUTED_VALUE"""),66)</f>
        <v>66</v>
      </c>
      <c r="AE259" s="1">
        <f ca="1">IFERROR(__xludf.DUMMYFUNCTION("""COMPUTED_VALUE"""),442)</f>
        <v>442</v>
      </c>
      <c r="AF259" s="1">
        <f ca="1">IFERROR(__xludf.DUMMYFUNCTION("""COMPUTED_VALUE"""),515)</f>
        <v>515</v>
      </c>
    </row>
    <row r="260" spans="1:32" ht="12.5" x14ac:dyDescent="0.25">
      <c r="A260" s="1" t="str">
        <f ca="1">IFERROR(__xludf.DUMMYFUNCTION("""COMPUTED_VALUE"""),"PittsburghNCAA")</f>
        <v>PittsburghNCAA</v>
      </c>
      <c r="B260" s="1">
        <f ca="1">IFERROR(__xludf.DUMMYFUNCTION("""COMPUTED_VALUE"""),33)</f>
        <v>33</v>
      </c>
      <c r="C260" s="1">
        <f ca="1">IFERROR(__xludf.DUMMYFUNCTION("""COMPUTED_VALUE"""),24)</f>
        <v>24</v>
      </c>
      <c r="D260" s="1">
        <f ca="1">IFERROR(__xludf.DUMMYFUNCTION("""COMPUTED_VALUE"""),9)</f>
        <v>9</v>
      </c>
      <c r="E260" s="1">
        <f ca="1">IFERROR(__xludf.DUMMYFUNCTION("""COMPUTED_VALUE"""),0.727)</f>
        <v>0.72699999999999998</v>
      </c>
      <c r="F260" s="1">
        <f ca="1">IFERROR(__xludf.DUMMYFUNCTION("""COMPUTED_VALUE"""),18.82)</f>
        <v>18.82</v>
      </c>
      <c r="G260" s="1">
        <f ca="1">IFERROR(__xludf.DUMMYFUNCTION("""COMPUTED_VALUE"""),5.63)</f>
        <v>5.63</v>
      </c>
      <c r="H260" s="1">
        <f ca="1">IFERROR(__xludf.DUMMYFUNCTION("""COMPUTED_VALUE"""),12)</f>
        <v>12</v>
      </c>
      <c r="I260" s="1">
        <f ca="1">IFERROR(__xludf.DUMMYFUNCTION("""COMPUTED_VALUE"""),6)</f>
        <v>6</v>
      </c>
      <c r="J260" s="1">
        <f ca="1">IFERROR(__xludf.DUMMYFUNCTION("""COMPUTED_VALUE"""),16)</f>
        <v>16</v>
      </c>
      <c r="K260" s="1">
        <f ca="1">IFERROR(__xludf.DUMMYFUNCTION("""COMPUTED_VALUE"""),3)</f>
        <v>3</v>
      </c>
      <c r="L260" s="1">
        <f ca="1">IFERROR(__xludf.DUMMYFUNCTION("""COMPUTED_VALUE"""),6)</f>
        <v>6</v>
      </c>
      <c r="M260" s="1">
        <f ca="1">IFERROR(__xludf.DUMMYFUNCTION("""COMPUTED_VALUE"""),3)</f>
        <v>3</v>
      </c>
      <c r="N260" s="1">
        <f ca="1">IFERROR(__xludf.DUMMYFUNCTION("""COMPUTED_VALUE"""),2282)</f>
        <v>2282</v>
      </c>
      <c r="O260" s="1">
        <f ca="1">IFERROR(__xludf.DUMMYFUNCTION("""COMPUTED_VALUE"""),1847)</f>
        <v>1847</v>
      </c>
      <c r="P260" s="1">
        <f ca="1">IFERROR(__xludf.DUMMYFUNCTION("""COMPUTED_VALUE"""),1335)</f>
        <v>1335</v>
      </c>
      <c r="Q260" s="1">
        <f ca="1">IFERROR(__xludf.DUMMYFUNCTION("""COMPUTED_VALUE"""),837)</f>
        <v>837</v>
      </c>
      <c r="R260" s="1">
        <f ca="1">IFERROR(__xludf.DUMMYFUNCTION("""COMPUTED_VALUE"""),1775)</f>
        <v>1775</v>
      </c>
      <c r="S260" s="1">
        <f ca="1">IFERROR(__xludf.DUMMYFUNCTION("""COMPUTED_VALUE"""),0.472)</f>
        <v>0.47199999999999998</v>
      </c>
      <c r="T260" s="1">
        <f ca="1">IFERROR(__xludf.DUMMYFUNCTION("""COMPUTED_VALUE"""),163)</f>
        <v>163</v>
      </c>
      <c r="U260" s="1">
        <f ca="1">IFERROR(__xludf.DUMMYFUNCTION("""COMPUTED_VALUE"""),467)</f>
        <v>467</v>
      </c>
      <c r="V260" s="1">
        <f ca="1">IFERROR(__xludf.DUMMYFUNCTION("""COMPUTED_VALUE"""),0.349)</f>
        <v>0.34899999999999998</v>
      </c>
      <c r="W260" s="1">
        <f ca="1">IFERROR(__xludf.DUMMYFUNCTION("""COMPUTED_VALUE"""),445)</f>
        <v>445</v>
      </c>
      <c r="X260" s="1">
        <f ca="1">IFERROR(__xludf.DUMMYFUNCTION("""COMPUTED_VALUE"""),666)</f>
        <v>666</v>
      </c>
      <c r="Y260" s="1">
        <f ca="1">IFERROR(__xludf.DUMMYFUNCTION("""COMPUTED_VALUE"""),0.668)</f>
        <v>0.66800000000000004</v>
      </c>
      <c r="Z260" s="1">
        <f ca="1">IFERROR(__xludf.DUMMYFUNCTION("""COMPUTED_VALUE"""),425)</f>
        <v>425</v>
      </c>
      <c r="AA260" s="1">
        <f ca="1">IFERROR(__xludf.DUMMYFUNCTION("""COMPUTED_VALUE"""),1067)</f>
        <v>1067</v>
      </c>
      <c r="AB260" s="1">
        <f ca="1">IFERROR(__xludf.DUMMYFUNCTION("""COMPUTED_VALUE"""),537)</f>
        <v>537</v>
      </c>
      <c r="AC260" s="1">
        <f ca="1">IFERROR(__xludf.DUMMYFUNCTION("""COMPUTED_VALUE"""),218)</f>
        <v>218</v>
      </c>
      <c r="AD260" s="1">
        <f ca="1">IFERROR(__xludf.DUMMYFUNCTION("""COMPUTED_VALUE"""),131)</f>
        <v>131</v>
      </c>
      <c r="AE260" s="1">
        <f ca="1">IFERROR(__xludf.DUMMYFUNCTION("""COMPUTED_VALUE"""),364)</f>
        <v>364</v>
      </c>
      <c r="AF260" s="1">
        <f ca="1">IFERROR(__xludf.DUMMYFUNCTION("""COMPUTED_VALUE"""),575)</f>
        <v>575</v>
      </c>
    </row>
    <row r="261" spans="1:32" ht="12.5" x14ac:dyDescent="0.25">
      <c r="A261" s="1" t="str">
        <f ca="1">IFERROR(__xludf.DUMMYFUNCTION("""COMPUTED_VALUE"""),"Portland State")</f>
        <v>Portland State</v>
      </c>
      <c r="B261" s="1">
        <f ca="1">IFERROR(__xludf.DUMMYFUNCTION("""COMPUTED_VALUE"""),28)</f>
        <v>28</v>
      </c>
      <c r="C261" s="1">
        <f ca="1">IFERROR(__xludf.DUMMYFUNCTION("""COMPUTED_VALUE"""),8)</f>
        <v>8</v>
      </c>
      <c r="D261" s="1">
        <f ca="1">IFERROR(__xludf.DUMMYFUNCTION("""COMPUTED_VALUE"""),20)</f>
        <v>20</v>
      </c>
      <c r="E261" s="1">
        <f ca="1">IFERROR(__xludf.DUMMYFUNCTION("""COMPUTED_VALUE"""),0.286)</f>
        <v>0.28599999999999998</v>
      </c>
      <c r="F261" s="1">
        <f ca="1">IFERROR(__xludf.DUMMYFUNCTION("""COMPUTED_VALUE"""),-10.84)</f>
        <v>-10.84</v>
      </c>
      <c r="G261" s="1">
        <f ca="1">IFERROR(__xludf.DUMMYFUNCTION("""COMPUTED_VALUE"""),-5.54)</f>
        <v>-5.54</v>
      </c>
      <c r="H261" s="1">
        <f ca="1">IFERROR(__xludf.DUMMYFUNCTION("""COMPUTED_VALUE"""),5)</f>
        <v>5</v>
      </c>
      <c r="I261" s="1">
        <f ca="1">IFERROR(__xludf.DUMMYFUNCTION("""COMPUTED_VALUE"""),15)</f>
        <v>15</v>
      </c>
      <c r="J261" s="1">
        <f ca="1">IFERROR(__xludf.DUMMYFUNCTION("""COMPUTED_VALUE"""),8)</f>
        <v>8</v>
      </c>
      <c r="K261" s="1">
        <f ca="1">IFERROR(__xludf.DUMMYFUNCTION("""COMPUTED_VALUE"""),6)</f>
        <v>6</v>
      </c>
      <c r="L261" s="1">
        <f ca="1">IFERROR(__xludf.DUMMYFUNCTION("""COMPUTED_VALUE"""),0)</f>
        <v>0</v>
      </c>
      <c r="M261" s="1">
        <f ca="1">IFERROR(__xludf.DUMMYFUNCTION("""COMPUTED_VALUE"""),14)</f>
        <v>14</v>
      </c>
      <c r="N261" s="1">
        <f ca="1">IFERROR(__xludf.DUMMYFUNCTION("""COMPUTED_VALUE"""),1929)</f>
        <v>1929</v>
      </c>
      <c r="O261" s="1">
        <f ca="1">IFERROR(__xludf.DUMMYFUNCTION("""COMPUTED_VALUE"""),2037)</f>
        <v>2037</v>
      </c>
      <c r="P261" s="1">
        <f ca="1">IFERROR(__xludf.DUMMYFUNCTION("""COMPUTED_VALUE"""),1125)</f>
        <v>1125</v>
      </c>
      <c r="Q261" s="1">
        <f ca="1">IFERROR(__xludf.DUMMYFUNCTION("""COMPUTED_VALUE"""),701)</f>
        <v>701</v>
      </c>
      <c r="R261" s="1">
        <f ca="1">IFERROR(__xludf.DUMMYFUNCTION("""COMPUTED_VALUE"""),1542)</f>
        <v>1542</v>
      </c>
      <c r="S261" s="1">
        <f ca="1">IFERROR(__xludf.DUMMYFUNCTION("""COMPUTED_VALUE"""),0.455)</f>
        <v>0.45500000000000002</v>
      </c>
      <c r="T261" s="1">
        <f ca="1">IFERROR(__xludf.DUMMYFUNCTION("""COMPUTED_VALUE"""),151)</f>
        <v>151</v>
      </c>
      <c r="U261" s="1">
        <f ca="1">IFERROR(__xludf.DUMMYFUNCTION("""COMPUTED_VALUE"""),401)</f>
        <v>401</v>
      </c>
      <c r="V261" s="1">
        <f ca="1">IFERROR(__xludf.DUMMYFUNCTION("""COMPUTED_VALUE"""),0.377)</f>
        <v>0.377</v>
      </c>
      <c r="W261" s="1">
        <f ca="1">IFERROR(__xludf.DUMMYFUNCTION("""COMPUTED_VALUE"""),376)</f>
        <v>376</v>
      </c>
      <c r="X261" s="1">
        <f ca="1">IFERROR(__xludf.DUMMYFUNCTION("""COMPUTED_VALUE"""),506)</f>
        <v>506</v>
      </c>
      <c r="Y261" s="1">
        <f ca="1">IFERROR(__xludf.DUMMYFUNCTION("""COMPUTED_VALUE"""),0.743)</f>
        <v>0.74299999999999999</v>
      </c>
      <c r="Z261" s="1">
        <f ca="1">IFERROR(__xludf.DUMMYFUNCTION("""COMPUTED_VALUE"""),280)</f>
        <v>280</v>
      </c>
      <c r="AA261" s="1">
        <f ca="1">IFERROR(__xludf.DUMMYFUNCTION("""COMPUTED_VALUE"""),779)</f>
        <v>779</v>
      </c>
      <c r="AB261" s="1">
        <f ca="1">IFERROR(__xludf.DUMMYFUNCTION("""COMPUTED_VALUE"""),368)</f>
        <v>368</v>
      </c>
      <c r="AC261" s="1">
        <f ca="1">IFERROR(__xludf.DUMMYFUNCTION("""COMPUTED_VALUE"""),153)</f>
        <v>153</v>
      </c>
      <c r="AD261" s="1">
        <f ca="1">IFERROR(__xludf.DUMMYFUNCTION("""COMPUTED_VALUE"""),66)</f>
        <v>66</v>
      </c>
      <c r="AE261" s="1">
        <f ca="1">IFERROR(__xludf.DUMMYFUNCTION("""COMPUTED_VALUE"""),335)</f>
        <v>335</v>
      </c>
      <c r="AF261" s="1">
        <f ca="1">IFERROR(__xludf.DUMMYFUNCTION("""COMPUTED_VALUE"""),462)</f>
        <v>462</v>
      </c>
    </row>
    <row r="262" spans="1:32" ht="12.5" x14ac:dyDescent="0.25">
      <c r="A262" s="1" t="str">
        <f ca="1">IFERROR(__xludf.DUMMYFUNCTION("""COMPUTED_VALUE"""),"Portland")</f>
        <v>Portland</v>
      </c>
      <c r="B262" s="1">
        <f ca="1">IFERROR(__xludf.DUMMYFUNCTION("""COMPUTED_VALUE"""),32)</f>
        <v>32</v>
      </c>
      <c r="C262" s="1">
        <f ca="1">IFERROR(__xludf.DUMMYFUNCTION("""COMPUTED_VALUE"""),11)</f>
        <v>11</v>
      </c>
      <c r="D262" s="1">
        <f ca="1">IFERROR(__xludf.DUMMYFUNCTION("""COMPUTED_VALUE"""),21)</f>
        <v>21</v>
      </c>
      <c r="E262" s="1">
        <f ca="1">IFERROR(__xludf.DUMMYFUNCTION("""COMPUTED_VALUE"""),0.344)</f>
        <v>0.34399999999999997</v>
      </c>
      <c r="F262" s="1">
        <f ca="1">IFERROR(__xludf.DUMMYFUNCTION("""COMPUTED_VALUE"""),-5.79)</f>
        <v>-5.79</v>
      </c>
      <c r="G262" s="1">
        <f ca="1">IFERROR(__xludf.DUMMYFUNCTION("""COMPUTED_VALUE"""),3.28)</f>
        <v>3.28</v>
      </c>
      <c r="H262" s="1">
        <f ca="1">IFERROR(__xludf.DUMMYFUNCTION("""COMPUTED_VALUE"""),4)</f>
        <v>4</v>
      </c>
      <c r="I262" s="1">
        <f ca="1">IFERROR(__xludf.DUMMYFUNCTION("""COMPUTED_VALUE"""),12)</f>
        <v>12</v>
      </c>
      <c r="J262" s="1">
        <f ca="1">IFERROR(__xludf.DUMMYFUNCTION("""COMPUTED_VALUE"""),8)</f>
        <v>8</v>
      </c>
      <c r="K262" s="1">
        <f ca="1">IFERROR(__xludf.DUMMYFUNCTION("""COMPUTED_VALUE"""),8)</f>
        <v>8</v>
      </c>
      <c r="L262" s="1">
        <f ca="1">IFERROR(__xludf.DUMMYFUNCTION("""COMPUTED_VALUE"""),2)</f>
        <v>2</v>
      </c>
      <c r="M262" s="1">
        <f ca="1">IFERROR(__xludf.DUMMYFUNCTION("""COMPUTED_VALUE"""),11)</f>
        <v>11</v>
      </c>
      <c r="N262" s="1">
        <f ca="1">IFERROR(__xludf.DUMMYFUNCTION("""COMPUTED_VALUE"""),1951)</f>
        <v>1951</v>
      </c>
      <c r="O262" s="1">
        <f ca="1">IFERROR(__xludf.DUMMYFUNCTION("""COMPUTED_VALUE"""),2189)</f>
        <v>2189</v>
      </c>
      <c r="P262" s="1">
        <f ca="1">IFERROR(__xludf.DUMMYFUNCTION("""COMPUTED_VALUE"""),1285)</f>
        <v>1285</v>
      </c>
      <c r="Q262" s="1">
        <f ca="1">IFERROR(__xludf.DUMMYFUNCTION("""COMPUTED_VALUE"""),701)</f>
        <v>701</v>
      </c>
      <c r="R262" s="1">
        <f ca="1">IFERROR(__xludf.DUMMYFUNCTION("""COMPUTED_VALUE"""),1709)</f>
        <v>1709</v>
      </c>
      <c r="S262" s="1">
        <f ca="1">IFERROR(__xludf.DUMMYFUNCTION("""COMPUTED_VALUE"""),0.41)</f>
        <v>0.41</v>
      </c>
      <c r="T262" s="1">
        <f ca="1">IFERROR(__xludf.DUMMYFUNCTION("""COMPUTED_VALUE"""),141)</f>
        <v>141</v>
      </c>
      <c r="U262" s="1">
        <f ca="1">IFERROR(__xludf.DUMMYFUNCTION("""COMPUTED_VALUE"""),448)</f>
        <v>448</v>
      </c>
      <c r="V262" s="1">
        <f ca="1">IFERROR(__xludf.DUMMYFUNCTION("""COMPUTED_VALUE"""),0.315)</f>
        <v>0.315</v>
      </c>
      <c r="W262" s="1">
        <f ca="1">IFERROR(__xludf.DUMMYFUNCTION("""COMPUTED_VALUE"""),408)</f>
        <v>408</v>
      </c>
      <c r="X262" s="1">
        <f ca="1">IFERROR(__xludf.DUMMYFUNCTION("""COMPUTED_VALUE"""),603)</f>
        <v>603</v>
      </c>
      <c r="Y262" s="1">
        <f ca="1">IFERROR(__xludf.DUMMYFUNCTION("""COMPUTED_VALUE"""),0.677)</f>
        <v>0.67700000000000005</v>
      </c>
      <c r="Z262" s="1">
        <f ca="1">IFERROR(__xludf.DUMMYFUNCTION("""COMPUTED_VALUE"""),369)</f>
        <v>369</v>
      </c>
      <c r="AA262" s="1">
        <f ca="1">IFERROR(__xludf.DUMMYFUNCTION("""COMPUTED_VALUE"""),1023)</f>
        <v>1023</v>
      </c>
      <c r="AB262" s="1">
        <f ca="1">IFERROR(__xludf.DUMMYFUNCTION("""COMPUTED_VALUE"""),386)</f>
        <v>386</v>
      </c>
      <c r="AC262" s="1">
        <f ca="1">IFERROR(__xludf.DUMMYFUNCTION("""COMPUTED_VALUE"""),188)</f>
        <v>188</v>
      </c>
      <c r="AD262" s="1">
        <f ca="1">IFERROR(__xludf.DUMMYFUNCTION("""COMPUTED_VALUE"""),124)</f>
        <v>124</v>
      </c>
      <c r="AE262" s="1">
        <f ca="1">IFERROR(__xludf.DUMMYFUNCTION("""COMPUTED_VALUE"""),479)</f>
        <v>479</v>
      </c>
      <c r="AF262" s="1">
        <f ca="1">IFERROR(__xludf.DUMMYFUNCTION("""COMPUTED_VALUE"""),563)</f>
        <v>563</v>
      </c>
    </row>
    <row r="263" spans="1:32" ht="12.5" x14ac:dyDescent="0.25">
      <c r="A263" s="1" t="str">
        <f ca="1">IFERROR(__xludf.DUMMYFUNCTION("""COMPUTED_VALUE"""),"Prairie View")</f>
        <v>Prairie View</v>
      </c>
      <c r="B263" s="1">
        <f ca="1">IFERROR(__xludf.DUMMYFUNCTION("""COMPUTED_VALUE"""),34)</f>
        <v>34</v>
      </c>
      <c r="C263" s="1">
        <f ca="1">IFERROR(__xludf.DUMMYFUNCTION("""COMPUTED_VALUE"""),15)</f>
        <v>15</v>
      </c>
      <c r="D263" s="1">
        <f ca="1">IFERROR(__xludf.DUMMYFUNCTION("""COMPUTED_VALUE"""),19)</f>
        <v>19</v>
      </c>
      <c r="E263" s="1">
        <f ca="1">IFERROR(__xludf.DUMMYFUNCTION("""COMPUTED_VALUE"""),0.441)</f>
        <v>0.441</v>
      </c>
      <c r="F263" s="1">
        <f ca="1">IFERROR(__xludf.DUMMYFUNCTION("""COMPUTED_VALUE"""),-15.61)</f>
        <v>-15.61</v>
      </c>
      <c r="G263" s="1">
        <f ca="1">IFERROR(__xludf.DUMMYFUNCTION("""COMPUTED_VALUE"""),-10.1)</f>
        <v>-10.1</v>
      </c>
      <c r="H263" s="1">
        <f ca="1">IFERROR(__xludf.DUMMYFUNCTION("""COMPUTED_VALUE"""),8)</f>
        <v>8</v>
      </c>
      <c r="I263" s="1">
        <f ca="1">IFERROR(__xludf.DUMMYFUNCTION("""COMPUTED_VALUE"""),10)</f>
        <v>10</v>
      </c>
      <c r="J263" s="1">
        <f ca="1">IFERROR(__xludf.DUMMYFUNCTION("""COMPUTED_VALUE"""),9)</f>
        <v>9</v>
      </c>
      <c r="K263" s="1">
        <f ca="1">IFERROR(__xludf.DUMMYFUNCTION("""COMPUTED_VALUE"""),4)</f>
        <v>4</v>
      </c>
      <c r="L263" s="1">
        <f ca="1">IFERROR(__xludf.DUMMYFUNCTION("""COMPUTED_VALUE"""),3)</f>
        <v>3</v>
      </c>
      <c r="M263" s="1">
        <f ca="1">IFERROR(__xludf.DUMMYFUNCTION("""COMPUTED_VALUE"""),13)</f>
        <v>13</v>
      </c>
      <c r="N263" s="1">
        <f ca="1">IFERROR(__xludf.DUMMYFUNCTION("""COMPUTED_VALUE"""),2182)</f>
        <v>2182</v>
      </c>
      <c r="O263" s="1">
        <f ca="1">IFERROR(__xludf.DUMMYFUNCTION("""COMPUTED_VALUE"""),2223)</f>
        <v>2223</v>
      </c>
      <c r="P263" s="1">
        <f ca="1">IFERROR(__xludf.DUMMYFUNCTION("""COMPUTED_VALUE"""),1366)</f>
        <v>1366</v>
      </c>
      <c r="Q263" s="1">
        <f ca="1">IFERROR(__xludf.DUMMYFUNCTION("""COMPUTED_VALUE"""),822)</f>
        <v>822</v>
      </c>
      <c r="R263" s="1">
        <f ca="1">IFERROR(__xludf.DUMMYFUNCTION("""COMPUTED_VALUE"""),2065)</f>
        <v>2065</v>
      </c>
      <c r="S263" s="1">
        <f ca="1">IFERROR(__xludf.DUMMYFUNCTION("""COMPUTED_VALUE"""),0.398)</f>
        <v>0.39800000000000002</v>
      </c>
      <c r="T263" s="1">
        <f ca="1">IFERROR(__xludf.DUMMYFUNCTION("""COMPUTED_VALUE"""),129)</f>
        <v>129</v>
      </c>
      <c r="U263" s="1">
        <f ca="1">IFERROR(__xludf.DUMMYFUNCTION("""COMPUTED_VALUE"""),494)</f>
        <v>494</v>
      </c>
      <c r="V263" s="1">
        <f ca="1">IFERROR(__xludf.DUMMYFUNCTION("""COMPUTED_VALUE"""),0.261)</f>
        <v>0.26100000000000001</v>
      </c>
      <c r="W263" s="1">
        <f ca="1">IFERROR(__xludf.DUMMYFUNCTION("""COMPUTED_VALUE"""),409)</f>
        <v>409</v>
      </c>
      <c r="X263" s="1">
        <f ca="1">IFERROR(__xludf.DUMMYFUNCTION("""COMPUTED_VALUE"""),665)</f>
        <v>665</v>
      </c>
      <c r="Y263" s="1">
        <f ca="1">IFERROR(__xludf.DUMMYFUNCTION("""COMPUTED_VALUE"""),0.615)</f>
        <v>0.61499999999999999</v>
      </c>
      <c r="Z263" s="1">
        <f ca="1">IFERROR(__xludf.DUMMYFUNCTION("""COMPUTED_VALUE"""),530)</f>
        <v>530</v>
      </c>
      <c r="AA263" s="1">
        <f ca="1">IFERROR(__xludf.DUMMYFUNCTION("""COMPUTED_VALUE"""),1225)</f>
        <v>1225</v>
      </c>
      <c r="AB263" s="1">
        <f ca="1">IFERROR(__xludf.DUMMYFUNCTION("""COMPUTED_VALUE"""),370)</f>
        <v>370</v>
      </c>
      <c r="AC263" s="1">
        <f ca="1">IFERROR(__xludf.DUMMYFUNCTION("""COMPUTED_VALUE"""),261)</f>
        <v>261</v>
      </c>
      <c r="AD263" s="1">
        <f ca="1">IFERROR(__xludf.DUMMYFUNCTION("""COMPUTED_VALUE"""),112)</f>
        <v>112</v>
      </c>
      <c r="AE263" s="1">
        <f ca="1">IFERROR(__xludf.DUMMYFUNCTION("""COMPUTED_VALUE"""),509)</f>
        <v>509</v>
      </c>
      <c r="AF263" s="1">
        <f ca="1">IFERROR(__xludf.DUMMYFUNCTION("""COMPUTED_VALUE"""),690)</f>
        <v>690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IFERROR(__xludf.DUMMYFUNCTION("""COMPUTED_VALUE"""),"Presbyterian")</f>
        <v>Presbyterian</v>
      </c>
      <c r="B266" s="1">
        <f ca="1">IFERROR(__xludf.DUMMYFUNCTION("""COMPUTED_VALUE"""),32)</f>
        <v>32</v>
      </c>
      <c r="C266" s="1">
        <f ca="1">IFERROR(__xludf.DUMMYFUNCTION("""COMPUTED_VALUE"""),8)</f>
        <v>8</v>
      </c>
      <c r="D266" s="1">
        <f ca="1">IFERROR(__xludf.DUMMYFUNCTION("""COMPUTED_VALUE"""),24)</f>
        <v>24</v>
      </c>
      <c r="E266" s="1">
        <f ca="1">IFERROR(__xludf.DUMMYFUNCTION("""COMPUTED_VALUE"""),0.25)</f>
        <v>0.25</v>
      </c>
      <c r="F266" s="1">
        <f ca="1">IFERROR(__xludf.DUMMYFUNCTION("""COMPUTED_VALUE"""),-17.47)</f>
        <v>-17.47</v>
      </c>
      <c r="G266" s="1">
        <f ca="1">IFERROR(__xludf.DUMMYFUNCTION("""COMPUTED_VALUE"""),-4.71)</f>
        <v>-4.71</v>
      </c>
      <c r="H266" s="1">
        <f ca="1">IFERROR(__xludf.DUMMYFUNCTION("""COMPUTED_VALUE"""),4)</f>
        <v>4</v>
      </c>
      <c r="I266" s="1">
        <f ca="1">IFERROR(__xludf.DUMMYFUNCTION("""COMPUTED_VALUE"""),12)</f>
        <v>12</v>
      </c>
      <c r="J266" s="1">
        <f ca="1">IFERROR(__xludf.DUMMYFUNCTION("""COMPUTED_VALUE"""),7)</f>
        <v>7</v>
      </c>
      <c r="K266" s="1">
        <f ca="1">IFERROR(__xludf.DUMMYFUNCTION("""COMPUTED_VALUE"""),6)</f>
        <v>6</v>
      </c>
      <c r="L266" s="1">
        <f ca="1">IFERROR(__xludf.DUMMYFUNCTION("""COMPUTED_VALUE"""),1)</f>
        <v>1</v>
      </c>
      <c r="M266" s="1">
        <f ca="1">IFERROR(__xludf.DUMMYFUNCTION("""COMPUTED_VALUE"""),15)</f>
        <v>15</v>
      </c>
      <c r="N266" s="1">
        <f ca="1">IFERROR(__xludf.DUMMYFUNCTION("""COMPUTED_VALUE"""),1987)</f>
        <v>1987</v>
      </c>
      <c r="O266" s="1">
        <f ca="1">IFERROR(__xludf.DUMMYFUNCTION("""COMPUTED_VALUE"""),2248)</f>
        <v>2248</v>
      </c>
      <c r="P266" s="1">
        <f ca="1">IFERROR(__xludf.DUMMYFUNCTION("""COMPUTED_VALUE"""),1290)</f>
        <v>1290</v>
      </c>
      <c r="Q266" s="1">
        <f ca="1">IFERROR(__xludf.DUMMYFUNCTION("""COMPUTED_VALUE"""),739)</f>
        <v>739</v>
      </c>
      <c r="R266" s="1">
        <f ca="1">IFERROR(__xludf.DUMMYFUNCTION("""COMPUTED_VALUE"""),1640)</f>
        <v>1640</v>
      </c>
      <c r="S266" s="1">
        <f ca="1">IFERROR(__xludf.DUMMYFUNCTION("""COMPUTED_VALUE"""),0.451)</f>
        <v>0.45100000000000001</v>
      </c>
      <c r="T266" s="1">
        <f ca="1">IFERROR(__xludf.DUMMYFUNCTION("""COMPUTED_VALUE"""),192)</f>
        <v>192</v>
      </c>
      <c r="U266" s="1">
        <f ca="1">IFERROR(__xludf.DUMMYFUNCTION("""COMPUTED_VALUE"""),554)</f>
        <v>554</v>
      </c>
      <c r="V266" s="1">
        <f ca="1">IFERROR(__xludf.DUMMYFUNCTION("""COMPUTED_VALUE"""),0.347)</f>
        <v>0.34699999999999998</v>
      </c>
      <c r="W266" s="1">
        <f ca="1">IFERROR(__xludf.DUMMYFUNCTION("""COMPUTED_VALUE"""),317)</f>
        <v>317</v>
      </c>
      <c r="X266" s="1">
        <f ca="1">IFERROR(__xludf.DUMMYFUNCTION("""COMPUTED_VALUE"""),421)</f>
        <v>421</v>
      </c>
      <c r="Y266" s="1">
        <f ca="1">IFERROR(__xludf.DUMMYFUNCTION("""COMPUTED_VALUE"""),0.753)</f>
        <v>0.753</v>
      </c>
      <c r="Z266" s="1">
        <f ca="1">IFERROR(__xludf.DUMMYFUNCTION("""COMPUTED_VALUE"""),218)</f>
        <v>218</v>
      </c>
      <c r="AA266" s="1">
        <f ca="1">IFERROR(__xludf.DUMMYFUNCTION("""COMPUTED_VALUE"""),835)</f>
        <v>835</v>
      </c>
      <c r="AB266" s="1">
        <f ca="1">IFERROR(__xludf.DUMMYFUNCTION("""COMPUTED_VALUE"""),382)</f>
        <v>382</v>
      </c>
      <c r="AC266" s="1">
        <f ca="1">IFERROR(__xludf.DUMMYFUNCTION("""COMPUTED_VALUE"""),145)</f>
        <v>145</v>
      </c>
      <c r="AD266" s="1">
        <f ca="1">IFERROR(__xludf.DUMMYFUNCTION("""COMPUTED_VALUE"""),57)</f>
        <v>57</v>
      </c>
      <c r="AE266" s="1">
        <f ca="1">IFERROR(__xludf.DUMMYFUNCTION("""COMPUTED_VALUE"""),418)</f>
        <v>418</v>
      </c>
      <c r="AF266" s="1">
        <f ca="1">IFERROR(__xludf.DUMMYFUNCTION("""COMPUTED_VALUE"""),490)</f>
        <v>490</v>
      </c>
    </row>
    <row r="267" spans="1:32" ht="12.5" x14ac:dyDescent="0.25">
      <c r="A267" s="1" t="str">
        <f ca="1">IFERROR(__xludf.DUMMYFUNCTION("""COMPUTED_VALUE"""),"Princeton")</f>
        <v>Princeton</v>
      </c>
      <c r="B267" s="1">
        <f ca="1">IFERROR(__xludf.DUMMYFUNCTION("""COMPUTED_VALUE"""),28)</f>
        <v>28</v>
      </c>
      <c r="C267" s="1">
        <f ca="1">IFERROR(__xludf.DUMMYFUNCTION("""COMPUTED_VALUE"""),17)</f>
        <v>17</v>
      </c>
      <c r="D267" s="1">
        <f ca="1">IFERROR(__xludf.DUMMYFUNCTION("""COMPUTED_VALUE"""),11)</f>
        <v>11</v>
      </c>
      <c r="E267" s="1">
        <f ca="1">IFERROR(__xludf.DUMMYFUNCTION("""COMPUTED_VALUE"""),0.607)</f>
        <v>0.60699999999999998</v>
      </c>
      <c r="F267" s="1">
        <f ca="1">IFERROR(__xludf.DUMMYFUNCTION("""COMPUTED_VALUE"""),3.16)</f>
        <v>3.16</v>
      </c>
      <c r="G267" s="1">
        <f ca="1">IFERROR(__xludf.DUMMYFUNCTION("""COMPUTED_VALUE"""),-1.65)</f>
        <v>-1.65</v>
      </c>
      <c r="H267" s="1">
        <f ca="1">IFERROR(__xludf.DUMMYFUNCTION("""COMPUTED_VALUE"""),10)</f>
        <v>10</v>
      </c>
      <c r="I267" s="1">
        <f ca="1">IFERROR(__xludf.DUMMYFUNCTION("""COMPUTED_VALUE"""),4)</f>
        <v>4</v>
      </c>
      <c r="J267" s="1">
        <f ca="1">IFERROR(__xludf.DUMMYFUNCTION("""COMPUTED_VALUE"""),9)</f>
        <v>9</v>
      </c>
      <c r="K267" s="1">
        <f ca="1">IFERROR(__xludf.DUMMYFUNCTION("""COMPUTED_VALUE"""),4)</f>
        <v>4</v>
      </c>
      <c r="L267" s="1">
        <f ca="1">IFERROR(__xludf.DUMMYFUNCTION("""COMPUTED_VALUE"""),8)</f>
        <v>8</v>
      </c>
      <c r="M267" s="1">
        <f ca="1">IFERROR(__xludf.DUMMYFUNCTION("""COMPUTED_VALUE"""),6)</f>
        <v>6</v>
      </c>
      <c r="N267" s="1">
        <f ca="1">IFERROR(__xludf.DUMMYFUNCTION("""COMPUTED_VALUE"""),1803)</f>
        <v>1803</v>
      </c>
      <c r="O267" s="1">
        <f ca="1">IFERROR(__xludf.DUMMYFUNCTION("""COMPUTED_VALUE"""),1635)</f>
        <v>1635</v>
      </c>
      <c r="P267" s="1">
        <f ca="1">IFERROR(__xludf.DUMMYFUNCTION("""COMPUTED_VALUE"""),1125)</f>
        <v>1125</v>
      </c>
      <c r="Q267" s="1">
        <f ca="1">IFERROR(__xludf.DUMMYFUNCTION("""COMPUTED_VALUE"""),633)</f>
        <v>633</v>
      </c>
      <c r="R267" s="1">
        <f ca="1">IFERROR(__xludf.DUMMYFUNCTION("""COMPUTED_VALUE"""),1369)</f>
        <v>1369</v>
      </c>
      <c r="S267" s="1">
        <f ca="1">IFERROR(__xludf.DUMMYFUNCTION("""COMPUTED_VALUE"""),0.462)</f>
        <v>0.46200000000000002</v>
      </c>
      <c r="T267" s="1">
        <f ca="1">IFERROR(__xludf.DUMMYFUNCTION("""COMPUTED_VALUE"""),188)</f>
        <v>188</v>
      </c>
      <c r="U267" s="1">
        <f ca="1">IFERROR(__xludf.DUMMYFUNCTION("""COMPUTED_VALUE"""),476)</f>
        <v>476</v>
      </c>
      <c r="V267" s="1">
        <f ca="1">IFERROR(__xludf.DUMMYFUNCTION("""COMPUTED_VALUE"""),0.395)</f>
        <v>0.39500000000000002</v>
      </c>
      <c r="W267" s="1">
        <f ca="1">IFERROR(__xludf.DUMMYFUNCTION("""COMPUTED_VALUE"""),349)</f>
        <v>349</v>
      </c>
      <c r="X267" s="1">
        <f ca="1">IFERROR(__xludf.DUMMYFUNCTION("""COMPUTED_VALUE"""),483)</f>
        <v>483</v>
      </c>
      <c r="Y267" s="1">
        <f ca="1">IFERROR(__xludf.DUMMYFUNCTION("""COMPUTED_VALUE"""),0.723)</f>
        <v>0.72299999999999998</v>
      </c>
      <c r="Z267" s="1">
        <f ca="1">IFERROR(__xludf.DUMMYFUNCTION("""COMPUTED_VALUE"""),251)</f>
        <v>251</v>
      </c>
      <c r="AA267" s="1">
        <f ca="1">IFERROR(__xludf.DUMMYFUNCTION("""COMPUTED_VALUE"""),797)</f>
        <v>797</v>
      </c>
      <c r="AB267" s="1">
        <f ca="1">IFERROR(__xludf.DUMMYFUNCTION("""COMPUTED_VALUE"""),405)</f>
        <v>405</v>
      </c>
      <c r="AC267" s="1">
        <f ca="1">IFERROR(__xludf.DUMMYFUNCTION("""COMPUTED_VALUE"""),178)</f>
        <v>178</v>
      </c>
      <c r="AD267" s="1">
        <f ca="1">IFERROR(__xludf.DUMMYFUNCTION("""COMPUTED_VALUE"""),85)</f>
        <v>85</v>
      </c>
      <c r="AE267" s="1">
        <f ca="1">IFERROR(__xludf.DUMMYFUNCTION("""COMPUTED_VALUE"""),344)</f>
        <v>344</v>
      </c>
      <c r="AF267" s="1">
        <f ca="1">IFERROR(__xludf.DUMMYFUNCTION("""COMPUTED_VALUE"""),453)</f>
        <v>453</v>
      </c>
    </row>
    <row r="268" spans="1:32" ht="12.5" x14ac:dyDescent="0.25">
      <c r="A268" s="1" t="str">
        <f ca="1">IFERROR(__xludf.DUMMYFUNCTION("""COMPUTED_VALUE"""),"Providence")</f>
        <v>Providence</v>
      </c>
      <c r="B268" s="1">
        <f ca="1">IFERROR(__xludf.DUMMYFUNCTION("""COMPUTED_VALUE"""),34)</f>
        <v>34</v>
      </c>
      <c r="C268" s="1">
        <f ca="1">IFERROR(__xludf.DUMMYFUNCTION("""COMPUTED_VALUE"""),19)</f>
        <v>19</v>
      </c>
      <c r="D268" s="1">
        <f ca="1">IFERROR(__xludf.DUMMYFUNCTION("""COMPUTED_VALUE"""),15)</f>
        <v>15</v>
      </c>
      <c r="E268" s="1">
        <f ca="1">IFERROR(__xludf.DUMMYFUNCTION("""COMPUTED_VALUE"""),0.559)</f>
        <v>0.55900000000000005</v>
      </c>
      <c r="F268" s="1">
        <f ca="1">IFERROR(__xludf.DUMMYFUNCTION("""COMPUTED_VALUE"""),9.28)</f>
        <v>9.2799999999999994</v>
      </c>
      <c r="G268" s="1">
        <f ca="1">IFERROR(__xludf.DUMMYFUNCTION("""COMPUTED_VALUE"""),6.55)</f>
        <v>6.55</v>
      </c>
      <c r="H268" s="1">
        <f ca="1">IFERROR(__xludf.DUMMYFUNCTION("""COMPUTED_VALUE"""),9)</f>
        <v>9</v>
      </c>
      <c r="I268" s="1">
        <f ca="1">IFERROR(__xludf.DUMMYFUNCTION("""COMPUTED_VALUE"""),9)</f>
        <v>9</v>
      </c>
      <c r="J268" s="1">
        <f ca="1">IFERROR(__xludf.DUMMYFUNCTION("""COMPUTED_VALUE"""),14)</f>
        <v>14</v>
      </c>
      <c r="K268" s="1">
        <f ca="1">IFERROR(__xludf.DUMMYFUNCTION("""COMPUTED_VALUE"""),4)</f>
        <v>4</v>
      </c>
      <c r="L268" s="1">
        <f ca="1">IFERROR(__xludf.DUMMYFUNCTION("""COMPUTED_VALUE"""),4)</f>
        <v>4</v>
      </c>
      <c r="M268" s="1">
        <f ca="1">IFERROR(__xludf.DUMMYFUNCTION("""COMPUTED_VALUE"""),8)</f>
        <v>8</v>
      </c>
      <c r="N268" s="1">
        <f ca="1">IFERROR(__xludf.DUMMYFUNCTION("""COMPUTED_VALUE"""),2299)</f>
        <v>2299</v>
      </c>
      <c r="O268" s="1">
        <f ca="1">IFERROR(__xludf.DUMMYFUNCTION("""COMPUTED_VALUE"""),2206)</f>
        <v>2206</v>
      </c>
      <c r="P268" s="1">
        <f ca="1">IFERROR(__xludf.DUMMYFUNCTION("""COMPUTED_VALUE"""),1375)</f>
        <v>1375</v>
      </c>
      <c r="Q268" s="1">
        <f ca="1">IFERROR(__xludf.DUMMYFUNCTION("""COMPUTED_VALUE"""),801)</f>
        <v>801</v>
      </c>
      <c r="R268" s="1">
        <f ca="1">IFERROR(__xludf.DUMMYFUNCTION("""COMPUTED_VALUE"""),1947)</f>
        <v>1947</v>
      </c>
      <c r="S268" s="1">
        <f ca="1">IFERROR(__xludf.DUMMYFUNCTION("""COMPUTED_VALUE"""),0.411)</f>
        <v>0.41099999999999998</v>
      </c>
      <c r="T268" s="1">
        <f ca="1">IFERROR(__xludf.DUMMYFUNCTION("""COMPUTED_VALUE"""),186)</f>
        <v>186</v>
      </c>
      <c r="U268" s="1">
        <f ca="1">IFERROR(__xludf.DUMMYFUNCTION("""COMPUTED_VALUE"""),600)</f>
        <v>600</v>
      </c>
      <c r="V268" s="1">
        <f ca="1">IFERROR(__xludf.DUMMYFUNCTION("""COMPUTED_VALUE"""),0.31)</f>
        <v>0.31</v>
      </c>
      <c r="W268" s="1">
        <f ca="1">IFERROR(__xludf.DUMMYFUNCTION("""COMPUTED_VALUE"""),511)</f>
        <v>511</v>
      </c>
      <c r="X268" s="1">
        <f ca="1">IFERROR(__xludf.DUMMYFUNCTION("""COMPUTED_VALUE"""),728)</f>
        <v>728</v>
      </c>
      <c r="Y268" s="1">
        <f ca="1">IFERROR(__xludf.DUMMYFUNCTION("""COMPUTED_VALUE"""),0.702)</f>
        <v>0.70199999999999996</v>
      </c>
      <c r="Z268" s="1">
        <f ca="1">IFERROR(__xludf.DUMMYFUNCTION("""COMPUTED_VALUE"""),471)</f>
        <v>471</v>
      </c>
      <c r="AA268" s="1">
        <f ca="1">IFERROR(__xludf.DUMMYFUNCTION("""COMPUTED_VALUE"""),1161)</f>
        <v>1161</v>
      </c>
      <c r="AB268" s="1">
        <f ca="1">IFERROR(__xludf.DUMMYFUNCTION("""COMPUTED_VALUE"""),485)</f>
        <v>485</v>
      </c>
      <c r="AC268" s="1">
        <f ca="1">IFERROR(__xludf.DUMMYFUNCTION("""COMPUTED_VALUE"""),211)</f>
        <v>211</v>
      </c>
      <c r="AD268" s="1">
        <f ca="1">IFERROR(__xludf.DUMMYFUNCTION("""COMPUTED_VALUE"""),110)</f>
        <v>110</v>
      </c>
      <c r="AE268" s="1">
        <f ca="1">IFERROR(__xludf.DUMMYFUNCTION("""COMPUTED_VALUE"""),431)</f>
        <v>431</v>
      </c>
      <c r="AF268" s="1">
        <f ca="1">IFERROR(__xludf.DUMMYFUNCTION("""COMPUTED_VALUE"""),582)</f>
        <v>582</v>
      </c>
    </row>
    <row r="269" spans="1:32" ht="12.5" x14ac:dyDescent="0.25">
      <c r="A269" s="1" t="str">
        <f ca="1">IFERROR(__xludf.DUMMYFUNCTION("""COMPUTED_VALUE"""),"Purdue")</f>
        <v>Purdue</v>
      </c>
      <c r="B269" s="1">
        <f ca="1">IFERROR(__xludf.DUMMYFUNCTION("""COMPUTED_VALUE"""),34)</f>
        <v>34</v>
      </c>
      <c r="C269" s="1">
        <f ca="1">IFERROR(__xludf.DUMMYFUNCTION("""COMPUTED_VALUE"""),16)</f>
        <v>16</v>
      </c>
      <c r="D269" s="1">
        <f ca="1">IFERROR(__xludf.DUMMYFUNCTION("""COMPUTED_VALUE"""),18)</f>
        <v>18</v>
      </c>
      <c r="E269" s="1">
        <f ca="1">IFERROR(__xludf.DUMMYFUNCTION("""COMPUTED_VALUE"""),0.471)</f>
        <v>0.47099999999999997</v>
      </c>
      <c r="F269" s="1">
        <f ca="1">IFERROR(__xludf.DUMMYFUNCTION("""COMPUTED_VALUE"""),9.04)</f>
        <v>9.0399999999999991</v>
      </c>
      <c r="G269" s="1">
        <f ca="1">IFERROR(__xludf.DUMMYFUNCTION("""COMPUTED_VALUE"""),7.87)</f>
        <v>7.87</v>
      </c>
      <c r="H269" s="1">
        <f ca="1">IFERROR(__xludf.DUMMYFUNCTION("""COMPUTED_VALUE"""),8)</f>
        <v>8</v>
      </c>
      <c r="I269" s="1">
        <f ca="1">IFERROR(__xludf.DUMMYFUNCTION("""COMPUTED_VALUE"""),10)</f>
        <v>10</v>
      </c>
      <c r="J269" s="1">
        <f ca="1">IFERROR(__xludf.DUMMYFUNCTION("""COMPUTED_VALUE"""),12)</f>
        <v>12</v>
      </c>
      <c r="K269" s="1">
        <f ca="1">IFERROR(__xludf.DUMMYFUNCTION("""COMPUTED_VALUE"""),7)</f>
        <v>7</v>
      </c>
      <c r="L269" s="1">
        <f ca="1">IFERROR(__xludf.DUMMYFUNCTION("""COMPUTED_VALUE"""),4)</f>
        <v>4</v>
      </c>
      <c r="M269" s="1">
        <f ca="1">IFERROR(__xludf.DUMMYFUNCTION("""COMPUTED_VALUE"""),7)</f>
        <v>7</v>
      </c>
      <c r="N269" s="1">
        <f ca="1">IFERROR(__xludf.DUMMYFUNCTION("""COMPUTED_VALUE"""),2252)</f>
        <v>2252</v>
      </c>
      <c r="O269" s="1">
        <f ca="1">IFERROR(__xludf.DUMMYFUNCTION("""COMPUTED_VALUE"""),2212)</f>
        <v>2212</v>
      </c>
      <c r="P269" s="1">
        <f ca="1">IFERROR(__xludf.DUMMYFUNCTION("""COMPUTED_VALUE"""),1370)</f>
        <v>1370</v>
      </c>
      <c r="Q269" s="1">
        <f ca="1">IFERROR(__xludf.DUMMYFUNCTION("""COMPUTED_VALUE"""),838)</f>
        <v>838</v>
      </c>
      <c r="R269" s="1">
        <f ca="1">IFERROR(__xludf.DUMMYFUNCTION("""COMPUTED_VALUE"""),1968)</f>
        <v>1968</v>
      </c>
      <c r="S269" s="1">
        <f ca="1">IFERROR(__xludf.DUMMYFUNCTION("""COMPUTED_VALUE"""),0.426)</f>
        <v>0.42599999999999999</v>
      </c>
      <c r="T269" s="1">
        <f ca="1">IFERROR(__xludf.DUMMYFUNCTION("""COMPUTED_VALUE"""),145)</f>
        <v>145</v>
      </c>
      <c r="U269" s="1">
        <f ca="1">IFERROR(__xludf.DUMMYFUNCTION("""COMPUTED_VALUE"""),453)</f>
        <v>453</v>
      </c>
      <c r="V269" s="1">
        <f ca="1">IFERROR(__xludf.DUMMYFUNCTION("""COMPUTED_VALUE"""),0.32)</f>
        <v>0.32</v>
      </c>
      <c r="W269" s="1">
        <f ca="1">IFERROR(__xludf.DUMMYFUNCTION("""COMPUTED_VALUE"""),431)</f>
        <v>431</v>
      </c>
      <c r="X269" s="1">
        <f ca="1">IFERROR(__xludf.DUMMYFUNCTION("""COMPUTED_VALUE"""),660)</f>
        <v>660</v>
      </c>
      <c r="Y269" s="1">
        <f ca="1">IFERROR(__xludf.DUMMYFUNCTION("""COMPUTED_VALUE"""),0.653)</f>
        <v>0.65300000000000002</v>
      </c>
      <c r="Z269" s="1">
        <f ca="1">IFERROR(__xludf.DUMMYFUNCTION("""COMPUTED_VALUE"""),459)</f>
        <v>459</v>
      </c>
      <c r="AA269" s="1">
        <f ca="1">IFERROR(__xludf.DUMMYFUNCTION("""COMPUTED_VALUE"""),1179)</f>
        <v>1179</v>
      </c>
      <c r="AB269" s="1">
        <f ca="1">IFERROR(__xludf.DUMMYFUNCTION("""COMPUTED_VALUE"""),468)</f>
        <v>468</v>
      </c>
      <c r="AC269" s="1">
        <f ca="1">IFERROR(__xludf.DUMMYFUNCTION("""COMPUTED_VALUE"""),168)</f>
        <v>168</v>
      </c>
      <c r="AD269" s="1">
        <f ca="1">IFERROR(__xludf.DUMMYFUNCTION("""COMPUTED_VALUE"""),153)</f>
        <v>153</v>
      </c>
      <c r="AE269" s="1">
        <f ca="1">IFERROR(__xludf.DUMMYFUNCTION("""COMPUTED_VALUE"""),427)</f>
        <v>427</v>
      </c>
      <c r="AF269" s="1">
        <f ca="1">IFERROR(__xludf.DUMMYFUNCTION("""COMPUTED_VALUE"""),606)</f>
        <v>606</v>
      </c>
    </row>
    <row r="270" spans="1:32" ht="12.5" x14ac:dyDescent="0.25">
      <c r="A270" s="1" t="str">
        <f ca="1">IFERROR(__xludf.DUMMYFUNCTION("""COMPUTED_VALUE"""),"Quinnipiac")</f>
        <v>Quinnipiac</v>
      </c>
      <c r="B270" s="1">
        <f ca="1">IFERROR(__xludf.DUMMYFUNCTION("""COMPUTED_VALUE"""),31)</f>
        <v>31</v>
      </c>
      <c r="C270" s="1">
        <f ca="1">IFERROR(__xludf.DUMMYFUNCTION("""COMPUTED_VALUE"""),15)</f>
        <v>15</v>
      </c>
      <c r="D270" s="1">
        <f ca="1">IFERROR(__xludf.DUMMYFUNCTION("""COMPUTED_VALUE"""),16)</f>
        <v>16</v>
      </c>
      <c r="E270" s="1">
        <f ca="1">IFERROR(__xludf.DUMMYFUNCTION("""COMPUTED_VALUE"""),0.484)</f>
        <v>0.48399999999999999</v>
      </c>
      <c r="F270" s="1">
        <f ca="1">IFERROR(__xludf.DUMMYFUNCTION("""COMPUTED_VALUE"""),-4.75)</f>
        <v>-4.75</v>
      </c>
      <c r="G270" s="1">
        <f ca="1">IFERROR(__xludf.DUMMYFUNCTION("""COMPUTED_VALUE"""),-4.91)</f>
        <v>-4.91</v>
      </c>
      <c r="H270" s="1">
        <f ca="1">IFERROR(__xludf.DUMMYFUNCTION("""COMPUTED_VALUE"""),11)</f>
        <v>11</v>
      </c>
      <c r="I270" s="1">
        <f ca="1">IFERROR(__xludf.DUMMYFUNCTION("""COMPUTED_VALUE"""),7)</f>
        <v>7</v>
      </c>
      <c r="J270" s="1">
        <f ca="1">IFERROR(__xludf.DUMMYFUNCTION("""COMPUTED_VALUE"""),8)</f>
        <v>8</v>
      </c>
      <c r="K270" s="1">
        <f ca="1">IFERROR(__xludf.DUMMYFUNCTION("""COMPUTED_VALUE"""),6)</f>
        <v>6</v>
      </c>
      <c r="L270" s="1">
        <f ca="1">IFERROR(__xludf.DUMMYFUNCTION("""COMPUTED_VALUE"""),6)</f>
        <v>6</v>
      </c>
      <c r="M270" s="1">
        <f ca="1">IFERROR(__xludf.DUMMYFUNCTION("""COMPUTED_VALUE"""),8)</f>
        <v>8</v>
      </c>
      <c r="N270" s="1">
        <f ca="1">IFERROR(__xludf.DUMMYFUNCTION("""COMPUTED_VALUE"""),2225)</f>
        <v>2225</v>
      </c>
      <c r="O270" s="1">
        <f ca="1">IFERROR(__xludf.DUMMYFUNCTION("""COMPUTED_VALUE"""),2220)</f>
        <v>2220</v>
      </c>
      <c r="P270" s="1">
        <f ca="1">IFERROR(__xludf.DUMMYFUNCTION("""COMPUTED_VALUE"""),1265)</f>
        <v>1265</v>
      </c>
      <c r="Q270" s="1">
        <f ca="1">IFERROR(__xludf.DUMMYFUNCTION("""COMPUTED_VALUE"""),789)</f>
        <v>789</v>
      </c>
      <c r="R270" s="1">
        <f ca="1">IFERROR(__xludf.DUMMYFUNCTION("""COMPUTED_VALUE"""),1844)</f>
        <v>1844</v>
      </c>
      <c r="S270" s="1">
        <f ca="1">IFERROR(__xludf.DUMMYFUNCTION("""COMPUTED_VALUE"""),0.428)</f>
        <v>0.42799999999999999</v>
      </c>
      <c r="T270" s="1">
        <f ca="1">IFERROR(__xludf.DUMMYFUNCTION("""COMPUTED_VALUE"""),137)</f>
        <v>137</v>
      </c>
      <c r="U270" s="1">
        <f ca="1">IFERROR(__xludf.DUMMYFUNCTION("""COMPUTED_VALUE"""),409)</f>
        <v>409</v>
      </c>
      <c r="V270" s="1">
        <f ca="1">IFERROR(__xludf.DUMMYFUNCTION("""COMPUTED_VALUE"""),0.335)</f>
        <v>0.33500000000000002</v>
      </c>
      <c r="W270" s="1">
        <f ca="1">IFERROR(__xludf.DUMMYFUNCTION("""COMPUTED_VALUE"""),510)</f>
        <v>510</v>
      </c>
      <c r="X270" s="1">
        <f ca="1">IFERROR(__xludf.DUMMYFUNCTION("""COMPUTED_VALUE"""),758)</f>
        <v>758</v>
      </c>
      <c r="Y270" s="1">
        <f ca="1">IFERROR(__xludf.DUMMYFUNCTION("""COMPUTED_VALUE"""),0.673)</f>
        <v>0.67300000000000004</v>
      </c>
      <c r="Z270" s="1">
        <f ca="1">IFERROR(__xludf.DUMMYFUNCTION("""COMPUTED_VALUE"""),494)</f>
        <v>494</v>
      </c>
      <c r="AA270" s="1">
        <f ca="1">IFERROR(__xludf.DUMMYFUNCTION("""COMPUTED_VALUE"""),1200)</f>
        <v>1200</v>
      </c>
      <c r="AB270" s="1">
        <f ca="1">IFERROR(__xludf.DUMMYFUNCTION("""COMPUTED_VALUE"""),389)</f>
        <v>389</v>
      </c>
      <c r="AC270" s="1">
        <f ca="1">IFERROR(__xludf.DUMMYFUNCTION("""COMPUTED_VALUE"""),128)</f>
        <v>128</v>
      </c>
      <c r="AD270" s="1">
        <f ca="1">IFERROR(__xludf.DUMMYFUNCTION("""COMPUTED_VALUE"""),115)</f>
        <v>115</v>
      </c>
      <c r="AE270" s="1">
        <f ca="1">IFERROR(__xludf.DUMMYFUNCTION("""COMPUTED_VALUE"""),432)</f>
        <v>432</v>
      </c>
      <c r="AF270" s="1">
        <f ca="1">IFERROR(__xludf.DUMMYFUNCTION("""COMPUTED_VALUE"""),609)</f>
        <v>609</v>
      </c>
    </row>
    <row r="271" spans="1:32" ht="12.5" x14ac:dyDescent="0.25">
      <c r="A271" s="1" t="str">
        <f ca="1">IFERROR(__xludf.DUMMYFUNCTION("""COMPUTED_VALUE"""),"Radford")</f>
        <v>Radford</v>
      </c>
      <c r="B271" s="1">
        <f ca="1">IFERROR(__xludf.DUMMYFUNCTION("""COMPUTED_VALUE"""),32)</f>
        <v>32</v>
      </c>
      <c r="C271" s="1">
        <f ca="1">IFERROR(__xludf.DUMMYFUNCTION("""COMPUTED_VALUE"""),13)</f>
        <v>13</v>
      </c>
      <c r="D271" s="1">
        <f ca="1">IFERROR(__xludf.DUMMYFUNCTION("""COMPUTED_VALUE"""),19)</f>
        <v>19</v>
      </c>
      <c r="E271" s="1">
        <f ca="1">IFERROR(__xludf.DUMMYFUNCTION("""COMPUTED_VALUE"""),0.406)</f>
        <v>0.40600000000000003</v>
      </c>
      <c r="F271" s="1">
        <f ca="1">IFERROR(__xludf.DUMMYFUNCTION("""COMPUTED_VALUE"""),-10.87)</f>
        <v>-10.87</v>
      </c>
      <c r="G271" s="1">
        <f ca="1">IFERROR(__xludf.DUMMYFUNCTION("""COMPUTED_VALUE"""),-7.32)</f>
        <v>-7.32</v>
      </c>
      <c r="H271" s="1">
        <f ca="1">IFERROR(__xludf.DUMMYFUNCTION("""COMPUTED_VALUE"""),7)</f>
        <v>7</v>
      </c>
      <c r="I271" s="1">
        <f ca="1">IFERROR(__xludf.DUMMYFUNCTION("""COMPUTED_VALUE"""),9)</f>
        <v>9</v>
      </c>
      <c r="J271" s="1">
        <f ca="1">IFERROR(__xludf.DUMMYFUNCTION("""COMPUTED_VALUE"""),8)</f>
        <v>8</v>
      </c>
      <c r="K271" s="1">
        <f ca="1">IFERROR(__xludf.DUMMYFUNCTION("""COMPUTED_VALUE"""),5)</f>
        <v>5</v>
      </c>
      <c r="L271" s="1">
        <f ca="1">IFERROR(__xludf.DUMMYFUNCTION("""COMPUTED_VALUE"""),4)</f>
        <v>4</v>
      </c>
      <c r="M271" s="1">
        <f ca="1">IFERROR(__xludf.DUMMYFUNCTION("""COMPUTED_VALUE"""),12)</f>
        <v>12</v>
      </c>
      <c r="N271" s="1">
        <f ca="1">IFERROR(__xludf.DUMMYFUNCTION("""COMPUTED_VALUE"""),2136)</f>
        <v>2136</v>
      </c>
      <c r="O271" s="1">
        <f ca="1">IFERROR(__xludf.DUMMYFUNCTION("""COMPUTED_VALUE"""),2179)</f>
        <v>2179</v>
      </c>
      <c r="P271" s="1">
        <f ca="1">IFERROR(__xludf.DUMMYFUNCTION("""COMPUTED_VALUE"""),1300)</f>
        <v>1300</v>
      </c>
      <c r="Q271" s="1">
        <f ca="1">IFERROR(__xludf.DUMMYFUNCTION("""COMPUTED_VALUE"""),750)</f>
        <v>750</v>
      </c>
      <c r="R271" s="1">
        <f ca="1">IFERROR(__xludf.DUMMYFUNCTION("""COMPUTED_VALUE"""),1888)</f>
        <v>1888</v>
      </c>
      <c r="S271" s="1">
        <f ca="1">IFERROR(__xludf.DUMMYFUNCTION("""COMPUTED_VALUE"""),0.397)</f>
        <v>0.39700000000000002</v>
      </c>
      <c r="T271" s="1">
        <f ca="1">IFERROR(__xludf.DUMMYFUNCTION("""COMPUTED_VALUE"""),194)</f>
        <v>194</v>
      </c>
      <c r="U271" s="1">
        <f ca="1">IFERROR(__xludf.DUMMYFUNCTION("""COMPUTED_VALUE"""),617)</f>
        <v>617</v>
      </c>
      <c r="V271" s="1">
        <f ca="1">IFERROR(__xludf.DUMMYFUNCTION("""COMPUTED_VALUE"""),0.314)</f>
        <v>0.314</v>
      </c>
      <c r="W271" s="1">
        <f ca="1">IFERROR(__xludf.DUMMYFUNCTION("""COMPUTED_VALUE"""),442)</f>
        <v>442</v>
      </c>
      <c r="X271" s="1">
        <f ca="1">IFERROR(__xludf.DUMMYFUNCTION("""COMPUTED_VALUE"""),682)</f>
        <v>682</v>
      </c>
      <c r="Y271" s="1">
        <f ca="1">IFERROR(__xludf.DUMMYFUNCTION("""COMPUTED_VALUE"""),0.648)</f>
        <v>0.64800000000000002</v>
      </c>
      <c r="Z271" s="1">
        <f ca="1">IFERROR(__xludf.DUMMYFUNCTION("""COMPUTED_VALUE"""),425)</f>
        <v>425</v>
      </c>
      <c r="AA271" s="1">
        <f ca="1">IFERROR(__xludf.DUMMYFUNCTION("""COMPUTED_VALUE"""),1056)</f>
        <v>1056</v>
      </c>
      <c r="AB271" s="1">
        <f ca="1">IFERROR(__xludf.DUMMYFUNCTION("""COMPUTED_VALUE"""),382)</f>
        <v>382</v>
      </c>
      <c r="AC271" s="1">
        <f ca="1">IFERROR(__xludf.DUMMYFUNCTION("""COMPUTED_VALUE"""),274)</f>
        <v>274</v>
      </c>
      <c r="AD271" s="1">
        <f ca="1">IFERROR(__xludf.DUMMYFUNCTION("""COMPUTED_VALUE"""),116)</f>
        <v>116</v>
      </c>
      <c r="AE271" s="1">
        <f ca="1">IFERROR(__xludf.DUMMYFUNCTION("""COMPUTED_VALUE"""),432)</f>
        <v>432</v>
      </c>
      <c r="AF271" s="1">
        <f ca="1">IFERROR(__xludf.DUMMYFUNCTION("""COMPUTED_VALUE"""),612)</f>
        <v>612</v>
      </c>
    </row>
    <row r="272" spans="1:32" ht="12.5" x14ac:dyDescent="0.25">
      <c r="A272" s="1" t="str">
        <f ca="1">IFERROR(__xludf.DUMMYFUNCTION("""COMPUTED_VALUE"""),"Rhode Island")</f>
        <v>Rhode Island</v>
      </c>
      <c r="B272" s="1">
        <f ca="1">IFERROR(__xludf.DUMMYFUNCTION("""COMPUTED_VALUE"""),29)</f>
        <v>29</v>
      </c>
      <c r="C272" s="1">
        <f ca="1">IFERROR(__xludf.DUMMYFUNCTION("""COMPUTED_VALUE"""),8)</f>
        <v>8</v>
      </c>
      <c r="D272" s="1">
        <f ca="1">IFERROR(__xludf.DUMMYFUNCTION("""COMPUTED_VALUE"""),21)</f>
        <v>21</v>
      </c>
      <c r="E272" s="1">
        <f ca="1">IFERROR(__xludf.DUMMYFUNCTION("""COMPUTED_VALUE"""),0.276)</f>
        <v>0.27600000000000002</v>
      </c>
      <c r="F272" s="1">
        <f ca="1">IFERROR(__xludf.DUMMYFUNCTION("""COMPUTED_VALUE"""),-0.6)</f>
        <v>-0.6</v>
      </c>
      <c r="G272" s="1">
        <f ca="1">IFERROR(__xludf.DUMMYFUNCTION("""COMPUTED_VALUE"""),4.95)</f>
        <v>4.95</v>
      </c>
      <c r="H272" s="1">
        <f ca="1">IFERROR(__xludf.DUMMYFUNCTION("""COMPUTED_VALUE"""),3)</f>
        <v>3</v>
      </c>
      <c r="I272" s="1">
        <f ca="1">IFERROR(__xludf.DUMMYFUNCTION("""COMPUTED_VALUE"""),13)</f>
        <v>13</v>
      </c>
      <c r="J272" s="1">
        <f ca="1">IFERROR(__xludf.DUMMYFUNCTION("""COMPUTED_VALUE"""),5)</f>
        <v>5</v>
      </c>
      <c r="K272" s="1">
        <f ca="1">IFERROR(__xludf.DUMMYFUNCTION("""COMPUTED_VALUE"""),10)</f>
        <v>10</v>
      </c>
      <c r="L272" s="1">
        <f ca="1">IFERROR(__xludf.DUMMYFUNCTION("""COMPUTED_VALUE"""),3)</f>
        <v>3</v>
      </c>
      <c r="M272" s="1">
        <f ca="1">IFERROR(__xludf.DUMMYFUNCTION("""COMPUTED_VALUE"""),9)</f>
        <v>9</v>
      </c>
      <c r="N272" s="1">
        <f ca="1">IFERROR(__xludf.DUMMYFUNCTION("""COMPUTED_VALUE"""),1786)</f>
        <v>1786</v>
      </c>
      <c r="O272" s="1">
        <f ca="1">IFERROR(__xludf.DUMMYFUNCTION("""COMPUTED_VALUE"""),1947)</f>
        <v>1947</v>
      </c>
      <c r="P272" s="1">
        <f ca="1">IFERROR(__xludf.DUMMYFUNCTION("""COMPUTED_VALUE"""),1180)</f>
        <v>1180</v>
      </c>
      <c r="Q272" s="1">
        <f ca="1">IFERROR(__xludf.DUMMYFUNCTION("""COMPUTED_VALUE"""),616)</f>
        <v>616</v>
      </c>
      <c r="R272" s="1">
        <f ca="1">IFERROR(__xludf.DUMMYFUNCTION("""COMPUTED_VALUE"""),1539)</f>
        <v>1539</v>
      </c>
      <c r="S272" s="1">
        <f ca="1">IFERROR(__xludf.DUMMYFUNCTION("""COMPUTED_VALUE"""),0.4)</f>
        <v>0.4</v>
      </c>
      <c r="T272" s="1">
        <f ca="1">IFERROR(__xludf.DUMMYFUNCTION("""COMPUTED_VALUE"""),183)</f>
        <v>183</v>
      </c>
      <c r="U272" s="1">
        <f ca="1">IFERROR(__xludf.DUMMYFUNCTION("""COMPUTED_VALUE"""),568)</f>
        <v>568</v>
      </c>
      <c r="V272" s="1">
        <f ca="1">IFERROR(__xludf.DUMMYFUNCTION("""COMPUTED_VALUE"""),0.322)</f>
        <v>0.32200000000000001</v>
      </c>
      <c r="W272" s="1">
        <f ca="1">IFERROR(__xludf.DUMMYFUNCTION("""COMPUTED_VALUE"""),371)</f>
        <v>371</v>
      </c>
      <c r="X272" s="1">
        <f ca="1">IFERROR(__xludf.DUMMYFUNCTION("""COMPUTED_VALUE"""),553)</f>
        <v>553</v>
      </c>
      <c r="Y272" s="1">
        <f ca="1">IFERROR(__xludf.DUMMYFUNCTION("""COMPUTED_VALUE"""),0.671)</f>
        <v>0.67100000000000004</v>
      </c>
      <c r="Z272" s="1">
        <f ca="1">IFERROR(__xludf.DUMMYFUNCTION("""COMPUTED_VALUE"""),292)</f>
        <v>292</v>
      </c>
      <c r="AA272" s="1">
        <f ca="1">IFERROR(__xludf.DUMMYFUNCTION("""COMPUTED_VALUE"""),825)</f>
        <v>825</v>
      </c>
      <c r="AB272" s="1">
        <f ca="1">IFERROR(__xludf.DUMMYFUNCTION("""COMPUTED_VALUE"""),316)</f>
        <v>316</v>
      </c>
      <c r="AC272" s="1">
        <f ca="1">IFERROR(__xludf.DUMMYFUNCTION("""COMPUTED_VALUE"""),161)</f>
        <v>161</v>
      </c>
      <c r="AD272" s="1">
        <f ca="1">IFERROR(__xludf.DUMMYFUNCTION("""COMPUTED_VALUE"""),117)</f>
        <v>117</v>
      </c>
      <c r="AE272" s="1">
        <f ca="1">IFERROR(__xludf.DUMMYFUNCTION("""COMPUTED_VALUE"""),350)</f>
        <v>350</v>
      </c>
      <c r="AF272" s="1">
        <f ca="1">IFERROR(__xludf.DUMMYFUNCTION("""COMPUTED_VALUE"""),561)</f>
        <v>561</v>
      </c>
    </row>
    <row r="273" spans="1:32" ht="12.5" x14ac:dyDescent="0.25">
      <c r="A273" s="1" t="str">
        <f ca="1">IFERROR(__xludf.DUMMYFUNCTION("""COMPUTED_VALUE"""),"Rice")</f>
        <v>Rice</v>
      </c>
      <c r="B273" s="1">
        <f ca="1">IFERROR(__xludf.DUMMYFUNCTION("""COMPUTED_VALUE"""),31)</f>
        <v>31</v>
      </c>
      <c r="C273" s="1">
        <f ca="1">IFERROR(__xludf.DUMMYFUNCTION("""COMPUTED_VALUE"""),5)</f>
        <v>5</v>
      </c>
      <c r="D273" s="1">
        <f ca="1">IFERROR(__xludf.DUMMYFUNCTION("""COMPUTED_VALUE"""),26)</f>
        <v>26</v>
      </c>
      <c r="E273" s="1">
        <f ca="1">IFERROR(__xludf.DUMMYFUNCTION("""COMPUTED_VALUE"""),0.161)</f>
        <v>0.161</v>
      </c>
      <c r="F273" s="1">
        <f ca="1">IFERROR(__xludf.DUMMYFUNCTION("""COMPUTED_VALUE"""),-11.12)</f>
        <v>-11.12</v>
      </c>
      <c r="G273" s="1">
        <f ca="1">IFERROR(__xludf.DUMMYFUNCTION("""COMPUTED_VALUE"""),0.01)</f>
        <v>0.01</v>
      </c>
      <c r="H273" s="1">
        <f ca="1">IFERROR(__xludf.DUMMYFUNCTION("""COMPUTED_VALUE"""),1)</f>
        <v>1</v>
      </c>
      <c r="I273" s="1">
        <f ca="1">IFERROR(__xludf.DUMMYFUNCTION("""COMPUTED_VALUE"""),15)</f>
        <v>15</v>
      </c>
      <c r="J273" s="1">
        <f ca="1">IFERROR(__xludf.DUMMYFUNCTION("""COMPUTED_VALUE"""),5)</f>
        <v>5</v>
      </c>
      <c r="K273" s="1">
        <f ca="1">IFERROR(__xludf.DUMMYFUNCTION("""COMPUTED_VALUE"""),11)</f>
        <v>11</v>
      </c>
      <c r="L273" s="1">
        <f ca="1">IFERROR(__xludf.DUMMYFUNCTION("""COMPUTED_VALUE"""),0)</f>
        <v>0</v>
      </c>
      <c r="M273" s="1">
        <f ca="1">IFERROR(__xludf.DUMMYFUNCTION("""COMPUTED_VALUE"""),11)</f>
        <v>11</v>
      </c>
      <c r="N273" s="1">
        <f ca="1">IFERROR(__xludf.DUMMYFUNCTION("""COMPUTED_VALUE"""),1875)</f>
        <v>1875</v>
      </c>
      <c r="O273" s="1">
        <f ca="1">IFERROR(__xludf.DUMMYFUNCTION("""COMPUTED_VALUE"""),2199)</f>
        <v>2199</v>
      </c>
      <c r="P273" s="1">
        <f ca="1">IFERROR(__xludf.DUMMYFUNCTION("""COMPUTED_VALUE"""),1245)</f>
        <v>1245</v>
      </c>
      <c r="Q273" s="1">
        <f ca="1">IFERROR(__xludf.DUMMYFUNCTION("""COMPUTED_VALUE"""),644)</f>
        <v>644</v>
      </c>
      <c r="R273" s="1">
        <f ca="1">IFERROR(__xludf.DUMMYFUNCTION("""COMPUTED_VALUE"""),1621)</f>
        <v>1621</v>
      </c>
      <c r="S273" s="1">
        <f ca="1">IFERROR(__xludf.DUMMYFUNCTION("""COMPUTED_VALUE"""),0.397)</f>
        <v>0.39700000000000002</v>
      </c>
      <c r="T273" s="1">
        <f ca="1">IFERROR(__xludf.DUMMYFUNCTION("""COMPUTED_VALUE"""),229)</f>
        <v>229</v>
      </c>
      <c r="U273" s="1">
        <f ca="1">IFERROR(__xludf.DUMMYFUNCTION("""COMPUTED_VALUE"""),697)</f>
        <v>697</v>
      </c>
      <c r="V273" s="1">
        <f ca="1">IFERROR(__xludf.DUMMYFUNCTION("""COMPUTED_VALUE"""),0.329)</f>
        <v>0.32900000000000001</v>
      </c>
      <c r="W273" s="1">
        <f ca="1">IFERROR(__xludf.DUMMYFUNCTION("""COMPUTED_VALUE"""),358)</f>
        <v>358</v>
      </c>
      <c r="X273" s="1">
        <f ca="1">IFERROR(__xludf.DUMMYFUNCTION("""COMPUTED_VALUE"""),493)</f>
        <v>493</v>
      </c>
      <c r="Y273" s="1">
        <f ca="1">IFERROR(__xludf.DUMMYFUNCTION("""COMPUTED_VALUE"""),0.726)</f>
        <v>0.72599999999999998</v>
      </c>
      <c r="Z273" s="1">
        <f ca="1">IFERROR(__xludf.DUMMYFUNCTION("""COMPUTED_VALUE"""),209)</f>
        <v>209</v>
      </c>
      <c r="AA273" s="1">
        <f ca="1">IFERROR(__xludf.DUMMYFUNCTION("""COMPUTED_VALUE"""),706)</f>
        <v>706</v>
      </c>
      <c r="AB273" s="1">
        <f ca="1">IFERROR(__xludf.DUMMYFUNCTION("""COMPUTED_VALUE"""),351)</f>
        <v>351</v>
      </c>
      <c r="AC273" s="1">
        <f ca="1">IFERROR(__xludf.DUMMYFUNCTION("""COMPUTED_VALUE"""),204)</f>
        <v>204</v>
      </c>
      <c r="AD273" s="1">
        <f ca="1">IFERROR(__xludf.DUMMYFUNCTION("""COMPUTED_VALUE"""),32)</f>
        <v>32</v>
      </c>
      <c r="AE273" s="1">
        <f ca="1">IFERROR(__xludf.DUMMYFUNCTION("""COMPUTED_VALUE"""),346)</f>
        <v>346</v>
      </c>
      <c r="AF273" s="1">
        <f ca="1">IFERROR(__xludf.DUMMYFUNCTION("""COMPUTED_VALUE"""),583)</f>
        <v>583</v>
      </c>
    </row>
    <row r="274" spans="1:32" ht="12.5" x14ac:dyDescent="0.25">
      <c r="A274" s="1" t="str">
        <f ca="1">IFERROR(__xludf.DUMMYFUNCTION("""COMPUTED_VALUE"""),"Richmond")</f>
        <v>Richmond</v>
      </c>
      <c r="B274" s="1">
        <f ca="1">IFERROR(__xludf.DUMMYFUNCTION("""COMPUTED_VALUE"""),34)</f>
        <v>34</v>
      </c>
      <c r="C274" s="1">
        <f ca="1">IFERROR(__xludf.DUMMYFUNCTION("""COMPUTED_VALUE"""),19)</f>
        <v>19</v>
      </c>
      <c r="D274" s="1">
        <f ca="1">IFERROR(__xludf.DUMMYFUNCTION("""COMPUTED_VALUE"""),15)</f>
        <v>15</v>
      </c>
      <c r="E274" s="1">
        <f ca="1">IFERROR(__xludf.DUMMYFUNCTION("""COMPUTED_VALUE"""),0.559)</f>
        <v>0.55900000000000005</v>
      </c>
      <c r="F274" s="1">
        <f ca="1">IFERROR(__xludf.DUMMYFUNCTION("""COMPUTED_VALUE"""),6.9)</f>
        <v>6.9</v>
      </c>
      <c r="G274" s="1">
        <f ca="1">IFERROR(__xludf.DUMMYFUNCTION("""COMPUTED_VALUE"""),3.43)</f>
        <v>3.43</v>
      </c>
      <c r="H274" s="1">
        <f ca="1">IFERROR(__xludf.DUMMYFUNCTION("""COMPUTED_VALUE"""),8)</f>
        <v>8</v>
      </c>
      <c r="I274" s="1">
        <f ca="1">IFERROR(__xludf.DUMMYFUNCTION("""COMPUTED_VALUE"""),8)</f>
        <v>8</v>
      </c>
      <c r="J274" s="1">
        <f ca="1">IFERROR(__xludf.DUMMYFUNCTION("""COMPUTED_VALUE"""),15)</f>
        <v>15</v>
      </c>
      <c r="K274" s="1">
        <f ca="1">IFERROR(__xludf.DUMMYFUNCTION("""COMPUTED_VALUE"""),2)</f>
        <v>2</v>
      </c>
      <c r="L274" s="1">
        <f ca="1">IFERROR(__xludf.DUMMYFUNCTION("""COMPUTED_VALUE"""),4)</f>
        <v>4</v>
      </c>
      <c r="M274" s="1">
        <f ca="1">IFERROR(__xludf.DUMMYFUNCTION("""COMPUTED_VALUE"""),11)</f>
        <v>11</v>
      </c>
      <c r="N274" s="1">
        <f ca="1">IFERROR(__xludf.DUMMYFUNCTION("""COMPUTED_VALUE"""),2380)</f>
        <v>2380</v>
      </c>
      <c r="O274" s="1">
        <f ca="1">IFERROR(__xludf.DUMMYFUNCTION("""COMPUTED_VALUE"""),2262)</f>
        <v>2262</v>
      </c>
      <c r="P274" s="1">
        <f ca="1">IFERROR(__xludf.DUMMYFUNCTION("""COMPUTED_VALUE"""),1385)</f>
        <v>1385</v>
      </c>
      <c r="Q274" s="1">
        <f ca="1">IFERROR(__xludf.DUMMYFUNCTION("""COMPUTED_VALUE"""),776)</f>
        <v>776</v>
      </c>
      <c r="R274" s="1">
        <f ca="1">IFERROR(__xludf.DUMMYFUNCTION("""COMPUTED_VALUE"""),1748)</f>
        <v>1748</v>
      </c>
      <c r="S274" s="1">
        <f ca="1">IFERROR(__xludf.DUMMYFUNCTION("""COMPUTED_VALUE"""),0.444)</f>
        <v>0.44400000000000001</v>
      </c>
      <c r="T274" s="1">
        <f ca="1">IFERROR(__xludf.DUMMYFUNCTION("""COMPUTED_VALUE"""),282)</f>
        <v>282</v>
      </c>
      <c r="U274" s="1">
        <f ca="1">IFERROR(__xludf.DUMMYFUNCTION("""COMPUTED_VALUE"""),747)</f>
        <v>747</v>
      </c>
      <c r="V274" s="1">
        <f ca="1">IFERROR(__xludf.DUMMYFUNCTION("""COMPUTED_VALUE"""),0.378)</f>
        <v>0.378</v>
      </c>
      <c r="W274" s="1">
        <f ca="1">IFERROR(__xludf.DUMMYFUNCTION("""COMPUTED_VALUE"""),546)</f>
        <v>546</v>
      </c>
      <c r="X274" s="1">
        <f ca="1">IFERROR(__xludf.DUMMYFUNCTION("""COMPUTED_VALUE"""),756)</f>
        <v>756</v>
      </c>
      <c r="Y274" s="1">
        <f ca="1">IFERROR(__xludf.DUMMYFUNCTION("""COMPUTED_VALUE"""),0.722)</f>
        <v>0.72199999999999998</v>
      </c>
      <c r="Z274" s="1">
        <f ca="1">IFERROR(__xludf.DUMMYFUNCTION("""COMPUTED_VALUE"""),295)</f>
        <v>295</v>
      </c>
      <c r="AA274" s="1">
        <f ca="1">IFERROR(__xludf.DUMMYFUNCTION("""COMPUTED_VALUE"""),914)</f>
        <v>914</v>
      </c>
      <c r="AB274" s="1">
        <f ca="1">IFERROR(__xludf.DUMMYFUNCTION("""COMPUTED_VALUE"""),436)</f>
        <v>436</v>
      </c>
      <c r="AC274" s="1">
        <f ca="1">IFERROR(__xludf.DUMMYFUNCTION("""COMPUTED_VALUE"""),248)</f>
        <v>248</v>
      </c>
      <c r="AD274" s="1">
        <f ca="1">IFERROR(__xludf.DUMMYFUNCTION("""COMPUTED_VALUE"""),131)</f>
        <v>131</v>
      </c>
      <c r="AE274" s="1">
        <f ca="1">IFERROR(__xludf.DUMMYFUNCTION("""COMPUTED_VALUE"""),414)</f>
        <v>414</v>
      </c>
      <c r="AF274" s="1">
        <f ca="1">IFERROR(__xludf.DUMMYFUNCTION("""COMPUTED_VALUE"""),666)</f>
        <v>666</v>
      </c>
    </row>
    <row r="275" spans="1:32" ht="12.5" x14ac:dyDescent="0.25">
      <c r="A275" s="1" t="str">
        <f ca="1">IFERROR(__xludf.DUMMYFUNCTION("""COMPUTED_VALUE"""),"Rider")</f>
        <v>Rider</v>
      </c>
      <c r="B275" s="1">
        <f ca="1">IFERROR(__xludf.DUMMYFUNCTION("""COMPUTED_VALUE"""),34)</f>
        <v>34</v>
      </c>
      <c r="C275" s="1">
        <f ca="1">IFERROR(__xludf.DUMMYFUNCTION("""COMPUTED_VALUE"""),19)</f>
        <v>19</v>
      </c>
      <c r="D275" s="1">
        <f ca="1">IFERROR(__xludf.DUMMYFUNCTION("""COMPUTED_VALUE"""),15)</f>
        <v>15</v>
      </c>
      <c r="E275" s="1">
        <f ca="1">IFERROR(__xludf.DUMMYFUNCTION("""COMPUTED_VALUE"""),0.559)</f>
        <v>0.55900000000000005</v>
      </c>
      <c r="F275" s="1">
        <f ca="1">IFERROR(__xludf.DUMMYFUNCTION("""COMPUTED_VALUE"""),-1.22)</f>
        <v>-1.22</v>
      </c>
      <c r="G275" s="1">
        <f ca="1">IFERROR(__xludf.DUMMYFUNCTION("""COMPUTED_VALUE"""),-1.66)</f>
        <v>-1.66</v>
      </c>
      <c r="H275" s="1">
        <f ca="1">IFERROR(__xludf.DUMMYFUNCTION("""COMPUTED_VALUE"""),12)</f>
        <v>12</v>
      </c>
      <c r="I275" s="1">
        <f ca="1">IFERROR(__xludf.DUMMYFUNCTION("""COMPUTED_VALUE"""),6)</f>
        <v>6</v>
      </c>
      <c r="J275" s="1">
        <f ca="1">IFERROR(__xludf.DUMMYFUNCTION("""COMPUTED_VALUE"""),9)</f>
        <v>9</v>
      </c>
      <c r="K275" s="1">
        <f ca="1">IFERROR(__xludf.DUMMYFUNCTION("""COMPUTED_VALUE"""),5)</f>
        <v>5</v>
      </c>
      <c r="L275" s="1">
        <f ca="1">IFERROR(__xludf.DUMMYFUNCTION("""COMPUTED_VALUE"""),8)</f>
        <v>8</v>
      </c>
      <c r="M275" s="1">
        <f ca="1">IFERROR(__xludf.DUMMYFUNCTION("""COMPUTED_VALUE"""),9)</f>
        <v>9</v>
      </c>
      <c r="N275" s="1">
        <f ca="1">IFERROR(__xludf.DUMMYFUNCTION("""COMPUTED_VALUE"""),2166)</f>
        <v>2166</v>
      </c>
      <c r="O275" s="1">
        <f ca="1">IFERROR(__xludf.DUMMYFUNCTION("""COMPUTED_VALUE"""),2151)</f>
        <v>2151</v>
      </c>
      <c r="P275" s="1">
        <f ca="1">IFERROR(__xludf.DUMMYFUNCTION("""COMPUTED_VALUE"""),1362)</f>
        <v>1362</v>
      </c>
      <c r="Q275" s="1">
        <f ca="1">IFERROR(__xludf.DUMMYFUNCTION("""COMPUTED_VALUE"""),748)</f>
        <v>748</v>
      </c>
      <c r="R275" s="1">
        <f ca="1">IFERROR(__xludf.DUMMYFUNCTION("""COMPUTED_VALUE"""),1733)</f>
        <v>1733</v>
      </c>
      <c r="S275" s="1">
        <f ca="1">IFERROR(__xludf.DUMMYFUNCTION("""COMPUTED_VALUE"""),0.432)</f>
        <v>0.432</v>
      </c>
      <c r="T275" s="1">
        <f ca="1">IFERROR(__xludf.DUMMYFUNCTION("""COMPUTED_VALUE"""),207)</f>
        <v>207</v>
      </c>
      <c r="U275" s="1">
        <f ca="1">IFERROR(__xludf.DUMMYFUNCTION("""COMPUTED_VALUE"""),600)</f>
        <v>600</v>
      </c>
      <c r="V275" s="1">
        <f ca="1">IFERROR(__xludf.DUMMYFUNCTION("""COMPUTED_VALUE"""),0.345)</f>
        <v>0.34499999999999997</v>
      </c>
      <c r="W275" s="1">
        <f ca="1">IFERROR(__xludf.DUMMYFUNCTION("""COMPUTED_VALUE"""),463)</f>
        <v>463</v>
      </c>
      <c r="X275" s="1">
        <f ca="1">IFERROR(__xludf.DUMMYFUNCTION("""COMPUTED_VALUE"""),683)</f>
        <v>683</v>
      </c>
      <c r="Y275" s="1">
        <f ca="1">IFERROR(__xludf.DUMMYFUNCTION("""COMPUTED_VALUE"""),0.678)</f>
        <v>0.67800000000000005</v>
      </c>
      <c r="Z275" s="1">
        <f ca="1">IFERROR(__xludf.DUMMYFUNCTION("""COMPUTED_VALUE"""),340)</f>
        <v>340</v>
      </c>
      <c r="AA275" s="1">
        <f ca="1">IFERROR(__xludf.DUMMYFUNCTION("""COMPUTED_VALUE"""),1046)</f>
        <v>1046</v>
      </c>
      <c r="AB275" s="1">
        <f ca="1">IFERROR(__xludf.DUMMYFUNCTION("""COMPUTED_VALUE"""),344)</f>
        <v>344</v>
      </c>
      <c r="AC275" s="1">
        <f ca="1">IFERROR(__xludf.DUMMYFUNCTION("""COMPUTED_VALUE"""),226)</f>
        <v>226</v>
      </c>
      <c r="AD275" s="1">
        <f ca="1">IFERROR(__xludf.DUMMYFUNCTION("""COMPUTED_VALUE"""),148)</f>
        <v>148</v>
      </c>
      <c r="AE275" s="1">
        <f ca="1">IFERROR(__xludf.DUMMYFUNCTION("""COMPUTED_VALUE"""),525)</f>
        <v>525</v>
      </c>
      <c r="AF275" s="1">
        <f ca="1">IFERROR(__xludf.DUMMYFUNCTION("""COMPUTED_VALUE"""),621)</f>
        <v>621</v>
      </c>
    </row>
    <row r="276" spans="1:32" ht="12.5" x14ac:dyDescent="0.25">
      <c r="A276" s="1" t="str">
        <f ca="1">IFERROR(__xludf.DUMMYFUNCTION("""COMPUTED_VALUE"""),"Robert Morris")</f>
        <v>Robert Morris</v>
      </c>
      <c r="B276" s="1">
        <f ca="1">IFERROR(__xludf.DUMMYFUNCTION("""COMPUTED_VALUE"""),35)</f>
        <v>35</v>
      </c>
      <c r="C276" s="1">
        <f ca="1">IFERROR(__xludf.DUMMYFUNCTION("""COMPUTED_VALUE"""),24)</f>
        <v>24</v>
      </c>
      <c r="D276" s="1">
        <f ca="1">IFERROR(__xludf.DUMMYFUNCTION("""COMPUTED_VALUE"""),11)</f>
        <v>11</v>
      </c>
      <c r="E276" s="1">
        <f ca="1">IFERROR(__xludf.DUMMYFUNCTION("""COMPUTED_VALUE"""),0.686)</f>
        <v>0.68600000000000005</v>
      </c>
      <c r="F276" s="1">
        <f ca="1">IFERROR(__xludf.DUMMYFUNCTION("""COMPUTED_VALUE"""),0.24)</f>
        <v>0.24</v>
      </c>
      <c r="G276" s="1">
        <f ca="1">IFERROR(__xludf.DUMMYFUNCTION("""COMPUTED_VALUE"""),-4.9)</f>
        <v>-4.9000000000000004</v>
      </c>
      <c r="H276" s="1">
        <f ca="1">IFERROR(__xludf.DUMMYFUNCTION("""COMPUTED_VALUE"""),14)</f>
        <v>14</v>
      </c>
      <c r="I276" s="1">
        <f ca="1">IFERROR(__xludf.DUMMYFUNCTION("""COMPUTED_VALUE"""),4)</f>
        <v>4</v>
      </c>
      <c r="J276" s="1">
        <f ca="1">IFERROR(__xludf.DUMMYFUNCTION("""COMPUTED_VALUE"""),13)</f>
        <v>13</v>
      </c>
      <c r="K276" s="1">
        <f ca="1">IFERROR(__xludf.DUMMYFUNCTION("""COMPUTED_VALUE"""),3)</f>
        <v>3</v>
      </c>
      <c r="L276" s="1">
        <f ca="1">IFERROR(__xludf.DUMMYFUNCTION("""COMPUTED_VALUE"""),10)</f>
        <v>10</v>
      </c>
      <c r="M276" s="1">
        <f ca="1">IFERROR(__xludf.DUMMYFUNCTION("""COMPUTED_VALUE"""),7)</f>
        <v>7</v>
      </c>
      <c r="N276" s="1">
        <f ca="1">IFERROR(__xludf.DUMMYFUNCTION("""COMPUTED_VALUE"""),2480)</f>
        <v>2480</v>
      </c>
      <c r="O276" s="1">
        <f ca="1">IFERROR(__xludf.DUMMYFUNCTION("""COMPUTED_VALUE"""),2300)</f>
        <v>2300</v>
      </c>
      <c r="P276" s="1">
        <f ca="1">IFERROR(__xludf.DUMMYFUNCTION("""COMPUTED_VALUE"""),1405)</f>
        <v>1405</v>
      </c>
      <c r="Q276" s="1">
        <f ca="1">IFERROR(__xludf.DUMMYFUNCTION("""COMPUTED_VALUE"""),825)</f>
        <v>825</v>
      </c>
      <c r="R276" s="1">
        <f ca="1">IFERROR(__xludf.DUMMYFUNCTION("""COMPUTED_VALUE"""),1912)</f>
        <v>1912</v>
      </c>
      <c r="S276" s="1">
        <f ca="1">IFERROR(__xludf.DUMMYFUNCTION("""COMPUTED_VALUE"""),0.431)</f>
        <v>0.43099999999999999</v>
      </c>
      <c r="T276" s="1">
        <f ca="1">IFERROR(__xludf.DUMMYFUNCTION("""COMPUTED_VALUE"""),300)</f>
        <v>300</v>
      </c>
      <c r="U276" s="1">
        <f ca="1">IFERROR(__xludf.DUMMYFUNCTION("""COMPUTED_VALUE"""),788)</f>
        <v>788</v>
      </c>
      <c r="V276" s="1">
        <f ca="1">IFERROR(__xludf.DUMMYFUNCTION("""COMPUTED_VALUE"""),0.381)</f>
        <v>0.38100000000000001</v>
      </c>
      <c r="W276" s="1">
        <f ca="1">IFERROR(__xludf.DUMMYFUNCTION("""COMPUTED_VALUE"""),530)</f>
        <v>530</v>
      </c>
      <c r="X276" s="1">
        <f ca="1">IFERROR(__xludf.DUMMYFUNCTION("""COMPUTED_VALUE"""),708)</f>
        <v>708</v>
      </c>
      <c r="Y276" s="1">
        <f ca="1">IFERROR(__xludf.DUMMYFUNCTION("""COMPUTED_VALUE"""),0.749)</f>
        <v>0.749</v>
      </c>
      <c r="Z276" s="1">
        <f ca="1">IFERROR(__xludf.DUMMYFUNCTION("""COMPUTED_VALUE"""),367)</f>
        <v>367</v>
      </c>
      <c r="AA276" s="1">
        <f ca="1">IFERROR(__xludf.DUMMYFUNCTION("""COMPUTED_VALUE"""),965)</f>
        <v>965</v>
      </c>
      <c r="AB276" s="1">
        <f ca="1">IFERROR(__xludf.DUMMYFUNCTION("""COMPUTED_VALUE"""),491)</f>
        <v>491</v>
      </c>
      <c r="AC276" s="1">
        <f ca="1">IFERROR(__xludf.DUMMYFUNCTION("""COMPUTED_VALUE"""),313)</f>
        <v>313</v>
      </c>
      <c r="AD276" s="1">
        <f ca="1">IFERROR(__xludf.DUMMYFUNCTION("""COMPUTED_VALUE"""),92)</f>
        <v>92</v>
      </c>
      <c r="AE276" s="1">
        <f ca="1">IFERROR(__xludf.DUMMYFUNCTION("""COMPUTED_VALUE"""),448)</f>
        <v>448</v>
      </c>
      <c r="AF276" s="1">
        <f ca="1">IFERROR(__xludf.DUMMYFUNCTION("""COMPUTED_VALUE"""),685)</f>
        <v>685</v>
      </c>
    </row>
    <row r="277" spans="1:32" ht="12.5" x14ac:dyDescent="0.25">
      <c r="A277" s="1" t="str">
        <f ca="1">IFERROR(__xludf.DUMMYFUNCTION("""COMPUTED_VALUE"""),"Rutgers")</f>
        <v>Rutgers</v>
      </c>
      <c r="B277" s="1">
        <f ca="1">IFERROR(__xludf.DUMMYFUNCTION("""COMPUTED_VALUE"""),31)</f>
        <v>31</v>
      </c>
      <c r="C277" s="1">
        <f ca="1">IFERROR(__xludf.DUMMYFUNCTION("""COMPUTED_VALUE"""),15)</f>
        <v>15</v>
      </c>
      <c r="D277" s="1">
        <f ca="1">IFERROR(__xludf.DUMMYFUNCTION("""COMPUTED_VALUE"""),16)</f>
        <v>16</v>
      </c>
      <c r="E277" s="1">
        <f ca="1">IFERROR(__xludf.DUMMYFUNCTION("""COMPUTED_VALUE"""),0.484)</f>
        <v>0.48399999999999999</v>
      </c>
      <c r="F277" s="1">
        <f ca="1">IFERROR(__xludf.DUMMYFUNCTION("""COMPUTED_VALUE"""),5.97)</f>
        <v>5.97</v>
      </c>
      <c r="G277" s="1">
        <f ca="1">IFERROR(__xludf.DUMMYFUNCTION("""COMPUTED_VALUE"""),6.77)</f>
        <v>6.77</v>
      </c>
      <c r="H277" s="1">
        <f ca="1">IFERROR(__xludf.DUMMYFUNCTION("""COMPUTED_VALUE"""),5)</f>
        <v>5</v>
      </c>
      <c r="I277" s="1">
        <f ca="1">IFERROR(__xludf.DUMMYFUNCTION("""COMPUTED_VALUE"""),13)</f>
        <v>13</v>
      </c>
      <c r="J277" s="1">
        <f ca="1">IFERROR(__xludf.DUMMYFUNCTION("""COMPUTED_VALUE"""),9)</f>
        <v>9</v>
      </c>
      <c r="K277" s="1">
        <f ca="1">IFERROR(__xludf.DUMMYFUNCTION("""COMPUTED_VALUE"""),7)</f>
        <v>7</v>
      </c>
      <c r="L277" s="1">
        <f ca="1">IFERROR(__xludf.DUMMYFUNCTION("""COMPUTED_VALUE"""),4)</f>
        <v>4</v>
      </c>
      <c r="M277" s="1">
        <f ca="1">IFERROR(__xludf.DUMMYFUNCTION("""COMPUTED_VALUE"""),8)</f>
        <v>8</v>
      </c>
      <c r="N277" s="1">
        <f ca="1">IFERROR(__xludf.DUMMYFUNCTION("""COMPUTED_VALUE"""),2027)</f>
        <v>2027</v>
      </c>
      <c r="O277" s="1">
        <f ca="1">IFERROR(__xludf.DUMMYFUNCTION("""COMPUTED_VALUE"""),2052)</f>
        <v>2052</v>
      </c>
      <c r="P277" s="1">
        <f ca="1">IFERROR(__xludf.DUMMYFUNCTION("""COMPUTED_VALUE"""),1240)</f>
        <v>1240</v>
      </c>
      <c r="Q277" s="1">
        <f ca="1">IFERROR(__xludf.DUMMYFUNCTION("""COMPUTED_VALUE"""),747)</f>
        <v>747</v>
      </c>
      <c r="R277" s="1">
        <f ca="1">IFERROR(__xludf.DUMMYFUNCTION("""COMPUTED_VALUE"""),1689)</f>
        <v>1689</v>
      </c>
      <c r="S277" s="1">
        <f ca="1">IFERROR(__xludf.DUMMYFUNCTION("""COMPUTED_VALUE"""),0.442)</f>
        <v>0.442</v>
      </c>
      <c r="T277" s="1">
        <f ca="1">IFERROR(__xludf.DUMMYFUNCTION("""COMPUTED_VALUE"""),150)</f>
        <v>150</v>
      </c>
      <c r="U277" s="1">
        <f ca="1">IFERROR(__xludf.DUMMYFUNCTION("""COMPUTED_VALUE"""),420)</f>
        <v>420</v>
      </c>
      <c r="V277" s="1">
        <f ca="1">IFERROR(__xludf.DUMMYFUNCTION("""COMPUTED_VALUE"""),0.357)</f>
        <v>0.35699999999999998</v>
      </c>
      <c r="W277" s="1">
        <f ca="1">IFERROR(__xludf.DUMMYFUNCTION("""COMPUTED_VALUE"""),383)</f>
        <v>383</v>
      </c>
      <c r="X277" s="1">
        <f ca="1">IFERROR(__xludf.DUMMYFUNCTION("""COMPUTED_VALUE"""),548)</f>
        <v>548</v>
      </c>
      <c r="Y277" s="1">
        <f ca="1">IFERROR(__xludf.DUMMYFUNCTION("""COMPUTED_VALUE"""),0.699)</f>
        <v>0.69899999999999995</v>
      </c>
      <c r="Z277" s="1">
        <f ca="1">IFERROR(__xludf.DUMMYFUNCTION("""COMPUTED_VALUE"""),368)</f>
        <v>368</v>
      </c>
      <c r="AA277" s="1">
        <f ca="1">IFERROR(__xludf.DUMMYFUNCTION("""COMPUTED_VALUE"""),949)</f>
        <v>949</v>
      </c>
      <c r="AB277" s="1">
        <f ca="1">IFERROR(__xludf.DUMMYFUNCTION("""COMPUTED_VALUE"""),390)</f>
        <v>390</v>
      </c>
      <c r="AC277" s="1">
        <f ca="1">IFERROR(__xludf.DUMMYFUNCTION("""COMPUTED_VALUE"""),216)</f>
        <v>216</v>
      </c>
      <c r="AD277" s="1">
        <f ca="1">IFERROR(__xludf.DUMMYFUNCTION("""COMPUTED_VALUE"""),113)</f>
        <v>113</v>
      </c>
      <c r="AE277" s="1">
        <f ca="1">IFERROR(__xludf.DUMMYFUNCTION("""COMPUTED_VALUE"""),428)</f>
        <v>428</v>
      </c>
      <c r="AF277" s="1">
        <f ca="1">IFERROR(__xludf.DUMMYFUNCTION("""COMPUTED_VALUE"""),603)</f>
        <v>603</v>
      </c>
    </row>
    <row r="278" spans="1:32" ht="12.5" x14ac:dyDescent="0.25">
      <c r="A278" s="1" t="str">
        <f ca="1">IFERROR(__xludf.DUMMYFUNCTION("""COMPUTED_VALUE"""),"Sacramento State")</f>
        <v>Sacramento State</v>
      </c>
      <c r="B278" s="1">
        <f ca="1">IFERROR(__xludf.DUMMYFUNCTION("""COMPUTED_VALUE"""),29)</f>
        <v>29</v>
      </c>
      <c r="C278" s="1">
        <f ca="1">IFERROR(__xludf.DUMMYFUNCTION("""COMPUTED_VALUE"""),14)</f>
        <v>14</v>
      </c>
      <c r="D278" s="1">
        <f ca="1">IFERROR(__xludf.DUMMYFUNCTION("""COMPUTED_VALUE"""),15)</f>
        <v>15</v>
      </c>
      <c r="E278" s="1">
        <f ca="1">IFERROR(__xludf.DUMMYFUNCTION("""COMPUTED_VALUE"""),0.483)</f>
        <v>0.48299999999999998</v>
      </c>
      <c r="F278" s="1">
        <f ca="1">IFERROR(__xludf.DUMMYFUNCTION("""COMPUTED_VALUE"""),-9.4)</f>
        <v>-9.4</v>
      </c>
      <c r="G278" s="1">
        <f ca="1">IFERROR(__xludf.DUMMYFUNCTION("""COMPUTED_VALUE"""),-6.77)</f>
        <v>-6.77</v>
      </c>
      <c r="H278" s="1">
        <f ca="1">IFERROR(__xludf.DUMMYFUNCTION("""COMPUTED_VALUE"""),8)</f>
        <v>8</v>
      </c>
      <c r="I278" s="1">
        <f ca="1">IFERROR(__xludf.DUMMYFUNCTION("""COMPUTED_VALUE"""),12)</f>
        <v>12</v>
      </c>
      <c r="J278" s="1">
        <f ca="1">IFERROR(__xludf.DUMMYFUNCTION("""COMPUTED_VALUE"""),10)</f>
        <v>10</v>
      </c>
      <c r="K278" s="1">
        <f ca="1">IFERROR(__xludf.DUMMYFUNCTION("""COMPUTED_VALUE"""),4)</f>
        <v>4</v>
      </c>
      <c r="L278" s="1">
        <f ca="1">IFERROR(__xludf.DUMMYFUNCTION("""COMPUTED_VALUE"""),4)</f>
        <v>4</v>
      </c>
      <c r="M278" s="1">
        <f ca="1">IFERROR(__xludf.DUMMYFUNCTION("""COMPUTED_VALUE"""),11)</f>
        <v>11</v>
      </c>
      <c r="N278" s="1">
        <f ca="1">IFERROR(__xludf.DUMMYFUNCTION("""COMPUTED_VALUE"""),1876)</f>
        <v>1876</v>
      </c>
      <c r="O278" s="1">
        <f ca="1">IFERROR(__xludf.DUMMYFUNCTION("""COMPUTED_VALUE"""),1904)</f>
        <v>1904</v>
      </c>
      <c r="P278" s="1">
        <f ca="1">IFERROR(__xludf.DUMMYFUNCTION("""COMPUTED_VALUE"""),1160)</f>
        <v>1160</v>
      </c>
      <c r="Q278" s="1">
        <f ca="1">IFERROR(__xludf.DUMMYFUNCTION("""COMPUTED_VALUE"""),640)</f>
        <v>640</v>
      </c>
      <c r="R278" s="1">
        <f ca="1">IFERROR(__xludf.DUMMYFUNCTION("""COMPUTED_VALUE"""),1546)</f>
        <v>1546</v>
      </c>
      <c r="S278" s="1">
        <f ca="1">IFERROR(__xludf.DUMMYFUNCTION("""COMPUTED_VALUE"""),0.414)</f>
        <v>0.41399999999999998</v>
      </c>
      <c r="T278" s="1">
        <f ca="1">IFERROR(__xludf.DUMMYFUNCTION("""COMPUTED_VALUE"""),160)</f>
        <v>160</v>
      </c>
      <c r="U278" s="1">
        <f ca="1">IFERROR(__xludf.DUMMYFUNCTION("""COMPUTED_VALUE"""),474)</f>
        <v>474</v>
      </c>
      <c r="V278" s="1">
        <f ca="1">IFERROR(__xludf.DUMMYFUNCTION("""COMPUTED_VALUE"""),0.338)</f>
        <v>0.33800000000000002</v>
      </c>
      <c r="W278" s="1">
        <f ca="1">IFERROR(__xludf.DUMMYFUNCTION("""COMPUTED_VALUE"""),436)</f>
        <v>436</v>
      </c>
      <c r="X278" s="1">
        <f ca="1">IFERROR(__xludf.DUMMYFUNCTION("""COMPUTED_VALUE"""),599)</f>
        <v>599</v>
      </c>
      <c r="Y278" s="1">
        <f ca="1">IFERROR(__xludf.DUMMYFUNCTION("""COMPUTED_VALUE"""),0.728)</f>
        <v>0.72799999999999998</v>
      </c>
      <c r="Z278" s="1">
        <f ca="1">IFERROR(__xludf.DUMMYFUNCTION("""COMPUTED_VALUE"""),304)</f>
        <v>304</v>
      </c>
      <c r="AA278" s="1">
        <f ca="1">IFERROR(__xludf.DUMMYFUNCTION("""COMPUTED_VALUE"""),881)</f>
        <v>881</v>
      </c>
      <c r="AB278" s="1">
        <f ca="1">IFERROR(__xludf.DUMMYFUNCTION("""COMPUTED_VALUE"""),358)</f>
        <v>358</v>
      </c>
      <c r="AC278" s="1">
        <f ca="1">IFERROR(__xludf.DUMMYFUNCTION("""COMPUTED_VALUE"""),151)</f>
        <v>151</v>
      </c>
      <c r="AD278" s="1">
        <f ca="1">IFERROR(__xludf.DUMMYFUNCTION("""COMPUTED_VALUE"""),71)</f>
        <v>71</v>
      </c>
      <c r="AE278" s="1">
        <f ca="1">IFERROR(__xludf.DUMMYFUNCTION("""COMPUTED_VALUE"""),325)</f>
        <v>325</v>
      </c>
      <c r="AF278" s="1">
        <f ca="1">IFERROR(__xludf.DUMMYFUNCTION("""COMPUTED_VALUE"""),464)</f>
        <v>464</v>
      </c>
    </row>
    <row r="279" spans="1:32" ht="12.5" x14ac:dyDescent="0.25">
      <c r="A279" s="1" t="str">
        <f ca="1">IFERROR(__xludf.DUMMYFUNCTION("""COMPUTED_VALUE"""),"Sacred Heart")</f>
        <v>Sacred Heart</v>
      </c>
      <c r="B279" s="1">
        <f ca="1">IFERROR(__xludf.DUMMYFUNCTION("""COMPUTED_VALUE"""),29)</f>
        <v>29</v>
      </c>
      <c r="C279" s="1">
        <f ca="1">IFERROR(__xludf.DUMMYFUNCTION("""COMPUTED_VALUE"""),9)</f>
        <v>9</v>
      </c>
      <c r="D279" s="1">
        <f ca="1">IFERROR(__xludf.DUMMYFUNCTION("""COMPUTED_VALUE"""),20)</f>
        <v>20</v>
      </c>
      <c r="E279" s="1">
        <f ca="1">IFERROR(__xludf.DUMMYFUNCTION("""COMPUTED_VALUE"""),0.31)</f>
        <v>0.31</v>
      </c>
      <c r="F279" s="1">
        <f ca="1">IFERROR(__xludf.DUMMYFUNCTION("""COMPUTED_VALUE"""),-9.76)</f>
        <v>-9.76</v>
      </c>
      <c r="G279" s="1">
        <f ca="1">IFERROR(__xludf.DUMMYFUNCTION("""COMPUTED_VALUE"""),-3.69)</f>
        <v>-3.69</v>
      </c>
      <c r="H279" s="1">
        <f ca="1">IFERROR(__xludf.DUMMYFUNCTION("""COMPUTED_VALUE"""),7)</f>
        <v>7</v>
      </c>
      <c r="I279" s="1">
        <f ca="1">IFERROR(__xludf.DUMMYFUNCTION("""COMPUTED_VALUE"""),11)</f>
        <v>11</v>
      </c>
      <c r="J279" s="1">
        <f ca="1">IFERROR(__xludf.DUMMYFUNCTION("""COMPUTED_VALUE"""),5)</f>
        <v>5</v>
      </c>
      <c r="K279" s="1">
        <f ca="1">IFERROR(__xludf.DUMMYFUNCTION("""COMPUTED_VALUE"""),7)</f>
        <v>7</v>
      </c>
      <c r="L279" s="1">
        <f ca="1">IFERROR(__xludf.DUMMYFUNCTION("""COMPUTED_VALUE"""),3)</f>
        <v>3</v>
      </c>
      <c r="M279" s="1">
        <f ca="1">IFERROR(__xludf.DUMMYFUNCTION("""COMPUTED_VALUE"""),13)</f>
        <v>13</v>
      </c>
      <c r="N279" s="1">
        <f ca="1">IFERROR(__xludf.DUMMYFUNCTION("""COMPUTED_VALUE"""),2036)</f>
        <v>2036</v>
      </c>
      <c r="O279" s="1">
        <f ca="1">IFERROR(__xludf.DUMMYFUNCTION("""COMPUTED_VALUE"""),2212)</f>
        <v>2212</v>
      </c>
      <c r="P279" s="1">
        <f ca="1">IFERROR(__xludf.DUMMYFUNCTION("""COMPUTED_VALUE"""),1170)</f>
        <v>1170</v>
      </c>
      <c r="Q279" s="1">
        <f ca="1">IFERROR(__xludf.DUMMYFUNCTION("""COMPUTED_VALUE"""),729)</f>
        <v>729</v>
      </c>
      <c r="R279" s="1">
        <f ca="1">IFERROR(__xludf.DUMMYFUNCTION("""COMPUTED_VALUE"""),1656)</f>
        <v>1656</v>
      </c>
      <c r="S279" s="1">
        <f ca="1">IFERROR(__xludf.DUMMYFUNCTION("""COMPUTED_VALUE"""),0.44)</f>
        <v>0.44</v>
      </c>
      <c r="T279" s="1">
        <f ca="1">IFERROR(__xludf.DUMMYFUNCTION("""COMPUTED_VALUE"""),193)</f>
        <v>193</v>
      </c>
      <c r="U279" s="1">
        <f ca="1">IFERROR(__xludf.DUMMYFUNCTION("""COMPUTED_VALUE"""),549)</f>
        <v>549</v>
      </c>
      <c r="V279" s="1">
        <f ca="1">IFERROR(__xludf.DUMMYFUNCTION("""COMPUTED_VALUE"""),0.352)</f>
        <v>0.35199999999999998</v>
      </c>
      <c r="W279" s="1">
        <f ca="1">IFERROR(__xludf.DUMMYFUNCTION("""COMPUTED_VALUE"""),385)</f>
        <v>385</v>
      </c>
      <c r="X279" s="1">
        <f ca="1">IFERROR(__xludf.DUMMYFUNCTION("""COMPUTED_VALUE"""),533)</f>
        <v>533</v>
      </c>
      <c r="Y279" s="1">
        <f ca="1">IFERROR(__xludf.DUMMYFUNCTION("""COMPUTED_VALUE"""),0.722)</f>
        <v>0.72199999999999998</v>
      </c>
      <c r="Z279" s="1">
        <f ca="1">IFERROR(__xludf.DUMMYFUNCTION("""COMPUTED_VALUE"""),333)</f>
        <v>333</v>
      </c>
      <c r="AA279" s="1">
        <f ca="1">IFERROR(__xludf.DUMMYFUNCTION("""COMPUTED_VALUE"""),903)</f>
        <v>903</v>
      </c>
      <c r="AB279" s="1">
        <f ca="1">IFERROR(__xludf.DUMMYFUNCTION("""COMPUTED_VALUE"""),388)</f>
        <v>388</v>
      </c>
      <c r="AC279" s="1">
        <f ca="1">IFERROR(__xludf.DUMMYFUNCTION("""COMPUTED_VALUE"""),182)</f>
        <v>182</v>
      </c>
      <c r="AD279" s="1">
        <f ca="1">IFERROR(__xludf.DUMMYFUNCTION("""COMPUTED_VALUE"""),104)</f>
        <v>104</v>
      </c>
      <c r="AE279" s="1">
        <f ca="1">IFERROR(__xludf.DUMMYFUNCTION("""COMPUTED_VALUE"""),441)</f>
        <v>441</v>
      </c>
      <c r="AF279" s="1">
        <f ca="1">IFERROR(__xludf.DUMMYFUNCTION("""COMPUTED_VALUE"""),534)</f>
        <v>534</v>
      </c>
    </row>
    <row r="280" spans="1:32" ht="12.5" x14ac:dyDescent="0.25">
      <c r="A280" s="1" t="str">
        <f ca="1">IFERROR(__xludf.DUMMYFUNCTION("""COMPUTED_VALUE"""),"Saint Francis (PA)")</f>
        <v>Saint Francis (PA)</v>
      </c>
      <c r="B280" s="1">
        <f ca="1">IFERROR(__xludf.DUMMYFUNCTION("""COMPUTED_VALUE"""),29)</f>
        <v>29</v>
      </c>
      <c r="C280" s="1">
        <f ca="1">IFERROR(__xludf.DUMMYFUNCTION("""COMPUTED_VALUE"""),5)</f>
        <v>5</v>
      </c>
      <c r="D280" s="1">
        <f ca="1">IFERROR(__xludf.DUMMYFUNCTION("""COMPUTED_VALUE"""),24)</f>
        <v>24</v>
      </c>
      <c r="E280" s="1">
        <f ca="1">IFERROR(__xludf.DUMMYFUNCTION("""COMPUTED_VALUE"""),0.172)</f>
        <v>0.17199999999999999</v>
      </c>
      <c r="F280" s="1">
        <f ca="1">IFERROR(__xludf.DUMMYFUNCTION("""COMPUTED_VALUE"""),-15.16)</f>
        <v>-15.16</v>
      </c>
      <c r="G280" s="1">
        <f ca="1">IFERROR(__xludf.DUMMYFUNCTION("""COMPUTED_VALUE"""),-4.37)</f>
        <v>-4.37</v>
      </c>
      <c r="H280" s="1">
        <f ca="1">IFERROR(__xludf.DUMMYFUNCTION("""COMPUTED_VALUE"""),5)</f>
        <v>5</v>
      </c>
      <c r="I280" s="1">
        <f ca="1">IFERROR(__xludf.DUMMYFUNCTION("""COMPUTED_VALUE"""),13)</f>
        <v>13</v>
      </c>
      <c r="J280" s="1">
        <f ca="1">IFERROR(__xludf.DUMMYFUNCTION("""COMPUTED_VALUE"""),3)</f>
        <v>3</v>
      </c>
      <c r="K280" s="1">
        <f ca="1">IFERROR(__xludf.DUMMYFUNCTION("""COMPUTED_VALUE"""),10)</f>
        <v>10</v>
      </c>
      <c r="L280" s="1">
        <f ca="1">IFERROR(__xludf.DUMMYFUNCTION("""COMPUTED_VALUE"""),2)</f>
        <v>2</v>
      </c>
      <c r="M280" s="1">
        <f ca="1">IFERROR(__xludf.DUMMYFUNCTION("""COMPUTED_VALUE"""),14)</f>
        <v>14</v>
      </c>
      <c r="N280" s="1">
        <f ca="1">IFERROR(__xludf.DUMMYFUNCTION("""COMPUTED_VALUE"""),1804)</f>
        <v>1804</v>
      </c>
      <c r="O280" s="1">
        <f ca="1">IFERROR(__xludf.DUMMYFUNCTION("""COMPUTED_VALUE"""),2117)</f>
        <v>2117</v>
      </c>
      <c r="P280" s="1">
        <f ca="1">IFERROR(__xludf.DUMMYFUNCTION("""COMPUTED_VALUE"""),1180)</f>
        <v>1180</v>
      </c>
      <c r="Q280" s="1">
        <f ca="1">IFERROR(__xludf.DUMMYFUNCTION("""COMPUTED_VALUE"""),633)</f>
        <v>633</v>
      </c>
      <c r="R280" s="1">
        <f ca="1">IFERROR(__xludf.DUMMYFUNCTION("""COMPUTED_VALUE"""),1527)</f>
        <v>1527</v>
      </c>
      <c r="S280" s="1">
        <f ca="1">IFERROR(__xludf.DUMMYFUNCTION("""COMPUTED_VALUE"""),0.415)</f>
        <v>0.41499999999999998</v>
      </c>
      <c r="T280" s="1">
        <f ca="1">IFERROR(__xludf.DUMMYFUNCTION("""COMPUTED_VALUE"""),207)</f>
        <v>207</v>
      </c>
      <c r="U280" s="1">
        <f ca="1">IFERROR(__xludf.DUMMYFUNCTION("""COMPUTED_VALUE"""),594)</f>
        <v>594</v>
      </c>
      <c r="V280" s="1">
        <f ca="1">IFERROR(__xludf.DUMMYFUNCTION("""COMPUTED_VALUE"""),0.348)</f>
        <v>0.34799999999999998</v>
      </c>
      <c r="W280" s="1">
        <f ca="1">IFERROR(__xludf.DUMMYFUNCTION("""COMPUTED_VALUE"""),331)</f>
        <v>331</v>
      </c>
      <c r="X280" s="1">
        <f ca="1">IFERROR(__xludf.DUMMYFUNCTION("""COMPUTED_VALUE"""),482)</f>
        <v>482</v>
      </c>
      <c r="Y280" s="1">
        <f ca="1">IFERROR(__xludf.DUMMYFUNCTION("""COMPUTED_VALUE"""),0.687)</f>
        <v>0.68700000000000006</v>
      </c>
      <c r="Z280" s="1">
        <f ca="1">IFERROR(__xludf.DUMMYFUNCTION("""COMPUTED_VALUE"""),267)</f>
        <v>267</v>
      </c>
      <c r="AA280" s="1">
        <f ca="1">IFERROR(__xludf.DUMMYFUNCTION("""COMPUTED_VALUE"""),768)</f>
        <v>768</v>
      </c>
      <c r="AB280" s="1">
        <f ca="1">IFERROR(__xludf.DUMMYFUNCTION("""COMPUTED_VALUE"""),364)</f>
        <v>364</v>
      </c>
      <c r="AC280" s="1">
        <f ca="1">IFERROR(__xludf.DUMMYFUNCTION("""COMPUTED_VALUE"""),161)</f>
        <v>161</v>
      </c>
      <c r="AD280" s="1">
        <f ca="1">IFERROR(__xludf.DUMMYFUNCTION("""COMPUTED_VALUE"""),62)</f>
        <v>62</v>
      </c>
      <c r="AE280" s="1">
        <f ca="1">IFERROR(__xludf.DUMMYFUNCTION("""COMPUTED_VALUE"""),419)</f>
        <v>419</v>
      </c>
      <c r="AF280" s="1">
        <f ca="1">IFERROR(__xludf.DUMMYFUNCTION("""COMPUTED_VALUE"""),537)</f>
        <v>537</v>
      </c>
    </row>
    <row r="281" spans="1:32" ht="12.5" x14ac:dyDescent="0.25">
      <c r="A281" s="1" t="str">
        <f ca="1">IFERROR(__xludf.DUMMYFUNCTION("""COMPUTED_VALUE"""),"Saint Joseph's")</f>
        <v>Saint Joseph's</v>
      </c>
      <c r="B281" s="1">
        <f ca="1">IFERROR(__xludf.DUMMYFUNCTION("""COMPUTED_VALUE"""),32)</f>
        <v>32</v>
      </c>
      <c r="C281" s="1">
        <f ca="1">IFERROR(__xludf.DUMMYFUNCTION("""COMPUTED_VALUE"""),18)</f>
        <v>18</v>
      </c>
      <c r="D281" s="1">
        <f ca="1">IFERROR(__xludf.DUMMYFUNCTION("""COMPUTED_VALUE"""),14)</f>
        <v>14</v>
      </c>
      <c r="E281" s="1">
        <f ca="1">IFERROR(__xludf.DUMMYFUNCTION("""COMPUTED_VALUE"""),0.563)</f>
        <v>0.56299999999999994</v>
      </c>
      <c r="F281" s="1">
        <f ca="1">IFERROR(__xludf.DUMMYFUNCTION("""COMPUTED_VALUE"""),7.31)</f>
        <v>7.31</v>
      </c>
      <c r="G281" s="1">
        <f ca="1">IFERROR(__xludf.DUMMYFUNCTION("""COMPUTED_VALUE"""),4.03)</f>
        <v>4.03</v>
      </c>
      <c r="H281" s="1">
        <f ca="1">IFERROR(__xludf.DUMMYFUNCTION("""COMPUTED_VALUE"""),8)</f>
        <v>8</v>
      </c>
      <c r="I281" s="1">
        <f ca="1">IFERROR(__xludf.DUMMYFUNCTION("""COMPUTED_VALUE"""),8)</f>
        <v>8</v>
      </c>
      <c r="J281" s="1">
        <f ca="1">IFERROR(__xludf.DUMMYFUNCTION("""COMPUTED_VALUE"""),11)</f>
        <v>11</v>
      </c>
      <c r="K281" s="1">
        <f ca="1">IFERROR(__xludf.DUMMYFUNCTION("""COMPUTED_VALUE"""),4)</f>
        <v>4</v>
      </c>
      <c r="L281" s="1">
        <f ca="1">IFERROR(__xludf.DUMMYFUNCTION("""COMPUTED_VALUE"""),5)</f>
        <v>5</v>
      </c>
      <c r="M281" s="1">
        <f ca="1">IFERROR(__xludf.DUMMYFUNCTION("""COMPUTED_VALUE"""),8)</f>
        <v>8</v>
      </c>
      <c r="N281" s="1">
        <f ca="1">IFERROR(__xludf.DUMMYFUNCTION("""COMPUTED_VALUE"""),2150)</f>
        <v>2150</v>
      </c>
      <c r="O281" s="1">
        <f ca="1">IFERROR(__xludf.DUMMYFUNCTION("""COMPUTED_VALUE"""),2045)</f>
        <v>2045</v>
      </c>
      <c r="P281" s="1">
        <f ca="1">IFERROR(__xludf.DUMMYFUNCTION("""COMPUTED_VALUE"""),1290)</f>
        <v>1290</v>
      </c>
      <c r="Q281" s="1">
        <f ca="1">IFERROR(__xludf.DUMMYFUNCTION("""COMPUTED_VALUE"""),746)</f>
        <v>746</v>
      </c>
      <c r="R281" s="1">
        <f ca="1">IFERROR(__xludf.DUMMYFUNCTION("""COMPUTED_VALUE"""),1702)</f>
        <v>1702</v>
      </c>
      <c r="S281" s="1">
        <f ca="1">IFERROR(__xludf.DUMMYFUNCTION("""COMPUTED_VALUE"""),0.438)</f>
        <v>0.438</v>
      </c>
      <c r="T281" s="1">
        <f ca="1">IFERROR(__xludf.DUMMYFUNCTION("""COMPUTED_VALUE"""),229)</f>
        <v>229</v>
      </c>
      <c r="U281" s="1">
        <f ca="1">IFERROR(__xludf.DUMMYFUNCTION("""COMPUTED_VALUE"""),669)</f>
        <v>669</v>
      </c>
      <c r="V281" s="1">
        <f ca="1">IFERROR(__xludf.DUMMYFUNCTION("""COMPUTED_VALUE"""),0.342)</f>
        <v>0.34200000000000003</v>
      </c>
      <c r="W281" s="1">
        <f ca="1">IFERROR(__xludf.DUMMYFUNCTION("""COMPUTED_VALUE"""),429)</f>
        <v>429</v>
      </c>
      <c r="X281" s="1">
        <f ca="1">IFERROR(__xludf.DUMMYFUNCTION("""COMPUTED_VALUE"""),616)</f>
        <v>616</v>
      </c>
      <c r="Y281" s="1">
        <f ca="1">IFERROR(__xludf.DUMMYFUNCTION("""COMPUTED_VALUE"""),0.696)</f>
        <v>0.69599999999999995</v>
      </c>
      <c r="Z281" s="1">
        <f ca="1">IFERROR(__xludf.DUMMYFUNCTION("""COMPUTED_VALUE"""),332)</f>
        <v>332</v>
      </c>
      <c r="AA281" s="1">
        <f ca="1">IFERROR(__xludf.DUMMYFUNCTION("""COMPUTED_VALUE"""),1009)</f>
        <v>1009</v>
      </c>
      <c r="AB281" s="1">
        <f ca="1">IFERROR(__xludf.DUMMYFUNCTION("""COMPUTED_VALUE"""),450)</f>
        <v>450</v>
      </c>
      <c r="AC281" s="1">
        <f ca="1">IFERROR(__xludf.DUMMYFUNCTION("""COMPUTED_VALUE"""),165)</f>
        <v>165</v>
      </c>
      <c r="AD281" s="1">
        <f ca="1">IFERROR(__xludf.DUMMYFUNCTION("""COMPUTED_VALUE"""),183)</f>
        <v>183</v>
      </c>
      <c r="AE281" s="1">
        <f ca="1">IFERROR(__xludf.DUMMYFUNCTION("""COMPUTED_VALUE"""),381)</f>
        <v>381</v>
      </c>
      <c r="AF281" s="1">
        <f ca="1">IFERROR(__xludf.DUMMYFUNCTION("""COMPUTED_VALUE"""),419)</f>
        <v>419</v>
      </c>
    </row>
    <row r="282" spans="1:32" ht="12.5" x14ac:dyDescent="0.25">
      <c r="A282" s="1" t="str">
        <f ca="1">IFERROR(__xludf.DUMMYFUNCTION("""COMPUTED_VALUE"""),"Saint LouisNCAA")</f>
        <v>Saint LouisNCAA</v>
      </c>
      <c r="B282" s="1">
        <f ca="1">IFERROR(__xludf.DUMMYFUNCTION("""COMPUTED_VALUE"""),35)</f>
        <v>35</v>
      </c>
      <c r="C282" s="1">
        <f ca="1">IFERROR(__xludf.DUMMYFUNCTION("""COMPUTED_VALUE"""),28)</f>
        <v>28</v>
      </c>
      <c r="D282" s="1">
        <f ca="1">IFERROR(__xludf.DUMMYFUNCTION("""COMPUTED_VALUE"""),7)</f>
        <v>7</v>
      </c>
      <c r="E282" s="1">
        <f ca="1">IFERROR(__xludf.DUMMYFUNCTION("""COMPUTED_VALUE"""),0.8)</f>
        <v>0.8</v>
      </c>
      <c r="F282" s="1">
        <f ca="1">IFERROR(__xludf.DUMMYFUNCTION("""COMPUTED_VALUE"""),14.33)</f>
        <v>14.33</v>
      </c>
      <c r="G282" s="1">
        <f ca="1">IFERROR(__xludf.DUMMYFUNCTION("""COMPUTED_VALUE"""),4.28)</f>
        <v>4.28</v>
      </c>
      <c r="H282" s="1">
        <f ca="1">IFERROR(__xludf.DUMMYFUNCTION("""COMPUTED_VALUE"""),13)</f>
        <v>13</v>
      </c>
      <c r="I282" s="1">
        <f ca="1">IFERROR(__xludf.DUMMYFUNCTION("""COMPUTED_VALUE"""),3)</f>
        <v>3</v>
      </c>
      <c r="J282" s="1">
        <f ca="1">IFERROR(__xludf.DUMMYFUNCTION("""COMPUTED_VALUE"""),17)</f>
        <v>17</v>
      </c>
      <c r="K282" s="1">
        <f ca="1">IFERROR(__xludf.DUMMYFUNCTION("""COMPUTED_VALUE"""),2)</f>
        <v>2</v>
      </c>
      <c r="L282" s="1">
        <f ca="1">IFERROR(__xludf.DUMMYFUNCTION("""COMPUTED_VALUE"""),6)</f>
        <v>6</v>
      </c>
      <c r="M282" s="1">
        <f ca="1">IFERROR(__xludf.DUMMYFUNCTION("""COMPUTED_VALUE"""),3)</f>
        <v>3</v>
      </c>
      <c r="N282" s="1">
        <f ca="1">IFERROR(__xludf.DUMMYFUNCTION("""COMPUTED_VALUE"""),2388)</f>
        <v>2388</v>
      </c>
      <c r="O282" s="1">
        <f ca="1">IFERROR(__xludf.DUMMYFUNCTION("""COMPUTED_VALUE"""),2036)</f>
        <v>2036</v>
      </c>
      <c r="P282" s="1">
        <f ca="1">IFERROR(__xludf.DUMMYFUNCTION("""COMPUTED_VALUE"""),1410)</f>
        <v>1410</v>
      </c>
      <c r="Q282" s="1">
        <f ca="1">IFERROR(__xludf.DUMMYFUNCTION("""COMPUTED_VALUE"""),808)</f>
        <v>808</v>
      </c>
      <c r="R282" s="1">
        <f ca="1">IFERROR(__xludf.DUMMYFUNCTION("""COMPUTED_VALUE"""),1812)</f>
        <v>1812</v>
      </c>
      <c r="S282" s="1">
        <f ca="1">IFERROR(__xludf.DUMMYFUNCTION("""COMPUTED_VALUE"""),0.446)</f>
        <v>0.44600000000000001</v>
      </c>
      <c r="T282" s="1">
        <f ca="1">IFERROR(__xludf.DUMMYFUNCTION("""COMPUTED_VALUE"""),210)</f>
        <v>210</v>
      </c>
      <c r="U282" s="1">
        <f ca="1">IFERROR(__xludf.DUMMYFUNCTION("""COMPUTED_VALUE"""),617)</f>
        <v>617</v>
      </c>
      <c r="V282" s="1">
        <f ca="1">IFERROR(__xludf.DUMMYFUNCTION("""COMPUTED_VALUE"""),0.34)</f>
        <v>0.34</v>
      </c>
      <c r="W282" s="1">
        <f ca="1">IFERROR(__xludf.DUMMYFUNCTION("""COMPUTED_VALUE"""),562)</f>
        <v>562</v>
      </c>
      <c r="X282" s="1">
        <f ca="1">IFERROR(__xludf.DUMMYFUNCTION("""COMPUTED_VALUE"""),798)</f>
        <v>798</v>
      </c>
      <c r="Y282" s="1">
        <f ca="1">IFERROR(__xludf.DUMMYFUNCTION("""COMPUTED_VALUE"""),0.704)</f>
        <v>0.70399999999999996</v>
      </c>
      <c r="Z282" s="1">
        <f ca="1">IFERROR(__xludf.DUMMYFUNCTION("""COMPUTED_VALUE"""),306)</f>
        <v>306</v>
      </c>
      <c r="AA282" s="1">
        <f ca="1">IFERROR(__xludf.DUMMYFUNCTION("""COMPUTED_VALUE"""),1032)</f>
        <v>1032</v>
      </c>
      <c r="AB282" s="1">
        <f ca="1">IFERROR(__xludf.DUMMYFUNCTION("""COMPUTED_VALUE"""),453)</f>
        <v>453</v>
      </c>
      <c r="AC282" s="1">
        <f ca="1">IFERROR(__xludf.DUMMYFUNCTION("""COMPUTED_VALUE"""),267)</f>
        <v>267</v>
      </c>
      <c r="AD282" s="1">
        <f ca="1">IFERROR(__xludf.DUMMYFUNCTION("""COMPUTED_VALUE"""),109)</f>
        <v>109</v>
      </c>
      <c r="AE282" s="1">
        <f ca="1">IFERROR(__xludf.DUMMYFUNCTION("""COMPUTED_VALUE"""),383)</f>
        <v>383</v>
      </c>
      <c r="AF282" s="1">
        <f ca="1">IFERROR(__xludf.DUMMYFUNCTION("""COMPUTED_VALUE"""),603)</f>
        <v>603</v>
      </c>
    </row>
    <row r="283" spans="1:32" ht="12.5" x14ac:dyDescent="0.25">
      <c r="A283" s="1" t="str">
        <f ca="1">IFERROR(__xludf.DUMMYFUNCTION("""COMPUTED_VALUE"""),"Saint Mary's (CA)NCAA")</f>
        <v>Saint Mary's (CA)NCAA</v>
      </c>
      <c r="B283" s="1">
        <f ca="1">IFERROR(__xludf.DUMMYFUNCTION("""COMPUTED_VALUE"""),35)</f>
        <v>35</v>
      </c>
      <c r="C283" s="1">
        <f ca="1">IFERROR(__xludf.DUMMYFUNCTION("""COMPUTED_VALUE"""),28)</f>
        <v>28</v>
      </c>
      <c r="D283" s="1">
        <f ca="1">IFERROR(__xludf.DUMMYFUNCTION("""COMPUTED_VALUE"""),7)</f>
        <v>7</v>
      </c>
      <c r="E283" s="1">
        <f ca="1">IFERROR(__xludf.DUMMYFUNCTION("""COMPUTED_VALUE"""),0.8)</f>
        <v>0.8</v>
      </c>
      <c r="F283" s="1">
        <f ca="1">IFERROR(__xludf.DUMMYFUNCTION("""COMPUTED_VALUE"""),14.51)</f>
        <v>14.51</v>
      </c>
      <c r="G283" s="1">
        <f ca="1">IFERROR(__xludf.DUMMYFUNCTION("""COMPUTED_VALUE"""),3.31)</f>
        <v>3.31</v>
      </c>
      <c r="H283" s="1">
        <f ca="1">IFERROR(__xludf.DUMMYFUNCTION("""COMPUTED_VALUE"""),14)</f>
        <v>14</v>
      </c>
      <c r="I283" s="1">
        <f ca="1">IFERROR(__xludf.DUMMYFUNCTION("""COMPUTED_VALUE"""),2)</f>
        <v>2</v>
      </c>
      <c r="J283" s="1">
        <f ca="1">IFERROR(__xludf.DUMMYFUNCTION("""COMPUTED_VALUE"""),16)</f>
        <v>16</v>
      </c>
      <c r="K283" s="1">
        <f ca="1">IFERROR(__xludf.DUMMYFUNCTION("""COMPUTED_VALUE"""),1)</f>
        <v>1</v>
      </c>
      <c r="L283" s="1">
        <f ca="1">IFERROR(__xludf.DUMMYFUNCTION("""COMPUTED_VALUE"""),9)</f>
        <v>9</v>
      </c>
      <c r="M283" s="1">
        <f ca="1">IFERROR(__xludf.DUMMYFUNCTION("""COMPUTED_VALUE"""),2)</f>
        <v>2</v>
      </c>
      <c r="N283" s="1">
        <f ca="1">IFERROR(__xludf.DUMMYFUNCTION("""COMPUTED_VALUE"""),2610)</f>
        <v>2610</v>
      </c>
      <c r="O283" s="1">
        <f ca="1">IFERROR(__xludf.DUMMYFUNCTION("""COMPUTED_VALUE"""),2203)</f>
        <v>2203</v>
      </c>
      <c r="P283" s="1">
        <f ca="1">IFERROR(__xludf.DUMMYFUNCTION("""COMPUTED_VALUE"""),1405)</f>
        <v>1405</v>
      </c>
      <c r="Q283" s="1">
        <f ca="1">IFERROR(__xludf.DUMMYFUNCTION("""COMPUTED_VALUE"""),910)</f>
        <v>910</v>
      </c>
      <c r="R283" s="1">
        <f ca="1">IFERROR(__xludf.DUMMYFUNCTION("""COMPUTED_VALUE"""),1939)</f>
        <v>1939</v>
      </c>
      <c r="S283" s="1">
        <f ca="1">IFERROR(__xludf.DUMMYFUNCTION("""COMPUTED_VALUE"""),0.469)</f>
        <v>0.46899999999999997</v>
      </c>
      <c r="T283" s="1">
        <f ca="1">IFERROR(__xludf.DUMMYFUNCTION("""COMPUTED_VALUE"""),273)</f>
        <v>273</v>
      </c>
      <c r="U283" s="1">
        <f ca="1">IFERROR(__xludf.DUMMYFUNCTION("""COMPUTED_VALUE"""),728)</f>
        <v>728</v>
      </c>
      <c r="V283" s="1">
        <f ca="1">IFERROR(__xludf.DUMMYFUNCTION("""COMPUTED_VALUE"""),0.375)</f>
        <v>0.375</v>
      </c>
      <c r="W283" s="1">
        <f ca="1">IFERROR(__xludf.DUMMYFUNCTION("""COMPUTED_VALUE"""),517)</f>
        <v>517</v>
      </c>
      <c r="X283" s="1">
        <f ca="1">IFERROR(__xludf.DUMMYFUNCTION("""COMPUTED_VALUE"""),713)</f>
        <v>713</v>
      </c>
      <c r="Y283" s="1">
        <f ca="1">IFERROR(__xludf.DUMMYFUNCTION("""COMPUTED_VALUE"""),0.725)</f>
        <v>0.72499999999999998</v>
      </c>
      <c r="Z283" s="1">
        <f ca="1">IFERROR(__xludf.DUMMYFUNCTION("""COMPUTED_VALUE"""),422)</f>
        <v>422</v>
      </c>
      <c r="AA283" s="1">
        <f ca="1">IFERROR(__xludf.DUMMYFUNCTION("""COMPUTED_VALUE"""),1199)</f>
        <v>1199</v>
      </c>
      <c r="AB283" s="1">
        <f ca="1">IFERROR(__xludf.DUMMYFUNCTION("""COMPUTED_VALUE"""),502)</f>
        <v>502</v>
      </c>
      <c r="AC283" s="1">
        <f ca="1">IFERROR(__xludf.DUMMYFUNCTION("""COMPUTED_VALUE"""),214)</f>
        <v>214</v>
      </c>
      <c r="AD283" s="1">
        <f ca="1">IFERROR(__xludf.DUMMYFUNCTION("""COMPUTED_VALUE"""),98)</f>
        <v>98</v>
      </c>
      <c r="AE283" s="1">
        <f ca="1">IFERROR(__xludf.DUMMYFUNCTION("""COMPUTED_VALUE"""),416)</f>
        <v>416</v>
      </c>
      <c r="AF283" s="1">
        <f ca="1">IFERROR(__xludf.DUMMYFUNCTION("""COMPUTED_VALUE"""),612)</f>
        <v>612</v>
      </c>
    </row>
    <row r="284" spans="1:32" ht="12.5" x14ac:dyDescent="0.25">
      <c r="A284" s="1" t="str">
        <f ca="1">IFERROR(__xludf.DUMMYFUNCTION("""COMPUTED_VALUE"""),"Saint Peter's")</f>
        <v>Saint Peter's</v>
      </c>
      <c r="B284" s="1">
        <f ca="1">IFERROR(__xludf.DUMMYFUNCTION("""COMPUTED_VALUE"""),30)</f>
        <v>30</v>
      </c>
      <c r="C284" s="1">
        <f ca="1">IFERROR(__xludf.DUMMYFUNCTION("""COMPUTED_VALUE"""),9)</f>
        <v>9</v>
      </c>
      <c r="D284" s="1">
        <f ca="1">IFERROR(__xludf.DUMMYFUNCTION("""COMPUTED_VALUE"""),21)</f>
        <v>21</v>
      </c>
      <c r="E284" s="1">
        <f ca="1">IFERROR(__xludf.DUMMYFUNCTION("""COMPUTED_VALUE"""),0.3)</f>
        <v>0.3</v>
      </c>
      <c r="F284" s="1">
        <f ca="1">IFERROR(__xludf.DUMMYFUNCTION("""COMPUTED_VALUE"""),-9.05)</f>
        <v>-9.0500000000000007</v>
      </c>
      <c r="G284" s="1">
        <f ca="1">IFERROR(__xludf.DUMMYFUNCTION("""COMPUTED_VALUE"""),-2.92)</f>
        <v>-2.92</v>
      </c>
      <c r="H284" s="1">
        <f ca="1">IFERROR(__xludf.DUMMYFUNCTION("""COMPUTED_VALUE"""),3)</f>
        <v>3</v>
      </c>
      <c r="I284" s="1">
        <f ca="1">IFERROR(__xludf.DUMMYFUNCTION("""COMPUTED_VALUE"""),15)</f>
        <v>15</v>
      </c>
      <c r="J284" s="1">
        <f ca="1">IFERROR(__xludf.DUMMYFUNCTION("""COMPUTED_VALUE"""),5)</f>
        <v>5</v>
      </c>
      <c r="K284" s="1">
        <f ca="1">IFERROR(__xludf.DUMMYFUNCTION("""COMPUTED_VALUE"""),8)</f>
        <v>8</v>
      </c>
      <c r="L284" s="1">
        <f ca="1">IFERROR(__xludf.DUMMYFUNCTION("""COMPUTED_VALUE"""),4)</f>
        <v>4</v>
      </c>
      <c r="M284" s="1">
        <f ca="1">IFERROR(__xludf.DUMMYFUNCTION("""COMPUTED_VALUE"""),11)</f>
        <v>11</v>
      </c>
      <c r="N284" s="1">
        <f ca="1">IFERROR(__xludf.DUMMYFUNCTION("""COMPUTED_VALUE"""),1788)</f>
        <v>1788</v>
      </c>
      <c r="O284" s="1">
        <f ca="1">IFERROR(__xludf.DUMMYFUNCTION("""COMPUTED_VALUE"""),1972)</f>
        <v>1972</v>
      </c>
      <c r="P284" s="1">
        <f ca="1">IFERROR(__xludf.DUMMYFUNCTION("""COMPUTED_VALUE"""),1210)</f>
        <v>1210</v>
      </c>
      <c r="Q284" s="1">
        <f ca="1">IFERROR(__xludf.DUMMYFUNCTION("""COMPUTED_VALUE"""),674)</f>
        <v>674</v>
      </c>
      <c r="R284" s="1">
        <f ca="1">IFERROR(__xludf.DUMMYFUNCTION("""COMPUTED_VALUE"""),1633)</f>
        <v>1633</v>
      </c>
      <c r="S284" s="1">
        <f ca="1">IFERROR(__xludf.DUMMYFUNCTION("""COMPUTED_VALUE"""),0.413)</f>
        <v>0.41299999999999998</v>
      </c>
      <c r="T284" s="1">
        <f ca="1">IFERROR(__xludf.DUMMYFUNCTION("""COMPUTED_VALUE"""),147)</f>
        <v>147</v>
      </c>
      <c r="U284" s="1">
        <f ca="1">IFERROR(__xludf.DUMMYFUNCTION("""COMPUTED_VALUE"""),438)</f>
        <v>438</v>
      </c>
      <c r="V284" s="1">
        <f ca="1">IFERROR(__xludf.DUMMYFUNCTION("""COMPUTED_VALUE"""),0.336)</f>
        <v>0.33600000000000002</v>
      </c>
      <c r="W284" s="1">
        <f ca="1">IFERROR(__xludf.DUMMYFUNCTION("""COMPUTED_VALUE"""),293)</f>
        <v>293</v>
      </c>
      <c r="X284" s="1">
        <f ca="1">IFERROR(__xludf.DUMMYFUNCTION("""COMPUTED_VALUE"""),495)</f>
        <v>495</v>
      </c>
      <c r="Y284" s="1">
        <f ca="1">IFERROR(__xludf.DUMMYFUNCTION("""COMPUTED_VALUE"""),0.592)</f>
        <v>0.59199999999999997</v>
      </c>
      <c r="Z284" s="1">
        <f ca="1">IFERROR(__xludf.DUMMYFUNCTION("""COMPUTED_VALUE"""),322)</f>
        <v>322</v>
      </c>
      <c r="AA284" s="1">
        <f ca="1">IFERROR(__xludf.DUMMYFUNCTION("""COMPUTED_VALUE"""),843)</f>
        <v>843</v>
      </c>
      <c r="AB284" s="1">
        <f ca="1">IFERROR(__xludf.DUMMYFUNCTION("""COMPUTED_VALUE"""),340)</f>
        <v>340</v>
      </c>
      <c r="AC284" s="1">
        <f ca="1">IFERROR(__xludf.DUMMYFUNCTION("""COMPUTED_VALUE"""),209)</f>
        <v>209</v>
      </c>
      <c r="AD284" s="1">
        <f ca="1">IFERROR(__xludf.DUMMYFUNCTION("""COMPUTED_VALUE"""),105)</f>
        <v>105</v>
      </c>
      <c r="AE284" s="1">
        <f ca="1">IFERROR(__xludf.DUMMYFUNCTION("""COMPUTED_VALUE"""),387)</f>
        <v>387</v>
      </c>
      <c r="AF284" s="1">
        <f ca="1">IFERROR(__xludf.DUMMYFUNCTION("""COMPUTED_VALUE"""),567)</f>
        <v>567</v>
      </c>
    </row>
    <row r="285" spans="1:32" ht="12.5" x14ac:dyDescent="0.25">
      <c r="A285" s="1" t="str">
        <f ca="1">IFERROR(__xludf.DUMMYFUNCTION("""COMPUTED_VALUE"""),"Sam Houston State")</f>
        <v>Sam Houston State</v>
      </c>
      <c r="B285" s="1">
        <f ca="1">IFERROR(__xludf.DUMMYFUNCTION("""COMPUTED_VALUE"""),34)</f>
        <v>34</v>
      </c>
      <c r="C285" s="1">
        <f ca="1">IFERROR(__xludf.DUMMYFUNCTION("""COMPUTED_VALUE"""),17)</f>
        <v>17</v>
      </c>
      <c r="D285" s="1">
        <f ca="1">IFERROR(__xludf.DUMMYFUNCTION("""COMPUTED_VALUE"""),17)</f>
        <v>17</v>
      </c>
      <c r="E285" s="1">
        <f ca="1">IFERROR(__xludf.DUMMYFUNCTION("""COMPUTED_VALUE"""),0.5)</f>
        <v>0.5</v>
      </c>
      <c r="F285" s="1">
        <f ca="1">IFERROR(__xludf.DUMMYFUNCTION("""COMPUTED_VALUE"""),-6.45)</f>
        <v>-6.45</v>
      </c>
      <c r="G285" s="1">
        <f ca="1">IFERROR(__xludf.DUMMYFUNCTION("""COMPUTED_VALUE"""),-5.16)</f>
        <v>-5.16</v>
      </c>
      <c r="H285" s="1">
        <f ca="1">IFERROR(__xludf.DUMMYFUNCTION("""COMPUTED_VALUE"""),8)</f>
        <v>8</v>
      </c>
      <c r="I285" s="1">
        <f ca="1">IFERROR(__xludf.DUMMYFUNCTION("""COMPUTED_VALUE"""),10)</f>
        <v>10</v>
      </c>
      <c r="J285" s="1">
        <f ca="1">IFERROR(__xludf.DUMMYFUNCTION("""COMPUTED_VALUE"""),9)</f>
        <v>9</v>
      </c>
      <c r="K285" s="1">
        <f ca="1">IFERROR(__xludf.DUMMYFUNCTION("""COMPUTED_VALUE"""),6)</f>
        <v>6</v>
      </c>
      <c r="L285" s="1">
        <f ca="1">IFERROR(__xludf.DUMMYFUNCTION("""COMPUTED_VALUE"""),6)</f>
        <v>6</v>
      </c>
      <c r="M285" s="1">
        <f ca="1">IFERROR(__xludf.DUMMYFUNCTION("""COMPUTED_VALUE"""),10)</f>
        <v>10</v>
      </c>
      <c r="N285" s="1">
        <f ca="1">IFERROR(__xludf.DUMMYFUNCTION("""COMPUTED_VALUE"""),2168)</f>
        <v>2168</v>
      </c>
      <c r="O285" s="1">
        <f ca="1">IFERROR(__xludf.DUMMYFUNCTION("""COMPUTED_VALUE"""),2080)</f>
        <v>2080</v>
      </c>
      <c r="P285" s="1">
        <f ca="1">IFERROR(__xludf.DUMMYFUNCTION("""COMPUTED_VALUE"""),1380)</f>
        <v>1380</v>
      </c>
      <c r="Q285" s="1">
        <f ca="1">IFERROR(__xludf.DUMMYFUNCTION("""COMPUTED_VALUE"""),740)</f>
        <v>740</v>
      </c>
      <c r="R285" s="1">
        <f ca="1">IFERROR(__xludf.DUMMYFUNCTION("""COMPUTED_VALUE"""),1918)</f>
        <v>1918</v>
      </c>
      <c r="S285" s="1">
        <f ca="1">IFERROR(__xludf.DUMMYFUNCTION("""COMPUTED_VALUE"""),0.386)</f>
        <v>0.38600000000000001</v>
      </c>
      <c r="T285" s="1">
        <f ca="1">IFERROR(__xludf.DUMMYFUNCTION("""COMPUTED_VALUE"""),224)</f>
        <v>224</v>
      </c>
      <c r="U285" s="1">
        <f ca="1">IFERROR(__xludf.DUMMYFUNCTION("""COMPUTED_VALUE"""),678)</f>
        <v>678</v>
      </c>
      <c r="V285" s="1">
        <f ca="1">IFERROR(__xludf.DUMMYFUNCTION("""COMPUTED_VALUE"""),0.33)</f>
        <v>0.33</v>
      </c>
      <c r="W285" s="1">
        <f ca="1">IFERROR(__xludf.DUMMYFUNCTION("""COMPUTED_VALUE"""),464)</f>
        <v>464</v>
      </c>
      <c r="X285" s="1">
        <f ca="1">IFERROR(__xludf.DUMMYFUNCTION("""COMPUTED_VALUE"""),707)</f>
        <v>707</v>
      </c>
      <c r="Y285" s="1">
        <f ca="1">IFERROR(__xludf.DUMMYFUNCTION("""COMPUTED_VALUE"""),0.656)</f>
        <v>0.65600000000000003</v>
      </c>
      <c r="Z285" s="1">
        <f ca="1">IFERROR(__xludf.DUMMYFUNCTION("""COMPUTED_VALUE"""),453)</f>
        <v>453</v>
      </c>
      <c r="AA285" s="1">
        <f ca="1">IFERROR(__xludf.DUMMYFUNCTION("""COMPUTED_VALUE"""),1179)</f>
        <v>1179</v>
      </c>
      <c r="AB285" s="1">
        <f ca="1">IFERROR(__xludf.DUMMYFUNCTION("""COMPUTED_VALUE"""),472)</f>
        <v>472</v>
      </c>
      <c r="AC285" s="1">
        <f ca="1">IFERROR(__xludf.DUMMYFUNCTION("""COMPUTED_VALUE"""),239)</f>
        <v>239</v>
      </c>
      <c r="AD285" s="1">
        <f ca="1">IFERROR(__xludf.DUMMYFUNCTION("""COMPUTED_VALUE"""),77)</f>
        <v>77</v>
      </c>
      <c r="AE285" s="1">
        <f ca="1">IFERROR(__xludf.DUMMYFUNCTION("""COMPUTED_VALUE"""),449)</f>
        <v>449</v>
      </c>
      <c r="AF285" s="1">
        <f ca="1">IFERROR(__xludf.DUMMYFUNCTION("""COMPUTED_VALUE"""),719)</f>
        <v>719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IFERROR(__xludf.DUMMYFUNCTION("""COMPUTED_VALUE"""),"Samford")</f>
        <v>Samford</v>
      </c>
      <c r="B288" s="1">
        <f ca="1">IFERROR(__xludf.DUMMYFUNCTION("""COMPUTED_VALUE"""),32)</f>
        <v>32</v>
      </c>
      <c r="C288" s="1">
        <f ca="1">IFERROR(__xludf.DUMMYFUNCTION("""COMPUTED_VALUE"""),11)</f>
        <v>11</v>
      </c>
      <c r="D288" s="1">
        <f ca="1">IFERROR(__xludf.DUMMYFUNCTION("""COMPUTED_VALUE"""),21)</f>
        <v>21</v>
      </c>
      <c r="E288" s="1">
        <f ca="1">IFERROR(__xludf.DUMMYFUNCTION("""COMPUTED_VALUE"""),0.344)</f>
        <v>0.34399999999999997</v>
      </c>
      <c r="F288" s="1">
        <f ca="1">IFERROR(__xludf.DUMMYFUNCTION("""COMPUTED_VALUE"""),-10.05)</f>
        <v>-10.050000000000001</v>
      </c>
      <c r="G288" s="1">
        <f ca="1">IFERROR(__xludf.DUMMYFUNCTION("""COMPUTED_VALUE"""),-4.38)</f>
        <v>-4.38</v>
      </c>
      <c r="H288" s="1">
        <f ca="1">IFERROR(__xludf.DUMMYFUNCTION("""COMPUTED_VALUE"""),9)</f>
        <v>9</v>
      </c>
      <c r="I288" s="1">
        <f ca="1">IFERROR(__xludf.DUMMYFUNCTION("""COMPUTED_VALUE"""),9)</f>
        <v>9</v>
      </c>
      <c r="J288" s="1">
        <f ca="1">IFERROR(__xludf.DUMMYFUNCTION("""COMPUTED_VALUE"""),7)</f>
        <v>7</v>
      </c>
      <c r="K288" s="1">
        <f ca="1">IFERROR(__xludf.DUMMYFUNCTION("""COMPUTED_VALUE"""),6)</f>
        <v>6</v>
      </c>
      <c r="L288" s="1">
        <f ca="1">IFERROR(__xludf.DUMMYFUNCTION("""COMPUTED_VALUE"""),4)</f>
        <v>4</v>
      </c>
      <c r="M288" s="1">
        <f ca="1">IFERROR(__xludf.DUMMYFUNCTION("""COMPUTED_VALUE"""),12)</f>
        <v>12</v>
      </c>
      <c r="N288" s="1">
        <f ca="1">IFERROR(__xludf.DUMMYFUNCTION("""COMPUTED_VALUE"""),1957)</f>
        <v>1957</v>
      </c>
      <c r="O288" s="1">
        <f ca="1">IFERROR(__xludf.DUMMYFUNCTION("""COMPUTED_VALUE"""),2114)</f>
        <v>2114</v>
      </c>
      <c r="P288" s="1">
        <f ca="1">IFERROR(__xludf.DUMMYFUNCTION("""COMPUTED_VALUE"""),1305)</f>
        <v>1305</v>
      </c>
      <c r="Q288" s="1">
        <f ca="1">IFERROR(__xludf.DUMMYFUNCTION("""COMPUTED_VALUE"""),711)</f>
        <v>711</v>
      </c>
      <c r="R288" s="1">
        <f ca="1">IFERROR(__xludf.DUMMYFUNCTION("""COMPUTED_VALUE"""),1601)</f>
        <v>1601</v>
      </c>
      <c r="S288" s="1">
        <f ca="1">IFERROR(__xludf.DUMMYFUNCTION("""COMPUTED_VALUE"""),0.444)</f>
        <v>0.44400000000000001</v>
      </c>
      <c r="T288" s="1">
        <f ca="1">IFERROR(__xludf.DUMMYFUNCTION("""COMPUTED_VALUE"""),203)</f>
        <v>203</v>
      </c>
      <c r="U288" s="1">
        <f ca="1">IFERROR(__xludf.DUMMYFUNCTION("""COMPUTED_VALUE"""),562)</f>
        <v>562</v>
      </c>
      <c r="V288" s="1">
        <f ca="1">IFERROR(__xludf.DUMMYFUNCTION("""COMPUTED_VALUE"""),0.361)</f>
        <v>0.36099999999999999</v>
      </c>
      <c r="W288" s="1">
        <f ca="1">IFERROR(__xludf.DUMMYFUNCTION("""COMPUTED_VALUE"""),332)</f>
        <v>332</v>
      </c>
      <c r="X288" s="1">
        <f ca="1">IFERROR(__xludf.DUMMYFUNCTION("""COMPUTED_VALUE"""),502)</f>
        <v>502</v>
      </c>
      <c r="Y288" s="1">
        <f ca="1">IFERROR(__xludf.DUMMYFUNCTION("""COMPUTED_VALUE"""),0.661)</f>
        <v>0.66100000000000003</v>
      </c>
      <c r="Z288" s="1">
        <f ca="1">IFERROR(__xludf.DUMMYFUNCTION("""COMPUTED_VALUE"""),266)</f>
        <v>266</v>
      </c>
      <c r="AA288" s="1">
        <f ca="1">IFERROR(__xludf.DUMMYFUNCTION("""COMPUTED_VALUE"""),830)</f>
        <v>830</v>
      </c>
      <c r="AB288" s="1">
        <f ca="1">IFERROR(__xludf.DUMMYFUNCTION("""COMPUTED_VALUE"""),402)</f>
        <v>402</v>
      </c>
      <c r="AC288" s="1">
        <f ca="1">IFERROR(__xludf.DUMMYFUNCTION("""COMPUTED_VALUE"""),206)</f>
        <v>206</v>
      </c>
      <c r="AD288" s="1">
        <f ca="1">IFERROR(__xludf.DUMMYFUNCTION("""COMPUTED_VALUE"""),81)</f>
        <v>81</v>
      </c>
      <c r="AE288" s="1">
        <f ca="1">IFERROR(__xludf.DUMMYFUNCTION("""COMPUTED_VALUE"""),422)</f>
        <v>422</v>
      </c>
      <c r="AF288" s="1">
        <f ca="1">IFERROR(__xludf.DUMMYFUNCTION("""COMPUTED_VALUE"""),537)</f>
        <v>537</v>
      </c>
    </row>
    <row r="289" spans="1:32" ht="12.5" x14ac:dyDescent="0.25">
      <c r="A289" s="1" t="str">
        <f ca="1">IFERROR(__xludf.DUMMYFUNCTION("""COMPUTED_VALUE"""),"San Diego StateNCAA")</f>
        <v>San Diego StateNCAA</v>
      </c>
      <c r="B289" s="1">
        <f ca="1">IFERROR(__xludf.DUMMYFUNCTION("""COMPUTED_VALUE"""),34)</f>
        <v>34</v>
      </c>
      <c r="C289" s="1">
        <f ca="1">IFERROR(__xludf.DUMMYFUNCTION("""COMPUTED_VALUE"""),23)</f>
        <v>23</v>
      </c>
      <c r="D289" s="1">
        <f ca="1">IFERROR(__xludf.DUMMYFUNCTION("""COMPUTED_VALUE"""),11)</f>
        <v>11</v>
      </c>
      <c r="E289" s="1">
        <f ca="1">IFERROR(__xludf.DUMMYFUNCTION("""COMPUTED_VALUE"""),0.676)</f>
        <v>0.67600000000000005</v>
      </c>
      <c r="F289" s="1">
        <f ca="1">IFERROR(__xludf.DUMMYFUNCTION("""COMPUTED_VALUE"""),13.01)</f>
        <v>13.01</v>
      </c>
      <c r="G289" s="1">
        <f ca="1">IFERROR(__xludf.DUMMYFUNCTION("""COMPUTED_VALUE"""),6.19)</f>
        <v>6.19</v>
      </c>
      <c r="H289" s="1">
        <f ca="1">IFERROR(__xludf.DUMMYFUNCTION("""COMPUTED_VALUE"""),9)</f>
        <v>9</v>
      </c>
      <c r="I289" s="1">
        <f ca="1">IFERROR(__xludf.DUMMYFUNCTION("""COMPUTED_VALUE"""),7)</f>
        <v>7</v>
      </c>
      <c r="J289" s="1">
        <f ca="1">IFERROR(__xludf.DUMMYFUNCTION("""COMPUTED_VALUE"""),14)</f>
        <v>14</v>
      </c>
      <c r="K289" s="1">
        <f ca="1">IFERROR(__xludf.DUMMYFUNCTION("""COMPUTED_VALUE"""),1)</f>
        <v>1</v>
      </c>
      <c r="L289" s="1">
        <f ca="1">IFERROR(__xludf.DUMMYFUNCTION("""COMPUTED_VALUE"""),4)</f>
        <v>4</v>
      </c>
      <c r="M289" s="1">
        <f ca="1">IFERROR(__xludf.DUMMYFUNCTION("""COMPUTED_VALUE"""),6)</f>
        <v>6</v>
      </c>
      <c r="N289" s="1">
        <f ca="1">IFERROR(__xludf.DUMMYFUNCTION("""COMPUTED_VALUE"""),2356)</f>
        <v>2356</v>
      </c>
      <c r="O289" s="1">
        <f ca="1">IFERROR(__xludf.DUMMYFUNCTION("""COMPUTED_VALUE"""),2077)</f>
        <v>2077</v>
      </c>
      <c r="P289" s="1">
        <f ca="1">IFERROR(__xludf.DUMMYFUNCTION("""COMPUTED_VALUE"""),1365)</f>
        <v>1365</v>
      </c>
      <c r="Q289" s="1">
        <f ca="1">IFERROR(__xludf.DUMMYFUNCTION("""COMPUTED_VALUE"""),839)</f>
        <v>839</v>
      </c>
      <c r="R289" s="1">
        <f ca="1">IFERROR(__xludf.DUMMYFUNCTION("""COMPUTED_VALUE"""),1916)</f>
        <v>1916</v>
      </c>
      <c r="S289" s="1">
        <f ca="1">IFERROR(__xludf.DUMMYFUNCTION("""COMPUTED_VALUE"""),0.438)</f>
        <v>0.438</v>
      </c>
      <c r="T289" s="1">
        <f ca="1">IFERROR(__xludf.DUMMYFUNCTION("""COMPUTED_VALUE"""),202)</f>
        <v>202</v>
      </c>
      <c r="U289" s="1">
        <f ca="1">IFERROR(__xludf.DUMMYFUNCTION("""COMPUTED_VALUE"""),618)</f>
        <v>618</v>
      </c>
      <c r="V289" s="1">
        <f ca="1">IFERROR(__xludf.DUMMYFUNCTION("""COMPUTED_VALUE"""),0.327)</f>
        <v>0.32700000000000001</v>
      </c>
      <c r="W289" s="1">
        <f ca="1">IFERROR(__xludf.DUMMYFUNCTION("""COMPUTED_VALUE"""),476)</f>
        <v>476</v>
      </c>
      <c r="X289" s="1">
        <f ca="1">IFERROR(__xludf.DUMMYFUNCTION("""COMPUTED_VALUE"""),697)</f>
        <v>697</v>
      </c>
      <c r="Y289" s="1">
        <f ca="1">IFERROR(__xludf.DUMMYFUNCTION("""COMPUTED_VALUE"""),0.683)</f>
        <v>0.68300000000000005</v>
      </c>
      <c r="Z289" s="1">
        <f ca="1">IFERROR(__xludf.DUMMYFUNCTION("""COMPUTED_VALUE"""),376)</f>
        <v>376</v>
      </c>
      <c r="AA289" s="1">
        <f ca="1">IFERROR(__xludf.DUMMYFUNCTION("""COMPUTED_VALUE"""),1144)</f>
        <v>1144</v>
      </c>
      <c r="AB289" s="1">
        <f ca="1">IFERROR(__xludf.DUMMYFUNCTION("""COMPUTED_VALUE"""),425)</f>
        <v>425</v>
      </c>
      <c r="AC289" s="1">
        <f ca="1">IFERROR(__xludf.DUMMYFUNCTION("""COMPUTED_VALUE"""),235)</f>
        <v>235</v>
      </c>
      <c r="AD289" s="1">
        <f ca="1">IFERROR(__xludf.DUMMYFUNCTION("""COMPUTED_VALUE"""),155)</f>
        <v>155</v>
      </c>
      <c r="AE289" s="1">
        <f ca="1">IFERROR(__xludf.DUMMYFUNCTION("""COMPUTED_VALUE"""),410)</f>
        <v>410</v>
      </c>
      <c r="AF289" s="1">
        <f ca="1">IFERROR(__xludf.DUMMYFUNCTION("""COMPUTED_VALUE"""),497)</f>
        <v>497</v>
      </c>
    </row>
    <row r="290" spans="1:32" ht="12.5" x14ac:dyDescent="0.25">
      <c r="A290" s="1" t="str">
        <f ca="1">IFERROR(__xludf.DUMMYFUNCTION("""COMPUTED_VALUE"""),"San Diego")</f>
        <v>San Diego</v>
      </c>
      <c r="B290" s="1">
        <f ca="1">IFERROR(__xludf.DUMMYFUNCTION("""COMPUTED_VALUE"""),34)</f>
        <v>34</v>
      </c>
      <c r="C290" s="1">
        <f ca="1">IFERROR(__xludf.DUMMYFUNCTION("""COMPUTED_VALUE"""),16)</f>
        <v>16</v>
      </c>
      <c r="D290" s="1">
        <f ca="1">IFERROR(__xludf.DUMMYFUNCTION("""COMPUTED_VALUE"""),18)</f>
        <v>18</v>
      </c>
      <c r="E290" s="1">
        <f ca="1">IFERROR(__xludf.DUMMYFUNCTION("""COMPUTED_VALUE"""),0.471)</f>
        <v>0.47099999999999997</v>
      </c>
      <c r="F290" s="1">
        <f ca="1">IFERROR(__xludf.DUMMYFUNCTION("""COMPUTED_VALUE"""),-0.55)</f>
        <v>-0.55000000000000004</v>
      </c>
      <c r="G290" s="1">
        <f ca="1">IFERROR(__xludf.DUMMYFUNCTION("""COMPUTED_VALUE"""),2.6)</f>
        <v>2.6</v>
      </c>
      <c r="H290" s="1">
        <f ca="1">IFERROR(__xludf.DUMMYFUNCTION("""COMPUTED_VALUE"""),7)</f>
        <v>7</v>
      </c>
      <c r="I290" s="1">
        <f ca="1">IFERROR(__xludf.DUMMYFUNCTION("""COMPUTED_VALUE"""),9)</f>
        <v>9</v>
      </c>
      <c r="J290" s="1">
        <f ca="1">IFERROR(__xludf.DUMMYFUNCTION("""COMPUTED_VALUE"""),10)</f>
        <v>10</v>
      </c>
      <c r="K290" s="1">
        <f ca="1">IFERROR(__xludf.DUMMYFUNCTION("""COMPUTED_VALUE"""),5)</f>
        <v>5</v>
      </c>
      <c r="L290" s="1">
        <f ca="1">IFERROR(__xludf.DUMMYFUNCTION("""COMPUTED_VALUE"""),4)</f>
        <v>4</v>
      </c>
      <c r="M290" s="1">
        <f ca="1">IFERROR(__xludf.DUMMYFUNCTION("""COMPUTED_VALUE"""),9)</f>
        <v>9</v>
      </c>
      <c r="N290" s="1">
        <f ca="1">IFERROR(__xludf.DUMMYFUNCTION("""COMPUTED_VALUE"""),2215)</f>
        <v>2215</v>
      </c>
      <c r="O290" s="1">
        <f ca="1">IFERROR(__xludf.DUMMYFUNCTION("""COMPUTED_VALUE"""),2260)</f>
        <v>2260</v>
      </c>
      <c r="P290" s="1">
        <f ca="1">IFERROR(__xludf.DUMMYFUNCTION("""COMPUTED_VALUE"""),1370)</f>
        <v>1370</v>
      </c>
      <c r="Q290" s="1">
        <f ca="1">IFERROR(__xludf.DUMMYFUNCTION("""COMPUTED_VALUE"""),782)</f>
        <v>782</v>
      </c>
      <c r="R290" s="1">
        <f ca="1">IFERROR(__xludf.DUMMYFUNCTION("""COMPUTED_VALUE"""),1796)</f>
        <v>1796</v>
      </c>
      <c r="S290" s="1">
        <f ca="1">IFERROR(__xludf.DUMMYFUNCTION("""COMPUTED_VALUE"""),0.435)</f>
        <v>0.435</v>
      </c>
      <c r="T290" s="1">
        <f ca="1">IFERROR(__xludf.DUMMYFUNCTION("""COMPUTED_VALUE"""),203)</f>
        <v>203</v>
      </c>
      <c r="U290" s="1">
        <f ca="1">IFERROR(__xludf.DUMMYFUNCTION("""COMPUTED_VALUE"""),582)</f>
        <v>582</v>
      </c>
      <c r="V290" s="1">
        <f ca="1">IFERROR(__xludf.DUMMYFUNCTION("""COMPUTED_VALUE"""),0.349)</f>
        <v>0.34899999999999998</v>
      </c>
      <c r="W290" s="1">
        <f ca="1">IFERROR(__xludf.DUMMYFUNCTION("""COMPUTED_VALUE"""),448)</f>
        <v>448</v>
      </c>
      <c r="X290" s="1">
        <f ca="1">IFERROR(__xludf.DUMMYFUNCTION("""COMPUTED_VALUE"""),663)</f>
        <v>663</v>
      </c>
      <c r="Y290" s="1">
        <f ca="1">IFERROR(__xludf.DUMMYFUNCTION("""COMPUTED_VALUE"""),0.676)</f>
        <v>0.67600000000000005</v>
      </c>
      <c r="Z290" s="1">
        <f ca="1">IFERROR(__xludf.DUMMYFUNCTION("""COMPUTED_VALUE"""),353)</f>
        <v>353</v>
      </c>
      <c r="AA290" s="1">
        <f ca="1">IFERROR(__xludf.DUMMYFUNCTION("""COMPUTED_VALUE"""),1008)</f>
        <v>1008</v>
      </c>
      <c r="AB290" s="1">
        <f ca="1">IFERROR(__xludf.DUMMYFUNCTION("""COMPUTED_VALUE"""),392)</f>
        <v>392</v>
      </c>
      <c r="AC290" s="1">
        <f ca="1">IFERROR(__xludf.DUMMYFUNCTION("""COMPUTED_VALUE"""),205)</f>
        <v>205</v>
      </c>
      <c r="AD290" s="1">
        <f ca="1">IFERROR(__xludf.DUMMYFUNCTION("""COMPUTED_VALUE"""),131)</f>
        <v>131</v>
      </c>
      <c r="AE290" s="1">
        <f ca="1">IFERROR(__xludf.DUMMYFUNCTION("""COMPUTED_VALUE"""),458)</f>
        <v>458</v>
      </c>
      <c r="AF290" s="1">
        <f ca="1">IFERROR(__xludf.DUMMYFUNCTION("""COMPUTED_VALUE"""),580)</f>
        <v>580</v>
      </c>
    </row>
    <row r="291" spans="1:32" ht="12.5" x14ac:dyDescent="0.25">
      <c r="A291" s="1" t="str">
        <f ca="1">IFERROR(__xludf.DUMMYFUNCTION("""COMPUTED_VALUE"""),"San Francisco")</f>
        <v>San Francisco</v>
      </c>
      <c r="B291" s="1">
        <f ca="1">IFERROR(__xludf.DUMMYFUNCTION("""COMPUTED_VALUE"""),31)</f>
        <v>31</v>
      </c>
      <c r="C291" s="1">
        <f ca="1">IFERROR(__xludf.DUMMYFUNCTION("""COMPUTED_VALUE"""),15)</f>
        <v>15</v>
      </c>
      <c r="D291" s="1">
        <f ca="1">IFERROR(__xludf.DUMMYFUNCTION("""COMPUTED_VALUE"""),16)</f>
        <v>16</v>
      </c>
      <c r="E291" s="1">
        <f ca="1">IFERROR(__xludf.DUMMYFUNCTION("""COMPUTED_VALUE"""),0.484)</f>
        <v>0.48399999999999999</v>
      </c>
      <c r="F291" s="1">
        <f ca="1">IFERROR(__xludf.DUMMYFUNCTION("""COMPUTED_VALUE"""),2.42)</f>
        <v>2.42</v>
      </c>
      <c r="G291" s="1">
        <f ca="1">IFERROR(__xludf.DUMMYFUNCTION("""COMPUTED_VALUE"""),2.83)</f>
        <v>2.83</v>
      </c>
      <c r="H291" s="1">
        <f ca="1">IFERROR(__xludf.DUMMYFUNCTION("""COMPUTED_VALUE"""),7)</f>
        <v>7</v>
      </c>
      <c r="I291" s="1">
        <f ca="1">IFERROR(__xludf.DUMMYFUNCTION("""COMPUTED_VALUE"""),9)</f>
        <v>9</v>
      </c>
      <c r="J291" s="1">
        <f ca="1">IFERROR(__xludf.DUMMYFUNCTION("""COMPUTED_VALUE"""),8)</f>
        <v>8</v>
      </c>
      <c r="K291" s="1">
        <f ca="1">IFERROR(__xludf.DUMMYFUNCTION("""COMPUTED_VALUE"""),7)</f>
        <v>7</v>
      </c>
      <c r="L291" s="1">
        <f ca="1">IFERROR(__xludf.DUMMYFUNCTION("""COMPUTED_VALUE"""),6)</f>
        <v>6</v>
      </c>
      <c r="M291" s="1">
        <f ca="1">IFERROR(__xludf.DUMMYFUNCTION("""COMPUTED_VALUE"""),5)</f>
        <v>5</v>
      </c>
      <c r="N291" s="1">
        <f ca="1">IFERROR(__xludf.DUMMYFUNCTION("""COMPUTED_VALUE"""),2161)</f>
        <v>2161</v>
      </c>
      <c r="O291" s="1">
        <f ca="1">IFERROR(__xludf.DUMMYFUNCTION("""COMPUTED_VALUE"""),2141)</f>
        <v>2141</v>
      </c>
      <c r="P291" s="1">
        <f ca="1">IFERROR(__xludf.DUMMYFUNCTION("""COMPUTED_VALUE"""),1245)</f>
        <v>1245</v>
      </c>
      <c r="Q291" s="1">
        <f ca="1">IFERROR(__xludf.DUMMYFUNCTION("""COMPUTED_VALUE"""),756)</f>
        <v>756</v>
      </c>
      <c r="R291" s="1">
        <f ca="1">IFERROR(__xludf.DUMMYFUNCTION("""COMPUTED_VALUE"""),1669)</f>
        <v>1669</v>
      </c>
      <c r="S291" s="1">
        <f ca="1">IFERROR(__xludf.DUMMYFUNCTION("""COMPUTED_VALUE"""),0.453)</f>
        <v>0.45300000000000001</v>
      </c>
      <c r="T291" s="1">
        <f ca="1">IFERROR(__xludf.DUMMYFUNCTION("""COMPUTED_VALUE"""),249)</f>
        <v>249</v>
      </c>
      <c r="U291" s="1">
        <f ca="1">IFERROR(__xludf.DUMMYFUNCTION("""COMPUTED_VALUE"""),621)</f>
        <v>621</v>
      </c>
      <c r="V291" s="1">
        <f ca="1">IFERROR(__xludf.DUMMYFUNCTION("""COMPUTED_VALUE"""),0.401)</f>
        <v>0.40100000000000002</v>
      </c>
      <c r="W291" s="1">
        <f ca="1">IFERROR(__xludf.DUMMYFUNCTION("""COMPUTED_VALUE"""),400)</f>
        <v>400</v>
      </c>
      <c r="X291" s="1">
        <f ca="1">IFERROR(__xludf.DUMMYFUNCTION("""COMPUTED_VALUE"""),600)</f>
        <v>600</v>
      </c>
      <c r="Y291" s="1">
        <f ca="1">IFERROR(__xludf.DUMMYFUNCTION("""COMPUTED_VALUE"""),0.667)</f>
        <v>0.66700000000000004</v>
      </c>
      <c r="Z291" s="1">
        <f ca="1">IFERROR(__xludf.DUMMYFUNCTION("""COMPUTED_VALUE"""),253)</f>
        <v>253</v>
      </c>
      <c r="AA291" s="1">
        <f ca="1">IFERROR(__xludf.DUMMYFUNCTION("""COMPUTED_VALUE"""),915)</f>
        <v>915</v>
      </c>
      <c r="AB291" s="1">
        <f ca="1">IFERROR(__xludf.DUMMYFUNCTION("""COMPUTED_VALUE"""),382)</f>
        <v>382</v>
      </c>
      <c r="AC291" s="1">
        <f ca="1">IFERROR(__xludf.DUMMYFUNCTION("""COMPUTED_VALUE"""),169)</f>
        <v>169</v>
      </c>
      <c r="AD291" s="1">
        <f ca="1">IFERROR(__xludf.DUMMYFUNCTION("""COMPUTED_VALUE"""),63)</f>
        <v>63</v>
      </c>
      <c r="AE291" s="1">
        <f ca="1">IFERROR(__xludf.DUMMYFUNCTION("""COMPUTED_VALUE"""),375)</f>
        <v>375</v>
      </c>
      <c r="AF291" s="1">
        <f ca="1">IFERROR(__xludf.DUMMYFUNCTION("""COMPUTED_VALUE"""),548)</f>
        <v>548</v>
      </c>
    </row>
    <row r="292" spans="1:32" ht="12.5" x14ac:dyDescent="0.25">
      <c r="A292" s="1" t="str">
        <f ca="1">IFERROR(__xludf.DUMMYFUNCTION("""COMPUTED_VALUE"""),"San Jose State")</f>
        <v>San Jose State</v>
      </c>
      <c r="B292" s="1">
        <f ca="1">IFERROR(__xludf.DUMMYFUNCTION("""COMPUTED_VALUE"""),29)</f>
        <v>29</v>
      </c>
      <c r="C292" s="1">
        <f ca="1">IFERROR(__xludf.DUMMYFUNCTION("""COMPUTED_VALUE"""),9)</f>
        <v>9</v>
      </c>
      <c r="D292" s="1">
        <f ca="1">IFERROR(__xludf.DUMMYFUNCTION("""COMPUTED_VALUE"""),20)</f>
        <v>20</v>
      </c>
      <c r="E292" s="1">
        <f ca="1">IFERROR(__xludf.DUMMYFUNCTION("""COMPUTED_VALUE"""),0.31)</f>
        <v>0.31</v>
      </c>
      <c r="F292" s="1">
        <f ca="1">IFERROR(__xludf.DUMMYFUNCTION("""COMPUTED_VALUE"""),-9.39)</f>
        <v>-9.39</v>
      </c>
      <c r="G292" s="1">
        <f ca="1">IFERROR(__xludf.DUMMYFUNCTION("""COMPUTED_VALUE"""),-0.92)</f>
        <v>-0.92</v>
      </c>
      <c r="H292" s="1">
        <f ca="1">IFERROR(__xludf.DUMMYFUNCTION("""COMPUTED_VALUE"""),3)</f>
        <v>3</v>
      </c>
      <c r="I292" s="1">
        <f ca="1">IFERROR(__xludf.DUMMYFUNCTION("""COMPUTED_VALUE"""),14)</f>
        <v>14</v>
      </c>
      <c r="J292" s="1">
        <f ca="1">IFERROR(__xludf.DUMMYFUNCTION("""COMPUTED_VALUE"""),5)</f>
        <v>5</v>
      </c>
      <c r="K292" s="1">
        <f ca="1">IFERROR(__xludf.DUMMYFUNCTION("""COMPUTED_VALUE"""),9)</f>
        <v>9</v>
      </c>
      <c r="L292" s="1">
        <f ca="1">IFERROR(__xludf.DUMMYFUNCTION("""COMPUTED_VALUE"""),4)</f>
        <v>4</v>
      </c>
      <c r="M292" s="1">
        <f ca="1">IFERROR(__xludf.DUMMYFUNCTION("""COMPUTED_VALUE"""),9)</f>
        <v>9</v>
      </c>
      <c r="N292" s="1">
        <f ca="1">IFERROR(__xludf.DUMMYFUNCTION("""COMPUTED_VALUE"""),1802)</f>
        <v>1802</v>
      </c>
      <c r="O292" s="1">
        <f ca="1">IFERROR(__xludf.DUMMYFUNCTION("""COMPUTED_VALUE"""),1999)</f>
        <v>1999</v>
      </c>
      <c r="P292" s="1">
        <f ca="1">IFERROR(__xludf.DUMMYFUNCTION("""COMPUTED_VALUE"""),1165)</f>
        <v>1165</v>
      </c>
      <c r="Q292" s="1">
        <f ca="1">IFERROR(__xludf.DUMMYFUNCTION("""COMPUTED_VALUE"""),629)</f>
        <v>629</v>
      </c>
      <c r="R292" s="1">
        <f ca="1">IFERROR(__xludf.DUMMYFUNCTION("""COMPUTED_VALUE"""),1669)</f>
        <v>1669</v>
      </c>
      <c r="S292" s="1">
        <f ca="1">IFERROR(__xludf.DUMMYFUNCTION("""COMPUTED_VALUE"""),0.377)</f>
        <v>0.377</v>
      </c>
      <c r="T292" s="1">
        <f ca="1">IFERROR(__xludf.DUMMYFUNCTION("""COMPUTED_VALUE"""),147)</f>
        <v>147</v>
      </c>
      <c r="U292" s="1">
        <f ca="1">IFERROR(__xludf.DUMMYFUNCTION("""COMPUTED_VALUE"""),490)</f>
        <v>490</v>
      </c>
      <c r="V292" s="1">
        <f ca="1">IFERROR(__xludf.DUMMYFUNCTION("""COMPUTED_VALUE"""),0.3)</f>
        <v>0.3</v>
      </c>
      <c r="W292" s="1">
        <f ca="1">IFERROR(__xludf.DUMMYFUNCTION("""COMPUTED_VALUE"""),397)</f>
        <v>397</v>
      </c>
      <c r="X292" s="1">
        <f ca="1">IFERROR(__xludf.DUMMYFUNCTION("""COMPUTED_VALUE"""),605)</f>
        <v>605</v>
      </c>
      <c r="Y292" s="1">
        <f ca="1">IFERROR(__xludf.DUMMYFUNCTION("""COMPUTED_VALUE"""),0.656)</f>
        <v>0.65600000000000003</v>
      </c>
      <c r="Z292" s="1">
        <f ca="1">IFERROR(__xludf.DUMMYFUNCTION("""COMPUTED_VALUE"""),379)</f>
        <v>379</v>
      </c>
      <c r="AA292" s="1">
        <f ca="1">IFERROR(__xludf.DUMMYFUNCTION("""COMPUTED_VALUE"""),961)</f>
        <v>961</v>
      </c>
      <c r="AB292" s="1">
        <f ca="1">IFERROR(__xludf.DUMMYFUNCTION("""COMPUTED_VALUE"""),317)</f>
        <v>317</v>
      </c>
      <c r="AC292" s="1">
        <f ca="1">IFERROR(__xludf.DUMMYFUNCTION("""COMPUTED_VALUE"""),175)</f>
        <v>175</v>
      </c>
      <c r="AD292" s="1">
        <f ca="1">IFERROR(__xludf.DUMMYFUNCTION("""COMPUTED_VALUE"""),96)</f>
        <v>96</v>
      </c>
      <c r="AE292" s="1">
        <f ca="1">IFERROR(__xludf.DUMMYFUNCTION("""COMPUTED_VALUE"""),402)</f>
        <v>402</v>
      </c>
      <c r="AF292" s="1">
        <f ca="1">IFERROR(__xludf.DUMMYFUNCTION("""COMPUTED_VALUE"""),514)</f>
        <v>514</v>
      </c>
    </row>
    <row r="293" spans="1:32" ht="12.5" x14ac:dyDescent="0.25">
      <c r="A293" s="1" t="str">
        <f ca="1">IFERROR(__xludf.DUMMYFUNCTION("""COMPUTED_VALUE"""),"Santa Clara")</f>
        <v>Santa Clara</v>
      </c>
      <c r="B293" s="1">
        <f ca="1">IFERROR(__xludf.DUMMYFUNCTION("""COMPUTED_VALUE"""),38)</f>
        <v>38</v>
      </c>
      <c r="C293" s="1">
        <f ca="1">IFERROR(__xludf.DUMMYFUNCTION("""COMPUTED_VALUE"""),26)</f>
        <v>26</v>
      </c>
      <c r="D293" s="1">
        <f ca="1">IFERROR(__xludf.DUMMYFUNCTION("""COMPUTED_VALUE"""),12)</f>
        <v>12</v>
      </c>
      <c r="E293" s="1">
        <f ca="1">IFERROR(__xludf.DUMMYFUNCTION("""COMPUTED_VALUE"""),0.684)</f>
        <v>0.68400000000000005</v>
      </c>
      <c r="F293" s="1">
        <f ca="1">IFERROR(__xludf.DUMMYFUNCTION("""COMPUTED_VALUE"""),6.58)</f>
        <v>6.58</v>
      </c>
      <c r="G293" s="1">
        <f ca="1">IFERROR(__xludf.DUMMYFUNCTION("""COMPUTED_VALUE"""),1.72)</f>
        <v>1.72</v>
      </c>
      <c r="H293" s="1">
        <f ca="1">IFERROR(__xludf.DUMMYFUNCTION("""COMPUTED_VALUE"""),9)</f>
        <v>9</v>
      </c>
      <c r="I293" s="1">
        <f ca="1">IFERROR(__xludf.DUMMYFUNCTION("""COMPUTED_VALUE"""),7)</f>
        <v>7</v>
      </c>
      <c r="J293" s="1">
        <f ca="1">IFERROR(__xludf.DUMMYFUNCTION("""COMPUTED_VALUE"""),15)</f>
        <v>15</v>
      </c>
      <c r="K293" s="1">
        <f ca="1">IFERROR(__xludf.DUMMYFUNCTION("""COMPUTED_VALUE"""),5)</f>
        <v>5</v>
      </c>
      <c r="L293" s="1">
        <f ca="1">IFERROR(__xludf.DUMMYFUNCTION("""COMPUTED_VALUE"""),10)</f>
        <v>10</v>
      </c>
      <c r="M293" s="1">
        <f ca="1">IFERROR(__xludf.DUMMYFUNCTION("""COMPUTED_VALUE"""),6)</f>
        <v>6</v>
      </c>
      <c r="N293" s="1">
        <f ca="1">IFERROR(__xludf.DUMMYFUNCTION("""COMPUTED_VALUE"""),2827)</f>
        <v>2827</v>
      </c>
      <c r="O293" s="1">
        <f ca="1">IFERROR(__xludf.DUMMYFUNCTION("""COMPUTED_VALUE"""),2577)</f>
        <v>2577</v>
      </c>
      <c r="P293" s="1">
        <f ca="1">IFERROR(__xludf.DUMMYFUNCTION("""COMPUTED_VALUE"""),1530)</f>
        <v>1530</v>
      </c>
      <c r="Q293" s="1">
        <f ca="1">IFERROR(__xludf.DUMMYFUNCTION("""COMPUTED_VALUE"""),970)</f>
        <v>970</v>
      </c>
      <c r="R293" s="1">
        <f ca="1">IFERROR(__xludf.DUMMYFUNCTION("""COMPUTED_VALUE"""),2195)</f>
        <v>2195</v>
      </c>
      <c r="S293" s="1">
        <f ca="1">IFERROR(__xludf.DUMMYFUNCTION("""COMPUTED_VALUE"""),0.442)</f>
        <v>0.442</v>
      </c>
      <c r="T293" s="1">
        <f ca="1">IFERROR(__xludf.DUMMYFUNCTION("""COMPUTED_VALUE"""),303)</f>
        <v>303</v>
      </c>
      <c r="U293" s="1">
        <f ca="1">IFERROR(__xludf.DUMMYFUNCTION("""COMPUTED_VALUE"""),840)</f>
        <v>840</v>
      </c>
      <c r="V293" s="1">
        <f ca="1">IFERROR(__xludf.DUMMYFUNCTION("""COMPUTED_VALUE"""),0.361)</f>
        <v>0.36099999999999999</v>
      </c>
      <c r="W293" s="1">
        <f ca="1">IFERROR(__xludf.DUMMYFUNCTION("""COMPUTED_VALUE"""),584)</f>
        <v>584</v>
      </c>
      <c r="X293" s="1">
        <f ca="1">IFERROR(__xludf.DUMMYFUNCTION("""COMPUTED_VALUE"""),803)</f>
        <v>803</v>
      </c>
      <c r="Y293" s="1">
        <f ca="1">IFERROR(__xludf.DUMMYFUNCTION("""COMPUTED_VALUE"""),0.727)</f>
        <v>0.72699999999999998</v>
      </c>
      <c r="Z293" s="1">
        <f ca="1">IFERROR(__xludf.DUMMYFUNCTION("""COMPUTED_VALUE"""),448)</f>
        <v>448</v>
      </c>
      <c r="AA293" s="1">
        <f ca="1">IFERROR(__xludf.DUMMYFUNCTION("""COMPUTED_VALUE"""),1247)</f>
        <v>1247</v>
      </c>
      <c r="AB293" s="1">
        <f ca="1">IFERROR(__xludf.DUMMYFUNCTION("""COMPUTED_VALUE"""),560)</f>
        <v>560</v>
      </c>
      <c r="AC293" s="1">
        <f ca="1">IFERROR(__xludf.DUMMYFUNCTION("""COMPUTED_VALUE"""),301)</f>
        <v>301</v>
      </c>
      <c r="AD293" s="1">
        <f ca="1">IFERROR(__xludf.DUMMYFUNCTION("""COMPUTED_VALUE"""),173)</f>
        <v>173</v>
      </c>
      <c r="AE293" s="1">
        <f ca="1">IFERROR(__xludf.DUMMYFUNCTION("""COMPUTED_VALUE"""),468)</f>
        <v>468</v>
      </c>
      <c r="AF293" s="1">
        <f ca="1">IFERROR(__xludf.DUMMYFUNCTION("""COMPUTED_VALUE"""),747)</f>
        <v>747</v>
      </c>
    </row>
    <row r="294" spans="1:32" ht="12.5" x14ac:dyDescent="0.25">
      <c r="A294" s="1" t="str">
        <f ca="1">IFERROR(__xludf.DUMMYFUNCTION("""COMPUTED_VALUE"""),"Savannah State")</f>
        <v>Savannah State</v>
      </c>
      <c r="B294" s="1">
        <f ca="1">IFERROR(__xludf.DUMMYFUNCTION("""COMPUTED_VALUE"""),34)</f>
        <v>34</v>
      </c>
      <c r="C294" s="1">
        <f ca="1">IFERROR(__xludf.DUMMYFUNCTION("""COMPUTED_VALUE"""),19)</f>
        <v>19</v>
      </c>
      <c r="D294" s="1">
        <f ca="1">IFERROR(__xludf.DUMMYFUNCTION("""COMPUTED_VALUE"""),15)</f>
        <v>15</v>
      </c>
      <c r="E294" s="1">
        <f ca="1">IFERROR(__xludf.DUMMYFUNCTION("""COMPUTED_VALUE"""),0.559)</f>
        <v>0.55900000000000005</v>
      </c>
      <c r="F294" s="1">
        <f ca="1">IFERROR(__xludf.DUMMYFUNCTION("""COMPUTED_VALUE"""),-5.41)</f>
        <v>-5.41</v>
      </c>
      <c r="G294" s="1">
        <f ca="1">IFERROR(__xludf.DUMMYFUNCTION("""COMPUTED_VALUE"""),-4.73)</f>
        <v>-4.7300000000000004</v>
      </c>
      <c r="H294" s="1">
        <f ca="1">IFERROR(__xludf.DUMMYFUNCTION("""COMPUTED_VALUE"""),11)</f>
        <v>11</v>
      </c>
      <c r="I294" s="1">
        <f ca="1">IFERROR(__xludf.DUMMYFUNCTION("""COMPUTED_VALUE"""),5)</f>
        <v>5</v>
      </c>
      <c r="J294" s="1">
        <f ca="1">IFERROR(__xludf.DUMMYFUNCTION("""COMPUTED_VALUE"""),11)</f>
        <v>11</v>
      </c>
      <c r="K294" s="1">
        <f ca="1">IFERROR(__xludf.DUMMYFUNCTION("""COMPUTED_VALUE"""),3)</f>
        <v>3</v>
      </c>
      <c r="L294" s="1">
        <f ca="1">IFERROR(__xludf.DUMMYFUNCTION("""COMPUTED_VALUE"""),7)</f>
        <v>7</v>
      </c>
      <c r="M294" s="1">
        <f ca="1">IFERROR(__xludf.DUMMYFUNCTION("""COMPUTED_VALUE"""),11)</f>
        <v>11</v>
      </c>
      <c r="N294" s="1">
        <f ca="1">IFERROR(__xludf.DUMMYFUNCTION("""COMPUTED_VALUE"""),1931)</f>
        <v>1931</v>
      </c>
      <c r="O294" s="1">
        <f ca="1">IFERROR(__xludf.DUMMYFUNCTION("""COMPUTED_VALUE"""),1887)</f>
        <v>1887</v>
      </c>
      <c r="P294" s="1">
        <f ca="1">IFERROR(__xludf.DUMMYFUNCTION("""COMPUTED_VALUE"""),1380)</f>
        <v>1380</v>
      </c>
      <c r="Q294" s="1">
        <f ca="1">IFERROR(__xludf.DUMMYFUNCTION("""COMPUTED_VALUE"""),710)</f>
        <v>710</v>
      </c>
      <c r="R294" s="1">
        <f ca="1">IFERROR(__xludf.DUMMYFUNCTION("""COMPUTED_VALUE"""),1691)</f>
        <v>1691</v>
      </c>
      <c r="S294" s="1">
        <f ca="1">IFERROR(__xludf.DUMMYFUNCTION("""COMPUTED_VALUE"""),0.42)</f>
        <v>0.42</v>
      </c>
      <c r="T294" s="1">
        <f ca="1">IFERROR(__xludf.DUMMYFUNCTION("""COMPUTED_VALUE"""),131)</f>
        <v>131</v>
      </c>
      <c r="U294" s="1">
        <f ca="1">IFERROR(__xludf.DUMMYFUNCTION("""COMPUTED_VALUE"""),445)</f>
        <v>445</v>
      </c>
      <c r="V294" s="1">
        <f ca="1">IFERROR(__xludf.DUMMYFUNCTION("""COMPUTED_VALUE"""),0.294)</f>
        <v>0.29399999999999998</v>
      </c>
      <c r="W294" s="1">
        <f ca="1">IFERROR(__xludf.DUMMYFUNCTION("""COMPUTED_VALUE"""),380)</f>
        <v>380</v>
      </c>
      <c r="X294" s="1">
        <f ca="1">IFERROR(__xludf.DUMMYFUNCTION("""COMPUTED_VALUE"""),615)</f>
        <v>615</v>
      </c>
      <c r="Y294" s="1">
        <f ca="1">IFERROR(__xludf.DUMMYFUNCTION("""COMPUTED_VALUE"""),0.618)</f>
        <v>0.61799999999999999</v>
      </c>
      <c r="Z294" s="1">
        <f ca="1">IFERROR(__xludf.DUMMYFUNCTION("""COMPUTED_VALUE"""),391)</f>
        <v>391</v>
      </c>
      <c r="AA294" s="1">
        <f ca="1">IFERROR(__xludf.DUMMYFUNCTION("""COMPUTED_VALUE"""),1023)</f>
        <v>1023</v>
      </c>
      <c r="AB294" s="1">
        <f ca="1">IFERROR(__xludf.DUMMYFUNCTION("""COMPUTED_VALUE"""),348)</f>
        <v>348</v>
      </c>
      <c r="AC294" s="1">
        <f ca="1">IFERROR(__xludf.DUMMYFUNCTION("""COMPUTED_VALUE"""),307)</f>
        <v>307</v>
      </c>
      <c r="AD294" s="1">
        <f ca="1">IFERROR(__xludf.DUMMYFUNCTION("""COMPUTED_VALUE"""),138)</f>
        <v>138</v>
      </c>
      <c r="AE294" s="1">
        <f ca="1">IFERROR(__xludf.DUMMYFUNCTION("""COMPUTED_VALUE"""),586)</f>
        <v>586</v>
      </c>
      <c r="AF294" s="1">
        <f ca="1">IFERROR(__xludf.DUMMYFUNCTION("""COMPUTED_VALUE"""),628)</f>
        <v>628</v>
      </c>
    </row>
    <row r="295" spans="1:32" ht="12.5" x14ac:dyDescent="0.25">
      <c r="A295" s="1" t="str">
        <f ca="1">IFERROR(__xludf.DUMMYFUNCTION("""COMPUTED_VALUE"""),"Seattle")</f>
        <v>Seattle</v>
      </c>
      <c r="B295" s="1">
        <f ca="1">IFERROR(__xludf.DUMMYFUNCTION("""COMPUTED_VALUE"""),30)</f>
        <v>30</v>
      </c>
      <c r="C295" s="1">
        <f ca="1">IFERROR(__xludf.DUMMYFUNCTION("""COMPUTED_VALUE"""),8)</f>
        <v>8</v>
      </c>
      <c r="D295" s="1">
        <f ca="1">IFERROR(__xludf.DUMMYFUNCTION("""COMPUTED_VALUE"""),22)</f>
        <v>22</v>
      </c>
      <c r="E295" s="1">
        <f ca="1">IFERROR(__xludf.DUMMYFUNCTION("""COMPUTED_VALUE"""),0.267)</f>
        <v>0.26700000000000002</v>
      </c>
      <c r="F295" s="1">
        <f ca="1">IFERROR(__xludf.DUMMYFUNCTION("""COMPUTED_VALUE"""),-4.53)</f>
        <v>-4.53</v>
      </c>
      <c r="G295" s="1">
        <f ca="1">IFERROR(__xludf.DUMMYFUNCTION("""COMPUTED_VALUE"""),-1.05)</f>
        <v>-1.05</v>
      </c>
      <c r="H295" s="1">
        <f ca="1">IFERROR(__xludf.DUMMYFUNCTION("""COMPUTED_VALUE"""),3)</f>
        <v>3</v>
      </c>
      <c r="I295" s="1">
        <f ca="1">IFERROR(__xludf.DUMMYFUNCTION("""COMPUTED_VALUE"""),15)</f>
        <v>15</v>
      </c>
      <c r="J295" s="1">
        <f ca="1">IFERROR(__xludf.DUMMYFUNCTION("""COMPUTED_VALUE"""),5)</f>
        <v>5</v>
      </c>
      <c r="K295" s="1">
        <f ca="1">IFERROR(__xludf.DUMMYFUNCTION("""COMPUTED_VALUE"""),11)</f>
        <v>11</v>
      </c>
      <c r="L295" s="1">
        <f ca="1">IFERROR(__xludf.DUMMYFUNCTION("""COMPUTED_VALUE"""),3)</f>
        <v>3</v>
      </c>
      <c r="M295" s="1">
        <f ca="1">IFERROR(__xludf.DUMMYFUNCTION("""COMPUTED_VALUE"""),9)</f>
        <v>9</v>
      </c>
      <c r="N295" s="1">
        <f ca="1">IFERROR(__xludf.DUMMYFUNCTION("""COMPUTED_VALUE"""),1966)</f>
        <v>1966</v>
      </c>
      <c r="O295" s="1">
        <f ca="1">IFERROR(__xludf.DUMMYFUNCTION("""COMPUTED_VALUE"""),2058)</f>
        <v>2058</v>
      </c>
      <c r="P295" s="1">
        <f ca="1">IFERROR(__xludf.DUMMYFUNCTION("""COMPUTED_VALUE"""),1215)</f>
        <v>1215</v>
      </c>
      <c r="Q295" s="1">
        <f ca="1">IFERROR(__xludf.DUMMYFUNCTION("""COMPUTED_VALUE"""),734)</f>
        <v>734</v>
      </c>
      <c r="R295" s="1">
        <f ca="1">IFERROR(__xludf.DUMMYFUNCTION("""COMPUTED_VALUE"""),1750)</f>
        <v>1750</v>
      </c>
      <c r="S295" s="1">
        <f ca="1">IFERROR(__xludf.DUMMYFUNCTION("""COMPUTED_VALUE"""),0.419)</f>
        <v>0.41899999999999998</v>
      </c>
      <c r="T295" s="1">
        <f ca="1">IFERROR(__xludf.DUMMYFUNCTION("""COMPUTED_VALUE"""),181)</f>
        <v>181</v>
      </c>
      <c r="U295" s="1">
        <f ca="1">IFERROR(__xludf.DUMMYFUNCTION("""COMPUTED_VALUE"""),557)</f>
        <v>557</v>
      </c>
      <c r="V295" s="1">
        <f ca="1">IFERROR(__xludf.DUMMYFUNCTION("""COMPUTED_VALUE"""),0.325)</f>
        <v>0.32500000000000001</v>
      </c>
      <c r="W295" s="1">
        <f ca="1">IFERROR(__xludf.DUMMYFUNCTION("""COMPUTED_VALUE"""),317)</f>
        <v>317</v>
      </c>
      <c r="X295" s="1">
        <f ca="1">IFERROR(__xludf.DUMMYFUNCTION("""COMPUTED_VALUE"""),507)</f>
        <v>507</v>
      </c>
      <c r="Y295" s="1">
        <f ca="1">IFERROR(__xludf.DUMMYFUNCTION("""COMPUTED_VALUE"""),0.625)</f>
        <v>0.625</v>
      </c>
      <c r="Z295" s="1">
        <f ca="1">IFERROR(__xludf.DUMMYFUNCTION("""COMPUTED_VALUE"""),409)</f>
        <v>409</v>
      </c>
      <c r="AA295" s="1">
        <f ca="1">IFERROR(__xludf.DUMMYFUNCTION("""COMPUTED_VALUE"""),1106)</f>
        <v>1106</v>
      </c>
      <c r="AB295" s="1">
        <f ca="1">IFERROR(__xludf.DUMMYFUNCTION("""COMPUTED_VALUE"""),420)</f>
        <v>420</v>
      </c>
      <c r="AC295" s="1">
        <f ca="1">IFERROR(__xludf.DUMMYFUNCTION("""COMPUTED_VALUE"""),231)</f>
        <v>231</v>
      </c>
      <c r="AD295" s="1">
        <f ca="1">IFERROR(__xludf.DUMMYFUNCTION("""COMPUTED_VALUE"""),89)</f>
        <v>89</v>
      </c>
      <c r="AE295" s="1">
        <f ca="1">IFERROR(__xludf.DUMMYFUNCTION("""COMPUTED_VALUE"""),546)</f>
        <v>546</v>
      </c>
      <c r="AF295" s="1">
        <f ca="1">IFERROR(__xludf.DUMMYFUNCTION("""COMPUTED_VALUE"""),588)</f>
        <v>588</v>
      </c>
    </row>
    <row r="296" spans="1:32" ht="12.5" x14ac:dyDescent="0.25">
      <c r="A296" s="1" t="str">
        <f ca="1">IFERROR(__xludf.DUMMYFUNCTION("""COMPUTED_VALUE"""),"Seton Hall")</f>
        <v>Seton Hall</v>
      </c>
      <c r="B296" s="1">
        <f ca="1">IFERROR(__xludf.DUMMYFUNCTION("""COMPUTED_VALUE"""),33)</f>
        <v>33</v>
      </c>
      <c r="C296" s="1">
        <f ca="1">IFERROR(__xludf.DUMMYFUNCTION("""COMPUTED_VALUE"""),15)</f>
        <v>15</v>
      </c>
      <c r="D296" s="1">
        <f ca="1">IFERROR(__xludf.DUMMYFUNCTION("""COMPUTED_VALUE"""),18)</f>
        <v>18</v>
      </c>
      <c r="E296" s="1">
        <f ca="1">IFERROR(__xludf.DUMMYFUNCTION("""COMPUTED_VALUE"""),0.455)</f>
        <v>0.45500000000000002</v>
      </c>
      <c r="F296" s="1">
        <f ca="1">IFERROR(__xludf.DUMMYFUNCTION("""COMPUTED_VALUE"""),5.54)</f>
        <v>5.54</v>
      </c>
      <c r="G296" s="1">
        <f ca="1">IFERROR(__xludf.DUMMYFUNCTION("""COMPUTED_VALUE"""),5.96)</f>
        <v>5.96</v>
      </c>
      <c r="H296" s="1">
        <f ca="1">IFERROR(__xludf.DUMMYFUNCTION("""COMPUTED_VALUE"""),3)</f>
        <v>3</v>
      </c>
      <c r="I296" s="1">
        <f ca="1">IFERROR(__xludf.DUMMYFUNCTION("""COMPUTED_VALUE"""),15)</f>
        <v>15</v>
      </c>
      <c r="J296" s="1">
        <f ca="1">IFERROR(__xludf.DUMMYFUNCTION("""COMPUTED_VALUE"""),10)</f>
        <v>10</v>
      </c>
      <c r="K296" s="1">
        <f ca="1">IFERROR(__xludf.DUMMYFUNCTION("""COMPUTED_VALUE"""),7)</f>
        <v>7</v>
      </c>
      <c r="L296" s="1">
        <f ca="1">IFERROR(__xludf.DUMMYFUNCTION("""COMPUTED_VALUE"""),2)</f>
        <v>2</v>
      </c>
      <c r="M296" s="1">
        <f ca="1">IFERROR(__xludf.DUMMYFUNCTION("""COMPUTED_VALUE"""),9)</f>
        <v>9</v>
      </c>
      <c r="N296" s="1">
        <f ca="1">IFERROR(__xludf.DUMMYFUNCTION("""COMPUTED_VALUE"""),2136)</f>
        <v>2136</v>
      </c>
      <c r="O296" s="1">
        <f ca="1">IFERROR(__xludf.DUMMYFUNCTION("""COMPUTED_VALUE"""),2150)</f>
        <v>2150</v>
      </c>
      <c r="P296" s="1">
        <f ca="1">IFERROR(__xludf.DUMMYFUNCTION("""COMPUTED_VALUE"""),1330)</f>
        <v>1330</v>
      </c>
      <c r="Q296" s="1">
        <f ca="1">IFERROR(__xludf.DUMMYFUNCTION("""COMPUTED_VALUE"""),744)</f>
        <v>744</v>
      </c>
      <c r="R296" s="1">
        <f ca="1">IFERROR(__xludf.DUMMYFUNCTION("""COMPUTED_VALUE"""),1704)</f>
        <v>1704</v>
      </c>
      <c r="S296" s="1">
        <f ca="1">IFERROR(__xludf.DUMMYFUNCTION("""COMPUTED_VALUE"""),0.437)</f>
        <v>0.437</v>
      </c>
      <c r="T296" s="1">
        <f ca="1">IFERROR(__xludf.DUMMYFUNCTION("""COMPUTED_VALUE"""),261)</f>
        <v>261</v>
      </c>
      <c r="U296" s="1">
        <f ca="1">IFERROR(__xludf.DUMMYFUNCTION("""COMPUTED_VALUE"""),711)</f>
        <v>711</v>
      </c>
      <c r="V296" s="1">
        <f ca="1">IFERROR(__xludf.DUMMYFUNCTION("""COMPUTED_VALUE"""),0.367)</f>
        <v>0.36699999999999999</v>
      </c>
      <c r="W296" s="1">
        <f ca="1">IFERROR(__xludf.DUMMYFUNCTION("""COMPUTED_VALUE"""),387)</f>
        <v>387</v>
      </c>
      <c r="X296" s="1">
        <f ca="1">IFERROR(__xludf.DUMMYFUNCTION("""COMPUTED_VALUE"""),588)</f>
        <v>588</v>
      </c>
      <c r="Y296" s="1">
        <f ca="1">IFERROR(__xludf.DUMMYFUNCTION("""COMPUTED_VALUE"""),0.658)</f>
        <v>0.65800000000000003</v>
      </c>
      <c r="Z296" s="1">
        <f ca="1">IFERROR(__xludf.DUMMYFUNCTION("""COMPUTED_VALUE"""),331)</f>
        <v>331</v>
      </c>
      <c r="AA296" s="1">
        <f ca="1">IFERROR(__xludf.DUMMYFUNCTION("""COMPUTED_VALUE"""),1019)</f>
        <v>1019</v>
      </c>
      <c r="AB296" s="1">
        <f ca="1">IFERROR(__xludf.DUMMYFUNCTION("""COMPUTED_VALUE"""),461)</f>
        <v>461</v>
      </c>
      <c r="AC296" s="1">
        <f ca="1">IFERROR(__xludf.DUMMYFUNCTION("""COMPUTED_VALUE"""),225)</f>
        <v>225</v>
      </c>
      <c r="AD296" s="1">
        <f ca="1">IFERROR(__xludf.DUMMYFUNCTION("""COMPUTED_VALUE"""),86)</f>
        <v>86</v>
      </c>
      <c r="AE296" s="1">
        <f ca="1">IFERROR(__xludf.DUMMYFUNCTION("""COMPUTED_VALUE"""),514)</f>
        <v>514</v>
      </c>
      <c r="AF296" s="1">
        <f ca="1">IFERROR(__xludf.DUMMYFUNCTION("""COMPUTED_VALUE"""),624)</f>
        <v>624</v>
      </c>
    </row>
    <row r="297" spans="1:32" ht="12.5" x14ac:dyDescent="0.25">
      <c r="A297" s="1" t="str">
        <f ca="1">IFERROR(__xludf.DUMMYFUNCTION("""COMPUTED_VALUE"""),"Siena")</f>
        <v>Siena</v>
      </c>
      <c r="B297" s="1">
        <f ca="1">IFERROR(__xludf.DUMMYFUNCTION("""COMPUTED_VALUE"""),32)</f>
        <v>32</v>
      </c>
      <c r="C297" s="1">
        <f ca="1">IFERROR(__xludf.DUMMYFUNCTION("""COMPUTED_VALUE"""),8)</f>
        <v>8</v>
      </c>
      <c r="D297" s="1">
        <f ca="1">IFERROR(__xludf.DUMMYFUNCTION("""COMPUTED_VALUE"""),24)</f>
        <v>24</v>
      </c>
      <c r="E297" s="1">
        <f ca="1">IFERROR(__xludf.DUMMYFUNCTION("""COMPUTED_VALUE"""),0.25)</f>
        <v>0.25</v>
      </c>
      <c r="F297" s="1">
        <f ca="1">IFERROR(__xludf.DUMMYFUNCTION("""COMPUTED_VALUE"""),-10.25)</f>
        <v>-10.25</v>
      </c>
      <c r="G297" s="1">
        <f ca="1">IFERROR(__xludf.DUMMYFUNCTION("""COMPUTED_VALUE"""),-1.87)</f>
        <v>-1.87</v>
      </c>
      <c r="H297" s="1">
        <f ca="1">IFERROR(__xludf.DUMMYFUNCTION("""COMPUTED_VALUE"""),4)</f>
        <v>4</v>
      </c>
      <c r="I297" s="1">
        <f ca="1">IFERROR(__xludf.DUMMYFUNCTION("""COMPUTED_VALUE"""),14)</f>
        <v>14</v>
      </c>
      <c r="J297" s="1">
        <f ca="1">IFERROR(__xludf.DUMMYFUNCTION("""COMPUTED_VALUE"""),4)</f>
        <v>4</v>
      </c>
      <c r="K297" s="1">
        <f ca="1">IFERROR(__xludf.DUMMYFUNCTION("""COMPUTED_VALUE"""),10)</f>
        <v>10</v>
      </c>
      <c r="L297" s="1">
        <f ca="1">IFERROR(__xludf.DUMMYFUNCTION("""COMPUTED_VALUE"""),2)</f>
        <v>2</v>
      </c>
      <c r="M297" s="1">
        <f ca="1">IFERROR(__xludf.DUMMYFUNCTION("""COMPUTED_VALUE"""),12)</f>
        <v>12</v>
      </c>
      <c r="N297" s="1">
        <f ca="1">IFERROR(__xludf.DUMMYFUNCTION("""COMPUTED_VALUE"""),1921)</f>
        <v>1921</v>
      </c>
      <c r="O297" s="1">
        <f ca="1">IFERROR(__xludf.DUMMYFUNCTION("""COMPUTED_VALUE"""),2189)</f>
        <v>2189</v>
      </c>
      <c r="P297" s="1">
        <f ca="1">IFERROR(__xludf.DUMMYFUNCTION("""COMPUTED_VALUE"""),1290)</f>
        <v>1290</v>
      </c>
      <c r="Q297" s="1">
        <f ca="1">IFERROR(__xludf.DUMMYFUNCTION("""COMPUTED_VALUE"""),659)</f>
        <v>659</v>
      </c>
      <c r="R297" s="1">
        <f ca="1">IFERROR(__xludf.DUMMYFUNCTION("""COMPUTED_VALUE"""),1631)</f>
        <v>1631</v>
      </c>
      <c r="S297" s="1">
        <f ca="1">IFERROR(__xludf.DUMMYFUNCTION("""COMPUTED_VALUE"""),0.404)</f>
        <v>0.40400000000000003</v>
      </c>
      <c r="T297" s="1">
        <f ca="1">IFERROR(__xludf.DUMMYFUNCTION("""COMPUTED_VALUE"""),185)</f>
        <v>185</v>
      </c>
      <c r="U297" s="1">
        <f ca="1">IFERROR(__xludf.DUMMYFUNCTION("""COMPUTED_VALUE"""),549)</f>
        <v>549</v>
      </c>
      <c r="V297" s="1">
        <f ca="1">IFERROR(__xludf.DUMMYFUNCTION("""COMPUTED_VALUE"""),0.337)</f>
        <v>0.33700000000000002</v>
      </c>
      <c r="W297" s="1">
        <f ca="1">IFERROR(__xludf.DUMMYFUNCTION("""COMPUTED_VALUE"""),418)</f>
        <v>418</v>
      </c>
      <c r="X297" s="1">
        <f ca="1">IFERROR(__xludf.DUMMYFUNCTION("""COMPUTED_VALUE"""),622)</f>
        <v>622</v>
      </c>
      <c r="Y297" s="1">
        <f ca="1">IFERROR(__xludf.DUMMYFUNCTION("""COMPUTED_VALUE"""),0.672)</f>
        <v>0.67200000000000004</v>
      </c>
      <c r="Z297" s="1">
        <f ca="1">IFERROR(__xludf.DUMMYFUNCTION("""COMPUTED_VALUE"""),349)</f>
        <v>349</v>
      </c>
      <c r="AA297" s="1">
        <f ca="1">IFERROR(__xludf.DUMMYFUNCTION("""COMPUTED_VALUE"""),952)</f>
        <v>952</v>
      </c>
      <c r="AB297" s="1">
        <f ca="1">IFERROR(__xludf.DUMMYFUNCTION("""COMPUTED_VALUE"""),331)</f>
        <v>331</v>
      </c>
      <c r="AC297" s="1">
        <f ca="1">IFERROR(__xludf.DUMMYFUNCTION("""COMPUTED_VALUE"""),180)</f>
        <v>180</v>
      </c>
      <c r="AD297" s="1">
        <f ca="1">IFERROR(__xludf.DUMMYFUNCTION("""COMPUTED_VALUE"""),88)</f>
        <v>88</v>
      </c>
      <c r="AE297" s="1">
        <f ca="1">IFERROR(__xludf.DUMMYFUNCTION("""COMPUTED_VALUE"""),490)</f>
        <v>490</v>
      </c>
      <c r="AF297" s="1">
        <f ca="1">IFERROR(__xludf.DUMMYFUNCTION("""COMPUTED_VALUE"""),501)</f>
        <v>501</v>
      </c>
    </row>
    <row r="298" spans="1:32" ht="12.5" x14ac:dyDescent="0.25">
      <c r="A298" s="1" t="str">
        <f ca="1">IFERROR(__xludf.DUMMYFUNCTION("""COMPUTED_VALUE"""),"South Alabama")</f>
        <v>South Alabama</v>
      </c>
      <c r="B298" s="1">
        <f ca="1">IFERROR(__xludf.DUMMYFUNCTION("""COMPUTED_VALUE"""),30)</f>
        <v>30</v>
      </c>
      <c r="C298" s="1">
        <f ca="1">IFERROR(__xludf.DUMMYFUNCTION("""COMPUTED_VALUE"""),17)</f>
        <v>17</v>
      </c>
      <c r="D298" s="1">
        <f ca="1">IFERROR(__xludf.DUMMYFUNCTION("""COMPUTED_VALUE"""),13)</f>
        <v>13</v>
      </c>
      <c r="E298" s="1">
        <f ca="1">IFERROR(__xludf.DUMMYFUNCTION("""COMPUTED_VALUE"""),0.567)</f>
        <v>0.56699999999999995</v>
      </c>
      <c r="F298" s="1">
        <f ca="1">IFERROR(__xludf.DUMMYFUNCTION("""COMPUTED_VALUE"""),-2.89)</f>
        <v>-2.89</v>
      </c>
      <c r="G298" s="1">
        <f ca="1">IFERROR(__xludf.DUMMYFUNCTION("""COMPUTED_VALUE"""),-2.96)</f>
        <v>-2.96</v>
      </c>
      <c r="H298" s="1">
        <f ca="1">IFERROR(__xludf.DUMMYFUNCTION("""COMPUTED_VALUE"""),14)</f>
        <v>14</v>
      </c>
      <c r="I298" s="1">
        <f ca="1">IFERROR(__xludf.DUMMYFUNCTION("""COMPUTED_VALUE"""),6)</f>
        <v>6</v>
      </c>
      <c r="J298" s="1">
        <f ca="1">IFERROR(__xludf.DUMMYFUNCTION("""COMPUTED_VALUE"""),10)</f>
        <v>10</v>
      </c>
      <c r="K298" s="1">
        <f ca="1">IFERROR(__xludf.DUMMYFUNCTION("""COMPUTED_VALUE"""),3)</f>
        <v>3</v>
      </c>
      <c r="L298" s="1">
        <f ca="1">IFERROR(__xludf.DUMMYFUNCTION("""COMPUTED_VALUE"""),7)</f>
        <v>7</v>
      </c>
      <c r="M298" s="1">
        <f ca="1">IFERROR(__xludf.DUMMYFUNCTION("""COMPUTED_VALUE"""),7)</f>
        <v>7</v>
      </c>
      <c r="N298" s="1">
        <f ca="1">IFERROR(__xludf.DUMMYFUNCTION("""COMPUTED_VALUE"""),2060)</f>
        <v>2060</v>
      </c>
      <c r="O298" s="1">
        <f ca="1">IFERROR(__xludf.DUMMYFUNCTION("""COMPUTED_VALUE"""),2040)</f>
        <v>2040</v>
      </c>
      <c r="P298" s="1">
        <f ca="1">IFERROR(__xludf.DUMMYFUNCTION("""COMPUTED_VALUE"""),1210)</f>
        <v>1210</v>
      </c>
      <c r="Q298" s="1">
        <f ca="1">IFERROR(__xludf.DUMMYFUNCTION("""COMPUTED_VALUE"""),679)</f>
        <v>679</v>
      </c>
      <c r="R298" s="1">
        <f ca="1">IFERROR(__xludf.DUMMYFUNCTION("""COMPUTED_VALUE"""),1655)</f>
        <v>1655</v>
      </c>
      <c r="S298" s="1">
        <f ca="1">IFERROR(__xludf.DUMMYFUNCTION("""COMPUTED_VALUE"""),0.41)</f>
        <v>0.41</v>
      </c>
      <c r="T298" s="1">
        <f ca="1">IFERROR(__xludf.DUMMYFUNCTION("""COMPUTED_VALUE"""),171)</f>
        <v>171</v>
      </c>
      <c r="U298" s="1">
        <f ca="1">IFERROR(__xludf.DUMMYFUNCTION("""COMPUTED_VALUE"""),528)</f>
        <v>528</v>
      </c>
      <c r="V298" s="1">
        <f ca="1">IFERROR(__xludf.DUMMYFUNCTION("""COMPUTED_VALUE"""),0.324)</f>
        <v>0.32400000000000001</v>
      </c>
      <c r="W298" s="1">
        <f ca="1">IFERROR(__xludf.DUMMYFUNCTION("""COMPUTED_VALUE"""),531)</f>
        <v>531</v>
      </c>
      <c r="X298" s="1">
        <f ca="1">IFERROR(__xludf.DUMMYFUNCTION("""COMPUTED_VALUE"""),741)</f>
        <v>741</v>
      </c>
      <c r="Y298" s="1">
        <f ca="1">IFERROR(__xludf.DUMMYFUNCTION("""COMPUTED_VALUE"""),0.717)</f>
        <v>0.71699999999999997</v>
      </c>
      <c r="Z298" s="1">
        <f ca="1">IFERROR(__xludf.DUMMYFUNCTION("""COMPUTED_VALUE"""),396)</f>
        <v>396</v>
      </c>
      <c r="AA298" s="1">
        <f ca="1">IFERROR(__xludf.DUMMYFUNCTION("""COMPUTED_VALUE"""),1024)</f>
        <v>1024</v>
      </c>
      <c r="AB298" s="1">
        <f ca="1">IFERROR(__xludf.DUMMYFUNCTION("""COMPUTED_VALUE"""),322)</f>
        <v>322</v>
      </c>
      <c r="AC298" s="1">
        <f ca="1">IFERROR(__xludf.DUMMYFUNCTION("""COMPUTED_VALUE"""),199)</f>
        <v>199</v>
      </c>
      <c r="AD298" s="1">
        <f ca="1">IFERROR(__xludf.DUMMYFUNCTION("""COMPUTED_VALUE"""),150)</f>
        <v>150</v>
      </c>
      <c r="AE298" s="1">
        <f ca="1">IFERROR(__xludf.DUMMYFUNCTION("""COMPUTED_VALUE"""),475)</f>
        <v>475</v>
      </c>
      <c r="AF298" s="1">
        <f ca="1">IFERROR(__xludf.DUMMYFUNCTION("""COMPUTED_VALUE"""),563)</f>
        <v>563</v>
      </c>
    </row>
    <row r="299" spans="1:32" ht="12.5" x14ac:dyDescent="0.25">
      <c r="A299" s="1" t="str">
        <f ca="1">IFERROR(__xludf.DUMMYFUNCTION("""COMPUTED_VALUE"""),"South Carolina State")</f>
        <v>South Carolina State</v>
      </c>
      <c r="B299" s="1">
        <f ca="1">IFERROR(__xludf.DUMMYFUNCTION("""COMPUTED_VALUE"""),30)</f>
        <v>30</v>
      </c>
      <c r="C299" s="1">
        <f ca="1">IFERROR(__xludf.DUMMYFUNCTION("""COMPUTED_VALUE"""),6)</f>
        <v>6</v>
      </c>
      <c r="D299" s="1">
        <f ca="1">IFERROR(__xludf.DUMMYFUNCTION("""COMPUTED_VALUE"""),24)</f>
        <v>24</v>
      </c>
      <c r="E299" s="1">
        <f ca="1">IFERROR(__xludf.DUMMYFUNCTION("""COMPUTED_VALUE"""),0.2)</f>
        <v>0.2</v>
      </c>
      <c r="F299" s="1">
        <f ca="1">IFERROR(__xludf.DUMMYFUNCTION("""COMPUTED_VALUE"""),-18.17)</f>
        <v>-18.170000000000002</v>
      </c>
      <c r="G299" s="1">
        <f ca="1">IFERROR(__xludf.DUMMYFUNCTION("""COMPUTED_VALUE"""),-5.1)</f>
        <v>-5.0999999999999996</v>
      </c>
      <c r="H299" s="1">
        <f ca="1">IFERROR(__xludf.DUMMYFUNCTION("""COMPUTED_VALUE"""),2)</f>
        <v>2</v>
      </c>
      <c r="I299" s="1">
        <f ca="1">IFERROR(__xludf.DUMMYFUNCTION("""COMPUTED_VALUE"""),14)</f>
        <v>14</v>
      </c>
      <c r="J299" s="1">
        <f ca="1">IFERROR(__xludf.DUMMYFUNCTION("""COMPUTED_VALUE"""),5)</f>
        <v>5</v>
      </c>
      <c r="K299" s="1">
        <f ca="1">IFERROR(__xludf.DUMMYFUNCTION("""COMPUTED_VALUE"""),8)</f>
        <v>8</v>
      </c>
      <c r="L299" s="1">
        <f ca="1">IFERROR(__xludf.DUMMYFUNCTION("""COMPUTED_VALUE"""),1)</f>
        <v>1</v>
      </c>
      <c r="M299" s="1">
        <f ca="1">IFERROR(__xludf.DUMMYFUNCTION("""COMPUTED_VALUE"""),15)</f>
        <v>15</v>
      </c>
      <c r="N299" s="1">
        <f ca="1">IFERROR(__xludf.DUMMYFUNCTION("""COMPUTED_VALUE"""),1808)</f>
        <v>1808</v>
      </c>
      <c r="O299" s="1">
        <f ca="1">IFERROR(__xludf.DUMMYFUNCTION("""COMPUTED_VALUE"""),2135)</f>
        <v>2135</v>
      </c>
      <c r="P299" s="1">
        <f ca="1">IFERROR(__xludf.DUMMYFUNCTION("""COMPUTED_VALUE"""),1215)</f>
        <v>1215</v>
      </c>
      <c r="Q299" s="1">
        <f ca="1">IFERROR(__xludf.DUMMYFUNCTION("""COMPUTED_VALUE"""),678)</f>
        <v>678</v>
      </c>
      <c r="R299" s="1">
        <f ca="1">IFERROR(__xludf.DUMMYFUNCTION("""COMPUTED_VALUE"""),1731)</f>
        <v>1731</v>
      </c>
      <c r="S299" s="1">
        <f ca="1">IFERROR(__xludf.DUMMYFUNCTION("""COMPUTED_VALUE"""),0.392)</f>
        <v>0.39200000000000002</v>
      </c>
      <c r="T299" s="1">
        <f ca="1">IFERROR(__xludf.DUMMYFUNCTION("""COMPUTED_VALUE"""),137)</f>
        <v>137</v>
      </c>
      <c r="U299" s="1">
        <f ca="1">IFERROR(__xludf.DUMMYFUNCTION("""COMPUTED_VALUE"""),485)</f>
        <v>485</v>
      </c>
      <c r="V299" s="1">
        <f ca="1">IFERROR(__xludf.DUMMYFUNCTION("""COMPUTED_VALUE"""),0.282)</f>
        <v>0.28199999999999997</v>
      </c>
      <c r="W299" s="1">
        <f ca="1">IFERROR(__xludf.DUMMYFUNCTION("""COMPUTED_VALUE"""),315)</f>
        <v>315</v>
      </c>
      <c r="X299" s="1">
        <f ca="1">IFERROR(__xludf.DUMMYFUNCTION("""COMPUTED_VALUE"""),487)</f>
        <v>487</v>
      </c>
      <c r="Y299" s="1">
        <f ca="1">IFERROR(__xludf.DUMMYFUNCTION("""COMPUTED_VALUE"""),0.647)</f>
        <v>0.64700000000000002</v>
      </c>
      <c r="Z299" s="1">
        <f ca="1">IFERROR(__xludf.DUMMYFUNCTION("""COMPUTED_VALUE"""),413)</f>
        <v>413</v>
      </c>
      <c r="AA299" s="1">
        <f ca="1">IFERROR(__xludf.DUMMYFUNCTION("""COMPUTED_VALUE"""),981)</f>
        <v>981</v>
      </c>
      <c r="AB299" s="1">
        <f ca="1">IFERROR(__xludf.DUMMYFUNCTION("""COMPUTED_VALUE"""),363)</f>
        <v>363</v>
      </c>
      <c r="AC299" s="1">
        <f ca="1">IFERROR(__xludf.DUMMYFUNCTION("""COMPUTED_VALUE"""),181)</f>
        <v>181</v>
      </c>
      <c r="AD299" s="1">
        <f ca="1">IFERROR(__xludf.DUMMYFUNCTION("""COMPUTED_VALUE"""),119)</f>
        <v>119</v>
      </c>
      <c r="AE299" s="1">
        <f ca="1">IFERROR(__xludf.DUMMYFUNCTION("""COMPUTED_VALUE"""),449)</f>
        <v>449</v>
      </c>
      <c r="AF299" s="1">
        <f ca="1">IFERROR(__xludf.DUMMYFUNCTION("""COMPUTED_VALUE"""),518)</f>
        <v>518</v>
      </c>
    </row>
    <row r="300" spans="1:32" ht="12.5" x14ac:dyDescent="0.25">
      <c r="A300" s="1" t="str">
        <f ca="1">IFERROR(__xludf.DUMMYFUNCTION("""COMPUTED_VALUE"""),"South Carolina Upstate")</f>
        <v>South Carolina Upstate</v>
      </c>
      <c r="B300" s="1">
        <f ca="1">IFERROR(__xludf.DUMMYFUNCTION("""COMPUTED_VALUE"""),33)</f>
        <v>33</v>
      </c>
      <c r="C300" s="1">
        <f ca="1">IFERROR(__xludf.DUMMYFUNCTION("""COMPUTED_VALUE"""),16)</f>
        <v>16</v>
      </c>
      <c r="D300" s="1">
        <f ca="1">IFERROR(__xludf.DUMMYFUNCTION("""COMPUTED_VALUE"""),17)</f>
        <v>17</v>
      </c>
      <c r="E300" s="1">
        <f ca="1">IFERROR(__xludf.DUMMYFUNCTION("""COMPUTED_VALUE"""),0.485)</f>
        <v>0.48499999999999999</v>
      </c>
      <c r="F300" s="1">
        <f ca="1">IFERROR(__xludf.DUMMYFUNCTION("""COMPUTED_VALUE"""),-3.59)</f>
        <v>-3.59</v>
      </c>
      <c r="G300" s="1">
        <f ca="1">IFERROR(__xludf.DUMMYFUNCTION("""COMPUTED_VALUE"""),-4.79)</f>
        <v>-4.79</v>
      </c>
      <c r="H300" s="1">
        <f ca="1">IFERROR(__xludf.DUMMYFUNCTION("""COMPUTED_VALUE"""),9)</f>
        <v>9</v>
      </c>
      <c r="I300" s="1">
        <f ca="1">IFERROR(__xludf.DUMMYFUNCTION("""COMPUTED_VALUE"""),9)</f>
        <v>9</v>
      </c>
      <c r="J300" s="1">
        <f ca="1">IFERROR(__xludf.DUMMYFUNCTION("""COMPUTED_VALUE"""),9)</f>
        <v>9</v>
      </c>
      <c r="K300" s="1">
        <f ca="1">IFERROR(__xludf.DUMMYFUNCTION("""COMPUTED_VALUE"""),4)</f>
        <v>4</v>
      </c>
      <c r="L300" s="1">
        <f ca="1">IFERROR(__xludf.DUMMYFUNCTION("""COMPUTED_VALUE"""),5)</f>
        <v>5</v>
      </c>
      <c r="M300" s="1">
        <f ca="1">IFERROR(__xludf.DUMMYFUNCTION("""COMPUTED_VALUE"""),11)</f>
        <v>11</v>
      </c>
      <c r="N300" s="1">
        <f ca="1">IFERROR(__xludf.DUMMYFUNCTION("""COMPUTED_VALUE"""),2315)</f>
        <v>2315</v>
      </c>
      <c r="O300" s="1">
        <f ca="1">IFERROR(__xludf.DUMMYFUNCTION("""COMPUTED_VALUE"""),2194)</f>
        <v>2194</v>
      </c>
      <c r="P300" s="1">
        <f ca="1">IFERROR(__xludf.DUMMYFUNCTION("""COMPUTED_VALUE"""),1325)</f>
        <v>1325</v>
      </c>
      <c r="Q300" s="1">
        <f ca="1">IFERROR(__xludf.DUMMYFUNCTION("""COMPUTED_VALUE"""),843)</f>
        <v>843</v>
      </c>
      <c r="R300" s="1">
        <f ca="1">IFERROR(__xludf.DUMMYFUNCTION("""COMPUTED_VALUE"""),1896)</f>
        <v>1896</v>
      </c>
      <c r="S300" s="1">
        <f ca="1">IFERROR(__xludf.DUMMYFUNCTION("""COMPUTED_VALUE"""),0.445)</f>
        <v>0.44500000000000001</v>
      </c>
      <c r="T300" s="1">
        <f ca="1">IFERROR(__xludf.DUMMYFUNCTION("""COMPUTED_VALUE"""),213)</f>
        <v>213</v>
      </c>
      <c r="U300" s="1">
        <f ca="1">IFERROR(__xludf.DUMMYFUNCTION("""COMPUTED_VALUE"""),614)</f>
        <v>614</v>
      </c>
      <c r="V300" s="1">
        <f ca="1">IFERROR(__xludf.DUMMYFUNCTION("""COMPUTED_VALUE"""),0.347)</f>
        <v>0.34699999999999998</v>
      </c>
      <c r="W300" s="1">
        <f ca="1">IFERROR(__xludf.DUMMYFUNCTION("""COMPUTED_VALUE"""),416)</f>
        <v>416</v>
      </c>
      <c r="X300" s="1">
        <f ca="1">IFERROR(__xludf.DUMMYFUNCTION("""COMPUTED_VALUE"""),640)</f>
        <v>640</v>
      </c>
      <c r="Y300" s="1">
        <f ca="1">IFERROR(__xludf.DUMMYFUNCTION("""COMPUTED_VALUE"""),0.65)</f>
        <v>0.65</v>
      </c>
      <c r="Z300" s="1">
        <f ca="1">IFERROR(__xludf.DUMMYFUNCTION("""COMPUTED_VALUE"""),424)</f>
        <v>424</v>
      </c>
      <c r="AA300" s="1">
        <f ca="1">IFERROR(__xludf.DUMMYFUNCTION("""COMPUTED_VALUE"""),1121)</f>
        <v>1121</v>
      </c>
      <c r="AB300" s="1">
        <f ca="1">IFERROR(__xludf.DUMMYFUNCTION("""COMPUTED_VALUE"""),513)</f>
        <v>513</v>
      </c>
      <c r="AC300" s="1">
        <f ca="1">IFERROR(__xludf.DUMMYFUNCTION("""COMPUTED_VALUE"""),233)</f>
        <v>233</v>
      </c>
      <c r="AD300" s="1">
        <f ca="1">IFERROR(__xludf.DUMMYFUNCTION("""COMPUTED_VALUE"""),131)</f>
        <v>131</v>
      </c>
      <c r="AE300" s="1">
        <f ca="1">IFERROR(__xludf.DUMMYFUNCTION("""COMPUTED_VALUE"""),445)</f>
        <v>445</v>
      </c>
      <c r="AF300" s="1">
        <f ca="1">IFERROR(__xludf.DUMMYFUNCTION("""COMPUTED_VALUE"""),547)</f>
        <v>547</v>
      </c>
    </row>
    <row r="301" spans="1:32" ht="12.5" x14ac:dyDescent="0.25">
      <c r="A301" s="1" t="str">
        <f ca="1">IFERROR(__xludf.DUMMYFUNCTION("""COMPUTED_VALUE"""),"South Carolina")</f>
        <v>South Carolina</v>
      </c>
      <c r="B301" s="1">
        <f ca="1">IFERROR(__xludf.DUMMYFUNCTION("""COMPUTED_VALUE"""),32)</f>
        <v>32</v>
      </c>
      <c r="C301" s="1">
        <f ca="1">IFERROR(__xludf.DUMMYFUNCTION("""COMPUTED_VALUE"""),14)</f>
        <v>14</v>
      </c>
      <c r="D301" s="1">
        <f ca="1">IFERROR(__xludf.DUMMYFUNCTION("""COMPUTED_VALUE"""),18)</f>
        <v>18</v>
      </c>
      <c r="E301" s="1">
        <f ca="1">IFERROR(__xludf.DUMMYFUNCTION("""COMPUTED_VALUE"""),0.438)</f>
        <v>0.438</v>
      </c>
      <c r="F301" s="1">
        <f ca="1">IFERROR(__xludf.DUMMYFUNCTION("""COMPUTED_VALUE"""),-0.71)</f>
        <v>-0.71</v>
      </c>
      <c r="G301" s="1">
        <f ca="1">IFERROR(__xludf.DUMMYFUNCTION("""COMPUTED_VALUE"""),2.11)</f>
        <v>2.11</v>
      </c>
      <c r="H301" s="1">
        <f ca="1">IFERROR(__xludf.DUMMYFUNCTION("""COMPUTED_VALUE"""),4)</f>
        <v>4</v>
      </c>
      <c r="I301" s="1">
        <f ca="1">IFERROR(__xludf.DUMMYFUNCTION("""COMPUTED_VALUE"""),14)</f>
        <v>14</v>
      </c>
      <c r="J301" s="1">
        <f ca="1">IFERROR(__xludf.DUMMYFUNCTION("""COMPUTED_VALUE"""),10)</f>
        <v>10</v>
      </c>
      <c r="K301" s="1">
        <f ca="1">IFERROR(__xludf.DUMMYFUNCTION("""COMPUTED_VALUE"""),8)</f>
        <v>8</v>
      </c>
      <c r="L301" s="1">
        <f ca="1">IFERROR(__xludf.DUMMYFUNCTION("""COMPUTED_VALUE"""),1)</f>
        <v>1</v>
      </c>
      <c r="M301" s="1">
        <f ca="1">IFERROR(__xludf.DUMMYFUNCTION("""COMPUTED_VALUE"""),9)</f>
        <v>9</v>
      </c>
      <c r="N301" s="1">
        <f ca="1">IFERROR(__xludf.DUMMYFUNCTION("""COMPUTED_VALUE"""),2115)</f>
        <v>2115</v>
      </c>
      <c r="O301" s="1">
        <f ca="1">IFERROR(__xludf.DUMMYFUNCTION("""COMPUTED_VALUE"""),2205)</f>
        <v>2205</v>
      </c>
      <c r="P301" s="1">
        <f ca="1">IFERROR(__xludf.DUMMYFUNCTION("""COMPUTED_VALUE"""),1300)</f>
        <v>1300</v>
      </c>
      <c r="Q301" s="1">
        <f ca="1">IFERROR(__xludf.DUMMYFUNCTION("""COMPUTED_VALUE"""),743)</f>
        <v>743</v>
      </c>
      <c r="R301" s="1">
        <f ca="1">IFERROR(__xludf.DUMMYFUNCTION("""COMPUTED_VALUE"""),1802)</f>
        <v>1802</v>
      </c>
      <c r="S301" s="1">
        <f ca="1">IFERROR(__xludf.DUMMYFUNCTION("""COMPUTED_VALUE"""),0.412)</f>
        <v>0.41199999999999998</v>
      </c>
      <c r="T301" s="1">
        <f ca="1">IFERROR(__xludf.DUMMYFUNCTION("""COMPUTED_VALUE"""),192)</f>
        <v>192</v>
      </c>
      <c r="U301" s="1">
        <f ca="1">IFERROR(__xludf.DUMMYFUNCTION("""COMPUTED_VALUE"""),598)</f>
        <v>598</v>
      </c>
      <c r="V301" s="1">
        <f ca="1">IFERROR(__xludf.DUMMYFUNCTION("""COMPUTED_VALUE"""),0.321)</f>
        <v>0.32100000000000001</v>
      </c>
      <c r="W301" s="1">
        <f ca="1">IFERROR(__xludf.DUMMYFUNCTION("""COMPUTED_VALUE"""),437)</f>
        <v>437</v>
      </c>
      <c r="X301" s="1">
        <f ca="1">IFERROR(__xludf.DUMMYFUNCTION("""COMPUTED_VALUE"""),635)</f>
        <v>635</v>
      </c>
      <c r="Y301" s="1">
        <f ca="1">IFERROR(__xludf.DUMMYFUNCTION("""COMPUTED_VALUE"""),0.688)</f>
        <v>0.68799999999999994</v>
      </c>
      <c r="Z301" s="1">
        <f ca="1">IFERROR(__xludf.DUMMYFUNCTION("""COMPUTED_VALUE"""),436)</f>
        <v>436</v>
      </c>
      <c r="AA301" s="1">
        <f ca="1">IFERROR(__xludf.DUMMYFUNCTION("""COMPUTED_VALUE"""),1018)</f>
        <v>1018</v>
      </c>
      <c r="AB301" s="1">
        <f ca="1">IFERROR(__xludf.DUMMYFUNCTION("""COMPUTED_VALUE"""),392)</f>
        <v>392</v>
      </c>
      <c r="AC301" s="1">
        <f ca="1">IFERROR(__xludf.DUMMYFUNCTION("""COMPUTED_VALUE"""),164)</f>
        <v>164</v>
      </c>
      <c r="AD301" s="1">
        <f ca="1">IFERROR(__xludf.DUMMYFUNCTION("""COMPUTED_VALUE"""),111)</f>
        <v>111</v>
      </c>
      <c r="AE301" s="1">
        <f ca="1">IFERROR(__xludf.DUMMYFUNCTION("""COMPUTED_VALUE"""),491)</f>
        <v>491</v>
      </c>
      <c r="AF301" s="1">
        <f ca="1">IFERROR(__xludf.DUMMYFUNCTION("""COMPUTED_VALUE"""),641)</f>
        <v>641</v>
      </c>
    </row>
    <row r="302" spans="1:32" ht="12.5" x14ac:dyDescent="0.25">
      <c r="A302" s="1" t="str">
        <f ca="1">IFERROR(__xludf.DUMMYFUNCTION("""COMPUTED_VALUE"""),"South Dakota StateNCAA")</f>
        <v>South Dakota StateNCAA</v>
      </c>
      <c r="B302" s="1">
        <f ca="1">IFERROR(__xludf.DUMMYFUNCTION("""COMPUTED_VALUE"""),35)</f>
        <v>35</v>
      </c>
      <c r="C302" s="1">
        <f ca="1">IFERROR(__xludf.DUMMYFUNCTION("""COMPUTED_VALUE"""),25)</f>
        <v>25</v>
      </c>
      <c r="D302" s="1">
        <f ca="1">IFERROR(__xludf.DUMMYFUNCTION("""COMPUTED_VALUE"""),10)</f>
        <v>10</v>
      </c>
      <c r="E302" s="1">
        <f ca="1">IFERROR(__xludf.DUMMYFUNCTION("""COMPUTED_VALUE"""),0.714)</f>
        <v>0.71399999999999997</v>
      </c>
      <c r="F302" s="1">
        <f ca="1">IFERROR(__xludf.DUMMYFUNCTION("""COMPUTED_VALUE"""),2.36)</f>
        <v>2.36</v>
      </c>
      <c r="G302" s="1">
        <f ca="1">IFERROR(__xludf.DUMMYFUNCTION("""COMPUTED_VALUE"""),-3.27)</f>
        <v>-3.27</v>
      </c>
      <c r="H302" s="1">
        <f ca="1">IFERROR(__xludf.DUMMYFUNCTION("""COMPUTED_VALUE"""),13)</f>
        <v>13</v>
      </c>
      <c r="I302" s="1">
        <f ca="1">IFERROR(__xludf.DUMMYFUNCTION("""COMPUTED_VALUE"""),3)</f>
        <v>3</v>
      </c>
      <c r="J302" s="1">
        <f ca="1">IFERROR(__xludf.DUMMYFUNCTION("""COMPUTED_VALUE"""),13)</f>
        <v>13</v>
      </c>
      <c r="K302" s="1">
        <f ca="1">IFERROR(__xludf.DUMMYFUNCTION("""COMPUTED_VALUE"""),0)</f>
        <v>0</v>
      </c>
      <c r="L302" s="1">
        <f ca="1">IFERROR(__xludf.DUMMYFUNCTION("""COMPUTED_VALUE"""),7)</f>
        <v>7</v>
      </c>
      <c r="M302" s="1">
        <f ca="1">IFERROR(__xludf.DUMMYFUNCTION("""COMPUTED_VALUE"""),9)</f>
        <v>9</v>
      </c>
      <c r="N302" s="1">
        <f ca="1">IFERROR(__xludf.DUMMYFUNCTION("""COMPUTED_VALUE"""),2568)</f>
        <v>2568</v>
      </c>
      <c r="O302" s="1">
        <f ca="1">IFERROR(__xludf.DUMMYFUNCTION("""COMPUTED_VALUE"""),2300)</f>
        <v>2300</v>
      </c>
      <c r="P302" s="1">
        <f ca="1">IFERROR(__xludf.DUMMYFUNCTION("""COMPUTED_VALUE"""),1420)</f>
        <v>1420</v>
      </c>
      <c r="Q302" s="1">
        <f ca="1">IFERROR(__xludf.DUMMYFUNCTION("""COMPUTED_VALUE"""),910)</f>
        <v>910</v>
      </c>
      <c r="R302" s="1">
        <f ca="1">IFERROR(__xludf.DUMMYFUNCTION("""COMPUTED_VALUE"""),1938)</f>
        <v>1938</v>
      </c>
      <c r="S302" s="1">
        <f ca="1">IFERROR(__xludf.DUMMYFUNCTION("""COMPUTED_VALUE"""),0.47)</f>
        <v>0.47</v>
      </c>
      <c r="T302" s="1">
        <f ca="1">IFERROR(__xludf.DUMMYFUNCTION("""COMPUTED_VALUE"""),270)</f>
        <v>270</v>
      </c>
      <c r="U302" s="1">
        <f ca="1">IFERROR(__xludf.DUMMYFUNCTION("""COMPUTED_VALUE"""),694)</f>
        <v>694</v>
      </c>
      <c r="V302" s="1">
        <f ca="1">IFERROR(__xludf.DUMMYFUNCTION("""COMPUTED_VALUE"""),0.389)</f>
        <v>0.38900000000000001</v>
      </c>
      <c r="W302" s="1">
        <f ca="1">IFERROR(__xludf.DUMMYFUNCTION("""COMPUTED_VALUE"""),478)</f>
        <v>478</v>
      </c>
      <c r="X302" s="1">
        <f ca="1">IFERROR(__xludf.DUMMYFUNCTION("""COMPUTED_VALUE"""),627)</f>
        <v>627</v>
      </c>
      <c r="Y302" s="1">
        <f ca="1">IFERROR(__xludf.DUMMYFUNCTION("""COMPUTED_VALUE"""),0.762)</f>
        <v>0.76200000000000001</v>
      </c>
      <c r="Z302" s="1">
        <f ca="1">IFERROR(__xludf.DUMMYFUNCTION("""COMPUTED_VALUE"""),331)</f>
        <v>331</v>
      </c>
      <c r="AA302" s="1">
        <f ca="1">IFERROR(__xludf.DUMMYFUNCTION("""COMPUTED_VALUE"""),1125)</f>
        <v>1125</v>
      </c>
      <c r="AB302" s="1">
        <f ca="1">IFERROR(__xludf.DUMMYFUNCTION("""COMPUTED_VALUE"""),506)</f>
        <v>506</v>
      </c>
      <c r="AC302" s="1">
        <f ca="1">IFERROR(__xludf.DUMMYFUNCTION("""COMPUTED_VALUE"""),175)</f>
        <v>175</v>
      </c>
      <c r="AD302" s="1">
        <f ca="1">IFERROR(__xludf.DUMMYFUNCTION("""COMPUTED_VALUE"""),78)</f>
        <v>78</v>
      </c>
      <c r="AE302" s="1">
        <f ca="1">IFERROR(__xludf.DUMMYFUNCTION("""COMPUTED_VALUE"""),365)</f>
        <v>365</v>
      </c>
      <c r="AF302" s="1">
        <f ca="1">IFERROR(__xludf.DUMMYFUNCTION("""COMPUTED_VALUE"""),492)</f>
        <v>492</v>
      </c>
    </row>
    <row r="303" spans="1:32" ht="12.5" x14ac:dyDescent="0.25">
      <c r="A303" s="1" t="str">
        <f ca="1">IFERROR(__xludf.DUMMYFUNCTION("""COMPUTED_VALUE"""),"South Dakota")</f>
        <v>South Dakota</v>
      </c>
      <c r="B303" s="1">
        <f ca="1">IFERROR(__xludf.DUMMYFUNCTION("""COMPUTED_VALUE"""),30)</f>
        <v>30</v>
      </c>
      <c r="C303" s="1">
        <f ca="1">IFERROR(__xludf.DUMMYFUNCTION("""COMPUTED_VALUE"""),10)</f>
        <v>10</v>
      </c>
      <c r="D303" s="1">
        <f ca="1">IFERROR(__xludf.DUMMYFUNCTION("""COMPUTED_VALUE"""),20)</f>
        <v>20</v>
      </c>
      <c r="E303" s="1">
        <f ca="1">IFERROR(__xludf.DUMMYFUNCTION("""COMPUTED_VALUE"""),0.333)</f>
        <v>0.33300000000000002</v>
      </c>
      <c r="F303" s="1">
        <f ca="1">IFERROR(__xludf.DUMMYFUNCTION("""COMPUTED_VALUE"""),-7.5)</f>
        <v>-7.5</v>
      </c>
      <c r="G303" s="1">
        <f ca="1">IFERROR(__xludf.DUMMYFUNCTION("""COMPUTED_VALUE"""),-2.92)</f>
        <v>-2.92</v>
      </c>
      <c r="H303" s="1">
        <f ca="1">IFERROR(__xludf.DUMMYFUNCTION("""COMPUTED_VALUE"""),5)</f>
        <v>5</v>
      </c>
      <c r="I303" s="1">
        <f ca="1">IFERROR(__xludf.DUMMYFUNCTION("""COMPUTED_VALUE"""),11)</f>
        <v>11</v>
      </c>
      <c r="J303" s="1">
        <f ca="1">IFERROR(__xludf.DUMMYFUNCTION("""COMPUTED_VALUE"""),5)</f>
        <v>5</v>
      </c>
      <c r="K303" s="1">
        <f ca="1">IFERROR(__xludf.DUMMYFUNCTION("""COMPUTED_VALUE"""),7)</f>
        <v>7</v>
      </c>
      <c r="L303" s="1">
        <f ca="1">IFERROR(__xludf.DUMMYFUNCTION("""COMPUTED_VALUE"""),4)</f>
        <v>4</v>
      </c>
      <c r="M303" s="1">
        <f ca="1">IFERROR(__xludf.DUMMYFUNCTION("""COMPUTED_VALUE"""),11)</f>
        <v>11</v>
      </c>
      <c r="N303" s="1">
        <f ca="1">IFERROR(__xludf.DUMMYFUNCTION("""COMPUTED_VALUE"""),2113)</f>
        <v>2113</v>
      </c>
      <c r="O303" s="1">
        <f ca="1">IFERROR(__xludf.DUMMYFUNCTION("""COMPUTED_VALUE"""),2208)</f>
        <v>2208</v>
      </c>
      <c r="P303" s="1">
        <f ca="1">IFERROR(__xludf.DUMMYFUNCTION("""COMPUTED_VALUE"""),1200)</f>
        <v>1200</v>
      </c>
      <c r="Q303" s="1">
        <f ca="1">IFERROR(__xludf.DUMMYFUNCTION("""COMPUTED_VALUE"""),721)</f>
        <v>721</v>
      </c>
      <c r="R303" s="1">
        <f ca="1">IFERROR(__xludf.DUMMYFUNCTION("""COMPUTED_VALUE"""),1607)</f>
        <v>1607</v>
      </c>
      <c r="S303" s="1">
        <f ca="1">IFERROR(__xludf.DUMMYFUNCTION("""COMPUTED_VALUE"""),0.449)</f>
        <v>0.44900000000000001</v>
      </c>
      <c r="T303" s="1">
        <f ca="1">IFERROR(__xludf.DUMMYFUNCTION("""COMPUTED_VALUE"""),208)</f>
        <v>208</v>
      </c>
      <c r="U303" s="1">
        <f ca="1">IFERROR(__xludf.DUMMYFUNCTION("""COMPUTED_VALUE"""),560)</f>
        <v>560</v>
      </c>
      <c r="V303" s="1">
        <f ca="1">IFERROR(__xludf.DUMMYFUNCTION("""COMPUTED_VALUE"""),0.371)</f>
        <v>0.371</v>
      </c>
      <c r="W303" s="1">
        <f ca="1">IFERROR(__xludf.DUMMYFUNCTION("""COMPUTED_VALUE"""),463)</f>
        <v>463</v>
      </c>
      <c r="X303" s="1">
        <f ca="1">IFERROR(__xludf.DUMMYFUNCTION("""COMPUTED_VALUE"""),593)</f>
        <v>593</v>
      </c>
      <c r="Y303" s="1">
        <f ca="1">IFERROR(__xludf.DUMMYFUNCTION("""COMPUTED_VALUE"""),0.781)</f>
        <v>0.78100000000000003</v>
      </c>
      <c r="Z303" s="1">
        <f ca="1">IFERROR(__xludf.DUMMYFUNCTION("""COMPUTED_VALUE"""),234)</f>
        <v>234</v>
      </c>
      <c r="AA303" s="1">
        <f ca="1">IFERROR(__xludf.DUMMYFUNCTION("""COMPUTED_VALUE"""),825)</f>
        <v>825</v>
      </c>
      <c r="AB303" s="1">
        <f ca="1">IFERROR(__xludf.DUMMYFUNCTION("""COMPUTED_VALUE"""),375)</f>
        <v>375</v>
      </c>
      <c r="AC303" s="1">
        <f ca="1">IFERROR(__xludf.DUMMYFUNCTION("""COMPUTED_VALUE"""),184)</f>
        <v>184</v>
      </c>
      <c r="AD303" s="1">
        <f ca="1">IFERROR(__xludf.DUMMYFUNCTION("""COMPUTED_VALUE"""),84)</f>
        <v>84</v>
      </c>
      <c r="AE303" s="1">
        <f ca="1">IFERROR(__xludf.DUMMYFUNCTION("""COMPUTED_VALUE"""),363)</f>
        <v>363</v>
      </c>
      <c r="AF303" s="1">
        <f ca="1">IFERROR(__xludf.DUMMYFUNCTION("""COMPUTED_VALUE"""),437)</f>
        <v>437</v>
      </c>
    </row>
    <row r="304" spans="1:32" ht="12.5" x14ac:dyDescent="0.25">
      <c r="A304" s="1" t="str">
        <f ca="1">IFERROR(__xludf.DUMMYFUNCTION("""COMPUTED_VALUE"""),"South Florida")</f>
        <v>South Florida</v>
      </c>
      <c r="B304" s="1">
        <f ca="1">IFERROR(__xludf.DUMMYFUNCTION("""COMPUTED_VALUE"""),31)</f>
        <v>31</v>
      </c>
      <c r="C304" s="1">
        <f ca="1">IFERROR(__xludf.DUMMYFUNCTION("""COMPUTED_VALUE"""),12)</f>
        <v>12</v>
      </c>
      <c r="D304" s="1">
        <f ca="1">IFERROR(__xludf.DUMMYFUNCTION("""COMPUTED_VALUE"""),19)</f>
        <v>19</v>
      </c>
      <c r="E304" s="1">
        <f ca="1">IFERROR(__xludf.DUMMYFUNCTION("""COMPUTED_VALUE"""),0.387)</f>
        <v>0.38700000000000001</v>
      </c>
      <c r="F304" s="1">
        <f ca="1">IFERROR(__xludf.DUMMYFUNCTION("""COMPUTED_VALUE"""),4.28)</f>
        <v>4.28</v>
      </c>
      <c r="G304" s="1">
        <f ca="1">IFERROR(__xludf.DUMMYFUNCTION("""COMPUTED_VALUE"""),7.7)</f>
        <v>7.7</v>
      </c>
      <c r="H304" s="1">
        <f ca="1">IFERROR(__xludf.DUMMYFUNCTION("""COMPUTED_VALUE"""),3)</f>
        <v>3</v>
      </c>
      <c r="I304" s="1">
        <f ca="1">IFERROR(__xludf.DUMMYFUNCTION("""COMPUTED_VALUE"""),15)</f>
        <v>15</v>
      </c>
      <c r="J304" s="1">
        <f ca="1">IFERROR(__xludf.DUMMYFUNCTION("""COMPUTED_VALUE"""),10)</f>
        <v>10</v>
      </c>
      <c r="K304" s="1">
        <f ca="1">IFERROR(__xludf.DUMMYFUNCTION("""COMPUTED_VALUE"""),8)</f>
        <v>8</v>
      </c>
      <c r="L304" s="1">
        <f ca="1">IFERROR(__xludf.DUMMYFUNCTION("""COMPUTED_VALUE"""),2)</f>
        <v>2</v>
      </c>
      <c r="M304" s="1">
        <f ca="1">IFERROR(__xludf.DUMMYFUNCTION("""COMPUTED_VALUE"""),10)</f>
        <v>10</v>
      </c>
      <c r="N304" s="1">
        <f ca="1">IFERROR(__xludf.DUMMYFUNCTION("""COMPUTED_VALUE"""),1822)</f>
        <v>1822</v>
      </c>
      <c r="O304" s="1">
        <f ca="1">IFERROR(__xludf.DUMMYFUNCTION("""COMPUTED_VALUE"""),1928)</f>
        <v>1928</v>
      </c>
      <c r="P304" s="1">
        <f ca="1">IFERROR(__xludf.DUMMYFUNCTION("""COMPUTED_VALUE"""),1270)</f>
        <v>1270</v>
      </c>
      <c r="Q304" s="1">
        <f ca="1">IFERROR(__xludf.DUMMYFUNCTION("""COMPUTED_VALUE"""),647)</f>
        <v>647</v>
      </c>
      <c r="R304" s="1">
        <f ca="1">IFERROR(__xludf.DUMMYFUNCTION("""COMPUTED_VALUE"""),1665)</f>
        <v>1665</v>
      </c>
      <c r="S304" s="1">
        <f ca="1">IFERROR(__xludf.DUMMYFUNCTION("""COMPUTED_VALUE"""),0.389)</f>
        <v>0.38900000000000001</v>
      </c>
      <c r="T304" s="1">
        <f ca="1">IFERROR(__xludf.DUMMYFUNCTION("""COMPUTED_VALUE"""),190)</f>
        <v>190</v>
      </c>
      <c r="U304" s="1">
        <f ca="1">IFERROR(__xludf.DUMMYFUNCTION("""COMPUTED_VALUE"""),608)</f>
        <v>608</v>
      </c>
      <c r="V304" s="1">
        <f ca="1">IFERROR(__xludf.DUMMYFUNCTION("""COMPUTED_VALUE"""),0.313)</f>
        <v>0.313</v>
      </c>
      <c r="W304" s="1">
        <f ca="1">IFERROR(__xludf.DUMMYFUNCTION("""COMPUTED_VALUE"""),338)</f>
        <v>338</v>
      </c>
      <c r="X304" s="1">
        <f ca="1">IFERROR(__xludf.DUMMYFUNCTION("""COMPUTED_VALUE"""),487)</f>
        <v>487</v>
      </c>
      <c r="Y304" s="1">
        <f ca="1">IFERROR(__xludf.DUMMYFUNCTION("""COMPUTED_VALUE"""),0.694)</f>
        <v>0.69399999999999995</v>
      </c>
      <c r="Z304" s="1">
        <f ca="1">IFERROR(__xludf.DUMMYFUNCTION("""COMPUTED_VALUE"""),331)</f>
        <v>331</v>
      </c>
      <c r="AA304" s="1">
        <f ca="1">IFERROR(__xludf.DUMMYFUNCTION("""COMPUTED_VALUE"""),911)</f>
        <v>911</v>
      </c>
      <c r="AB304" s="1">
        <f ca="1">IFERROR(__xludf.DUMMYFUNCTION("""COMPUTED_VALUE"""),351)</f>
        <v>351</v>
      </c>
      <c r="AC304" s="1">
        <f ca="1">IFERROR(__xludf.DUMMYFUNCTION("""COMPUTED_VALUE"""),193)</f>
        <v>193</v>
      </c>
      <c r="AD304" s="1">
        <f ca="1">IFERROR(__xludf.DUMMYFUNCTION("""COMPUTED_VALUE"""),104)</f>
        <v>104</v>
      </c>
      <c r="AE304" s="1">
        <f ca="1">IFERROR(__xludf.DUMMYFUNCTION("""COMPUTED_VALUE"""),338)</f>
        <v>338</v>
      </c>
      <c r="AF304" s="1">
        <f ca="1">IFERROR(__xludf.DUMMYFUNCTION("""COMPUTED_VALUE"""),483)</f>
        <v>483</v>
      </c>
    </row>
    <row r="305" spans="1:32" ht="12.5" x14ac:dyDescent="0.25">
      <c r="A305" s="1" t="str">
        <f ca="1">IFERROR(__xludf.DUMMYFUNCTION("""COMPUTED_VALUE"""),"Southeast Missouri State")</f>
        <v>Southeast Missouri State</v>
      </c>
      <c r="B305" s="1">
        <f ca="1">IFERROR(__xludf.DUMMYFUNCTION("""COMPUTED_VALUE"""),33)</f>
        <v>33</v>
      </c>
      <c r="C305" s="1">
        <f ca="1">IFERROR(__xludf.DUMMYFUNCTION("""COMPUTED_VALUE"""),17)</f>
        <v>17</v>
      </c>
      <c r="D305" s="1">
        <f ca="1">IFERROR(__xludf.DUMMYFUNCTION("""COMPUTED_VALUE"""),16)</f>
        <v>16</v>
      </c>
      <c r="E305" s="1">
        <f ca="1">IFERROR(__xludf.DUMMYFUNCTION("""COMPUTED_VALUE"""),0.515)</f>
        <v>0.51500000000000001</v>
      </c>
      <c r="F305" s="1">
        <f ca="1">IFERROR(__xludf.DUMMYFUNCTION("""COMPUTED_VALUE"""),-5.51)</f>
        <v>-5.51</v>
      </c>
      <c r="G305" s="1">
        <f ca="1">IFERROR(__xludf.DUMMYFUNCTION("""COMPUTED_VALUE"""),-6.06)</f>
        <v>-6.06</v>
      </c>
      <c r="H305" s="1">
        <f ca="1">IFERROR(__xludf.DUMMYFUNCTION("""COMPUTED_VALUE"""),8)</f>
        <v>8</v>
      </c>
      <c r="I305" s="1">
        <f ca="1">IFERROR(__xludf.DUMMYFUNCTION("""COMPUTED_VALUE"""),8)</f>
        <v>8</v>
      </c>
      <c r="J305" s="1">
        <f ca="1">IFERROR(__xludf.DUMMYFUNCTION("""COMPUTED_VALUE"""),9)</f>
        <v>9</v>
      </c>
      <c r="K305" s="1">
        <f ca="1">IFERROR(__xludf.DUMMYFUNCTION("""COMPUTED_VALUE"""),5)</f>
        <v>5</v>
      </c>
      <c r="L305" s="1">
        <f ca="1">IFERROR(__xludf.DUMMYFUNCTION("""COMPUTED_VALUE"""),7)</f>
        <v>7</v>
      </c>
      <c r="M305" s="1">
        <f ca="1">IFERROR(__xludf.DUMMYFUNCTION("""COMPUTED_VALUE"""),8)</f>
        <v>8</v>
      </c>
      <c r="N305" s="1">
        <f ca="1">IFERROR(__xludf.DUMMYFUNCTION("""COMPUTED_VALUE"""),2446)</f>
        <v>2446</v>
      </c>
      <c r="O305" s="1">
        <f ca="1">IFERROR(__xludf.DUMMYFUNCTION("""COMPUTED_VALUE"""),2360)</f>
        <v>2360</v>
      </c>
      <c r="P305" s="1">
        <f ca="1">IFERROR(__xludf.DUMMYFUNCTION("""COMPUTED_VALUE"""),1325)</f>
        <v>1325</v>
      </c>
      <c r="Q305" s="1">
        <f ca="1">IFERROR(__xludf.DUMMYFUNCTION("""COMPUTED_VALUE"""),880)</f>
        <v>880</v>
      </c>
      <c r="R305" s="1">
        <f ca="1">IFERROR(__xludf.DUMMYFUNCTION("""COMPUTED_VALUE"""),1876)</f>
        <v>1876</v>
      </c>
      <c r="S305" s="1">
        <f ca="1">IFERROR(__xludf.DUMMYFUNCTION("""COMPUTED_VALUE"""),0.469)</f>
        <v>0.46899999999999997</v>
      </c>
      <c r="T305" s="1">
        <f ca="1">IFERROR(__xludf.DUMMYFUNCTION("""COMPUTED_VALUE"""),256)</f>
        <v>256</v>
      </c>
      <c r="U305" s="1">
        <f ca="1">IFERROR(__xludf.DUMMYFUNCTION("""COMPUTED_VALUE"""),644)</f>
        <v>644</v>
      </c>
      <c r="V305" s="1">
        <f ca="1">IFERROR(__xludf.DUMMYFUNCTION("""COMPUTED_VALUE"""),0.398)</f>
        <v>0.39800000000000002</v>
      </c>
      <c r="W305" s="1">
        <f ca="1">IFERROR(__xludf.DUMMYFUNCTION("""COMPUTED_VALUE"""),430)</f>
        <v>430</v>
      </c>
      <c r="X305" s="1">
        <f ca="1">IFERROR(__xludf.DUMMYFUNCTION("""COMPUTED_VALUE"""),614)</f>
        <v>614</v>
      </c>
      <c r="Y305" s="1">
        <f ca="1">IFERROR(__xludf.DUMMYFUNCTION("""COMPUTED_VALUE"""),0.7)</f>
        <v>0.7</v>
      </c>
      <c r="Z305" s="1">
        <f ca="1">IFERROR(__xludf.DUMMYFUNCTION("""COMPUTED_VALUE"""),308)</f>
        <v>308</v>
      </c>
      <c r="AA305" s="1">
        <f ca="1">IFERROR(__xludf.DUMMYFUNCTION("""COMPUTED_VALUE"""),1113)</f>
        <v>1113</v>
      </c>
      <c r="AB305" s="1">
        <f ca="1">IFERROR(__xludf.DUMMYFUNCTION("""COMPUTED_VALUE"""),522)</f>
        <v>522</v>
      </c>
      <c r="AC305" s="1">
        <f ca="1">IFERROR(__xludf.DUMMYFUNCTION("""COMPUTED_VALUE"""),173)</f>
        <v>173</v>
      </c>
      <c r="AD305" s="1">
        <f ca="1">IFERROR(__xludf.DUMMYFUNCTION("""COMPUTED_VALUE"""),159)</f>
        <v>159</v>
      </c>
      <c r="AE305" s="1">
        <f ca="1">IFERROR(__xludf.DUMMYFUNCTION("""COMPUTED_VALUE"""),423)</f>
        <v>423</v>
      </c>
      <c r="AF305" s="1">
        <f ca="1">IFERROR(__xludf.DUMMYFUNCTION("""COMPUTED_VALUE"""),605)</f>
        <v>605</v>
      </c>
    </row>
    <row r="306" spans="1:32" ht="12.5" x14ac:dyDescent="0.25">
      <c r="A306" s="1" t="str">
        <f ca="1">IFERROR(__xludf.DUMMYFUNCTION("""COMPUTED_VALUE"""),"Southeastern Louisiana")</f>
        <v>Southeastern Louisiana</v>
      </c>
      <c r="B306" s="1">
        <f ca="1">IFERROR(__xludf.DUMMYFUNCTION("""COMPUTED_VALUE"""),31)</f>
        <v>31</v>
      </c>
      <c r="C306" s="1">
        <f ca="1">IFERROR(__xludf.DUMMYFUNCTION("""COMPUTED_VALUE"""),13)</f>
        <v>13</v>
      </c>
      <c r="D306" s="1">
        <f ca="1">IFERROR(__xludf.DUMMYFUNCTION("""COMPUTED_VALUE"""),18)</f>
        <v>18</v>
      </c>
      <c r="E306" s="1">
        <f ca="1">IFERROR(__xludf.DUMMYFUNCTION("""COMPUTED_VALUE"""),0.419)</f>
        <v>0.41899999999999998</v>
      </c>
      <c r="F306" s="1">
        <f ca="1">IFERROR(__xludf.DUMMYFUNCTION("""COMPUTED_VALUE"""),-10.65)</f>
        <v>-10.65</v>
      </c>
      <c r="G306" s="1">
        <f ca="1">IFERROR(__xludf.DUMMYFUNCTION("""COMPUTED_VALUE"""),-3.76)</f>
        <v>-3.76</v>
      </c>
      <c r="H306" s="1">
        <f ca="1">IFERROR(__xludf.DUMMYFUNCTION("""COMPUTED_VALUE"""),10)</f>
        <v>10</v>
      </c>
      <c r="I306" s="1">
        <f ca="1">IFERROR(__xludf.DUMMYFUNCTION("""COMPUTED_VALUE"""),8)</f>
        <v>8</v>
      </c>
      <c r="J306" s="1">
        <f ca="1">IFERROR(__xludf.DUMMYFUNCTION("""COMPUTED_VALUE"""),9)</f>
        <v>9</v>
      </c>
      <c r="K306" s="1">
        <f ca="1">IFERROR(__xludf.DUMMYFUNCTION("""COMPUTED_VALUE"""),3)</f>
        <v>3</v>
      </c>
      <c r="L306" s="1">
        <f ca="1">IFERROR(__xludf.DUMMYFUNCTION("""COMPUTED_VALUE"""),3)</f>
        <v>3</v>
      </c>
      <c r="M306" s="1">
        <f ca="1">IFERROR(__xludf.DUMMYFUNCTION("""COMPUTED_VALUE"""),14)</f>
        <v>14</v>
      </c>
      <c r="N306" s="1">
        <f ca="1">IFERROR(__xludf.DUMMYFUNCTION("""COMPUTED_VALUE"""),1965)</f>
        <v>1965</v>
      </c>
      <c r="O306" s="1">
        <f ca="1">IFERROR(__xludf.DUMMYFUNCTION("""COMPUTED_VALUE"""),2113)</f>
        <v>2113</v>
      </c>
      <c r="P306" s="1">
        <f ca="1">IFERROR(__xludf.DUMMYFUNCTION("""COMPUTED_VALUE"""),1245)</f>
        <v>1245</v>
      </c>
      <c r="Q306" s="1">
        <f ca="1">IFERROR(__xludf.DUMMYFUNCTION("""COMPUTED_VALUE"""),690)</f>
        <v>690</v>
      </c>
      <c r="R306" s="1">
        <f ca="1">IFERROR(__xludf.DUMMYFUNCTION("""COMPUTED_VALUE"""),1686)</f>
        <v>1686</v>
      </c>
      <c r="S306" s="1">
        <f ca="1">IFERROR(__xludf.DUMMYFUNCTION("""COMPUTED_VALUE"""),0.409)</f>
        <v>0.40899999999999997</v>
      </c>
      <c r="T306" s="1">
        <f ca="1">IFERROR(__xludf.DUMMYFUNCTION("""COMPUTED_VALUE"""),183)</f>
        <v>183</v>
      </c>
      <c r="U306" s="1">
        <f ca="1">IFERROR(__xludf.DUMMYFUNCTION("""COMPUTED_VALUE"""),512)</f>
        <v>512</v>
      </c>
      <c r="V306" s="1">
        <f ca="1">IFERROR(__xludf.DUMMYFUNCTION("""COMPUTED_VALUE"""),0.357)</f>
        <v>0.35699999999999998</v>
      </c>
      <c r="W306" s="1">
        <f ca="1">IFERROR(__xludf.DUMMYFUNCTION("""COMPUTED_VALUE"""),402)</f>
        <v>402</v>
      </c>
      <c r="X306" s="1">
        <f ca="1">IFERROR(__xludf.DUMMYFUNCTION("""COMPUTED_VALUE"""),607)</f>
        <v>607</v>
      </c>
      <c r="Y306" s="1">
        <f ca="1">IFERROR(__xludf.DUMMYFUNCTION("""COMPUTED_VALUE"""),0.662)</f>
        <v>0.66200000000000003</v>
      </c>
      <c r="Z306" s="1">
        <f ca="1">IFERROR(__xludf.DUMMYFUNCTION("""COMPUTED_VALUE"""),300)</f>
        <v>300</v>
      </c>
      <c r="AA306" s="1">
        <f ca="1">IFERROR(__xludf.DUMMYFUNCTION("""COMPUTED_VALUE"""),932)</f>
        <v>932</v>
      </c>
      <c r="AB306" s="1">
        <f ca="1">IFERROR(__xludf.DUMMYFUNCTION("""COMPUTED_VALUE"""),303)</f>
        <v>303</v>
      </c>
      <c r="AC306" s="1">
        <f ca="1">IFERROR(__xludf.DUMMYFUNCTION("""COMPUTED_VALUE"""),147)</f>
        <v>147</v>
      </c>
      <c r="AD306" s="1">
        <f ca="1">IFERROR(__xludf.DUMMYFUNCTION("""COMPUTED_VALUE"""),93)</f>
        <v>93</v>
      </c>
      <c r="AE306" s="1">
        <f ca="1">IFERROR(__xludf.DUMMYFUNCTION("""COMPUTED_VALUE"""),398)</f>
        <v>398</v>
      </c>
      <c r="AF306" s="1">
        <f ca="1">IFERROR(__xludf.DUMMYFUNCTION("""COMPUTED_VALUE"""),591)</f>
        <v>591</v>
      </c>
    </row>
    <row r="307" spans="1:32" ht="12.5" x14ac:dyDescent="0.25">
      <c r="A307" s="1" t="str">
        <f ca="1">IFERROR(__xludf.DUMMYFUNCTION("""COMPUTED_VALUE"""),"Southern California")</f>
        <v>Southern California</v>
      </c>
      <c r="B307" s="1">
        <f ca="1">IFERROR(__xludf.DUMMYFUNCTION("""COMPUTED_VALUE"""),32)</f>
        <v>32</v>
      </c>
      <c r="C307" s="1">
        <f ca="1">IFERROR(__xludf.DUMMYFUNCTION("""COMPUTED_VALUE"""),14)</f>
        <v>14</v>
      </c>
      <c r="D307" s="1">
        <f ca="1">IFERROR(__xludf.DUMMYFUNCTION("""COMPUTED_VALUE"""),18)</f>
        <v>18</v>
      </c>
      <c r="E307" s="1">
        <f ca="1">IFERROR(__xludf.DUMMYFUNCTION("""COMPUTED_VALUE"""),0.438)</f>
        <v>0.438</v>
      </c>
      <c r="F307" s="1">
        <f ca="1">IFERROR(__xludf.DUMMYFUNCTION("""COMPUTED_VALUE"""),6.31)</f>
        <v>6.31</v>
      </c>
      <c r="G307" s="1">
        <f ca="1">IFERROR(__xludf.DUMMYFUNCTION("""COMPUTED_VALUE"""),8.25)</f>
        <v>8.25</v>
      </c>
      <c r="H307" s="1">
        <f ca="1">IFERROR(__xludf.DUMMYFUNCTION("""COMPUTED_VALUE"""),9)</f>
        <v>9</v>
      </c>
      <c r="I307" s="1">
        <f ca="1">IFERROR(__xludf.DUMMYFUNCTION("""COMPUTED_VALUE"""),9)</f>
        <v>9</v>
      </c>
      <c r="J307" s="1">
        <f ca="1">IFERROR(__xludf.DUMMYFUNCTION("""COMPUTED_VALUE"""),10)</f>
        <v>10</v>
      </c>
      <c r="K307" s="1">
        <f ca="1">IFERROR(__xludf.DUMMYFUNCTION("""COMPUTED_VALUE"""),6)</f>
        <v>6</v>
      </c>
      <c r="L307" s="1">
        <f ca="1">IFERROR(__xludf.DUMMYFUNCTION("""COMPUTED_VALUE"""),3)</f>
        <v>3</v>
      </c>
      <c r="M307" s="1">
        <f ca="1">IFERROR(__xludf.DUMMYFUNCTION("""COMPUTED_VALUE"""),9)</f>
        <v>9</v>
      </c>
      <c r="N307" s="1">
        <f ca="1">IFERROR(__xludf.DUMMYFUNCTION("""COMPUTED_VALUE"""),2101)</f>
        <v>2101</v>
      </c>
      <c r="O307" s="1">
        <f ca="1">IFERROR(__xludf.DUMMYFUNCTION("""COMPUTED_VALUE"""),2163)</f>
        <v>2163</v>
      </c>
      <c r="P307" s="1">
        <f ca="1">IFERROR(__xludf.DUMMYFUNCTION("""COMPUTED_VALUE"""),1300)</f>
        <v>1300</v>
      </c>
      <c r="Q307" s="1">
        <f ca="1">IFERROR(__xludf.DUMMYFUNCTION("""COMPUTED_VALUE"""),778)</f>
        <v>778</v>
      </c>
      <c r="R307" s="1">
        <f ca="1">IFERROR(__xludf.DUMMYFUNCTION("""COMPUTED_VALUE"""),1826)</f>
        <v>1826</v>
      </c>
      <c r="S307" s="1">
        <f ca="1">IFERROR(__xludf.DUMMYFUNCTION("""COMPUTED_VALUE"""),0.426)</f>
        <v>0.42599999999999999</v>
      </c>
      <c r="T307" s="1">
        <f ca="1">IFERROR(__xludf.DUMMYFUNCTION("""COMPUTED_VALUE"""),166)</f>
        <v>166</v>
      </c>
      <c r="U307" s="1">
        <f ca="1">IFERROR(__xludf.DUMMYFUNCTION("""COMPUTED_VALUE"""),486)</f>
        <v>486</v>
      </c>
      <c r="V307" s="1">
        <f ca="1">IFERROR(__xludf.DUMMYFUNCTION("""COMPUTED_VALUE"""),0.342)</f>
        <v>0.34200000000000003</v>
      </c>
      <c r="W307" s="1">
        <f ca="1">IFERROR(__xludf.DUMMYFUNCTION("""COMPUTED_VALUE"""),379)</f>
        <v>379</v>
      </c>
      <c r="X307" s="1">
        <f ca="1">IFERROR(__xludf.DUMMYFUNCTION("""COMPUTED_VALUE"""),547)</f>
        <v>547</v>
      </c>
      <c r="Y307" s="1">
        <f ca="1">IFERROR(__xludf.DUMMYFUNCTION("""COMPUTED_VALUE"""),0.693)</f>
        <v>0.69299999999999995</v>
      </c>
      <c r="Z307" s="1">
        <f ca="1">IFERROR(__xludf.DUMMYFUNCTION("""COMPUTED_VALUE"""),328)</f>
        <v>328</v>
      </c>
      <c r="AA307" s="1">
        <f ca="1">IFERROR(__xludf.DUMMYFUNCTION("""COMPUTED_VALUE"""),1024)</f>
        <v>1024</v>
      </c>
      <c r="AB307" s="1">
        <f ca="1">IFERROR(__xludf.DUMMYFUNCTION("""COMPUTED_VALUE"""),403)</f>
        <v>403</v>
      </c>
      <c r="AC307" s="1">
        <f ca="1">IFERROR(__xludf.DUMMYFUNCTION("""COMPUTED_VALUE"""),181)</f>
        <v>181</v>
      </c>
      <c r="AD307" s="1">
        <f ca="1">IFERROR(__xludf.DUMMYFUNCTION("""COMPUTED_VALUE"""),162)</f>
        <v>162</v>
      </c>
      <c r="AE307" s="1">
        <f ca="1">IFERROR(__xludf.DUMMYFUNCTION("""COMPUTED_VALUE"""),426)</f>
        <v>426</v>
      </c>
      <c r="AF307" s="1">
        <f ca="1">IFERROR(__xludf.DUMMYFUNCTION("""COMPUTED_VALUE"""),580)</f>
        <v>580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IFERROR(__xludf.DUMMYFUNCTION("""COMPUTED_VALUE"""),"SIU Edwardsville")</f>
        <v>SIU Edwardsville</v>
      </c>
      <c r="B310" s="1">
        <f ca="1">IFERROR(__xludf.DUMMYFUNCTION("""COMPUTED_VALUE"""),27)</f>
        <v>27</v>
      </c>
      <c r="C310" s="1">
        <f ca="1">IFERROR(__xludf.DUMMYFUNCTION("""COMPUTED_VALUE"""),9)</f>
        <v>9</v>
      </c>
      <c r="D310" s="1">
        <f ca="1">IFERROR(__xludf.DUMMYFUNCTION("""COMPUTED_VALUE"""),18)</f>
        <v>18</v>
      </c>
      <c r="E310" s="1">
        <f ca="1">IFERROR(__xludf.DUMMYFUNCTION("""COMPUTED_VALUE"""),0.333)</f>
        <v>0.33300000000000002</v>
      </c>
      <c r="F310" s="1">
        <f ca="1">IFERROR(__xludf.DUMMYFUNCTION("""COMPUTED_VALUE"""),-11.19)</f>
        <v>-11.19</v>
      </c>
      <c r="G310" s="1">
        <f ca="1">IFERROR(__xludf.DUMMYFUNCTION("""COMPUTED_VALUE"""),-4.67)</f>
        <v>-4.67</v>
      </c>
      <c r="H310" s="1">
        <f ca="1">IFERROR(__xludf.DUMMYFUNCTION("""COMPUTED_VALUE"""),5)</f>
        <v>5</v>
      </c>
      <c r="I310" s="1">
        <f ca="1">IFERROR(__xludf.DUMMYFUNCTION("""COMPUTED_VALUE"""),11)</f>
        <v>11</v>
      </c>
      <c r="J310" s="1">
        <f ca="1">IFERROR(__xludf.DUMMYFUNCTION("""COMPUTED_VALUE"""),8)</f>
        <v>8</v>
      </c>
      <c r="K310" s="1">
        <f ca="1">IFERROR(__xludf.DUMMYFUNCTION("""COMPUTED_VALUE"""),5)</f>
        <v>5</v>
      </c>
      <c r="L310" s="1">
        <f ca="1">IFERROR(__xludf.DUMMYFUNCTION("""COMPUTED_VALUE"""),1)</f>
        <v>1</v>
      </c>
      <c r="M310" s="1">
        <f ca="1">IFERROR(__xludf.DUMMYFUNCTION("""COMPUTED_VALUE"""),13)</f>
        <v>13</v>
      </c>
      <c r="N310" s="1">
        <f ca="1">IFERROR(__xludf.DUMMYFUNCTION("""COMPUTED_VALUE"""),1699)</f>
        <v>1699</v>
      </c>
      <c r="O310" s="1">
        <f ca="1">IFERROR(__xludf.DUMMYFUNCTION("""COMPUTED_VALUE"""),1827)</f>
        <v>1827</v>
      </c>
      <c r="P310" s="1">
        <f ca="1">IFERROR(__xludf.DUMMYFUNCTION("""COMPUTED_VALUE"""),1080)</f>
        <v>1080</v>
      </c>
      <c r="Q310" s="1">
        <f ca="1">IFERROR(__xludf.DUMMYFUNCTION("""COMPUTED_VALUE"""),609)</f>
        <v>609</v>
      </c>
      <c r="R310" s="1">
        <f ca="1">IFERROR(__xludf.DUMMYFUNCTION("""COMPUTED_VALUE"""),1428)</f>
        <v>1428</v>
      </c>
      <c r="S310" s="1">
        <f ca="1">IFERROR(__xludf.DUMMYFUNCTION("""COMPUTED_VALUE"""),0.426)</f>
        <v>0.42599999999999999</v>
      </c>
      <c r="T310" s="1">
        <f ca="1">IFERROR(__xludf.DUMMYFUNCTION("""COMPUTED_VALUE"""),159)</f>
        <v>159</v>
      </c>
      <c r="U310" s="1">
        <f ca="1">IFERROR(__xludf.DUMMYFUNCTION("""COMPUTED_VALUE"""),438)</f>
        <v>438</v>
      </c>
      <c r="V310" s="1">
        <f ca="1">IFERROR(__xludf.DUMMYFUNCTION("""COMPUTED_VALUE"""),0.363)</f>
        <v>0.36299999999999999</v>
      </c>
      <c r="W310" s="1">
        <f ca="1">IFERROR(__xludf.DUMMYFUNCTION("""COMPUTED_VALUE"""),322)</f>
        <v>322</v>
      </c>
      <c r="X310" s="1">
        <f ca="1">IFERROR(__xludf.DUMMYFUNCTION("""COMPUTED_VALUE"""),481)</f>
        <v>481</v>
      </c>
      <c r="Y310" s="1">
        <f ca="1">IFERROR(__xludf.DUMMYFUNCTION("""COMPUTED_VALUE"""),0.669)</f>
        <v>0.66900000000000004</v>
      </c>
      <c r="Z310" s="1">
        <f ca="1">IFERROR(__xludf.DUMMYFUNCTION("""COMPUTED_VALUE"""),260)</f>
        <v>260</v>
      </c>
      <c r="AA310" s="1">
        <f ca="1">IFERROR(__xludf.DUMMYFUNCTION("""COMPUTED_VALUE"""),772)</f>
        <v>772</v>
      </c>
      <c r="AB310" s="1">
        <f ca="1">IFERROR(__xludf.DUMMYFUNCTION("""COMPUTED_VALUE"""),340)</f>
        <v>340</v>
      </c>
      <c r="AC310" s="1">
        <f ca="1">IFERROR(__xludf.DUMMYFUNCTION("""COMPUTED_VALUE"""),148)</f>
        <v>148</v>
      </c>
      <c r="AD310" s="1">
        <f ca="1">IFERROR(__xludf.DUMMYFUNCTION("""COMPUTED_VALUE"""),58)</f>
        <v>58</v>
      </c>
      <c r="AE310" s="1">
        <f ca="1">IFERROR(__xludf.DUMMYFUNCTION("""COMPUTED_VALUE"""),388)</f>
        <v>388</v>
      </c>
      <c r="AF310" s="1">
        <f ca="1">IFERROR(__xludf.DUMMYFUNCTION("""COMPUTED_VALUE"""),478)</f>
        <v>478</v>
      </c>
    </row>
    <row r="311" spans="1:32" ht="12.5" x14ac:dyDescent="0.25">
      <c r="A311" s="1" t="str">
        <f ca="1">IFERROR(__xludf.DUMMYFUNCTION("""COMPUTED_VALUE"""),"Southern Illinois")</f>
        <v>Southern Illinois</v>
      </c>
      <c r="B311" s="1">
        <f ca="1">IFERROR(__xludf.DUMMYFUNCTION("""COMPUTED_VALUE"""),31)</f>
        <v>31</v>
      </c>
      <c r="C311" s="1">
        <f ca="1">IFERROR(__xludf.DUMMYFUNCTION("""COMPUTED_VALUE"""),14)</f>
        <v>14</v>
      </c>
      <c r="D311" s="1">
        <f ca="1">IFERROR(__xludf.DUMMYFUNCTION("""COMPUTED_VALUE"""),17)</f>
        <v>17</v>
      </c>
      <c r="E311" s="1">
        <f ca="1">IFERROR(__xludf.DUMMYFUNCTION("""COMPUTED_VALUE"""),0.452)</f>
        <v>0.45200000000000001</v>
      </c>
      <c r="F311" s="1">
        <f ca="1">IFERROR(__xludf.DUMMYFUNCTION("""COMPUTED_VALUE"""),-0.82)</f>
        <v>-0.82</v>
      </c>
      <c r="G311" s="1">
        <f ca="1">IFERROR(__xludf.DUMMYFUNCTION("""COMPUTED_VALUE"""),2.28)</f>
        <v>2.2799999999999998</v>
      </c>
      <c r="H311" s="1">
        <f ca="1">IFERROR(__xludf.DUMMYFUNCTION("""COMPUTED_VALUE"""),6)</f>
        <v>6</v>
      </c>
      <c r="I311" s="1">
        <f ca="1">IFERROR(__xludf.DUMMYFUNCTION("""COMPUTED_VALUE"""),12)</f>
        <v>12</v>
      </c>
      <c r="J311" s="1">
        <f ca="1">IFERROR(__xludf.DUMMYFUNCTION("""COMPUTED_VALUE"""),9)</f>
        <v>9</v>
      </c>
      <c r="K311" s="1">
        <f ca="1">IFERROR(__xludf.DUMMYFUNCTION("""COMPUTED_VALUE"""),4)</f>
        <v>4</v>
      </c>
      <c r="L311" s="1">
        <f ca="1">IFERROR(__xludf.DUMMYFUNCTION("""COMPUTED_VALUE"""),4)</f>
        <v>4</v>
      </c>
      <c r="M311" s="1">
        <f ca="1">IFERROR(__xludf.DUMMYFUNCTION("""COMPUTED_VALUE"""),11)</f>
        <v>11</v>
      </c>
      <c r="N311" s="1">
        <f ca="1">IFERROR(__xludf.DUMMYFUNCTION("""COMPUTED_VALUE"""),1964)</f>
        <v>1964</v>
      </c>
      <c r="O311" s="1">
        <f ca="1">IFERROR(__xludf.DUMMYFUNCTION("""COMPUTED_VALUE"""),2019)</f>
        <v>2019</v>
      </c>
      <c r="P311" s="1">
        <f ca="1">IFERROR(__xludf.DUMMYFUNCTION("""COMPUTED_VALUE"""),1245)</f>
        <v>1245</v>
      </c>
      <c r="Q311" s="1">
        <f ca="1">IFERROR(__xludf.DUMMYFUNCTION("""COMPUTED_VALUE"""),733)</f>
        <v>733</v>
      </c>
      <c r="R311" s="1">
        <f ca="1">IFERROR(__xludf.DUMMYFUNCTION("""COMPUTED_VALUE"""),1645)</f>
        <v>1645</v>
      </c>
      <c r="S311" s="1">
        <f ca="1">IFERROR(__xludf.DUMMYFUNCTION("""COMPUTED_VALUE"""),0.446)</f>
        <v>0.44600000000000001</v>
      </c>
      <c r="T311" s="1">
        <f ca="1">IFERROR(__xludf.DUMMYFUNCTION("""COMPUTED_VALUE"""),139)</f>
        <v>139</v>
      </c>
      <c r="U311" s="1">
        <f ca="1">IFERROR(__xludf.DUMMYFUNCTION("""COMPUTED_VALUE"""),434)</f>
        <v>434</v>
      </c>
      <c r="V311" s="1">
        <f ca="1">IFERROR(__xludf.DUMMYFUNCTION("""COMPUTED_VALUE"""),0.32)</f>
        <v>0.32</v>
      </c>
      <c r="W311" s="1">
        <f ca="1">IFERROR(__xludf.DUMMYFUNCTION("""COMPUTED_VALUE"""),359)</f>
        <v>359</v>
      </c>
      <c r="X311" s="1">
        <f ca="1">IFERROR(__xludf.DUMMYFUNCTION("""COMPUTED_VALUE"""),559)</f>
        <v>559</v>
      </c>
      <c r="Y311" s="1">
        <f ca="1">IFERROR(__xludf.DUMMYFUNCTION("""COMPUTED_VALUE"""),0.642)</f>
        <v>0.64200000000000002</v>
      </c>
      <c r="Z311" s="1">
        <f ca="1">IFERROR(__xludf.DUMMYFUNCTION("""COMPUTED_VALUE"""),325)</f>
        <v>325</v>
      </c>
      <c r="AA311" s="1">
        <f ca="1">IFERROR(__xludf.DUMMYFUNCTION("""COMPUTED_VALUE"""),845)</f>
        <v>845</v>
      </c>
      <c r="AB311" s="1">
        <f ca="1">IFERROR(__xludf.DUMMYFUNCTION("""COMPUTED_VALUE"""),321)</f>
        <v>321</v>
      </c>
      <c r="AC311" s="1">
        <f ca="1">IFERROR(__xludf.DUMMYFUNCTION("""COMPUTED_VALUE"""),250)</f>
        <v>250</v>
      </c>
      <c r="AD311" s="1">
        <f ca="1">IFERROR(__xludf.DUMMYFUNCTION("""COMPUTED_VALUE"""),68)</f>
        <v>68</v>
      </c>
      <c r="AE311" s="1">
        <f ca="1">IFERROR(__xludf.DUMMYFUNCTION("""COMPUTED_VALUE"""),377)</f>
        <v>377</v>
      </c>
      <c r="AF311" s="1">
        <f ca="1">IFERROR(__xludf.DUMMYFUNCTION("""COMPUTED_VALUE"""),543)</f>
        <v>543</v>
      </c>
    </row>
    <row r="312" spans="1:32" ht="12.5" x14ac:dyDescent="0.25">
      <c r="A312" s="1" t="str">
        <f ca="1">IFERROR(__xludf.DUMMYFUNCTION("""COMPUTED_VALUE"""),"Southern Methodist")</f>
        <v>Southern Methodist</v>
      </c>
      <c r="B312" s="1">
        <f ca="1">IFERROR(__xludf.DUMMYFUNCTION("""COMPUTED_VALUE"""),32)</f>
        <v>32</v>
      </c>
      <c r="C312" s="1">
        <f ca="1">IFERROR(__xludf.DUMMYFUNCTION("""COMPUTED_VALUE"""),15)</f>
        <v>15</v>
      </c>
      <c r="D312" s="1">
        <f ca="1">IFERROR(__xludf.DUMMYFUNCTION("""COMPUTED_VALUE"""),17)</f>
        <v>17</v>
      </c>
      <c r="E312" s="1">
        <f ca="1">IFERROR(__xludf.DUMMYFUNCTION("""COMPUTED_VALUE"""),0.469)</f>
        <v>0.46899999999999997</v>
      </c>
      <c r="F312" s="1">
        <f ca="1">IFERROR(__xludf.DUMMYFUNCTION("""COMPUTED_VALUE"""),-0.59)</f>
        <v>-0.59</v>
      </c>
      <c r="G312" s="1">
        <f ca="1">IFERROR(__xludf.DUMMYFUNCTION("""COMPUTED_VALUE"""),-1.33)</f>
        <v>-1.33</v>
      </c>
      <c r="H312" s="1">
        <f ca="1">IFERROR(__xludf.DUMMYFUNCTION("""COMPUTED_VALUE"""),5)</f>
        <v>5</v>
      </c>
      <c r="I312" s="1">
        <f ca="1">IFERROR(__xludf.DUMMYFUNCTION("""COMPUTED_VALUE"""),11)</f>
        <v>11</v>
      </c>
      <c r="J312" s="1">
        <f ca="1">IFERROR(__xludf.DUMMYFUNCTION("""COMPUTED_VALUE"""),7)</f>
        <v>7</v>
      </c>
      <c r="K312" s="1">
        <f ca="1">IFERROR(__xludf.DUMMYFUNCTION("""COMPUTED_VALUE"""),7)</f>
        <v>7</v>
      </c>
      <c r="L312" s="1">
        <f ca="1">IFERROR(__xludf.DUMMYFUNCTION("""COMPUTED_VALUE"""),6)</f>
        <v>6</v>
      </c>
      <c r="M312" s="1">
        <f ca="1">IFERROR(__xludf.DUMMYFUNCTION("""COMPUTED_VALUE"""),7)</f>
        <v>7</v>
      </c>
      <c r="N312" s="1">
        <f ca="1">IFERROR(__xludf.DUMMYFUNCTION("""COMPUTED_VALUE"""),2064)</f>
        <v>2064</v>
      </c>
      <c r="O312" s="1">
        <f ca="1">IFERROR(__xludf.DUMMYFUNCTION("""COMPUTED_VALUE"""),2007)</f>
        <v>2007</v>
      </c>
      <c r="P312" s="1">
        <f ca="1">IFERROR(__xludf.DUMMYFUNCTION("""COMPUTED_VALUE"""),1285)</f>
        <v>1285</v>
      </c>
      <c r="Q312" s="1">
        <f ca="1">IFERROR(__xludf.DUMMYFUNCTION("""COMPUTED_VALUE"""),729)</f>
        <v>729</v>
      </c>
      <c r="R312" s="1">
        <f ca="1">IFERROR(__xludf.DUMMYFUNCTION("""COMPUTED_VALUE"""),1624)</f>
        <v>1624</v>
      </c>
      <c r="S312" s="1">
        <f ca="1">IFERROR(__xludf.DUMMYFUNCTION("""COMPUTED_VALUE"""),0.449)</f>
        <v>0.44900000000000001</v>
      </c>
      <c r="T312" s="1">
        <f ca="1">IFERROR(__xludf.DUMMYFUNCTION("""COMPUTED_VALUE"""),113)</f>
        <v>113</v>
      </c>
      <c r="U312" s="1">
        <f ca="1">IFERROR(__xludf.DUMMYFUNCTION("""COMPUTED_VALUE"""),328)</f>
        <v>328</v>
      </c>
      <c r="V312" s="1">
        <f ca="1">IFERROR(__xludf.DUMMYFUNCTION("""COMPUTED_VALUE"""),0.345)</f>
        <v>0.34499999999999997</v>
      </c>
      <c r="W312" s="1">
        <f ca="1">IFERROR(__xludf.DUMMYFUNCTION("""COMPUTED_VALUE"""),493)</f>
        <v>493</v>
      </c>
      <c r="X312" s="1">
        <f ca="1">IFERROR(__xludf.DUMMYFUNCTION("""COMPUTED_VALUE"""),662)</f>
        <v>662</v>
      </c>
      <c r="Y312" s="1">
        <f ca="1">IFERROR(__xludf.DUMMYFUNCTION("""COMPUTED_VALUE"""),0.745)</f>
        <v>0.745</v>
      </c>
      <c r="Z312" s="1">
        <f ca="1">IFERROR(__xludf.DUMMYFUNCTION("""COMPUTED_VALUE"""),341)</f>
        <v>341</v>
      </c>
      <c r="AA312" s="1">
        <f ca="1">IFERROR(__xludf.DUMMYFUNCTION("""COMPUTED_VALUE"""),989)</f>
        <v>989</v>
      </c>
      <c r="AB312" s="1">
        <f ca="1">IFERROR(__xludf.DUMMYFUNCTION("""COMPUTED_VALUE"""),383)</f>
        <v>383</v>
      </c>
      <c r="AC312" s="1">
        <f ca="1">IFERROR(__xludf.DUMMYFUNCTION("""COMPUTED_VALUE"""),220)</f>
        <v>220</v>
      </c>
      <c r="AD312" s="1">
        <f ca="1">IFERROR(__xludf.DUMMYFUNCTION("""COMPUTED_VALUE"""),132)</f>
        <v>132</v>
      </c>
      <c r="AE312" s="1">
        <f ca="1">IFERROR(__xludf.DUMMYFUNCTION("""COMPUTED_VALUE"""),462)</f>
        <v>462</v>
      </c>
      <c r="AF312" s="1">
        <f ca="1">IFERROR(__xludf.DUMMYFUNCTION("""COMPUTED_VALUE"""),559)</f>
        <v>559</v>
      </c>
    </row>
    <row r="313" spans="1:32" ht="12.5" x14ac:dyDescent="0.25">
      <c r="A313" s="1" t="str">
        <f ca="1">IFERROR(__xludf.DUMMYFUNCTION("""COMPUTED_VALUE"""),"Southern Mississippi")</f>
        <v>Southern Mississippi</v>
      </c>
      <c r="B313" s="1">
        <f ca="1">IFERROR(__xludf.DUMMYFUNCTION("""COMPUTED_VALUE"""),37)</f>
        <v>37</v>
      </c>
      <c r="C313" s="1">
        <f ca="1">IFERROR(__xludf.DUMMYFUNCTION("""COMPUTED_VALUE"""),27)</f>
        <v>27</v>
      </c>
      <c r="D313" s="1">
        <f ca="1">IFERROR(__xludf.DUMMYFUNCTION("""COMPUTED_VALUE"""),10)</f>
        <v>10</v>
      </c>
      <c r="E313" s="1">
        <f ca="1">IFERROR(__xludf.DUMMYFUNCTION("""COMPUTED_VALUE"""),0.73)</f>
        <v>0.73</v>
      </c>
      <c r="F313" s="1">
        <f ca="1">IFERROR(__xludf.DUMMYFUNCTION("""COMPUTED_VALUE"""),8.95)</f>
        <v>8.9499999999999993</v>
      </c>
      <c r="G313" s="1">
        <f ca="1">IFERROR(__xludf.DUMMYFUNCTION("""COMPUTED_VALUE"""),1.49)</f>
        <v>1.49</v>
      </c>
      <c r="H313" s="1">
        <f ca="1">IFERROR(__xludf.DUMMYFUNCTION("""COMPUTED_VALUE"""),12)</f>
        <v>12</v>
      </c>
      <c r="I313" s="1">
        <f ca="1">IFERROR(__xludf.DUMMYFUNCTION("""COMPUTED_VALUE"""),4)</f>
        <v>4</v>
      </c>
      <c r="J313" s="1">
        <f ca="1">IFERROR(__xludf.DUMMYFUNCTION("""COMPUTED_VALUE"""),14)</f>
        <v>14</v>
      </c>
      <c r="K313" s="1">
        <f ca="1">IFERROR(__xludf.DUMMYFUNCTION("""COMPUTED_VALUE"""),2)</f>
        <v>2</v>
      </c>
      <c r="L313" s="1">
        <f ca="1">IFERROR(__xludf.DUMMYFUNCTION("""COMPUTED_VALUE"""),9)</f>
        <v>9</v>
      </c>
      <c r="M313" s="1">
        <f ca="1">IFERROR(__xludf.DUMMYFUNCTION("""COMPUTED_VALUE"""),6)</f>
        <v>6</v>
      </c>
      <c r="N313" s="1">
        <f ca="1">IFERROR(__xludf.DUMMYFUNCTION("""COMPUTED_VALUE"""),2733)</f>
        <v>2733</v>
      </c>
      <c r="O313" s="1">
        <f ca="1">IFERROR(__xludf.DUMMYFUNCTION("""COMPUTED_VALUE"""),2348)</f>
        <v>2348</v>
      </c>
      <c r="P313" s="1">
        <f ca="1">IFERROR(__xludf.DUMMYFUNCTION("""COMPUTED_VALUE"""),1505)</f>
        <v>1505</v>
      </c>
      <c r="Q313" s="1">
        <f ca="1">IFERROR(__xludf.DUMMYFUNCTION("""COMPUTED_VALUE"""),985)</f>
        <v>985</v>
      </c>
      <c r="R313" s="1">
        <f ca="1">IFERROR(__xludf.DUMMYFUNCTION("""COMPUTED_VALUE"""),2058)</f>
        <v>2058</v>
      </c>
      <c r="S313" s="1">
        <f ca="1">IFERROR(__xludf.DUMMYFUNCTION("""COMPUTED_VALUE"""),0.479)</f>
        <v>0.47899999999999998</v>
      </c>
      <c r="T313" s="1">
        <f ca="1">IFERROR(__xludf.DUMMYFUNCTION("""COMPUTED_VALUE"""),245)</f>
        <v>245</v>
      </c>
      <c r="U313" s="1">
        <f ca="1">IFERROR(__xludf.DUMMYFUNCTION("""COMPUTED_VALUE"""),645)</f>
        <v>645</v>
      </c>
      <c r="V313" s="1">
        <f ca="1">IFERROR(__xludf.DUMMYFUNCTION("""COMPUTED_VALUE"""),0.38)</f>
        <v>0.38</v>
      </c>
      <c r="W313" s="1">
        <f ca="1">IFERROR(__xludf.DUMMYFUNCTION("""COMPUTED_VALUE"""),518)</f>
        <v>518</v>
      </c>
      <c r="X313" s="1">
        <f ca="1">IFERROR(__xludf.DUMMYFUNCTION("""COMPUTED_VALUE"""),746)</f>
        <v>746</v>
      </c>
      <c r="Y313" s="1">
        <f ca="1">IFERROR(__xludf.DUMMYFUNCTION("""COMPUTED_VALUE"""),0.694)</f>
        <v>0.69399999999999995</v>
      </c>
      <c r="Z313" s="1">
        <f ca="1">IFERROR(__xludf.DUMMYFUNCTION("""COMPUTED_VALUE"""),471)</f>
        <v>471</v>
      </c>
      <c r="AA313" s="1">
        <f ca="1">IFERROR(__xludf.DUMMYFUNCTION("""COMPUTED_VALUE"""),1202)</f>
        <v>1202</v>
      </c>
      <c r="AB313" s="1">
        <f ca="1">IFERROR(__xludf.DUMMYFUNCTION("""COMPUTED_VALUE"""),551)</f>
        <v>551</v>
      </c>
      <c r="AC313" s="1">
        <f ca="1">IFERROR(__xludf.DUMMYFUNCTION("""COMPUTED_VALUE"""),356)</f>
        <v>356</v>
      </c>
      <c r="AD313" s="1">
        <f ca="1">IFERROR(__xludf.DUMMYFUNCTION("""COMPUTED_VALUE"""),101)</f>
        <v>101</v>
      </c>
      <c r="AE313" s="1">
        <f ca="1">IFERROR(__xludf.DUMMYFUNCTION("""COMPUTED_VALUE"""),545)</f>
        <v>545</v>
      </c>
      <c r="AF313" s="1">
        <f ca="1">IFERROR(__xludf.DUMMYFUNCTION("""COMPUTED_VALUE"""),705)</f>
        <v>705</v>
      </c>
    </row>
    <row r="314" spans="1:32" ht="12.5" x14ac:dyDescent="0.25">
      <c r="A314" s="1" t="str">
        <f ca="1">IFERROR(__xludf.DUMMYFUNCTION("""COMPUTED_VALUE"""),"Southern Utah")</f>
        <v>Southern Utah</v>
      </c>
      <c r="B314" s="1">
        <f ca="1">IFERROR(__xludf.DUMMYFUNCTION("""COMPUTED_VALUE"""),31)</f>
        <v>31</v>
      </c>
      <c r="C314" s="1">
        <f ca="1">IFERROR(__xludf.DUMMYFUNCTION("""COMPUTED_VALUE"""),11)</f>
        <v>11</v>
      </c>
      <c r="D314" s="1">
        <f ca="1">IFERROR(__xludf.DUMMYFUNCTION("""COMPUTED_VALUE"""),20)</f>
        <v>20</v>
      </c>
      <c r="E314" s="1">
        <f ca="1">IFERROR(__xludf.DUMMYFUNCTION("""COMPUTED_VALUE"""),0.355)</f>
        <v>0.35499999999999998</v>
      </c>
      <c r="F314" s="1">
        <f ca="1">IFERROR(__xludf.DUMMYFUNCTION("""COMPUTED_VALUE"""),-12.04)</f>
        <v>-12.04</v>
      </c>
      <c r="G314" s="1">
        <f ca="1">IFERROR(__xludf.DUMMYFUNCTION("""COMPUTED_VALUE"""),-5)</f>
        <v>-5</v>
      </c>
      <c r="H314" s="1">
        <f ca="1">IFERROR(__xludf.DUMMYFUNCTION("""COMPUTED_VALUE"""),8)</f>
        <v>8</v>
      </c>
      <c r="I314" s="1">
        <f ca="1">IFERROR(__xludf.DUMMYFUNCTION("""COMPUTED_VALUE"""),12)</f>
        <v>12</v>
      </c>
      <c r="J314" s="1">
        <f ca="1">IFERROR(__xludf.DUMMYFUNCTION("""COMPUTED_VALUE"""),9)</f>
        <v>9</v>
      </c>
      <c r="K314" s="1">
        <f ca="1">IFERROR(__xludf.DUMMYFUNCTION("""COMPUTED_VALUE"""),5)</f>
        <v>5</v>
      </c>
      <c r="L314" s="1">
        <f ca="1">IFERROR(__xludf.DUMMYFUNCTION("""COMPUTED_VALUE"""),2)</f>
        <v>2</v>
      </c>
      <c r="M314" s="1">
        <f ca="1">IFERROR(__xludf.DUMMYFUNCTION("""COMPUTED_VALUE"""),12)</f>
        <v>12</v>
      </c>
      <c r="N314" s="1">
        <f ca="1">IFERROR(__xludf.DUMMYFUNCTION("""COMPUTED_VALUE"""),2066)</f>
        <v>2066</v>
      </c>
      <c r="O314" s="1">
        <f ca="1">IFERROR(__xludf.DUMMYFUNCTION("""COMPUTED_VALUE"""),2230)</f>
        <v>2230</v>
      </c>
      <c r="P314" s="1">
        <f ca="1">IFERROR(__xludf.DUMMYFUNCTION("""COMPUTED_VALUE"""),1250)</f>
        <v>1250</v>
      </c>
      <c r="Q314" s="1">
        <f ca="1">IFERROR(__xludf.DUMMYFUNCTION("""COMPUTED_VALUE"""),718)</f>
        <v>718</v>
      </c>
      <c r="R314" s="1">
        <f ca="1">IFERROR(__xludf.DUMMYFUNCTION("""COMPUTED_VALUE"""),1768)</f>
        <v>1768</v>
      </c>
      <c r="S314" s="1">
        <f ca="1">IFERROR(__xludf.DUMMYFUNCTION("""COMPUTED_VALUE"""),0.406)</f>
        <v>0.40600000000000003</v>
      </c>
      <c r="T314" s="1">
        <f ca="1">IFERROR(__xludf.DUMMYFUNCTION("""COMPUTED_VALUE"""),162)</f>
        <v>162</v>
      </c>
      <c r="U314" s="1">
        <f ca="1">IFERROR(__xludf.DUMMYFUNCTION("""COMPUTED_VALUE"""),503)</f>
        <v>503</v>
      </c>
      <c r="V314" s="1">
        <f ca="1">IFERROR(__xludf.DUMMYFUNCTION("""COMPUTED_VALUE"""),0.322)</f>
        <v>0.32200000000000001</v>
      </c>
      <c r="W314" s="1">
        <f ca="1">IFERROR(__xludf.DUMMYFUNCTION("""COMPUTED_VALUE"""),468)</f>
        <v>468</v>
      </c>
      <c r="X314" s="1">
        <f ca="1">IFERROR(__xludf.DUMMYFUNCTION("""COMPUTED_VALUE"""),646)</f>
        <v>646</v>
      </c>
      <c r="Y314" s="1">
        <f ca="1">IFERROR(__xludf.DUMMYFUNCTION("""COMPUTED_VALUE"""),0.724)</f>
        <v>0.72399999999999998</v>
      </c>
      <c r="Z314" s="1">
        <f ca="1">IFERROR(__xludf.DUMMYFUNCTION("""COMPUTED_VALUE"""),376)</f>
        <v>376</v>
      </c>
      <c r="AA314" s="1">
        <f ca="1">IFERROR(__xludf.DUMMYFUNCTION("""COMPUTED_VALUE"""),1043)</f>
        <v>1043</v>
      </c>
      <c r="AB314" s="1">
        <f ca="1">IFERROR(__xludf.DUMMYFUNCTION("""COMPUTED_VALUE"""),378)</f>
        <v>378</v>
      </c>
      <c r="AC314" s="1">
        <f ca="1">IFERROR(__xludf.DUMMYFUNCTION("""COMPUTED_VALUE"""),154)</f>
        <v>154</v>
      </c>
      <c r="AD314" s="1">
        <f ca="1">IFERROR(__xludf.DUMMYFUNCTION("""COMPUTED_VALUE"""),154)</f>
        <v>154</v>
      </c>
      <c r="AE314" s="1">
        <f ca="1">IFERROR(__xludf.DUMMYFUNCTION("""COMPUTED_VALUE"""),472)</f>
        <v>472</v>
      </c>
      <c r="AF314" s="1">
        <f ca="1">IFERROR(__xludf.DUMMYFUNCTION("""COMPUTED_VALUE"""),724)</f>
        <v>724</v>
      </c>
    </row>
    <row r="315" spans="1:32" ht="12.5" x14ac:dyDescent="0.25">
      <c r="A315" s="1" t="str">
        <f ca="1">IFERROR(__xludf.DUMMYFUNCTION("""COMPUTED_VALUE"""),"SouthernNCAA")</f>
        <v>SouthernNCAA</v>
      </c>
      <c r="B315" s="1">
        <f ca="1">IFERROR(__xludf.DUMMYFUNCTION("""COMPUTED_VALUE"""),33)</f>
        <v>33</v>
      </c>
      <c r="C315" s="1">
        <f ca="1">IFERROR(__xludf.DUMMYFUNCTION("""COMPUTED_VALUE"""),23)</f>
        <v>23</v>
      </c>
      <c r="D315" s="1">
        <f ca="1">IFERROR(__xludf.DUMMYFUNCTION("""COMPUTED_VALUE"""),10)</f>
        <v>10</v>
      </c>
      <c r="E315" s="1">
        <f ca="1">IFERROR(__xludf.DUMMYFUNCTION("""COMPUTED_VALUE"""),0.697)</f>
        <v>0.69699999999999995</v>
      </c>
      <c r="F315" s="1">
        <f ca="1">IFERROR(__xludf.DUMMYFUNCTION("""COMPUTED_VALUE"""),-2.61)</f>
        <v>-2.61</v>
      </c>
      <c r="G315" s="1">
        <f ca="1">IFERROR(__xludf.DUMMYFUNCTION("""COMPUTED_VALUE"""),-10.31)</f>
        <v>-10.31</v>
      </c>
      <c r="H315" s="1">
        <f ca="1">IFERROR(__xludf.DUMMYFUNCTION("""COMPUTED_VALUE"""),15)</f>
        <v>15</v>
      </c>
      <c r="I315" s="1">
        <f ca="1">IFERROR(__xludf.DUMMYFUNCTION("""COMPUTED_VALUE"""),3)</f>
        <v>3</v>
      </c>
      <c r="J315" s="1">
        <f ca="1">IFERROR(__xludf.DUMMYFUNCTION("""COMPUTED_VALUE"""),12)</f>
        <v>12</v>
      </c>
      <c r="K315" s="1">
        <f ca="1">IFERROR(__xludf.DUMMYFUNCTION("""COMPUTED_VALUE"""),0)</f>
        <v>0</v>
      </c>
      <c r="L315" s="1">
        <f ca="1">IFERROR(__xludf.DUMMYFUNCTION("""COMPUTED_VALUE"""),8)</f>
        <v>8</v>
      </c>
      <c r="M315" s="1">
        <f ca="1">IFERROR(__xludf.DUMMYFUNCTION("""COMPUTED_VALUE"""),8)</f>
        <v>8</v>
      </c>
      <c r="N315" s="1">
        <f ca="1">IFERROR(__xludf.DUMMYFUNCTION("""COMPUTED_VALUE"""),2223)</f>
        <v>2223</v>
      </c>
      <c r="O315" s="1">
        <f ca="1">IFERROR(__xludf.DUMMYFUNCTION("""COMPUTED_VALUE"""),1890)</f>
        <v>1890</v>
      </c>
      <c r="P315" s="1">
        <f ca="1">IFERROR(__xludf.DUMMYFUNCTION("""COMPUTED_VALUE"""),1320)</f>
        <v>1320</v>
      </c>
      <c r="Q315" s="1">
        <f ca="1">IFERROR(__xludf.DUMMYFUNCTION("""COMPUTED_VALUE"""),761)</f>
        <v>761</v>
      </c>
      <c r="R315" s="1">
        <f ca="1">IFERROR(__xludf.DUMMYFUNCTION("""COMPUTED_VALUE"""),1757)</f>
        <v>1757</v>
      </c>
      <c r="S315" s="1">
        <f ca="1">IFERROR(__xludf.DUMMYFUNCTION("""COMPUTED_VALUE"""),0.433)</f>
        <v>0.433</v>
      </c>
      <c r="T315" s="1">
        <f ca="1">IFERROR(__xludf.DUMMYFUNCTION("""COMPUTED_VALUE"""),226)</f>
        <v>226</v>
      </c>
      <c r="U315" s="1">
        <f ca="1">IFERROR(__xludf.DUMMYFUNCTION("""COMPUTED_VALUE"""),619)</f>
        <v>619</v>
      </c>
      <c r="V315" s="1">
        <f ca="1">IFERROR(__xludf.DUMMYFUNCTION("""COMPUTED_VALUE"""),0.365)</f>
        <v>0.36499999999999999</v>
      </c>
      <c r="W315" s="1">
        <f ca="1">IFERROR(__xludf.DUMMYFUNCTION("""COMPUTED_VALUE"""),475)</f>
        <v>475</v>
      </c>
      <c r="X315" s="1">
        <f ca="1">IFERROR(__xludf.DUMMYFUNCTION("""COMPUTED_VALUE"""),689)</f>
        <v>689</v>
      </c>
      <c r="Y315" s="1">
        <f ca="1">IFERROR(__xludf.DUMMYFUNCTION("""COMPUTED_VALUE"""),0.689)</f>
        <v>0.68899999999999995</v>
      </c>
      <c r="Z315" s="1">
        <f ca="1">IFERROR(__xludf.DUMMYFUNCTION("""COMPUTED_VALUE"""),288)</f>
        <v>288</v>
      </c>
      <c r="AA315" s="1">
        <f ca="1">IFERROR(__xludf.DUMMYFUNCTION("""COMPUTED_VALUE"""),1035)</f>
        <v>1035</v>
      </c>
      <c r="AB315" s="1">
        <f ca="1">IFERROR(__xludf.DUMMYFUNCTION("""COMPUTED_VALUE"""),376)</f>
        <v>376</v>
      </c>
      <c r="AC315" s="1">
        <f ca="1">IFERROR(__xludf.DUMMYFUNCTION("""COMPUTED_VALUE"""),244)</f>
        <v>244</v>
      </c>
      <c r="AD315" s="1">
        <f ca="1">IFERROR(__xludf.DUMMYFUNCTION("""COMPUTED_VALUE"""),134)</f>
        <v>134</v>
      </c>
      <c r="AE315" s="1">
        <f ca="1">IFERROR(__xludf.DUMMYFUNCTION("""COMPUTED_VALUE"""),359)</f>
        <v>359</v>
      </c>
      <c r="AF315" s="1">
        <f ca="1">IFERROR(__xludf.DUMMYFUNCTION("""COMPUTED_VALUE"""),562)</f>
        <v>562</v>
      </c>
    </row>
    <row r="316" spans="1:32" ht="12.5" x14ac:dyDescent="0.25">
      <c r="A316" s="1" t="str">
        <f ca="1">IFERROR(__xludf.DUMMYFUNCTION("""COMPUTED_VALUE"""),"St. Bonaventure")</f>
        <v>St. Bonaventure</v>
      </c>
      <c r="B316" s="1">
        <f ca="1">IFERROR(__xludf.DUMMYFUNCTION("""COMPUTED_VALUE"""),29)</f>
        <v>29</v>
      </c>
      <c r="C316" s="1">
        <f ca="1">IFERROR(__xludf.DUMMYFUNCTION("""COMPUTED_VALUE"""),14)</f>
        <v>14</v>
      </c>
      <c r="D316" s="1">
        <f ca="1">IFERROR(__xludf.DUMMYFUNCTION("""COMPUTED_VALUE"""),15)</f>
        <v>15</v>
      </c>
      <c r="E316" s="1">
        <f ca="1">IFERROR(__xludf.DUMMYFUNCTION("""COMPUTED_VALUE"""),0.483)</f>
        <v>0.48299999999999998</v>
      </c>
      <c r="F316" s="1">
        <f ca="1">IFERROR(__xludf.DUMMYFUNCTION("""COMPUTED_VALUE"""),3.44)</f>
        <v>3.44</v>
      </c>
      <c r="G316" s="1">
        <f ca="1">IFERROR(__xludf.DUMMYFUNCTION("""COMPUTED_VALUE"""),2.71)</f>
        <v>2.71</v>
      </c>
      <c r="H316" s="1">
        <f ca="1">IFERROR(__xludf.DUMMYFUNCTION("""COMPUTED_VALUE"""),7)</f>
        <v>7</v>
      </c>
      <c r="I316" s="1">
        <f ca="1">IFERROR(__xludf.DUMMYFUNCTION("""COMPUTED_VALUE"""),9)</f>
        <v>9</v>
      </c>
      <c r="J316" s="1">
        <f ca="1">IFERROR(__xludf.DUMMYFUNCTION("""COMPUTED_VALUE"""),8)</f>
        <v>8</v>
      </c>
      <c r="K316" s="1">
        <f ca="1">IFERROR(__xludf.DUMMYFUNCTION("""COMPUTED_VALUE"""),6)</f>
        <v>6</v>
      </c>
      <c r="L316" s="1">
        <f ca="1">IFERROR(__xludf.DUMMYFUNCTION("""COMPUTED_VALUE"""),5)</f>
        <v>5</v>
      </c>
      <c r="M316" s="1">
        <f ca="1">IFERROR(__xludf.DUMMYFUNCTION("""COMPUTED_VALUE"""),9)</f>
        <v>9</v>
      </c>
      <c r="N316" s="1">
        <f ca="1">IFERROR(__xludf.DUMMYFUNCTION("""COMPUTED_VALUE"""),2109)</f>
        <v>2109</v>
      </c>
      <c r="O316" s="1">
        <f ca="1">IFERROR(__xludf.DUMMYFUNCTION("""COMPUTED_VALUE"""),2088)</f>
        <v>2088</v>
      </c>
      <c r="P316" s="1">
        <f ca="1">IFERROR(__xludf.DUMMYFUNCTION("""COMPUTED_VALUE"""),1170)</f>
        <v>1170</v>
      </c>
      <c r="Q316" s="1">
        <f ca="1">IFERROR(__xludf.DUMMYFUNCTION("""COMPUTED_VALUE"""),708)</f>
        <v>708</v>
      </c>
      <c r="R316" s="1">
        <f ca="1">IFERROR(__xludf.DUMMYFUNCTION("""COMPUTED_VALUE"""),1579)</f>
        <v>1579</v>
      </c>
      <c r="S316" s="1">
        <f ca="1">IFERROR(__xludf.DUMMYFUNCTION("""COMPUTED_VALUE"""),0.448)</f>
        <v>0.44800000000000001</v>
      </c>
      <c r="T316" s="1">
        <f ca="1">IFERROR(__xludf.DUMMYFUNCTION("""COMPUTED_VALUE"""),212)</f>
        <v>212</v>
      </c>
      <c r="U316" s="1">
        <f ca="1">IFERROR(__xludf.DUMMYFUNCTION("""COMPUTED_VALUE"""),566)</f>
        <v>566</v>
      </c>
      <c r="V316" s="1">
        <f ca="1">IFERROR(__xludf.DUMMYFUNCTION("""COMPUTED_VALUE"""),0.375)</f>
        <v>0.375</v>
      </c>
      <c r="W316" s="1">
        <f ca="1">IFERROR(__xludf.DUMMYFUNCTION("""COMPUTED_VALUE"""),481)</f>
        <v>481</v>
      </c>
      <c r="X316" s="1">
        <f ca="1">IFERROR(__xludf.DUMMYFUNCTION("""COMPUTED_VALUE"""),630)</f>
        <v>630</v>
      </c>
      <c r="Y316" s="1">
        <f ca="1">IFERROR(__xludf.DUMMYFUNCTION("""COMPUTED_VALUE"""),0.763)</f>
        <v>0.76300000000000001</v>
      </c>
      <c r="Z316" s="1">
        <f ca="1">IFERROR(__xludf.DUMMYFUNCTION("""COMPUTED_VALUE"""),306)</f>
        <v>306</v>
      </c>
      <c r="AA316" s="1">
        <f ca="1">IFERROR(__xludf.DUMMYFUNCTION("""COMPUTED_VALUE"""),832)</f>
        <v>832</v>
      </c>
      <c r="AB316" s="1">
        <f ca="1">IFERROR(__xludf.DUMMYFUNCTION("""COMPUTED_VALUE"""),415)</f>
        <v>415</v>
      </c>
      <c r="AC316" s="1">
        <f ca="1">IFERROR(__xludf.DUMMYFUNCTION("""COMPUTED_VALUE"""),188)</f>
        <v>188</v>
      </c>
      <c r="AD316" s="1">
        <f ca="1">IFERROR(__xludf.DUMMYFUNCTION("""COMPUTED_VALUE"""),84)</f>
        <v>84</v>
      </c>
      <c r="AE316" s="1">
        <f ca="1">IFERROR(__xludf.DUMMYFUNCTION("""COMPUTED_VALUE"""),393)</f>
        <v>393</v>
      </c>
      <c r="AF316" s="1">
        <f ca="1">IFERROR(__xludf.DUMMYFUNCTION("""COMPUTED_VALUE"""),570)</f>
        <v>570</v>
      </c>
    </row>
    <row r="317" spans="1:32" ht="12.5" x14ac:dyDescent="0.25">
      <c r="A317" s="1" t="str">
        <f ca="1">IFERROR(__xludf.DUMMYFUNCTION("""COMPUTED_VALUE"""),"St. Francis (NY)")</f>
        <v>St. Francis (NY)</v>
      </c>
      <c r="B317" s="1">
        <f ca="1">IFERROR(__xludf.DUMMYFUNCTION("""COMPUTED_VALUE"""),30)</f>
        <v>30</v>
      </c>
      <c r="C317" s="1">
        <f ca="1">IFERROR(__xludf.DUMMYFUNCTION("""COMPUTED_VALUE"""),12)</f>
        <v>12</v>
      </c>
      <c r="D317" s="1">
        <f ca="1">IFERROR(__xludf.DUMMYFUNCTION("""COMPUTED_VALUE"""),18)</f>
        <v>18</v>
      </c>
      <c r="E317" s="1">
        <f ca="1">IFERROR(__xludf.DUMMYFUNCTION("""COMPUTED_VALUE"""),0.4)</f>
        <v>0.4</v>
      </c>
      <c r="F317" s="1">
        <f ca="1">IFERROR(__xludf.DUMMYFUNCTION("""COMPUTED_VALUE"""),-5.92)</f>
        <v>-5.92</v>
      </c>
      <c r="G317" s="1">
        <f ca="1">IFERROR(__xludf.DUMMYFUNCTION("""COMPUTED_VALUE"""),-4.75)</f>
        <v>-4.75</v>
      </c>
      <c r="H317" s="1">
        <f ca="1">IFERROR(__xludf.DUMMYFUNCTION("""COMPUTED_VALUE"""),8)</f>
        <v>8</v>
      </c>
      <c r="I317" s="1">
        <f ca="1">IFERROR(__xludf.DUMMYFUNCTION("""COMPUTED_VALUE"""),10)</f>
        <v>10</v>
      </c>
      <c r="J317" s="1">
        <f ca="1">IFERROR(__xludf.DUMMYFUNCTION("""COMPUTED_VALUE"""),6)</f>
        <v>6</v>
      </c>
      <c r="K317" s="1">
        <f ca="1">IFERROR(__xludf.DUMMYFUNCTION("""COMPUTED_VALUE"""),6)</f>
        <v>6</v>
      </c>
      <c r="L317" s="1">
        <f ca="1">IFERROR(__xludf.DUMMYFUNCTION("""COMPUTED_VALUE"""),6)</f>
        <v>6</v>
      </c>
      <c r="M317" s="1">
        <f ca="1">IFERROR(__xludf.DUMMYFUNCTION("""COMPUTED_VALUE"""),10)</f>
        <v>10</v>
      </c>
      <c r="N317" s="1">
        <f ca="1">IFERROR(__xludf.DUMMYFUNCTION("""COMPUTED_VALUE"""),2108)</f>
        <v>2108</v>
      </c>
      <c r="O317" s="1">
        <f ca="1">IFERROR(__xludf.DUMMYFUNCTION("""COMPUTED_VALUE"""),2143)</f>
        <v>2143</v>
      </c>
      <c r="P317" s="1">
        <f ca="1">IFERROR(__xludf.DUMMYFUNCTION("""COMPUTED_VALUE"""),1205)</f>
        <v>1205</v>
      </c>
      <c r="Q317" s="1">
        <f ca="1">IFERROR(__xludf.DUMMYFUNCTION("""COMPUTED_VALUE"""),763)</f>
        <v>763</v>
      </c>
      <c r="R317" s="1">
        <f ca="1">IFERROR(__xludf.DUMMYFUNCTION("""COMPUTED_VALUE"""),1789)</f>
        <v>1789</v>
      </c>
      <c r="S317" s="1">
        <f ca="1">IFERROR(__xludf.DUMMYFUNCTION("""COMPUTED_VALUE"""),0.426)</f>
        <v>0.42599999999999999</v>
      </c>
      <c r="T317" s="1">
        <f ca="1">IFERROR(__xludf.DUMMYFUNCTION("""COMPUTED_VALUE"""),206)</f>
        <v>206</v>
      </c>
      <c r="U317" s="1">
        <f ca="1">IFERROR(__xludf.DUMMYFUNCTION("""COMPUTED_VALUE"""),628)</f>
        <v>628</v>
      </c>
      <c r="V317" s="1">
        <f ca="1">IFERROR(__xludf.DUMMYFUNCTION("""COMPUTED_VALUE"""),0.328)</f>
        <v>0.32800000000000001</v>
      </c>
      <c r="W317" s="1">
        <f ca="1">IFERROR(__xludf.DUMMYFUNCTION("""COMPUTED_VALUE"""),376)</f>
        <v>376</v>
      </c>
      <c r="X317" s="1">
        <f ca="1">IFERROR(__xludf.DUMMYFUNCTION("""COMPUTED_VALUE"""),565)</f>
        <v>565</v>
      </c>
      <c r="Y317" s="1">
        <f ca="1">IFERROR(__xludf.DUMMYFUNCTION("""COMPUTED_VALUE"""),0.665)</f>
        <v>0.66500000000000004</v>
      </c>
      <c r="Z317" s="1">
        <f ca="1">IFERROR(__xludf.DUMMYFUNCTION("""COMPUTED_VALUE"""),387)</f>
        <v>387</v>
      </c>
      <c r="AA317" s="1">
        <f ca="1">IFERROR(__xludf.DUMMYFUNCTION("""COMPUTED_VALUE"""),945)</f>
        <v>945</v>
      </c>
      <c r="AB317" s="1">
        <f ca="1">IFERROR(__xludf.DUMMYFUNCTION("""COMPUTED_VALUE"""),387)</f>
        <v>387</v>
      </c>
      <c r="AC317" s="1">
        <f ca="1">IFERROR(__xludf.DUMMYFUNCTION("""COMPUTED_VALUE"""),196)</f>
        <v>196</v>
      </c>
      <c r="AD317" s="1">
        <f ca="1">IFERROR(__xludf.DUMMYFUNCTION("""COMPUTED_VALUE"""),69)</f>
        <v>69</v>
      </c>
      <c r="AE317" s="1">
        <f ca="1">IFERROR(__xludf.DUMMYFUNCTION("""COMPUTED_VALUE"""),370)</f>
        <v>370</v>
      </c>
      <c r="AF317" s="1">
        <f ca="1">IFERROR(__xludf.DUMMYFUNCTION("""COMPUTED_VALUE"""),566)</f>
        <v>566</v>
      </c>
    </row>
    <row r="318" spans="1:32" ht="12.5" x14ac:dyDescent="0.25">
      <c r="A318" s="1" t="str">
        <f ca="1">IFERROR(__xludf.DUMMYFUNCTION("""COMPUTED_VALUE"""),"St. John's (NY)")</f>
        <v>St. John's (NY)</v>
      </c>
      <c r="B318" s="1">
        <f ca="1">IFERROR(__xludf.DUMMYFUNCTION("""COMPUTED_VALUE"""),33)</f>
        <v>33</v>
      </c>
      <c r="C318" s="1">
        <f ca="1">IFERROR(__xludf.DUMMYFUNCTION("""COMPUTED_VALUE"""),17)</f>
        <v>17</v>
      </c>
      <c r="D318" s="1">
        <f ca="1">IFERROR(__xludf.DUMMYFUNCTION("""COMPUTED_VALUE"""),16)</f>
        <v>16</v>
      </c>
      <c r="E318" s="1">
        <f ca="1">IFERROR(__xludf.DUMMYFUNCTION("""COMPUTED_VALUE"""),0.515)</f>
        <v>0.51500000000000001</v>
      </c>
      <c r="F318" s="1">
        <f ca="1">IFERROR(__xludf.DUMMYFUNCTION("""COMPUTED_VALUE"""),5.8)</f>
        <v>5.8</v>
      </c>
      <c r="G318" s="1">
        <f ca="1">IFERROR(__xludf.DUMMYFUNCTION("""COMPUTED_VALUE"""),7.16)</f>
        <v>7.16</v>
      </c>
      <c r="H318" s="1">
        <f ca="1">IFERROR(__xludf.DUMMYFUNCTION("""COMPUTED_VALUE"""),8)</f>
        <v>8</v>
      </c>
      <c r="I318" s="1">
        <f ca="1">IFERROR(__xludf.DUMMYFUNCTION("""COMPUTED_VALUE"""),10)</f>
        <v>10</v>
      </c>
      <c r="J318" s="1">
        <f ca="1">IFERROR(__xludf.DUMMYFUNCTION("""COMPUTED_VALUE"""),11)</f>
        <v>11</v>
      </c>
      <c r="K318" s="1">
        <f ca="1">IFERROR(__xludf.DUMMYFUNCTION("""COMPUTED_VALUE"""),5)</f>
        <v>5</v>
      </c>
      <c r="L318" s="1">
        <f ca="1">IFERROR(__xludf.DUMMYFUNCTION("""COMPUTED_VALUE"""),5)</f>
        <v>5</v>
      </c>
      <c r="M318" s="1">
        <f ca="1">IFERROR(__xludf.DUMMYFUNCTION("""COMPUTED_VALUE"""),8)</f>
        <v>8</v>
      </c>
      <c r="N318" s="1">
        <f ca="1">IFERROR(__xludf.DUMMYFUNCTION("""COMPUTED_VALUE"""),2138)</f>
        <v>2138</v>
      </c>
      <c r="O318" s="1">
        <f ca="1">IFERROR(__xludf.DUMMYFUNCTION("""COMPUTED_VALUE"""),2183)</f>
        <v>2183</v>
      </c>
      <c r="P318" s="1">
        <f ca="1">IFERROR(__xludf.DUMMYFUNCTION("""COMPUTED_VALUE"""),1335)</f>
        <v>1335</v>
      </c>
      <c r="Q318" s="1">
        <f ca="1">IFERROR(__xludf.DUMMYFUNCTION("""COMPUTED_VALUE"""),825)</f>
        <v>825</v>
      </c>
      <c r="R318" s="1">
        <f ca="1">IFERROR(__xludf.DUMMYFUNCTION("""COMPUTED_VALUE"""),1989)</f>
        <v>1989</v>
      </c>
      <c r="S318" s="1">
        <f ca="1">IFERROR(__xludf.DUMMYFUNCTION("""COMPUTED_VALUE"""),0.415)</f>
        <v>0.41499999999999998</v>
      </c>
      <c r="T318" s="1">
        <f ca="1">IFERROR(__xludf.DUMMYFUNCTION("""COMPUTED_VALUE"""),120)</f>
        <v>120</v>
      </c>
      <c r="U318" s="1">
        <f ca="1">IFERROR(__xludf.DUMMYFUNCTION("""COMPUTED_VALUE"""),443)</f>
        <v>443</v>
      </c>
      <c r="V318" s="1">
        <f ca="1">IFERROR(__xludf.DUMMYFUNCTION("""COMPUTED_VALUE"""),0.271)</f>
        <v>0.27100000000000002</v>
      </c>
      <c r="W318" s="1">
        <f ca="1">IFERROR(__xludf.DUMMYFUNCTION("""COMPUTED_VALUE"""),368)</f>
        <v>368</v>
      </c>
      <c r="X318" s="1">
        <f ca="1">IFERROR(__xludf.DUMMYFUNCTION("""COMPUTED_VALUE"""),575)</f>
        <v>575</v>
      </c>
      <c r="Y318" s="1">
        <f ca="1">IFERROR(__xludf.DUMMYFUNCTION("""COMPUTED_VALUE"""),0.64)</f>
        <v>0.64</v>
      </c>
      <c r="Z318" s="1">
        <f ca="1">IFERROR(__xludf.DUMMYFUNCTION("""COMPUTED_VALUE"""),388)</f>
        <v>388</v>
      </c>
      <c r="AA318" s="1">
        <f ca="1">IFERROR(__xludf.DUMMYFUNCTION("""COMPUTED_VALUE"""),1076)</f>
        <v>1076</v>
      </c>
      <c r="AB318" s="1">
        <f ca="1">IFERROR(__xludf.DUMMYFUNCTION("""COMPUTED_VALUE"""),404)</f>
        <v>404</v>
      </c>
      <c r="AC318" s="1">
        <f ca="1">IFERROR(__xludf.DUMMYFUNCTION("""COMPUTED_VALUE"""),220)</f>
        <v>220</v>
      </c>
      <c r="AD318" s="1">
        <f ca="1">IFERROR(__xludf.DUMMYFUNCTION("""COMPUTED_VALUE"""),241)</f>
        <v>241</v>
      </c>
      <c r="AE318" s="1">
        <f ca="1">IFERROR(__xludf.DUMMYFUNCTION("""COMPUTED_VALUE"""),376)</f>
        <v>376</v>
      </c>
      <c r="AF318" s="1">
        <f ca="1">IFERROR(__xludf.DUMMYFUNCTION("""COMPUTED_VALUE"""),548)</f>
        <v>548</v>
      </c>
    </row>
    <row r="319" spans="1:32" ht="12.5" x14ac:dyDescent="0.25">
      <c r="A319" s="1" t="str">
        <f ca="1">IFERROR(__xludf.DUMMYFUNCTION("""COMPUTED_VALUE"""),"Stanford")</f>
        <v>Stanford</v>
      </c>
      <c r="B319" s="1">
        <f ca="1">IFERROR(__xludf.DUMMYFUNCTION("""COMPUTED_VALUE"""),34)</f>
        <v>34</v>
      </c>
      <c r="C319" s="1">
        <f ca="1">IFERROR(__xludf.DUMMYFUNCTION("""COMPUTED_VALUE"""),19)</f>
        <v>19</v>
      </c>
      <c r="D319" s="1">
        <f ca="1">IFERROR(__xludf.DUMMYFUNCTION("""COMPUTED_VALUE"""),15)</f>
        <v>15</v>
      </c>
      <c r="E319" s="1">
        <f ca="1">IFERROR(__xludf.DUMMYFUNCTION("""COMPUTED_VALUE"""),0.559)</f>
        <v>0.55900000000000005</v>
      </c>
      <c r="F319" s="1">
        <f ca="1">IFERROR(__xludf.DUMMYFUNCTION("""COMPUTED_VALUE"""),11.4)</f>
        <v>11.4</v>
      </c>
      <c r="G319" s="1">
        <f ca="1">IFERROR(__xludf.DUMMYFUNCTION("""COMPUTED_VALUE"""),7.37)</f>
        <v>7.37</v>
      </c>
      <c r="H319" s="1">
        <f ca="1">IFERROR(__xludf.DUMMYFUNCTION("""COMPUTED_VALUE"""),9)</f>
        <v>9</v>
      </c>
      <c r="I319" s="1">
        <f ca="1">IFERROR(__xludf.DUMMYFUNCTION("""COMPUTED_VALUE"""),9)</f>
        <v>9</v>
      </c>
      <c r="J319" s="1">
        <f ca="1">IFERROR(__xludf.DUMMYFUNCTION("""COMPUTED_VALUE"""),12)</f>
        <v>12</v>
      </c>
      <c r="K319" s="1">
        <f ca="1">IFERROR(__xludf.DUMMYFUNCTION("""COMPUTED_VALUE"""),5)</f>
        <v>5</v>
      </c>
      <c r="L319" s="1">
        <f ca="1">IFERROR(__xludf.DUMMYFUNCTION("""COMPUTED_VALUE"""),5)</f>
        <v>5</v>
      </c>
      <c r="M319" s="1">
        <f ca="1">IFERROR(__xludf.DUMMYFUNCTION("""COMPUTED_VALUE"""),7)</f>
        <v>7</v>
      </c>
      <c r="N319" s="1">
        <f ca="1">IFERROR(__xludf.DUMMYFUNCTION("""COMPUTED_VALUE"""),2397)</f>
        <v>2397</v>
      </c>
      <c r="O319" s="1">
        <f ca="1">IFERROR(__xludf.DUMMYFUNCTION("""COMPUTED_VALUE"""),2260)</f>
        <v>2260</v>
      </c>
      <c r="P319" s="1">
        <f ca="1">IFERROR(__xludf.DUMMYFUNCTION("""COMPUTED_VALUE"""),1365)</f>
        <v>1365</v>
      </c>
      <c r="Q319" s="1">
        <f ca="1">IFERROR(__xludf.DUMMYFUNCTION("""COMPUTED_VALUE"""),832)</f>
        <v>832</v>
      </c>
      <c r="R319" s="1">
        <f ca="1">IFERROR(__xludf.DUMMYFUNCTION("""COMPUTED_VALUE"""),2002)</f>
        <v>2002</v>
      </c>
      <c r="S319" s="1">
        <f ca="1">IFERROR(__xludf.DUMMYFUNCTION("""COMPUTED_VALUE"""),0.416)</f>
        <v>0.41599999999999998</v>
      </c>
      <c r="T319" s="1">
        <f ca="1">IFERROR(__xludf.DUMMYFUNCTION("""COMPUTED_VALUE"""),237)</f>
        <v>237</v>
      </c>
      <c r="U319" s="1">
        <f ca="1">IFERROR(__xludf.DUMMYFUNCTION("""COMPUTED_VALUE"""),660)</f>
        <v>660</v>
      </c>
      <c r="V319" s="1">
        <f ca="1">IFERROR(__xludf.DUMMYFUNCTION("""COMPUTED_VALUE"""),0.359)</f>
        <v>0.35899999999999999</v>
      </c>
      <c r="W319" s="1">
        <f ca="1">IFERROR(__xludf.DUMMYFUNCTION("""COMPUTED_VALUE"""),496)</f>
        <v>496</v>
      </c>
      <c r="X319" s="1">
        <f ca="1">IFERROR(__xludf.DUMMYFUNCTION("""COMPUTED_VALUE"""),668)</f>
        <v>668</v>
      </c>
      <c r="Y319" s="1">
        <f ca="1">IFERROR(__xludf.DUMMYFUNCTION("""COMPUTED_VALUE"""),0.743)</f>
        <v>0.74299999999999999</v>
      </c>
      <c r="Z319" s="1">
        <f ca="1">IFERROR(__xludf.DUMMYFUNCTION("""COMPUTED_VALUE"""),397)</f>
        <v>397</v>
      </c>
      <c r="AA319" s="1">
        <f ca="1">IFERROR(__xludf.DUMMYFUNCTION("""COMPUTED_VALUE"""),1122)</f>
        <v>1122</v>
      </c>
      <c r="AB319" s="1">
        <f ca="1">IFERROR(__xludf.DUMMYFUNCTION("""COMPUTED_VALUE"""),413)</f>
        <v>413</v>
      </c>
      <c r="AC319" s="1">
        <f ca="1">IFERROR(__xludf.DUMMYFUNCTION("""COMPUTED_VALUE"""),200)</f>
        <v>200</v>
      </c>
      <c r="AD319" s="1">
        <f ca="1">IFERROR(__xludf.DUMMYFUNCTION("""COMPUTED_VALUE"""),137)</f>
        <v>137</v>
      </c>
      <c r="AE319" s="1">
        <f ca="1">IFERROR(__xludf.DUMMYFUNCTION("""COMPUTED_VALUE"""),402)</f>
        <v>402</v>
      </c>
      <c r="AF319" s="1">
        <f ca="1">IFERROR(__xludf.DUMMYFUNCTION("""COMPUTED_VALUE"""),589)</f>
        <v>589</v>
      </c>
    </row>
    <row r="320" spans="1:32" ht="12.5" x14ac:dyDescent="0.25">
      <c r="A320" s="1" t="str">
        <f ca="1">IFERROR(__xludf.DUMMYFUNCTION("""COMPUTED_VALUE"""),"Stephen F. Austin")</f>
        <v>Stephen F. Austin</v>
      </c>
      <c r="B320" s="1">
        <f ca="1">IFERROR(__xludf.DUMMYFUNCTION("""COMPUTED_VALUE"""),32)</f>
        <v>32</v>
      </c>
      <c r="C320" s="1">
        <f ca="1">IFERROR(__xludf.DUMMYFUNCTION("""COMPUTED_VALUE"""),27)</f>
        <v>27</v>
      </c>
      <c r="D320" s="1">
        <f ca="1">IFERROR(__xludf.DUMMYFUNCTION("""COMPUTED_VALUE"""),5)</f>
        <v>5</v>
      </c>
      <c r="E320" s="1">
        <f ca="1">IFERROR(__xludf.DUMMYFUNCTION("""COMPUTED_VALUE"""),0.844)</f>
        <v>0.84399999999999997</v>
      </c>
      <c r="F320" s="1">
        <f ca="1">IFERROR(__xludf.DUMMYFUNCTION("""COMPUTED_VALUE"""),4.25)</f>
        <v>4.25</v>
      </c>
      <c r="G320" s="1">
        <f ca="1">IFERROR(__xludf.DUMMYFUNCTION("""COMPUTED_VALUE"""),-6.64)</f>
        <v>-6.64</v>
      </c>
      <c r="H320" s="1">
        <f ca="1">IFERROR(__xludf.DUMMYFUNCTION("""COMPUTED_VALUE"""),16)</f>
        <v>16</v>
      </c>
      <c r="I320" s="1">
        <f ca="1">IFERROR(__xludf.DUMMYFUNCTION("""COMPUTED_VALUE"""),2)</f>
        <v>2</v>
      </c>
      <c r="J320" s="1">
        <f ca="1">IFERROR(__xludf.DUMMYFUNCTION("""COMPUTED_VALUE"""),15)</f>
        <v>15</v>
      </c>
      <c r="K320" s="1">
        <f ca="1">IFERROR(__xludf.DUMMYFUNCTION("""COMPUTED_VALUE"""),0)</f>
        <v>0</v>
      </c>
      <c r="L320" s="1">
        <f ca="1">IFERROR(__xludf.DUMMYFUNCTION("""COMPUTED_VALUE"""),11)</f>
        <v>11</v>
      </c>
      <c r="M320" s="1">
        <f ca="1">IFERROR(__xludf.DUMMYFUNCTION("""COMPUTED_VALUE"""),4)</f>
        <v>4</v>
      </c>
      <c r="N320" s="1">
        <f ca="1">IFERROR(__xludf.DUMMYFUNCTION("""COMPUTED_VALUE"""),2075)</f>
        <v>2075</v>
      </c>
      <c r="O320" s="1">
        <f ca="1">IFERROR(__xludf.DUMMYFUNCTION("""COMPUTED_VALUE"""),1639)</f>
        <v>1639</v>
      </c>
      <c r="P320" s="1">
        <f ca="1">IFERROR(__xludf.DUMMYFUNCTION("""COMPUTED_VALUE"""),1280)</f>
        <v>1280</v>
      </c>
      <c r="Q320" s="1">
        <f ca="1">IFERROR(__xludf.DUMMYFUNCTION("""COMPUTED_VALUE"""),772)</f>
        <v>772</v>
      </c>
      <c r="R320" s="1">
        <f ca="1">IFERROR(__xludf.DUMMYFUNCTION("""COMPUTED_VALUE"""),1649)</f>
        <v>1649</v>
      </c>
      <c r="S320" s="1">
        <f ca="1">IFERROR(__xludf.DUMMYFUNCTION("""COMPUTED_VALUE"""),0.468)</f>
        <v>0.46800000000000003</v>
      </c>
      <c r="T320" s="1">
        <f ca="1">IFERROR(__xludf.DUMMYFUNCTION("""COMPUTED_VALUE"""),134)</f>
        <v>134</v>
      </c>
      <c r="U320" s="1">
        <f ca="1">IFERROR(__xludf.DUMMYFUNCTION("""COMPUTED_VALUE"""),413)</f>
        <v>413</v>
      </c>
      <c r="V320" s="1">
        <f ca="1">IFERROR(__xludf.DUMMYFUNCTION("""COMPUTED_VALUE"""),0.324)</f>
        <v>0.32400000000000001</v>
      </c>
      <c r="W320" s="1">
        <f ca="1">IFERROR(__xludf.DUMMYFUNCTION("""COMPUTED_VALUE"""),397)</f>
        <v>397</v>
      </c>
      <c r="X320" s="1">
        <f ca="1">IFERROR(__xludf.DUMMYFUNCTION("""COMPUTED_VALUE"""),651)</f>
        <v>651</v>
      </c>
      <c r="Y320" s="1">
        <f ca="1">IFERROR(__xludf.DUMMYFUNCTION("""COMPUTED_VALUE"""),0.61)</f>
        <v>0.61</v>
      </c>
      <c r="Z320" s="1">
        <f ca="1">IFERROR(__xludf.DUMMYFUNCTION("""COMPUTED_VALUE"""),359)</f>
        <v>359</v>
      </c>
      <c r="AA320" s="1">
        <f ca="1">IFERROR(__xludf.DUMMYFUNCTION("""COMPUTED_VALUE"""),1042)</f>
        <v>1042</v>
      </c>
      <c r="AB320" s="1">
        <f ca="1">IFERROR(__xludf.DUMMYFUNCTION("""COMPUTED_VALUE"""),495)</f>
        <v>495</v>
      </c>
      <c r="AC320" s="1">
        <f ca="1">IFERROR(__xludf.DUMMYFUNCTION("""COMPUTED_VALUE"""),251)</f>
        <v>251</v>
      </c>
      <c r="AD320" s="1">
        <f ca="1">IFERROR(__xludf.DUMMYFUNCTION("""COMPUTED_VALUE"""),121)</f>
        <v>121</v>
      </c>
      <c r="AE320" s="1">
        <f ca="1">IFERROR(__xludf.DUMMYFUNCTION("""COMPUTED_VALUE"""),405)</f>
        <v>405</v>
      </c>
      <c r="AF320" s="1">
        <f ca="1">IFERROR(__xludf.DUMMYFUNCTION("""COMPUTED_VALUE"""),494)</f>
        <v>494</v>
      </c>
    </row>
    <row r="321" spans="1:32" ht="12.5" x14ac:dyDescent="0.25">
      <c r="A321" s="1" t="str">
        <f ca="1">IFERROR(__xludf.DUMMYFUNCTION("""COMPUTED_VALUE"""),"Stetson")</f>
        <v>Stetson</v>
      </c>
      <c r="B321" s="1">
        <f ca="1">IFERROR(__xludf.DUMMYFUNCTION("""COMPUTED_VALUE"""),31)</f>
        <v>31</v>
      </c>
      <c r="C321" s="1">
        <f ca="1">IFERROR(__xludf.DUMMYFUNCTION("""COMPUTED_VALUE"""),15)</f>
        <v>15</v>
      </c>
      <c r="D321" s="1">
        <f ca="1">IFERROR(__xludf.DUMMYFUNCTION("""COMPUTED_VALUE"""),16)</f>
        <v>16</v>
      </c>
      <c r="E321" s="1">
        <f ca="1">IFERROR(__xludf.DUMMYFUNCTION("""COMPUTED_VALUE"""),0.484)</f>
        <v>0.48399999999999999</v>
      </c>
      <c r="F321" s="1">
        <f ca="1">IFERROR(__xludf.DUMMYFUNCTION("""COMPUTED_VALUE"""),-6.45)</f>
        <v>-6.45</v>
      </c>
      <c r="G321" s="1">
        <f ca="1">IFERROR(__xludf.DUMMYFUNCTION("""COMPUTED_VALUE"""),-4.45)</f>
        <v>-4.45</v>
      </c>
      <c r="H321" s="1">
        <f ca="1">IFERROR(__xludf.DUMMYFUNCTION("""COMPUTED_VALUE"""),11)</f>
        <v>11</v>
      </c>
      <c r="I321" s="1">
        <f ca="1">IFERROR(__xludf.DUMMYFUNCTION("""COMPUTED_VALUE"""),7)</f>
        <v>7</v>
      </c>
      <c r="J321" s="1">
        <f ca="1">IFERROR(__xludf.DUMMYFUNCTION("""COMPUTED_VALUE"""),8)</f>
        <v>8</v>
      </c>
      <c r="K321" s="1">
        <f ca="1">IFERROR(__xludf.DUMMYFUNCTION("""COMPUTED_VALUE"""),6)</f>
        <v>6</v>
      </c>
      <c r="L321" s="1">
        <f ca="1">IFERROR(__xludf.DUMMYFUNCTION("""COMPUTED_VALUE"""),6)</f>
        <v>6</v>
      </c>
      <c r="M321" s="1">
        <f ca="1">IFERROR(__xludf.DUMMYFUNCTION("""COMPUTED_VALUE"""),9)</f>
        <v>9</v>
      </c>
      <c r="N321" s="1">
        <f ca="1">IFERROR(__xludf.DUMMYFUNCTION("""COMPUTED_VALUE"""),2180)</f>
        <v>2180</v>
      </c>
      <c r="O321" s="1">
        <f ca="1">IFERROR(__xludf.DUMMYFUNCTION("""COMPUTED_VALUE"""),2218)</f>
        <v>2218</v>
      </c>
      <c r="P321" s="1">
        <f ca="1">IFERROR(__xludf.DUMMYFUNCTION("""COMPUTED_VALUE"""),1240)</f>
        <v>1240</v>
      </c>
      <c r="Q321" s="1">
        <f ca="1">IFERROR(__xludf.DUMMYFUNCTION("""COMPUTED_VALUE"""),768)</f>
        <v>768</v>
      </c>
      <c r="R321" s="1">
        <f ca="1">IFERROR(__xludf.DUMMYFUNCTION("""COMPUTED_VALUE"""),1683)</f>
        <v>1683</v>
      </c>
      <c r="S321" s="1">
        <f ca="1">IFERROR(__xludf.DUMMYFUNCTION("""COMPUTED_VALUE"""),0.456)</f>
        <v>0.45600000000000002</v>
      </c>
      <c r="T321" s="1">
        <f ca="1">IFERROR(__xludf.DUMMYFUNCTION("""COMPUTED_VALUE"""),230)</f>
        <v>230</v>
      </c>
      <c r="U321" s="1">
        <f ca="1">IFERROR(__xludf.DUMMYFUNCTION("""COMPUTED_VALUE"""),662)</f>
        <v>662</v>
      </c>
      <c r="V321" s="1">
        <f ca="1">IFERROR(__xludf.DUMMYFUNCTION("""COMPUTED_VALUE"""),0.347)</f>
        <v>0.34699999999999998</v>
      </c>
      <c r="W321" s="1">
        <f ca="1">IFERROR(__xludf.DUMMYFUNCTION("""COMPUTED_VALUE"""),414)</f>
        <v>414</v>
      </c>
      <c r="X321" s="1">
        <f ca="1">IFERROR(__xludf.DUMMYFUNCTION("""COMPUTED_VALUE"""),587)</f>
        <v>587</v>
      </c>
      <c r="Y321" s="1">
        <f ca="1">IFERROR(__xludf.DUMMYFUNCTION("""COMPUTED_VALUE"""),0.705)</f>
        <v>0.70499999999999996</v>
      </c>
      <c r="Z321" s="1">
        <f ca="1">IFERROR(__xludf.DUMMYFUNCTION("""COMPUTED_VALUE"""),316)</f>
        <v>316</v>
      </c>
      <c r="AA321" s="1">
        <f ca="1">IFERROR(__xludf.DUMMYFUNCTION("""COMPUTED_VALUE"""),975)</f>
        <v>975</v>
      </c>
      <c r="AB321" s="1">
        <f ca="1">IFERROR(__xludf.DUMMYFUNCTION("""COMPUTED_VALUE"""),502)</f>
        <v>502</v>
      </c>
      <c r="AC321" s="1">
        <f ca="1">IFERROR(__xludf.DUMMYFUNCTION("""COMPUTED_VALUE"""),165)</f>
        <v>165</v>
      </c>
      <c r="AD321" s="1">
        <f ca="1">IFERROR(__xludf.DUMMYFUNCTION("""COMPUTED_VALUE"""),78)</f>
        <v>78</v>
      </c>
      <c r="AE321" s="1">
        <f ca="1">IFERROR(__xludf.DUMMYFUNCTION("""COMPUTED_VALUE"""),490)</f>
        <v>490</v>
      </c>
      <c r="AF321" s="1">
        <f ca="1">IFERROR(__xludf.DUMMYFUNCTION("""COMPUTED_VALUE"""),519)</f>
        <v>519</v>
      </c>
    </row>
    <row r="322" spans="1:32" ht="12.5" x14ac:dyDescent="0.25">
      <c r="A322" s="1" t="str">
        <f ca="1">IFERROR(__xludf.DUMMYFUNCTION("""COMPUTED_VALUE"""),"Stony Brook")</f>
        <v>Stony Brook</v>
      </c>
      <c r="B322" s="1">
        <f ca="1">IFERROR(__xludf.DUMMYFUNCTION("""COMPUTED_VALUE"""),33)</f>
        <v>33</v>
      </c>
      <c r="C322" s="1">
        <f ca="1">IFERROR(__xludf.DUMMYFUNCTION("""COMPUTED_VALUE"""),25)</f>
        <v>25</v>
      </c>
      <c r="D322" s="1">
        <f ca="1">IFERROR(__xludf.DUMMYFUNCTION("""COMPUTED_VALUE"""),8)</f>
        <v>8</v>
      </c>
      <c r="E322" s="1">
        <f ca="1">IFERROR(__xludf.DUMMYFUNCTION("""COMPUTED_VALUE"""),0.758)</f>
        <v>0.75800000000000001</v>
      </c>
      <c r="F322" s="1">
        <f ca="1">IFERROR(__xludf.DUMMYFUNCTION("""COMPUTED_VALUE"""),5.6)</f>
        <v>5.6</v>
      </c>
      <c r="G322" s="1">
        <f ca="1">IFERROR(__xludf.DUMMYFUNCTION("""COMPUTED_VALUE"""),-4.12)</f>
        <v>-4.12</v>
      </c>
      <c r="H322" s="1">
        <f ca="1">IFERROR(__xludf.DUMMYFUNCTION("""COMPUTED_VALUE"""),14)</f>
        <v>14</v>
      </c>
      <c r="I322" s="1">
        <f ca="1">IFERROR(__xludf.DUMMYFUNCTION("""COMPUTED_VALUE"""),2)</f>
        <v>2</v>
      </c>
      <c r="J322" s="1">
        <f ca="1">IFERROR(__xludf.DUMMYFUNCTION("""COMPUTED_VALUE"""),11)</f>
        <v>11</v>
      </c>
      <c r="K322" s="1">
        <f ca="1">IFERROR(__xludf.DUMMYFUNCTION("""COMPUTED_VALUE"""),1)</f>
        <v>1</v>
      </c>
      <c r="L322" s="1">
        <f ca="1">IFERROR(__xludf.DUMMYFUNCTION("""COMPUTED_VALUE"""),13)</f>
        <v>13</v>
      </c>
      <c r="M322" s="1">
        <f ca="1">IFERROR(__xludf.DUMMYFUNCTION("""COMPUTED_VALUE"""),6)</f>
        <v>6</v>
      </c>
      <c r="N322" s="1">
        <f ca="1">IFERROR(__xludf.DUMMYFUNCTION("""COMPUTED_VALUE"""),2245)</f>
        <v>2245</v>
      </c>
      <c r="O322" s="1">
        <f ca="1">IFERROR(__xludf.DUMMYFUNCTION("""COMPUTED_VALUE"""),1898)</f>
        <v>1898</v>
      </c>
      <c r="P322" s="1">
        <f ca="1">IFERROR(__xludf.DUMMYFUNCTION("""COMPUTED_VALUE"""),1320)</f>
        <v>1320</v>
      </c>
      <c r="Q322" s="1">
        <f ca="1">IFERROR(__xludf.DUMMYFUNCTION("""COMPUTED_VALUE"""),790)</f>
        <v>790</v>
      </c>
      <c r="R322" s="1">
        <f ca="1">IFERROR(__xludf.DUMMYFUNCTION("""COMPUTED_VALUE"""),1779)</f>
        <v>1779</v>
      </c>
      <c r="S322" s="1">
        <f ca="1">IFERROR(__xludf.DUMMYFUNCTION("""COMPUTED_VALUE"""),0.444)</f>
        <v>0.44400000000000001</v>
      </c>
      <c r="T322" s="1">
        <f ca="1">IFERROR(__xludf.DUMMYFUNCTION("""COMPUTED_VALUE"""),193)</f>
        <v>193</v>
      </c>
      <c r="U322" s="1">
        <f ca="1">IFERROR(__xludf.DUMMYFUNCTION("""COMPUTED_VALUE"""),546)</f>
        <v>546</v>
      </c>
      <c r="V322" s="1">
        <f ca="1">IFERROR(__xludf.DUMMYFUNCTION("""COMPUTED_VALUE"""),0.353)</f>
        <v>0.35299999999999998</v>
      </c>
      <c r="W322" s="1">
        <f ca="1">IFERROR(__xludf.DUMMYFUNCTION("""COMPUTED_VALUE"""),472)</f>
        <v>472</v>
      </c>
      <c r="X322" s="1">
        <f ca="1">IFERROR(__xludf.DUMMYFUNCTION("""COMPUTED_VALUE"""),670)</f>
        <v>670</v>
      </c>
      <c r="Y322" s="1">
        <f ca="1">IFERROR(__xludf.DUMMYFUNCTION("""COMPUTED_VALUE"""),0.704)</f>
        <v>0.70399999999999996</v>
      </c>
      <c r="Z322" s="1">
        <f ca="1">IFERROR(__xludf.DUMMYFUNCTION("""COMPUTED_VALUE"""),359)</f>
        <v>359</v>
      </c>
      <c r="AA322" s="1">
        <f ca="1">IFERROR(__xludf.DUMMYFUNCTION("""COMPUTED_VALUE"""),1127)</f>
        <v>1127</v>
      </c>
      <c r="AB322" s="1">
        <f ca="1">IFERROR(__xludf.DUMMYFUNCTION("""COMPUTED_VALUE"""),407)</f>
        <v>407</v>
      </c>
      <c r="AC322" s="1">
        <f ca="1">IFERROR(__xludf.DUMMYFUNCTION("""COMPUTED_VALUE"""),212)</f>
        <v>212</v>
      </c>
      <c r="AD322" s="1">
        <f ca="1">IFERROR(__xludf.DUMMYFUNCTION("""COMPUTED_VALUE"""),125)</f>
        <v>125</v>
      </c>
      <c r="AE322" s="1">
        <f ca="1">IFERROR(__xludf.DUMMYFUNCTION("""COMPUTED_VALUE"""),390)</f>
        <v>390</v>
      </c>
      <c r="AF322" s="1">
        <f ca="1">IFERROR(__xludf.DUMMYFUNCTION("""COMPUTED_VALUE"""),515)</f>
        <v>515</v>
      </c>
    </row>
    <row r="323" spans="1:32" ht="12.5" x14ac:dyDescent="0.25">
      <c r="A323" s="1" t="str">
        <f ca="1">IFERROR(__xludf.DUMMYFUNCTION("""COMPUTED_VALUE"""),"SyracuseNCAA")</f>
        <v>SyracuseNCAA</v>
      </c>
      <c r="B323" s="1">
        <f ca="1">IFERROR(__xludf.DUMMYFUNCTION("""COMPUTED_VALUE"""),40)</f>
        <v>40</v>
      </c>
      <c r="C323" s="1">
        <f ca="1">IFERROR(__xludf.DUMMYFUNCTION("""COMPUTED_VALUE"""),30)</f>
        <v>30</v>
      </c>
      <c r="D323" s="1">
        <f ca="1">IFERROR(__xludf.DUMMYFUNCTION("""COMPUTED_VALUE"""),10)</f>
        <v>10</v>
      </c>
      <c r="E323" s="1">
        <f ca="1">IFERROR(__xludf.DUMMYFUNCTION("""COMPUTED_VALUE"""),0.75)</f>
        <v>0.75</v>
      </c>
      <c r="F323" s="1">
        <f ca="1">IFERROR(__xludf.DUMMYFUNCTION("""COMPUTED_VALUE"""),20.3)</f>
        <v>20.3</v>
      </c>
      <c r="G323" s="1">
        <f ca="1">IFERROR(__xludf.DUMMYFUNCTION("""COMPUTED_VALUE"""),8.57)</f>
        <v>8.57</v>
      </c>
      <c r="H323" s="1">
        <f ca="1">IFERROR(__xludf.DUMMYFUNCTION("""COMPUTED_VALUE"""),11)</f>
        <v>11</v>
      </c>
      <c r="I323" s="1">
        <f ca="1">IFERROR(__xludf.DUMMYFUNCTION("""COMPUTED_VALUE"""),7)</f>
        <v>7</v>
      </c>
      <c r="J323" s="1">
        <f ca="1">IFERROR(__xludf.DUMMYFUNCTION("""COMPUTED_VALUE"""),17)</f>
        <v>17</v>
      </c>
      <c r="K323" s="1">
        <f ca="1">IFERROR(__xludf.DUMMYFUNCTION("""COMPUTED_VALUE"""),2)</f>
        <v>2</v>
      </c>
      <c r="L323" s="1">
        <f ca="1">IFERROR(__xludf.DUMMYFUNCTION("""COMPUTED_VALUE"""),5)</f>
        <v>5</v>
      </c>
      <c r="M323" s="1">
        <f ca="1">IFERROR(__xludf.DUMMYFUNCTION("""COMPUTED_VALUE"""),5)</f>
        <v>5</v>
      </c>
      <c r="N323" s="1">
        <f ca="1">IFERROR(__xludf.DUMMYFUNCTION("""COMPUTED_VALUE"""),2816)</f>
        <v>2816</v>
      </c>
      <c r="O323" s="1">
        <f ca="1">IFERROR(__xludf.DUMMYFUNCTION("""COMPUTED_VALUE"""),2347)</f>
        <v>2347</v>
      </c>
      <c r="P323" s="1">
        <f ca="1">IFERROR(__xludf.DUMMYFUNCTION("""COMPUTED_VALUE"""),1610)</f>
        <v>1610</v>
      </c>
      <c r="Q323" s="1">
        <f ca="1">IFERROR(__xludf.DUMMYFUNCTION("""COMPUTED_VALUE"""),1007)</f>
        <v>1007</v>
      </c>
      <c r="R323" s="1">
        <f ca="1">IFERROR(__xludf.DUMMYFUNCTION("""COMPUTED_VALUE"""),2293)</f>
        <v>2293</v>
      </c>
      <c r="S323" s="1">
        <f ca="1">IFERROR(__xludf.DUMMYFUNCTION("""COMPUTED_VALUE"""),0.439)</f>
        <v>0.439</v>
      </c>
      <c r="T323" s="1">
        <f ca="1">IFERROR(__xludf.DUMMYFUNCTION("""COMPUTED_VALUE"""),233)</f>
        <v>233</v>
      </c>
      <c r="U323" s="1">
        <f ca="1">IFERROR(__xludf.DUMMYFUNCTION("""COMPUTED_VALUE"""),696)</f>
        <v>696</v>
      </c>
      <c r="V323" s="1">
        <f ca="1">IFERROR(__xludf.DUMMYFUNCTION("""COMPUTED_VALUE"""),0.335)</f>
        <v>0.33500000000000002</v>
      </c>
      <c r="W323" s="1">
        <f ca="1">IFERROR(__xludf.DUMMYFUNCTION("""COMPUTED_VALUE"""),569)</f>
        <v>569</v>
      </c>
      <c r="X323" s="1">
        <f ca="1">IFERROR(__xludf.DUMMYFUNCTION("""COMPUTED_VALUE"""),843)</f>
        <v>843</v>
      </c>
      <c r="Y323" s="1">
        <f ca="1">IFERROR(__xludf.DUMMYFUNCTION("""COMPUTED_VALUE"""),0.675)</f>
        <v>0.67500000000000004</v>
      </c>
      <c r="Z323" s="1">
        <f ca="1">IFERROR(__xludf.DUMMYFUNCTION("""COMPUTED_VALUE"""),560)</f>
        <v>560</v>
      </c>
      <c r="AA323" s="1">
        <f ca="1">IFERROR(__xludf.DUMMYFUNCTION("""COMPUTED_VALUE"""),1380)</f>
        <v>1380</v>
      </c>
      <c r="AB323" s="1">
        <f ca="1">IFERROR(__xludf.DUMMYFUNCTION("""COMPUTED_VALUE"""),562)</f>
        <v>562</v>
      </c>
      <c r="AC323" s="1">
        <f ca="1">IFERROR(__xludf.DUMMYFUNCTION("""COMPUTED_VALUE"""),360)</f>
        <v>360</v>
      </c>
      <c r="AD323" s="1">
        <f ca="1">IFERROR(__xludf.DUMMYFUNCTION("""COMPUTED_VALUE"""),248)</f>
        <v>248</v>
      </c>
      <c r="AE323" s="1">
        <f ca="1">IFERROR(__xludf.DUMMYFUNCTION("""COMPUTED_VALUE"""),495)</f>
        <v>495</v>
      </c>
      <c r="AF323" s="1">
        <f ca="1">IFERROR(__xludf.DUMMYFUNCTION("""COMPUTED_VALUE"""),637)</f>
        <v>637</v>
      </c>
    </row>
    <row r="324" spans="1:32" ht="12.5" x14ac:dyDescent="0.25">
      <c r="A324" s="1" t="str">
        <f ca="1">IFERROR(__xludf.DUMMYFUNCTION("""COMPUTED_VALUE"""),"TempleNCAA")</f>
        <v>TempleNCAA</v>
      </c>
      <c r="B324" s="1">
        <f ca="1">IFERROR(__xludf.DUMMYFUNCTION("""COMPUTED_VALUE"""),34)</f>
        <v>34</v>
      </c>
      <c r="C324" s="1">
        <f ca="1">IFERROR(__xludf.DUMMYFUNCTION("""COMPUTED_VALUE"""),24)</f>
        <v>24</v>
      </c>
      <c r="D324" s="1">
        <f ca="1">IFERROR(__xludf.DUMMYFUNCTION("""COMPUTED_VALUE"""),10)</f>
        <v>10</v>
      </c>
      <c r="E324" s="1">
        <f ca="1">IFERROR(__xludf.DUMMYFUNCTION("""COMPUTED_VALUE"""),0.706)</f>
        <v>0.70599999999999996</v>
      </c>
      <c r="F324" s="1">
        <f ca="1">IFERROR(__xludf.DUMMYFUNCTION("""COMPUTED_VALUE"""),9.52)</f>
        <v>9.52</v>
      </c>
      <c r="G324" s="1">
        <f ca="1">IFERROR(__xludf.DUMMYFUNCTION("""COMPUTED_VALUE"""),5.2)</f>
        <v>5.2</v>
      </c>
      <c r="H324" s="1">
        <f ca="1">IFERROR(__xludf.DUMMYFUNCTION("""COMPUTED_VALUE"""),11)</f>
        <v>11</v>
      </c>
      <c r="I324" s="1">
        <f ca="1">IFERROR(__xludf.DUMMYFUNCTION("""COMPUTED_VALUE"""),5)</f>
        <v>5</v>
      </c>
      <c r="J324" s="1">
        <f ca="1">IFERROR(__xludf.DUMMYFUNCTION("""COMPUTED_VALUE"""),14)</f>
        <v>14</v>
      </c>
      <c r="K324" s="1">
        <f ca="1">IFERROR(__xludf.DUMMYFUNCTION("""COMPUTED_VALUE"""),3)</f>
        <v>3</v>
      </c>
      <c r="L324" s="1">
        <f ca="1">IFERROR(__xludf.DUMMYFUNCTION("""COMPUTED_VALUE"""),8)</f>
        <v>8</v>
      </c>
      <c r="M324" s="1">
        <f ca="1">IFERROR(__xludf.DUMMYFUNCTION("""COMPUTED_VALUE"""),4)</f>
        <v>4</v>
      </c>
      <c r="N324" s="1">
        <f ca="1">IFERROR(__xludf.DUMMYFUNCTION("""COMPUTED_VALUE"""),2456)</f>
        <v>2456</v>
      </c>
      <c r="O324" s="1">
        <f ca="1">IFERROR(__xludf.DUMMYFUNCTION("""COMPUTED_VALUE"""),2309)</f>
        <v>2309</v>
      </c>
      <c r="P324" s="1">
        <f ca="1">IFERROR(__xludf.DUMMYFUNCTION("""COMPUTED_VALUE"""),1360)</f>
        <v>1360</v>
      </c>
      <c r="Q324" s="1">
        <f ca="1">IFERROR(__xludf.DUMMYFUNCTION("""COMPUTED_VALUE"""),851)</f>
        <v>851</v>
      </c>
      <c r="R324" s="1">
        <f ca="1">IFERROR(__xludf.DUMMYFUNCTION("""COMPUTED_VALUE"""),1986)</f>
        <v>1986</v>
      </c>
      <c r="S324" s="1">
        <f ca="1">IFERROR(__xludf.DUMMYFUNCTION("""COMPUTED_VALUE"""),0.428)</f>
        <v>0.42799999999999999</v>
      </c>
      <c r="T324" s="1">
        <f ca="1">IFERROR(__xludf.DUMMYFUNCTION("""COMPUTED_VALUE"""),243)</f>
        <v>243</v>
      </c>
      <c r="U324" s="1">
        <f ca="1">IFERROR(__xludf.DUMMYFUNCTION("""COMPUTED_VALUE"""),740)</f>
        <v>740</v>
      </c>
      <c r="V324" s="1">
        <f ca="1">IFERROR(__xludf.DUMMYFUNCTION("""COMPUTED_VALUE"""),0.328)</f>
        <v>0.32800000000000001</v>
      </c>
      <c r="W324" s="1">
        <f ca="1">IFERROR(__xludf.DUMMYFUNCTION("""COMPUTED_VALUE"""),511)</f>
        <v>511</v>
      </c>
      <c r="X324" s="1">
        <f ca="1">IFERROR(__xludf.DUMMYFUNCTION("""COMPUTED_VALUE"""),707)</f>
        <v>707</v>
      </c>
      <c r="Y324" s="1">
        <f ca="1">IFERROR(__xludf.DUMMYFUNCTION("""COMPUTED_VALUE"""),0.723)</f>
        <v>0.72299999999999998</v>
      </c>
      <c r="Z324" s="1">
        <f ca="1">IFERROR(__xludf.DUMMYFUNCTION("""COMPUTED_VALUE"""),381)</f>
        <v>381</v>
      </c>
      <c r="AA324" s="1">
        <f ca="1">IFERROR(__xludf.DUMMYFUNCTION("""COMPUTED_VALUE"""),1057)</f>
        <v>1057</v>
      </c>
      <c r="AB324" s="1">
        <f ca="1">IFERROR(__xludf.DUMMYFUNCTION("""COMPUTED_VALUE"""),497)</f>
        <v>497</v>
      </c>
      <c r="AC324" s="1">
        <f ca="1">IFERROR(__xludf.DUMMYFUNCTION("""COMPUTED_VALUE"""),267)</f>
        <v>267</v>
      </c>
      <c r="AD324" s="1">
        <f ca="1">IFERROR(__xludf.DUMMYFUNCTION("""COMPUTED_VALUE"""),126)</f>
        <v>126</v>
      </c>
      <c r="AE324" s="1">
        <f ca="1">IFERROR(__xludf.DUMMYFUNCTION("""COMPUTED_VALUE"""),366)</f>
        <v>366</v>
      </c>
      <c r="AF324" s="1">
        <f ca="1">IFERROR(__xludf.DUMMYFUNCTION("""COMPUTED_VALUE"""),558)</f>
        <v>558</v>
      </c>
    </row>
    <row r="325" spans="1:32" ht="12.5" x14ac:dyDescent="0.25">
      <c r="A325" s="1" t="str">
        <f ca="1">IFERROR(__xludf.DUMMYFUNCTION("""COMPUTED_VALUE"""),"Tennessee-Martin")</f>
        <v>Tennessee-Martin</v>
      </c>
      <c r="B325" s="1">
        <f ca="1">IFERROR(__xludf.DUMMYFUNCTION("""COMPUTED_VALUE"""),30)</f>
        <v>30</v>
      </c>
      <c r="C325" s="1">
        <f ca="1">IFERROR(__xludf.DUMMYFUNCTION("""COMPUTED_VALUE"""),9)</f>
        <v>9</v>
      </c>
      <c r="D325" s="1">
        <f ca="1">IFERROR(__xludf.DUMMYFUNCTION("""COMPUTED_VALUE"""),21)</f>
        <v>21</v>
      </c>
      <c r="E325" s="1">
        <f ca="1">IFERROR(__xludf.DUMMYFUNCTION("""COMPUTED_VALUE"""),0.3)</f>
        <v>0.3</v>
      </c>
      <c r="F325" s="1">
        <f ca="1">IFERROR(__xludf.DUMMYFUNCTION("""COMPUTED_VALUE"""),-16.58)</f>
        <v>-16.579999999999998</v>
      </c>
      <c r="G325" s="1">
        <f ca="1">IFERROR(__xludf.DUMMYFUNCTION("""COMPUTED_VALUE"""),-4.19)</f>
        <v>-4.1900000000000004</v>
      </c>
      <c r="H325" s="1">
        <f ca="1">IFERROR(__xludf.DUMMYFUNCTION("""COMPUTED_VALUE"""),5)</f>
        <v>5</v>
      </c>
      <c r="I325" s="1">
        <f ca="1">IFERROR(__xludf.DUMMYFUNCTION("""COMPUTED_VALUE"""),11)</f>
        <v>11</v>
      </c>
      <c r="J325" s="1">
        <f ca="1">IFERROR(__xludf.DUMMYFUNCTION("""COMPUTED_VALUE"""),7)</f>
        <v>7</v>
      </c>
      <c r="K325" s="1">
        <f ca="1">IFERROR(__xludf.DUMMYFUNCTION("""COMPUTED_VALUE"""),7)</f>
        <v>7</v>
      </c>
      <c r="L325" s="1">
        <f ca="1">IFERROR(__xludf.DUMMYFUNCTION("""COMPUTED_VALUE"""),2)</f>
        <v>2</v>
      </c>
      <c r="M325" s="1">
        <f ca="1">IFERROR(__xludf.DUMMYFUNCTION("""COMPUTED_VALUE"""),13)</f>
        <v>13</v>
      </c>
      <c r="N325" s="1">
        <f ca="1">IFERROR(__xludf.DUMMYFUNCTION("""COMPUTED_VALUE"""),2008)</f>
        <v>2008</v>
      </c>
      <c r="O325" s="1">
        <f ca="1">IFERROR(__xludf.DUMMYFUNCTION("""COMPUTED_VALUE"""),2295)</f>
        <v>2295</v>
      </c>
      <c r="P325" s="1">
        <f ca="1">IFERROR(__xludf.DUMMYFUNCTION("""COMPUTED_VALUE"""),1220)</f>
        <v>1220</v>
      </c>
      <c r="Q325" s="1">
        <f ca="1">IFERROR(__xludf.DUMMYFUNCTION("""COMPUTED_VALUE"""),682)</f>
        <v>682</v>
      </c>
      <c r="R325" s="1">
        <f ca="1">IFERROR(__xludf.DUMMYFUNCTION("""COMPUTED_VALUE"""),1733)</f>
        <v>1733</v>
      </c>
      <c r="S325" s="1">
        <f ca="1">IFERROR(__xludf.DUMMYFUNCTION("""COMPUTED_VALUE"""),0.394)</f>
        <v>0.39400000000000002</v>
      </c>
      <c r="T325" s="1">
        <f ca="1">IFERROR(__xludf.DUMMYFUNCTION("""COMPUTED_VALUE"""),169)</f>
        <v>169</v>
      </c>
      <c r="U325" s="1">
        <f ca="1">IFERROR(__xludf.DUMMYFUNCTION("""COMPUTED_VALUE"""),506)</f>
        <v>506</v>
      </c>
      <c r="V325" s="1">
        <f ca="1">IFERROR(__xludf.DUMMYFUNCTION("""COMPUTED_VALUE"""),0.334)</f>
        <v>0.33400000000000002</v>
      </c>
      <c r="W325" s="1">
        <f ca="1">IFERROR(__xludf.DUMMYFUNCTION("""COMPUTED_VALUE"""),475)</f>
        <v>475</v>
      </c>
      <c r="X325" s="1">
        <f ca="1">IFERROR(__xludf.DUMMYFUNCTION("""COMPUTED_VALUE"""),640)</f>
        <v>640</v>
      </c>
      <c r="Y325" s="1">
        <f ca="1">IFERROR(__xludf.DUMMYFUNCTION("""COMPUTED_VALUE"""),0.742)</f>
        <v>0.74199999999999999</v>
      </c>
      <c r="Z325" s="1">
        <f ca="1">IFERROR(__xludf.DUMMYFUNCTION("""COMPUTED_VALUE"""),376)</f>
        <v>376</v>
      </c>
      <c r="AA325" s="1">
        <f ca="1">IFERROR(__xludf.DUMMYFUNCTION("""COMPUTED_VALUE"""),964)</f>
        <v>964</v>
      </c>
      <c r="AB325" s="1">
        <f ca="1">IFERROR(__xludf.DUMMYFUNCTION("""COMPUTED_VALUE"""),370)</f>
        <v>370</v>
      </c>
      <c r="AC325" s="1">
        <f ca="1">IFERROR(__xludf.DUMMYFUNCTION("""COMPUTED_VALUE"""),206)</f>
        <v>206</v>
      </c>
      <c r="AD325" s="1">
        <f ca="1">IFERROR(__xludf.DUMMYFUNCTION("""COMPUTED_VALUE"""),76)</f>
        <v>76</v>
      </c>
      <c r="AE325" s="1">
        <f ca="1">IFERROR(__xludf.DUMMYFUNCTION("""COMPUTED_VALUE"""),452)</f>
        <v>452</v>
      </c>
      <c r="AF325" s="1">
        <f ca="1">IFERROR(__xludf.DUMMYFUNCTION("""COMPUTED_VALUE"""),634)</f>
        <v>634</v>
      </c>
    </row>
    <row r="326" spans="1:32" ht="12.5" x14ac:dyDescent="0.25">
      <c r="A326" s="1" t="str">
        <f ca="1">IFERROR(__xludf.DUMMYFUNCTION("""COMPUTED_VALUE"""),"Tennessee State")</f>
        <v>Tennessee State</v>
      </c>
      <c r="B326" s="1">
        <f ca="1">IFERROR(__xludf.DUMMYFUNCTION("""COMPUTED_VALUE"""),33)</f>
        <v>33</v>
      </c>
      <c r="C326" s="1">
        <f ca="1">IFERROR(__xludf.DUMMYFUNCTION("""COMPUTED_VALUE"""),18)</f>
        <v>18</v>
      </c>
      <c r="D326" s="1">
        <f ca="1">IFERROR(__xludf.DUMMYFUNCTION("""COMPUTED_VALUE"""),15)</f>
        <v>15</v>
      </c>
      <c r="E326" s="1">
        <f ca="1">IFERROR(__xludf.DUMMYFUNCTION("""COMPUTED_VALUE"""),0.545)</f>
        <v>0.54500000000000004</v>
      </c>
      <c r="F326" s="1">
        <f ca="1">IFERROR(__xludf.DUMMYFUNCTION("""COMPUTED_VALUE"""),-2.17)</f>
        <v>-2.17</v>
      </c>
      <c r="G326" s="1">
        <f ca="1">IFERROR(__xludf.DUMMYFUNCTION("""COMPUTED_VALUE"""),-1.3)</f>
        <v>-1.3</v>
      </c>
      <c r="H326" s="1">
        <f ca="1">IFERROR(__xludf.DUMMYFUNCTION("""COMPUTED_VALUE"""),11)</f>
        <v>11</v>
      </c>
      <c r="I326" s="1">
        <f ca="1">IFERROR(__xludf.DUMMYFUNCTION("""COMPUTED_VALUE"""),5)</f>
        <v>5</v>
      </c>
      <c r="J326" s="1">
        <f ca="1">IFERROR(__xludf.DUMMYFUNCTION("""COMPUTED_VALUE"""),11)</f>
        <v>11</v>
      </c>
      <c r="K326" s="1">
        <f ca="1">IFERROR(__xludf.DUMMYFUNCTION("""COMPUTED_VALUE"""),2)</f>
        <v>2</v>
      </c>
      <c r="L326" s="1">
        <f ca="1">IFERROR(__xludf.DUMMYFUNCTION("""COMPUTED_VALUE"""),5)</f>
        <v>5</v>
      </c>
      <c r="M326" s="1">
        <f ca="1">IFERROR(__xludf.DUMMYFUNCTION("""COMPUTED_VALUE"""),11)</f>
        <v>11</v>
      </c>
      <c r="N326" s="1">
        <f ca="1">IFERROR(__xludf.DUMMYFUNCTION("""COMPUTED_VALUE"""),2360)</f>
        <v>2360</v>
      </c>
      <c r="O326" s="1">
        <f ca="1">IFERROR(__xludf.DUMMYFUNCTION("""COMPUTED_VALUE"""),2308)</f>
        <v>2308</v>
      </c>
      <c r="P326" s="1">
        <f ca="1">IFERROR(__xludf.DUMMYFUNCTION("""COMPUTED_VALUE"""),1330)</f>
        <v>1330</v>
      </c>
      <c r="Q326" s="1">
        <f ca="1">IFERROR(__xludf.DUMMYFUNCTION("""COMPUTED_VALUE"""),800)</f>
        <v>800</v>
      </c>
      <c r="R326" s="1">
        <f ca="1">IFERROR(__xludf.DUMMYFUNCTION("""COMPUTED_VALUE"""),1822)</f>
        <v>1822</v>
      </c>
      <c r="S326" s="1">
        <f ca="1">IFERROR(__xludf.DUMMYFUNCTION("""COMPUTED_VALUE"""),0.439)</f>
        <v>0.439</v>
      </c>
      <c r="T326" s="1">
        <f ca="1">IFERROR(__xludf.DUMMYFUNCTION("""COMPUTED_VALUE"""),206)</f>
        <v>206</v>
      </c>
      <c r="U326" s="1">
        <f ca="1">IFERROR(__xludf.DUMMYFUNCTION("""COMPUTED_VALUE"""),611)</f>
        <v>611</v>
      </c>
      <c r="V326" s="1">
        <f ca="1">IFERROR(__xludf.DUMMYFUNCTION("""COMPUTED_VALUE"""),0.337)</f>
        <v>0.33700000000000002</v>
      </c>
      <c r="W326" s="1">
        <f ca="1">IFERROR(__xludf.DUMMYFUNCTION("""COMPUTED_VALUE"""),554)</f>
        <v>554</v>
      </c>
      <c r="X326" s="1">
        <f ca="1">IFERROR(__xludf.DUMMYFUNCTION("""COMPUTED_VALUE"""),741)</f>
        <v>741</v>
      </c>
      <c r="Y326" s="1">
        <f ca="1">IFERROR(__xludf.DUMMYFUNCTION("""COMPUTED_VALUE"""),0.748)</f>
        <v>0.748</v>
      </c>
      <c r="Z326" s="1">
        <f ca="1">IFERROR(__xludf.DUMMYFUNCTION("""COMPUTED_VALUE"""),399)</f>
        <v>399</v>
      </c>
      <c r="AA326" s="1">
        <f ca="1">IFERROR(__xludf.DUMMYFUNCTION("""COMPUTED_VALUE"""),1095)</f>
        <v>1095</v>
      </c>
      <c r="AB326" s="1">
        <f ca="1">IFERROR(__xludf.DUMMYFUNCTION("""COMPUTED_VALUE"""),432)</f>
        <v>432</v>
      </c>
      <c r="AC326" s="1">
        <f ca="1">IFERROR(__xludf.DUMMYFUNCTION("""COMPUTED_VALUE"""),238)</f>
        <v>238</v>
      </c>
      <c r="AD326" s="1">
        <f ca="1">IFERROR(__xludf.DUMMYFUNCTION("""COMPUTED_VALUE"""),145)</f>
        <v>145</v>
      </c>
      <c r="AE326" s="1">
        <f ca="1">IFERROR(__xludf.DUMMYFUNCTION("""COMPUTED_VALUE"""),508)</f>
        <v>508</v>
      </c>
      <c r="AF326" s="1">
        <f ca="1">IFERROR(__xludf.DUMMYFUNCTION("""COMPUTED_VALUE"""),631)</f>
        <v>631</v>
      </c>
    </row>
    <row r="327" spans="1:32" ht="12.5" x14ac:dyDescent="0.25">
      <c r="A327" s="1" t="str">
        <f ca="1">IFERROR(__xludf.DUMMYFUNCTION("""COMPUTED_VALUE"""),"Tennessee Tech")</f>
        <v>Tennessee Tech</v>
      </c>
      <c r="B327" s="1">
        <f ca="1">IFERROR(__xludf.DUMMYFUNCTION("""COMPUTED_VALUE"""),29)</f>
        <v>29</v>
      </c>
      <c r="C327" s="1">
        <f ca="1">IFERROR(__xludf.DUMMYFUNCTION("""COMPUTED_VALUE"""),12)</f>
        <v>12</v>
      </c>
      <c r="D327" s="1">
        <f ca="1">IFERROR(__xludf.DUMMYFUNCTION("""COMPUTED_VALUE"""),17)</f>
        <v>17</v>
      </c>
      <c r="E327" s="1">
        <f ca="1">IFERROR(__xludf.DUMMYFUNCTION("""COMPUTED_VALUE"""),0.414)</f>
        <v>0.41399999999999998</v>
      </c>
      <c r="F327" s="1">
        <f ca="1">IFERROR(__xludf.DUMMYFUNCTION("""COMPUTED_VALUE"""),-9.68)</f>
        <v>-9.68</v>
      </c>
      <c r="G327" s="1">
        <f ca="1">IFERROR(__xludf.DUMMYFUNCTION("""COMPUTED_VALUE"""),-3.31)</f>
        <v>-3.31</v>
      </c>
      <c r="H327" s="1">
        <f ca="1">IFERROR(__xludf.DUMMYFUNCTION("""COMPUTED_VALUE"""),5)</f>
        <v>5</v>
      </c>
      <c r="I327" s="1">
        <f ca="1">IFERROR(__xludf.DUMMYFUNCTION("""COMPUTED_VALUE"""),11)</f>
        <v>11</v>
      </c>
      <c r="J327" s="1">
        <f ca="1">IFERROR(__xludf.DUMMYFUNCTION("""COMPUTED_VALUE"""),9)</f>
        <v>9</v>
      </c>
      <c r="K327" s="1">
        <f ca="1">IFERROR(__xludf.DUMMYFUNCTION("""COMPUTED_VALUE"""),5)</f>
        <v>5</v>
      </c>
      <c r="L327" s="1">
        <f ca="1">IFERROR(__xludf.DUMMYFUNCTION("""COMPUTED_VALUE"""),3)</f>
        <v>3</v>
      </c>
      <c r="M327" s="1">
        <f ca="1">IFERROR(__xludf.DUMMYFUNCTION("""COMPUTED_VALUE"""),12)</f>
        <v>12</v>
      </c>
      <c r="N327" s="1">
        <f ca="1">IFERROR(__xludf.DUMMYFUNCTION("""COMPUTED_VALUE"""),1878)</f>
        <v>1878</v>
      </c>
      <c r="O327" s="1">
        <f ca="1">IFERROR(__xludf.DUMMYFUNCTION("""COMPUTED_VALUE"""),1951)</f>
        <v>1951</v>
      </c>
      <c r="P327" s="1">
        <f ca="1">IFERROR(__xludf.DUMMYFUNCTION("""COMPUTED_VALUE"""),1160)</f>
        <v>1160</v>
      </c>
      <c r="Q327" s="1">
        <f ca="1">IFERROR(__xludf.DUMMYFUNCTION("""COMPUTED_VALUE"""),650)</f>
        <v>650</v>
      </c>
      <c r="R327" s="1">
        <f ca="1">IFERROR(__xludf.DUMMYFUNCTION("""COMPUTED_VALUE"""),1527)</f>
        <v>1527</v>
      </c>
      <c r="S327" s="1">
        <f ca="1">IFERROR(__xludf.DUMMYFUNCTION("""COMPUTED_VALUE"""),0.426)</f>
        <v>0.42599999999999999</v>
      </c>
      <c r="T327" s="1">
        <f ca="1">IFERROR(__xludf.DUMMYFUNCTION("""COMPUTED_VALUE"""),177)</f>
        <v>177</v>
      </c>
      <c r="U327" s="1">
        <f ca="1">IFERROR(__xludf.DUMMYFUNCTION("""COMPUTED_VALUE"""),554)</f>
        <v>554</v>
      </c>
      <c r="V327" s="1">
        <f ca="1">IFERROR(__xludf.DUMMYFUNCTION("""COMPUTED_VALUE"""),0.319)</f>
        <v>0.31900000000000001</v>
      </c>
      <c r="W327" s="1">
        <f ca="1">IFERROR(__xludf.DUMMYFUNCTION("""COMPUTED_VALUE"""),401)</f>
        <v>401</v>
      </c>
      <c r="X327" s="1">
        <f ca="1">IFERROR(__xludf.DUMMYFUNCTION("""COMPUTED_VALUE"""),566)</f>
        <v>566</v>
      </c>
      <c r="Y327" s="1">
        <f ca="1">IFERROR(__xludf.DUMMYFUNCTION("""COMPUTED_VALUE"""),0.708)</f>
        <v>0.70799999999999996</v>
      </c>
      <c r="Z327" s="1">
        <f ca="1">IFERROR(__xludf.DUMMYFUNCTION("""COMPUTED_VALUE"""),346)</f>
        <v>346</v>
      </c>
      <c r="AA327" s="1">
        <f ca="1">IFERROR(__xludf.DUMMYFUNCTION("""COMPUTED_VALUE"""),896)</f>
        <v>896</v>
      </c>
      <c r="AB327" s="1">
        <f ca="1">IFERROR(__xludf.DUMMYFUNCTION("""COMPUTED_VALUE"""),340)</f>
        <v>340</v>
      </c>
      <c r="AC327" s="1">
        <f ca="1">IFERROR(__xludf.DUMMYFUNCTION("""COMPUTED_VALUE"""),185)</f>
        <v>185</v>
      </c>
      <c r="AD327" s="1">
        <f ca="1">IFERROR(__xludf.DUMMYFUNCTION("""COMPUTED_VALUE"""),104)</f>
        <v>104</v>
      </c>
      <c r="AE327" s="1">
        <f ca="1">IFERROR(__xludf.DUMMYFUNCTION("""COMPUTED_VALUE"""),468)</f>
        <v>468</v>
      </c>
      <c r="AF327" s="1">
        <f ca="1">IFERROR(__xludf.DUMMYFUNCTION("""COMPUTED_VALUE"""),605)</f>
        <v>605</v>
      </c>
    </row>
    <row r="328" spans="1:32" ht="12.5" x14ac:dyDescent="0.25">
      <c r="A328" s="1" t="str">
        <f ca="1">IFERROR(__xludf.DUMMYFUNCTION("""COMPUTED_VALUE"""),"Tennessee")</f>
        <v>Tennessee</v>
      </c>
      <c r="B328" s="1">
        <f ca="1">IFERROR(__xludf.DUMMYFUNCTION("""COMPUTED_VALUE"""),33)</f>
        <v>33</v>
      </c>
      <c r="C328" s="1">
        <f ca="1">IFERROR(__xludf.DUMMYFUNCTION("""COMPUTED_VALUE"""),20)</f>
        <v>20</v>
      </c>
      <c r="D328" s="1">
        <f ca="1">IFERROR(__xludf.DUMMYFUNCTION("""COMPUTED_VALUE"""),13)</f>
        <v>13</v>
      </c>
      <c r="E328" s="1">
        <f ca="1">IFERROR(__xludf.DUMMYFUNCTION("""COMPUTED_VALUE"""),0.606)</f>
        <v>0.60599999999999998</v>
      </c>
      <c r="F328" s="1">
        <f ca="1">IFERROR(__xludf.DUMMYFUNCTION("""COMPUTED_VALUE"""),9)</f>
        <v>9</v>
      </c>
      <c r="G328" s="1">
        <f ca="1">IFERROR(__xludf.DUMMYFUNCTION("""COMPUTED_VALUE"""),6.03)</f>
        <v>6.03</v>
      </c>
      <c r="H328" s="1">
        <f ca="1">IFERROR(__xludf.DUMMYFUNCTION("""COMPUTED_VALUE"""),11)</f>
        <v>11</v>
      </c>
      <c r="I328" s="1">
        <f ca="1">IFERROR(__xludf.DUMMYFUNCTION("""COMPUTED_VALUE"""),7)</f>
        <v>7</v>
      </c>
      <c r="J328" s="1">
        <f ca="1">IFERROR(__xludf.DUMMYFUNCTION("""COMPUTED_VALUE"""),13)</f>
        <v>13</v>
      </c>
      <c r="K328" s="1">
        <f ca="1">IFERROR(__xludf.DUMMYFUNCTION("""COMPUTED_VALUE"""),4)</f>
        <v>4</v>
      </c>
      <c r="L328" s="1">
        <f ca="1">IFERROR(__xludf.DUMMYFUNCTION("""COMPUTED_VALUE"""),4)</f>
        <v>4</v>
      </c>
      <c r="M328" s="1">
        <f ca="1">IFERROR(__xludf.DUMMYFUNCTION("""COMPUTED_VALUE"""),7)</f>
        <v>7</v>
      </c>
      <c r="N328" s="1">
        <f ca="1">IFERROR(__xludf.DUMMYFUNCTION("""COMPUTED_VALUE"""),2189)</f>
        <v>2189</v>
      </c>
      <c r="O328" s="1">
        <f ca="1">IFERROR(__xludf.DUMMYFUNCTION("""COMPUTED_VALUE"""),2091)</f>
        <v>2091</v>
      </c>
      <c r="P328" s="1">
        <f ca="1">IFERROR(__xludf.DUMMYFUNCTION("""COMPUTED_VALUE"""),1340)</f>
        <v>1340</v>
      </c>
      <c r="Q328" s="1">
        <f ca="1">IFERROR(__xludf.DUMMYFUNCTION("""COMPUTED_VALUE"""),753)</f>
        <v>753</v>
      </c>
      <c r="R328" s="1">
        <f ca="1">IFERROR(__xludf.DUMMYFUNCTION("""COMPUTED_VALUE"""),1751)</f>
        <v>1751</v>
      </c>
      <c r="S328" s="1">
        <f ca="1">IFERROR(__xludf.DUMMYFUNCTION("""COMPUTED_VALUE"""),0.43)</f>
        <v>0.43</v>
      </c>
      <c r="T328" s="1">
        <f ca="1">IFERROR(__xludf.DUMMYFUNCTION("""COMPUTED_VALUE"""),173)</f>
        <v>173</v>
      </c>
      <c r="U328" s="1">
        <f ca="1">IFERROR(__xludf.DUMMYFUNCTION("""COMPUTED_VALUE"""),548)</f>
        <v>548</v>
      </c>
      <c r="V328" s="1">
        <f ca="1">IFERROR(__xludf.DUMMYFUNCTION("""COMPUTED_VALUE"""),0.316)</f>
        <v>0.316</v>
      </c>
      <c r="W328" s="1">
        <f ca="1">IFERROR(__xludf.DUMMYFUNCTION("""COMPUTED_VALUE"""),510)</f>
        <v>510</v>
      </c>
      <c r="X328" s="1">
        <f ca="1">IFERROR(__xludf.DUMMYFUNCTION("""COMPUTED_VALUE"""),739)</f>
        <v>739</v>
      </c>
      <c r="Y328" s="1">
        <f ca="1">IFERROR(__xludf.DUMMYFUNCTION("""COMPUTED_VALUE"""),0.69)</f>
        <v>0.69</v>
      </c>
      <c r="Z328" s="1">
        <f ca="1">IFERROR(__xludf.DUMMYFUNCTION("""COMPUTED_VALUE"""),409)</f>
        <v>409</v>
      </c>
      <c r="AA328" s="1">
        <f ca="1">IFERROR(__xludf.DUMMYFUNCTION("""COMPUTED_VALUE"""),1121)</f>
        <v>1121</v>
      </c>
      <c r="AB328" s="1">
        <f ca="1">IFERROR(__xludf.DUMMYFUNCTION("""COMPUTED_VALUE"""),354)</f>
        <v>354</v>
      </c>
      <c r="AC328" s="1">
        <f ca="1">IFERROR(__xludf.DUMMYFUNCTION("""COMPUTED_VALUE"""),140)</f>
        <v>140</v>
      </c>
      <c r="AD328" s="1">
        <f ca="1">IFERROR(__xludf.DUMMYFUNCTION("""COMPUTED_VALUE"""),130)</f>
        <v>130</v>
      </c>
      <c r="AE328" s="1">
        <f ca="1">IFERROR(__xludf.DUMMYFUNCTION("""COMPUTED_VALUE"""),425)</f>
        <v>425</v>
      </c>
      <c r="AF328" s="1">
        <f ca="1">IFERROR(__xludf.DUMMYFUNCTION("""COMPUTED_VALUE"""),597)</f>
        <v>597</v>
      </c>
    </row>
    <row r="329" spans="1:32" ht="12.5" x14ac:dyDescent="0.25">
      <c r="A329" s="1" t="str">
        <f ca="1">IFERROR(__xludf.DUMMYFUNCTION("""COMPUTED_VALUE"""),"Texas A&amp;M-Corpus Christi")</f>
        <v>Texas A&amp;M-Corpus Christi</v>
      </c>
      <c r="B329" s="1">
        <f ca="1">IFERROR(__xludf.DUMMYFUNCTION("""COMPUTED_VALUE"""),29)</f>
        <v>29</v>
      </c>
      <c r="C329" s="1">
        <f ca="1">IFERROR(__xludf.DUMMYFUNCTION("""COMPUTED_VALUE"""),6)</f>
        <v>6</v>
      </c>
      <c r="D329" s="1">
        <f ca="1">IFERROR(__xludf.DUMMYFUNCTION("""COMPUTED_VALUE"""),23)</f>
        <v>23</v>
      </c>
      <c r="E329" s="1">
        <f ca="1">IFERROR(__xludf.DUMMYFUNCTION("""COMPUTED_VALUE"""),0.207)</f>
        <v>0.20699999999999999</v>
      </c>
      <c r="F329" s="1">
        <f ca="1">IFERROR(__xludf.DUMMYFUNCTION("""COMPUTED_VALUE"""),-11.76)</f>
        <v>-11.76</v>
      </c>
      <c r="G329" s="1">
        <f ca="1">IFERROR(__xludf.DUMMYFUNCTION("""COMPUTED_VALUE"""),-3.65)</f>
        <v>-3.65</v>
      </c>
      <c r="H329" s="1">
        <f ca="1">IFERROR(__xludf.DUMMYFUNCTION("""COMPUTED_VALUE"""),5)</f>
        <v>5</v>
      </c>
      <c r="I329" s="1">
        <f ca="1">IFERROR(__xludf.DUMMYFUNCTION("""COMPUTED_VALUE"""),13)</f>
        <v>13</v>
      </c>
      <c r="J329" s="1">
        <f ca="1">IFERROR(__xludf.DUMMYFUNCTION("""COMPUTED_VALUE"""),4)</f>
        <v>4</v>
      </c>
      <c r="K329" s="1">
        <f ca="1">IFERROR(__xludf.DUMMYFUNCTION("""COMPUTED_VALUE"""),9)</f>
        <v>9</v>
      </c>
      <c r="L329" s="1">
        <f ca="1">IFERROR(__xludf.DUMMYFUNCTION("""COMPUTED_VALUE"""),2)</f>
        <v>2</v>
      </c>
      <c r="M329" s="1">
        <f ca="1">IFERROR(__xludf.DUMMYFUNCTION("""COMPUTED_VALUE"""),14)</f>
        <v>14</v>
      </c>
      <c r="N329" s="1">
        <f ca="1">IFERROR(__xludf.DUMMYFUNCTION("""COMPUTED_VALUE"""),1746)</f>
        <v>1746</v>
      </c>
      <c r="O329" s="1">
        <f ca="1">IFERROR(__xludf.DUMMYFUNCTION("""COMPUTED_VALUE"""),1962)</f>
        <v>1962</v>
      </c>
      <c r="P329" s="1">
        <f ca="1">IFERROR(__xludf.DUMMYFUNCTION("""COMPUTED_VALUE"""),1160)</f>
        <v>1160</v>
      </c>
      <c r="Q329" s="1">
        <f ca="1">IFERROR(__xludf.DUMMYFUNCTION("""COMPUTED_VALUE"""),634)</f>
        <v>634</v>
      </c>
      <c r="R329" s="1">
        <f ca="1">IFERROR(__xludf.DUMMYFUNCTION("""COMPUTED_VALUE"""),1560)</f>
        <v>1560</v>
      </c>
      <c r="S329" s="1">
        <f ca="1">IFERROR(__xludf.DUMMYFUNCTION("""COMPUTED_VALUE"""),0.406)</f>
        <v>0.40600000000000003</v>
      </c>
      <c r="T329" s="1">
        <f ca="1">IFERROR(__xludf.DUMMYFUNCTION("""COMPUTED_VALUE"""),138)</f>
        <v>138</v>
      </c>
      <c r="U329" s="1">
        <f ca="1">IFERROR(__xludf.DUMMYFUNCTION("""COMPUTED_VALUE"""),463)</f>
        <v>463</v>
      </c>
      <c r="V329" s="1">
        <f ca="1">IFERROR(__xludf.DUMMYFUNCTION("""COMPUTED_VALUE"""),0.298)</f>
        <v>0.29799999999999999</v>
      </c>
      <c r="W329" s="1">
        <f ca="1">IFERROR(__xludf.DUMMYFUNCTION("""COMPUTED_VALUE"""),340)</f>
        <v>340</v>
      </c>
      <c r="X329" s="1">
        <f ca="1">IFERROR(__xludf.DUMMYFUNCTION("""COMPUTED_VALUE"""),500)</f>
        <v>500</v>
      </c>
      <c r="Y329" s="1">
        <f ca="1">IFERROR(__xludf.DUMMYFUNCTION("""COMPUTED_VALUE"""),0.68)</f>
        <v>0.68</v>
      </c>
      <c r="Z329" s="1">
        <f ca="1">IFERROR(__xludf.DUMMYFUNCTION("""COMPUTED_VALUE"""),308)</f>
        <v>308</v>
      </c>
      <c r="AA329" s="1">
        <f ca="1">IFERROR(__xludf.DUMMYFUNCTION("""COMPUTED_VALUE"""),824)</f>
        <v>824</v>
      </c>
      <c r="AB329" s="1">
        <f ca="1">IFERROR(__xludf.DUMMYFUNCTION("""COMPUTED_VALUE"""),316)</f>
        <v>316</v>
      </c>
      <c r="AC329" s="1">
        <f ca="1">IFERROR(__xludf.DUMMYFUNCTION("""COMPUTED_VALUE"""),184)</f>
        <v>184</v>
      </c>
      <c r="AD329" s="1">
        <f ca="1">IFERROR(__xludf.DUMMYFUNCTION("""COMPUTED_VALUE"""),107)</f>
        <v>107</v>
      </c>
      <c r="AE329" s="1">
        <f ca="1">IFERROR(__xludf.DUMMYFUNCTION("""COMPUTED_VALUE"""),351)</f>
        <v>351</v>
      </c>
      <c r="AF329" s="1">
        <f ca="1">IFERROR(__xludf.DUMMYFUNCTION("""COMPUTED_VALUE"""),568)</f>
        <v>568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IFERROR(__xludf.DUMMYFUNCTION("""COMPUTED_VALUE"""),"Texas A&amp;M")</f>
        <v>Texas A&amp;M</v>
      </c>
      <c r="B332" s="1">
        <f ca="1">IFERROR(__xludf.DUMMYFUNCTION("""COMPUTED_VALUE"""),33)</f>
        <v>33</v>
      </c>
      <c r="C332" s="1">
        <f ca="1">IFERROR(__xludf.DUMMYFUNCTION("""COMPUTED_VALUE"""),18)</f>
        <v>18</v>
      </c>
      <c r="D332" s="1">
        <f ca="1">IFERROR(__xludf.DUMMYFUNCTION("""COMPUTED_VALUE"""),15)</f>
        <v>15</v>
      </c>
      <c r="E332" s="1">
        <f ca="1">IFERROR(__xludf.DUMMYFUNCTION("""COMPUTED_VALUE"""),0.545)</f>
        <v>0.54500000000000004</v>
      </c>
      <c r="F332" s="1">
        <f ca="1">IFERROR(__xludf.DUMMYFUNCTION("""COMPUTED_VALUE"""),6.5)</f>
        <v>6.5</v>
      </c>
      <c r="G332" s="1">
        <f ca="1">IFERROR(__xludf.DUMMYFUNCTION("""COMPUTED_VALUE"""),4.86)</f>
        <v>4.8600000000000003</v>
      </c>
      <c r="H332" s="1">
        <f ca="1">IFERROR(__xludf.DUMMYFUNCTION("""COMPUTED_VALUE"""),7)</f>
        <v>7</v>
      </c>
      <c r="I332" s="1">
        <f ca="1">IFERROR(__xludf.DUMMYFUNCTION("""COMPUTED_VALUE"""),11)</f>
        <v>11</v>
      </c>
      <c r="J332" s="1">
        <f ca="1">IFERROR(__xludf.DUMMYFUNCTION("""COMPUTED_VALUE"""),12)</f>
        <v>12</v>
      </c>
      <c r="K332" s="1">
        <f ca="1">IFERROR(__xludf.DUMMYFUNCTION("""COMPUTED_VALUE"""),6)</f>
        <v>6</v>
      </c>
      <c r="L332" s="1">
        <f ca="1">IFERROR(__xludf.DUMMYFUNCTION("""COMPUTED_VALUE"""),4)</f>
        <v>4</v>
      </c>
      <c r="M332" s="1">
        <f ca="1">IFERROR(__xludf.DUMMYFUNCTION("""COMPUTED_VALUE"""),6)</f>
        <v>6</v>
      </c>
      <c r="N332" s="1">
        <f ca="1">IFERROR(__xludf.DUMMYFUNCTION("""COMPUTED_VALUE"""),2103)</f>
        <v>2103</v>
      </c>
      <c r="O332" s="1">
        <f ca="1">IFERROR(__xludf.DUMMYFUNCTION("""COMPUTED_VALUE"""),2049)</f>
        <v>2049</v>
      </c>
      <c r="P332" s="1">
        <f ca="1">IFERROR(__xludf.DUMMYFUNCTION("""COMPUTED_VALUE"""),1350)</f>
        <v>1350</v>
      </c>
      <c r="Q332" s="1">
        <f ca="1">IFERROR(__xludf.DUMMYFUNCTION("""COMPUTED_VALUE"""),767)</f>
        <v>767</v>
      </c>
      <c r="R332" s="1">
        <f ca="1">IFERROR(__xludf.DUMMYFUNCTION("""COMPUTED_VALUE"""),1742)</f>
        <v>1742</v>
      </c>
      <c r="S332" s="1">
        <f ca="1">IFERROR(__xludf.DUMMYFUNCTION("""COMPUTED_VALUE"""),0.44)</f>
        <v>0.44</v>
      </c>
      <c r="T332" s="1">
        <f ca="1">IFERROR(__xludf.DUMMYFUNCTION("""COMPUTED_VALUE"""),165)</f>
        <v>165</v>
      </c>
      <c r="U332" s="1">
        <f ca="1">IFERROR(__xludf.DUMMYFUNCTION("""COMPUTED_VALUE"""),463)</f>
        <v>463</v>
      </c>
      <c r="V332" s="1">
        <f ca="1">IFERROR(__xludf.DUMMYFUNCTION("""COMPUTED_VALUE"""),0.356)</f>
        <v>0.35599999999999998</v>
      </c>
      <c r="W332" s="1">
        <f ca="1">IFERROR(__xludf.DUMMYFUNCTION("""COMPUTED_VALUE"""),404)</f>
        <v>404</v>
      </c>
      <c r="X332" s="1">
        <f ca="1">IFERROR(__xludf.DUMMYFUNCTION("""COMPUTED_VALUE"""),573)</f>
        <v>573</v>
      </c>
      <c r="Y332" s="1">
        <f ca="1">IFERROR(__xludf.DUMMYFUNCTION("""COMPUTED_VALUE"""),0.705)</f>
        <v>0.70499999999999996</v>
      </c>
      <c r="Z332" s="1">
        <f ca="1">IFERROR(__xludf.DUMMYFUNCTION("""COMPUTED_VALUE"""),374)</f>
        <v>374</v>
      </c>
      <c r="AA332" s="1">
        <f ca="1">IFERROR(__xludf.DUMMYFUNCTION("""COMPUTED_VALUE"""),988)</f>
        <v>988</v>
      </c>
      <c r="AB332" s="1">
        <f ca="1">IFERROR(__xludf.DUMMYFUNCTION("""COMPUTED_VALUE"""),380)</f>
        <v>380</v>
      </c>
      <c r="AC332" s="1">
        <f ca="1">IFERROR(__xludf.DUMMYFUNCTION("""COMPUTED_VALUE"""),213)</f>
        <v>213</v>
      </c>
      <c r="AD332" s="1">
        <f ca="1">IFERROR(__xludf.DUMMYFUNCTION("""COMPUTED_VALUE"""),98)</f>
        <v>98</v>
      </c>
      <c r="AE332" s="1">
        <f ca="1">IFERROR(__xludf.DUMMYFUNCTION("""COMPUTED_VALUE"""),438)</f>
        <v>438</v>
      </c>
      <c r="AF332" s="1">
        <f ca="1">IFERROR(__xludf.DUMMYFUNCTION("""COMPUTED_VALUE"""),568)</f>
        <v>568</v>
      </c>
    </row>
    <row r="333" spans="1:32" ht="12.5" x14ac:dyDescent="0.25">
      <c r="A333" s="1" t="str">
        <f ca="1">IFERROR(__xludf.DUMMYFUNCTION("""COMPUTED_VALUE"""),"Texas-Arlington")</f>
        <v>Texas-Arlington</v>
      </c>
      <c r="B333" s="1">
        <f ca="1">IFERROR(__xludf.DUMMYFUNCTION("""COMPUTED_VALUE"""),33)</f>
        <v>33</v>
      </c>
      <c r="C333" s="1">
        <f ca="1">IFERROR(__xludf.DUMMYFUNCTION("""COMPUTED_VALUE"""),19)</f>
        <v>19</v>
      </c>
      <c r="D333" s="1">
        <f ca="1">IFERROR(__xludf.DUMMYFUNCTION("""COMPUTED_VALUE"""),14)</f>
        <v>14</v>
      </c>
      <c r="E333" s="1">
        <f ca="1">IFERROR(__xludf.DUMMYFUNCTION("""COMPUTED_VALUE"""),0.576)</f>
        <v>0.57599999999999996</v>
      </c>
      <c r="F333" s="1">
        <f ca="1">IFERROR(__xludf.DUMMYFUNCTION("""COMPUTED_VALUE"""),0.58)</f>
        <v>0.57999999999999996</v>
      </c>
      <c r="G333" s="1">
        <f ca="1">IFERROR(__xludf.DUMMYFUNCTION("""COMPUTED_VALUE"""),-0.9)</f>
        <v>-0.9</v>
      </c>
      <c r="H333" s="1">
        <f ca="1">IFERROR(__xludf.DUMMYFUNCTION("""COMPUTED_VALUE"""),11)</f>
        <v>11</v>
      </c>
      <c r="I333" s="1">
        <f ca="1">IFERROR(__xludf.DUMMYFUNCTION("""COMPUTED_VALUE"""),7)</f>
        <v>7</v>
      </c>
      <c r="J333" s="1">
        <f ca="1">IFERROR(__xludf.DUMMYFUNCTION("""COMPUTED_VALUE"""),7)</f>
        <v>7</v>
      </c>
      <c r="K333" s="1">
        <f ca="1">IFERROR(__xludf.DUMMYFUNCTION("""COMPUTED_VALUE"""),8)</f>
        <v>8</v>
      </c>
      <c r="L333" s="1">
        <f ca="1">IFERROR(__xludf.DUMMYFUNCTION("""COMPUTED_VALUE"""),10)</f>
        <v>10</v>
      </c>
      <c r="M333" s="1">
        <f ca="1">IFERROR(__xludf.DUMMYFUNCTION("""COMPUTED_VALUE"""),5)</f>
        <v>5</v>
      </c>
      <c r="N333" s="1">
        <f ca="1">IFERROR(__xludf.DUMMYFUNCTION("""COMPUTED_VALUE"""),2121)</f>
        <v>2121</v>
      </c>
      <c r="O333" s="1">
        <f ca="1">IFERROR(__xludf.DUMMYFUNCTION("""COMPUTED_VALUE"""),2072)</f>
        <v>2072</v>
      </c>
      <c r="P333" s="1">
        <f ca="1">IFERROR(__xludf.DUMMYFUNCTION("""COMPUTED_VALUE"""),1320)</f>
        <v>1320</v>
      </c>
      <c r="Q333" s="1">
        <f ca="1">IFERROR(__xludf.DUMMYFUNCTION("""COMPUTED_VALUE"""),750)</f>
        <v>750</v>
      </c>
      <c r="R333" s="1">
        <f ca="1">IFERROR(__xludf.DUMMYFUNCTION("""COMPUTED_VALUE"""),1820)</f>
        <v>1820</v>
      </c>
      <c r="S333" s="1">
        <f ca="1">IFERROR(__xludf.DUMMYFUNCTION("""COMPUTED_VALUE"""),0.412)</f>
        <v>0.41199999999999998</v>
      </c>
      <c r="T333" s="1">
        <f ca="1">IFERROR(__xludf.DUMMYFUNCTION("""COMPUTED_VALUE"""),189)</f>
        <v>189</v>
      </c>
      <c r="U333" s="1">
        <f ca="1">IFERROR(__xludf.DUMMYFUNCTION("""COMPUTED_VALUE"""),553)</f>
        <v>553</v>
      </c>
      <c r="V333" s="1">
        <f ca="1">IFERROR(__xludf.DUMMYFUNCTION("""COMPUTED_VALUE"""),0.342)</f>
        <v>0.34200000000000003</v>
      </c>
      <c r="W333" s="1">
        <f ca="1">IFERROR(__xludf.DUMMYFUNCTION("""COMPUTED_VALUE"""),432)</f>
        <v>432</v>
      </c>
      <c r="X333" s="1">
        <f ca="1">IFERROR(__xludf.DUMMYFUNCTION("""COMPUTED_VALUE"""),663)</f>
        <v>663</v>
      </c>
      <c r="Y333" s="1">
        <f ca="1">IFERROR(__xludf.DUMMYFUNCTION("""COMPUTED_VALUE"""),0.652)</f>
        <v>0.65200000000000002</v>
      </c>
      <c r="Z333" s="1">
        <f ca="1">IFERROR(__xludf.DUMMYFUNCTION("""COMPUTED_VALUE"""),435)</f>
        <v>435</v>
      </c>
      <c r="AA333" s="1">
        <f ca="1">IFERROR(__xludf.DUMMYFUNCTION("""COMPUTED_VALUE"""),1130)</f>
        <v>1130</v>
      </c>
      <c r="AB333" s="1">
        <f ca="1">IFERROR(__xludf.DUMMYFUNCTION("""COMPUTED_VALUE"""),411)</f>
        <v>411</v>
      </c>
      <c r="AC333" s="1">
        <f ca="1">IFERROR(__xludf.DUMMYFUNCTION("""COMPUTED_VALUE"""),251)</f>
        <v>251</v>
      </c>
      <c r="AD333" s="1">
        <f ca="1">IFERROR(__xludf.DUMMYFUNCTION("""COMPUTED_VALUE"""),118)</f>
        <v>118</v>
      </c>
      <c r="AE333" s="1">
        <f ca="1">IFERROR(__xludf.DUMMYFUNCTION("""COMPUTED_VALUE"""),486)</f>
        <v>486</v>
      </c>
      <c r="AF333" s="1">
        <f ca="1">IFERROR(__xludf.DUMMYFUNCTION("""COMPUTED_VALUE"""),685)</f>
        <v>685</v>
      </c>
    </row>
    <row r="334" spans="1:32" ht="12.5" x14ac:dyDescent="0.25">
      <c r="A334" s="1" t="str">
        <f ca="1">IFERROR(__xludf.DUMMYFUNCTION("""COMPUTED_VALUE"""),"Texas Christian")</f>
        <v>Texas Christian</v>
      </c>
      <c r="B334" s="1">
        <f ca="1">IFERROR(__xludf.DUMMYFUNCTION("""COMPUTED_VALUE"""),32)</f>
        <v>32</v>
      </c>
      <c r="C334" s="1">
        <f ca="1">IFERROR(__xludf.DUMMYFUNCTION("""COMPUTED_VALUE"""),11)</f>
        <v>11</v>
      </c>
      <c r="D334" s="1">
        <f ca="1">IFERROR(__xludf.DUMMYFUNCTION("""COMPUTED_VALUE"""),21)</f>
        <v>21</v>
      </c>
      <c r="E334" s="1">
        <f ca="1">IFERROR(__xludf.DUMMYFUNCTION("""COMPUTED_VALUE"""),0.344)</f>
        <v>0.34399999999999997</v>
      </c>
      <c r="F334" s="1">
        <f ca="1">IFERROR(__xludf.DUMMYFUNCTION("""COMPUTED_VALUE"""),-4.27)</f>
        <v>-4.2699999999999996</v>
      </c>
      <c r="G334" s="1">
        <f ca="1">IFERROR(__xludf.DUMMYFUNCTION("""COMPUTED_VALUE"""),4.41)</f>
        <v>4.41</v>
      </c>
      <c r="H334" s="1">
        <f ca="1">IFERROR(__xludf.DUMMYFUNCTION("""COMPUTED_VALUE"""),2)</f>
        <v>2</v>
      </c>
      <c r="I334" s="1">
        <f ca="1">IFERROR(__xludf.DUMMYFUNCTION("""COMPUTED_VALUE"""),16)</f>
        <v>16</v>
      </c>
      <c r="J334" s="1">
        <f ca="1">IFERROR(__xludf.DUMMYFUNCTION("""COMPUTED_VALUE"""),9)</f>
        <v>9</v>
      </c>
      <c r="K334" s="1">
        <f ca="1">IFERROR(__xludf.DUMMYFUNCTION("""COMPUTED_VALUE"""),9)</f>
        <v>9</v>
      </c>
      <c r="L334" s="1">
        <f ca="1">IFERROR(__xludf.DUMMYFUNCTION("""COMPUTED_VALUE"""),1)</f>
        <v>1</v>
      </c>
      <c r="M334" s="1">
        <f ca="1">IFERROR(__xludf.DUMMYFUNCTION("""COMPUTED_VALUE"""),10)</f>
        <v>10</v>
      </c>
      <c r="N334" s="1">
        <f ca="1">IFERROR(__xludf.DUMMYFUNCTION("""COMPUTED_VALUE"""),1761)</f>
        <v>1761</v>
      </c>
      <c r="O334" s="1">
        <f ca="1">IFERROR(__xludf.DUMMYFUNCTION("""COMPUTED_VALUE"""),2002)</f>
        <v>2002</v>
      </c>
      <c r="P334" s="1">
        <f ca="1">IFERROR(__xludf.DUMMYFUNCTION("""COMPUTED_VALUE"""),1281)</f>
        <v>1281</v>
      </c>
      <c r="Q334" s="1">
        <f ca="1">IFERROR(__xludf.DUMMYFUNCTION("""COMPUTED_VALUE"""),631)</f>
        <v>631</v>
      </c>
      <c r="R334" s="1">
        <f ca="1">IFERROR(__xludf.DUMMYFUNCTION("""COMPUTED_VALUE"""),1573)</f>
        <v>1573</v>
      </c>
      <c r="S334" s="1">
        <f ca="1">IFERROR(__xludf.DUMMYFUNCTION("""COMPUTED_VALUE"""),0.401)</f>
        <v>0.40100000000000002</v>
      </c>
      <c r="T334" s="1">
        <f ca="1">IFERROR(__xludf.DUMMYFUNCTION("""COMPUTED_VALUE"""),117)</f>
        <v>117</v>
      </c>
      <c r="U334" s="1">
        <f ca="1">IFERROR(__xludf.DUMMYFUNCTION("""COMPUTED_VALUE"""),376)</f>
        <v>376</v>
      </c>
      <c r="V334" s="1">
        <f ca="1">IFERROR(__xludf.DUMMYFUNCTION("""COMPUTED_VALUE"""),0.311)</f>
        <v>0.311</v>
      </c>
      <c r="W334" s="1">
        <f ca="1">IFERROR(__xludf.DUMMYFUNCTION("""COMPUTED_VALUE"""),382)</f>
        <v>382</v>
      </c>
      <c r="X334" s="1">
        <f ca="1">IFERROR(__xludf.DUMMYFUNCTION("""COMPUTED_VALUE"""),636)</f>
        <v>636</v>
      </c>
      <c r="Y334" s="1">
        <f ca="1">IFERROR(__xludf.DUMMYFUNCTION("""COMPUTED_VALUE"""),0.601)</f>
        <v>0.60099999999999998</v>
      </c>
      <c r="Z334" s="1">
        <f ca="1">IFERROR(__xludf.DUMMYFUNCTION("""COMPUTED_VALUE"""),345)</f>
        <v>345</v>
      </c>
      <c r="AA334" s="1">
        <f ca="1">IFERROR(__xludf.DUMMYFUNCTION("""COMPUTED_VALUE"""),928)</f>
        <v>928</v>
      </c>
      <c r="AB334" s="1">
        <f ca="1">IFERROR(__xludf.DUMMYFUNCTION("""COMPUTED_VALUE"""),322)</f>
        <v>322</v>
      </c>
      <c r="AC334" s="1">
        <f ca="1">IFERROR(__xludf.DUMMYFUNCTION("""COMPUTED_VALUE"""),172)</f>
        <v>172</v>
      </c>
      <c r="AD334" s="1">
        <f ca="1">IFERROR(__xludf.DUMMYFUNCTION("""COMPUTED_VALUE"""),90)</f>
        <v>90</v>
      </c>
      <c r="AE334" s="1">
        <f ca="1">IFERROR(__xludf.DUMMYFUNCTION("""COMPUTED_VALUE"""),432)</f>
        <v>432</v>
      </c>
      <c r="AF334" s="1">
        <f ca="1">IFERROR(__xludf.DUMMYFUNCTION("""COMPUTED_VALUE"""),528)</f>
        <v>528</v>
      </c>
    </row>
    <row r="335" spans="1:32" ht="12.5" x14ac:dyDescent="0.25">
      <c r="A335" s="1" t="str">
        <f ca="1">IFERROR(__xludf.DUMMYFUNCTION("""COMPUTED_VALUE"""),"Texas-El Paso")</f>
        <v>Texas-El Paso</v>
      </c>
      <c r="B335" s="1">
        <f ca="1">IFERROR(__xludf.DUMMYFUNCTION("""COMPUTED_VALUE"""),32)</f>
        <v>32</v>
      </c>
      <c r="C335" s="1">
        <f ca="1">IFERROR(__xludf.DUMMYFUNCTION("""COMPUTED_VALUE"""),18)</f>
        <v>18</v>
      </c>
      <c r="D335" s="1">
        <f ca="1">IFERROR(__xludf.DUMMYFUNCTION("""COMPUTED_VALUE"""),14)</f>
        <v>14</v>
      </c>
      <c r="E335" s="1">
        <f ca="1">IFERROR(__xludf.DUMMYFUNCTION("""COMPUTED_VALUE"""),0.563)</f>
        <v>0.56299999999999994</v>
      </c>
      <c r="F335" s="1">
        <f ca="1">IFERROR(__xludf.DUMMYFUNCTION("""COMPUTED_VALUE"""),4.63)</f>
        <v>4.63</v>
      </c>
      <c r="G335" s="1">
        <f ca="1">IFERROR(__xludf.DUMMYFUNCTION("""COMPUTED_VALUE"""),2.38)</f>
        <v>2.38</v>
      </c>
      <c r="H335" s="1">
        <f ca="1">IFERROR(__xludf.DUMMYFUNCTION("""COMPUTED_VALUE"""),10)</f>
        <v>10</v>
      </c>
      <c r="I335" s="1">
        <f ca="1">IFERROR(__xludf.DUMMYFUNCTION("""COMPUTED_VALUE"""),6)</f>
        <v>6</v>
      </c>
      <c r="J335" s="1">
        <f ca="1">IFERROR(__xludf.DUMMYFUNCTION("""COMPUTED_VALUE"""),12)</f>
        <v>12</v>
      </c>
      <c r="K335" s="1">
        <f ca="1">IFERROR(__xludf.DUMMYFUNCTION("""COMPUTED_VALUE"""),3)</f>
        <v>3</v>
      </c>
      <c r="L335" s="1">
        <f ca="1">IFERROR(__xludf.DUMMYFUNCTION("""COMPUTED_VALUE"""),4)</f>
        <v>4</v>
      </c>
      <c r="M335" s="1">
        <f ca="1">IFERROR(__xludf.DUMMYFUNCTION("""COMPUTED_VALUE"""),7)</f>
        <v>7</v>
      </c>
      <c r="N335" s="1">
        <f ca="1">IFERROR(__xludf.DUMMYFUNCTION("""COMPUTED_VALUE"""),2042)</f>
        <v>2042</v>
      </c>
      <c r="O335" s="1">
        <f ca="1">IFERROR(__xludf.DUMMYFUNCTION("""COMPUTED_VALUE"""),1970)</f>
        <v>1970</v>
      </c>
      <c r="P335" s="1">
        <f ca="1">IFERROR(__xludf.DUMMYFUNCTION("""COMPUTED_VALUE"""),1300)</f>
        <v>1300</v>
      </c>
      <c r="Q335" s="1">
        <f ca="1">IFERROR(__xludf.DUMMYFUNCTION("""COMPUTED_VALUE"""),706)</f>
        <v>706</v>
      </c>
      <c r="R335" s="1">
        <f ca="1">IFERROR(__xludf.DUMMYFUNCTION("""COMPUTED_VALUE"""),1571)</f>
        <v>1571</v>
      </c>
      <c r="S335" s="1">
        <f ca="1">IFERROR(__xludf.DUMMYFUNCTION("""COMPUTED_VALUE"""),0.449)</f>
        <v>0.44900000000000001</v>
      </c>
      <c r="T335" s="1">
        <f ca="1">IFERROR(__xludf.DUMMYFUNCTION("""COMPUTED_VALUE"""),177)</f>
        <v>177</v>
      </c>
      <c r="U335" s="1">
        <f ca="1">IFERROR(__xludf.DUMMYFUNCTION("""COMPUTED_VALUE"""),504)</f>
        <v>504</v>
      </c>
      <c r="V335" s="1">
        <f ca="1">IFERROR(__xludf.DUMMYFUNCTION("""COMPUTED_VALUE"""),0.351)</f>
        <v>0.35099999999999998</v>
      </c>
      <c r="W335" s="1">
        <f ca="1">IFERROR(__xludf.DUMMYFUNCTION("""COMPUTED_VALUE"""),453)</f>
        <v>453</v>
      </c>
      <c r="X335" s="1">
        <f ca="1">IFERROR(__xludf.DUMMYFUNCTION("""COMPUTED_VALUE"""),669)</f>
        <v>669</v>
      </c>
      <c r="Y335" s="1">
        <f ca="1">IFERROR(__xludf.DUMMYFUNCTION("""COMPUTED_VALUE"""),0.677)</f>
        <v>0.67700000000000005</v>
      </c>
      <c r="Z335" s="1">
        <f ca="1">IFERROR(__xludf.DUMMYFUNCTION("""COMPUTED_VALUE"""),274)</f>
        <v>274</v>
      </c>
      <c r="AA335" s="1">
        <f ca="1">IFERROR(__xludf.DUMMYFUNCTION("""COMPUTED_VALUE"""),898)</f>
        <v>898</v>
      </c>
      <c r="AB335" s="1">
        <f ca="1">IFERROR(__xludf.DUMMYFUNCTION("""COMPUTED_VALUE"""),428)</f>
        <v>428</v>
      </c>
      <c r="AC335" s="1">
        <f ca="1">IFERROR(__xludf.DUMMYFUNCTION("""COMPUTED_VALUE"""),171)</f>
        <v>171</v>
      </c>
      <c r="AD335" s="1">
        <f ca="1">IFERROR(__xludf.DUMMYFUNCTION("""COMPUTED_VALUE"""),118)</f>
        <v>118</v>
      </c>
      <c r="AE335" s="1">
        <f ca="1">IFERROR(__xludf.DUMMYFUNCTION("""COMPUTED_VALUE"""),396)</f>
        <v>396</v>
      </c>
      <c r="AF335" s="1">
        <f ca="1">IFERROR(__xludf.DUMMYFUNCTION("""COMPUTED_VALUE"""),548)</f>
        <v>548</v>
      </c>
    </row>
    <row r="336" spans="1:32" ht="12.5" x14ac:dyDescent="0.25">
      <c r="A336" s="1" t="str">
        <f ca="1">IFERROR(__xludf.DUMMYFUNCTION("""COMPUTED_VALUE"""),"Texas-Rio Grande Valley")</f>
        <v>Texas-Rio Grande Valley</v>
      </c>
      <c r="B336" s="1">
        <f ca="1">IFERROR(__xludf.DUMMYFUNCTION("""COMPUTED_VALUE"""),32)</f>
        <v>32</v>
      </c>
      <c r="C336" s="1">
        <f ca="1">IFERROR(__xludf.DUMMYFUNCTION("""COMPUTED_VALUE"""),16)</f>
        <v>16</v>
      </c>
      <c r="D336" s="1">
        <f ca="1">IFERROR(__xludf.DUMMYFUNCTION("""COMPUTED_VALUE"""),16)</f>
        <v>16</v>
      </c>
      <c r="E336" s="1">
        <f ca="1">IFERROR(__xludf.DUMMYFUNCTION("""COMPUTED_VALUE"""),0.5)</f>
        <v>0.5</v>
      </c>
      <c r="F336" s="1">
        <f ca="1">IFERROR(__xludf.DUMMYFUNCTION("""COMPUTED_VALUE"""),-13.35)</f>
        <v>-13.35</v>
      </c>
      <c r="G336" s="1">
        <f ca="1">IFERROR(__xludf.DUMMYFUNCTION("""COMPUTED_VALUE"""),-8.18)</f>
        <v>-8.18</v>
      </c>
      <c r="H336" s="1">
        <f ca="1">IFERROR(__xludf.DUMMYFUNCTION("""COMPUTED_VALUE"""),5)</f>
        <v>5</v>
      </c>
      <c r="I336" s="1">
        <f ca="1">IFERROR(__xludf.DUMMYFUNCTION("""COMPUTED_VALUE"""),3)</f>
        <v>3</v>
      </c>
      <c r="J336" s="1">
        <f ca="1">IFERROR(__xludf.DUMMYFUNCTION("""COMPUTED_VALUE"""),11)</f>
        <v>11</v>
      </c>
      <c r="K336" s="1">
        <f ca="1">IFERROR(__xludf.DUMMYFUNCTION("""COMPUTED_VALUE"""),2)</f>
        <v>2</v>
      </c>
      <c r="L336" s="1">
        <f ca="1">IFERROR(__xludf.DUMMYFUNCTION("""COMPUTED_VALUE"""),3)</f>
        <v>3</v>
      </c>
      <c r="M336" s="1">
        <f ca="1">IFERROR(__xludf.DUMMYFUNCTION("""COMPUTED_VALUE"""),11)</f>
        <v>11</v>
      </c>
      <c r="N336" s="1">
        <f ca="1">IFERROR(__xludf.DUMMYFUNCTION("""COMPUTED_VALUE"""),2101)</f>
        <v>2101</v>
      </c>
      <c r="O336" s="1">
        <f ca="1">IFERROR(__xludf.DUMMYFUNCTION("""COMPUTED_VALUE"""),2155)</f>
        <v>2155</v>
      </c>
      <c r="P336" s="1">
        <f ca="1">IFERROR(__xludf.DUMMYFUNCTION("""COMPUTED_VALUE"""),1310)</f>
        <v>1310</v>
      </c>
      <c r="Q336" s="1">
        <f ca="1">IFERROR(__xludf.DUMMYFUNCTION("""COMPUTED_VALUE"""),739)</f>
        <v>739</v>
      </c>
      <c r="R336" s="1">
        <f ca="1">IFERROR(__xludf.DUMMYFUNCTION("""COMPUTED_VALUE"""),1713)</f>
        <v>1713</v>
      </c>
      <c r="S336" s="1">
        <f ca="1">IFERROR(__xludf.DUMMYFUNCTION("""COMPUTED_VALUE"""),0.431)</f>
        <v>0.43099999999999999</v>
      </c>
      <c r="T336" s="1">
        <f ca="1">IFERROR(__xludf.DUMMYFUNCTION("""COMPUTED_VALUE"""),210)</f>
        <v>210</v>
      </c>
      <c r="U336" s="1">
        <f ca="1">IFERROR(__xludf.DUMMYFUNCTION("""COMPUTED_VALUE"""),562)</f>
        <v>562</v>
      </c>
      <c r="V336" s="1">
        <f ca="1">IFERROR(__xludf.DUMMYFUNCTION("""COMPUTED_VALUE"""),0.374)</f>
        <v>0.374</v>
      </c>
      <c r="W336" s="1">
        <f ca="1">IFERROR(__xludf.DUMMYFUNCTION("""COMPUTED_VALUE"""),413)</f>
        <v>413</v>
      </c>
      <c r="X336" s="1">
        <f ca="1">IFERROR(__xludf.DUMMYFUNCTION("""COMPUTED_VALUE"""),648)</f>
        <v>648</v>
      </c>
      <c r="Y336" s="1">
        <f ca="1">IFERROR(__xludf.DUMMYFUNCTION("""COMPUTED_VALUE"""),0.637)</f>
        <v>0.63700000000000001</v>
      </c>
      <c r="Z336" s="1">
        <f ca="1">IFERROR(__xludf.DUMMYFUNCTION("""COMPUTED_VALUE"""),328)</f>
        <v>328</v>
      </c>
      <c r="AA336" s="1">
        <f ca="1">IFERROR(__xludf.DUMMYFUNCTION("""COMPUTED_VALUE"""),937)</f>
        <v>937</v>
      </c>
      <c r="AB336" s="1">
        <f ca="1">IFERROR(__xludf.DUMMYFUNCTION("""COMPUTED_VALUE"""),412)</f>
        <v>412</v>
      </c>
      <c r="AC336" s="1">
        <f ca="1">IFERROR(__xludf.DUMMYFUNCTION("""COMPUTED_VALUE"""),217)</f>
        <v>217</v>
      </c>
      <c r="AD336" s="1">
        <f ca="1">IFERROR(__xludf.DUMMYFUNCTION("""COMPUTED_VALUE"""),62)</f>
        <v>62</v>
      </c>
      <c r="AE336" s="1">
        <f ca="1">IFERROR(__xludf.DUMMYFUNCTION("""COMPUTED_VALUE"""),459)</f>
        <v>459</v>
      </c>
      <c r="AF336" s="1">
        <f ca="1">IFERROR(__xludf.DUMMYFUNCTION("""COMPUTED_VALUE"""),560)</f>
        <v>560</v>
      </c>
    </row>
    <row r="337" spans="1:32" ht="12.5" x14ac:dyDescent="0.25">
      <c r="A337" s="1" t="str">
        <f ca="1">IFERROR(__xludf.DUMMYFUNCTION("""COMPUTED_VALUE"""),"Texas-San Antonio")</f>
        <v>Texas-San Antonio</v>
      </c>
      <c r="B337" s="1">
        <f ca="1">IFERROR(__xludf.DUMMYFUNCTION("""COMPUTED_VALUE"""),32)</f>
        <v>32</v>
      </c>
      <c r="C337" s="1">
        <f ca="1">IFERROR(__xludf.DUMMYFUNCTION("""COMPUTED_VALUE"""),10)</f>
        <v>10</v>
      </c>
      <c r="D337" s="1">
        <f ca="1">IFERROR(__xludf.DUMMYFUNCTION("""COMPUTED_VALUE"""),22)</f>
        <v>22</v>
      </c>
      <c r="E337" s="1">
        <f ca="1">IFERROR(__xludf.DUMMYFUNCTION("""COMPUTED_VALUE"""),0.313)</f>
        <v>0.313</v>
      </c>
      <c r="F337" s="1">
        <f ca="1">IFERROR(__xludf.DUMMYFUNCTION("""COMPUTED_VALUE"""),-6.47)</f>
        <v>-6.47</v>
      </c>
      <c r="G337" s="1">
        <f ca="1">IFERROR(__xludf.DUMMYFUNCTION("""COMPUTED_VALUE"""),-1)</f>
        <v>-1</v>
      </c>
      <c r="H337" s="1">
        <f ca="1">IFERROR(__xludf.DUMMYFUNCTION("""COMPUTED_VALUE"""),3)</f>
        <v>3</v>
      </c>
      <c r="I337" s="1">
        <f ca="1">IFERROR(__xludf.DUMMYFUNCTION("""COMPUTED_VALUE"""),14)</f>
        <v>14</v>
      </c>
      <c r="J337" s="1">
        <f ca="1">IFERROR(__xludf.DUMMYFUNCTION("""COMPUTED_VALUE"""),3)</f>
        <v>3</v>
      </c>
      <c r="K337" s="1">
        <f ca="1">IFERROR(__xludf.DUMMYFUNCTION("""COMPUTED_VALUE"""),9)</f>
        <v>9</v>
      </c>
      <c r="L337" s="1">
        <f ca="1">IFERROR(__xludf.DUMMYFUNCTION("""COMPUTED_VALUE"""),4)</f>
        <v>4</v>
      </c>
      <c r="M337" s="1">
        <f ca="1">IFERROR(__xludf.DUMMYFUNCTION("""COMPUTED_VALUE"""),11)</f>
        <v>11</v>
      </c>
      <c r="N337" s="1">
        <f ca="1">IFERROR(__xludf.DUMMYFUNCTION("""COMPUTED_VALUE"""),2048)</f>
        <v>2048</v>
      </c>
      <c r="O337" s="1">
        <f ca="1">IFERROR(__xludf.DUMMYFUNCTION("""COMPUTED_VALUE"""),2223)</f>
        <v>2223</v>
      </c>
      <c r="P337" s="1">
        <f ca="1">IFERROR(__xludf.DUMMYFUNCTION("""COMPUTED_VALUE"""),1285)</f>
        <v>1285</v>
      </c>
      <c r="Q337" s="1">
        <f ca="1">IFERROR(__xludf.DUMMYFUNCTION("""COMPUTED_VALUE"""),693)</f>
        <v>693</v>
      </c>
      <c r="R337" s="1">
        <f ca="1">IFERROR(__xludf.DUMMYFUNCTION("""COMPUTED_VALUE"""),1729)</f>
        <v>1729</v>
      </c>
      <c r="S337" s="1">
        <f ca="1">IFERROR(__xludf.DUMMYFUNCTION("""COMPUTED_VALUE"""),0.401)</f>
        <v>0.40100000000000002</v>
      </c>
      <c r="T337" s="1">
        <f ca="1">IFERROR(__xludf.DUMMYFUNCTION("""COMPUTED_VALUE"""),236)</f>
        <v>236</v>
      </c>
      <c r="U337" s="1">
        <f ca="1">IFERROR(__xludf.DUMMYFUNCTION("""COMPUTED_VALUE"""),706)</f>
        <v>706</v>
      </c>
      <c r="V337" s="1">
        <f ca="1">IFERROR(__xludf.DUMMYFUNCTION("""COMPUTED_VALUE"""),0.334)</f>
        <v>0.33400000000000002</v>
      </c>
      <c r="W337" s="1">
        <f ca="1">IFERROR(__xludf.DUMMYFUNCTION("""COMPUTED_VALUE"""),426)</f>
        <v>426</v>
      </c>
      <c r="X337" s="1">
        <f ca="1">IFERROR(__xludf.DUMMYFUNCTION("""COMPUTED_VALUE"""),630)</f>
        <v>630</v>
      </c>
      <c r="Y337" s="1">
        <f ca="1">IFERROR(__xludf.DUMMYFUNCTION("""COMPUTED_VALUE"""),0.676)</f>
        <v>0.67600000000000005</v>
      </c>
      <c r="Z337" s="1">
        <f ca="1">IFERROR(__xludf.DUMMYFUNCTION("""COMPUTED_VALUE"""),356)</f>
        <v>356</v>
      </c>
      <c r="AA337" s="1">
        <f ca="1">IFERROR(__xludf.DUMMYFUNCTION("""COMPUTED_VALUE"""),916)</f>
        <v>916</v>
      </c>
      <c r="AB337" s="1">
        <f ca="1">IFERROR(__xludf.DUMMYFUNCTION("""COMPUTED_VALUE"""),322)</f>
        <v>322</v>
      </c>
      <c r="AC337" s="1">
        <f ca="1">IFERROR(__xludf.DUMMYFUNCTION("""COMPUTED_VALUE"""),199)</f>
        <v>199</v>
      </c>
      <c r="AD337" s="1">
        <f ca="1">IFERROR(__xludf.DUMMYFUNCTION("""COMPUTED_VALUE"""),43)</f>
        <v>43</v>
      </c>
      <c r="AE337" s="1">
        <f ca="1">IFERROR(__xludf.DUMMYFUNCTION("""COMPUTED_VALUE"""),431)</f>
        <v>431</v>
      </c>
      <c r="AF337" s="1">
        <f ca="1">IFERROR(__xludf.DUMMYFUNCTION("""COMPUTED_VALUE"""),530)</f>
        <v>530</v>
      </c>
    </row>
    <row r="338" spans="1:32" ht="12.5" x14ac:dyDescent="0.25">
      <c r="A338" s="1" t="str">
        <f ca="1">IFERROR(__xludf.DUMMYFUNCTION("""COMPUTED_VALUE"""),"Texas Southern")</f>
        <v>Texas Southern</v>
      </c>
      <c r="B338" s="1">
        <f ca="1">IFERROR(__xludf.DUMMYFUNCTION("""COMPUTED_VALUE"""),31)</f>
        <v>31</v>
      </c>
      <c r="C338" s="1">
        <f ca="1">IFERROR(__xludf.DUMMYFUNCTION("""COMPUTED_VALUE"""),17)</f>
        <v>17</v>
      </c>
      <c r="D338" s="1">
        <f ca="1">IFERROR(__xludf.DUMMYFUNCTION("""COMPUTED_VALUE"""),14)</f>
        <v>14</v>
      </c>
      <c r="E338" s="1">
        <f ca="1">IFERROR(__xludf.DUMMYFUNCTION("""COMPUTED_VALUE"""),0.548)</f>
        <v>0.54800000000000004</v>
      </c>
      <c r="F338" s="1">
        <f ca="1">IFERROR(__xludf.DUMMYFUNCTION("""COMPUTED_VALUE"""),-2.09)</f>
        <v>-2.09</v>
      </c>
      <c r="G338" s="1">
        <f ca="1">IFERROR(__xludf.DUMMYFUNCTION("""COMPUTED_VALUE"""),-7.25)</f>
        <v>-7.25</v>
      </c>
      <c r="H338" s="1">
        <f ca="1">IFERROR(__xludf.DUMMYFUNCTION("""COMPUTED_VALUE"""),16)</f>
        <v>16</v>
      </c>
      <c r="I338" s="1">
        <f ca="1">IFERROR(__xludf.DUMMYFUNCTION("""COMPUTED_VALUE"""),2)</f>
        <v>2</v>
      </c>
      <c r="J338" s="1">
        <f ca="1">IFERROR(__xludf.DUMMYFUNCTION("""COMPUTED_VALUE"""),10)</f>
        <v>10</v>
      </c>
      <c r="K338" s="1">
        <f ca="1">IFERROR(__xludf.DUMMYFUNCTION("""COMPUTED_VALUE"""),3)</f>
        <v>3</v>
      </c>
      <c r="L338" s="1">
        <f ca="1">IFERROR(__xludf.DUMMYFUNCTION("""COMPUTED_VALUE"""),7)</f>
        <v>7</v>
      </c>
      <c r="M338" s="1">
        <f ca="1">IFERROR(__xludf.DUMMYFUNCTION("""COMPUTED_VALUE"""),11)</f>
        <v>11</v>
      </c>
      <c r="N338" s="1">
        <f ca="1">IFERROR(__xludf.DUMMYFUNCTION("""COMPUTED_VALUE"""),2179)</f>
        <v>2179</v>
      </c>
      <c r="O338" s="1">
        <f ca="1">IFERROR(__xludf.DUMMYFUNCTION("""COMPUTED_VALUE"""),2019)</f>
        <v>2019</v>
      </c>
      <c r="P338" s="1">
        <f ca="1">IFERROR(__xludf.DUMMYFUNCTION("""COMPUTED_VALUE"""),1260)</f>
        <v>1260</v>
      </c>
      <c r="Q338" s="1">
        <f ca="1">IFERROR(__xludf.DUMMYFUNCTION("""COMPUTED_VALUE"""),776)</f>
        <v>776</v>
      </c>
      <c r="R338" s="1">
        <f ca="1">IFERROR(__xludf.DUMMYFUNCTION("""COMPUTED_VALUE"""),1763)</f>
        <v>1763</v>
      </c>
      <c r="S338" s="1">
        <f ca="1">IFERROR(__xludf.DUMMYFUNCTION("""COMPUTED_VALUE"""),0.44)</f>
        <v>0.44</v>
      </c>
      <c r="T338" s="1">
        <f ca="1">IFERROR(__xludf.DUMMYFUNCTION("""COMPUTED_VALUE"""),277)</f>
        <v>277</v>
      </c>
      <c r="U338" s="1">
        <f ca="1">IFERROR(__xludf.DUMMYFUNCTION("""COMPUTED_VALUE"""),778)</f>
        <v>778</v>
      </c>
      <c r="V338" s="1">
        <f ca="1">IFERROR(__xludf.DUMMYFUNCTION("""COMPUTED_VALUE"""),0.356)</f>
        <v>0.35599999999999998</v>
      </c>
      <c r="W338" s="1">
        <f ca="1">IFERROR(__xludf.DUMMYFUNCTION("""COMPUTED_VALUE"""),350)</f>
        <v>350</v>
      </c>
      <c r="X338" s="1">
        <f ca="1">IFERROR(__xludf.DUMMYFUNCTION("""COMPUTED_VALUE"""),550)</f>
        <v>550</v>
      </c>
      <c r="Y338" s="1">
        <f ca="1">IFERROR(__xludf.DUMMYFUNCTION("""COMPUTED_VALUE"""),0.636)</f>
        <v>0.63600000000000001</v>
      </c>
      <c r="Z338" s="1">
        <f ca="1">IFERROR(__xludf.DUMMYFUNCTION("""COMPUTED_VALUE"""),341)</f>
        <v>341</v>
      </c>
      <c r="AA338" s="1">
        <f ca="1">IFERROR(__xludf.DUMMYFUNCTION("""COMPUTED_VALUE"""),1002)</f>
        <v>1002</v>
      </c>
      <c r="AB338" s="1">
        <f ca="1">IFERROR(__xludf.DUMMYFUNCTION("""COMPUTED_VALUE"""),437)</f>
        <v>437</v>
      </c>
      <c r="AC338" s="1">
        <f ca="1">IFERROR(__xludf.DUMMYFUNCTION("""COMPUTED_VALUE"""),159)</f>
        <v>159</v>
      </c>
      <c r="AD338" s="1">
        <f ca="1">IFERROR(__xludf.DUMMYFUNCTION("""COMPUTED_VALUE"""),142)</f>
        <v>142</v>
      </c>
      <c r="AE338" s="1">
        <f ca="1">IFERROR(__xludf.DUMMYFUNCTION("""COMPUTED_VALUE"""),367)</f>
        <v>367</v>
      </c>
      <c r="AF338" s="1">
        <f ca="1">IFERROR(__xludf.DUMMYFUNCTION("""COMPUTED_VALUE"""),508)</f>
        <v>508</v>
      </c>
    </row>
    <row r="339" spans="1:32" ht="12.5" x14ac:dyDescent="0.25">
      <c r="A339" s="1" t="str">
        <f ca="1">IFERROR(__xludf.DUMMYFUNCTION("""COMPUTED_VALUE"""),"Texas State")</f>
        <v>Texas State</v>
      </c>
      <c r="B339" s="1">
        <f ca="1">IFERROR(__xludf.DUMMYFUNCTION("""COMPUTED_VALUE"""),34)</f>
        <v>34</v>
      </c>
      <c r="C339" s="1">
        <f ca="1">IFERROR(__xludf.DUMMYFUNCTION("""COMPUTED_VALUE"""),12)</f>
        <v>12</v>
      </c>
      <c r="D339" s="1">
        <f ca="1">IFERROR(__xludf.DUMMYFUNCTION("""COMPUTED_VALUE"""),22)</f>
        <v>22</v>
      </c>
      <c r="E339" s="1">
        <f ca="1">IFERROR(__xludf.DUMMYFUNCTION("""COMPUTED_VALUE"""),0.353)</f>
        <v>0.35299999999999998</v>
      </c>
      <c r="F339" s="1">
        <f ca="1">IFERROR(__xludf.DUMMYFUNCTION("""COMPUTED_VALUE"""),-6.36)</f>
        <v>-6.36</v>
      </c>
      <c r="G339" s="1">
        <f ca="1">IFERROR(__xludf.DUMMYFUNCTION("""COMPUTED_VALUE"""),-0.9)</f>
        <v>-0.9</v>
      </c>
      <c r="H339" s="1">
        <f ca="1">IFERROR(__xludf.DUMMYFUNCTION("""COMPUTED_VALUE"""),5)</f>
        <v>5</v>
      </c>
      <c r="I339" s="1">
        <f ca="1">IFERROR(__xludf.DUMMYFUNCTION("""COMPUTED_VALUE"""),13)</f>
        <v>13</v>
      </c>
      <c r="J339" s="1">
        <f ca="1">IFERROR(__xludf.DUMMYFUNCTION("""COMPUTED_VALUE"""),4)</f>
        <v>4</v>
      </c>
      <c r="K339" s="1">
        <f ca="1">IFERROR(__xludf.DUMMYFUNCTION("""COMPUTED_VALUE"""),11)</f>
        <v>11</v>
      </c>
      <c r="L339" s="1">
        <f ca="1">IFERROR(__xludf.DUMMYFUNCTION("""COMPUTED_VALUE"""),5)</f>
        <v>5</v>
      </c>
      <c r="M339" s="1">
        <f ca="1">IFERROR(__xludf.DUMMYFUNCTION("""COMPUTED_VALUE"""),8)</f>
        <v>8</v>
      </c>
      <c r="N339" s="1">
        <f ca="1">IFERROR(__xludf.DUMMYFUNCTION("""COMPUTED_VALUE"""),2398)</f>
        <v>2398</v>
      </c>
      <c r="O339" s="1">
        <f ca="1">IFERROR(__xludf.DUMMYFUNCTION("""COMPUTED_VALUE"""),2558)</f>
        <v>2558</v>
      </c>
      <c r="P339" s="1">
        <f ca="1">IFERROR(__xludf.DUMMYFUNCTION("""COMPUTED_VALUE"""),1365)</f>
        <v>1365</v>
      </c>
      <c r="Q339" s="1">
        <f ca="1">IFERROR(__xludf.DUMMYFUNCTION("""COMPUTED_VALUE"""),829)</f>
        <v>829</v>
      </c>
      <c r="R339" s="1">
        <f ca="1">IFERROR(__xludf.DUMMYFUNCTION("""COMPUTED_VALUE"""),1974)</f>
        <v>1974</v>
      </c>
      <c r="S339" s="1">
        <f ca="1">IFERROR(__xludf.DUMMYFUNCTION("""COMPUTED_VALUE"""),0.42)</f>
        <v>0.42</v>
      </c>
      <c r="T339" s="1">
        <f ca="1">IFERROR(__xludf.DUMMYFUNCTION("""COMPUTED_VALUE"""),227)</f>
        <v>227</v>
      </c>
      <c r="U339" s="1">
        <f ca="1">IFERROR(__xludf.DUMMYFUNCTION("""COMPUTED_VALUE"""),685)</f>
        <v>685</v>
      </c>
      <c r="V339" s="1">
        <f ca="1">IFERROR(__xludf.DUMMYFUNCTION("""COMPUTED_VALUE"""),0.331)</f>
        <v>0.33100000000000002</v>
      </c>
      <c r="W339" s="1">
        <f ca="1">IFERROR(__xludf.DUMMYFUNCTION("""COMPUTED_VALUE"""),513)</f>
        <v>513</v>
      </c>
      <c r="X339" s="1">
        <f ca="1">IFERROR(__xludf.DUMMYFUNCTION("""COMPUTED_VALUE"""),727)</f>
        <v>727</v>
      </c>
      <c r="Y339" s="1">
        <f ca="1">IFERROR(__xludf.DUMMYFUNCTION("""COMPUTED_VALUE"""),0.706)</f>
        <v>0.70599999999999996</v>
      </c>
      <c r="Z339" s="1">
        <f ca="1">IFERROR(__xludf.DUMMYFUNCTION("""COMPUTED_VALUE"""),347)</f>
        <v>347</v>
      </c>
      <c r="AA339" s="1">
        <f ca="1">IFERROR(__xludf.DUMMYFUNCTION("""COMPUTED_VALUE"""),1012)</f>
        <v>1012</v>
      </c>
      <c r="AB339" s="1">
        <f ca="1">IFERROR(__xludf.DUMMYFUNCTION("""COMPUTED_VALUE"""),413)</f>
        <v>413</v>
      </c>
      <c r="AC339" s="1">
        <f ca="1">IFERROR(__xludf.DUMMYFUNCTION("""COMPUTED_VALUE"""),255)</f>
        <v>255</v>
      </c>
      <c r="AD339" s="1">
        <f ca="1">IFERROR(__xludf.DUMMYFUNCTION("""COMPUTED_VALUE"""),106)</f>
        <v>106</v>
      </c>
      <c r="AE339" s="1">
        <f ca="1">IFERROR(__xludf.DUMMYFUNCTION("""COMPUTED_VALUE"""),469)</f>
        <v>469</v>
      </c>
      <c r="AF339" s="1">
        <f ca="1">IFERROR(__xludf.DUMMYFUNCTION("""COMPUTED_VALUE"""),646)</f>
        <v>646</v>
      </c>
    </row>
    <row r="340" spans="1:32" ht="12.5" x14ac:dyDescent="0.25">
      <c r="A340" s="1" t="str">
        <f ca="1">IFERROR(__xludf.DUMMYFUNCTION("""COMPUTED_VALUE"""),"Texas Tech")</f>
        <v>Texas Tech</v>
      </c>
      <c r="B340" s="1">
        <f ca="1">IFERROR(__xludf.DUMMYFUNCTION("""COMPUTED_VALUE"""),31)</f>
        <v>31</v>
      </c>
      <c r="C340" s="1">
        <f ca="1">IFERROR(__xludf.DUMMYFUNCTION("""COMPUTED_VALUE"""),11)</f>
        <v>11</v>
      </c>
      <c r="D340" s="1">
        <f ca="1">IFERROR(__xludf.DUMMYFUNCTION("""COMPUTED_VALUE"""),20)</f>
        <v>20</v>
      </c>
      <c r="E340" s="1">
        <f ca="1">IFERROR(__xludf.DUMMYFUNCTION("""COMPUTED_VALUE"""),0.355)</f>
        <v>0.35499999999999998</v>
      </c>
      <c r="F340" s="1">
        <f ca="1">IFERROR(__xludf.DUMMYFUNCTION("""COMPUTED_VALUE"""),-3.11)</f>
        <v>-3.11</v>
      </c>
      <c r="G340" s="1">
        <f ca="1">IFERROR(__xludf.DUMMYFUNCTION("""COMPUTED_VALUE"""),4.31)</f>
        <v>4.3099999999999996</v>
      </c>
      <c r="H340" s="1">
        <f ca="1">IFERROR(__xludf.DUMMYFUNCTION("""COMPUTED_VALUE"""),3)</f>
        <v>3</v>
      </c>
      <c r="I340" s="1">
        <f ca="1">IFERROR(__xludf.DUMMYFUNCTION("""COMPUTED_VALUE"""),15)</f>
        <v>15</v>
      </c>
      <c r="J340" s="1">
        <f ca="1">IFERROR(__xludf.DUMMYFUNCTION("""COMPUTED_VALUE"""),9)</f>
        <v>9</v>
      </c>
      <c r="K340" s="1">
        <f ca="1">IFERROR(__xludf.DUMMYFUNCTION("""COMPUTED_VALUE"""),11)</f>
        <v>11</v>
      </c>
      <c r="L340" s="1">
        <f ca="1">IFERROR(__xludf.DUMMYFUNCTION("""COMPUTED_VALUE"""),1)</f>
        <v>1</v>
      </c>
      <c r="M340" s="1">
        <f ca="1">IFERROR(__xludf.DUMMYFUNCTION("""COMPUTED_VALUE"""),8)</f>
        <v>8</v>
      </c>
      <c r="N340" s="1">
        <f ca="1">IFERROR(__xludf.DUMMYFUNCTION("""COMPUTED_VALUE"""),2026)</f>
        <v>2026</v>
      </c>
      <c r="O340" s="1">
        <f ca="1">IFERROR(__xludf.DUMMYFUNCTION("""COMPUTED_VALUE"""),2256)</f>
        <v>2256</v>
      </c>
      <c r="P340" s="1">
        <f ca="1">IFERROR(__xludf.DUMMYFUNCTION("""COMPUTED_VALUE"""),1245)</f>
        <v>1245</v>
      </c>
      <c r="Q340" s="1">
        <f ca="1">IFERROR(__xludf.DUMMYFUNCTION("""COMPUTED_VALUE"""),721)</f>
        <v>721</v>
      </c>
      <c r="R340" s="1">
        <f ca="1">IFERROR(__xludf.DUMMYFUNCTION("""COMPUTED_VALUE"""),1712)</f>
        <v>1712</v>
      </c>
      <c r="S340" s="1">
        <f ca="1">IFERROR(__xludf.DUMMYFUNCTION("""COMPUTED_VALUE"""),0.421)</f>
        <v>0.42099999999999999</v>
      </c>
      <c r="T340" s="1">
        <f ca="1">IFERROR(__xludf.DUMMYFUNCTION("""COMPUTED_VALUE"""),149)</f>
        <v>149</v>
      </c>
      <c r="U340" s="1">
        <f ca="1">IFERROR(__xludf.DUMMYFUNCTION("""COMPUTED_VALUE"""),517)</f>
        <v>517</v>
      </c>
      <c r="V340" s="1">
        <f ca="1">IFERROR(__xludf.DUMMYFUNCTION("""COMPUTED_VALUE"""),0.288)</f>
        <v>0.28799999999999998</v>
      </c>
      <c r="W340" s="1">
        <f ca="1">IFERROR(__xludf.DUMMYFUNCTION("""COMPUTED_VALUE"""),435)</f>
        <v>435</v>
      </c>
      <c r="X340" s="1">
        <f ca="1">IFERROR(__xludf.DUMMYFUNCTION("""COMPUTED_VALUE"""),652)</f>
        <v>652</v>
      </c>
      <c r="Y340" s="1">
        <f ca="1">IFERROR(__xludf.DUMMYFUNCTION("""COMPUTED_VALUE"""),0.667)</f>
        <v>0.66700000000000004</v>
      </c>
      <c r="Z340" s="1">
        <f ca="1">IFERROR(__xludf.DUMMYFUNCTION("""COMPUTED_VALUE"""),349)</f>
        <v>349</v>
      </c>
      <c r="AA340" s="1">
        <f ca="1">IFERROR(__xludf.DUMMYFUNCTION("""COMPUTED_VALUE"""),907)</f>
        <v>907</v>
      </c>
      <c r="AB340" s="1">
        <f ca="1">IFERROR(__xludf.DUMMYFUNCTION("""COMPUTED_VALUE"""),344)</f>
        <v>344</v>
      </c>
      <c r="AC340" s="1">
        <f ca="1">IFERROR(__xludf.DUMMYFUNCTION("""COMPUTED_VALUE"""),255)</f>
        <v>255</v>
      </c>
      <c r="AD340" s="1">
        <f ca="1">IFERROR(__xludf.DUMMYFUNCTION("""COMPUTED_VALUE"""),94)</f>
        <v>94</v>
      </c>
      <c r="AE340" s="1">
        <f ca="1">IFERROR(__xludf.DUMMYFUNCTION("""COMPUTED_VALUE"""),456)</f>
        <v>456</v>
      </c>
      <c r="AF340" s="1">
        <f ca="1">IFERROR(__xludf.DUMMYFUNCTION("""COMPUTED_VALUE"""),594)</f>
        <v>594</v>
      </c>
    </row>
    <row r="341" spans="1:32" ht="12.5" x14ac:dyDescent="0.25">
      <c r="A341" s="1" t="str">
        <f ca="1">IFERROR(__xludf.DUMMYFUNCTION("""COMPUTED_VALUE"""),"Texas")</f>
        <v>Texas</v>
      </c>
      <c r="B341" s="1">
        <f ca="1">IFERROR(__xludf.DUMMYFUNCTION("""COMPUTED_VALUE"""),34)</f>
        <v>34</v>
      </c>
      <c r="C341" s="1">
        <f ca="1">IFERROR(__xludf.DUMMYFUNCTION("""COMPUTED_VALUE"""),16)</f>
        <v>16</v>
      </c>
      <c r="D341" s="1">
        <f ca="1">IFERROR(__xludf.DUMMYFUNCTION("""COMPUTED_VALUE"""),18)</f>
        <v>18</v>
      </c>
      <c r="E341" s="1">
        <f ca="1">IFERROR(__xludf.DUMMYFUNCTION("""COMPUTED_VALUE"""),0.471)</f>
        <v>0.47099999999999997</v>
      </c>
      <c r="F341" s="1">
        <f ca="1">IFERROR(__xludf.DUMMYFUNCTION("""COMPUTED_VALUE"""),6.85)</f>
        <v>6.85</v>
      </c>
      <c r="G341" s="1">
        <f ca="1">IFERROR(__xludf.DUMMYFUNCTION("""COMPUTED_VALUE"""),6.55)</f>
        <v>6.55</v>
      </c>
      <c r="H341" s="1">
        <f ca="1">IFERROR(__xludf.DUMMYFUNCTION("""COMPUTED_VALUE"""),7)</f>
        <v>7</v>
      </c>
      <c r="I341" s="1">
        <f ca="1">IFERROR(__xludf.DUMMYFUNCTION("""COMPUTED_VALUE"""),11)</f>
        <v>11</v>
      </c>
      <c r="J341" s="1">
        <f ca="1">IFERROR(__xludf.DUMMYFUNCTION("""COMPUTED_VALUE"""),12)</f>
        <v>12</v>
      </c>
      <c r="K341" s="1">
        <f ca="1">IFERROR(__xludf.DUMMYFUNCTION("""COMPUTED_VALUE"""),4)</f>
        <v>4</v>
      </c>
      <c r="L341" s="1">
        <f ca="1">IFERROR(__xludf.DUMMYFUNCTION("""COMPUTED_VALUE"""),2)</f>
        <v>2</v>
      </c>
      <c r="M341" s="1">
        <f ca="1">IFERROR(__xludf.DUMMYFUNCTION("""COMPUTED_VALUE"""),10)</f>
        <v>10</v>
      </c>
      <c r="N341" s="1">
        <f ca="1">IFERROR(__xludf.DUMMYFUNCTION("""COMPUTED_VALUE"""),2229)</f>
        <v>2229</v>
      </c>
      <c r="O341" s="1">
        <f ca="1">IFERROR(__xludf.DUMMYFUNCTION("""COMPUTED_VALUE"""),2232)</f>
        <v>2232</v>
      </c>
      <c r="P341" s="1">
        <f ca="1">IFERROR(__xludf.DUMMYFUNCTION("""COMPUTED_VALUE"""),1395)</f>
        <v>1395</v>
      </c>
      <c r="Q341" s="1">
        <f ca="1">IFERROR(__xludf.DUMMYFUNCTION("""COMPUTED_VALUE"""),776)</f>
        <v>776</v>
      </c>
      <c r="R341" s="1">
        <f ca="1">IFERROR(__xludf.DUMMYFUNCTION("""COMPUTED_VALUE"""),1880)</f>
        <v>1880</v>
      </c>
      <c r="S341" s="1">
        <f ca="1">IFERROR(__xludf.DUMMYFUNCTION("""COMPUTED_VALUE"""),0.413)</f>
        <v>0.41299999999999998</v>
      </c>
      <c r="T341" s="1">
        <f ca="1">IFERROR(__xludf.DUMMYFUNCTION("""COMPUTED_VALUE"""),172)</f>
        <v>172</v>
      </c>
      <c r="U341" s="1">
        <f ca="1">IFERROR(__xludf.DUMMYFUNCTION("""COMPUTED_VALUE"""),580)</f>
        <v>580</v>
      </c>
      <c r="V341" s="1">
        <f ca="1">IFERROR(__xludf.DUMMYFUNCTION("""COMPUTED_VALUE"""),0.297)</f>
        <v>0.29699999999999999</v>
      </c>
      <c r="W341" s="1">
        <f ca="1">IFERROR(__xludf.DUMMYFUNCTION("""COMPUTED_VALUE"""),505)</f>
        <v>505</v>
      </c>
      <c r="X341" s="1">
        <f ca="1">IFERROR(__xludf.DUMMYFUNCTION("""COMPUTED_VALUE"""),766)</f>
        <v>766</v>
      </c>
      <c r="Y341" s="1">
        <f ca="1">IFERROR(__xludf.DUMMYFUNCTION("""COMPUTED_VALUE"""),0.659)</f>
        <v>0.65900000000000003</v>
      </c>
      <c r="Z341" s="1">
        <f ca="1">IFERROR(__xludf.DUMMYFUNCTION("""COMPUTED_VALUE"""),418)</f>
        <v>418</v>
      </c>
      <c r="AA341" s="1">
        <f ca="1">IFERROR(__xludf.DUMMYFUNCTION("""COMPUTED_VALUE"""),1179)</f>
        <v>1179</v>
      </c>
      <c r="AB341" s="1">
        <f ca="1">IFERROR(__xludf.DUMMYFUNCTION("""COMPUTED_VALUE"""),391)</f>
        <v>391</v>
      </c>
      <c r="AC341" s="1">
        <f ca="1">IFERROR(__xludf.DUMMYFUNCTION("""COMPUTED_VALUE"""),219)</f>
        <v>219</v>
      </c>
      <c r="AD341" s="1">
        <f ca="1">IFERROR(__xludf.DUMMYFUNCTION("""COMPUTED_VALUE"""),163)</f>
        <v>163</v>
      </c>
      <c r="AE341" s="1">
        <f ca="1">IFERROR(__xludf.DUMMYFUNCTION("""COMPUTED_VALUE"""),500)</f>
        <v>500</v>
      </c>
      <c r="AF341" s="1">
        <f ca="1">IFERROR(__xludf.DUMMYFUNCTION("""COMPUTED_VALUE"""),657)</f>
        <v>657</v>
      </c>
    </row>
    <row r="342" spans="1:32" ht="12.5" x14ac:dyDescent="0.25">
      <c r="A342" s="1" t="str">
        <f ca="1">IFERROR(__xludf.DUMMYFUNCTION("""COMPUTED_VALUE"""),"Toledo")</f>
        <v>Toledo</v>
      </c>
      <c r="B342" s="1">
        <f ca="1">IFERROR(__xludf.DUMMYFUNCTION("""COMPUTED_VALUE"""),28)</f>
        <v>28</v>
      </c>
      <c r="C342" s="1">
        <f ca="1">IFERROR(__xludf.DUMMYFUNCTION("""COMPUTED_VALUE"""),15)</f>
        <v>15</v>
      </c>
      <c r="D342" s="1">
        <f ca="1">IFERROR(__xludf.DUMMYFUNCTION("""COMPUTED_VALUE"""),13)</f>
        <v>13</v>
      </c>
      <c r="E342" s="1">
        <f ca="1">IFERROR(__xludf.DUMMYFUNCTION("""COMPUTED_VALUE"""),0.536)</f>
        <v>0.53600000000000003</v>
      </c>
      <c r="F342" s="1">
        <f ca="1">IFERROR(__xludf.DUMMYFUNCTION("""COMPUTED_VALUE"""),-2.43)</f>
        <v>-2.4300000000000002</v>
      </c>
      <c r="G342" s="1">
        <f ca="1">IFERROR(__xludf.DUMMYFUNCTION("""COMPUTED_VALUE"""),-3.04)</f>
        <v>-3.04</v>
      </c>
      <c r="H342" s="1">
        <f ca="1">IFERROR(__xludf.DUMMYFUNCTION("""COMPUTED_VALUE"""),10)</f>
        <v>10</v>
      </c>
      <c r="I342" s="1">
        <f ca="1">IFERROR(__xludf.DUMMYFUNCTION("""COMPUTED_VALUE"""),6)</f>
        <v>6</v>
      </c>
      <c r="J342" s="1">
        <f ca="1">IFERROR(__xludf.DUMMYFUNCTION("""COMPUTED_VALUE"""),8)</f>
        <v>8</v>
      </c>
      <c r="K342" s="1">
        <f ca="1">IFERROR(__xludf.DUMMYFUNCTION("""COMPUTED_VALUE"""),4)</f>
        <v>4</v>
      </c>
      <c r="L342" s="1">
        <f ca="1">IFERROR(__xludf.DUMMYFUNCTION("""COMPUTED_VALUE"""),6)</f>
        <v>6</v>
      </c>
      <c r="M342" s="1">
        <f ca="1">IFERROR(__xludf.DUMMYFUNCTION("""COMPUTED_VALUE"""),9)</f>
        <v>9</v>
      </c>
      <c r="N342" s="1">
        <f ca="1">IFERROR(__xludf.DUMMYFUNCTION("""COMPUTED_VALUE"""),1928)</f>
        <v>1928</v>
      </c>
      <c r="O342" s="1">
        <f ca="1">IFERROR(__xludf.DUMMYFUNCTION("""COMPUTED_VALUE"""),1911)</f>
        <v>1911</v>
      </c>
      <c r="P342" s="1">
        <f ca="1">IFERROR(__xludf.DUMMYFUNCTION("""COMPUTED_VALUE"""),1130)</f>
        <v>1130</v>
      </c>
      <c r="Q342" s="1">
        <f ca="1">IFERROR(__xludf.DUMMYFUNCTION("""COMPUTED_VALUE"""),661)</f>
        <v>661</v>
      </c>
      <c r="R342" s="1">
        <f ca="1">IFERROR(__xludf.DUMMYFUNCTION("""COMPUTED_VALUE"""),1541)</f>
        <v>1541</v>
      </c>
      <c r="S342" s="1">
        <f ca="1">IFERROR(__xludf.DUMMYFUNCTION("""COMPUTED_VALUE"""),0.429)</f>
        <v>0.42899999999999999</v>
      </c>
      <c r="T342" s="1">
        <f ca="1">IFERROR(__xludf.DUMMYFUNCTION("""COMPUTED_VALUE"""),166)</f>
        <v>166</v>
      </c>
      <c r="U342" s="1">
        <f ca="1">IFERROR(__xludf.DUMMYFUNCTION("""COMPUTED_VALUE"""),495)</f>
        <v>495</v>
      </c>
      <c r="V342" s="1">
        <f ca="1">IFERROR(__xludf.DUMMYFUNCTION("""COMPUTED_VALUE"""),0.335)</f>
        <v>0.33500000000000002</v>
      </c>
      <c r="W342" s="1">
        <f ca="1">IFERROR(__xludf.DUMMYFUNCTION("""COMPUTED_VALUE"""),440)</f>
        <v>440</v>
      </c>
      <c r="X342" s="1">
        <f ca="1">IFERROR(__xludf.DUMMYFUNCTION("""COMPUTED_VALUE"""),578)</f>
        <v>578</v>
      </c>
      <c r="Y342" s="1">
        <f ca="1">IFERROR(__xludf.DUMMYFUNCTION("""COMPUTED_VALUE"""),0.761)</f>
        <v>0.76100000000000001</v>
      </c>
      <c r="Z342" s="1">
        <f ca="1">IFERROR(__xludf.DUMMYFUNCTION("""COMPUTED_VALUE"""),272)</f>
        <v>272</v>
      </c>
      <c r="AA342" s="1">
        <f ca="1">IFERROR(__xludf.DUMMYFUNCTION("""COMPUTED_VALUE"""),811)</f>
        <v>811</v>
      </c>
      <c r="AB342" s="1">
        <f ca="1">IFERROR(__xludf.DUMMYFUNCTION("""COMPUTED_VALUE"""),365)</f>
        <v>365</v>
      </c>
      <c r="AC342" s="1">
        <f ca="1">IFERROR(__xludf.DUMMYFUNCTION("""COMPUTED_VALUE"""),197)</f>
        <v>197</v>
      </c>
      <c r="AD342" s="1">
        <f ca="1">IFERROR(__xludf.DUMMYFUNCTION("""COMPUTED_VALUE"""),93)</f>
        <v>93</v>
      </c>
      <c r="AE342" s="1">
        <f ca="1">IFERROR(__xludf.DUMMYFUNCTION("""COMPUTED_VALUE"""),336)</f>
        <v>336</v>
      </c>
      <c r="AF342" s="1">
        <f ca="1">IFERROR(__xludf.DUMMYFUNCTION("""COMPUTED_VALUE"""),479)</f>
        <v>479</v>
      </c>
    </row>
    <row r="343" spans="1:32" ht="12.5" x14ac:dyDescent="0.25">
      <c r="A343" s="1" t="str">
        <f ca="1">IFERROR(__xludf.DUMMYFUNCTION("""COMPUTED_VALUE"""),"Towson")</f>
        <v>Towson</v>
      </c>
      <c r="B343" s="1">
        <f ca="1">IFERROR(__xludf.DUMMYFUNCTION("""COMPUTED_VALUE"""),31)</f>
        <v>31</v>
      </c>
      <c r="C343" s="1">
        <f ca="1">IFERROR(__xludf.DUMMYFUNCTION("""COMPUTED_VALUE"""),18)</f>
        <v>18</v>
      </c>
      <c r="D343" s="1">
        <f ca="1">IFERROR(__xludf.DUMMYFUNCTION("""COMPUTED_VALUE"""),13)</f>
        <v>13</v>
      </c>
      <c r="E343" s="1">
        <f ca="1">IFERROR(__xludf.DUMMYFUNCTION("""COMPUTED_VALUE"""),0.581)</f>
        <v>0.58099999999999996</v>
      </c>
      <c r="F343" s="1">
        <f ca="1">IFERROR(__xludf.DUMMYFUNCTION("""COMPUTED_VALUE"""),-1.92)</f>
        <v>-1.92</v>
      </c>
      <c r="G343" s="1">
        <f ca="1">IFERROR(__xludf.DUMMYFUNCTION("""COMPUTED_VALUE"""),-2.59)</f>
        <v>-2.59</v>
      </c>
      <c r="H343" s="1">
        <f ca="1">IFERROR(__xludf.DUMMYFUNCTION("""COMPUTED_VALUE"""),13)</f>
        <v>13</v>
      </c>
      <c r="I343" s="1">
        <f ca="1">IFERROR(__xludf.DUMMYFUNCTION("""COMPUTED_VALUE"""),5)</f>
        <v>5</v>
      </c>
      <c r="J343" s="1">
        <f ca="1">IFERROR(__xludf.DUMMYFUNCTION("""COMPUTED_VALUE"""),6)</f>
        <v>6</v>
      </c>
      <c r="K343" s="1">
        <f ca="1">IFERROR(__xludf.DUMMYFUNCTION("""COMPUTED_VALUE"""),5)</f>
        <v>5</v>
      </c>
      <c r="L343" s="1">
        <f ca="1">IFERROR(__xludf.DUMMYFUNCTION("""COMPUTED_VALUE"""),9)</f>
        <v>9</v>
      </c>
      <c r="M343" s="1">
        <f ca="1">IFERROR(__xludf.DUMMYFUNCTION("""COMPUTED_VALUE"""),8)</f>
        <v>8</v>
      </c>
      <c r="N343" s="1">
        <f ca="1">IFERROR(__xludf.DUMMYFUNCTION("""COMPUTED_VALUE"""),2125)</f>
        <v>2125</v>
      </c>
      <c r="O343" s="1">
        <f ca="1">IFERROR(__xludf.DUMMYFUNCTION("""COMPUTED_VALUE"""),2066)</f>
        <v>2066</v>
      </c>
      <c r="P343" s="1">
        <f ca="1">IFERROR(__xludf.DUMMYFUNCTION("""COMPUTED_VALUE"""),1270)</f>
        <v>1270</v>
      </c>
      <c r="Q343" s="1">
        <f ca="1">IFERROR(__xludf.DUMMYFUNCTION("""COMPUTED_VALUE"""),754)</f>
        <v>754</v>
      </c>
      <c r="R343" s="1">
        <f ca="1">IFERROR(__xludf.DUMMYFUNCTION("""COMPUTED_VALUE"""),1717)</f>
        <v>1717</v>
      </c>
      <c r="S343" s="1">
        <f ca="1">IFERROR(__xludf.DUMMYFUNCTION("""COMPUTED_VALUE"""),0.439)</f>
        <v>0.439</v>
      </c>
      <c r="T343" s="1">
        <f ca="1">IFERROR(__xludf.DUMMYFUNCTION("""COMPUTED_VALUE"""),168)</f>
        <v>168</v>
      </c>
      <c r="U343" s="1">
        <f ca="1">IFERROR(__xludf.DUMMYFUNCTION("""COMPUTED_VALUE"""),525)</f>
        <v>525</v>
      </c>
      <c r="V343" s="1">
        <f ca="1">IFERROR(__xludf.DUMMYFUNCTION("""COMPUTED_VALUE"""),0.32)</f>
        <v>0.32</v>
      </c>
      <c r="W343" s="1">
        <f ca="1">IFERROR(__xludf.DUMMYFUNCTION("""COMPUTED_VALUE"""),449)</f>
        <v>449</v>
      </c>
      <c r="X343" s="1">
        <f ca="1">IFERROR(__xludf.DUMMYFUNCTION("""COMPUTED_VALUE"""),687)</f>
        <v>687</v>
      </c>
      <c r="Y343" s="1">
        <f ca="1">IFERROR(__xludf.DUMMYFUNCTION("""COMPUTED_VALUE"""),0.654)</f>
        <v>0.65400000000000003</v>
      </c>
      <c r="Z343" s="1">
        <f ca="1">IFERROR(__xludf.DUMMYFUNCTION("""COMPUTED_VALUE"""),430)</f>
        <v>430</v>
      </c>
      <c r="AA343" s="1">
        <f ca="1">IFERROR(__xludf.DUMMYFUNCTION("""COMPUTED_VALUE"""),1131)</f>
        <v>1131</v>
      </c>
      <c r="AB343" s="1">
        <f ca="1">IFERROR(__xludf.DUMMYFUNCTION("""COMPUTED_VALUE"""),315)</f>
        <v>315</v>
      </c>
      <c r="AC343" s="1">
        <f ca="1">IFERROR(__xludf.DUMMYFUNCTION("""COMPUTED_VALUE"""),159)</f>
        <v>159</v>
      </c>
      <c r="AD343" s="1">
        <f ca="1">IFERROR(__xludf.DUMMYFUNCTION("""COMPUTED_VALUE"""),169)</f>
        <v>169</v>
      </c>
      <c r="AE343" s="1">
        <f ca="1">IFERROR(__xludf.DUMMYFUNCTION("""COMPUTED_VALUE"""),460)</f>
        <v>460</v>
      </c>
      <c r="AF343" s="1">
        <f ca="1">IFERROR(__xludf.DUMMYFUNCTION("""COMPUTED_VALUE"""),593)</f>
        <v>593</v>
      </c>
    </row>
    <row r="344" spans="1:32" ht="12.5" x14ac:dyDescent="0.25">
      <c r="A344" s="1" t="str">
        <f ca="1">IFERROR(__xludf.DUMMYFUNCTION("""COMPUTED_VALUE"""),"Troy")</f>
        <v>Troy</v>
      </c>
      <c r="B344" s="1">
        <f ca="1">IFERROR(__xludf.DUMMYFUNCTION("""COMPUTED_VALUE"""),33)</f>
        <v>33</v>
      </c>
      <c r="C344" s="1">
        <f ca="1">IFERROR(__xludf.DUMMYFUNCTION("""COMPUTED_VALUE"""),12)</f>
        <v>12</v>
      </c>
      <c r="D344" s="1">
        <f ca="1">IFERROR(__xludf.DUMMYFUNCTION("""COMPUTED_VALUE"""),21)</f>
        <v>21</v>
      </c>
      <c r="E344" s="1">
        <f ca="1">IFERROR(__xludf.DUMMYFUNCTION("""COMPUTED_VALUE"""),0.364)</f>
        <v>0.36399999999999999</v>
      </c>
      <c r="F344" s="1">
        <f ca="1">IFERROR(__xludf.DUMMYFUNCTION("""COMPUTED_VALUE"""),-8.77)</f>
        <v>-8.77</v>
      </c>
      <c r="G344" s="1">
        <f ca="1">IFERROR(__xludf.DUMMYFUNCTION("""COMPUTED_VALUE"""),-4.01)</f>
        <v>-4.01</v>
      </c>
      <c r="H344" s="1">
        <f ca="1">IFERROR(__xludf.DUMMYFUNCTION("""COMPUTED_VALUE"""),6)</f>
        <v>6</v>
      </c>
      <c r="I344" s="1">
        <f ca="1">IFERROR(__xludf.DUMMYFUNCTION("""COMPUTED_VALUE"""),14)</f>
        <v>14</v>
      </c>
      <c r="J344" s="1">
        <f ca="1">IFERROR(__xludf.DUMMYFUNCTION("""COMPUTED_VALUE"""),8)</f>
        <v>8</v>
      </c>
      <c r="K344" s="1">
        <f ca="1">IFERROR(__xludf.DUMMYFUNCTION("""COMPUTED_VALUE"""),7)</f>
        <v>7</v>
      </c>
      <c r="L344" s="1">
        <f ca="1">IFERROR(__xludf.DUMMYFUNCTION("""COMPUTED_VALUE"""),2)</f>
        <v>2</v>
      </c>
      <c r="M344" s="1">
        <f ca="1">IFERROR(__xludf.DUMMYFUNCTION("""COMPUTED_VALUE"""),12)</f>
        <v>12</v>
      </c>
      <c r="N344" s="1">
        <f ca="1">IFERROR(__xludf.DUMMYFUNCTION("""COMPUTED_VALUE"""),2046)</f>
        <v>2046</v>
      </c>
      <c r="O344" s="1">
        <f ca="1">IFERROR(__xludf.DUMMYFUNCTION("""COMPUTED_VALUE"""),2203)</f>
        <v>2203</v>
      </c>
      <c r="P344" s="1">
        <f ca="1">IFERROR(__xludf.DUMMYFUNCTION("""COMPUTED_VALUE"""),1355)</f>
        <v>1355</v>
      </c>
      <c r="Q344" s="1">
        <f ca="1">IFERROR(__xludf.DUMMYFUNCTION("""COMPUTED_VALUE"""),758)</f>
        <v>758</v>
      </c>
      <c r="R344" s="1">
        <f ca="1">IFERROR(__xludf.DUMMYFUNCTION("""COMPUTED_VALUE"""),1907)</f>
        <v>1907</v>
      </c>
      <c r="S344" s="1">
        <f ca="1">IFERROR(__xludf.DUMMYFUNCTION("""COMPUTED_VALUE"""),0.397)</f>
        <v>0.39700000000000002</v>
      </c>
      <c r="T344" s="1">
        <f ca="1">IFERROR(__xludf.DUMMYFUNCTION("""COMPUTED_VALUE"""),212)</f>
        <v>212</v>
      </c>
      <c r="U344" s="1">
        <f ca="1">IFERROR(__xludf.DUMMYFUNCTION("""COMPUTED_VALUE"""),680)</f>
        <v>680</v>
      </c>
      <c r="V344" s="1">
        <f ca="1">IFERROR(__xludf.DUMMYFUNCTION("""COMPUTED_VALUE"""),0.312)</f>
        <v>0.312</v>
      </c>
      <c r="W344" s="1">
        <f ca="1">IFERROR(__xludf.DUMMYFUNCTION("""COMPUTED_VALUE"""),318)</f>
        <v>318</v>
      </c>
      <c r="X344" s="1">
        <f ca="1">IFERROR(__xludf.DUMMYFUNCTION("""COMPUTED_VALUE"""),468)</f>
        <v>468</v>
      </c>
      <c r="Y344" s="1">
        <f ca="1">IFERROR(__xludf.DUMMYFUNCTION("""COMPUTED_VALUE"""),0.679)</f>
        <v>0.67900000000000005</v>
      </c>
      <c r="Z344" s="1">
        <f ca="1">IFERROR(__xludf.DUMMYFUNCTION("""COMPUTED_VALUE"""),378)</f>
        <v>378</v>
      </c>
      <c r="AA344" s="1">
        <f ca="1">IFERROR(__xludf.DUMMYFUNCTION("""COMPUTED_VALUE"""),982)</f>
        <v>982</v>
      </c>
      <c r="AB344" s="1">
        <f ca="1">IFERROR(__xludf.DUMMYFUNCTION("""COMPUTED_VALUE"""),374)</f>
        <v>374</v>
      </c>
      <c r="AC344" s="1">
        <f ca="1">IFERROR(__xludf.DUMMYFUNCTION("""COMPUTED_VALUE"""),179)</f>
        <v>179</v>
      </c>
      <c r="AD344" s="1">
        <f ca="1">IFERROR(__xludf.DUMMYFUNCTION("""COMPUTED_VALUE"""),81)</f>
        <v>81</v>
      </c>
      <c r="AE344" s="1">
        <f ca="1">IFERROR(__xludf.DUMMYFUNCTION("""COMPUTED_VALUE"""),345)</f>
        <v>345</v>
      </c>
      <c r="AF344" s="1">
        <f ca="1">IFERROR(__xludf.DUMMYFUNCTION("""COMPUTED_VALUE"""),514)</f>
        <v>514</v>
      </c>
    </row>
    <row r="345" spans="1:32" ht="12.5" x14ac:dyDescent="0.25">
      <c r="A345" s="1" t="str">
        <f ca="1">IFERROR(__xludf.DUMMYFUNCTION("""COMPUTED_VALUE"""),"Tulane")</f>
        <v>Tulane</v>
      </c>
      <c r="B345" s="1">
        <f ca="1">IFERROR(__xludf.DUMMYFUNCTION("""COMPUTED_VALUE"""),35)</f>
        <v>35</v>
      </c>
      <c r="C345" s="1">
        <f ca="1">IFERROR(__xludf.DUMMYFUNCTION("""COMPUTED_VALUE"""),20)</f>
        <v>20</v>
      </c>
      <c r="D345" s="1">
        <f ca="1">IFERROR(__xludf.DUMMYFUNCTION("""COMPUTED_VALUE"""),15)</f>
        <v>15</v>
      </c>
      <c r="E345" s="1">
        <f ca="1">IFERROR(__xludf.DUMMYFUNCTION("""COMPUTED_VALUE"""),0.571)</f>
        <v>0.57099999999999995</v>
      </c>
      <c r="F345" s="1">
        <f ca="1">IFERROR(__xludf.DUMMYFUNCTION("""COMPUTED_VALUE"""),1.87)</f>
        <v>1.87</v>
      </c>
      <c r="G345" s="1">
        <f ca="1">IFERROR(__xludf.DUMMYFUNCTION("""COMPUTED_VALUE"""),-1.8)</f>
        <v>-1.8</v>
      </c>
      <c r="H345" s="1">
        <f ca="1">IFERROR(__xludf.DUMMYFUNCTION("""COMPUTED_VALUE"""),6)</f>
        <v>6</v>
      </c>
      <c r="I345" s="1">
        <f ca="1">IFERROR(__xludf.DUMMYFUNCTION("""COMPUTED_VALUE"""),10)</f>
        <v>10</v>
      </c>
      <c r="J345" s="1">
        <f ca="1">IFERROR(__xludf.DUMMYFUNCTION("""COMPUTED_VALUE"""),15)</f>
        <v>15</v>
      </c>
      <c r="K345" s="1">
        <f ca="1">IFERROR(__xludf.DUMMYFUNCTION("""COMPUTED_VALUE"""),4)</f>
        <v>4</v>
      </c>
      <c r="L345" s="1">
        <f ca="1">IFERROR(__xludf.DUMMYFUNCTION("""COMPUTED_VALUE"""),3)</f>
        <v>3</v>
      </c>
      <c r="M345" s="1">
        <f ca="1">IFERROR(__xludf.DUMMYFUNCTION("""COMPUTED_VALUE"""),10)</f>
        <v>10</v>
      </c>
      <c r="N345" s="1">
        <f ca="1">IFERROR(__xludf.DUMMYFUNCTION("""COMPUTED_VALUE"""),2436)</f>
        <v>2436</v>
      </c>
      <c r="O345" s="1">
        <f ca="1">IFERROR(__xludf.DUMMYFUNCTION("""COMPUTED_VALUE"""),2299)</f>
        <v>2299</v>
      </c>
      <c r="P345" s="1">
        <f ca="1">IFERROR(__xludf.DUMMYFUNCTION("""COMPUTED_VALUE"""),1400)</f>
        <v>1400</v>
      </c>
      <c r="Q345" s="1">
        <f ca="1">IFERROR(__xludf.DUMMYFUNCTION("""COMPUTED_VALUE"""),789)</f>
        <v>789</v>
      </c>
      <c r="R345" s="1">
        <f ca="1">IFERROR(__xludf.DUMMYFUNCTION("""COMPUTED_VALUE"""),1896)</f>
        <v>1896</v>
      </c>
      <c r="S345" s="1">
        <f ca="1">IFERROR(__xludf.DUMMYFUNCTION("""COMPUTED_VALUE"""),0.416)</f>
        <v>0.41599999999999998</v>
      </c>
      <c r="T345" s="1">
        <f ca="1">IFERROR(__xludf.DUMMYFUNCTION("""COMPUTED_VALUE"""),224)</f>
        <v>224</v>
      </c>
      <c r="U345" s="1">
        <f ca="1">IFERROR(__xludf.DUMMYFUNCTION("""COMPUTED_VALUE"""),641)</f>
        <v>641</v>
      </c>
      <c r="V345" s="1">
        <f ca="1">IFERROR(__xludf.DUMMYFUNCTION("""COMPUTED_VALUE"""),0.349)</f>
        <v>0.34899999999999998</v>
      </c>
      <c r="W345" s="1">
        <f ca="1">IFERROR(__xludf.DUMMYFUNCTION("""COMPUTED_VALUE"""),634)</f>
        <v>634</v>
      </c>
      <c r="X345" s="1">
        <f ca="1">IFERROR(__xludf.DUMMYFUNCTION("""COMPUTED_VALUE"""),872)</f>
        <v>872</v>
      </c>
      <c r="Y345" s="1">
        <f ca="1">IFERROR(__xludf.DUMMYFUNCTION("""COMPUTED_VALUE"""),0.727)</f>
        <v>0.72699999999999998</v>
      </c>
      <c r="Z345" s="1">
        <f ca="1">IFERROR(__xludf.DUMMYFUNCTION("""COMPUTED_VALUE"""),447)</f>
        <v>447</v>
      </c>
      <c r="AA345" s="1">
        <f ca="1">IFERROR(__xludf.DUMMYFUNCTION("""COMPUTED_VALUE"""),1121)</f>
        <v>1121</v>
      </c>
      <c r="AB345" s="1">
        <f ca="1">IFERROR(__xludf.DUMMYFUNCTION("""COMPUTED_VALUE"""),402)</f>
        <v>402</v>
      </c>
      <c r="AC345" s="1">
        <f ca="1">IFERROR(__xludf.DUMMYFUNCTION("""COMPUTED_VALUE"""),233)</f>
        <v>233</v>
      </c>
      <c r="AD345" s="1">
        <f ca="1">IFERROR(__xludf.DUMMYFUNCTION("""COMPUTED_VALUE"""),66)</f>
        <v>66</v>
      </c>
      <c r="AE345" s="1">
        <f ca="1">IFERROR(__xludf.DUMMYFUNCTION("""COMPUTED_VALUE"""),430)</f>
        <v>430</v>
      </c>
      <c r="AF345" s="1">
        <f ca="1">IFERROR(__xludf.DUMMYFUNCTION("""COMPUTED_VALUE"""),585)</f>
        <v>585</v>
      </c>
    </row>
    <row r="346" spans="1:32" ht="12.5" x14ac:dyDescent="0.25">
      <c r="A346" s="1" t="str">
        <f ca="1">IFERROR(__xludf.DUMMYFUNCTION("""COMPUTED_VALUE"""),"Tulsa")</f>
        <v>Tulsa</v>
      </c>
      <c r="B346" s="1">
        <f ca="1">IFERROR(__xludf.DUMMYFUNCTION("""COMPUTED_VALUE"""),33)</f>
        <v>33</v>
      </c>
      <c r="C346" s="1">
        <f ca="1">IFERROR(__xludf.DUMMYFUNCTION("""COMPUTED_VALUE"""),17)</f>
        <v>17</v>
      </c>
      <c r="D346" s="1">
        <f ca="1">IFERROR(__xludf.DUMMYFUNCTION("""COMPUTED_VALUE"""),16)</f>
        <v>16</v>
      </c>
      <c r="E346" s="1">
        <f ca="1">IFERROR(__xludf.DUMMYFUNCTION("""COMPUTED_VALUE"""),0.515)</f>
        <v>0.51500000000000001</v>
      </c>
      <c r="F346" s="1">
        <f ca="1">IFERROR(__xludf.DUMMYFUNCTION("""COMPUTED_VALUE"""),-1.06)</f>
        <v>-1.06</v>
      </c>
      <c r="G346" s="1">
        <f ca="1">IFERROR(__xludf.DUMMYFUNCTION("""COMPUTED_VALUE"""),0.95)</f>
        <v>0.95</v>
      </c>
      <c r="H346" s="1">
        <f ca="1">IFERROR(__xludf.DUMMYFUNCTION("""COMPUTED_VALUE"""),8)</f>
        <v>8</v>
      </c>
      <c r="I346" s="1">
        <f ca="1">IFERROR(__xludf.DUMMYFUNCTION("""COMPUTED_VALUE"""),8)</f>
        <v>8</v>
      </c>
      <c r="J346" s="1">
        <f ca="1">IFERROR(__xludf.DUMMYFUNCTION("""COMPUTED_VALUE"""),9)</f>
        <v>9</v>
      </c>
      <c r="K346" s="1">
        <f ca="1">IFERROR(__xludf.DUMMYFUNCTION("""COMPUTED_VALUE"""),5)</f>
        <v>5</v>
      </c>
      <c r="L346" s="1">
        <f ca="1">IFERROR(__xludf.DUMMYFUNCTION("""COMPUTED_VALUE"""),5)</f>
        <v>5</v>
      </c>
      <c r="M346" s="1">
        <f ca="1">IFERROR(__xludf.DUMMYFUNCTION("""COMPUTED_VALUE"""),8)</f>
        <v>8</v>
      </c>
      <c r="N346" s="1">
        <f ca="1">IFERROR(__xludf.DUMMYFUNCTION("""COMPUTED_VALUE"""),2241)</f>
        <v>2241</v>
      </c>
      <c r="O346" s="1">
        <f ca="1">IFERROR(__xludf.DUMMYFUNCTION("""COMPUTED_VALUE"""),2249)</f>
        <v>2249</v>
      </c>
      <c r="P346" s="1">
        <f ca="1">IFERROR(__xludf.DUMMYFUNCTION("""COMPUTED_VALUE"""),1335)</f>
        <v>1335</v>
      </c>
      <c r="Q346" s="1">
        <f ca="1">IFERROR(__xludf.DUMMYFUNCTION("""COMPUTED_VALUE"""),763)</f>
        <v>763</v>
      </c>
      <c r="R346" s="1">
        <f ca="1">IFERROR(__xludf.DUMMYFUNCTION("""COMPUTED_VALUE"""),1760)</f>
        <v>1760</v>
      </c>
      <c r="S346" s="1">
        <f ca="1">IFERROR(__xludf.DUMMYFUNCTION("""COMPUTED_VALUE"""),0.434)</f>
        <v>0.434</v>
      </c>
      <c r="T346" s="1">
        <f ca="1">IFERROR(__xludf.DUMMYFUNCTION("""COMPUTED_VALUE"""),201)</f>
        <v>201</v>
      </c>
      <c r="U346" s="1">
        <f ca="1">IFERROR(__xludf.DUMMYFUNCTION("""COMPUTED_VALUE"""),598)</f>
        <v>598</v>
      </c>
      <c r="V346" s="1">
        <f ca="1">IFERROR(__xludf.DUMMYFUNCTION("""COMPUTED_VALUE"""),0.336)</f>
        <v>0.33600000000000002</v>
      </c>
      <c r="W346" s="1">
        <f ca="1">IFERROR(__xludf.DUMMYFUNCTION("""COMPUTED_VALUE"""),514)</f>
        <v>514</v>
      </c>
      <c r="X346" s="1">
        <f ca="1">IFERROR(__xludf.DUMMYFUNCTION("""COMPUTED_VALUE"""),767)</f>
        <v>767</v>
      </c>
      <c r="Y346" s="1">
        <f ca="1">IFERROR(__xludf.DUMMYFUNCTION("""COMPUTED_VALUE"""),0.67)</f>
        <v>0.67</v>
      </c>
      <c r="Z346" s="1">
        <f ca="1">IFERROR(__xludf.DUMMYFUNCTION("""COMPUTED_VALUE"""),351)</f>
        <v>351</v>
      </c>
      <c r="AA346" s="1">
        <f ca="1">IFERROR(__xludf.DUMMYFUNCTION("""COMPUTED_VALUE"""),1068)</f>
        <v>1068</v>
      </c>
      <c r="AB346" s="1">
        <f ca="1">IFERROR(__xludf.DUMMYFUNCTION("""COMPUTED_VALUE"""),389)</f>
        <v>389</v>
      </c>
      <c r="AC346" s="1">
        <f ca="1">IFERROR(__xludf.DUMMYFUNCTION("""COMPUTED_VALUE"""),213)</f>
        <v>213</v>
      </c>
      <c r="AD346" s="1">
        <f ca="1">IFERROR(__xludf.DUMMYFUNCTION("""COMPUTED_VALUE"""),101)</f>
        <v>101</v>
      </c>
      <c r="AE346" s="1">
        <f ca="1">IFERROR(__xludf.DUMMYFUNCTION("""COMPUTED_VALUE"""),484)</f>
        <v>484</v>
      </c>
      <c r="AF346" s="1">
        <f ca="1">IFERROR(__xludf.DUMMYFUNCTION("""COMPUTED_VALUE"""),655)</f>
        <v>655</v>
      </c>
    </row>
    <row r="347" spans="1:32" ht="12.5" x14ac:dyDescent="0.25">
      <c r="A347" s="1" t="str">
        <f ca="1">IFERROR(__xludf.DUMMYFUNCTION("""COMPUTED_VALUE"""),"UCLANCAA")</f>
        <v>UCLANCAA</v>
      </c>
      <c r="B347" s="1">
        <f ca="1">IFERROR(__xludf.DUMMYFUNCTION("""COMPUTED_VALUE"""),35)</f>
        <v>35</v>
      </c>
      <c r="C347" s="1">
        <f ca="1">IFERROR(__xludf.DUMMYFUNCTION("""COMPUTED_VALUE"""),25)</f>
        <v>25</v>
      </c>
      <c r="D347" s="1">
        <f ca="1">IFERROR(__xludf.DUMMYFUNCTION("""COMPUTED_VALUE"""),10)</f>
        <v>10</v>
      </c>
      <c r="E347" s="1">
        <f ca="1">IFERROR(__xludf.DUMMYFUNCTION("""COMPUTED_VALUE"""),0.714)</f>
        <v>0.71399999999999997</v>
      </c>
      <c r="F347" s="1">
        <f ca="1">IFERROR(__xludf.DUMMYFUNCTION("""COMPUTED_VALUE"""),12.88)</f>
        <v>12.88</v>
      </c>
      <c r="G347" s="1">
        <f ca="1">IFERROR(__xludf.DUMMYFUNCTION("""COMPUTED_VALUE"""),7.82)</f>
        <v>7.82</v>
      </c>
      <c r="H347" s="1">
        <f ca="1">IFERROR(__xludf.DUMMYFUNCTION("""COMPUTED_VALUE"""),13)</f>
        <v>13</v>
      </c>
      <c r="I347" s="1">
        <f ca="1">IFERROR(__xludf.DUMMYFUNCTION("""COMPUTED_VALUE"""),5)</f>
        <v>5</v>
      </c>
      <c r="J347" s="1">
        <f ca="1">IFERROR(__xludf.DUMMYFUNCTION("""COMPUTED_VALUE"""),15)</f>
        <v>15</v>
      </c>
      <c r="K347" s="1">
        <f ca="1">IFERROR(__xludf.DUMMYFUNCTION("""COMPUTED_VALUE"""),3)</f>
        <v>3</v>
      </c>
      <c r="L347" s="1">
        <f ca="1">IFERROR(__xludf.DUMMYFUNCTION("""COMPUTED_VALUE"""),6)</f>
        <v>6</v>
      </c>
      <c r="M347" s="1">
        <f ca="1">IFERROR(__xludf.DUMMYFUNCTION("""COMPUTED_VALUE"""),3)</f>
        <v>3</v>
      </c>
      <c r="N347" s="1">
        <f ca="1">IFERROR(__xludf.DUMMYFUNCTION("""COMPUTED_VALUE"""),2604)</f>
        <v>2604</v>
      </c>
      <c r="O347" s="1">
        <f ca="1">IFERROR(__xludf.DUMMYFUNCTION("""COMPUTED_VALUE"""),2427)</f>
        <v>2427</v>
      </c>
      <c r="P347" s="1">
        <f ca="1">IFERROR(__xludf.DUMMYFUNCTION("""COMPUTED_VALUE"""),1420)</f>
        <v>1420</v>
      </c>
      <c r="Q347" s="1">
        <f ca="1">IFERROR(__xludf.DUMMYFUNCTION("""COMPUTED_VALUE"""),961)</f>
        <v>961</v>
      </c>
      <c r="R347" s="1">
        <f ca="1">IFERROR(__xludf.DUMMYFUNCTION("""COMPUTED_VALUE"""),2131)</f>
        <v>2131</v>
      </c>
      <c r="S347" s="1">
        <f ca="1">IFERROR(__xludf.DUMMYFUNCTION("""COMPUTED_VALUE"""),0.451)</f>
        <v>0.45100000000000001</v>
      </c>
      <c r="T347" s="1">
        <f ca="1">IFERROR(__xludf.DUMMYFUNCTION("""COMPUTED_VALUE"""),171)</f>
        <v>171</v>
      </c>
      <c r="U347" s="1">
        <f ca="1">IFERROR(__xludf.DUMMYFUNCTION("""COMPUTED_VALUE"""),514)</f>
        <v>514</v>
      </c>
      <c r="V347" s="1">
        <f ca="1">IFERROR(__xludf.DUMMYFUNCTION("""COMPUTED_VALUE"""),0.333)</f>
        <v>0.33300000000000002</v>
      </c>
      <c r="W347" s="1">
        <f ca="1">IFERROR(__xludf.DUMMYFUNCTION("""COMPUTED_VALUE"""),511)</f>
        <v>511</v>
      </c>
      <c r="X347" s="1">
        <f ca="1">IFERROR(__xludf.DUMMYFUNCTION("""COMPUTED_VALUE"""),706)</f>
        <v>706</v>
      </c>
      <c r="Y347" s="1">
        <f ca="1">IFERROR(__xludf.DUMMYFUNCTION("""COMPUTED_VALUE"""),0.724)</f>
        <v>0.72399999999999998</v>
      </c>
      <c r="Z347" s="1">
        <f ca="1">IFERROR(__xludf.DUMMYFUNCTION("""COMPUTED_VALUE"""),387)</f>
        <v>387</v>
      </c>
      <c r="AA347" s="1">
        <f ca="1">IFERROR(__xludf.DUMMYFUNCTION("""COMPUTED_VALUE"""),1165)</f>
        <v>1165</v>
      </c>
      <c r="AB347" s="1">
        <f ca="1">IFERROR(__xludf.DUMMYFUNCTION("""COMPUTED_VALUE"""),559)</f>
        <v>559</v>
      </c>
      <c r="AC347" s="1">
        <f ca="1">IFERROR(__xludf.DUMMYFUNCTION("""COMPUTED_VALUE"""),283)</f>
        <v>283</v>
      </c>
      <c r="AD347" s="1">
        <f ca="1">IFERROR(__xludf.DUMMYFUNCTION("""COMPUTED_VALUE"""),127)</f>
        <v>127</v>
      </c>
      <c r="AE347" s="1">
        <f ca="1">IFERROR(__xludf.DUMMYFUNCTION("""COMPUTED_VALUE"""),391)</f>
        <v>391</v>
      </c>
      <c r="AF347" s="1">
        <f ca="1">IFERROR(__xludf.DUMMYFUNCTION("""COMPUTED_VALUE"""),526)</f>
        <v>526</v>
      </c>
    </row>
    <row r="348" spans="1:32" ht="12.5" x14ac:dyDescent="0.25">
      <c r="A348" s="1" t="str">
        <f ca="1">IFERROR(__xludf.DUMMYFUNCTION("""COMPUTED_VALUE"""),"Utah State")</f>
        <v>Utah State</v>
      </c>
      <c r="B348" s="1">
        <f ca="1">IFERROR(__xludf.DUMMYFUNCTION("""COMPUTED_VALUE"""),31)</f>
        <v>31</v>
      </c>
      <c r="C348" s="1">
        <f ca="1">IFERROR(__xludf.DUMMYFUNCTION("""COMPUTED_VALUE"""),21)</f>
        <v>21</v>
      </c>
      <c r="D348" s="1">
        <f ca="1">IFERROR(__xludf.DUMMYFUNCTION("""COMPUTED_VALUE"""),10)</f>
        <v>10</v>
      </c>
      <c r="E348" s="1">
        <f ca="1">IFERROR(__xludf.DUMMYFUNCTION("""COMPUTED_VALUE"""),0.677)</f>
        <v>0.67700000000000005</v>
      </c>
      <c r="F348" s="1">
        <f ca="1">IFERROR(__xludf.DUMMYFUNCTION("""COMPUTED_VALUE"""),3.79)</f>
        <v>3.79</v>
      </c>
      <c r="G348" s="1">
        <f ca="1">IFERROR(__xludf.DUMMYFUNCTION("""COMPUTED_VALUE"""),-0.68)</f>
        <v>-0.68</v>
      </c>
      <c r="H348" s="1">
        <f ca="1">IFERROR(__xludf.DUMMYFUNCTION("""COMPUTED_VALUE"""),11)</f>
        <v>11</v>
      </c>
      <c r="I348" s="1">
        <f ca="1">IFERROR(__xludf.DUMMYFUNCTION("""COMPUTED_VALUE"""),7)</f>
        <v>7</v>
      </c>
      <c r="J348" s="1">
        <f ca="1">IFERROR(__xludf.DUMMYFUNCTION("""COMPUTED_VALUE"""),14)</f>
        <v>14</v>
      </c>
      <c r="K348" s="1">
        <f ca="1">IFERROR(__xludf.DUMMYFUNCTION("""COMPUTED_VALUE"""),4)</f>
        <v>4</v>
      </c>
      <c r="L348" s="1">
        <f ca="1">IFERROR(__xludf.DUMMYFUNCTION("""COMPUTED_VALUE"""),7)</f>
        <v>7</v>
      </c>
      <c r="M348" s="1">
        <f ca="1">IFERROR(__xludf.DUMMYFUNCTION("""COMPUTED_VALUE"""),5)</f>
        <v>5</v>
      </c>
      <c r="N348" s="1">
        <f ca="1">IFERROR(__xludf.DUMMYFUNCTION("""COMPUTED_VALUE"""),2134)</f>
        <v>2134</v>
      </c>
      <c r="O348" s="1">
        <f ca="1">IFERROR(__xludf.DUMMYFUNCTION("""COMPUTED_VALUE"""),1971)</f>
        <v>1971</v>
      </c>
      <c r="P348" s="1">
        <f ca="1">IFERROR(__xludf.DUMMYFUNCTION("""COMPUTED_VALUE"""),1255)</f>
        <v>1255</v>
      </c>
      <c r="Q348" s="1">
        <f ca="1">IFERROR(__xludf.DUMMYFUNCTION("""COMPUTED_VALUE"""),750)</f>
        <v>750</v>
      </c>
      <c r="R348" s="1">
        <f ca="1">IFERROR(__xludf.DUMMYFUNCTION("""COMPUTED_VALUE"""),1598)</f>
        <v>1598</v>
      </c>
      <c r="S348" s="1">
        <f ca="1">IFERROR(__xludf.DUMMYFUNCTION("""COMPUTED_VALUE"""),0.469)</f>
        <v>0.46899999999999997</v>
      </c>
      <c r="T348" s="1">
        <f ca="1">IFERROR(__xludf.DUMMYFUNCTION("""COMPUTED_VALUE"""),178)</f>
        <v>178</v>
      </c>
      <c r="U348" s="1">
        <f ca="1">IFERROR(__xludf.DUMMYFUNCTION("""COMPUTED_VALUE"""),500)</f>
        <v>500</v>
      </c>
      <c r="V348" s="1">
        <f ca="1">IFERROR(__xludf.DUMMYFUNCTION("""COMPUTED_VALUE"""),0.356)</f>
        <v>0.35599999999999998</v>
      </c>
      <c r="W348" s="1">
        <f ca="1">IFERROR(__xludf.DUMMYFUNCTION("""COMPUTED_VALUE"""),456)</f>
        <v>456</v>
      </c>
      <c r="X348" s="1">
        <f ca="1">IFERROR(__xludf.DUMMYFUNCTION("""COMPUTED_VALUE"""),631)</f>
        <v>631</v>
      </c>
      <c r="Y348" s="1">
        <f ca="1">IFERROR(__xludf.DUMMYFUNCTION("""COMPUTED_VALUE"""),0.723)</f>
        <v>0.72299999999999998</v>
      </c>
      <c r="Z348" s="1">
        <f ca="1">IFERROR(__xludf.DUMMYFUNCTION("""COMPUTED_VALUE"""),356)</f>
        <v>356</v>
      </c>
      <c r="AA348" s="1">
        <f ca="1">IFERROR(__xludf.DUMMYFUNCTION("""COMPUTED_VALUE"""),1100)</f>
        <v>1100</v>
      </c>
      <c r="AB348" s="1">
        <f ca="1">IFERROR(__xludf.DUMMYFUNCTION("""COMPUTED_VALUE"""),455)</f>
        <v>455</v>
      </c>
      <c r="AC348" s="1">
        <f ca="1">IFERROR(__xludf.DUMMYFUNCTION("""COMPUTED_VALUE"""),150)</f>
        <v>150</v>
      </c>
      <c r="AD348" s="1">
        <f ca="1">IFERROR(__xludf.DUMMYFUNCTION("""COMPUTED_VALUE"""),125)</f>
        <v>125</v>
      </c>
      <c r="AE348" s="1">
        <f ca="1">IFERROR(__xludf.DUMMYFUNCTION("""COMPUTED_VALUE"""),408)</f>
        <v>408</v>
      </c>
      <c r="AF348" s="1">
        <f ca="1">IFERROR(__xludf.DUMMYFUNCTION("""COMPUTED_VALUE"""),499)</f>
        <v>499</v>
      </c>
    </row>
    <row r="349" spans="1:32" ht="12.5" x14ac:dyDescent="0.25">
      <c r="A349" s="1" t="str">
        <f ca="1">IFERROR(__xludf.DUMMYFUNCTION("""COMPUTED_VALUE"""),"Utah Valley")</f>
        <v>Utah Valley</v>
      </c>
      <c r="B349" s="1">
        <f ca="1">IFERROR(__xludf.DUMMYFUNCTION("""COMPUTED_VALUE"""),32)</f>
        <v>32</v>
      </c>
      <c r="C349" s="1">
        <f ca="1">IFERROR(__xludf.DUMMYFUNCTION("""COMPUTED_VALUE"""),14)</f>
        <v>14</v>
      </c>
      <c r="D349" s="1">
        <f ca="1">IFERROR(__xludf.DUMMYFUNCTION("""COMPUTED_VALUE"""),18)</f>
        <v>18</v>
      </c>
      <c r="E349" s="1">
        <f ca="1">IFERROR(__xludf.DUMMYFUNCTION("""COMPUTED_VALUE"""),0.438)</f>
        <v>0.438</v>
      </c>
      <c r="F349" s="1">
        <f ca="1">IFERROR(__xludf.DUMMYFUNCTION("""COMPUTED_VALUE"""),-11.38)</f>
        <v>-11.38</v>
      </c>
      <c r="G349" s="1">
        <f ca="1">IFERROR(__xludf.DUMMYFUNCTION("""COMPUTED_VALUE"""),-7.02)</f>
        <v>-7.02</v>
      </c>
      <c r="H349" s="1">
        <f ca="1">IFERROR(__xludf.DUMMYFUNCTION("""COMPUTED_VALUE"""),3)</f>
        <v>3</v>
      </c>
      <c r="I349" s="1">
        <f ca="1">IFERROR(__xludf.DUMMYFUNCTION("""COMPUTED_VALUE"""),5)</f>
        <v>5</v>
      </c>
      <c r="J349" s="1">
        <f ca="1">IFERROR(__xludf.DUMMYFUNCTION("""COMPUTED_VALUE"""),9)</f>
        <v>9</v>
      </c>
      <c r="K349" s="1">
        <f ca="1">IFERROR(__xludf.DUMMYFUNCTION("""COMPUTED_VALUE"""),4)</f>
        <v>4</v>
      </c>
      <c r="L349" s="1">
        <f ca="1">IFERROR(__xludf.DUMMYFUNCTION("""COMPUTED_VALUE"""),3)</f>
        <v>3</v>
      </c>
      <c r="M349" s="1">
        <f ca="1">IFERROR(__xludf.DUMMYFUNCTION("""COMPUTED_VALUE"""),11)</f>
        <v>11</v>
      </c>
      <c r="N349" s="1">
        <f ca="1">IFERROR(__xludf.DUMMYFUNCTION("""COMPUTED_VALUE"""),2157)</f>
        <v>2157</v>
      </c>
      <c r="O349" s="1">
        <f ca="1">IFERROR(__xludf.DUMMYFUNCTION("""COMPUTED_VALUE"""),2165)</f>
        <v>2165</v>
      </c>
      <c r="P349" s="1">
        <f ca="1">IFERROR(__xludf.DUMMYFUNCTION("""COMPUTED_VALUE"""),1310)</f>
        <v>1310</v>
      </c>
      <c r="Q349" s="1">
        <f ca="1">IFERROR(__xludf.DUMMYFUNCTION("""COMPUTED_VALUE"""),793)</f>
        <v>793</v>
      </c>
      <c r="R349" s="1">
        <f ca="1">IFERROR(__xludf.DUMMYFUNCTION("""COMPUTED_VALUE"""),1749)</f>
        <v>1749</v>
      </c>
      <c r="S349" s="1">
        <f ca="1">IFERROR(__xludf.DUMMYFUNCTION("""COMPUTED_VALUE"""),0.453)</f>
        <v>0.45300000000000001</v>
      </c>
      <c r="T349" s="1">
        <f ca="1">IFERROR(__xludf.DUMMYFUNCTION("""COMPUTED_VALUE"""),181)</f>
        <v>181</v>
      </c>
      <c r="U349" s="1">
        <f ca="1">IFERROR(__xludf.DUMMYFUNCTION("""COMPUTED_VALUE"""),542)</f>
        <v>542</v>
      </c>
      <c r="V349" s="1">
        <f ca="1">IFERROR(__xludf.DUMMYFUNCTION("""COMPUTED_VALUE"""),0.334)</f>
        <v>0.33400000000000002</v>
      </c>
      <c r="W349" s="1">
        <f ca="1">IFERROR(__xludf.DUMMYFUNCTION("""COMPUTED_VALUE"""),390)</f>
        <v>390</v>
      </c>
      <c r="X349" s="1">
        <f ca="1">IFERROR(__xludf.DUMMYFUNCTION("""COMPUTED_VALUE"""),549)</f>
        <v>549</v>
      </c>
      <c r="Y349" s="1">
        <f ca="1">IFERROR(__xludf.DUMMYFUNCTION("""COMPUTED_VALUE"""),0.71)</f>
        <v>0.71</v>
      </c>
      <c r="Z349" s="1">
        <f ca="1">IFERROR(__xludf.DUMMYFUNCTION("""COMPUTED_VALUE"""),271)</f>
        <v>271</v>
      </c>
      <c r="AA349" s="1">
        <f ca="1">IFERROR(__xludf.DUMMYFUNCTION("""COMPUTED_VALUE"""),973)</f>
        <v>973</v>
      </c>
      <c r="AB349" s="1">
        <f ca="1">IFERROR(__xludf.DUMMYFUNCTION("""COMPUTED_VALUE"""),458)</f>
        <v>458</v>
      </c>
      <c r="AC349" s="1">
        <f ca="1">IFERROR(__xludf.DUMMYFUNCTION("""COMPUTED_VALUE"""),203)</f>
        <v>203</v>
      </c>
      <c r="AD349" s="1">
        <f ca="1">IFERROR(__xludf.DUMMYFUNCTION("""COMPUTED_VALUE"""),97)</f>
        <v>97</v>
      </c>
      <c r="AE349" s="1">
        <f ca="1">IFERROR(__xludf.DUMMYFUNCTION("""COMPUTED_VALUE"""),390)</f>
        <v>390</v>
      </c>
      <c r="AF349" s="1">
        <f ca="1">IFERROR(__xludf.DUMMYFUNCTION("""COMPUTED_VALUE"""),468)</f>
        <v>468</v>
      </c>
    </row>
    <row r="350" spans="1:32" ht="12.5" x14ac:dyDescent="0.25">
      <c r="A350" s="1" t="str">
        <f ca="1">IFERROR(__xludf.DUMMYFUNCTION("""COMPUTED_VALUE"""),"Utah")</f>
        <v>Utah</v>
      </c>
      <c r="B350" s="1">
        <f ca="1">IFERROR(__xludf.DUMMYFUNCTION("""COMPUTED_VALUE"""),33)</f>
        <v>33</v>
      </c>
      <c r="C350" s="1">
        <f ca="1">IFERROR(__xludf.DUMMYFUNCTION("""COMPUTED_VALUE"""),15)</f>
        <v>15</v>
      </c>
      <c r="D350" s="1">
        <f ca="1">IFERROR(__xludf.DUMMYFUNCTION("""COMPUTED_VALUE"""),18)</f>
        <v>18</v>
      </c>
      <c r="E350" s="1">
        <f ca="1">IFERROR(__xludf.DUMMYFUNCTION("""COMPUTED_VALUE"""),0.455)</f>
        <v>0.45500000000000002</v>
      </c>
      <c r="F350" s="1">
        <f ca="1">IFERROR(__xludf.DUMMYFUNCTION("""COMPUTED_VALUE"""),4.74)</f>
        <v>4.74</v>
      </c>
      <c r="G350" s="1">
        <f ca="1">IFERROR(__xludf.DUMMYFUNCTION("""COMPUTED_VALUE"""),6.68)</f>
        <v>6.68</v>
      </c>
      <c r="H350" s="1">
        <f ca="1">IFERROR(__xludf.DUMMYFUNCTION("""COMPUTED_VALUE"""),5)</f>
        <v>5</v>
      </c>
      <c r="I350" s="1">
        <f ca="1">IFERROR(__xludf.DUMMYFUNCTION("""COMPUTED_VALUE"""),13)</f>
        <v>13</v>
      </c>
      <c r="J350" s="1">
        <f ca="1">IFERROR(__xludf.DUMMYFUNCTION("""COMPUTED_VALUE"""),11)</f>
        <v>11</v>
      </c>
      <c r="K350" s="1">
        <f ca="1">IFERROR(__xludf.DUMMYFUNCTION("""COMPUTED_VALUE"""),7)</f>
        <v>7</v>
      </c>
      <c r="L350" s="1">
        <f ca="1">IFERROR(__xludf.DUMMYFUNCTION("""COMPUTED_VALUE"""),2)</f>
        <v>2</v>
      </c>
      <c r="M350" s="1">
        <f ca="1">IFERROR(__xludf.DUMMYFUNCTION("""COMPUTED_VALUE"""),10)</f>
        <v>10</v>
      </c>
      <c r="N350" s="1">
        <f ca="1">IFERROR(__xludf.DUMMYFUNCTION("""COMPUTED_VALUE"""),2117)</f>
        <v>2117</v>
      </c>
      <c r="O350" s="1">
        <f ca="1">IFERROR(__xludf.DUMMYFUNCTION("""COMPUTED_VALUE"""),2086)</f>
        <v>2086</v>
      </c>
      <c r="P350" s="1">
        <f ca="1">IFERROR(__xludf.DUMMYFUNCTION("""COMPUTED_VALUE"""),1330)</f>
        <v>1330</v>
      </c>
      <c r="Q350" s="1">
        <f ca="1">IFERROR(__xludf.DUMMYFUNCTION("""COMPUTED_VALUE"""),754)</f>
        <v>754</v>
      </c>
      <c r="R350" s="1">
        <f ca="1">IFERROR(__xludf.DUMMYFUNCTION("""COMPUTED_VALUE"""),1717)</f>
        <v>1717</v>
      </c>
      <c r="S350" s="1">
        <f ca="1">IFERROR(__xludf.DUMMYFUNCTION("""COMPUTED_VALUE"""),0.439)</f>
        <v>0.439</v>
      </c>
      <c r="T350" s="1">
        <f ca="1">IFERROR(__xludf.DUMMYFUNCTION("""COMPUTED_VALUE"""),196)</f>
        <v>196</v>
      </c>
      <c r="U350" s="1">
        <f ca="1">IFERROR(__xludf.DUMMYFUNCTION("""COMPUTED_VALUE"""),542)</f>
        <v>542</v>
      </c>
      <c r="V350" s="1">
        <f ca="1">IFERROR(__xludf.DUMMYFUNCTION("""COMPUTED_VALUE"""),0.362)</f>
        <v>0.36199999999999999</v>
      </c>
      <c r="W350" s="1">
        <f ca="1">IFERROR(__xludf.DUMMYFUNCTION("""COMPUTED_VALUE"""),413)</f>
        <v>413</v>
      </c>
      <c r="X350" s="1">
        <f ca="1">IFERROR(__xludf.DUMMYFUNCTION("""COMPUTED_VALUE"""),547)</f>
        <v>547</v>
      </c>
      <c r="Y350" s="1">
        <f ca="1">IFERROR(__xludf.DUMMYFUNCTION("""COMPUTED_VALUE"""),0.755)</f>
        <v>0.755</v>
      </c>
      <c r="Z350" s="1">
        <f ca="1">IFERROR(__xludf.DUMMYFUNCTION("""COMPUTED_VALUE"""),297)</f>
        <v>297</v>
      </c>
      <c r="AA350" s="1">
        <f ca="1">IFERROR(__xludf.DUMMYFUNCTION("""COMPUTED_VALUE"""),1016)</f>
        <v>1016</v>
      </c>
      <c r="AB350" s="1">
        <f ca="1">IFERROR(__xludf.DUMMYFUNCTION("""COMPUTED_VALUE"""),458)</f>
        <v>458</v>
      </c>
      <c r="AC350" s="1">
        <f ca="1">IFERROR(__xludf.DUMMYFUNCTION("""COMPUTED_VALUE"""),183)</f>
        <v>183</v>
      </c>
      <c r="AD350" s="1">
        <f ca="1">IFERROR(__xludf.DUMMYFUNCTION("""COMPUTED_VALUE"""),110)</f>
        <v>110</v>
      </c>
      <c r="AE350" s="1">
        <f ca="1">IFERROR(__xludf.DUMMYFUNCTION("""COMPUTED_VALUE"""),425)</f>
        <v>425</v>
      </c>
      <c r="AF350" s="1">
        <f ca="1">IFERROR(__xludf.DUMMYFUNCTION("""COMPUTED_VALUE"""),510)</f>
        <v>510</v>
      </c>
    </row>
    <row r="351" spans="1:32" ht="12.5" x14ac:dyDescent="0.25">
      <c r="A351" s="1" t="str">
        <f ca="1">IFERROR(__xludf.DUMMYFUNCTION("""COMPUTED_VALUE"""),"ValparaisoNCAA")</f>
        <v>ValparaisoNCAA</v>
      </c>
      <c r="B351" s="1">
        <f ca="1">IFERROR(__xludf.DUMMYFUNCTION("""COMPUTED_VALUE"""),34)</f>
        <v>34</v>
      </c>
      <c r="C351" s="1">
        <f ca="1">IFERROR(__xludf.DUMMYFUNCTION("""COMPUTED_VALUE"""),26)</f>
        <v>26</v>
      </c>
      <c r="D351" s="1">
        <f ca="1">IFERROR(__xludf.DUMMYFUNCTION("""COMPUTED_VALUE"""),8)</f>
        <v>8</v>
      </c>
      <c r="E351" s="1">
        <f ca="1">IFERROR(__xludf.DUMMYFUNCTION("""COMPUTED_VALUE"""),0.765)</f>
        <v>0.76500000000000001</v>
      </c>
      <c r="F351" s="1">
        <f ca="1">IFERROR(__xludf.DUMMYFUNCTION("""COMPUTED_VALUE"""),7.15)</f>
        <v>7.15</v>
      </c>
      <c r="G351" s="1">
        <f ca="1">IFERROR(__xludf.DUMMYFUNCTION("""COMPUTED_VALUE"""),-1.13)</f>
        <v>-1.1299999999999999</v>
      </c>
      <c r="H351" s="1">
        <f ca="1">IFERROR(__xludf.DUMMYFUNCTION("""COMPUTED_VALUE"""),13)</f>
        <v>13</v>
      </c>
      <c r="I351" s="1">
        <f ca="1">IFERROR(__xludf.DUMMYFUNCTION("""COMPUTED_VALUE"""),3)</f>
        <v>3</v>
      </c>
      <c r="J351" s="1">
        <f ca="1">IFERROR(__xludf.DUMMYFUNCTION("""COMPUTED_VALUE"""),15)</f>
        <v>15</v>
      </c>
      <c r="K351" s="1">
        <f ca="1">IFERROR(__xludf.DUMMYFUNCTION("""COMPUTED_VALUE"""),2)</f>
        <v>2</v>
      </c>
      <c r="L351" s="1">
        <f ca="1">IFERROR(__xludf.DUMMYFUNCTION("""COMPUTED_VALUE"""),10)</f>
        <v>10</v>
      </c>
      <c r="M351" s="1">
        <f ca="1">IFERROR(__xludf.DUMMYFUNCTION("""COMPUTED_VALUE"""),5)</f>
        <v>5</v>
      </c>
      <c r="N351" s="1">
        <f ca="1">IFERROR(__xludf.DUMMYFUNCTION("""COMPUTED_VALUE"""),2420)</f>
        <v>2420</v>
      </c>
      <c r="O351" s="1">
        <f ca="1">IFERROR(__xludf.DUMMYFUNCTION("""COMPUTED_VALUE"""),2119)</f>
        <v>2119</v>
      </c>
      <c r="P351" s="1">
        <f ca="1">IFERROR(__xludf.DUMMYFUNCTION("""COMPUTED_VALUE"""),1365)</f>
        <v>1365</v>
      </c>
      <c r="Q351" s="1">
        <f ca="1">IFERROR(__xludf.DUMMYFUNCTION("""COMPUTED_VALUE"""),823)</f>
        <v>823</v>
      </c>
      <c r="R351" s="1">
        <f ca="1">IFERROR(__xludf.DUMMYFUNCTION("""COMPUTED_VALUE"""),1699)</f>
        <v>1699</v>
      </c>
      <c r="S351" s="1">
        <f ca="1">IFERROR(__xludf.DUMMYFUNCTION("""COMPUTED_VALUE"""),0.484)</f>
        <v>0.48399999999999999</v>
      </c>
      <c r="T351" s="1">
        <f ca="1">IFERROR(__xludf.DUMMYFUNCTION("""COMPUTED_VALUE"""),253)</f>
        <v>253</v>
      </c>
      <c r="U351" s="1">
        <f ca="1">IFERROR(__xludf.DUMMYFUNCTION("""COMPUTED_VALUE"""),680)</f>
        <v>680</v>
      </c>
      <c r="V351" s="1">
        <f ca="1">IFERROR(__xludf.DUMMYFUNCTION("""COMPUTED_VALUE"""),0.372)</f>
        <v>0.372</v>
      </c>
      <c r="W351" s="1">
        <f ca="1">IFERROR(__xludf.DUMMYFUNCTION("""COMPUTED_VALUE"""),521)</f>
        <v>521</v>
      </c>
      <c r="X351" s="1">
        <f ca="1">IFERROR(__xludf.DUMMYFUNCTION("""COMPUTED_VALUE"""),713)</f>
        <v>713</v>
      </c>
      <c r="Y351" s="1">
        <f ca="1">IFERROR(__xludf.DUMMYFUNCTION("""COMPUTED_VALUE"""),0.731)</f>
        <v>0.73099999999999998</v>
      </c>
      <c r="Z351" s="1">
        <f ca="1">IFERROR(__xludf.DUMMYFUNCTION("""COMPUTED_VALUE"""),303)</f>
        <v>303</v>
      </c>
      <c r="AA351" s="1">
        <f ca="1">IFERROR(__xludf.DUMMYFUNCTION("""COMPUTED_VALUE"""),1008)</f>
        <v>1008</v>
      </c>
      <c r="AB351" s="1">
        <f ca="1">IFERROR(__xludf.DUMMYFUNCTION("""COMPUTED_VALUE"""),467)</f>
        <v>467</v>
      </c>
      <c r="AC351" s="1">
        <f ca="1">IFERROR(__xludf.DUMMYFUNCTION("""COMPUTED_VALUE"""),232)</f>
        <v>232</v>
      </c>
      <c r="AD351" s="1">
        <f ca="1">IFERROR(__xludf.DUMMYFUNCTION("""COMPUTED_VALUE"""),114)</f>
        <v>114</v>
      </c>
      <c r="AE351" s="1">
        <f ca="1">IFERROR(__xludf.DUMMYFUNCTION("""COMPUTED_VALUE"""),486)</f>
        <v>486</v>
      </c>
      <c r="AF351" s="1">
        <f ca="1">IFERROR(__xludf.DUMMYFUNCTION("""COMPUTED_VALUE"""),586)</f>
        <v>586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IFERROR(__xludf.DUMMYFUNCTION("""COMPUTED_VALUE"""),"Vanderbilt")</f>
        <v>Vanderbilt</v>
      </c>
      <c r="B354" s="1">
        <f ca="1">IFERROR(__xludf.DUMMYFUNCTION("""COMPUTED_VALUE"""),33)</f>
        <v>33</v>
      </c>
      <c r="C354" s="1">
        <f ca="1">IFERROR(__xludf.DUMMYFUNCTION("""COMPUTED_VALUE"""),16)</f>
        <v>16</v>
      </c>
      <c r="D354" s="1">
        <f ca="1">IFERROR(__xludf.DUMMYFUNCTION("""COMPUTED_VALUE"""),17)</f>
        <v>17</v>
      </c>
      <c r="E354" s="1">
        <f ca="1">IFERROR(__xludf.DUMMYFUNCTION("""COMPUTED_VALUE"""),0.485)</f>
        <v>0.48499999999999999</v>
      </c>
      <c r="F354" s="1">
        <f ca="1">IFERROR(__xludf.DUMMYFUNCTION("""COMPUTED_VALUE"""),6.24)</f>
        <v>6.24</v>
      </c>
      <c r="G354" s="1">
        <f ca="1">IFERROR(__xludf.DUMMYFUNCTION("""COMPUTED_VALUE"""),6.03)</f>
        <v>6.03</v>
      </c>
      <c r="H354" s="1">
        <f ca="1">IFERROR(__xludf.DUMMYFUNCTION("""COMPUTED_VALUE"""),8)</f>
        <v>8</v>
      </c>
      <c r="I354" s="1">
        <f ca="1">IFERROR(__xludf.DUMMYFUNCTION("""COMPUTED_VALUE"""),10)</f>
        <v>10</v>
      </c>
      <c r="J354" s="1">
        <f ca="1">IFERROR(__xludf.DUMMYFUNCTION("""COMPUTED_VALUE"""),9)</f>
        <v>9</v>
      </c>
      <c r="K354" s="1">
        <f ca="1">IFERROR(__xludf.DUMMYFUNCTION("""COMPUTED_VALUE"""),6)</f>
        <v>6</v>
      </c>
      <c r="L354" s="1">
        <f ca="1">IFERROR(__xludf.DUMMYFUNCTION("""COMPUTED_VALUE"""),4)</f>
        <v>4</v>
      </c>
      <c r="M354" s="1">
        <f ca="1">IFERROR(__xludf.DUMMYFUNCTION("""COMPUTED_VALUE"""),7)</f>
        <v>7</v>
      </c>
      <c r="N354" s="1">
        <f ca="1">IFERROR(__xludf.DUMMYFUNCTION("""COMPUTED_VALUE"""),1991)</f>
        <v>1991</v>
      </c>
      <c r="O354" s="1">
        <f ca="1">IFERROR(__xludf.DUMMYFUNCTION("""COMPUTED_VALUE"""),1984)</f>
        <v>1984</v>
      </c>
      <c r="P354" s="1">
        <f ca="1">IFERROR(__xludf.DUMMYFUNCTION("""COMPUTED_VALUE"""),1330)</f>
        <v>1330</v>
      </c>
      <c r="Q354" s="1">
        <f ca="1">IFERROR(__xludf.DUMMYFUNCTION("""COMPUTED_VALUE"""),681)</f>
        <v>681</v>
      </c>
      <c r="R354" s="1">
        <f ca="1">IFERROR(__xludf.DUMMYFUNCTION("""COMPUTED_VALUE"""),1671)</f>
        <v>1671</v>
      </c>
      <c r="S354" s="1">
        <f ca="1">IFERROR(__xludf.DUMMYFUNCTION("""COMPUTED_VALUE"""),0.408)</f>
        <v>0.40799999999999997</v>
      </c>
      <c r="T354" s="1">
        <f ca="1">IFERROR(__xludf.DUMMYFUNCTION("""COMPUTED_VALUE"""),257)</f>
        <v>257</v>
      </c>
      <c r="U354" s="1">
        <f ca="1">IFERROR(__xludf.DUMMYFUNCTION("""COMPUTED_VALUE"""),734)</f>
        <v>734</v>
      </c>
      <c r="V354" s="1">
        <f ca="1">IFERROR(__xludf.DUMMYFUNCTION("""COMPUTED_VALUE"""),0.35)</f>
        <v>0.35</v>
      </c>
      <c r="W354" s="1">
        <f ca="1">IFERROR(__xludf.DUMMYFUNCTION("""COMPUTED_VALUE"""),372)</f>
        <v>372</v>
      </c>
      <c r="X354" s="1">
        <f ca="1">IFERROR(__xludf.DUMMYFUNCTION("""COMPUTED_VALUE"""),586)</f>
        <v>586</v>
      </c>
      <c r="Y354" s="1">
        <f ca="1">IFERROR(__xludf.DUMMYFUNCTION("""COMPUTED_VALUE"""),0.635)</f>
        <v>0.63500000000000001</v>
      </c>
      <c r="Z354" s="1">
        <f ca="1">IFERROR(__xludf.DUMMYFUNCTION("""COMPUTED_VALUE"""),307)</f>
        <v>307</v>
      </c>
      <c r="AA354" s="1">
        <f ca="1">IFERROR(__xludf.DUMMYFUNCTION("""COMPUTED_VALUE"""),1006)</f>
        <v>1006</v>
      </c>
      <c r="AB354" s="1">
        <f ca="1">IFERROR(__xludf.DUMMYFUNCTION("""COMPUTED_VALUE"""),385)</f>
        <v>385</v>
      </c>
      <c r="AC354" s="1">
        <f ca="1">IFERROR(__xludf.DUMMYFUNCTION("""COMPUTED_VALUE"""),160)</f>
        <v>160</v>
      </c>
      <c r="AD354" s="1">
        <f ca="1">IFERROR(__xludf.DUMMYFUNCTION("""COMPUTED_VALUE"""),120)</f>
        <v>120</v>
      </c>
      <c r="AE354" s="1">
        <f ca="1">IFERROR(__xludf.DUMMYFUNCTION("""COMPUTED_VALUE"""),398)</f>
        <v>398</v>
      </c>
      <c r="AF354" s="1">
        <f ca="1">IFERROR(__xludf.DUMMYFUNCTION("""COMPUTED_VALUE"""),543)</f>
        <v>543</v>
      </c>
    </row>
    <row r="355" spans="1:32" ht="12.5" x14ac:dyDescent="0.25">
      <c r="A355" s="1" t="str">
        <f ca="1">IFERROR(__xludf.DUMMYFUNCTION("""COMPUTED_VALUE"""),"Vermont")</f>
        <v>Vermont</v>
      </c>
      <c r="B355" s="1">
        <f ca="1">IFERROR(__xludf.DUMMYFUNCTION("""COMPUTED_VALUE"""),33)</f>
        <v>33</v>
      </c>
      <c r="C355" s="1">
        <f ca="1">IFERROR(__xludf.DUMMYFUNCTION("""COMPUTED_VALUE"""),21)</f>
        <v>21</v>
      </c>
      <c r="D355" s="1">
        <f ca="1">IFERROR(__xludf.DUMMYFUNCTION("""COMPUTED_VALUE"""),12)</f>
        <v>12</v>
      </c>
      <c r="E355" s="1">
        <f ca="1">IFERROR(__xludf.DUMMYFUNCTION("""COMPUTED_VALUE"""),0.636)</f>
        <v>0.63600000000000001</v>
      </c>
      <c r="F355" s="1">
        <f ca="1">IFERROR(__xludf.DUMMYFUNCTION("""COMPUTED_VALUE"""),-0.13)</f>
        <v>-0.13</v>
      </c>
      <c r="G355" s="1">
        <f ca="1">IFERROR(__xludf.DUMMYFUNCTION("""COMPUTED_VALUE"""),-4.46)</f>
        <v>-4.46</v>
      </c>
      <c r="H355" s="1">
        <f ca="1">IFERROR(__xludf.DUMMYFUNCTION("""COMPUTED_VALUE"""),11)</f>
        <v>11</v>
      </c>
      <c r="I355" s="1">
        <f ca="1">IFERROR(__xludf.DUMMYFUNCTION("""COMPUTED_VALUE"""),5)</f>
        <v>5</v>
      </c>
      <c r="J355" s="1">
        <f ca="1">IFERROR(__xludf.DUMMYFUNCTION("""COMPUTED_VALUE"""),10)</f>
        <v>10</v>
      </c>
      <c r="K355" s="1">
        <f ca="1">IFERROR(__xludf.DUMMYFUNCTION("""COMPUTED_VALUE"""),5)</f>
        <v>5</v>
      </c>
      <c r="L355" s="1">
        <f ca="1">IFERROR(__xludf.DUMMYFUNCTION("""COMPUTED_VALUE"""),9)</f>
        <v>9</v>
      </c>
      <c r="M355" s="1">
        <f ca="1">IFERROR(__xludf.DUMMYFUNCTION("""COMPUTED_VALUE"""),7)</f>
        <v>7</v>
      </c>
      <c r="N355" s="1">
        <f ca="1">IFERROR(__xludf.DUMMYFUNCTION("""COMPUTED_VALUE"""),2097)</f>
        <v>2097</v>
      </c>
      <c r="O355" s="1">
        <f ca="1">IFERROR(__xludf.DUMMYFUNCTION("""COMPUTED_VALUE"""),1954)</f>
        <v>1954</v>
      </c>
      <c r="P355" s="1">
        <f ca="1">IFERROR(__xludf.DUMMYFUNCTION("""COMPUTED_VALUE"""),1320)</f>
        <v>1320</v>
      </c>
      <c r="Q355" s="1">
        <f ca="1">IFERROR(__xludf.DUMMYFUNCTION("""COMPUTED_VALUE"""),711)</f>
        <v>711</v>
      </c>
      <c r="R355" s="1">
        <f ca="1">IFERROR(__xludf.DUMMYFUNCTION("""COMPUTED_VALUE"""),1626)</f>
        <v>1626</v>
      </c>
      <c r="S355" s="1">
        <f ca="1">IFERROR(__xludf.DUMMYFUNCTION("""COMPUTED_VALUE"""),0.437)</f>
        <v>0.437</v>
      </c>
      <c r="T355" s="1">
        <f ca="1">IFERROR(__xludf.DUMMYFUNCTION("""COMPUTED_VALUE"""),158)</f>
        <v>158</v>
      </c>
      <c r="U355" s="1">
        <f ca="1">IFERROR(__xludf.DUMMYFUNCTION("""COMPUTED_VALUE"""),491)</f>
        <v>491</v>
      </c>
      <c r="V355" s="1">
        <f ca="1">IFERROR(__xludf.DUMMYFUNCTION("""COMPUTED_VALUE"""),0.322)</f>
        <v>0.32200000000000001</v>
      </c>
      <c r="W355" s="1">
        <f ca="1">IFERROR(__xludf.DUMMYFUNCTION("""COMPUTED_VALUE"""),517)</f>
        <v>517</v>
      </c>
      <c r="X355" s="1">
        <f ca="1">IFERROR(__xludf.DUMMYFUNCTION("""COMPUTED_VALUE"""),729)</f>
        <v>729</v>
      </c>
      <c r="Y355" s="1">
        <f ca="1">IFERROR(__xludf.DUMMYFUNCTION("""COMPUTED_VALUE"""),0.709)</f>
        <v>0.70899999999999996</v>
      </c>
      <c r="Z355" s="1">
        <f ca="1">IFERROR(__xludf.DUMMYFUNCTION("""COMPUTED_VALUE"""),353)</f>
        <v>353</v>
      </c>
      <c r="AA355" s="1">
        <f ca="1">IFERROR(__xludf.DUMMYFUNCTION("""COMPUTED_VALUE"""),1048)</f>
        <v>1048</v>
      </c>
      <c r="AB355" s="1">
        <f ca="1">IFERROR(__xludf.DUMMYFUNCTION("""COMPUTED_VALUE"""),375)</f>
        <v>375</v>
      </c>
      <c r="AC355" s="1">
        <f ca="1">IFERROR(__xludf.DUMMYFUNCTION("""COMPUTED_VALUE"""),216)</f>
        <v>216</v>
      </c>
      <c r="AD355" s="1">
        <f ca="1">IFERROR(__xludf.DUMMYFUNCTION("""COMPUTED_VALUE"""),93)</f>
        <v>93</v>
      </c>
      <c r="AE355" s="1">
        <f ca="1">IFERROR(__xludf.DUMMYFUNCTION("""COMPUTED_VALUE"""),421)</f>
        <v>421</v>
      </c>
      <c r="AF355" s="1">
        <f ca="1">IFERROR(__xludf.DUMMYFUNCTION("""COMPUTED_VALUE"""),537)</f>
        <v>537</v>
      </c>
    </row>
    <row r="356" spans="1:32" ht="12.5" x14ac:dyDescent="0.25">
      <c r="A356" s="1" t="str">
        <f ca="1">IFERROR(__xludf.DUMMYFUNCTION("""COMPUTED_VALUE"""),"VillanovaNCAA")</f>
        <v>VillanovaNCAA</v>
      </c>
      <c r="B356" s="1">
        <f ca="1">IFERROR(__xludf.DUMMYFUNCTION("""COMPUTED_VALUE"""),34)</f>
        <v>34</v>
      </c>
      <c r="C356" s="1">
        <f ca="1">IFERROR(__xludf.DUMMYFUNCTION("""COMPUTED_VALUE"""),20)</f>
        <v>20</v>
      </c>
      <c r="D356" s="1">
        <f ca="1">IFERROR(__xludf.DUMMYFUNCTION("""COMPUTED_VALUE"""),14)</f>
        <v>14</v>
      </c>
      <c r="E356" s="1">
        <f ca="1">IFERROR(__xludf.DUMMYFUNCTION("""COMPUTED_VALUE"""),0.588)</f>
        <v>0.58799999999999997</v>
      </c>
      <c r="F356" s="1">
        <f ca="1">IFERROR(__xludf.DUMMYFUNCTION("""COMPUTED_VALUE"""),10.74)</f>
        <v>10.74</v>
      </c>
      <c r="G356" s="1">
        <f ca="1">IFERROR(__xludf.DUMMYFUNCTION("""COMPUTED_VALUE"""),8.53)</f>
        <v>8.5299999999999994</v>
      </c>
      <c r="H356" s="1">
        <f ca="1">IFERROR(__xludf.DUMMYFUNCTION("""COMPUTED_VALUE"""),10)</f>
        <v>10</v>
      </c>
      <c r="I356" s="1">
        <f ca="1">IFERROR(__xludf.DUMMYFUNCTION("""COMPUTED_VALUE"""),8)</f>
        <v>8</v>
      </c>
      <c r="J356" s="1">
        <f ca="1">IFERROR(__xludf.DUMMYFUNCTION("""COMPUTED_VALUE"""),12)</f>
        <v>12</v>
      </c>
      <c r="K356" s="1">
        <f ca="1">IFERROR(__xludf.DUMMYFUNCTION("""COMPUTED_VALUE"""),4)</f>
        <v>4</v>
      </c>
      <c r="L356" s="1">
        <f ca="1">IFERROR(__xludf.DUMMYFUNCTION("""COMPUTED_VALUE"""),6)</f>
        <v>6</v>
      </c>
      <c r="M356" s="1">
        <f ca="1">IFERROR(__xludf.DUMMYFUNCTION("""COMPUTED_VALUE"""),7)</f>
        <v>7</v>
      </c>
      <c r="N356" s="1">
        <f ca="1">IFERROR(__xludf.DUMMYFUNCTION("""COMPUTED_VALUE"""),2307)</f>
        <v>2307</v>
      </c>
      <c r="O356" s="1">
        <f ca="1">IFERROR(__xludf.DUMMYFUNCTION("""COMPUTED_VALUE"""),2214)</f>
        <v>2214</v>
      </c>
      <c r="P356" s="1">
        <f ca="1">IFERROR(__xludf.DUMMYFUNCTION("""COMPUTED_VALUE"""),1385)</f>
        <v>1385</v>
      </c>
      <c r="Q356" s="1">
        <f ca="1">IFERROR(__xludf.DUMMYFUNCTION("""COMPUTED_VALUE"""),732)</f>
        <v>732</v>
      </c>
      <c r="R356" s="1">
        <f ca="1">IFERROR(__xludf.DUMMYFUNCTION("""COMPUTED_VALUE"""),1760)</f>
        <v>1760</v>
      </c>
      <c r="S356" s="1">
        <f ca="1">IFERROR(__xludf.DUMMYFUNCTION("""COMPUTED_VALUE"""),0.416)</f>
        <v>0.41599999999999998</v>
      </c>
      <c r="T356" s="1">
        <f ca="1">IFERROR(__xludf.DUMMYFUNCTION("""COMPUTED_VALUE"""),204)</f>
        <v>204</v>
      </c>
      <c r="U356" s="1">
        <f ca="1">IFERROR(__xludf.DUMMYFUNCTION("""COMPUTED_VALUE"""),617)</f>
        <v>617</v>
      </c>
      <c r="V356" s="1">
        <f ca="1">IFERROR(__xludf.DUMMYFUNCTION("""COMPUTED_VALUE"""),0.331)</f>
        <v>0.33100000000000002</v>
      </c>
      <c r="W356" s="1">
        <f ca="1">IFERROR(__xludf.DUMMYFUNCTION("""COMPUTED_VALUE"""),639)</f>
        <v>639</v>
      </c>
      <c r="X356" s="1">
        <f ca="1">IFERROR(__xludf.DUMMYFUNCTION("""COMPUTED_VALUE"""),889)</f>
        <v>889</v>
      </c>
      <c r="Y356" s="1">
        <f ca="1">IFERROR(__xludf.DUMMYFUNCTION("""COMPUTED_VALUE"""),0.719)</f>
        <v>0.71899999999999997</v>
      </c>
      <c r="Z356" s="1">
        <f ca="1">IFERROR(__xludf.DUMMYFUNCTION("""COMPUTED_VALUE"""),383)</f>
        <v>383</v>
      </c>
      <c r="AA356" s="1">
        <f ca="1">IFERROR(__xludf.DUMMYFUNCTION("""COMPUTED_VALUE"""),1116)</f>
        <v>1116</v>
      </c>
      <c r="AB356" s="1">
        <f ca="1">IFERROR(__xludf.DUMMYFUNCTION("""COMPUTED_VALUE"""),413)</f>
        <v>413</v>
      </c>
      <c r="AC356" s="1">
        <f ca="1">IFERROR(__xludf.DUMMYFUNCTION("""COMPUTED_VALUE"""),263)</f>
        <v>263</v>
      </c>
      <c r="AD356" s="1">
        <f ca="1">IFERROR(__xludf.DUMMYFUNCTION("""COMPUTED_VALUE"""),114)</f>
        <v>114</v>
      </c>
      <c r="AE356" s="1">
        <f ca="1">IFERROR(__xludf.DUMMYFUNCTION("""COMPUTED_VALUE"""),533)</f>
        <v>533</v>
      </c>
      <c r="AF356" s="1">
        <f ca="1">IFERROR(__xludf.DUMMYFUNCTION("""COMPUTED_VALUE"""),651)</f>
        <v>651</v>
      </c>
    </row>
    <row r="357" spans="1:32" ht="12.5" x14ac:dyDescent="0.25">
      <c r="A357" s="1" t="str">
        <f ca="1">IFERROR(__xludf.DUMMYFUNCTION("""COMPUTED_VALUE"""),"Virginia CommonwealthNCAA")</f>
        <v>Virginia CommonwealthNCAA</v>
      </c>
      <c r="B357" s="1">
        <f ca="1">IFERROR(__xludf.DUMMYFUNCTION("""COMPUTED_VALUE"""),36)</f>
        <v>36</v>
      </c>
      <c r="C357" s="1">
        <f ca="1">IFERROR(__xludf.DUMMYFUNCTION("""COMPUTED_VALUE"""),27)</f>
        <v>27</v>
      </c>
      <c r="D357" s="1">
        <f ca="1">IFERROR(__xludf.DUMMYFUNCTION("""COMPUTED_VALUE"""),9)</f>
        <v>9</v>
      </c>
      <c r="E357" s="1">
        <f ca="1">IFERROR(__xludf.DUMMYFUNCTION("""COMPUTED_VALUE"""),0.75)</f>
        <v>0.75</v>
      </c>
      <c r="F357" s="1">
        <f ca="1">IFERROR(__xludf.DUMMYFUNCTION("""COMPUTED_VALUE"""),16.89)</f>
        <v>16.89</v>
      </c>
      <c r="G357" s="1">
        <f ca="1">IFERROR(__xludf.DUMMYFUNCTION("""COMPUTED_VALUE"""),4.47)</f>
        <v>4.47</v>
      </c>
      <c r="H357" s="1">
        <f ca="1">IFERROR(__xludf.DUMMYFUNCTION("""COMPUTED_VALUE"""),12)</f>
        <v>12</v>
      </c>
      <c r="I357" s="1">
        <f ca="1">IFERROR(__xludf.DUMMYFUNCTION("""COMPUTED_VALUE"""),4)</f>
        <v>4</v>
      </c>
      <c r="J357" s="1">
        <f ca="1">IFERROR(__xludf.DUMMYFUNCTION("""COMPUTED_VALUE"""),15)</f>
        <v>15</v>
      </c>
      <c r="K357" s="1">
        <f ca="1">IFERROR(__xludf.DUMMYFUNCTION("""COMPUTED_VALUE"""),2)</f>
        <v>2</v>
      </c>
      <c r="L357" s="1">
        <f ca="1">IFERROR(__xludf.DUMMYFUNCTION("""COMPUTED_VALUE"""),8)</f>
        <v>8</v>
      </c>
      <c r="M357" s="1">
        <f ca="1">IFERROR(__xludf.DUMMYFUNCTION("""COMPUTED_VALUE"""),3)</f>
        <v>3</v>
      </c>
      <c r="N357" s="1">
        <f ca="1">IFERROR(__xludf.DUMMYFUNCTION("""COMPUTED_VALUE"""),2770)</f>
        <v>2770</v>
      </c>
      <c r="O357" s="1">
        <f ca="1">IFERROR(__xludf.DUMMYFUNCTION("""COMPUTED_VALUE"""),2323)</f>
        <v>2323</v>
      </c>
      <c r="P357" s="1">
        <f ca="1">IFERROR(__xludf.DUMMYFUNCTION("""COMPUTED_VALUE"""),1450)</f>
        <v>1450</v>
      </c>
      <c r="Q357" s="1">
        <f ca="1">IFERROR(__xludf.DUMMYFUNCTION("""COMPUTED_VALUE"""),1010)</f>
        <v>1010</v>
      </c>
      <c r="R357" s="1">
        <f ca="1">IFERROR(__xludf.DUMMYFUNCTION("""COMPUTED_VALUE"""),2243)</f>
        <v>2243</v>
      </c>
      <c r="S357" s="1">
        <f ca="1">IFERROR(__xludf.DUMMYFUNCTION("""COMPUTED_VALUE"""),0.45)</f>
        <v>0.45</v>
      </c>
      <c r="T357" s="1">
        <f ca="1">IFERROR(__xludf.DUMMYFUNCTION("""COMPUTED_VALUE"""),281)</f>
        <v>281</v>
      </c>
      <c r="U357" s="1">
        <f ca="1">IFERROR(__xludf.DUMMYFUNCTION("""COMPUTED_VALUE"""),800)</f>
        <v>800</v>
      </c>
      <c r="V357" s="1">
        <f ca="1">IFERROR(__xludf.DUMMYFUNCTION("""COMPUTED_VALUE"""),0.351)</f>
        <v>0.35099999999999998</v>
      </c>
      <c r="W357" s="1">
        <f ca="1">IFERROR(__xludf.DUMMYFUNCTION("""COMPUTED_VALUE"""),469)</f>
        <v>469</v>
      </c>
      <c r="X357" s="1">
        <f ca="1">IFERROR(__xludf.DUMMYFUNCTION("""COMPUTED_VALUE"""),669)</f>
        <v>669</v>
      </c>
      <c r="Y357" s="1">
        <f ca="1">IFERROR(__xludf.DUMMYFUNCTION("""COMPUTED_VALUE"""),0.701)</f>
        <v>0.70099999999999996</v>
      </c>
      <c r="Z357" s="1">
        <f ca="1">IFERROR(__xludf.DUMMYFUNCTION("""COMPUTED_VALUE"""),479)</f>
        <v>479</v>
      </c>
      <c r="AA357" s="1">
        <f ca="1">IFERROR(__xludf.DUMMYFUNCTION("""COMPUTED_VALUE"""),1155)</f>
        <v>1155</v>
      </c>
      <c r="AB357" s="1">
        <f ca="1">IFERROR(__xludf.DUMMYFUNCTION("""COMPUTED_VALUE"""),521)</f>
        <v>521</v>
      </c>
      <c r="AC357" s="1">
        <f ca="1">IFERROR(__xludf.DUMMYFUNCTION("""COMPUTED_VALUE"""),422)</f>
        <v>422</v>
      </c>
      <c r="AD357" s="1">
        <f ca="1">IFERROR(__xludf.DUMMYFUNCTION("""COMPUTED_VALUE"""),109)</f>
        <v>109</v>
      </c>
      <c r="AE357" s="1">
        <f ca="1">IFERROR(__xludf.DUMMYFUNCTION("""COMPUTED_VALUE"""),407)</f>
        <v>407</v>
      </c>
      <c r="AF357" s="1">
        <f ca="1">IFERROR(__xludf.DUMMYFUNCTION("""COMPUTED_VALUE"""),708)</f>
        <v>708</v>
      </c>
    </row>
    <row r="358" spans="1:32" ht="12.5" x14ac:dyDescent="0.25">
      <c r="A358" s="1" t="str">
        <f ca="1">IFERROR(__xludf.DUMMYFUNCTION("""COMPUTED_VALUE"""),"VMI")</f>
        <v>VMI</v>
      </c>
      <c r="B358" s="1">
        <f ca="1">IFERROR(__xludf.DUMMYFUNCTION("""COMPUTED_VALUE"""),31)</f>
        <v>31</v>
      </c>
      <c r="C358" s="1">
        <f ca="1">IFERROR(__xludf.DUMMYFUNCTION("""COMPUTED_VALUE"""),14)</f>
        <v>14</v>
      </c>
      <c r="D358" s="1">
        <f ca="1">IFERROR(__xludf.DUMMYFUNCTION("""COMPUTED_VALUE"""),17)</f>
        <v>17</v>
      </c>
      <c r="E358" s="1">
        <f ca="1">IFERROR(__xludf.DUMMYFUNCTION("""COMPUTED_VALUE"""),0.452)</f>
        <v>0.45200000000000001</v>
      </c>
      <c r="F358" s="1">
        <f ca="1">IFERROR(__xludf.DUMMYFUNCTION("""COMPUTED_VALUE"""),-11.4)</f>
        <v>-11.4</v>
      </c>
      <c r="G358" s="1">
        <f ca="1">IFERROR(__xludf.DUMMYFUNCTION("""COMPUTED_VALUE"""),-7.11)</f>
        <v>-7.11</v>
      </c>
      <c r="H358" s="1">
        <f ca="1">IFERROR(__xludf.DUMMYFUNCTION("""COMPUTED_VALUE"""),8)</f>
        <v>8</v>
      </c>
      <c r="I358" s="1">
        <f ca="1">IFERROR(__xludf.DUMMYFUNCTION("""COMPUTED_VALUE"""),8)</f>
        <v>8</v>
      </c>
      <c r="J358" s="1">
        <f ca="1">IFERROR(__xludf.DUMMYFUNCTION("""COMPUTED_VALUE"""),8)</f>
        <v>8</v>
      </c>
      <c r="K358" s="1">
        <f ca="1">IFERROR(__xludf.DUMMYFUNCTION("""COMPUTED_VALUE"""),5)</f>
        <v>5</v>
      </c>
      <c r="L358" s="1">
        <f ca="1">IFERROR(__xludf.DUMMYFUNCTION("""COMPUTED_VALUE"""),5)</f>
        <v>5</v>
      </c>
      <c r="M358" s="1">
        <f ca="1">IFERROR(__xludf.DUMMYFUNCTION("""COMPUTED_VALUE"""),10)</f>
        <v>10</v>
      </c>
      <c r="N358" s="1">
        <f ca="1">IFERROR(__xludf.DUMMYFUNCTION("""COMPUTED_VALUE"""),2423)</f>
        <v>2423</v>
      </c>
      <c r="O358" s="1">
        <f ca="1">IFERROR(__xludf.DUMMYFUNCTION("""COMPUTED_VALUE"""),2411)</f>
        <v>2411</v>
      </c>
      <c r="P358" s="1">
        <f ca="1">IFERROR(__xludf.DUMMYFUNCTION("""COMPUTED_VALUE"""),1245)</f>
        <v>1245</v>
      </c>
      <c r="Q358" s="1">
        <f ca="1">IFERROR(__xludf.DUMMYFUNCTION("""COMPUTED_VALUE"""),872)</f>
        <v>872</v>
      </c>
      <c r="R358" s="1">
        <f ca="1">IFERROR(__xludf.DUMMYFUNCTION("""COMPUTED_VALUE"""),2011)</f>
        <v>2011</v>
      </c>
      <c r="S358" s="1">
        <f ca="1">IFERROR(__xludf.DUMMYFUNCTION("""COMPUTED_VALUE"""),0.434)</f>
        <v>0.434</v>
      </c>
      <c r="T358" s="1">
        <f ca="1">IFERROR(__xludf.DUMMYFUNCTION("""COMPUTED_VALUE"""),282)</f>
        <v>282</v>
      </c>
      <c r="U358" s="1">
        <f ca="1">IFERROR(__xludf.DUMMYFUNCTION("""COMPUTED_VALUE"""),869)</f>
        <v>869</v>
      </c>
      <c r="V358" s="1">
        <f ca="1">IFERROR(__xludf.DUMMYFUNCTION("""COMPUTED_VALUE"""),0.325)</f>
        <v>0.32500000000000001</v>
      </c>
      <c r="W358" s="1">
        <f ca="1">IFERROR(__xludf.DUMMYFUNCTION("""COMPUTED_VALUE"""),397)</f>
        <v>397</v>
      </c>
      <c r="X358" s="1">
        <f ca="1">IFERROR(__xludf.DUMMYFUNCTION("""COMPUTED_VALUE"""),604)</f>
        <v>604</v>
      </c>
      <c r="Y358" s="1">
        <f ca="1">IFERROR(__xludf.DUMMYFUNCTION("""COMPUTED_VALUE"""),0.657)</f>
        <v>0.65700000000000003</v>
      </c>
      <c r="Z358" s="1">
        <f ca="1">IFERROR(__xludf.DUMMYFUNCTION("""COMPUTED_VALUE"""),417)</f>
        <v>417</v>
      </c>
      <c r="AA358" s="1">
        <f ca="1">IFERROR(__xludf.DUMMYFUNCTION("""COMPUTED_VALUE"""),1077)</f>
        <v>1077</v>
      </c>
      <c r="AB358" s="1">
        <f ca="1">IFERROR(__xludf.DUMMYFUNCTION("""COMPUTED_VALUE"""),465)</f>
        <v>465</v>
      </c>
      <c r="AC358" s="1">
        <f ca="1">IFERROR(__xludf.DUMMYFUNCTION("""COMPUTED_VALUE"""),250)</f>
        <v>250</v>
      </c>
      <c r="AD358" s="1">
        <f ca="1">IFERROR(__xludf.DUMMYFUNCTION("""COMPUTED_VALUE"""),135)</f>
        <v>135</v>
      </c>
      <c r="AE358" s="1">
        <f ca="1">IFERROR(__xludf.DUMMYFUNCTION("""COMPUTED_VALUE"""),409)</f>
        <v>409</v>
      </c>
      <c r="AF358" s="1">
        <f ca="1">IFERROR(__xludf.DUMMYFUNCTION("""COMPUTED_VALUE"""),538)</f>
        <v>538</v>
      </c>
    </row>
    <row r="359" spans="1:32" ht="12.5" x14ac:dyDescent="0.25">
      <c r="A359" s="1" t="str">
        <f ca="1">IFERROR(__xludf.DUMMYFUNCTION("""COMPUTED_VALUE"""),"Virginia Tech")</f>
        <v>Virginia Tech</v>
      </c>
      <c r="B359" s="1">
        <f ca="1">IFERROR(__xludf.DUMMYFUNCTION("""COMPUTED_VALUE"""),32)</f>
        <v>32</v>
      </c>
      <c r="C359" s="1">
        <f ca="1">IFERROR(__xludf.DUMMYFUNCTION("""COMPUTED_VALUE"""),13)</f>
        <v>13</v>
      </c>
      <c r="D359" s="1">
        <f ca="1">IFERROR(__xludf.DUMMYFUNCTION("""COMPUTED_VALUE"""),19)</f>
        <v>19</v>
      </c>
      <c r="E359" s="1">
        <f ca="1">IFERROR(__xludf.DUMMYFUNCTION("""COMPUTED_VALUE"""),0.406)</f>
        <v>0.40600000000000003</v>
      </c>
      <c r="F359" s="1">
        <f ca="1">IFERROR(__xludf.DUMMYFUNCTION("""COMPUTED_VALUE"""),1.74)</f>
        <v>1.74</v>
      </c>
      <c r="G359" s="1">
        <f ca="1">IFERROR(__xludf.DUMMYFUNCTION("""COMPUTED_VALUE"""),6.27)</f>
        <v>6.27</v>
      </c>
      <c r="H359" s="1">
        <f ca="1">IFERROR(__xludf.DUMMYFUNCTION("""COMPUTED_VALUE"""),4)</f>
        <v>4</v>
      </c>
      <c r="I359" s="1">
        <f ca="1">IFERROR(__xludf.DUMMYFUNCTION("""COMPUTED_VALUE"""),14)</f>
        <v>14</v>
      </c>
      <c r="J359" s="1">
        <f ca="1">IFERROR(__xludf.DUMMYFUNCTION("""COMPUTED_VALUE"""),10)</f>
        <v>10</v>
      </c>
      <c r="K359" s="1">
        <f ca="1">IFERROR(__xludf.DUMMYFUNCTION("""COMPUTED_VALUE"""),7)</f>
        <v>7</v>
      </c>
      <c r="L359" s="1">
        <f ca="1">IFERROR(__xludf.DUMMYFUNCTION("""COMPUTED_VALUE"""),2)</f>
        <v>2</v>
      </c>
      <c r="M359" s="1">
        <f ca="1">IFERROR(__xludf.DUMMYFUNCTION("""COMPUTED_VALUE"""),9)</f>
        <v>9</v>
      </c>
      <c r="N359" s="1">
        <f ca="1">IFERROR(__xludf.DUMMYFUNCTION("""COMPUTED_VALUE"""),2248)</f>
        <v>2248</v>
      </c>
      <c r="O359" s="1">
        <f ca="1">IFERROR(__xludf.DUMMYFUNCTION("""COMPUTED_VALUE"""),2393)</f>
        <v>2393</v>
      </c>
      <c r="P359" s="1">
        <f ca="1">IFERROR(__xludf.DUMMYFUNCTION("""COMPUTED_VALUE"""),1300)</f>
        <v>1300</v>
      </c>
      <c r="Q359" s="1">
        <f ca="1">IFERROR(__xludf.DUMMYFUNCTION("""COMPUTED_VALUE"""),791)</f>
        <v>791</v>
      </c>
      <c r="R359" s="1">
        <f ca="1">IFERROR(__xludf.DUMMYFUNCTION("""COMPUTED_VALUE"""),1857)</f>
        <v>1857</v>
      </c>
      <c r="S359" s="1">
        <f ca="1">IFERROR(__xludf.DUMMYFUNCTION("""COMPUTED_VALUE"""),0.426)</f>
        <v>0.42599999999999999</v>
      </c>
      <c r="T359" s="1">
        <f ca="1">IFERROR(__xludf.DUMMYFUNCTION("""COMPUTED_VALUE"""),182)</f>
        <v>182</v>
      </c>
      <c r="U359" s="1">
        <f ca="1">IFERROR(__xludf.DUMMYFUNCTION("""COMPUTED_VALUE"""),580)</f>
        <v>580</v>
      </c>
      <c r="V359" s="1">
        <f ca="1">IFERROR(__xludf.DUMMYFUNCTION("""COMPUTED_VALUE"""),0.314)</f>
        <v>0.314</v>
      </c>
      <c r="W359" s="1">
        <f ca="1">IFERROR(__xludf.DUMMYFUNCTION("""COMPUTED_VALUE"""),484)</f>
        <v>484</v>
      </c>
      <c r="X359" s="1">
        <f ca="1">IFERROR(__xludf.DUMMYFUNCTION("""COMPUTED_VALUE"""),683)</f>
        <v>683</v>
      </c>
      <c r="Y359" s="1">
        <f ca="1">IFERROR(__xludf.DUMMYFUNCTION("""COMPUTED_VALUE"""),0.709)</f>
        <v>0.70899999999999996</v>
      </c>
      <c r="Z359" s="1">
        <f ca="1">IFERROR(__xludf.DUMMYFUNCTION("""COMPUTED_VALUE"""),356)</f>
        <v>356</v>
      </c>
      <c r="AA359" s="1">
        <f ca="1">IFERROR(__xludf.DUMMYFUNCTION("""COMPUTED_VALUE"""),1037)</f>
        <v>1037</v>
      </c>
      <c r="AB359" s="1">
        <f ca="1">IFERROR(__xludf.DUMMYFUNCTION("""COMPUTED_VALUE"""),325)</f>
        <v>325</v>
      </c>
      <c r="AC359" s="1">
        <f ca="1">IFERROR(__xludf.DUMMYFUNCTION("""COMPUTED_VALUE"""),138)</f>
        <v>138</v>
      </c>
      <c r="AD359" s="1">
        <f ca="1">IFERROR(__xludf.DUMMYFUNCTION("""COMPUTED_VALUE"""),125)</f>
        <v>125</v>
      </c>
      <c r="AE359" s="1">
        <f ca="1">IFERROR(__xludf.DUMMYFUNCTION("""COMPUTED_VALUE"""),385)</f>
        <v>385</v>
      </c>
      <c r="AF359" s="1">
        <f ca="1">IFERROR(__xludf.DUMMYFUNCTION("""COMPUTED_VALUE"""),603)</f>
        <v>603</v>
      </c>
    </row>
    <row r="360" spans="1:32" ht="12.5" x14ac:dyDescent="0.25">
      <c r="A360" s="1" t="str">
        <f ca="1">IFERROR(__xludf.DUMMYFUNCTION("""COMPUTED_VALUE"""),"Virginia")</f>
        <v>Virginia</v>
      </c>
      <c r="B360" s="1">
        <f ca="1">IFERROR(__xludf.DUMMYFUNCTION("""COMPUTED_VALUE"""),35)</f>
        <v>35</v>
      </c>
      <c r="C360" s="1">
        <f ca="1">IFERROR(__xludf.DUMMYFUNCTION("""COMPUTED_VALUE"""),23)</f>
        <v>23</v>
      </c>
      <c r="D360" s="1">
        <f ca="1">IFERROR(__xludf.DUMMYFUNCTION("""COMPUTED_VALUE"""),12)</f>
        <v>12</v>
      </c>
      <c r="E360" s="1">
        <f ca="1">IFERROR(__xludf.DUMMYFUNCTION("""COMPUTED_VALUE"""),0.657)</f>
        <v>0.65700000000000003</v>
      </c>
      <c r="F360" s="1">
        <f ca="1">IFERROR(__xludf.DUMMYFUNCTION("""COMPUTED_VALUE"""),12.89)</f>
        <v>12.89</v>
      </c>
      <c r="G360" s="1">
        <f ca="1">IFERROR(__xludf.DUMMYFUNCTION("""COMPUTED_VALUE"""),4.23)</f>
        <v>4.2300000000000004</v>
      </c>
      <c r="H360" s="1">
        <f ca="1">IFERROR(__xludf.DUMMYFUNCTION("""COMPUTED_VALUE"""),11)</f>
        <v>11</v>
      </c>
      <c r="I360" s="1">
        <f ca="1">IFERROR(__xludf.DUMMYFUNCTION("""COMPUTED_VALUE"""),7)</f>
        <v>7</v>
      </c>
      <c r="J360" s="1">
        <f ca="1">IFERROR(__xludf.DUMMYFUNCTION("""COMPUTED_VALUE"""),20)</f>
        <v>20</v>
      </c>
      <c r="K360" s="1">
        <f ca="1">IFERROR(__xludf.DUMMYFUNCTION("""COMPUTED_VALUE"""),2)</f>
        <v>2</v>
      </c>
      <c r="L360" s="1">
        <f ca="1">IFERROR(__xludf.DUMMYFUNCTION("""COMPUTED_VALUE"""),3)</f>
        <v>3</v>
      </c>
      <c r="M360" s="1">
        <f ca="1">IFERROR(__xludf.DUMMYFUNCTION("""COMPUTED_VALUE"""),8)</f>
        <v>8</v>
      </c>
      <c r="N360" s="1">
        <f ca="1">IFERROR(__xludf.DUMMYFUNCTION("""COMPUTED_VALUE"""),2248)</f>
        <v>2248</v>
      </c>
      <c r="O360" s="1">
        <f ca="1">IFERROR(__xludf.DUMMYFUNCTION("""COMPUTED_VALUE"""),1945)</f>
        <v>1945</v>
      </c>
      <c r="P360" s="1">
        <f ca="1">IFERROR(__xludf.DUMMYFUNCTION("""COMPUTED_VALUE"""),1405)</f>
        <v>1405</v>
      </c>
      <c r="Q360" s="1">
        <f ca="1">IFERROR(__xludf.DUMMYFUNCTION("""COMPUTED_VALUE"""),818)</f>
        <v>818</v>
      </c>
      <c r="R360" s="1">
        <f ca="1">IFERROR(__xludf.DUMMYFUNCTION("""COMPUTED_VALUE"""),1790)</f>
        <v>1790</v>
      </c>
      <c r="S360" s="1">
        <f ca="1">IFERROR(__xludf.DUMMYFUNCTION("""COMPUTED_VALUE"""),0.457)</f>
        <v>0.45700000000000002</v>
      </c>
      <c r="T360" s="1">
        <f ca="1">IFERROR(__xludf.DUMMYFUNCTION("""COMPUTED_VALUE"""),213)</f>
        <v>213</v>
      </c>
      <c r="U360" s="1">
        <f ca="1">IFERROR(__xludf.DUMMYFUNCTION("""COMPUTED_VALUE"""),553)</f>
        <v>553</v>
      </c>
      <c r="V360" s="1">
        <f ca="1">IFERROR(__xludf.DUMMYFUNCTION("""COMPUTED_VALUE"""),0.385)</f>
        <v>0.38500000000000001</v>
      </c>
      <c r="W360" s="1">
        <f ca="1">IFERROR(__xludf.DUMMYFUNCTION("""COMPUTED_VALUE"""),399)</f>
        <v>399</v>
      </c>
      <c r="X360" s="1">
        <f ca="1">IFERROR(__xludf.DUMMYFUNCTION("""COMPUTED_VALUE"""),565)</f>
        <v>565</v>
      </c>
      <c r="Y360" s="1">
        <f ca="1">IFERROR(__xludf.DUMMYFUNCTION("""COMPUTED_VALUE"""),0.706)</f>
        <v>0.70599999999999996</v>
      </c>
      <c r="Z360" s="1">
        <f ca="1">IFERROR(__xludf.DUMMYFUNCTION("""COMPUTED_VALUE"""),298)</f>
        <v>298</v>
      </c>
      <c r="AA360" s="1">
        <f ca="1">IFERROR(__xludf.DUMMYFUNCTION("""COMPUTED_VALUE"""),1023)</f>
        <v>1023</v>
      </c>
      <c r="AB360" s="1">
        <f ca="1">IFERROR(__xludf.DUMMYFUNCTION("""COMPUTED_VALUE"""),491)</f>
        <v>491</v>
      </c>
      <c r="AC360" s="1">
        <f ca="1">IFERROR(__xludf.DUMMYFUNCTION("""COMPUTED_VALUE"""),206)</f>
        <v>206</v>
      </c>
      <c r="AD360" s="1">
        <f ca="1">IFERROR(__xludf.DUMMYFUNCTION("""COMPUTED_VALUE"""),154)</f>
        <v>154</v>
      </c>
      <c r="AE360" s="1">
        <f ca="1">IFERROR(__xludf.DUMMYFUNCTION("""COMPUTED_VALUE"""),391)</f>
        <v>391</v>
      </c>
      <c r="AF360" s="1">
        <f ca="1">IFERROR(__xludf.DUMMYFUNCTION("""COMPUTED_VALUE"""),549)</f>
        <v>549</v>
      </c>
    </row>
    <row r="361" spans="1:32" ht="12.5" x14ac:dyDescent="0.25">
      <c r="A361" s="1" t="str">
        <f ca="1">IFERROR(__xludf.DUMMYFUNCTION("""COMPUTED_VALUE"""),"Wagner")</f>
        <v>Wagner</v>
      </c>
      <c r="B361" s="1">
        <f ca="1">IFERROR(__xludf.DUMMYFUNCTION("""COMPUTED_VALUE"""),31)</f>
        <v>31</v>
      </c>
      <c r="C361" s="1">
        <f ca="1">IFERROR(__xludf.DUMMYFUNCTION("""COMPUTED_VALUE"""),19)</f>
        <v>19</v>
      </c>
      <c r="D361" s="1">
        <f ca="1">IFERROR(__xludf.DUMMYFUNCTION("""COMPUTED_VALUE"""),12)</f>
        <v>12</v>
      </c>
      <c r="E361" s="1">
        <f ca="1">IFERROR(__xludf.DUMMYFUNCTION("""COMPUTED_VALUE"""),0.613)</f>
        <v>0.61299999999999999</v>
      </c>
      <c r="F361" s="1">
        <f ca="1">IFERROR(__xludf.DUMMYFUNCTION("""COMPUTED_VALUE"""),-3.23)</f>
        <v>-3.23</v>
      </c>
      <c r="G361" s="1">
        <f ca="1">IFERROR(__xludf.DUMMYFUNCTION("""COMPUTED_VALUE"""),-5.07)</f>
        <v>-5.07</v>
      </c>
      <c r="H361" s="1">
        <f ca="1">IFERROR(__xludf.DUMMYFUNCTION("""COMPUTED_VALUE"""),12)</f>
        <v>12</v>
      </c>
      <c r="I361" s="1">
        <f ca="1">IFERROR(__xludf.DUMMYFUNCTION("""COMPUTED_VALUE"""),6)</f>
        <v>6</v>
      </c>
      <c r="J361" s="1">
        <f ca="1">IFERROR(__xludf.DUMMYFUNCTION("""COMPUTED_VALUE"""),11)</f>
        <v>11</v>
      </c>
      <c r="K361" s="1">
        <f ca="1">IFERROR(__xludf.DUMMYFUNCTION("""COMPUTED_VALUE"""),3)</f>
        <v>3</v>
      </c>
      <c r="L361" s="1">
        <f ca="1">IFERROR(__xludf.DUMMYFUNCTION("""COMPUTED_VALUE"""),7)</f>
        <v>7</v>
      </c>
      <c r="M361" s="1">
        <f ca="1">IFERROR(__xludf.DUMMYFUNCTION("""COMPUTED_VALUE"""),8)</f>
        <v>8</v>
      </c>
      <c r="N361" s="1">
        <f ca="1">IFERROR(__xludf.DUMMYFUNCTION("""COMPUTED_VALUE"""),2136)</f>
        <v>2136</v>
      </c>
      <c r="O361" s="1">
        <f ca="1">IFERROR(__xludf.DUMMYFUNCTION("""COMPUTED_VALUE"""),2079)</f>
        <v>2079</v>
      </c>
      <c r="P361" s="1">
        <f ca="1">IFERROR(__xludf.DUMMYFUNCTION("""COMPUTED_VALUE"""),1270)</f>
        <v>1270</v>
      </c>
      <c r="Q361" s="1">
        <f ca="1">IFERROR(__xludf.DUMMYFUNCTION("""COMPUTED_VALUE"""),756)</f>
        <v>756</v>
      </c>
      <c r="R361" s="1">
        <f ca="1">IFERROR(__xludf.DUMMYFUNCTION("""COMPUTED_VALUE"""),1731)</f>
        <v>1731</v>
      </c>
      <c r="S361" s="1">
        <f ca="1">IFERROR(__xludf.DUMMYFUNCTION("""COMPUTED_VALUE"""),0.437)</f>
        <v>0.437</v>
      </c>
      <c r="T361" s="1">
        <f ca="1">IFERROR(__xludf.DUMMYFUNCTION("""COMPUTED_VALUE"""),132)</f>
        <v>132</v>
      </c>
      <c r="U361" s="1">
        <f ca="1">IFERROR(__xludf.DUMMYFUNCTION("""COMPUTED_VALUE"""),416)</f>
        <v>416</v>
      </c>
      <c r="V361" s="1">
        <f ca="1">IFERROR(__xludf.DUMMYFUNCTION("""COMPUTED_VALUE"""),0.317)</f>
        <v>0.317</v>
      </c>
      <c r="W361" s="1">
        <f ca="1">IFERROR(__xludf.DUMMYFUNCTION("""COMPUTED_VALUE"""),492)</f>
        <v>492</v>
      </c>
      <c r="X361" s="1">
        <f ca="1">IFERROR(__xludf.DUMMYFUNCTION("""COMPUTED_VALUE"""),698)</f>
        <v>698</v>
      </c>
      <c r="Y361" s="1">
        <f ca="1">IFERROR(__xludf.DUMMYFUNCTION("""COMPUTED_VALUE"""),0.705)</f>
        <v>0.70499999999999996</v>
      </c>
      <c r="Z361" s="1">
        <f ca="1">IFERROR(__xludf.DUMMYFUNCTION("""COMPUTED_VALUE"""),378)</f>
        <v>378</v>
      </c>
      <c r="AA361" s="1">
        <f ca="1">IFERROR(__xludf.DUMMYFUNCTION("""COMPUTED_VALUE"""),1048)</f>
        <v>1048</v>
      </c>
      <c r="AB361" s="1">
        <f ca="1">IFERROR(__xludf.DUMMYFUNCTION("""COMPUTED_VALUE"""),381)</f>
        <v>381</v>
      </c>
      <c r="AC361" s="1">
        <f ca="1">IFERROR(__xludf.DUMMYFUNCTION("""COMPUTED_VALUE"""),253)</f>
        <v>253</v>
      </c>
      <c r="AD361" s="1">
        <f ca="1">IFERROR(__xludf.DUMMYFUNCTION("""COMPUTED_VALUE"""),163)</f>
        <v>163</v>
      </c>
      <c r="AE361" s="1">
        <f ca="1">IFERROR(__xludf.DUMMYFUNCTION("""COMPUTED_VALUE"""),472)</f>
        <v>472</v>
      </c>
      <c r="AF361" s="1">
        <f ca="1">IFERROR(__xludf.DUMMYFUNCTION("""COMPUTED_VALUE"""),635)</f>
        <v>635</v>
      </c>
    </row>
    <row r="362" spans="1:32" ht="12.5" x14ac:dyDescent="0.25">
      <c r="A362" s="1" t="str">
        <f ca="1">IFERROR(__xludf.DUMMYFUNCTION("""COMPUTED_VALUE"""),"Wake Forest")</f>
        <v>Wake Forest</v>
      </c>
      <c r="B362" s="1">
        <f ca="1">IFERROR(__xludf.DUMMYFUNCTION("""COMPUTED_VALUE"""),31)</f>
        <v>31</v>
      </c>
      <c r="C362" s="1">
        <f ca="1">IFERROR(__xludf.DUMMYFUNCTION("""COMPUTED_VALUE"""),13)</f>
        <v>13</v>
      </c>
      <c r="D362" s="1">
        <f ca="1">IFERROR(__xludf.DUMMYFUNCTION("""COMPUTED_VALUE"""),18)</f>
        <v>18</v>
      </c>
      <c r="E362" s="1">
        <f ca="1">IFERROR(__xludf.DUMMYFUNCTION("""COMPUTED_VALUE"""),0.419)</f>
        <v>0.41899999999999998</v>
      </c>
      <c r="F362" s="1">
        <f ca="1">IFERROR(__xludf.DUMMYFUNCTION("""COMPUTED_VALUE"""),3.41)</f>
        <v>3.41</v>
      </c>
      <c r="G362" s="1">
        <f ca="1">IFERROR(__xludf.DUMMYFUNCTION("""COMPUTED_VALUE"""),6.15)</f>
        <v>6.15</v>
      </c>
      <c r="H362" s="1">
        <f ca="1">IFERROR(__xludf.DUMMYFUNCTION("""COMPUTED_VALUE"""),6)</f>
        <v>6</v>
      </c>
      <c r="I362" s="1">
        <f ca="1">IFERROR(__xludf.DUMMYFUNCTION("""COMPUTED_VALUE"""),12)</f>
        <v>12</v>
      </c>
      <c r="J362" s="1">
        <f ca="1">IFERROR(__xludf.DUMMYFUNCTION("""COMPUTED_VALUE"""),11)</f>
        <v>11</v>
      </c>
      <c r="K362" s="1">
        <f ca="1">IFERROR(__xludf.DUMMYFUNCTION("""COMPUTED_VALUE"""),5)</f>
        <v>5</v>
      </c>
      <c r="L362" s="1">
        <f ca="1">IFERROR(__xludf.DUMMYFUNCTION("""COMPUTED_VALUE"""),1)</f>
        <v>1</v>
      </c>
      <c r="M362" s="1">
        <f ca="1">IFERROR(__xludf.DUMMYFUNCTION("""COMPUTED_VALUE"""),10)</f>
        <v>10</v>
      </c>
      <c r="N362" s="1">
        <f ca="1">IFERROR(__xludf.DUMMYFUNCTION("""COMPUTED_VALUE"""),2093)</f>
        <v>2093</v>
      </c>
      <c r="O362" s="1">
        <f ca="1">IFERROR(__xludf.DUMMYFUNCTION("""COMPUTED_VALUE"""),2178)</f>
        <v>2178</v>
      </c>
      <c r="P362" s="1">
        <f ca="1">IFERROR(__xludf.DUMMYFUNCTION("""COMPUTED_VALUE"""),1240)</f>
        <v>1240</v>
      </c>
      <c r="Q362" s="1">
        <f ca="1">IFERROR(__xludf.DUMMYFUNCTION("""COMPUTED_VALUE"""),717)</f>
        <v>717</v>
      </c>
      <c r="R362" s="1">
        <f ca="1">IFERROR(__xludf.DUMMYFUNCTION("""COMPUTED_VALUE"""),1652)</f>
        <v>1652</v>
      </c>
      <c r="S362" s="1">
        <f ca="1">IFERROR(__xludf.DUMMYFUNCTION("""COMPUTED_VALUE"""),0.434)</f>
        <v>0.434</v>
      </c>
      <c r="T362" s="1">
        <f ca="1">IFERROR(__xludf.DUMMYFUNCTION("""COMPUTED_VALUE"""),168)</f>
        <v>168</v>
      </c>
      <c r="U362" s="1">
        <f ca="1">IFERROR(__xludf.DUMMYFUNCTION("""COMPUTED_VALUE"""),487)</f>
        <v>487</v>
      </c>
      <c r="V362" s="1">
        <f ca="1">IFERROR(__xludf.DUMMYFUNCTION("""COMPUTED_VALUE"""),0.345)</f>
        <v>0.34499999999999997</v>
      </c>
      <c r="W362" s="1">
        <f ca="1">IFERROR(__xludf.DUMMYFUNCTION("""COMPUTED_VALUE"""),491)</f>
        <v>491</v>
      </c>
      <c r="X362" s="1">
        <f ca="1">IFERROR(__xludf.DUMMYFUNCTION("""COMPUTED_VALUE"""),722)</f>
        <v>722</v>
      </c>
      <c r="Y362" s="1">
        <f ca="1">IFERROR(__xludf.DUMMYFUNCTION("""COMPUTED_VALUE"""),0.68)</f>
        <v>0.68</v>
      </c>
      <c r="Z362" s="1">
        <f ca="1">IFERROR(__xludf.DUMMYFUNCTION("""COMPUTED_VALUE"""),293)</f>
        <v>293</v>
      </c>
      <c r="AA362" s="1">
        <f ca="1">IFERROR(__xludf.DUMMYFUNCTION("""COMPUTED_VALUE"""),941)</f>
        <v>941</v>
      </c>
      <c r="AB362" s="1">
        <f ca="1">IFERROR(__xludf.DUMMYFUNCTION("""COMPUTED_VALUE"""),352)</f>
        <v>352</v>
      </c>
      <c r="AC362" s="1">
        <f ca="1">IFERROR(__xludf.DUMMYFUNCTION("""COMPUTED_VALUE"""),220)</f>
        <v>220</v>
      </c>
      <c r="AD362" s="1">
        <f ca="1">IFERROR(__xludf.DUMMYFUNCTION("""COMPUTED_VALUE"""),131)</f>
        <v>131</v>
      </c>
      <c r="AE362" s="1">
        <f ca="1">IFERROR(__xludf.DUMMYFUNCTION("""COMPUTED_VALUE"""),445)</f>
        <v>445</v>
      </c>
      <c r="AF362" s="1">
        <f ca="1">IFERROR(__xludf.DUMMYFUNCTION("""COMPUTED_VALUE"""),562)</f>
        <v>562</v>
      </c>
    </row>
    <row r="363" spans="1:32" ht="12.5" x14ac:dyDescent="0.25">
      <c r="A363" s="1" t="str">
        <f ca="1">IFERROR(__xludf.DUMMYFUNCTION("""COMPUTED_VALUE"""),"Washington State")</f>
        <v>Washington State</v>
      </c>
      <c r="B363" s="1">
        <f ca="1">IFERROR(__xludf.DUMMYFUNCTION("""COMPUTED_VALUE"""),32)</f>
        <v>32</v>
      </c>
      <c r="C363" s="1">
        <f ca="1">IFERROR(__xludf.DUMMYFUNCTION("""COMPUTED_VALUE"""),13)</f>
        <v>13</v>
      </c>
      <c r="D363" s="1">
        <f ca="1">IFERROR(__xludf.DUMMYFUNCTION("""COMPUTED_VALUE"""),19)</f>
        <v>19</v>
      </c>
      <c r="E363" s="1">
        <f ca="1">IFERROR(__xludf.DUMMYFUNCTION("""COMPUTED_VALUE"""),0.406)</f>
        <v>0.40600000000000003</v>
      </c>
      <c r="F363" s="1">
        <f ca="1">IFERROR(__xludf.DUMMYFUNCTION("""COMPUTED_VALUE"""),6.7)</f>
        <v>6.7</v>
      </c>
      <c r="G363" s="1">
        <f ca="1">IFERROR(__xludf.DUMMYFUNCTION("""COMPUTED_VALUE"""),5.26)</f>
        <v>5.26</v>
      </c>
      <c r="H363" s="1">
        <f ca="1">IFERROR(__xludf.DUMMYFUNCTION("""COMPUTED_VALUE"""),4)</f>
        <v>4</v>
      </c>
      <c r="I363" s="1">
        <f ca="1">IFERROR(__xludf.DUMMYFUNCTION("""COMPUTED_VALUE"""),14)</f>
        <v>14</v>
      </c>
      <c r="J363" s="1">
        <f ca="1">IFERROR(__xludf.DUMMYFUNCTION("""COMPUTED_VALUE"""),10)</f>
        <v>10</v>
      </c>
      <c r="K363" s="1">
        <f ca="1">IFERROR(__xludf.DUMMYFUNCTION("""COMPUTED_VALUE"""),7)</f>
        <v>7</v>
      </c>
      <c r="L363" s="1">
        <f ca="1">IFERROR(__xludf.DUMMYFUNCTION("""COMPUTED_VALUE"""),1)</f>
        <v>1</v>
      </c>
      <c r="M363" s="1">
        <f ca="1">IFERROR(__xludf.DUMMYFUNCTION("""COMPUTED_VALUE"""),9)</f>
        <v>9</v>
      </c>
      <c r="N363" s="1">
        <f ca="1">IFERROR(__xludf.DUMMYFUNCTION("""COMPUTED_VALUE"""),2061)</f>
        <v>2061</v>
      </c>
      <c r="O363" s="1">
        <f ca="1">IFERROR(__xludf.DUMMYFUNCTION("""COMPUTED_VALUE"""),2015)</f>
        <v>2015</v>
      </c>
      <c r="P363" s="1">
        <f ca="1">IFERROR(__xludf.DUMMYFUNCTION("""COMPUTED_VALUE"""),1290)</f>
        <v>1290</v>
      </c>
      <c r="Q363" s="1">
        <f ca="1">IFERROR(__xludf.DUMMYFUNCTION("""COMPUTED_VALUE"""),717)</f>
        <v>717</v>
      </c>
      <c r="R363" s="1">
        <f ca="1">IFERROR(__xludf.DUMMYFUNCTION("""COMPUTED_VALUE"""),1681)</f>
        <v>1681</v>
      </c>
      <c r="S363" s="1">
        <f ca="1">IFERROR(__xludf.DUMMYFUNCTION("""COMPUTED_VALUE"""),0.427)</f>
        <v>0.42699999999999999</v>
      </c>
      <c r="T363" s="1">
        <f ca="1">IFERROR(__xludf.DUMMYFUNCTION("""COMPUTED_VALUE"""),232)</f>
        <v>232</v>
      </c>
      <c r="U363" s="1">
        <f ca="1">IFERROR(__xludf.DUMMYFUNCTION("""COMPUTED_VALUE"""),669)</f>
        <v>669</v>
      </c>
      <c r="V363" s="1">
        <f ca="1">IFERROR(__xludf.DUMMYFUNCTION("""COMPUTED_VALUE"""),0.347)</f>
        <v>0.34699999999999998</v>
      </c>
      <c r="W363" s="1">
        <f ca="1">IFERROR(__xludf.DUMMYFUNCTION("""COMPUTED_VALUE"""),395)</f>
        <v>395</v>
      </c>
      <c r="X363" s="1">
        <f ca="1">IFERROR(__xludf.DUMMYFUNCTION("""COMPUTED_VALUE"""),574)</f>
        <v>574</v>
      </c>
      <c r="Y363" s="1">
        <f ca="1">IFERROR(__xludf.DUMMYFUNCTION("""COMPUTED_VALUE"""),0.688)</f>
        <v>0.68799999999999994</v>
      </c>
      <c r="Z363" s="1">
        <f ca="1">IFERROR(__xludf.DUMMYFUNCTION("""COMPUTED_VALUE"""),330)</f>
        <v>330</v>
      </c>
      <c r="AA363" s="1">
        <f ca="1">IFERROR(__xludf.DUMMYFUNCTION("""COMPUTED_VALUE"""),948)</f>
        <v>948</v>
      </c>
      <c r="AB363" s="1">
        <f ca="1">IFERROR(__xludf.DUMMYFUNCTION("""COMPUTED_VALUE"""),392)</f>
        <v>392</v>
      </c>
      <c r="AC363" s="1">
        <f ca="1">IFERROR(__xludf.DUMMYFUNCTION("""COMPUTED_VALUE"""),144)</f>
        <v>144</v>
      </c>
      <c r="AD363" s="1">
        <f ca="1">IFERROR(__xludf.DUMMYFUNCTION("""COMPUTED_VALUE"""),77)</f>
        <v>77</v>
      </c>
      <c r="AE363" s="1">
        <f ca="1">IFERROR(__xludf.DUMMYFUNCTION("""COMPUTED_VALUE"""),385)</f>
        <v>385</v>
      </c>
      <c r="AF363" s="1">
        <f ca="1">IFERROR(__xludf.DUMMYFUNCTION("""COMPUTED_VALUE"""),488)</f>
        <v>488</v>
      </c>
    </row>
    <row r="364" spans="1:32" ht="12.5" x14ac:dyDescent="0.25">
      <c r="A364" s="1" t="str">
        <f ca="1">IFERROR(__xludf.DUMMYFUNCTION("""COMPUTED_VALUE"""),"Washington")</f>
        <v>Washington</v>
      </c>
      <c r="B364" s="1">
        <f ca="1">IFERROR(__xludf.DUMMYFUNCTION("""COMPUTED_VALUE"""),34)</f>
        <v>34</v>
      </c>
      <c r="C364" s="1">
        <f ca="1">IFERROR(__xludf.DUMMYFUNCTION("""COMPUTED_VALUE"""),18)</f>
        <v>18</v>
      </c>
      <c r="D364" s="1">
        <f ca="1">IFERROR(__xludf.DUMMYFUNCTION("""COMPUTED_VALUE"""),16)</f>
        <v>16</v>
      </c>
      <c r="E364" s="1">
        <f ca="1">IFERROR(__xludf.DUMMYFUNCTION("""COMPUTED_VALUE"""),0.529)</f>
        <v>0.52900000000000003</v>
      </c>
      <c r="F364" s="1">
        <f ca="1">IFERROR(__xludf.DUMMYFUNCTION("""COMPUTED_VALUE"""),7.93)</f>
        <v>7.93</v>
      </c>
      <c r="G364" s="1">
        <f ca="1">IFERROR(__xludf.DUMMYFUNCTION("""COMPUTED_VALUE"""),7.22)</f>
        <v>7.22</v>
      </c>
      <c r="H364" s="1">
        <f ca="1">IFERROR(__xludf.DUMMYFUNCTION("""COMPUTED_VALUE"""),9)</f>
        <v>9</v>
      </c>
      <c r="I364" s="1">
        <f ca="1">IFERROR(__xludf.DUMMYFUNCTION("""COMPUTED_VALUE"""),9)</f>
        <v>9</v>
      </c>
      <c r="J364" s="1">
        <f ca="1">IFERROR(__xludf.DUMMYFUNCTION("""COMPUTED_VALUE"""),11)</f>
        <v>11</v>
      </c>
      <c r="K364" s="1">
        <f ca="1">IFERROR(__xludf.DUMMYFUNCTION("""COMPUTED_VALUE"""),7)</f>
        <v>7</v>
      </c>
      <c r="L364" s="1">
        <f ca="1">IFERROR(__xludf.DUMMYFUNCTION("""COMPUTED_VALUE"""),5)</f>
        <v>5</v>
      </c>
      <c r="M364" s="1">
        <f ca="1">IFERROR(__xludf.DUMMYFUNCTION("""COMPUTED_VALUE"""),7)</f>
        <v>7</v>
      </c>
      <c r="N364" s="1">
        <f ca="1">IFERROR(__xludf.DUMMYFUNCTION("""COMPUTED_VALUE"""),2309)</f>
        <v>2309</v>
      </c>
      <c r="O364" s="1">
        <f ca="1">IFERROR(__xludf.DUMMYFUNCTION("""COMPUTED_VALUE"""),2285)</f>
        <v>2285</v>
      </c>
      <c r="P364" s="1">
        <f ca="1">IFERROR(__xludf.DUMMYFUNCTION("""COMPUTED_VALUE"""),1370)</f>
        <v>1370</v>
      </c>
      <c r="Q364" s="1">
        <f ca="1">IFERROR(__xludf.DUMMYFUNCTION("""COMPUTED_VALUE"""),841)</f>
        <v>841</v>
      </c>
      <c r="R364" s="1">
        <f ca="1">IFERROR(__xludf.DUMMYFUNCTION("""COMPUTED_VALUE"""),1931)</f>
        <v>1931</v>
      </c>
      <c r="S364" s="1">
        <f ca="1">IFERROR(__xludf.DUMMYFUNCTION("""COMPUTED_VALUE"""),0.436)</f>
        <v>0.436</v>
      </c>
      <c r="T364" s="1">
        <f ca="1">IFERROR(__xludf.DUMMYFUNCTION("""COMPUTED_VALUE"""),181)</f>
        <v>181</v>
      </c>
      <c r="U364" s="1">
        <f ca="1">IFERROR(__xludf.DUMMYFUNCTION("""COMPUTED_VALUE"""),528)</f>
        <v>528</v>
      </c>
      <c r="V364" s="1">
        <f ca="1">IFERROR(__xludf.DUMMYFUNCTION("""COMPUTED_VALUE"""),0.343)</f>
        <v>0.34300000000000003</v>
      </c>
      <c r="W364" s="1">
        <f ca="1">IFERROR(__xludf.DUMMYFUNCTION("""COMPUTED_VALUE"""),446)</f>
        <v>446</v>
      </c>
      <c r="X364" s="1">
        <f ca="1">IFERROR(__xludf.DUMMYFUNCTION("""COMPUTED_VALUE"""),653)</f>
        <v>653</v>
      </c>
      <c r="Y364" s="1">
        <f ca="1">IFERROR(__xludf.DUMMYFUNCTION("""COMPUTED_VALUE"""),0.683)</f>
        <v>0.68300000000000005</v>
      </c>
      <c r="Z364" s="1">
        <f ca="1">IFERROR(__xludf.DUMMYFUNCTION("""COMPUTED_VALUE"""),439)</f>
        <v>439</v>
      </c>
      <c r="AA364" s="1">
        <f ca="1">IFERROR(__xludf.DUMMYFUNCTION("""COMPUTED_VALUE"""),1119)</f>
        <v>1119</v>
      </c>
      <c r="AB364" s="1">
        <f ca="1">IFERROR(__xludf.DUMMYFUNCTION("""COMPUTED_VALUE"""),405)</f>
        <v>405</v>
      </c>
      <c r="AC364" s="1">
        <f ca="1">IFERROR(__xludf.DUMMYFUNCTION("""COMPUTED_VALUE"""),178)</f>
        <v>178</v>
      </c>
      <c r="AD364" s="1">
        <f ca="1">IFERROR(__xludf.DUMMYFUNCTION("""COMPUTED_VALUE"""),141)</f>
        <v>141</v>
      </c>
      <c r="AE364" s="1">
        <f ca="1">IFERROR(__xludf.DUMMYFUNCTION("""COMPUTED_VALUE"""),449)</f>
        <v>449</v>
      </c>
      <c r="AF364" s="1">
        <f ca="1">IFERROR(__xludf.DUMMYFUNCTION("""COMPUTED_VALUE"""),584)</f>
        <v>584</v>
      </c>
    </row>
    <row r="365" spans="1:32" ht="12.5" x14ac:dyDescent="0.25">
      <c r="A365" s="1" t="str">
        <f ca="1">IFERROR(__xludf.DUMMYFUNCTION("""COMPUTED_VALUE"""),"Weber State")</f>
        <v>Weber State</v>
      </c>
      <c r="B365" s="1">
        <f ca="1">IFERROR(__xludf.DUMMYFUNCTION("""COMPUTED_VALUE"""),37)</f>
        <v>37</v>
      </c>
      <c r="C365" s="1">
        <f ca="1">IFERROR(__xludf.DUMMYFUNCTION("""COMPUTED_VALUE"""),30)</f>
        <v>30</v>
      </c>
      <c r="D365" s="1">
        <f ca="1">IFERROR(__xludf.DUMMYFUNCTION("""COMPUTED_VALUE"""),7)</f>
        <v>7</v>
      </c>
      <c r="E365" s="1">
        <f ca="1">IFERROR(__xludf.DUMMYFUNCTION("""COMPUTED_VALUE"""),0.811)</f>
        <v>0.81100000000000005</v>
      </c>
      <c r="F365" s="1">
        <f ca="1">IFERROR(__xludf.DUMMYFUNCTION("""COMPUTED_VALUE"""),5.87)</f>
        <v>5.87</v>
      </c>
      <c r="G365" s="1">
        <f ca="1">IFERROR(__xludf.DUMMYFUNCTION("""COMPUTED_VALUE"""),-5.61)</f>
        <v>-5.61</v>
      </c>
      <c r="H365" s="1">
        <f ca="1">IFERROR(__xludf.DUMMYFUNCTION("""COMPUTED_VALUE"""),18)</f>
        <v>18</v>
      </c>
      <c r="I365" s="1">
        <f ca="1">IFERROR(__xludf.DUMMYFUNCTION("""COMPUTED_VALUE"""),2)</f>
        <v>2</v>
      </c>
      <c r="J365" s="1">
        <f ca="1">IFERROR(__xludf.DUMMYFUNCTION("""COMPUTED_VALUE"""),17)</f>
        <v>17</v>
      </c>
      <c r="K365" s="1">
        <f ca="1">IFERROR(__xludf.DUMMYFUNCTION("""COMPUTED_VALUE"""),2)</f>
        <v>2</v>
      </c>
      <c r="L365" s="1">
        <f ca="1">IFERROR(__xludf.DUMMYFUNCTION("""COMPUTED_VALUE"""),11)</f>
        <v>11</v>
      </c>
      <c r="M365" s="1">
        <f ca="1">IFERROR(__xludf.DUMMYFUNCTION("""COMPUTED_VALUE"""),5)</f>
        <v>5</v>
      </c>
      <c r="N365" s="1">
        <f ca="1">IFERROR(__xludf.DUMMYFUNCTION("""COMPUTED_VALUE"""),2800)</f>
        <v>2800</v>
      </c>
      <c r="O365" s="1">
        <f ca="1">IFERROR(__xludf.DUMMYFUNCTION("""COMPUTED_VALUE"""),2275)</f>
        <v>2275</v>
      </c>
      <c r="P365" s="1">
        <f ca="1">IFERROR(__xludf.DUMMYFUNCTION("""COMPUTED_VALUE"""),1495)</f>
        <v>1495</v>
      </c>
      <c r="Q365" s="1">
        <f ca="1">IFERROR(__xludf.DUMMYFUNCTION("""COMPUTED_VALUE"""),990)</f>
        <v>990</v>
      </c>
      <c r="R365" s="1">
        <f ca="1">IFERROR(__xludf.DUMMYFUNCTION("""COMPUTED_VALUE"""),1957)</f>
        <v>1957</v>
      </c>
      <c r="S365" s="1">
        <f ca="1">IFERROR(__xludf.DUMMYFUNCTION("""COMPUTED_VALUE"""),0.506)</f>
        <v>0.50600000000000001</v>
      </c>
      <c r="T365" s="1">
        <f ca="1">IFERROR(__xludf.DUMMYFUNCTION("""COMPUTED_VALUE"""),266)</f>
        <v>266</v>
      </c>
      <c r="U365" s="1">
        <f ca="1">IFERROR(__xludf.DUMMYFUNCTION("""COMPUTED_VALUE"""),640)</f>
        <v>640</v>
      </c>
      <c r="V365" s="1">
        <f ca="1">IFERROR(__xludf.DUMMYFUNCTION("""COMPUTED_VALUE"""),0.416)</f>
        <v>0.41599999999999998</v>
      </c>
      <c r="W365" s="1">
        <f ca="1">IFERROR(__xludf.DUMMYFUNCTION("""COMPUTED_VALUE"""),554)</f>
        <v>554</v>
      </c>
      <c r="X365" s="1">
        <f ca="1">IFERROR(__xludf.DUMMYFUNCTION("""COMPUTED_VALUE"""),768)</f>
        <v>768</v>
      </c>
      <c r="Y365" s="1">
        <f ca="1">IFERROR(__xludf.DUMMYFUNCTION("""COMPUTED_VALUE"""),0.721)</f>
        <v>0.72099999999999997</v>
      </c>
      <c r="Z365" s="1">
        <f ca="1">IFERROR(__xludf.DUMMYFUNCTION("""COMPUTED_VALUE"""),334)</f>
        <v>334</v>
      </c>
      <c r="AA365" s="1">
        <f ca="1">IFERROR(__xludf.DUMMYFUNCTION("""COMPUTED_VALUE"""),1257)</f>
        <v>1257</v>
      </c>
      <c r="AB365" s="1">
        <f ca="1">IFERROR(__xludf.DUMMYFUNCTION("""COMPUTED_VALUE"""),518)</f>
        <v>518</v>
      </c>
      <c r="AC365" s="1">
        <f ca="1">IFERROR(__xludf.DUMMYFUNCTION("""COMPUTED_VALUE"""),195)</f>
        <v>195</v>
      </c>
      <c r="AD365" s="1">
        <f ca="1">IFERROR(__xludf.DUMMYFUNCTION("""COMPUTED_VALUE"""),165)</f>
        <v>165</v>
      </c>
      <c r="AE365" s="1">
        <f ca="1">IFERROR(__xludf.DUMMYFUNCTION("""COMPUTED_VALUE"""),457)</f>
        <v>457</v>
      </c>
      <c r="AF365" s="1">
        <f ca="1">IFERROR(__xludf.DUMMYFUNCTION("""COMPUTED_VALUE"""),623)</f>
        <v>623</v>
      </c>
    </row>
    <row r="366" spans="1:32" ht="12.5" x14ac:dyDescent="0.25">
      <c r="A366" s="1" t="str">
        <f ca="1">IFERROR(__xludf.DUMMYFUNCTION("""COMPUTED_VALUE"""),"West Virginia")</f>
        <v>West Virginia</v>
      </c>
      <c r="B366" s="1">
        <f ca="1">IFERROR(__xludf.DUMMYFUNCTION("""COMPUTED_VALUE"""),32)</f>
        <v>32</v>
      </c>
      <c r="C366" s="1">
        <f ca="1">IFERROR(__xludf.DUMMYFUNCTION("""COMPUTED_VALUE"""),13)</f>
        <v>13</v>
      </c>
      <c r="D366" s="1">
        <f ca="1">IFERROR(__xludf.DUMMYFUNCTION("""COMPUTED_VALUE"""),19)</f>
        <v>19</v>
      </c>
      <c r="E366" s="1">
        <f ca="1">IFERROR(__xludf.DUMMYFUNCTION("""COMPUTED_VALUE"""),0.406)</f>
        <v>0.40600000000000003</v>
      </c>
      <c r="F366" s="1">
        <f ca="1">IFERROR(__xludf.DUMMYFUNCTION("""COMPUTED_VALUE"""),4.6)</f>
        <v>4.5999999999999996</v>
      </c>
      <c r="G366" s="1">
        <f ca="1">IFERROR(__xludf.DUMMYFUNCTION("""COMPUTED_VALUE"""),6.54)</f>
        <v>6.54</v>
      </c>
      <c r="H366" s="1">
        <f ca="1">IFERROR(__xludf.DUMMYFUNCTION("""COMPUTED_VALUE"""),6)</f>
        <v>6</v>
      </c>
      <c r="I366" s="1">
        <f ca="1">IFERROR(__xludf.DUMMYFUNCTION("""COMPUTED_VALUE"""),13)</f>
        <v>13</v>
      </c>
      <c r="J366" s="1">
        <f ca="1">IFERROR(__xludf.DUMMYFUNCTION("""COMPUTED_VALUE"""),8)</f>
        <v>8</v>
      </c>
      <c r="K366" s="1">
        <f ca="1">IFERROR(__xludf.DUMMYFUNCTION("""COMPUTED_VALUE"""),6)</f>
        <v>6</v>
      </c>
      <c r="L366" s="1">
        <f ca="1">IFERROR(__xludf.DUMMYFUNCTION("""COMPUTED_VALUE"""),3)</f>
        <v>3</v>
      </c>
      <c r="M366" s="1">
        <f ca="1">IFERROR(__xludf.DUMMYFUNCTION("""COMPUTED_VALUE"""),9)</f>
        <v>9</v>
      </c>
      <c r="N366" s="1">
        <f ca="1">IFERROR(__xludf.DUMMYFUNCTION("""COMPUTED_VALUE"""),2116)</f>
        <v>2116</v>
      </c>
      <c r="O366" s="1">
        <f ca="1">IFERROR(__xludf.DUMMYFUNCTION("""COMPUTED_VALUE"""),2178)</f>
        <v>2178</v>
      </c>
      <c r="P366" s="1">
        <f ca="1">IFERROR(__xludf.DUMMYFUNCTION("""COMPUTED_VALUE"""),1285)</f>
        <v>1285</v>
      </c>
      <c r="Q366" s="1">
        <f ca="1">IFERROR(__xludf.DUMMYFUNCTION("""COMPUTED_VALUE"""),722)</f>
        <v>722</v>
      </c>
      <c r="R366" s="1">
        <f ca="1">IFERROR(__xludf.DUMMYFUNCTION("""COMPUTED_VALUE"""),1769)</f>
        <v>1769</v>
      </c>
      <c r="S366" s="1">
        <f ca="1">IFERROR(__xludf.DUMMYFUNCTION("""COMPUTED_VALUE"""),0.408)</f>
        <v>0.40799999999999997</v>
      </c>
      <c r="T366" s="1">
        <f ca="1">IFERROR(__xludf.DUMMYFUNCTION("""COMPUTED_VALUE"""),171)</f>
        <v>171</v>
      </c>
      <c r="U366" s="1">
        <f ca="1">IFERROR(__xludf.DUMMYFUNCTION("""COMPUTED_VALUE"""),541)</f>
        <v>541</v>
      </c>
      <c r="V366" s="1">
        <f ca="1">IFERROR(__xludf.DUMMYFUNCTION("""COMPUTED_VALUE"""),0.316)</f>
        <v>0.316</v>
      </c>
      <c r="W366" s="1">
        <f ca="1">IFERROR(__xludf.DUMMYFUNCTION("""COMPUTED_VALUE"""),501)</f>
        <v>501</v>
      </c>
      <c r="X366" s="1">
        <f ca="1">IFERROR(__xludf.DUMMYFUNCTION("""COMPUTED_VALUE"""),721)</f>
        <v>721</v>
      </c>
      <c r="Y366" s="1">
        <f ca="1">IFERROR(__xludf.DUMMYFUNCTION("""COMPUTED_VALUE"""),0.695)</f>
        <v>0.69499999999999995</v>
      </c>
      <c r="Z366" s="1">
        <f ca="1">IFERROR(__xludf.DUMMYFUNCTION("""COMPUTED_VALUE"""),429)</f>
        <v>429</v>
      </c>
      <c r="AA366" s="1">
        <f ca="1">IFERROR(__xludf.DUMMYFUNCTION("""COMPUTED_VALUE"""),1021)</f>
        <v>1021</v>
      </c>
      <c r="AB366" s="1">
        <f ca="1">IFERROR(__xludf.DUMMYFUNCTION("""COMPUTED_VALUE"""),396)</f>
        <v>396</v>
      </c>
      <c r="AC366" s="1">
        <f ca="1">IFERROR(__xludf.DUMMYFUNCTION("""COMPUTED_VALUE"""),234)</f>
        <v>234</v>
      </c>
      <c r="AD366" s="1">
        <f ca="1">IFERROR(__xludf.DUMMYFUNCTION("""COMPUTED_VALUE"""),118)</f>
        <v>118</v>
      </c>
      <c r="AE366" s="1">
        <f ca="1">IFERROR(__xludf.DUMMYFUNCTION("""COMPUTED_VALUE"""),417)</f>
        <v>417</v>
      </c>
      <c r="AF366" s="1">
        <f ca="1">IFERROR(__xludf.DUMMYFUNCTION("""COMPUTED_VALUE"""),626)</f>
        <v>626</v>
      </c>
    </row>
    <row r="367" spans="1:32" ht="12.5" x14ac:dyDescent="0.25">
      <c r="A367" s="1" t="str">
        <f ca="1">IFERROR(__xludf.DUMMYFUNCTION("""COMPUTED_VALUE"""),"Western Carolina")</f>
        <v>Western Carolina</v>
      </c>
      <c r="B367" s="1">
        <f ca="1">IFERROR(__xludf.DUMMYFUNCTION("""COMPUTED_VALUE"""),33)</f>
        <v>33</v>
      </c>
      <c r="C367" s="1">
        <f ca="1">IFERROR(__xludf.DUMMYFUNCTION("""COMPUTED_VALUE"""),14)</f>
        <v>14</v>
      </c>
      <c r="D367" s="1">
        <f ca="1">IFERROR(__xludf.DUMMYFUNCTION("""COMPUTED_VALUE"""),19)</f>
        <v>19</v>
      </c>
      <c r="E367" s="1">
        <f ca="1">IFERROR(__xludf.DUMMYFUNCTION("""COMPUTED_VALUE"""),0.424)</f>
        <v>0.42399999999999999</v>
      </c>
      <c r="F367" s="1">
        <f ca="1">IFERROR(__xludf.DUMMYFUNCTION("""COMPUTED_VALUE"""),-6.45)</f>
        <v>-6.45</v>
      </c>
      <c r="G367" s="1">
        <f ca="1">IFERROR(__xludf.DUMMYFUNCTION("""COMPUTED_VALUE"""),-4.42)</f>
        <v>-4.42</v>
      </c>
      <c r="H367" s="1">
        <f ca="1">IFERROR(__xludf.DUMMYFUNCTION("""COMPUTED_VALUE"""),9)</f>
        <v>9</v>
      </c>
      <c r="I367" s="1">
        <f ca="1">IFERROR(__xludf.DUMMYFUNCTION("""COMPUTED_VALUE"""),9)</f>
        <v>9</v>
      </c>
      <c r="J367" s="1">
        <f ca="1">IFERROR(__xludf.DUMMYFUNCTION("""COMPUTED_VALUE"""),7)</f>
        <v>7</v>
      </c>
      <c r="K367" s="1">
        <f ca="1">IFERROR(__xludf.DUMMYFUNCTION("""COMPUTED_VALUE"""),6)</f>
        <v>6</v>
      </c>
      <c r="L367" s="1">
        <f ca="1">IFERROR(__xludf.DUMMYFUNCTION("""COMPUTED_VALUE"""),5)</f>
        <v>5</v>
      </c>
      <c r="M367" s="1">
        <f ca="1">IFERROR(__xludf.DUMMYFUNCTION("""COMPUTED_VALUE"""),11)</f>
        <v>11</v>
      </c>
      <c r="N367" s="1">
        <f ca="1">IFERROR(__xludf.DUMMYFUNCTION("""COMPUTED_VALUE"""),2288)</f>
        <v>2288</v>
      </c>
      <c r="O367" s="1">
        <f ca="1">IFERROR(__xludf.DUMMYFUNCTION("""COMPUTED_VALUE"""),2299)</f>
        <v>2299</v>
      </c>
      <c r="P367" s="1">
        <f ca="1">IFERROR(__xludf.DUMMYFUNCTION("""COMPUTED_VALUE"""),1330)</f>
        <v>1330</v>
      </c>
      <c r="Q367" s="1">
        <f ca="1">IFERROR(__xludf.DUMMYFUNCTION("""COMPUTED_VALUE"""),828)</f>
        <v>828</v>
      </c>
      <c r="R367" s="1">
        <f ca="1">IFERROR(__xludf.DUMMYFUNCTION("""COMPUTED_VALUE"""),1925)</f>
        <v>1925</v>
      </c>
      <c r="S367" s="1">
        <f ca="1">IFERROR(__xludf.DUMMYFUNCTION("""COMPUTED_VALUE"""),0.43)</f>
        <v>0.43</v>
      </c>
      <c r="T367" s="1">
        <f ca="1">IFERROR(__xludf.DUMMYFUNCTION("""COMPUTED_VALUE"""),207)</f>
        <v>207</v>
      </c>
      <c r="U367" s="1">
        <f ca="1">IFERROR(__xludf.DUMMYFUNCTION("""COMPUTED_VALUE"""),611)</f>
        <v>611</v>
      </c>
      <c r="V367" s="1">
        <f ca="1">IFERROR(__xludf.DUMMYFUNCTION("""COMPUTED_VALUE"""),0.339)</f>
        <v>0.33900000000000002</v>
      </c>
      <c r="W367" s="1">
        <f ca="1">IFERROR(__xludf.DUMMYFUNCTION("""COMPUTED_VALUE"""),425)</f>
        <v>425</v>
      </c>
      <c r="X367" s="1">
        <f ca="1">IFERROR(__xludf.DUMMYFUNCTION("""COMPUTED_VALUE"""),604)</f>
        <v>604</v>
      </c>
      <c r="Y367" s="1">
        <f ca="1">IFERROR(__xludf.DUMMYFUNCTION("""COMPUTED_VALUE"""),0.704)</f>
        <v>0.70399999999999996</v>
      </c>
      <c r="Z367" s="1">
        <f ca="1">IFERROR(__xludf.DUMMYFUNCTION("""COMPUTED_VALUE"""),417)</f>
        <v>417</v>
      </c>
      <c r="AA367" s="1">
        <f ca="1">IFERROR(__xludf.DUMMYFUNCTION("""COMPUTED_VALUE"""),1031)</f>
        <v>1031</v>
      </c>
      <c r="AB367" s="1">
        <f ca="1">IFERROR(__xludf.DUMMYFUNCTION("""COMPUTED_VALUE"""),373)</f>
        <v>373</v>
      </c>
      <c r="AC367" s="1">
        <f ca="1">IFERROR(__xludf.DUMMYFUNCTION("""COMPUTED_VALUE"""),250)</f>
        <v>250</v>
      </c>
      <c r="AD367" s="1">
        <f ca="1">IFERROR(__xludf.DUMMYFUNCTION("""COMPUTED_VALUE"""),100)</f>
        <v>100</v>
      </c>
      <c r="AE367" s="1">
        <f ca="1">IFERROR(__xludf.DUMMYFUNCTION("""COMPUTED_VALUE"""),429)</f>
        <v>429</v>
      </c>
      <c r="AF367" s="1">
        <f ca="1">IFERROR(__xludf.DUMMYFUNCTION("""COMPUTED_VALUE"""),652)</f>
        <v>652</v>
      </c>
    </row>
    <row r="368" spans="1:32" ht="12.5" x14ac:dyDescent="0.25">
      <c r="A368" s="1" t="str">
        <f ca="1">IFERROR(__xludf.DUMMYFUNCTION("""COMPUTED_VALUE"""),"Western Illinois")</f>
        <v>Western Illinois</v>
      </c>
      <c r="B368" s="1">
        <f ca="1">IFERROR(__xludf.DUMMYFUNCTION("""COMPUTED_VALUE"""),31)</f>
        <v>31</v>
      </c>
      <c r="C368" s="1">
        <f ca="1">IFERROR(__xludf.DUMMYFUNCTION("""COMPUTED_VALUE"""),22)</f>
        <v>22</v>
      </c>
      <c r="D368" s="1">
        <f ca="1">IFERROR(__xludf.DUMMYFUNCTION("""COMPUTED_VALUE"""),9)</f>
        <v>9</v>
      </c>
      <c r="E368" s="1">
        <f ca="1">IFERROR(__xludf.DUMMYFUNCTION("""COMPUTED_VALUE"""),0.71)</f>
        <v>0.71</v>
      </c>
      <c r="F368" s="1">
        <f ca="1">IFERROR(__xludf.DUMMYFUNCTION("""COMPUTED_VALUE"""),-1.87)</f>
        <v>-1.87</v>
      </c>
      <c r="G368" s="1">
        <f ca="1">IFERROR(__xludf.DUMMYFUNCTION("""COMPUTED_VALUE"""),-5.42)</f>
        <v>-5.42</v>
      </c>
      <c r="H368" s="1">
        <f ca="1">IFERROR(__xludf.DUMMYFUNCTION("""COMPUTED_VALUE"""),13)</f>
        <v>13</v>
      </c>
      <c r="I368" s="1">
        <f ca="1">IFERROR(__xludf.DUMMYFUNCTION("""COMPUTED_VALUE"""),3)</f>
        <v>3</v>
      </c>
      <c r="J368" s="1">
        <f ca="1">IFERROR(__xludf.DUMMYFUNCTION("""COMPUTED_VALUE"""),12)</f>
        <v>12</v>
      </c>
      <c r="K368" s="1">
        <f ca="1">IFERROR(__xludf.DUMMYFUNCTION("""COMPUTED_VALUE"""),2)</f>
        <v>2</v>
      </c>
      <c r="L368" s="1">
        <f ca="1">IFERROR(__xludf.DUMMYFUNCTION("""COMPUTED_VALUE"""),7)</f>
        <v>7</v>
      </c>
      <c r="M368" s="1">
        <f ca="1">IFERROR(__xludf.DUMMYFUNCTION("""COMPUTED_VALUE"""),5)</f>
        <v>5</v>
      </c>
      <c r="N368" s="1">
        <f ca="1">IFERROR(__xludf.DUMMYFUNCTION("""COMPUTED_VALUE"""),1845)</f>
        <v>1845</v>
      </c>
      <c r="O368" s="1">
        <f ca="1">IFERROR(__xludf.DUMMYFUNCTION("""COMPUTED_VALUE"""),1663)</f>
        <v>1663</v>
      </c>
      <c r="P368" s="1">
        <f ca="1">IFERROR(__xludf.DUMMYFUNCTION("""COMPUTED_VALUE"""),1245)</f>
        <v>1245</v>
      </c>
      <c r="Q368" s="1">
        <f ca="1">IFERROR(__xludf.DUMMYFUNCTION("""COMPUTED_VALUE"""),659)</f>
        <v>659</v>
      </c>
      <c r="R368" s="1">
        <f ca="1">IFERROR(__xludf.DUMMYFUNCTION("""COMPUTED_VALUE"""),1414)</f>
        <v>1414</v>
      </c>
      <c r="S368" s="1">
        <f ca="1">IFERROR(__xludf.DUMMYFUNCTION("""COMPUTED_VALUE"""),0.466)</f>
        <v>0.46600000000000003</v>
      </c>
      <c r="T368" s="1">
        <f ca="1">IFERROR(__xludf.DUMMYFUNCTION("""COMPUTED_VALUE"""),161)</f>
        <v>161</v>
      </c>
      <c r="U368" s="1">
        <f ca="1">IFERROR(__xludf.DUMMYFUNCTION("""COMPUTED_VALUE"""),412)</f>
        <v>412</v>
      </c>
      <c r="V368" s="1">
        <f ca="1">IFERROR(__xludf.DUMMYFUNCTION("""COMPUTED_VALUE"""),0.391)</f>
        <v>0.39100000000000001</v>
      </c>
      <c r="W368" s="1">
        <f ca="1">IFERROR(__xludf.DUMMYFUNCTION("""COMPUTED_VALUE"""),366)</f>
        <v>366</v>
      </c>
      <c r="X368" s="1">
        <f ca="1">IFERROR(__xludf.DUMMYFUNCTION("""COMPUTED_VALUE"""),570)</f>
        <v>570</v>
      </c>
      <c r="Y368" s="1">
        <f ca="1">IFERROR(__xludf.DUMMYFUNCTION("""COMPUTED_VALUE"""),0.642)</f>
        <v>0.64200000000000002</v>
      </c>
      <c r="Z368" s="1">
        <f ca="1">IFERROR(__xludf.DUMMYFUNCTION("""COMPUTED_VALUE"""),220)</f>
        <v>220</v>
      </c>
      <c r="AA368" s="1">
        <f ca="1">IFERROR(__xludf.DUMMYFUNCTION("""COMPUTED_VALUE"""),874)</f>
        <v>874</v>
      </c>
      <c r="AB368" s="1">
        <f ca="1">IFERROR(__xludf.DUMMYFUNCTION("""COMPUTED_VALUE"""),371)</f>
        <v>371</v>
      </c>
      <c r="AC368" s="1">
        <f ca="1">IFERROR(__xludf.DUMMYFUNCTION("""COMPUTED_VALUE"""),181)</f>
        <v>181</v>
      </c>
      <c r="AD368" s="1">
        <f ca="1">IFERROR(__xludf.DUMMYFUNCTION("""COMPUTED_VALUE"""),125)</f>
        <v>125</v>
      </c>
      <c r="AE368" s="1">
        <f ca="1">IFERROR(__xludf.DUMMYFUNCTION("""COMPUTED_VALUE"""),352)</f>
        <v>352</v>
      </c>
      <c r="AF368" s="1">
        <f ca="1">IFERROR(__xludf.DUMMYFUNCTION("""COMPUTED_VALUE"""),391)</f>
        <v>391</v>
      </c>
    </row>
    <row r="369" spans="1:32" ht="12.5" x14ac:dyDescent="0.25">
      <c r="A369" s="1" t="str">
        <f ca="1">IFERROR(__xludf.DUMMYFUNCTION("""COMPUTED_VALUE"""),"Western KentuckyNCAA")</f>
        <v>Western KentuckyNCAA</v>
      </c>
      <c r="B369" s="1">
        <f ca="1">IFERROR(__xludf.DUMMYFUNCTION("""COMPUTED_VALUE"""),36)</f>
        <v>36</v>
      </c>
      <c r="C369" s="1">
        <f ca="1">IFERROR(__xludf.DUMMYFUNCTION("""COMPUTED_VALUE"""),20)</f>
        <v>20</v>
      </c>
      <c r="D369" s="1">
        <f ca="1">IFERROR(__xludf.DUMMYFUNCTION("""COMPUTED_VALUE"""),16)</f>
        <v>16</v>
      </c>
      <c r="E369" s="1">
        <f ca="1">IFERROR(__xludf.DUMMYFUNCTION("""COMPUTED_VALUE"""),0.556)</f>
        <v>0.55600000000000005</v>
      </c>
      <c r="F369" s="1">
        <f ca="1">IFERROR(__xludf.DUMMYFUNCTION("""COMPUTED_VALUE"""),-0.65)</f>
        <v>-0.65</v>
      </c>
      <c r="G369" s="1">
        <f ca="1">IFERROR(__xludf.DUMMYFUNCTION("""COMPUTED_VALUE"""),-1.14)</f>
        <v>-1.1399999999999999</v>
      </c>
      <c r="H369" s="1">
        <f ca="1">IFERROR(__xludf.DUMMYFUNCTION("""COMPUTED_VALUE"""),10)</f>
        <v>10</v>
      </c>
      <c r="I369" s="1">
        <f ca="1">IFERROR(__xludf.DUMMYFUNCTION("""COMPUTED_VALUE"""),10)</f>
        <v>10</v>
      </c>
      <c r="J369" s="1">
        <f ca="1">IFERROR(__xludf.DUMMYFUNCTION("""COMPUTED_VALUE"""),11)</f>
        <v>11</v>
      </c>
      <c r="K369" s="1">
        <f ca="1">IFERROR(__xludf.DUMMYFUNCTION("""COMPUTED_VALUE"""),4)</f>
        <v>4</v>
      </c>
      <c r="L369" s="1">
        <f ca="1">IFERROR(__xludf.DUMMYFUNCTION("""COMPUTED_VALUE"""),4)</f>
        <v>4</v>
      </c>
      <c r="M369" s="1">
        <f ca="1">IFERROR(__xludf.DUMMYFUNCTION("""COMPUTED_VALUE"""),9)</f>
        <v>9</v>
      </c>
      <c r="N369" s="1">
        <f ca="1">IFERROR(__xludf.DUMMYFUNCTION("""COMPUTED_VALUE"""),2409)</f>
        <v>2409</v>
      </c>
      <c r="O369" s="1">
        <f ca="1">IFERROR(__xludf.DUMMYFUNCTION("""COMPUTED_VALUE"""),2364)</f>
        <v>2364</v>
      </c>
      <c r="P369" s="1">
        <f ca="1">IFERROR(__xludf.DUMMYFUNCTION("""COMPUTED_VALUE"""),1445)</f>
        <v>1445</v>
      </c>
      <c r="Q369" s="1">
        <f ca="1">IFERROR(__xludf.DUMMYFUNCTION("""COMPUTED_VALUE"""),837)</f>
        <v>837</v>
      </c>
      <c r="R369" s="1">
        <f ca="1">IFERROR(__xludf.DUMMYFUNCTION("""COMPUTED_VALUE"""),1959)</f>
        <v>1959</v>
      </c>
      <c r="S369" s="1">
        <f ca="1">IFERROR(__xludf.DUMMYFUNCTION("""COMPUTED_VALUE"""),0.427)</f>
        <v>0.42699999999999999</v>
      </c>
      <c r="T369" s="1">
        <f ca="1">IFERROR(__xludf.DUMMYFUNCTION("""COMPUTED_VALUE"""),226)</f>
        <v>226</v>
      </c>
      <c r="U369" s="1">
        <f ca="1">IFERROR(__xludf.DUMMYFUNCTION("""COMPUTED_VALUE"""),709)</f>
        <v>709</v>
      </c>
      <c r="V369" s="1">
        <f ca="1">IFERROR(__xludf.DUMMYFUNCTION("""COMPUTED_VALUE"""),0.319)</f>
        <v>0.31900000000000001</v>
      </c>
      <c r="W369" s="1">
        <f ca="1">IFERROR(__xludf.DUMMYFUNCTION("""COMPUTED_VALUE"""),509)</f>
        <v>509</v>
      </c>
      <c r="X369" s="1">
        <f ca="1">IFERROR(__xludf.DUMMYFUNCTION("""COMPUTED_VALUE"""),755)</f>
        <v>755</v>
      </c>
      <c r="Y369" s="1">
        <f ca="1">IFERROR(__xludf.DUMMYFUNCTION("""COMPUTED_VALUE"""),0.674)</f>
        <v>0.67400000000000004</v>
      </c>
      <c r="Z369" s="1">
        <f ca="1">IFERROR(__xludf.DUMMYFUNCTION("""COMPUTED_VALUE"""),441)</f>
        <v>441</v>
      </c>
      <c r="AA369" s="1">
        <f ca="1">IFERROR(__xludf.DUMMYFUNCTION("""COMPUTED_VALUE"""),1204)</f>
        <v>1204</v>
      </c>
      <c r="AB369" s="1">
        <f ca="1">IFERROR(__xludf.DUMMYFUNCTION("""COMPUTED_VALUE"""),400)</f>
        <v>400</v>
      </c>
      <c r="AC369" s="1">
        <f ca="1">IFERROR(__xludf.DUMMYFUNCTION("""COMPUTED_VALUE"""),223)</f>
        <v>223</v>
      </c>
      <c r="AD369" s="1">
        <f ca="1">IFERROR(__xludf.DUMMYFUNCTION("""COMPUTED_VALUE"""),115)</f>
        <v>115</v>
      </c>
      <c r="AE369" s="1">
        <f ca="1">IFERROR(__xludf.DUMMYFUNCTION("""COMPUTED_VALUE"""),537)</f>
        <v>537</v>
      </c>
      <c r="AF369" s="1">
        <f ca="1">IFERROR(__xludf.DUMMYFUNCTION("""COMPUTED_VALUE"""),691)</f>
        <v>691</v>
      </c>
    </row>
    <row r="370" spans="1:32" ht="12.5" x14ac:dyDescent="0.25">
      <c r="A370" s="1" t="str">
        <f ca="1">IFERROR(__xludf.DUMMYFUNCTION("""COMPUTED_VALUE"""),"Western Michigan")</f>
        <v>Western Michigan</v>
      </c>
      <c r="B370" s="1">
        <f ca="1">IFERROR(__xludf.DUMMYFUNCTION("""COMPUTED_VALUE"""),35)</f>
        <v>35</v>
      </c>
      <c r="C370" s="1">
        <f ca="1">IFERROR(__xludf.DUMMYFUNCTION("""COMPUTED_VALUE"""),22)</f>
        <v>22</v>
      </c>
      <c r="D370" s="1">
        <f ca="1">IFERROR(__xludf.DUMMYFUNCTION("""COMPUTED_VALUE"""),13)</f>
        <v>13</v>
      </c>
      <c r="E370" s="1">
        <f ca="1">IFERROR(__xludf.DUMMYFUNCTION("""COMPUTED_VALUE"""),0.629)</f>
        <v>0.629</v>
      </c>
      <c r="F370" s="1">
        <f ca="1">IFERROR(__xludf.DUMMYFUNCTION("""COMPUTED_VALUE"""),0.42)</f>
        <v>0.42</v>
      </c>
      <c r="G370" s="1">
        <f ca="1">IFERROR(__xludf.DUMMYFUNCTION("""COMPUTED_VALUE"""),-1.43)</f>
        <v>-1.43</v>
      </c>
      <c r="H370" s="1">
        <f ca="1">IFERROR(__xludf.DUMMYFUNCTION("""COMPUTED_VALUE"""),10)</f>
        <v>10</v>
      </c>
      <c r="I370" s="1">
        <f ca="1">IFERROR(__xludf.DUMMYFUNCTION("""COMPUTED_VALUE"""),6)</f>
        <v>6</v>
      </c>
      <c r="J370" s="1">
        <f ca="1">IFERROR(__xludf.DUMMYFUNCTION("""COMPUTED_VALUE"""),12)</f>
        <v>12</v>
      </c>
      <c r="K370" s="1">
        <f ca="1">IFERROR(__xludf.DUMMYFUNCTION("""COMPUTED_VALUE"""),2)</f>
        <v>2</v>
      </c>
      <c r="L370" s="1">
        <f ca="1">IFERROR(__xludf.DUMMYFUNCTION("""COMPUTED_VALUE"""),7)</f>
        <v>7</v>
      </c>
      <c r="M370" s="1">
        <f ca="1">IFERROR(__xludf.DUMMYFUNCTION("""COMPUTED_VALUE"""),10)</f>
        <v>10</v>
      </c>
      <c r="N370" s="1">
        <f ca="1">IFERROR(__xludf.DUMMYFUNCTION("""COMPUTED_VALUE"""),2345)</f>
        <v>2345</v>
      </c>
      <c r="O370" s="1">
        <f ca="1">IFERROR(__xludf.DUMMYFUNCTION("""COMPUTED_VALUE"""),2237)</f>
        <v>2237</v>
      </c>
      <c r="P370" s="1">
        <f ca="1">IFERROR(__xludf.DUMMYFUNCTION("""COMPUTED_VALUE"""),1415)</f>
        <v>1415</v>
      </c>
      <c r="Q370" s="1">
        <f ca="1">IFERROR(__xludf.DUMMYFUNCTION("""COMPUTED_VALUE"""),785)</f>
        <v>785</v>
      </c>
      <c r="R370" s="1">
        <f ca="1">IFERROR(__xludf.DUMMYFUNCTION("""COMPUTED_VALUE"""),1816)</f>
        <v>1816</v>
      </c>
      <c r="S370" s="1">
        <f ca="1">IFERROR(__xludf.DUMMYFUNCTION("""COMPUTED_VALUE"""),0.432)</f>
        <v>0.432</v>
      </c>
      <c r="T370" s="1">
        <f ca="1">IFERROR(__xludf.DUMMYFUNCTION("""COMPUTED_VALUE"""),188)</f>
        <v>188</v>
      </c>
      <c r="U370" s="1">
        <f ca="1">IFERROR(__xludf.DUMMYFUNCTION("""COMPUTED_VALUE"""),587)</f>
        <v>587</v>
      </c>
      <c r="V370" s="1">
        <f ca="1">IFERROR(__xludf.DUMMYFUNCTION("""COMPUTED_VALUE"""),0.32)</f>
        <v>0.32</v>
      </c>
      <c r="W370" s="1">
        <f ca="1">IFERROR(__xludf.DUMMYFUNCTION("""COMPUTED_VALUE"""),587)</f>
        <v>587</v>
      </c>
      <c r="X370" s="1">
        <f ca="1">IFERROR(__xludf.DUMMYFUNCTION("""COMPUTED_VALUE"""),835)</f>
        <v>835</v>
      </c>
      <c r="Y370" s="1">
        <f ca="1">IFERROR(__xludf.DUMMYFUNCTION("""COMPUTED_VALUE"""),0.703)</f>
        <v>0.70299999999999996</v>
      </c>
      <c r="Z370" s="1">
        <f ca="1">IFERROR(__xludf.DUMMYFUNCTION("""COMPUTED_VALUE"""),417)</f>
        <v>417</v>
      </c>
      <c r="AA370" s="1">
        <f ca="1">IFERROR(__xludf.DUMMYFUNCTION("""COMPUTED_VALUE"""),1172)</f>
        <v>1172</v>
      </c>
      <c r="AB370" s="1">
        <f ca="1">IFERROR(__xludf.DUMMYFUNCTION("""COMPUTED_VALUE"""),412)</f>
        <v>412</v>
      </c>
      <c r="AC370" s="1">
        <f ca="1">IFERROR(__xludf.DUMMYFUNCTION("""COMPUTED_VALUE"""),198)</f>
        <v>198</v>
      </c>
      <c r="AD370" s="1">
        <f ca="1">IFERROR(__xludf.DUMMYFUNCTION("""COMPUTED_VALUE"""),114)</f>
        <v>114</v>
      </c>
      <c r="AE370" s="1">
        <f ca="1">IFERROR(__xludf.DUMMYFUNCTION("""COMPUTED_VALUE"""),510)</f>
        <v>510</v>
      </c>
      <c r="AF370" s="1">
        <f ca="1">IFERROR(__xludf.DUMMYFUNCTION("""COMPUTED_VALUE"""),628)</f>
        <v>628</v>
      </c>
    </row>
    <row r="371" spans="1:32" ht="12.5" x14ac:dyDescent="0.25">
      <c r="A371" s="1" t="str">
        <f ca="1">IFERROR(__xludf.DUMMYFUNCTION("""COMPUTED_VALUE"""),"Wichita StateNCAA")</f>
        <v>Wichita StateNCAA</v>
      </c>
      <c r="B371" s="1">
        <f ca="1">IFERROR(__xludf.DUMMYFUNCTION("""COMPUTED_VALUE"""),39)</f>
        <v>39</v>
      </c>
      <c r="C371" s="1">
        <f ca="1">IFERROR(__xludf.DUMMYFUNCTION("""COMPUTED_VALUE"""),30)</f>
        <v>30</v>
      </c>
      <c r="D371" s="1">
        <f ca="1">IFERROR(__xludf.DUMMYFUNCTION("""COMPUTED_VALUE"""),9)</f>
        <v>9</v>
      </c>
      <c r="E371" s="1">
        <f ca="1">IFERROR(__xludf.DUMMYFUNCTION("""COMPUTED_VALUE"""),0.769)</f>
        <v>0.76900000000000002</v>
      </c>
      <c r="F371" s="1">
        <f ca="1">IFERROR(__xludf.DUMMYFUNCTION("""COMPUTED_VALUE"""),14.68)</f>
        <v>14.68</v>
      </c>
      <c r="G371" s="1">
        <f ca="1">IFERROR(__xludf.DUMMYFUNCTION("""COMPUTED_VALUE"""),6.09)</f>
        <v>6.09</v>
      </c>
      <c r="H371" s="1">
        <f ca="1">IFERROR(__xludf.DUMMYFUNCTION("""COMPUTED_VALUE"""),12)</f>
        <v>12</v>
      </c>
      <c r="I371" s="1">
        <f ca="1">IFERROR(__xludf.DUMMYFUNCTION("""COMPUTED_VALUE"""),6)</f>
        <v>6</v>
      </c>
      <c r="J371" s="1">
        <f ca="1">IFERROR(__xludf.DUMMYFUNCTION("""COMPUTED_VALUE"""),14)</f>
        <v>14</v>
      </c>
      <c r="K371" s="1">
        <f ca="1">IFERROR(__xludf.DUMMYFUNCTION("""COMPUTED_VALUE"""),2)</f>
        <v>2</v>
      </c>
      <c r="L371" s="1">
        <f ca="1">IFERROR(__xludf.DUMMYFUNCTION("""COMPUTED_VALUE"""),7)</f>
        <v>7</v>
      </c>
      <c r="M371" s="1">
        <f ca="1">IFERROR(__xludf.DUMMYFUNCTION("""COMPUTED_VALUE"""),5)</f>
        <v>5</v>
      </c>
      <c r="N371" s="1">
        <f ca="1">IFERROR(__xludf.DUMMYFUNCTION("""COMPUTED_VALUE"""),2720)</f>
        <v>2720</v>
      </c>
      <c r="O371" s="1">
        <f ca="1">IFERROR(__xludf.DUMMYFUNCTION("""COMPUTED_VALUE"""),2385)</f>
        <v>2385</v>
      </c>
      <c r="P371" s="1">
        <f ca="1">IFERROR(__xludf.DUMMYFUNCTION("""COMPUTED_VALUE"""),1560)</f>
        <v>1560</v>
      </c>
      <c r="Q371" s="1">
        <f ca="1">IFERROR(__xludf.DUMMYFUNCTION("""COMPUTED_VALUE"""),954)</f>
        <v>954</v>
      </c>
      <c r="R371" s="1">
        <f ca="1">IFERROR(__xludf.DUMMYFUNCTION("""COMPUTED_VALUE"""),2166)</f>
        <v>2166</v>
      </c>
      <c r="S371" s="1">
        <f ca="1">IFERROR(__xludf.DUMMYFUNCTION("""COMPUTED_VALUE"""),0.44)</f>
        <v>0.44</v>
      </c>
      <c r="T371" s="1">
        <f ca="1">IFERROR(__xludf.DUMMYFUNCTION("""COMPUTED_VALUE"""),259)</f>
        <v>259</v>
      </c>
      <c r="U371" s="1">
        <f ca="1">IFERROR(__xludf.DUMMYFUNCTION("""COMPUTED_VALUE"""),765)</f>
        <v>765</v>
      </c>
      <c r="V371" s="1">
        <f ca="1">IFERROR(__xludf.DUMMYFUNCTION("""COMPUTED_VALUE"""),0.339)</f>
        <v>0.33900000000000002</v>
      </c>
      <c r="W371" s="1">
        <f ca="1">IFERROR(__xludf.DUMMYFUNCTION("""COMPUTED_VALUE"""),553)</f>
        <v>553</v>
      </c>
      <c r="X371" s="1">
        <f ca="1">IFERROR(__xludf.DUMMYFUNCTION("""COMPUTED_VALUE"""),791)</f>
        <v>791</v>
      </c>
      <c r="Y371" s="1">
        <f ca="1">IFERROR(__xludf.DUMMYFUNCTION("""COMPUTED_VALUE"""),0.699)</f>
        <v>0.69899999999999995</v>
      </c>
      <c r="Z371" s="1">
        <f ca="1">IFERROR(__xludf.DUMMYFUNCTION("""COMPUTED_VALUE"""),512)</f>
        <v>512</v>
      </c>
      <c r="AA371" s="1">
        <f ca="1">IFERROR(__xludf.DUMMYFUNCTION("""COMPUTED_VALUE"""),1355)</f>
        <v>1355</v>
      </c>
      <c r="AB371" s="1">
        <f ca="1">IFERROR(__xludf.DUMMYFUNCTION("""COMPUTED_VALUE"""),530)</f>
        <v>530</v>
      </c>
      <c r="AC371" s="1">
        <f ca="1">IFERROR(__xludf.DUMMYFUNCTION("""COMPUTED_VALUE"""),289)</f>
        <v>289</v>
      </c>
      <c r="AD371" s="1">
        <f ca="1">IFERROR(__xludf.DUMMYFUNCTION("""COMPUTED_VALUE"""),173)</f>
        <v>173</v>
      </c>
      <c r="AE371" s="1">
        <f ca="1">IFERROR(__xludf.DUMMYFUNCTION("""COMPUTED_VALUE"""),492)</f>
        <v>492</v>
      </c>
      <c r="AF371" s="1">
        <f ca="1">IFERROR(__xludf.DUMMYFUNCTION("""COMPUTED_VALUE"""),700)</f>
        <v>700</v>
      </c>
    </row>
    <row r="372" spans="1:32" ht="12.5" x14ac:dyDescent="0.25">
      <c r="A372" s="1" t="str">
        <f ca="1">IFERROR(__xludf.DUMMYFUNCTION("""COMPUTED_VALUE"""),"William &amp; Mary")</f>
        <v>William &amp; Mary</v>
      </c>
      <c r="B372" s="1">
        <f ca="1">IFERROR(__xludf.DUMMYFUNCTION("""COMPUTED_VALUE"""),30)</f>
        <v>30</v>
      </c>
      <c r="C372" s="1">
        <f ca="1">IFERROR(__xludf.DUMMYFUNCTION("""COMPUTED_VALUE"""),13)</f>
        <v>13</v>
      </c>
      <c r="D372" s="1">
        <f ca="1">IFERROR(__xludf.DUMMYFUNCTION("""COMPUTED_VALUE"""),17)</f>
        <v>17</v>
      </c>
      <c r="E372" s="1">
        <f ca="1">IFERROR(__xludf.DUMMYFUNCTION("""COMPUTED_VALUE"""),0.433)</f>
        <v>0.433</v>
      </c>
      <c r="F372" s="1">
        <f ca="1">IFERROR(__xludf.DUMMYFUNCTION("""COMPUTED_VALUE"""),-4.03)</f>
        <v>-4.03</v>
      </c>
      <c r="G372" s="1">
        <f ca="1">IFERROR(__xludf.DUMMYFUNCTION("""COMPUTED_VALUE"""),-3.45)</f>
        <v>-3.45</v>
      </c>
      <c r="H372" s="1">
        <f ca="1">IFERROR(__xludf.DUMMYFUNCTION("""COMPUTED_VALUE"""),7)</f>
        <v>7</v>
      </c>
      <c r="I372" s="1">
        <f ca="1">IFERROR(__xludf.DUMMYFUNCTION("""COMPUTED_VALUE"""),11)</f>
        <v>11</v>
      </c>
      <c r="J372" s="1">
        <f ca="1">IFERROR(__xludf.DUMMYFUNCTION("""COMPUTED_VALUE"""),8)</f>
        <v>8</v>
      </c>
      <c r="K372" s="1">
        <f ca="1">IFERROR(__xludf.DUMMYFUNCTION("""COMPUTED_VALUE"""),5)</f>
        <v>5</v>
      </c>
      <c r="L372" s="1">
        <f ca="1">IFERROR(__xludf.DUMMYFUNCTION("""COMPUTED_VALUE"""),5)</f>
        <v>5</v>
      </c>
      <c r="M372" s="1">
        <f ca="1">IFERROR(__xludf.DUMMYFUNCTION("""COMPUTED_VALUE"""),11)</f>
        <v>11</v>
      </c>
      <c r="N372" s="1">
        <f ca="1">IFERROR(__xludf.DUMMYFUNCTION("""COMPUTED_VALUE"""),2064)</f>
        <v>2064</v>
      </c>
      <c r="O372" s="1">
        <f ca="1">IFERROR(__xludf.DUMMYFUNCTION("""COMPUTED_VALUE"""),2048)</f>
        <v>2048</v>
      </c>
      <c r="P372" s="1">
        <f ca="1">IFERROR(__xludf.DUMMYFUNCTION("""COMPUTED_VALUE"""),1230)</f>
        <v>1230</v>
      </c>
      <c r="Q372" s="1">
        <f ca="1">IFERROR(__xludf.DUMMYFUNCTION("""COMPUTED_VALUE"""),718)</f>
        <v>718</v>
      </c>
      <c r="R372" s="1">
        <f ca="1">IFERROR(__xludf.DUMMYFUNCTION("""COMPUTED_VALUE"""),1536)</f>
        <v>1536</v>
      </c>
      <c r="S372" s="1">
        <f ca="1">IFERROR(__xludf.DUMMYFUNCTION("""COMPUTED_VALUE"""),0.467)</f>
        <v>0.46700000000000003</v>
      </c>
      <c r="T372" s="1">
        <f ca="1">IFERROR(__xludf.DUMMYFUNCTION("""COMPUTED_VALUE"""),223)</f>
        <v>223</v>
      </c>
      <c r="U372" s="1">
        <f ca="1">IFERROR(__xludf.DUMMYFUNCTION("""COMPUTED_VALUE"""),591)</f>
        <v>591</v>
      </c>
      <c r="V372" s="1">
        <f ca="1">IFERROR(__xludf.DUMMYFUNCTION("""COMPUTED_VALUE"""),0.377)</f>
        <v>0.377</v>
      </c>
      <c r="W372" s="1">
        <f ca="1">IFERROR(__xludf.DUMMYFUNCTION("""COMPUTED_VALUE"""),405)</f>
        <v>405</v>
      </c>
      <c r="X372" s="1">
        <f ca="1">IFERROR(__xludf.DUMMYFUNCTION("""COMPUTED_VALUE"""),571)</f>
        <v>571</v>
      </c>
      <c r="Y372" s="1">
        <f ca="1">IFERROR(__xludf.DUMMYFUNCTION("""COMPUTED_VALUE"""),0.709)</f>
        <v>0.70899999999999996</v>
      </c>
      <c r="Z372" s="1">
        <f ca="1">IFERROR(__xludf.DUMMYFUNCTION("""COMPUTED_VALUE"""),260)</f>
        <v>260</v>
      </c>
      <c r="AA372" s="1">
        <f ca="1">IFERROR(__xludf.DUMMYFUNCTION("""COMPUTED_VALUE"""),909)</f>
        <v>909</v>
      </c>
      <c r="AB372" s="1">
        <f ca="1">IFERROR(__xludf.DUMMYFUNCTION("""COMPUTED_VALUE"""),428)</f>
        <v>428</v>
      </c>
      <c r="AC372" s="1">
        <f ca="1">IFERROR(__xludf.DUMMYFUNCTION("""COMPUTED_VALUE"""),154)</f>
        <v>154</v>
      </c>
      <c r="AD372" s="1">
        <f ca="1">IFERROR(__xludf.DUMMYFUNCTION("""COMPUTED_VALUE"""),91)</f>
        <v>91</v>
      </c>
      <c r="AE372" s="1">
        <f ca="1">IFERROR(__xludf.DUMMYFUNCTION("""COMPUTED_VALUE"""),391)</f>
        <v>391</v>
      </c>
      <c r="AF372" s="1">
        <f ca="1">IFERROR(__xludf.DUMMYFUNCTION("""COMPUTED_VALUE"""),466)</f>
        <v>466</v>
      </c>
    </row>
    <row r="373" spans="1:32" ht="12.5" x14ac:dyDescent="0.25">
      <c r="A373" s="1" t="str">
        <f ca="1">IFERROR(__xludf.DUMMYFUNCTION("""COMPUTED_VALUE"""),"Winthrop")</f>
        <v>Winthrop</v>
      </c>
      <c r="B373" s="1">
        <f ca="1">IFERROR(__xludf.DUMMYFUNCTION("""COMPUTED_VALUE"""),31)</f>
        <v>31</v>
      </c>
      <c r="C373" s="1">
        <f ca="1">IFERROR(__xludf.DUMMYFUNCTION("""COMPUTED_VALUE"""),14)</f>
        <v>14</v>
      </c>
      <c r="D373" s="1">
        <f ca="1">IFERROR(__xludf.DUMMYFUNCTION("""COMPUTED_VALUE"""),17)</f>
        <v>17</v>
      </c>
      <c r="E373" s="1">
        <f ca="1">IFERROR(__xludf.DUMMYFUNCTION("""COMPUTED_VALUE"""),0.452)</f>
        <v>0.45200000000000001</v>
      </c>
      <c r="F373" s="1">
        <f ca="1">IFERROR(__xludf.DUMMYFUNCTION("""COMPUTED_VALUE"""),-8.61)</f>
        <v>-8.61</v>
      </c>
      <c r="G373" s="1">
        <f ca="1">IFERROR(__xludf.DUMMYFUNCTION("""COMPUTED_VALUE"""),-4.43)</f>
        <v>-4.43</v>
      </c>
      <c r="H373" s="1">
        <f ca="1">IFERROR(__xludf.DUMMYFUNCTION("""COMPUTED_VALUE"""),6)</f>
        <v>6</v>
      </c>
      <c r="I373" s="1">
        <f ca="1">IFERROR(__xludf.DUMMYFUNCTION("""COMPUTED_VALUE"""),10)</f>
        <v>10</v>
      </c>
      <c r="J373" s="1">
        <f ca="1">IFERROR(__xludf.DUMMYFUNCTION("""COMPUTED_VALUE"""),11)</f>
        <v>11</v>
      </c>
      <c r="K373" s="1">
        <f ca="1">IFERROR(__xludf.DUMMYFUNCTION("""COMPUTED_VALUE"""),4)</f>
        <v>4</v>
      </c>
      <c r="L373" s="1">
        <f ca="1">IFERROR(__xludf.DUMMYFUNCTION("""COMPUTED_VALUE"""),2)</f>
        <v>2</v>
      </c>
      <c r="M373" s="1">
        <f ca="1">IFERROR(__xludf.DUMMYFUNCTION("""COMPUTED_VALUE"""),12)</f>
        <v>12</v>
      </c>
      <c r="N373" s="1">
        <f ca="1">IFERROR(__xludf.DUMMYFUNCTION("""COMPUTED_VALUE"""),1859)</f>
        <v>1859</v>
      </c>
      <c r="O373" s="1">
        <f ca="1">IFERROR(__xludf.DUMMYFUNCTION("""COMPUTED_VALUE"""),1897)</f>
        <v>1897</v>
      </c>
      <c r="P373" s="1">
        <f ca="1">IFERROR(__xludf.DUMMYFUNCTION("""COMPUTED_VALUE"""),1245)</f>
        <v>1245</v>
      </c>
      <c r="Q373" s="1">
        <f ca="1">IFERROR(__xludf.DUMMYFUNCTION("""COMPUTED_VALUE"""),647)</f>
        <v>647</v>
      </c>
      <c r="R373" s="1">
        <f ca="1">IFERROR(__xludf.DUMMYFUNCTION("""COMPUTED_VALUE"""),1555)</f>
        <v>1555</v>
      </c>
      <c r="S373" s="1">
        <f ca="1">IFERROR(__xludf.DUMMYFUNCTION("""COMPUTED_VALUE"""),0.416)</f>
        <v>0.41599999999999998</v>
      </c>
      <c r="T373" s="1">
        <f ca="1">IFERROR(__xludf.DUMMYFUNCTION("""COMPUTED_VALUE"""),180)</f>
        <v>180</v>
      </c>
      <c r="U373" s="1">
        <f ca="1">IFERROR(__xludf.DUMMYFUNCTION("""COMPUTED_VALUE"""),570)</f>
        <v>570</v>
      </c>
      <c r="V373" s="1">
        <f ca="1">IFERROR(__xludf.DUMMYFUNCTION("""COMPUTED_VALUE"""),0.316)</f>
        <v>0.316</v>
      </c>
      <c r="W373" s="1">
        <f ca="1">IFERROR(__xludf.DUMMYFUNCTION("""COMPUTED_VALUE"""),385)</f>
        <v>385</v>
      </c>
      <c r="X373" s="1">
        <f ca="1">IFERROR(__xludf.DUMMYFUNCTION("""COMPUTED_VALUE"""),560)</f>
        <v>560</v>
      </c>
      <c r="Y373" s="1">
        <f ca="1">IFERROR(__xludf.DUMMYFUNCTION("""COMPUTED_VALUE"""),0.688)</f>
        <v>0.68799999999999994</v>
      </c>
      <c r="Z373" s="1">
        <f ca="1">IFERROR(__xludf.DUMMYFUNCTION("""COMPUTED_VALUE"""),294)</f>
        <v>294</v>
      </c>
      <c r="AA373" s="1">
        <f ca="1">IFERROR(__xludf.DUMMYFUNCTION("""COMPUTED_VALUE"""),893)</f>
        <v>893</v>
      </c>
      <c r="AB373" s="1">
        <f ca="1">IFERROR(__xludf.DUMMYFUNCTION("""COMPUTED_VALUE"""),294)</f>
        <v>294</v>
      </c>
      <c r="AC373" s="1">
        <f ca="1">IFERROR(__xludf.DUMMYFUNCTION("""COMPUTED_VALUE"""),150)</f>
        <v>150</v>
      </c>
      <c r="AD373" s="1">
        <f ca="1">IFERROR(__xludf.DUMMYFUNCTION("""COMPUTED_VALUE"""),67)</f>
        <v>67</v>
      </c>
      <c r="AE373" s="1">
        <f ca="1">IFERROR(__xludf.DUMMYFUNCTION("""COMPUTED_VALUE"""),403)</f>
        <v>403</v>
      </c>
      <c r="AF373" s="1">
        <f ca="1">IFERROR(__xludf.DUMMYFUNCTION("""COMPUTED_VALUE"""),541)</f>
        <v>541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IFERROR(__xludf.DUMMYFUNCTION("""COMPUTED_VALUE"""),"WisconsinNCAA")</f>
        <v>WisconsinNCAA</v>
      </c>
      <c r="B376" s="1">
        <f ca="1">IFERROR(__xludf.DUMMYFUNCTION("""COMPUTED_VALUE"""),35)</f>
        <v>35</v>
      </c>
      <c r="C376" s="1">
        <f ca="1">IFERROR(__xludf.DUMMYFUNCTION("""COMPUTED_VALUE"""),23)</f>
        <v>23</v>
      </c>
      <c r="D376" s="1">
        <f ca="1">IFERROR(__xludf.DUMMYFUNCTION("""COMPUTED_VALUE"""),12)</f>
        <v>12</v>
      </c>
      <c r="E376" s="1">
        <f ca="1">IFERROR(__xludf.DUMMYFUNCTION("""COMPUTED_VALUE"""),0.657)</f>
        <v>0.65700000000000003</v>
      </c>
      <c r="F376" s="1">
        <f ca="1">IFERROR(__xludf.DUMMYFUNCTION("""COMPUTED_VALUE"""),18.76)</f>
        <v>18.760000000000002</v>
      </c>
      <c r="G376" s="1">
        <f ca="1">IFERROR(__xludf.DUMMYFUNCTION("""COMPUTED_VALUE"""),9.73)</f>
        <v>9.73</v>
      </c>
      <c r="H376" s="1">
        <f ca="1">IFERROR(__xludf.DUMMYFUNCTION("""COMPUTED_VALUE"""),12)</f>
        <v>12</v>
      </c>
      <c r="I376" s="1">
        <f ca="1">IFERROR(__xludf.DUMMYFUNCTION("""COMPUTED_VALUE"""),6)</f>
        <v>6</v>
      </c>
      <c r="J376" s="1">
        <f ca="1">IFERROR(__xludf.DUMMYFUNCTION("""COMPUTED_VALUE"""),15)</f>
        <v>15</v>
      </c>
      <c r="K376" s="1">
        <f ca="1">IFERROR(__xludf.DUMMYFUNCTION("""COMPUTED_VALUE"""),3)</f>
        <v>3</v>
      </c>
      <c r="L376" s="1">
        <f ca="1">IFERROR(__xludf.DUMMYFUNCTION("""COMPUTED_VALUE"""),5)</f>
        <v>5</v>
      </c>
      <c r="M376" s="1">
        <f ca="1">IFERROR(__xludf.DUMMYFUNCTION("""COMPUTED_VALUE"""),6)</f>
        <v>6</v>
      </c>
      <c r="N376" s="1">
        <f ca="1">IFERROR(__xludf.DUMMYFUNCTION("""COMPUTED_VALUE"""),2274)</f>
        <v>2274</v>
      </c>
      <c r="O376" s="1">
        <f ca="1">IFERROR(__xludf.DUMMYFUNCTION("""COMPUTED_VALUE"""),1958)</f>
        <v>1958</v>
      </c>
      <c r="P376" s="1">
        <f ca="1">IFERROR(__xludf.DUMMYFUNCTION("""COMPUTED_VALUE"""),1420)</f>
        <v>1420</v>
      </c>
      <c r="Q376" s="1">
        <f ca="1">IFERROR(__xludf.DUMMYFUNCTION("""COMPUTED_VALUE"""),823)</f>
        <v>823</v>
      </c>
      <c r="R376" s="1">
        <f ca="1">IFERROR(__xludf.DUMMYFUNCTION("""COMPUTED_VALUE"""),1960)</f>
        <v>1960</v>
      </c>
      <c r="S376" s="1">
        <f ca="1">IFERROR(__xludf.DUMMYFUNCTION("""COMPUTED_VALUE"""),0.42)</f>
        <v>0.42</v>
      </c>
      <c r="T376" s="1">
        <f ca="1">IFERROR(__xludf.DUMMYFUNCTION("""COMPUTED_VALUE"""),259)</f>
        <v>259</v>
      </c>
      <c r="U376" s="1">
        <f ca="1">IFERROR(__xludf.DUMMYFUNCTION("""COMPUTED_VALUE"""),785)</f>
        <v>785</v>
      </c>
      <c r="V376" s="1">
        <f ca="1">IFERROR(__xludf.DUMMYFUNCTION("""COMPUTED_VALUE"""),0.33)</f>
        <v>0.33</v>
      </c>
      <c r="W376" s="1">
        <f ca="1">IFERROR(__xludf.DUMMYFUNCTION("""COMPUTED_VALUE"""),369)</f>
        <v>369</v>
      </c>
      <c r="X376" s="1">
        <f ca="1">IFERROR(__xludf.DUMMYFUNCTION("""COMPUTED_VALUE"""),582)</f>
        <v>582</v>
      </c>
      <c r="Y376" s="1">
        <f ca="1">IFERROR(__xludf.DUMMYFUNCTION("""COMPUTED_VALUE"""),0.634)</f>
        <v>0.63400000000000001</v>
      </c>
      <c r="Z376" s="1">
        <f ca="1">IFERROR(__xludf.DUMMYFUNCTION("""COMPUTED_VALUE"""),401)</f>
        <v>401</v>
      </c>
      <c r="AA376" s="1">
        <f ca="1">IFERROR(__xludf.DUMMYFUNCTION("""COMPUTED_VALUE"""),1202)</f>
        <v>1202</v>
      </c>
      <c r="AB376" s="1">
        <f ca="1">IFERROR(__xludf.DUMMYFUNCTION("""COMPUTED_VALUE"""),465)</f>
        <v>465</v>
      </c>
      <c r="AC376" s="1">
        <f ca="1">IFERROR(__xludf.DUMMYFUNCTION("""COMPUTED_VALUE"""),200)</f>
        <v>200</v>
      </c>
      <c r="AD376" s="1">
        <f ca="1">IFERROR(__xludf.DUMMYFUNCTION("""COMPUTED_VALUE"""),153)</f>
        <v>153</v>
      </c>
      <c r="AE376" s="1">
        <f ca="1">IFERROR(__xludf.DUMMYFUNCTION("""COMPUTED_VALUE"""),334)</f>
        <v>334</v>
      </c>
      <c r="AF376" s="1">
        <f ca="1">IFERROR(__xludf.DUMMYFUNCTION("""COMPUTED_VALUE"""),491)</f>
        <v>491</v>
      </c>
    </row>
    <row r="377" spans="1:32" ht="12.5" x14ac:dyDescent="0.25">
      <c r="A377" s="1" t="str">
        <f ca="1">IFERROR(__xludf.DUMMYFUNCTION("""COMPUTED_VALUE"""),"Wofford")</f>
        <v>Wofford</v>
      </c>
      <c r="B377" s="1">
        <f ca="1">IFERROR(__xludf.DUMMYFUNCTION("""COMPUTED_VALUE"""),32)</f>
        <v>32</v>
      </c>
      <c r="C377" s="1">
        <f ca="1">IFERROR(__xludf.DUMMYFUNCTION("""COMPUTED_VALUE"""),13)</f>
        <v>13</v>
      </c>
      <c r="D377" s="1">
        <f ca="1">IFERROR(__xludf.DUMMYFUNCTION("""COMPUTED_VALUE"""),19)</f>
        <v>19</v>
      </c>
      <c r="E377" s="1">
        <f ca="1">IFERROR(__xludf.DUMMYFUNCTION("""COMPUTED_VALUE"""),0.406)</f>
        <v>0.40600000000000003</v>
      </c>
      <c r="F377" s="1">
        <f ca="1">IFERROR(__xludf.DUMMYFUNCTION("""COMPUTED_VALUE"""),-6.74)</f>
        <v>-6.74</v>
      </c>
      <c r="G377" s="1">
        <f ca="1">IFERROR(__xludf.DUMMYFUNCTION("""COMPUTED_VALUE"""),-4.65)</f>
        <v>-4.6500000000000004</v>
      </c>
      <c r="H377" s="1">
        <f ca="1">IFERROR(__xludf.DUMMYFUNCTION("""COMPUTED_VALUE"""),7)</f>
        <v>7</v>
      </c>
      <c r="I377" s="1">
        <f ca="1">IFERROR(__xludf.DUMMYFUNCTION("""COMPUTED_VALUE"""),11)</f>
        <v>11</v>
      </c>
      <c r="J377" s="1">
        <f ca="1">IFERROR(__xludf.DUMMYFUNCTION("""COMPUTED_VALUE"""),9)</f>
        <v>9</v>
      </c>
      <c r="K377" s="1">
        <f ca="1">IFERROR(__xludf.DUMMYFUNCTION("""COMPUTED_VALUE"""),3)</f>
        <v>3</v>
      </c>
      <c r="L377" s="1">
        <f ca="1">IFERROR(__xludf.DUMMYFUNCTION("""COMPUTED_VALUE"""),3)</f>
        <v>3</v>
      </c>
      <c r="M377" s="1">
        <f ca="1">IFERROR(__xludf.DUMMYFUNCTION("""COMPUTED_VALUE"""),15)</f>
        <v>15</v>
      </c>
      <c r="N377" s="1">
        <f ca="1">IFERROR(__xludf.DUMMYFUNCTION("""COMPUTED_VALUE"""),1858)</f>
        <v>1858</v>
      </c>
      <c r="O377" s="1">
        <f ca="1">IFERROR(__xludf.DUMMYFUNCTION("""COMPUTED_VALUE"""),1890)</f>
        <v>1890</v>
      </c>
      <c r="P377" s="1">
        <f ca="1">IFERROR(__xludf.DUMMYFUNCTION("""COMPUTED_VALUE"""),1280)</f>
        <v>1280</v>
      </c>
      <c r="Q377" s="1">
        <f ca="1">IFERROR(__xludf.DUMMYFUNCTION("""COMPUTED_VALUE"""),665)</f>
        <v>665</v>
      </c>
      <c r="R377" s="1">
        <f ca="1">IFERROR(__xludf.DUMMYFUNCTION("""COMPUTED_VALUE"""),1696)</f>
        <v>1696</v>
      </c>
      <c r="S377" s="1">
        <f ca="1">IFERROR(__xludf.DUMMYFUNCTION("""COMPUTED_VALUE"""),0.392)</f>
        <v>0.39200000000000002</v>
      </c>
      <c r="T377" s="1">
        <f ca="1">IFERROR(__xludf.DUMMYFUNCTION("""COMPUTED_VALUE"""),182)</f>
        <v>182</v>
      </c>
      <c r="U377" s="1">
        <f ca="1">IFERROR(__xludf.DUMMYFUNCTION("""COMPUTED_VALUE"""),593)</f>
        <v>593</v>
      </c>
      <c r="V377" s="1">
        <f ca="1">IFERROR(__xludf.DUMMYFUNCTION("""COMPUTED_VALUE"""),0.307)</f>
        <v>0.307</v>
      </c>
      <c r="W377" s="1">
        <f ca="1">IFERROR(__xludf.DUMMYFUNCTION("""COMPUTED_VALUE"""),346)</f>
        <v>346</v>
      </c>
      <c r="X377" s="1">
        <f ca="1">IFERROR(__xludf.DUMMYFUNCTION("""COMPUTED_VALUE"""),477)</f>
        <v>477</v>
      </c>
      <c r="Y377" s="1">
        <f ca="1">IFERROR(__xludf.DUMMYFUNCTION("""COMPUTED_VALUE"""),0.725)</f>
        <v>0.72499999999999998</v>
      </c>
      <c r="Z377" s="1">
        <f ca="1">IFERROR(__xludf.DUMMYFUNCTION("""COMPUTED_VALUE"""),293)</f>
        <v>293</v>
      </c>
      <c r="AA377" s="1">
        <f ca="1">IFERROR(__xludf.DUMMYFUNCTION("""COMPUTED_VALUE"""),910)</f>
        <v>910</v>
      </c>
      <c r="AB377" s="1">
        <f ca="1">IFERROR(__xludf.DUMMYFUNCTION("""COMPUTED_VALUE"""),369)</f>
        <v>369</v>
      </c>
      <c r="AC377" s="1">
        <f ca="1">IFERROR(__xludf.DUMMYFUNCTION("""COMPUTED_VALUE"""),238)</f>
        <v>238</v>
      </c>
      <c r="AD377" s="1">
        <f ca="1">IFERROR(__xludf.DUMMYFUNCTION("""COMPUTED_VALUE"""),72)</f>
        <v>72</v>
      </c>
      <c r="AE377" s="1">
        <f ca="1">IFERROR(__xludf.DUMMYFUNCTION("""COMPUTED_VALUE"""),413)</f>
        <v>413</v>
      </c>
      <c r="AF377" s="1">
        <f ca="1">IFERROR(__xludf.DUMMYFUNCTION("""COMPUTED_VALUE"""),554)</f>
        <v>554</v>
      </c>
    </row>
    <row r="378" spans="1:32" ht="12.5" x14ac:dyDescent="0.25">
      <c r="A378" s="1" t="str">
        <f ca="1">IFERROR(__xludf.DUMMYFUNCTION("""COMPUTED_VALUE"""),"Wright State")</f>
        <v>Wright State</v>
      </c>
      <c r="B378" s="1">
        <f ca="1">IFERROR(__xludf.DUMMYFUNCTION("""COMPUTED_VALUE"""),36)</f>
        <v>36</v>
      </c>
      <c r="C378" s="1">
        <f ca="1">IFERROR(__xludf.DUMMYFUNCTION("""COMPUTED_VALUE"""),23)</f>
        <v>23</v>
      </c>
      <c r="D378" s="1">
        <f ca="1">IFERROR(__xludf.DUMMYFUNCTION("""COMPUTED_VALUE"""),13)</f>
        <v>13</v>
      </c>
      <c r="E378" s="1">
        <f ca="1">IFERROR(__xludf.DUMMYFUNCTION("""COMPUTED_VALUE"""),0.639)</f>
        <v>0.63900000000000001</v>
      </c>
      <c r="F378" s="1">
        <f ca="1">IFERROR(__xludf.DUMMYFUNCTION("""COMPUTED_VALUE"""),2.25)</f>
        <v>2.25</v>
      </c>
      <c r="G378" s="1">
        <f ca="1">IFERROR(__xludf.DUMMYFUNCTION("""COMPUTED_VALUE"""),-1.15)</f>
        <v>-1.1499999999999999</v>
      </c>
      <c r="H378" s="1">
        <f ca="1">IFERROR(__xludf.DUMMYFUNCTION("""COMPUTED_VALUE"""),10)</f>
        <v>10</v>
      </c>
      <c r="I378" s="1">
        <f ca="1">IFERROR(__xludf.DUMMYFUNCTION("""COMPUTED_VALUE"""),6)</f>
        <v>6</v>
      </c>
      <c r="J378" s="1">
        <f ca="1">IFERROR(__xludf.DUMMYFUNCTION("""COMPUTED_VALUE"""),12)</f>
        <v>12</v>
      </c>
      <c r="K378" s="1">
        <f ca="1">IFERROR(__xludf.DUMMYFUNCTION("""COMPUTED_VALUE"""),5)</f>
        <v>5</v>
      </c>
      <c r="L378" s="1">
        <f ca="1">IFERROR(__xludf.DUMMYFUNCTION("""COMPUTED_VALUE"""),8)</f>
        <v>8</v>
      </c>
      <c r="M378" s="1">
        <f ca="1">IFERROR(__xludf.DUMMYFUNCTION("""COMPUTED_VALUE"""),7)</f>
        <v>7</v>
      </c>
      <c r="N378" s="1">
        <f ca="1">IFERROR(__xludf.DUMMYFUNCTION("""COMPUTED_VALUE"""),2233)</f>
        <v>2233</v>
      </c>
      <c r="O378" s="1">
        <f ca="1">IFERROR(__xludf.DUMMYFUNCTION("""COMPUTED_VALUE"""),2105)</f>
        <v>2105</v>
      </c>
      <c r="P378" s="1">
        <f ca="1">IFERROR(__xludf.DUMMYFUNCTION("""COMPUTED_VALUE"""),1450)</f>
        <v>1450</v>
      </c>
      <c r="Q378" s="1">
        <f ca="1">IFERROR(__xludf.DUMMYFUNCTION("""COMPUTED_VALUE"""),801)</f>
        <v>801</v>
      </c>
      <c r="R378" s="1">
        <f ca="1">IFERROR(__xludf.DUMMYFUNCTION("""COMPUTED_VALUE"""),1826)</f>
        <v>1826</v>
      </c>
      <c r="S378" s="1">
        <f ca="1">IFERROR(__xludf.DUMMYFUNCTION("""COMPUTED_VALUE"""),0.439)</f>
        <v>0.439</v>
      </c>
      <c r="T378" s="1">
        <f ca="1">IFERROR(__xludf.DUMMYFUNCTION("""COMPUTED_VALUE"""),204)</f>
        <v>204</v>
      </c>
      <c r="U378" s="1">
        <f ca="1">IFERROR(__xludf.DUMMYFUNCTION("""COMPUTED_VALUE"""),602)</f>
        <v>602</v>
      </c>
      <c r="V378" s="1">
        <f ca="1">IFERROR(__xludf.DUMMYFUNCTION("""COMPUTED_VALUE"""),0.339)</f>
        <v>0.33900000000000002</v>
      </c>
      <c r="W378" s="1">
        <f ca="1">IFERROR(__xludf.DUMMYFUNCTION("""COMPUTED_VALUE"""),427)</f>
        <v>427</v>
      </c>
      <c r="X378" s="1">
        <f ca="1">IFERROR(__xludf.DUMMYFUNCTION("""COMPUTED_VALUE"""),607)</f>
        <v>607</v>
      </c>
      <c r="Y378" s="1">
        <f ca="1">IFERROR(__xludf.DUMMYFUNCTION("""COMPUTED_VALUE"""),0.703)</f>
        <v>0.70299999999999996</v>
      </c>
      <c r="Z378" s="1">
        <f ca="1">IFERROR(__xludf.DUMMYFUNCTION("""COMPUTED_VALUE"""),302)</f>
        <v>302</v>
      </c>
      <c r="AA378" s="1">
        <f ca="1">IFERROR(__xludf.DUMMYFUNCTION("""COMPUTED_VALUE"""),990)</f>
        <v>990</v>
      </c>
      <c r="AB378" s="1">
        <f ca="1">IFERROR(__xludf.DUMMYFUNCTION("""COMPUTED_VALUE"""),430)</f>
        <v>430</v>
      </c>
      <c r="AC378" s="1">
        <f ca="1">IFERROR(__xludf.DUMMYFUNCTION("""COMPUTED_VALUE"""),267)</f>
        <v>267</v>
      </c>
      <c r="AD378" s="1">
        <f ca="1">IFERROR(__xludf.DUMMYFUNCTION("""COMPUTED_VALUE"""),69)</f>
        <v>69</v>
      </c>
      <c r="AE378" s="1">
        <f ca="1">IFERROR(__xludf.DUMMYFUNCTION("""COMPUTED_VALUE"""),467)</f>
        <v>467</v>
      </c>
      <c r="AF378" s="1">
        <f ca="1">IFERROR(__xludf.DUMMYFUNCTION("""COMPUTED_VALUE"""),656)</f>
        <v>656</v>
      </c>
    </row>
    <row r="379" spans="1:32" ht="12.5" x14ac:dyDescent="0.25">
      <c r="A379" s="1" t="str">
        <f ca="1">IFERROR(__xludf.DUMMYFUNCTION("""COMPUTED_VALUE"""),"Wyoming")</f>
        <v>Wyoming</v>
      </c>
      <c r="B379" s="1">
        <f ca="1">IFERROR(__xludf.DUMMYFUNCTION("""COMPUTED_VALUE"""),34)</f>
        <v>34</v>
      </c>
      <c r="C379" s="1">
        <f ca="1">IFERROR(__xludf.DUMMYFUNCTION("""COMPUTED_VALUE"""),20)</f>
        <v>20</v>
      </c>
      <c r="D379" s="1">
        <f ca="1">IFERROR(__xludf.DUMMYFUNCTION("""COMPUTED_VALUE"""),14)</f>
        <v>14</v>
      </c>
      <c r="E379" s="1">
        <f ca="1">IFERROR(__xludf.DUMMYFUNCTION("""COMPUTED_VALUE"""),0.588)</f>
        <v>0.58799999999999997</v>
      </c>
      <c r="F379" s="1">
        <f ca="1">IFERROR(__xludf.DUMMYFUNCTION("""COMPUTED_VALUE"""),5.39)</f>
        <v>5.39</v>
      </c>
      <c r="G379" s="1">
        <f ca="1">IFERROR(__xludf.DUMMYFUNCTION("""COMPUTED_VALUE"""),4.61)</f>
        <v>4.6100000000000003</v>
      </c>
      <c r="H379" s="1">
        <f ca="1">IFERROR(__xludf.DUMMYFUNCTION("""COMPUTED_VALUE"""),4)</f>
        <v>4</v>
      </c>
      <c r="I379" s="1">
        <f ca="1">IFERROR(__xludf.DUMMYFUNCTION("""COMPUTED_VALUE"""),12)</f>
        <v>12</v>
      </c>
      <c r="J379" s="1">
        <f ca="1">IFERROR(__xludf.DUMMYFUNCTION("""COMPUTED_VALUE"""),13)</f>
        <v>13</v>
      </c>
      <c r="K379" s="1">
        <f ca="1">IFERROR(__xludf.DUMMYFUNCTION("""COMPUTED_VALUE"""),6)</f>
        <v>6</v>
      </c>
      <c r="L379" s="1">
        <f ca="1">IFERROR(__xludf.DUMMYFUNCTION("""COMPUTED_VALUE"""),6)</f>
        <v>6</v>
      </c>
      <c r="M379" s="1">
        <f ca="1">IFERROR(__xludf.DUMMYFUNCTION("""COMPUTED_VALUE"""),7)</f>
        <v>7</v>
      </c>
      <c r="N379" s="1">
        <f ca="1">IFERROR(__xludf.DUMMYFUNCTION("""COMPUTED_VALUE"""),2074)</f>
        <v>2074</v>
      </c>
      <c r="O379" s="1">
        <f ca="1">IFERROR(__xludf.DUMMYFUNCTION("""COMPUTED_VALUE"""),2010)</f>
        <v>2010</v>
      </c>
      <c r="P379" s="1">
        <f ca="1">IFERROR(__xludf.DUMMYFUNCTION("""COMPUTED_VALUE"""),1370)</f>
        <v>1370</v>
      </c>
      <c r="Q379" s="1">
        <f ca="1">IFERROR(__xludf.DUMMYFUNCTION("""COMPUTED_VALUE"""),707)</f>
        <v>707</v>
      </c>
      <c r="R379" s="1">
        <f ca="1">IFERROR(__xludf.DUMMYFUNCTION("""COMPUTED_VALUE"""),1655)</f>
        <v>1655</v>
      </c>
      <c r="S379" s="1">
        <f ca="1">IFERROR(__xludf.DUMMYFUNCTION("""COMPUTED_VALUE"""),0.427)</f>
        <v>0.42699999999999999</v>
      </c>
      <c r="T379" s="1">
        <f ca="1">IFERROR(__xludf.DUMMYFUNCTION("""COMPUTED_VALUE"""),224)</f>
        <v>224</v>
      </c>
      <c r="U379" s="1">
        <f ca="1">IFERROR(__xludf.DUMMYFUNCTION("""COMPUTED_VALUE"""),695)</f>
        <v>695</v>
      </c>
      <c r="V379" s="1">
        <f ca="1">IFERROR(__xludf.DUMMYFUNCTION("""COMPUTED_VALUE"""),0.322)</f>
        <v>0.32200000000000001</v>
      </c>
      <c r="W379" s="1">
        <f ca="1">IFERROR(__xludf.DUMMYFUNCTION("""COMPUTED_VALUE"""),436)</f>
        <v>436</v>
      </c>
      <c r="X379" s="1">
        <f ca="1">IFERROR(__xludf.DUMMYFUNCTION("""COMPUTED_VALUE"""),646)</f>
        <v>646</v>
      </c>
      <c r="Y379" s="1">
        <f ca="1">IFERROR(__xludf.DUMMYFUNCTION("""COMPUTED_VALUE"""),0.675)</f>
        <v>0.67500000000000004</v>
      </c>
      <c r="Z379" s="1">
        <f ca="1">IFERROR(__xludf.DUMMYFUNCTION("""COMPUTED_VALUE"""),258)</f>
        <v>258</v>
      </c>
      <c r="AA379" s="1">
        <f ca="1">IFERROR(__xludf.DUMMYFUNCTION("""COMPUTED_VALUE"""),881)</f>
        <v>881</v>
      </c>
      <c r="AB379" s="1">
        <f ca="1">IFERROR(__xludf.DUMMYFUNCTION("""COMPUTED_VALUE"""),397)</f>
        <v>397</v>
      </c>
      <c r="AC379" s="1">
        <f ca="1">IFERROR(__xludf.DUMMYFUNCTION("""COMPUTED_VALUE"""),214)</f>
        <v>214</v>
      </c>
      <c r="AD379" s="1">
        <f ca="1">IFERROR(__xludf.DUMMYFUNCTION("""COMPUTED_VALUE"""),110)</f>
        <v>110</v>
      </c>
      <c r="AE379" s="1">
        <f ca="1">IFERROR(__xludf.DUMMYFUNCTION("""COMPUTED_VALUE"""),387)</f>
        <v>387</v>
      </c>
      <c r="AF379" s="1">
        <f ca="1">IFERROR(__xludf.DUMMYFUNCTION("""COMPUTED_VALUE"""),521)</f>
        <v>521</v>
      </c>
    </row>
    <row r="380" spans="1:32" ht="12.5" x14ac:dyDescent="0.25">
      <c r="A380" s="1" t="str">
        <f ca="1">IFERROR(__xludf.DUMMYFUNCTION("""COMPUTED_VALUE"""),"Xavier")</f>
        <v>Xavier</v>
      </c>
      <c r="B380" s="1">
        <f ca="1">IFERROR(__xludf.DUMMYFUNCTION("""COMPUTED_VALUE"""),31)</f>
        <v>31</v>
      </c>
      <c r="C380" s="1">
        <f ca="1">IFERROR(__xludf.DUMMYFUNCTION("""COMPUTED_VALUE"""),17)</f>
        <v>17</v>
      </c>
      <c r="D380" s="1">
        <f ca="1">IFERROR(__xludf.DUMMYFUNCTION("""COMPUTED_VALUE"""),14)</f>
        <v>14</v>
      </c>
      <c r="E380" s="1">
        <f ca="1">IFERROR(__xludf.DUMMYFUNCTION("""COMPUTED_VALUE"""),0.548)</f>
        <v>0.54800000000000004</v>
      </c>
      <c r="F380" s="1">
        <f ca="1">IFERROR(__xludf.DUMMYFUNCTION("""COMPUTED_VALUE"""),7.7)</f>
        <v>7.7</v>
      </c>
      <c r="G380" s="1">
        <f ca="1">IFERROR(__xludf.DUMMYFUNCTION("""COMPUTED_VALUE"""),4.96)</f>
        <v>4.96</v>
      </c>
      <c r="H380" s="1">
        <f ca="1">IFERROR(__xludf.DUMMYFUNCTION("""COMPUTED_VALUE"""),9)</f>
        <v>9</v>
      </c>
      <c r="I380" s="1">
        <f ca="1">IFERROR(__xludf.DUMMYFUNCTION("""COMPUTED_VALUE"""),7)</f>
        <v>7</v>
      </c>
      <c r="J380" s="1">
        <f ca="1">IFERROR(__xludf.DUMMYFUNCTION("""COMPUTED_VALUE"""),11)</f>
        <v>11</v>
      </c>
      <c r="K380" s="1">
        <f ca="1">IFERROR(__xludf.DUMMYFUNCTION("""COMPUTED_VALUE"""),4)</f>
        <v>4</v>
      </c>
      <c r="L380" s="1">
        <f ca="1">IFERROR(__xludf.DUMMYFUNCTION("""COMPUTED_VALUE"""),4)</f>
        <v>4</v>
      </c>
      <c r="M380" s="1">
        <f ca="1">IFERROR(__xludf.DUMMYFUNCTION("""COMPUTED_VALUE"""),7)</f>
        <v>7</v>
      </c>
      <c r="N380" s="1">
        <f ca="1">IFERROR(__xludf.DUMMYFUNCTION("""COMPUTED_VALUE"""),2021)</f>
        <v>2021</v>
      </c>
      <c r="O380" s="1">
        <f ca="1">IFERROR(__xludf.DUMMYFUNCTION("""COMPUTED_VALUE"""),1936)</f>
        <v>1936</v>
      </c>
      <c r="P380" s="1">
        <f ca="1">IFERROR(__xludf.DUMMYFUNCTION("""COMPUTED_VALUE"""),1250)</f>
        <v>1250</v>
      </c>
      <c r="Q380" s="1">
        <f ca="1">IFERROR(__xludf.DUMMYFUNCTION("""COMPUTED_VALUE"""),722)</f>
        <v>722</v>
      </c>
      <c r="R380" s="1">
        <f ca="1">IFERROR(__xludf.DUMMYFUNCTION("""COMPUTED_VALUE"""),1582)</f>
        <v>1582</v>
      </c>
      <c r="S380" s="1">
        <f ca="1">IFERROR(__xludf.DUMMYFUNCTION("""COMPUTED_VALUE"""),0.456)</f>
        <v>0.45600000000000002</v>
      </c>
      <c r="T380" s="1">
        <f ca="1">IFERROR(__xludf.DUMMYFUNCTION("""COMPUTED_VALUE"""),140)</f>
        <v>140</v>
      </c>
      <c r="U380" s="1">
        <f ca="1">IFERROR(__xludf.DUMMYFUNCTION("""COMPUTED_VALUE"""),400)</f>
        <v>400</v>
      </c>
      <c r="V380" s="1">
        <f ca="1">IFERROR(__xludf.DUMMYFUNCTION("""COMPUTED_VALUE"""),0.35)</f>
        <v>0.35</v>
      </c>
      <c r="W380" s="1">
        <f ca="1">IFERROR(__xludf.DUMMYFUNCTION("""COMPUTED_VALUE"""),437)</f>
        <v>437</v>
      </c>
      <c r="X380" s="1">
        <f ca="1">IFERROR(__xludf.DUMMYFUNCTION("""COMPUTED_VALUE"""),655)</f>
        <v>655</v>
      </c>
      <c r="Y380" s="1">
        <f ca="1">IFERROR(__xludf.DUMMYFUNCTION("""COMPUTED_VALUE"""),0.667)</f>
        <v>0.66700000000000004</v>
      </c>
      <c r="Z380" s="1">
        <f ca="1">IFERROR(__xludf.DUMMYFUNCTION("""COMPUTED_VALUE"""),329)</f>
        <v>329</v>
      </c>
      <c r="AA380" s="1">
        <f ca="1">IFERROR(__xludf.DUMMYFUNCTION("""COMPUTED_VALUE"""),989)</f>
        <v>989</v>
      </c>
      <c r="AB380" s="1">
        <f ca="1">IFERROR(__xludf.DUMMYFUNCTION("""COMPUTED_VALUE"""),348)</f>
        <v>348</v>
      </c>
      <c r="AC380" s="1">
        <f ca="1">IFERROR(__xludf.DUMMYFUNCTION("""COMPUTED_VALUE"""),164)</f>
        <v>164</v>
      </c>
      <c r="AD380" s="1">
        <f ca="1">IFERROR(__xludf.DUMMYFUNCTION("""COMPUTED_VALUE"""),86)</f>
        <v>86</v>
      </c>
      <c r="AE380" s="1">
        <f ca="1">IFERROR(__xludf.DUMMYFUNCTION("""COMPUTED_VALUE"""),402)</f>
        <v>402</v>
      </c>
      <c r="AF380" s="1">
        <f ca="1">IFERROR(__xludf.DUMMYFUNCTION("""COMPUTED_VALUE"""),541)</f>
        <v>541</v>
      </c>
    </row>
    <row r="381" spans="1:32" ht="12.5" x14ac:dyDescent="0.25">
      <c r="A381" s="1" t="str">
        <f ca="1">IFERROR(__xludf.DUMMYFUNCTION("""COMPUTED_VALUE"""),"Yale")</f>
        <v>Yale</v>
      </c>
      <c r="B381" s="1">
        <f ca="1">IFERROR(__xludf.DUMMYFUNCTION("""COMPUTED_VALUE"""),31)</f>
        <v>31</v>
      </c>
      <c r="C381" s="1">
        <f ca="1">IFERROR(__xludf.DUMMYFUNCTION("""COMPUTED_VALUE"""),14)</f>
        <v>14</v>
      </c>
      <c r="D381" s="1">
        <f ca="1">IFERROR(__xludf.DUMMYFUNCTION("""COMPUTED_VALUE"""),17)</f>
        <v>17</v>
      </c>
      <c r="E381" s="1">
        <f ca="1">IFERROR(__xludf.DUMMYFUNCTION("""COMPUTED_VALUE"""),0.452)</f>
        <v>0.45200000000000001</v>
      </c>
      <c r="F381" s="1">
        <f ca="1">IFERROR(__xludf.DUMMYFUNCTION("""COMPUTED_VALUE"""),-3.95)</f>
        <v>-3.95</v>
      </c>
      <c r="G381" s="1">
        <f ca="1">IFERROR(__xludf.DUMMYFUNCTION("""COMPUTED_VALUE"""),-0.81)</f>
        <v>-0.81</v>
      </c>
      <c r="H381" s="1">
        <f ca="1">IFERROR(__xludf.DUMMYFUNCTION("""COMPUTED_VALUE"""),8)</f>
        <v>8</v>
      </c>
      <c r="I381" s="1">
        <f ca="1">IFERROR(__xludf.DUMMYFUNCTION("""COMPUTED_VALUE"""),6)</f>
        <v>6</v>
      </c>
      <c r="J381" s="1">
        <f ca="1">IFERROR(__xludf.DUMMYFUNCTION("""COMPUTED_VALUE"""),8)</f>
        <v>8</v>
      </c>
      <c r="K381" s="1">
        <f ca="1">IFERROR(__xludf.DUMMYFUNCTION("""COMPUTED_VALUE"""),4)</f>
        <v>4</v>
      </c>
      <c r="L381" s="1">
        <f ca="1">IFERROR(__xludf.DUMMYFUNCTION("""COMPUTED_VALUE"""),5)</f>
        <v>5</v>
      </c>
      <c r="M381" s="1">
        <f ca="1">IFERROR(__xludf.DUMMYFUNCTION("""COMPUTED_VALUE"""),11)</f>
        <v>11</v>
      </c>
      <c r="N381" s="1">
        <f ca="1">IFERROR(__xludf.DUMMYFUNCTION("""COMPUTED_VALUE"""),2079)</f>
        <v>2079</v>
      </c>
      <c r="O381" s="1">
        <f ca="1">IFERROR(__xludf.DUMMYFUNCTION("""COMPUTED_VALUE"""),2056)</f>
        <v>2056</v>
      </c>
      <c r="P381" s="1">
        <f ca="1">IFERROR(__xludf.DUMMYFUNCTION("""COMPUTED_VALUE"""),1260)</f>
        <v>1260</v>
      </c>
      <c r="Q381" s="1">
        <f ca="1">IFERROR(__xludf.DUMMYFUNCTION("""COMPUTED_VALUE"""),697)</f>
        <v>697</v>
      </c>
      <c r="R381" s="1">
        <f ca="1">IFERROR(__xludf.DUMMYFUNCTION("""COMPUTED_VALUE"""),1620)</f>
        <v>1620</v>
      </c>
      <c r="S381" s="1">
        <f ca="1">IFERROR(__xludf.DUMMYFUNCTION("""COMPUTED_VALUE"""),0.43)</f>
        <v>0.43</v>
      </c>
      <c r="T381" s="1">
        <f ca="1">IFERROR(__xludf.DUMMYFUNCTION("""COMPUTED_VALUE"""),184)</f>
        <v>184</v>
      </c>
      <c r="U381" s="1">
        <f ca="1">IFERROR(__xludf.DUMMYFUNCTION("""COMPUTED_VALUE"""),524)</f>
        <v>524</v>
      </c>
      <c r="V381" s="1">
        <f ca="1">IFERROR(__xludf.DUMMYFUNCTION("""COMPUTED_VALUE"""),0.351)</f>
        <v>0.35099999999999998</v>
      </c>
      <c r="W381" s="1">
        <f ca="1">IFERROR(__xludf.DUMMYFUNCTION("""COMPUTED_VALUE"""),501)</f>
        <v>501</v>
      </c>
      <c r="X381" s="1">
        <f ca="1">IFERROR(__xludf.DUMMYFUNCTION("""COMPUTED_VALUE"""),688)</f>
        <v>688</v>
      </c>
      <c r="Y381" s="1">
        <f ca="1">IFERROR(__xludf.DUMMYFUNCTION("""COMPUTED_VALUE"""),0.728)</f>
        <v>0.72799999999999998</v>
      </c>
      <c r="Z381" s="1">
        <f ca="1">IFERROR(__xludf.DUMMYFUNCTION("""COMPUTED_VALUE"""),368)</f>
        <v>368</v>
      </c>
      <c r="AA381" s="1">
        <f ca="1">IFERROR(__xludf.DUMMYFUNCTION("""COMPUTED_VALUE"""),977)</f>
        <v>977</v>
      </c>
      <c r="AB381" s="1">
        <f ca="1">IFERROR(__xludf.DUMMYFUNCTION("""COMPUTED_VALUE"""),400)</f>
        <v>400</v>
      </c>
      <c r="AC381" s="1">
        <f ca="1">IFERROR(__xludf.DUMMYFUNCTION("""COMPUTED_VALUE"""),197)</f>
        <v>197</v>
      </c>
      <c r="AD381" s="1">
        <f ca="1">IFERROR(__xludf.DUMMYFUNCTION("""COMPUTED_VALUE"""),92)</f>
        <v>92</v>
      </c>
      <c r="AE381" s="1">
        <f ca="1">IFERROR(__xludf.DUMMYFUNCTION("""COMPUTED_VALUE"""),443)</f>
        <v>443</v>
      </c>
      <c r="AF381" s="1">
        <f ca="1">IFERROR(__xludf.DUMMYFUNCTION("""COMPUTED_VALUE"""),579)</f>
        <v>579</v>
      </c>
    </row>
    <row r="382" spans="1:32" ht="12.5" x14ac:dyDescent="0.25">
      <c r="A382" s="1" t="str">
        <f ca="1">IFERROR(__xludf.DUMMYFUNCTION("""COMPUTED_VALUE"""),"Youngstown State")</f>
        <v>Youngstown State</v>
      </c>
      <c r="B382" s="1">
        <f ca="1">IFERROR(__xludf.DUMMYFUNCTION("""COMPUTED_VALUE"""),34)</f>
        <v>34</v>
      </c>
      <c r="C382" s="1">
        <f ca="1">IFERROR(__xludf.DUMMYFUNCTION("""COMPUTED_VALUE"""),18)</f>
        <v>18</v>
      </c>
      <c r="D382" s="1">
        <f ca="1">IFERROR(__xludf.DUMMYFUNCTION("""COMPUTED_VALUE"""),16)</f>
        <v>16</v>
      </c>
      <c r="E382" s="1">
        <f ca="1">IFERROR(__xludf.DUMMYFUNCTION("""COMPUTED_VALUE"""),0.529)</f>
        <v>0.52900000000000003</v>
      </c>
      <c r="F382" s="1">
        <f ca="1">IFERROR(__xludf.DUMMYFUNCTION("""COMPUTED_VALUE"""),-2.14)</f>
        <v>-2.14</v>
      </c>
      <c r="G382" s="1">
        <f ca="1">IFERROR(__xludf.DUMMYFUNCTION("""COMPUTED_VALUE"""),-0.81)</f>
        <v>-0.81</v>
      </c>
      <c r="H382" s="1">
        <f ca="1">IFERROR(__xludf.DUMMYFUNCTION("""COMPUTED_VALUE"""),7)</f>
        <v>7</v>
      </c>
      <c r="I382" s="1">
        <f ca="1">IFERROR(__xludf.DUMMYFUNCTION("""COMPUTED_VALUE"""),9)</f>
        <v>9</v>
      </c>
      <c r="J382" s="1">
        <f ca="1">IFERROR(__xludf.DUMMYFUNCTION("""COMPUTED_VALUE"""),12)</f>
        <v>12</v>
      </c>
      <c r="K382" s="1">
        <f ca="1">IFERROR(__xludf.DUMMYFUNCTION("""COMPUTED_VALUE"""),5)</f>
        <v>5</v>
      </c>
      <c r="L382" s="1">
        <f ca="1">IFERROR(__xludf.DUMMYFUNCTION("""COMPUTED_VALUE"""),6)</f>
        <v>6</v>
      </c>
      <c r="M382" s="1">
        <f ca="1">IFERROR(__xludf.DUMMYFUNCTION("""COMPUTED_VALUE"""),8)</f>
        <v>8</v>
      </c>
      <c r="N382" s="1">
        <f ca="1">IFERROR(__xludf.DUMMYFUNCTION("""COMPUTED_VALUE"""),2426)</f>
        <v>2426</v>
      </c>
      <c r="O382" s="1">
        <f ca="1">IFERROR(__xludf.DUMMYFUNCTION("""COMPUTED_VALUE"""),2356)</f>
        <v>2356</v>
      </c>
      <c r="P382" s="1">
        <f ca="1">IFERROR(__xludf.DUMMYFUNCTION("""COMPUTED_VALUE"""),1390)</f>
        <v>1390</v>
      </c>
      <c r="Q382" s="1">
        <f ca="1">IFERROR(__xludf.DUMMYFUNCTION("""COMPUTED_VALUE"""),853)</f>
        <v>853</v>
      </c>
      <c r="R382" s="1">
        <f ca="1">IFERROR(__xludf.DUMMYFUNCTION("""COMPUTED_VALUE"""),1979)</f>
        <v>1979</v>
      </c>
      <c r="S382" s="1">
        <f ca="1">IFERROR(__xludf.DUMMYFUNCTION("""COMPUTED_VALUE"""),0.431)</f>
        <v>0.43099999999999999</v>
      </c>
      <c r="T382" s="1">
        <f ca="1">IFERROR(__xludf.DUMMYFUNCTION("""COMPUTED_VALUE"""),245)</f>
        <v>245</v>
      </c>
      <c r="U382" s="1">
        <f ca="1">IFERROR(__xludf.DUMMYFUNCTION("""COMPUTED_VALUE"""),707)</f>
        <v>707</v>
      </c>
      <c r="V382" s="1">
        <f ca="1">IFERROR(__xludf.DUMMYFUNCTION("""COMPUTED_VALUE"""),0.347)</f>
        <v>0.34699999999999998</v>
      </c>
      <c r="W382" s="1">
        <f ca="1">IFERROR(__xludf.DUMMYFUNCTION("""COMPUTED_VALUE"""),475)</f>
        <v>475</v>
      </c>
      <c r="X382" s="1">
        <f ca="1">IFERROR(__xludf.DUMMYFUNCTION("""COMPUTED_VALUE"""),686)</f>
        <v>686</v>
      </c>
      <c r="Y382" s="1">
        <f ca="1">IFERROR(__xludf.DUMMYFUNCTION("""COMPUTED_VALUE"""),0.692)</f>
        <v>0.69199999999999995</v>
      </c>
      <c r="Z382" s="1">
        <f ca="1">IFERROR(__xludf.DUMMYFUNCTION("""COMPUTED_VALUE"""),345)</f>
        <v>345</v>
      </c>
      <c r="AA382" s="1">
        <f ca="1">IFERROR(__xludf.DUMMYFUNCTION("""COMPUTED_VALUE"""),1084)</f>
        <v>1084</v>
      </c>
      <c r="AB382" s="1">
        <f ca="1">IFERROR(__xludf.DUMMYFUNCTION("""COMPUTED_VALUE"""),504)</f>
        <v>504</v>
      </c>
      <c r="AC382" s="1">
        <f ca="1">IFERROR(__xludf.DUMMYFUNCTION("""COMPUTED_VALUE"""),231)</f>
        <v>231</v>
      </c>
      <c r="AD382" s="1">
        <f ca="1">IFERROR(__xludf.DUMMYFUNCTION("""COMPUTED_VALUE"""),182)</f>
        <v>182</v>
      </c>
      <c r="AE382" s="1">
        <f ca="1">IFERROR(__xludf.DUMMYFUNCTION("""COMPUTED_VALUE"""),398)</f>
        <v>398</v>
      </c>
      <c r="AF382" s="1">
        <f ca="1">IFERROR(__xludf.DUMMYFUNCTION("""COMPUTED_VALUE"""),579)</f>
        <v>579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F379"/>
  <sheetViews>
    <sheetView workbookViewId="0">
      <selection activeCell="P1" sqref="P1:P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IFERROR(__xludf.DUMMYFUNCTION("""COMPUTED_VALUE"""),"Air Force")</f>
        <v>Air Force</v>
      </c>
      <c r="B2" s="1">
        <f ca="1">IFERROR(__xludf.DUMMYFUNCTION("""COMPUTED_VALUE"""),29)</f>
        <v>29</v>
      </c>
      <c r="C2" s="1">
        <f ca="1">IFERROR(__xludf.DUMMYFUNCTION("""COMPUTED_VALUE"""),13)</f>
        <v>13</v>
      </c>
      <c r="D2" s="1">
        <f ca="1">IFERROR(__xludf.DUMMYFUNCTION("""COMPUTED_VALUE"""),16)</f>
        <v>16</v>
      </c>
      <c r="E2" s="1">
        <f ca="1">IFERROR(__xludf.DUMMYFUNCTION("""COMPUTED_VALUE"""),0.448)</f>
        <v>0.44800000000000001</v>
      </c>
      <c r="F2" s="1">
        <f ca="1">IFERROR(__xludf.DUMMYFUNCTION("""COMPUTED_VALUE"""),-0.45)</f>
        <v>-0.45</v>
      </c>
      <c r="G2" s="1">
        <f ca="1">IFERROR(__xludf.DUMMYFUNCTION("""COMPUTED_VALUE"""),2.14)</f>
        <v>2.14</v>
      </c>
      <c r="H2" s="1">
        <f ca="1">IFERROR(__xludf.DUMMYFUNCTION("""COMPUTED_VALUE"""),3)</f>
        <v>3</v>
      </c>
      <c r="I2" s="1">
        <f ca="1">IFERROR(__xludf.DUMMYFUNCTION("""COMPUTED_VALUE"""),11)</f>
        <v>11</v>
      </c>
      <c r="J2" s="1">
        <f ca="1">IFERROR(__xludf.DUMMYFUNCTION("""COMPUTED_VALUE"""),9)</f>
        <v>9</v>
      </c>
      <c r="K2" s="1">
        <f ca="1">IFERROR(__xludf.DUMMYFUNCTION("""COMPUTED_VALUE"""),7)</f>
        <v>7</v>
      </c>
      <c r="L2" s="1">
        <f ca="1">IFERROR(__xludf.DUMMYFUNCTION("""COMPUTED_VALUE"""),2)</f>
        <v>2</v>
      </c>
      <c r="M2" s="1">
        <f ca="1">IFERROR(__xludf.DUMMYFUNCTION("""COMPUTED_VALUE"""),7)</f>
        <v>7</v>
      </c>
      <c r="N2" s="1">
        <f ca="1">IFERROR(__xludf.DUMMYFUNCTION("""COMPUTED_VALUE"""),1786)</f>
        <v>1786</v>
      </c>
      <c r="O2" s="1">
        <f ca="1">IFERROR(__xludf.DUMMYFUNCTION("""COMPUTED_VALUE"""),1798)</f>
        <v>1798</v>
      </c>
      <c r="P2" s="1">
        <f ca="1">IFERROR(__xludf.DUMMYFUNCTION("""COMPUTED_VALUE"""),1170)</f>
        <v>1170</v>
      </c>
      <c r="Q2" s="1">
        <f ca="1">IFERROR(__xludf.DUMMYFUNCTION("""COMPUTED_VALUE"""),616)</f>
        <v>616</v>
      </c>
      <c r="R2" s="1">
        <f ca="1">IFERROR(__xludf.DUMMYFUNCTION("""COMPUTED_VALUE"""),1383)</f>
        <v>1383</v>
      </c>
      <c r="S2" s="1">
        <f ca="1">IFERROR(__xludf.DUMMYFUNCTION("""COMPUTED_VALUE"""),0.445)</f>
        <v>0.44500000000000001</v>
      </c>
      <c r="T2" s="1">
        <f ca="1">IFERROR(__xludf.DUMMYFUNCTION("""COMPUTED_VALUE"""),192)</f>
        <v>192</v>
      </c>
      <c r="U2" s="1">
        <f ca="1">IFERROR(__xludf.DUMMYFUNCTION("""COMPUTED_VALUE"""),569)</f>
        <v>569</v>
      </c>
      <c r="V2" s="1">
        <f ca="1">IFERROR(__xludf.DUMMYFUNCTION("""COMPUTED_VALUE"""),0.337)</f>
        <v>0.33700000000000002</v>
      </c>
      <c r="W2" s="1">
        <f ca="1">IFERROR(__xludf.DUMMYFUNCTION("""COMPUTED_VALUE"""),362)</f>
        <v>362</v>
      </c>
      <c r="X2" s="1">
        <f ca="1">IFERROR(__xludf.DUMMYFUNCTION("""COMPUTED_VALUE"""),537)</f>
        <v>537</v>
      </c>
      <c r="Y2" s="1">
        <f ca="1">IFERROR(__xludf.DUMMYFUNCTION("""COMPUTED_VALUE"""),0.674)</f>
        <v>0.67400000000000004</v>
      </c>
      <c r="Z2" s="1">
        <f ca="1">IFERROR(__xludf.DUMMYFUNCTION("""COMPUTED_VALUE"""),178)</f>
        <v>178</v>
      </c>
      <c r="AA2" s="1">
        <f ca="1">IFERROR(__xludf.DUMMYFUNCTION("""COMPUTED_VALUE"""),767)</f>
        <v>767</v>
      </c>
      <c r="AB2" s="1">
        <f ca="1">IFERROR(__xludf.DUMMYFUNCTION("""COMPUTED_VALUE"""),403)</f>
        <v>403</v>
      </c>
      <c r="AC2" s="1">
        <f ca="1">IFERROR(__xludf.DUMMYFUNCTION("""COMPUTED_VALUE"""),194)</f>
        <v>194</v>
      </c>
      <c r="AD2" s="1">
        <f ca="1">IFERROR(__xludf.DUMMYFUNCTION("""COMPUTED_VALUE"""),90)</f>
        <v>90</v>
      </c>
      <c r="AE2" s="1">
        <f ca="1">IFERROR(__xludf.DUMMYFUNCTION("""COMPUTED_VALUE"""),371)</f>
        <v>371</v>
      </c>
      <c r="AF2" s="1">
        <f ca="1">IFERROR(__xludf.DUMMYFUNCTION("""COMPUTED_VALUE"""),491)</f>
        <v>491</v>
      </c>
    </row>
    <row r="3" spans="1:32" ht="15.75" customHeight="1" x14ac:dyDescent="0.25">
      <c r="A3" s="1" t="str">
        <f ca="1">IFERROR(__xludf.DUMMYFUNCTION("""COMPUTED_VALUE"""),"Akron")</f>
        <v>Akron</v>
      </c>
      <c r="B3" s="1">
        <f ca="1">IFERROR(__xludf.DUMMYFUNCTION("""COMPUTED_VALUE"""),34)</f>
        <v>34</v>
      </c>
      <c r="C3" s="1">
        <f ca="1">IFERROR(__xludf.DUMMYFUNCTION("""COMPUTED_VALUE"""),22)</f>
        <v>22</v>
      </c>
      <c r="D3" s="1">
        <f ca="1">IFERROR(__xludf.DUMMYFUNCTION("""COMPUTED_VALUE"""),12)</f>
        <v>12</v>
      </c>
      <c r="E3" s="1">
        <f ca="1">IFERROR(__xludf.DUMMYFUNCTION("""COMPUTED_VALUE"""),0.647)</f>
        <v>0.64700000000000002</v>
      </c>
      <c r="F3" s="1">
        <f ca="1">IFERROR(__xludf.DUMMYFUNCTION("""COMPUTED_VALUE"""),6.33)</f>
        <v>6.33</v>
      </c>
      <c r="G3" s="1">
        <f ca="1">IFERROR(__xludf.DUMMYFUNCTION("""COMPUTED_VALUE"""),0.72)</f>
        <v>0.72</v>
      </c>
      <c r="H3" s="1">
        <f ca="1">IFERROR(__xludf.DUMMYFUNCTION("""COMPUTED_VALUE"""),13)</f>
        <v>13</v>
      </c>
      <c r="I3" s="1">
        <f ca="1">IFERROR(__xludf.DUMMYFUNCTION("""COMPUTED_VALUE"""),3)</f>
        <v>3</v>
      </c>
      <c r="J3" s="1">
        <f ca="1">IFERROR(__xludf.DUMMYFUNCTION("""COMPUTED_VALUE"""),13)</f>
        <v>13</v>
      </c>
      <c r="K3" s="1">
        <f ca="1">IFERROR(__xludf.DUMMYFUNCTION("""COMPUTED_VALUE"""),2)</f>
        <v>2</v>
      </c>
      <c r="L3" s="1">
        <f ca="1">IFERROR(__xludf.DUMMYFUNCTION("""COMPUTED_VALUE"""),8)</f>
        <v>8</v>
      </c>
      <c r="M3" s="1">
        <f ca="1">IFERROR(__xludf.DUMMYFUNCTION("""COMPUTED_VALUE"""),8)</f>
        <v>8</v>
      </c>
      <c r="N3" s="1">
        <f ca="1">IFERROR(__xludf.DUMMYFUNCTION("""COMPUTED_VALUE"""),2456)</f>
        <v>2456</v>
      </c>
      <c r="O3" s="1">
        <f ca="1">IFERROR(__xludf.DUMMYFUNCTION("""COMPUTED_VALUE"""),2241)</f>
        <v>2241</v>
      </c>
      <c r="P3" s="1">
        <f ca="1">IFERROR(__xludf.DUMMYFUNCTION("""COMPUTED_VALUE"""),1370)</f>
        <v>1370</v>
      </c>
      <c r="Q3" s="1">
        <f ca="1">IFERROR(__xludf.DUMMYFUNCTION("""COMPUTED_VALUE"""),868)</f>
        <v>868</v>
      </c>
      <c r="R3" s="1">
        <f ca="1">IFERROR(__xludf.DUMMYFUNCTION("""COMPUTED_VALUE"""),1879)</f>
        <v>1879</v>
      </c>
      <c r="S3" s="1">
        <f ca="1">IFERROR(__xludf.DUMMYFUNCTION("""COMPUTED_VALUE"""),0.462)</f>
        <v>0.46200000000000002</v>
      </c>
      <c r="T3" s="1">
        <f ca="1">IFERROR(__xludf.DUMMYFUNCTION("""COMPUTED_VALUE"""),207)</f>
        <v>207</v>
      </c>
      <c r="U3" s="1">
        <f ca="1">IFERROR(__xludf.DUMMYFUNCTION("""COMPUTED_VALUE"""),560)</f>
        <v>560</v>
      </c>
      <c r="V3" s="1">
        <f ca="1">IFERROR(__xludf.DUMMYFUNCTION("""COMPUTED_VALUE"""),0.37)</f>
        <v>0.37</v>
      </c>
      <c r="W3" s="1">
        <f ca="1">IFERROR(__xludf.DUMMYFUNCTION("""COMPUTED_VALUE"""),513)</f>
        <v>513</v>
      </c>
      <c r="X3" s="1">
        <f ca="1">IFERROR(__xludf.DUMMYFUNCTION("""COMPUTED_VALUE"""),741)</f>
        <v>741</v>
      </c>
      <c r="Y3" s="1">
        <f ca="1">IFERROR(__xludf.DUMMYFUNCTION("""COMPUTED_VALUE"""),0.692)</f>
        <v>0.69199999999999995</v>
      </c>
      <c r="Z3" s="1">
        <f ca="1">IFERROR(__xludf.DUMMYFUNCTION("""COMPUTED_VALUE"""),398)</f>
        <v>398</v>
      </c>
      <c r="AA3" s="1">
        <f ca="1">IFERROR(__xludf.DUMMYFUNCTION("""COMPUTED_VALUE"""),1098)</f>
        <v>1098</v>
      </c>
      <c r="AB3" s="1">
        <f ca="1">IFERROR(__xludf.DUMMYFUNCTION("""COMPUTED_VALUE"""),475)</f>
        <v>475</v>
      </c>
      <c r="AC3" s="1">
        <f ca="1">IFERROR(__xludf.DUMMYFUNCTION("""COMPUTED_VALUE"""),247)</f>
        <v>247</v>
      </c>
      <c r="AD3" s="1">
        <f ca="1">IFERROR(__xludf.DUMMYFUNCTION("""COMPUTED_VALUE"""),141)</f>
        <v>141</v>
      </c>
      <c r="AE3" s="1">
        <f ca="1">IFERROR(__xludf.DUMMYFUNCTION("""COMPUTED_VALUE"""),480)</f>
        <v>480</v>
      </c>
      <c r="AF3" s="1">
        <f ca="1">IFERROR(__xludf.DUMMYFUNCTION("""COMPUTED_VALUE"""),616)</f>
        <v>616</v>
      </c>
    </row>
    <row r="4" spans="1:32" ht="15.75" customHeight="1" x14ac:dyDescent="0.25">
      <c r="A4" s="1" t="str">
        <f ca="1">IFERROR(__xludf.DUMMYFUNCTION("""COMPUTED_VALUE"""),"Alabama A&amp;M")</f>
        <v>Alabama A&amp;M</v>
      </c>
      <c r="B4" s="1">
        <f ca="1">IFERROR(__xludf.DUMMYFUNCTION("""COMPUTED_VALUE"""),28)</f>
        <v>28</v>
      </c>
      <c r="C4" s="1">
        <f ca="1">IFERROR(__xludf.DUMMYFUNCTION("""COMPUTED_VALUE"""),7)</f>
        <v>7</v>
      </c>
      <c r="D4" s="1">
        <f ca="1">IFERROR(__xludf.DUMMYFUNCTION("""COMPUTED_VALUE"""),21)</f>
        <v>21</v>
      </c>
      <c r="E4" s="1">
        <f ca="1">IFERROR(__xludf.DUMMYFUNCTION("""COMPUTED_VALUE"""),0.25)</f>
        <v>0.25</v>
      </c>
      <c r="F4" s="1">
        <f ca="1">IFERROR(__xludf.DUMMYFUNCTION("""COMPUTED_VALUE"""),-19.33)</f>
        <v>-19.329999999999998</v>
      </c>
      <c r="G4" s="1">
        <f ca="1">IFERROR(__xludf.DUMMYFUNCTION("""COMPUTED_VALUE"""),-10.79)</f>
        <v>-10.79</v>
      </c>
      <c r="H4" s="1">
        <f ca="1">IFERROR(__xludf.DUMMYFUNCTION("""COMPUTED_VALUE"""),5)</f>
        <v>5</v>
      </c>
      <c r="I4" s="1">
        <f ca="1">IFERROR(__xludf.DUMMYFUNCTION("""COMPUTED_VALUE"""),13)</f>
        <v>13</v>
      </c>
      <c r="J4" s="1">
        <f ca="1">IFERROR(__xludf.DUMMYFUNCTION("""COMPUTED_VALUE"""),6)</f>
        <v>6</v>
      </c>
      <c r="K4" s="1">
        <f ca="1">IFERROR(__xludf.DUMMYFUNCTION("""COMPUTED_VALUE"""),5)</f>
        <v>5</v>
      </c>
      <c r="L4" s="1">
        <f ca="1">IFERROR(__xludf.DUMMYFUNCTION("""COMPUTED_VALUE"""),1)</f>
        <v>1</v>
      </c>
      <c r="M4" s="1">
        <f ca="1">IFERROR(__xludf.DUMMYFUNCTION("""COMPUTED_VALUE"""),15)</f>
        <v>15</v>
      </c>
      <c r="N4" s="1">
        <f ca="1">IFERROR(__xludf.DUMMYFUNCTION("""COMPUTED_VALUE"""),1764)</f>
        <v>1764</v>
      </c>
      <c r="O4" s="1">
        <f ca="1">IFERROR(__xludf.DUMMYFUNCTION("""COMPUTED_VALUE"""),1964)</f>
        <v>1964</v>
      </c>
      <c r="P4" s="1">
        <f ca="1">IFERROR(__xludf.DUMMYFUNCTION("""COMPUTED_VALUE"""),1130)</f>
        <v>1130</v>
      </c>
      <c r="Q4" s="1">
        <f ca="1">IFERROR(__xludf.DUMMYFUNCTION("""COMPUTED_VALUE"""),629)</f>
        <v>629</v>
      </c>
      <c r="R4" s="1">
        <f ca="1">IFERROR(__xludf.DUMMYFUNCTION("""COMPUTED_VALUE"""),1538)</f>
        <v>1538</v>
      </c>
      <c r="S4" s="1">
        <f ca="1">IFERROR(__xludf.DUMMYFUNCTION("""COMPUTED_VALUE"""),0.409)</f>
        <v>0.40899999999999997</v>
      </c>
      <c r="T4" s="1">
        <f ca="1">IFERROR(__xludf.DUMMYFUNCTION("""COMPUTED_VALUE"""),147)</f>
        <v>147</v>
      </c>
      <c r="U4" s="1">
        <f ca="1">IFERROR(__xludf.DUMMYFUNCTION("""COMPUTED_VALUE"""),469)</f>
        <v>469</v>
      </c>
      <c r="V4" s="1">
        <f ca="1">IFERROR(__xludf.DUMMYFUNCTION("""COMPUTED_VALUE"""),0.313)</f>
        <v>0.313</v>
      </c>
      <c r="W4" s="1">
        <f ca="1">IFERROR(__xludf.DUMMYFUNCTION("""COMPUTED_VALUE"""),359)</f>
        <v>359</v>
      </c>
      <c r="X4" s="1">
        <f ca="1">IFERROR(__xludf.DUMMYFUNCTION("""COMPUTED_VALUE"""),555)</f>
        <v>555</v>
      </c>
      <c r="Y4" s="1">
        <f ca="1">IFERROR(__xludf.DUMMYFUNCTION("""COMPUTED_VALUE"""),0.647)</f>
        <v>0.64700000000000002</v>
      </c>
      <c r="Z4" s="1">
        <f ca="1">IFERROR(__xludf.DUMMYFUNCTION("""COMPUTED_VALUE"""),316)</f>
        <v>316</v>
      </c>
      <c r="AA4" s="1">
        <f ca="1">IFERROR(__xludf.DUMMYFUNCTION("""COMPUTED_VALUE"""),849)</f>
        <v>849</v>
      </c>
      <c r="AB4" s="1">
        <f ca="1">IFERROR(__xludf.DUMMYFUNCTION("""COMPUTED_VALUE"""),314)</f>
        <v>314</v>
      </c>
      <c r="AC4" s="1">
        <f ca="1">IFERROR(__xludf.DUMMYFUNCTION("""COMPUTED_VALUE"""),178)</f>
        <v>178</v>
      </c>
      <c r="AD4" s="1">
        <f ca="1">IFERROR(__xludf.DUMMYFUNCTION("""COMPUTED_VALUE"""),119)</f>
        <v>119</v>
      </c>
      <c r="AE4" s="1">
        <f ca="1">IFERROR(__xludf.DUMMYFUNCTION("""COMPUTED_VALUE"""),463)</f>
        <v>463</v>
      </c>
      <c r="AF4" s="1">
        <f ca="1">IFERROR(__xludf.DUMMYFUNCTION("""COMPUTED_VALUE"""),617)</f>
        <v>617</v>
      </c>
    </row>
    <row r="5" spans="1:32" ht="15.75" customHeight="1" x14ac:dyDescent="0.25">
      <c r="A5" s="1" t="str">
        <f ca="1">IFERROR(__xludf.DUMMYFUNCTION("""COMPUTED_VALUE"""),"Alabama-Birmingham")</f>
        <v>Alabama-Birmingham</v>
      </c>
      <c r="B5" s="1">
        <f ca="1">IFERROR(__xludf.DUMMYFUNCTION("""COMPUTED_VALUE"""),31)</f>
        <v>31</v>
      </c>
      <c r="C5" s="1">
        <f ca="1">IFERROR(__xludf.DUMMYFUNCTION("""COMPUTED_VALUE"""),15)</f>
        <v>15</v>
      </c>
      <c r="D5" s="1">
        <f ca="1">IFERROR(__xludf.DUMMYFUNCTION("""COMPUTED_VALUE"""),16)</f>
        <v>16</v>
      </c>
      <c r="E5" s="1">
        <f ca="1">IFERROR(__xludf.DUMMYFUNCTION("""COMPUTED_VALUE"""),0.484)</f>
        <v>0.48399999999999999</v>
      </c>
      <c r="F5" s="1">
        <f ca="1">IFERROR(__xludf.DUMMYFUNCTION("""COMPUTED_VALUE"""),2.61)</f>
        <v>2.61</v>
      </c>
      <c r="G5" s="1">
        <f ca="1">IFERROR(__xludf.DUMMYFUNCTION("""COMPUTED_VALUE"""),3.64)</f>
        <v>3.64</v>
      </c>
      <c r="H5" s="1">
        <f ca="1">IFERROR(__xludf.DUMMYFUNCTION("""COMPUTED_VALUE"""),9)</f>
        <v>9</v>
      </c>
      <c r="I5" s="1">
        <f ca="1">IFERROR(__xludf.DUMMYFUNCTION("""COMPUTED_VALUE"""),7)</f>
        <v>7</v>
      </c>
      <c r="J5" s="1">
        <f ca="1">IFERROR(__xludf.DUMMYFUNCTION("""COMPUTED_VALUE"""),8)</f>
        <v>8</v>
      </c>
      <c r="K5" s="1">
        <f ca="1">IFERROR(__xludf.DUMMYFUNCTION("""COMPUTED_VALUE"""),7)</f>
        <v>7</v>
      </c>
      <c r="L5" s="1">
        <f ca="1">IFERROR(__xludf.DUMMYFUNCTION("""COMPUTED_VALUE"""),5)</f>
        <v>5</v>
      </c>
      <c r="M5" s="1">
        <f ca="1">IFERROR(__xludf.DUMMYFUNCTION("""COMPUTED_VALUE"""),7)</f>
        <v>7</v>
      </c>
      <c r="N5" s="1">
        <f ca="1">IFERROR(__xludf.DUMMYFUNCTION("""COMPUTED_VALUE"""),1875)</f>
        <v>1875</v>
      </c>
      <c r="O5" s="1">
        <f ca="1">IFERROR(__xludf.DUMMYFUNCTION("""COMPUTED_VALUE"""),1907)</f>
        <v>1907</v>
      </c>
      <c r="P5" s="1">
        <f ca="1">IFERROR(__xludf.DUMMYFUNCTION("""COMPUTED_VALUE"""),1245)</f>
        <v>1245</v>
      </c>
      <c r="Q5" s="1">
        <f ca="1">IFERROR(__xludf.DUMMYFUNCTION("""COMPUTED_VALUE"""),654)</f>
        <v>654</v>
      </c>
      <c r="R5" s="1">
        <f ca="1">IFERROR(__xludf.DUMMYFUNCTION("""COMPUTED_VALUE"""),1559)</f>
        <v>1559</v>
      </c>
      <c r="S5" s="1">
        <f ca="1">IFERROR(__xludf.DUMMYFUNCTION("""COMPUTED_VALUE"""),0.419)</f>
        <v>0.41899999999999998</v>
      </c>
      <c r="T5" s="1">
        <f ca="1">IFERROR(__xludf.DUMMYFUNCTION("""COMPUTED_VALUE"""),179)</f>
        <v>179</v>
      </c>
      <c r="U5" s="1">
        <f ca="1">IFERROR(__xludf.DUMMYFUNCTION("""COMPUTED_VALUE"""),520)</f>
        <v>520</v>
      </c>
      <c r="V5" s="1">
        <f ca="1">IFERROR(__xludf.DUMMYFUNCTION("""COMPUTED_VALUE"""),0.344)</f>
        <v>0.34399999999999997</v>
      </c>
      <c r="W5" s="1">
        <f ca="1">IFERROR(__xludf.DUMMYFUNCTION("""COMPUTED_VALUE"""),388)</f>
        <v>388</v>
      </c>
      <c r="X5" s="1">
        <f ca="1">IFERROR(__xludf.DUMMYFUNCTION("""COMPUTED_VALUE"""),566)</f>
        <v>566</v>
      </c>
      <c r="Y5" s="1">
        <f ca="1">IFERROR(__xludf.DUMMYFUNCTION("""COMPUTED_VALUE"""),0.686)</f>
        <v>0.68600000000000005</v>
      </c>
      <c r="Z5" s="1">
        <f ca="1">IFERROR(__xludf.DUMMYFUNCTION("""COMPUTED_VALUE"""),350)</f>
        <v>350</v>
      </c>
      <c r="AA5" s="1">
        <f ca="1">IFERROR(__xludf.DUMMYFUNCTION("""COMPUTED_VALUE"""),997)</f>
        <v>997</v>
      </c>
      <c r="AB5" s="1">
        <f ca="1">IFERROR(__xludf.DUMMYFUNCTION("""COMPUTED_VALUE"""),352)</f>
        <v>352</v>
      </c>
      <c r="AC5" s="1">
        <f ca="1">IFERROR(__xludf.DUMMYFUNCTION("""COMPUTED_VALUE"""),136)</f>
        <v>136</v>
      </c>
      <c r="AD5" s="1">
        <f ca="1">IFERROR(__xludf.DUMMYFUNCTION("""COMPUTED_VALUE"""),110)</f>
        <v>110</v>
      </c>
      <c r="AE5" s="1">
        <f ca="1">IFERROR(__xludf.DUMMYFUNCTION("""COMPUTED_VALUE"""),439)</f>
        <v>439</v>
      </c>
      <c r="AF5" s="1">
        <f ca="1">IFERROR(__xludf.DUMMYFUNCTION("""COMPUTED_VALUE"""),494)</f>
        <v>494</v>
      </c>
    </row>
    <row r="6" spans="1:32" ht="15.75" customHeight="1" x14ac:dyDescent="0.25">
      <c r="A6" s="1" t="str">
        <f ca="1">IFERROR(__xludf.DUMMYFUNCTION("""COMPUTED_VALUE"""),"Alabama State")</f>
        <v>Alabama State</v>
      </c>
      <c r="B6" s="1">
        <f ca="1">IFERROR(__xludf.DUMMYFUNCTION("""COMPUTED_VALUE"""),31)</f>
        <v>31</v>
      </c>
      <c r="C6" s="1">
        <f ca="1">IFERROR(__xludf.DUMMYFUNCTION("""COMPUTED_VALUE"""),12)</f>
        <v>12</v>
      </c>
      <c r="D6" s="1">
        <f ca="1">IFERROR(__xludf.DUMMYFUNCTION("""COMPUTED_VALUE"""),19)</f>
        <v>19</v>
      </c>
      <c r="E6" s="1">
        <f ca="1">IFERROR(__xludf.DUMMYFUNCTION("""COMPUTED_VALUE"""),0.387)</f>
        <v>0.38700000000000001</v>
      </c>
      <c r="F6" s="1">
        <f ca="1">IFERROR(__xludf.DUMMYFUNCTION("""COMPUTED_VALUE"""),-15.79)</f>
        <v>-15.79</v>
      </c>
      <c r="G6" s="1">
        <f ca="1">IFERROR(__xludf.DUMMYFUNCTION("""COMPUTED_VALUE"""),-9.96)</f>
        <v>-9.9600000000000009</v>
      </c>
      <c r="H6" s="1">
        <f ca="1">IFERROR(__xludf.DUMMYFUNCTION("""COMPUTED_VALUE"""),9)</f>
        <v>9</v>
      </c>
      <c r="I6" s="1">
        <f ca="1">IFERROR(__xludf.DUMMYFUNCTION("""COMPUTED_VALUE"""),9)</f>
        <v>9</v>
      </c>
      <c r="J6" s="1">
        <f ca="1">IFERROR(__xludf.DUMMYFUNCTION("""COMPUTED_VALUE"""),7)</f>
        <v>7</v>
      </c>
      <c r="K6" s="1">
        <f ca="1">IFERROR(__xludf.DUMMYFUNCTION("""COMPUTED_VALUE"""),4)</f>
        <v>4</v>
      </c>
      <c r="L6" s="1">
        <f ca="1">IFERROR(__xludf.DUMMYFUNCTION("""COMPUTED_VALUE"""),4)</f>
        <v>4</v>
      </c>
      <c r="M6" s="1">
        <f ca="1">IFERROR(__xludf.DUMMYFUNCTION("""COMPUTED_VALUE"""),14)</f>
        <v>14</v>
      </c>
      <c r="N6" s="1">
        <f ca="1">IFERROR(__xludf.DUMMYFUNCTION("""COMPUTED_VALUE"""),1840)</f>
        <v>1840</v>
      </c>
      <c r="O6" s="1">
        <f ca="1">IFERROR(__xludf.DUMMYFUNCTION("""COMPUTED_VALUE"""),1995)</f>
        <v>1995</v>
      </c>
      <c r="P6" s="1">
        <f ca="1">IFERROR(__xludf.DUMMYFUNCTION("""COMPUTED_VALUE"""),1265)</f>
        <v>1265</v>
      </c>
      <c r="Q6" s="1">
        <f ca="1">IFERROR(__xludf.DUMMYFUNCTION("""COMPUTED_VALUE"""),648)</f>
        <v>648</v>
      </c>
      <c r="R6" s="1">
        <f ca="1">IFERROR(__xludf.DUMMYFUNCTION("""COMPUTED_VALUE"""),1714)</f>
        <v>1714</v>
      </c>
      <c r="S6" s="1">
        <f ca="1">IFERROR(__xludf.DUMMYFUNCTION("""COMPUTED_VALUE"""),0.378)</f>
        <v>0.378</v>
      </c>
      <c r="T6" s="1">
        <f ca="1">IFERROR(__xludf.DUMMYFUNCTION("""COMPUTED_VALUE"""),190)</f>
        <v>190</v>
      </c>
      <c r="U6" s="1">
        <f ca="1">IFERROR(__xludf.DUMMYFUNCTION("""COMPUTED_VALUE"""),621)</f>
        <v>621</v>
      </c>
      <c r="V6" s="1">
        <f ca="1">IFERROR(__xludf.DUMMYFUNCTION("""COMPUTED_VALUE"""),0.306)</f>
        <v>0.30599999999999999</v>
      </c>
      <c r="W6" s="1">
        <f ca="1">IFERROR(__xludf.DUMMYFUNCTION("""COMPUTED_VALUE"""),354)</f>
        <v>354</v>
      </c>
      <c r="X6" s="1">
        <f ca="1">IFERROR(__xludf.DUMMYFUNCTION("""COMPUTED_VALUE"""),606)</f>
        <v>606</v>
      </c>
      <c r="Y6" s="1">
        <f ca="1">IFERROR(__xludf.DUMMYFUNCTION("""COMPUTED_VALUE"""),0.584)</f>
        <v>0.58399999999999996</v>
      </c>
      <c r="Z6" s="1">
        <f ca="1">IFERROR(__xludf.DUMMYFUNCTION("""COMPUTED_VALUE"""),400)</f>
        <v>400</v>
      </c>
      <c r="AA6" s="1">
        <f ca="1">IFERROR(__xludf.DUMMYFUNCTION("""COMPUTED_VALUE"""),982)</f>
        <v>982</v>
      </c>
      <c r="AB6" s="1">
        <f ca="1">IFERROR(__xludf.DUMMYFUNCTION("""COMPUTED_VALUE"""),357)</f>
        <v>357</v>
      </c>
      <c r="AC6" s="1">
        <f ca="1">IFERROR(__xludf.DUMMYFUNCTION("""COMPUTED_VALUE"""),236)</f>
        <v>236</v>
      </c>
      <c r="AD6" s="1">
        <f ca="1">IFERROR(__xludf.DUMMYFUNCTION("""COMPUTED_VALUE"""),95)</f>
        <v>95</v>
      </c>
      <c r="AE6" s="1">
        <f ca="1">IFERROR(__xludf.DUMMYFUNCTION("""COMPUTED_VALUE"""),470)</f>
        <v>470</v>
      </c>
      <c r="AF6" s="1">
        <f ca="1">IFERROR(__xludf.DUMMYFUNCTION("""COMPUTED_VALUE"""),614)</f>
        <v>614</v>
      </c>
    </row>
    <row r="7" spans="1:32" ht="15.75" customHeight="1" x14ac:dyDescent="0.25">
      <c r="A7" s="1" t="str">
        <f ca="1">IFERROR(__xludf.DUMMYFUNCTION("""COMPUTED_VALUE"""),"AlabamaNCAA")</f>
        <v>AlabamaNCAA</v>
      </c>
      <c r="B7" s="1">
        <f ca="1">IFERROR(__xludf.DUMMYFUNCTION("""COMPUTED_VALUE"""),33)</f>
        <v>33</v>
      </c>
      <c r="C7" s="1">
        <f ca="1">IFERROR(__xludf.DUMMYFUNCTION("""COMPUTED_VALUE"""),21)</f>
        <v>21</v>
      </c>
      <c r="D7" s="1">
        <f ca="1">IFERROR(__xludf.DUMMYFUNCTION("""COMPUTED_VALUE"""),12)</f>
        <v>12</v>
      </c>
      <c r="E7" s="1">
        <f ca="1">IFERROR(__xludf.DUMMYFUNCTION("""COMPUTED_VALUE"""),0.636)</f>
        <v>0.63600000000000001</v>
      </c>
      <c r="F7" s="1">
        <f ca="1">IFERROR(__xludf.DUMMYFUNCTION("""COMPUTED_VALUE"""),13.76)</f>
        <v>13.76</v>
      </c>
      <c r="G7" s="1">
        <f ca="1">IFERROR(__xludf.DUMMYFUNCTION("""COMPUTED_VALUE"""),7.18)</f>
        <v>7.18</v>
      </c>
      <c r="H7" s="1">
        <f ca="1">IFERROR(__xludf.DUMMYFUNCTION("""COMPUTED_VALUE"""),9)</f>
        <v>9</v>
      </c>
      <c r="I7" s="1">
        <f ca="1">IFERROR(__xludf.DUMMYFUNCTION("""COMPUTED_VALUE"""),7)</f>
        <v>7</v>
      </c>
      <c r="J7" s="1">
        <f ca="1">IFERROR(__xludf.DUMMYFUNCTION("""COMPUTED_VALUE"""),12)</f>
        <v>12</v>
      </c>
      <c r="K7" s="1">
        <f ca="1">IFERROR(__xludf.DUMMYFUNCTION("""COMPUTED_VALUE"""),3)</f>
        <v>3</v>
      </c>
      <c r="L7" s="1">
        <f ca="1">IFERROR(__xludf.DUMMYFUNCTION("""COMPUTED_VALUE"""),4)</f>
        <v>4</v>
      </c>
      <c r="M7" s="1">
        <f ca="1">IFERROR(__xludf.DUMMYFUNCTION("""COMPUTED_VALUE"""),6)</f>
        <v>6</v>
      </c>
      <c r="N7" s="1">
        <f ca="1">IFERROR(__xludf.DUMMYFUNCTION("""COMPUTED_VALUE"""),2135)</f>
        <v>2135</v>
      </c>
      <c r="O7" s="1">
        <f ca="1">IFERROR(__xludf.DUMMYFUNCTION("""COMPUTED_VALUE"""),1918)</f>
        <v>1918</v>
      </c>
      <c r="P7" s="1">
        <f ca="1">IFERROR(__xludf.DUMMYFUNCTION("""COMPUTED_VALUE"""),1330)</f>
        <v>1330</v>
      </c>
      <c r="Q7" s="1">
        <f ca="1">IFERROR(__xludf.DUMMYFUNCTION("""COMPUTED_VALUE"""),778)</f>
        <v>778</v>
      </c>
      <c r="R7" s="1">
        <f ca="1">IFERROR(__xludf.DUMMYFUNCTION("""COMPUTED_VALUE"""),1722)</f>
        <v>1722</v>
      </c>
      <c r="S7" s="1">
        <f ca="1">IFERROR(__xludf.DUMMYFUNCTION("""COMPUTED_VALUE"""),0.452)</f>
        <v>0.45200000000000001</v>
      </c>
      <c r="T7" s="1">
        <f ca="1">IFERROR(__xludf.DUMMYFUNCTION("""COMPUTED_VALUE"""),136)</f>
        <v>136</v>
      </c>
      <c r="U7" s="1">
        <f ca="1">IFERROR(__xludf.DUMMYFUNCTION("""COMPUTED_VALUE"""),470)</f>
        <v>470</v>
      </c>
      <c r="V7" s="1">
        <f ca="1">IFERROR(__xludf.DUMMYFUNCTION("""COMPUTED_VALUE"""),0.289)</f>
        <v>0.28899999999999998</v>
      </c>
      <c r="W7" s="1">
        <f ca="1">IFERROR(__xludf.DUMMYFUNCTION("""COMPUTED_VALUE"""),443)</f>
        <v>443</v>
      </c>
      <c r="X7" s="1">
        <f ca="1">IFERROR(__xludf.DUMMYFUNCTION("""COMPUTED_VALUE"""),623)</f>
        <v>623</v>
      </c>
      <c r="Y7" s="1">
        <f ca="1">IFERROR(__xludf.DUMMYFUNCTION("""COMPUTED_VALUE"""),0.711)</f>
        <v>0.71099999999999997</v>
      </c>
      <c r="Z7" s="1">
        <f ca="1">IFERROR(__xludf.DUMMYFUNCTION("""COMPUTED_VALUE"""),352)</f>
        <v>352</v>
      </c>
      <c r="AA7" s="1">
        <f ca="1">IFERROR(__xludf.DUMMYFUNCTION("""COMPUTED_VALUE"""),1066)</f>
        <v>1066</v>
      </c>
      <c r="AB7" s="1">
        <f ca="1">IFERROR(__xludf.DUMMYFUNCTION("""COMPUTED_VALUE"""),402)</f>
        <v>402</v>
      </c>
      <c r="AC7" s="1">
        <f ca="1">IFERROR(__xludf.DUMMYFUNCTION("""COMPUTED_VALUE"""),239)</f>
        <v>239</v>
      </c>
      <c r="AD7" s="1">
        <f ca="1">IFERROR(__xludf.DUMMYFUNCTION("""COMPUTED_VALUE"""),137)</f>
        <v>137</v>
      </c>
      <c r="AE7" s="1">
        <f ca="1">IFERROR(__xludf.DUMMYFUNCTION("""COMPUTED_VALUE"""),423)</f>
        <v>423</v>
      </c>
      <c r="AF7" s="1">
        <f ca="1">IFERROR(__xludf.DUMMYFUNCTION("""COMPUTED_VALUE"""),607)</f>
        <v>607</v>
      </c>
    </row>
    <row r="8" spans="1:32" ht="15.75" customHeight="1" x14ac:dyDescent="0.25">
      <c r="A8" s="1" t="str">
        <f ca="1">IFERROR(__xludf.DUMMYFUNCTION("""COMPUTED_VALUE"""),"Albany (NY)")</f>
        <v>Albany (NY)</v>
      </c>
      <c r="B8" s="1">
        <f ca="1">IFERROR(__xludf.DUMMYFUNCTION("""COMPUTED_VALUE"""),34)</f>
        <v>34</v>
      </c>
      <c r="C8" s="1">
        <f ca="1">IFERROR(__xludf.DUMMYFUNCTION("""COMPUTED_VALUE"""),19)</f>
        <v>19</v>
      </c>
      <c r="D8" s="1">
        <f ca="1">IFERROR(__xludf.DUMMYFUNCTION("""COMPUTED_VALUE"""),15)</f>
        <v>15</v>
      </c>
      <c r="E8" s="1">
        <f ca="1">IFERROR(__xludf.DUMMYFUNCTION("""COMPUTED_VALUE"""),0.559)</f>
        <v>0.55900000000000005</v>
      </c>
      <c r="F8" s="1">
        <f ca="1">IFERROR(__xludf.DUMMYFUNCTION("""COMPUTED_VALUE"""),-3.92)</f>
        <v>-3.92</v>
      </c>
      <c r="G8" s="1">
        <f ca="1">IFERROR(__xludf.DUMMYFUNCTION("""COMPUTED_VALUE"""),-6.92)</f>
        <v>-6.92</v>
      </c>
      <c r="H8" s="1">
        <f ca="1">IFERROR(__xludf.DUMMYFUNCTION("""COMPUTED_VALUE"""),9)</f>
        <v>9</v>
      </c>
      <c r="I8" s="1">
        <f ca="1">IFERROR(__xludf.DUMMYFUNCTION("""COMPUTED_VALUE"""),7)</f>
        <v>7</v>
      </c>
      <c r="J8" s="1">
        <f ca="1">IFERROR(__xludf.DUMMYFUNCTION("""COMPUTED_VALUE"""),10)</f>
        <v>10</v>
      </c>
      <c r="K8" s="1">
        <f ca="1">IFERROR(__xludf.DUMMYFUNCTION("""COMPUTED_VALUE"""),4)</f>
        <v>4</v>
      </c>
      <c r="L8" s="1">
        <f ca="1">IFERROR(__xludf.DUMMYFUNCTION("""COMPUTED_VALUE"""),6)</f>
        <v>6</v>
      </c>
      <c r="M8" s="1">
        <f ca="1">IFERROR(__xludf.DUMMYFUNCTION("""COMPUTED_VALUE"""),10)</f>
        <v>10</v>
      </c>
      <c r="N8" s="1">
        <f ca="1">IFERROR(__xludf.DUMMYFUNCTION("""COMPUTED_VALUE"""),2453)</f>
        <v>2453</v>
      </c>
      <c r="O8" s="1">
        <f ca="1">IFERROR(__xludf.DUMMYFUNCTION("""COMPUTED_VALUE"""),2351)</f>
        <v>2351</v>
      </c>
      <c r="P8" s="1">
        <f ca="1">IFERROR(__xludf.DUMMYFUNCTION("""COMPUTED_VALUE"""),1365)</f>
        <v>1365</v>
      </c>
      <c r="Q8" s="1">
        <f ca="1">IFERROR(__xludf.DUMMYFUNCTION("""COMPUTED_VALUE"""),842)</f>
        <v>842</v>
      </c>
      <c r="R8" s="1">
        <f ca="1">IFERROR(__xludf.DUMMYFUNCTION("""COMPUTED_VALUE"""),1889)</f>
        <v>1889</v>
      </c>
      <c r="S8" s="1">
        <f ca="1">IFERROR(__xludf.DUMMYFUNCTION("""COMPUTED_VALUE"""),0.446)</f>
        <v>0.44600000000000001</v>
      </c>
      <c r="T8" s="1">
        <f ca="1">IFERROR(__xludf.DUMMYFUNCTION("""COMPUTED_VALUE"""),245)</f>
        <v>245</v>
      </c>
      <c r="U8" s="1">
        <f ca="1">IFERROR(__xludf.DUMMYFUNCTION("""COMPUTED_VALUE"""),673)</f>
        <v>673</v>
      </c>
      <c r="V8" s="1">
        <f ca="1">IFERROR(__xludf.DUMMYFUNCTION("""COMPUTED_VALUE"""),0.364)</f>
        <v>0.36399999999999999</v>
      </c>
      <c r="W8" s="1">
        <f ca="1">IFERROR(__xludf.DUMMYFUNCTION("""COMPUTED_VALUE"""),524)</f>
        <v>524</v>
      </c>
      <c r="X8" s="1">
        <f ca="1">IFERROR(__xludf.DUMMYFUNCTION("""COMPUTED_VALUE"""),694)</f>
        <v>694</v>
      </c>
      <c r="Y8" s="1">
        <f ca="1">IFERROR(__xludf.DUMMYFUNCTION("""COMPUTED_VALUE"""),0.755)</f>
        <v>0.755</v>
      </c>
      <c r="Z8" s="1">
        <f ca="1">IFERROR(__xludf.DUMMYFUNCTION("""COMPUTED_VALUE"""),400)</f>
        <v>400</v>
      </c>
      <c r="AA8" s="1">
        <f ca="1">IFERROR(__xludf.DUMMYFUNCTION("""COMPUTED_VALUE"""),1072)</f>
        <v>1072</v>
      </c>
      <c r="AB8" s="1">
        <f ca="1">IFERROR(__xludf.DUMMYFUNCTION("""COMPUTED_VALUE"""),424)</f>
        <v>424</v>
      </c>
      <c r="AC8" s="1">
        <f ca="1">IFERROR(__xludf.DUMMYFUNCTION("""COMPUTED_VALUE"""),193)</f>
        <v>193</v>
      </c>
      <c r="AD8" s="1">
        <f ca="1">IFERROR(__xludf.DUMMYFUNCTION("""COMPUTED_VALUE"""),95)</f>
        <v>95</v>
      </c>
      <c r="AE8" s="1">
        <f ca="1">IFERROR(__xludf.DUMMYFUNCTION("""COMPUTED_VALUE"""),429)</f>
        <v>429</v>
      </c>
      <c r="AF8" s="1">
        <f ca="1">IFERROR(__xludf.DUMMYFUNCTION("""COMPUTED_VALUE"""),578)</f>
        <v>578</v>
      </c>
    </row>
    <row r="9" spans="1:32" ht="15.75" customHeight="1" x14ac:dyDescent="0.25">
      <c r="A9" s="1" t="str">
        <f ca="1">IFERROR(__xludf.DUMMYFUNCTION("""COMPUTED_VALUE"""),"Alcorn State")</f>
        <v>Alcorn State</v>
      </c>
      <c r="B9" s="1">
        <f ca="1">IFERROR(__xludf.DUMMYFUNCTION("""COMPUTED_VALUE"""),32)</f>
        <v>32</v>
      </c>
      <c r="C9" s="1">
        <f ca="1">IFERROR(__xludf.DUMMYFUNCTION("""COMPUTED_VALUE"""),10)</f>
        <v>10</v>
      </c>
      <c r="D9" s="1">
        <f ca="1">IFERROR(__xludf.DUMMYFUNCTION("""COMPUTED_VALUE"""),22)</f>
        <v>22</v>
      </c>
      <c r="E9" s="1">
        <f ca="1">IFERROR(__xludf.DUMMYFUNCTION("""COMPUTED_VALUE"""),0.313)</f>
        <v>0.313</v>
      </c>
      <c r="F9" s="1">
        <f ca="1">IFERROR(__xludf.DUMMYFUNCTION("""COMPUTED_VALUE"""),-19.57)</f>
        <v>-19.57</v>
      </c>
      <c r="G9" s="1">
        <f ca="1">IFERROR(__xludf.DUMMYFUNCTION("""COMPUTED_VALUE"""),-10.61)</f>
        <v>-10.61</v>
      </c>
      <c r="H9" s="1">
        <f ca="1">IFERROR(__xludf.DUMMYFUNCTION("""COMPUTED_VALUE"""),6)</f>
        <v>6</v>
      </c>
      <c r="I9" s="1">
        <f ca="1">IFERROR(__xludf.DUMMYFUNCTION("""COMPUTED_VALUE"""),12)</f>
        <v>12</v>
      </c>
      <c r="J9" s="1">
        <f ca="1">IFERROR(__xludf.DUMMYFUNCTION("""COMPUTED_VALUE"""),7)</f>
        <v>7</v>
      </c>
      <c r="K9" s="1">
        <f ca="1">IFERROR(__xludf.DUMMYFUNCTION("""COMPUTED_VALUE"""),5)</f>
        <v>5</v>
      </c>
      <c r="L9" s="1">
        <f ca="1">IFERROR(__xludf.DUMMYFUNCTION("""COMPUTED_VALUE"""),2)</f>
        <v>2</v>
      </c>
      <c r="M9" s="1">
        <f ca="1">IFERROR(__xludf.DUMMYFUNCTION("""COMPUTED_VALUE"""),14)</f>
        <v>14</v>
      </c>
      <c r="N9" s="1">
        <f ca="1">IFERROR(__xludf.DUMMYFUNCTION("""COMPUTED_VALUE"""),1926)</f>
        <v>1926</v>
      </c>
      <c r="O9" s="1">
        <f ca="1">IFERROR(__xludf.DUMMYFUNCTION("""COMPUTED_VALUE"""),2148)</f>
        <v>2148</v>
      </c>
      <c r="P9" s="1">
        <f ca="1">IFERROR(__xludf.DUMMYFUNCTION("""COMPUTED_VALUE"""),1250)</f>
        <v>1250</v>
      </c>
      <c r="Q9" s="1">
        <f ca="1">IFERROR(__xludf.DUMMYFUNCTION("""COMPUTED_VALUE"""),689)</f>
        <v>689</v>
      </c>
      <c r="R9" s="1">
        <f ca="1">IFERROR(__xludf.DUMMYFUNCTION("""COMPUTED_VALUE"""),1669)</f>
        <v>1669</v>
      </c>
      <c r="S9" s="1">
        <f ca="1">IFERROR(__xludf.DUMMYFUNCTION("""COMPUTED_VALUE"""),0.413)</f>
        <v>0.41299999999999998</v>
      </c>
      <c r="T9" s="1">
        <f ca="1">IFERROR(__xludf.DUMMYFUNCTION("""COMPUTED_VALUE"""),128)</f>
        <v>128</v>
      </c>
      <c r="U9" s="1">
        <f ca="1">IFERROR(__xludf.DUMMYFUNCTION("""COMPUTED_VALUE"""),421)</f>
        <v>421</v>
      </c>
      <c r="V9" s="1">
        <f ca="1">IFERROR(__xludf.DUMMYFUNCTION("""COMPUTED_VALUE"""),0.304)</f>
        <v>0.30399999999999999</v>
      </c>
      <c r="W9" s="1">
        <f ca="1">IFERROR(__xludf.DUMMYFUNCTION("""COMPUTED_VALUE"""),420)</f>
        <v>420</v>
      </c>
      <c r="X9" s="1">
        <f ca="1">IFERROR(__xludf.DUMMYFUNCTION("""COMPUTED_VALUE"""),606)</f>
        <v>606</v>
      </c>
      <c r="Y9" s="1">
        <f ca="1">IFERROR(__xludf.DUMMYFUNCTION("""COMPUTED_VALUE"""),0.693)</f>
        <v>0.69299999999999995</v>
      </c>
      <c r="Z9" s="1">
        <f ca="1">IFERROR(__xludf.DUMMYFUNCTION("""COMPUTED_VALUE"""),291)</f>
        <v>291</v>
      </c>
      <c r="AA9" s="1">
        <f ca="1">IFERROR(__xludf.DUMMYFUNCTION("""COMPUTED_VALUE"""),872)</f>
        <v>872</v>
      </c>
      <c r="AB9" s="1">
        <f ca="1">IFERROR(__xludf.DUMMYFUNCTION("""COMPUTED_VALUE"""),290)</f>
        <v>290</v>
      </c>
      <c r="AC9" s="1">
        <f ca="1">IFERROR(__xludf.DUMMYFUNCTION("""COMPUTED_VALUE"""),199)</f>
        <v>199</v>
      </c>
      <c r="AD9" s="1">
        <f ca="1">IFERROR(__xludf.DUMMYFUNCTION("""COMPUTED_VALUE"""),104)</f>
        <v>104</v>
      </c>
      <c r="AE9" s="1">
        <f ca="1">IFERROR(__xludf.DUMMYFUNCTION("""COMPUTED_VALUE"""),482)</f>
        <v>482</v>
      </c>
      <c r="AF9" s="1">
        <f ca="1">IFERROR(__xludf.DUMMYFUNCTION("""COMPUTED_VALUE"""),606)</f>
        <v>606</v>
      </c>
    </row>
    <row r="10" spans="1:32" ht="15.75" customHeight="1" x14ac:dyDescent="0.25">
      <c r="A10" s="1" t="str">
        <f ca="1">IFERROR(__xludf.DUMMYFUNCTION("""COMPUTED_VALUE"""),"American")</f>
        <v>American</v>
      </c>
      <c r="B10" s="1">
        <f ca="1">IFERROR(__xludf.DUMMYFUNCTION("""COMPUTED_VALUE"""),32)</f>
        <v>32</v>
      </c>
      <c r="C10" s="1">
        <f ca="1">IFERROR(__xludf.DUMMYFUNCTION("""COMPUTED_VALUE"""),20)</f>
        <v>20</v>
      </c>
      <c r="D10" s="1">
        <f ca="1">IFERROR(__xludf.DUMMYFUNCTION("""COMPUTED_VALUE"""),12)</f>
        <v>12</v>
      </c>
      <c r="E10" s="1">
        <f ca="1">IFERROR(__xludf.DUMMYFUNCTION("""COMPUTED_VALUE"""),0.625)</f>
        <v>0.625</v>
      </c>
      <c r="F10" s="1">
        <f ca="1">IFERROR(__xludf.DUMMYFUNCTION("""COMPUTED_VALUE"""),-3.12)</f>
        <v>-3.12</v>
      </c>
      <c r="G10" s="1">
        <f ca="1">IFERROR(__xludf.DUMMYFUNCTION("""COMPUTED_VALUE"""),-5.24)</f>
        <v>-5.24</v>
      </c>
      <c r="H10" s="1">
        <f ca="1">IFERROR(__xludf.DUMMYFUNCTION("""COMPUTED_VALUE"""),10)</f>
        <v>10</v>
      </c>
      <c r="I10" s="1">
        <f ca="1">IFERROR(__xludf.DUMMYFUNCTION("""COMPUTED_VALUE"""),4)</f>
        <v>4</v>
      </c>
      <c r="J10" s="1">
        <f ca="1">IFERROR(__xludf.DUMMYFUNCTION("""COMPUTED_VALUE"""),13)</f>
        <v>13</v>
      </c>
      <c r="K10" s="1">
        <f ca="1">IFERROR(__xludf.DUMMYFUNCTION("""COMPUTED_VALUE"""),2)</f>
        <v>2</v>
      </c>
      <c r="L10" s="1">
        <f ca="1">IFERROR(__xludf.DUMMYFUNCTION("""COMPUTED_VALUE"""),7)</f>
        <v>7</v>
      </c>
      <c r="M10" s="1">
        <f ca="1">IFERROR(__xludf.DUMMYFUNCTION("""COMPUTED_VALUE"""),10)</f>
        <v>10</v>
      </c>
      <c r="N10" s="1">
        <f ca="1">IFERROR(__xludf.DUMMYFUNCTION("""COMPUTED_VALUE"""),2059)</f>
        <v>2059</v>
      </c>
      <c r="O10" s="1">
        <f ca="1">IFERROR(__xludf.DUMMYFUNCTION("""COMPUTED_VALUE"""),1991)</f>
        <v>1991</v>
      </c>
      <c r="P10" s="1">
        <f ca="1">IFERROR(__xludf.DUMMYFUNCTION("""COMPUTED_VALUE"""),1285)</f>
        <v>1285</v>
      </c>
      <c r="Q10" s="1">
        <f ca="1">IFERROR(__xludf.DUMMYFUNCTION("""COMPUTED_VALUE"""),713)</f>
        <v>713</v>
      </c>
      <c r="R10" s="1">
        <f ca="1">IFERROR(__xludf.DUMMYFUNCTION("""COMPUTED_VALUE"""),1678)</f>
        <v>1678</v>
      </c>
      <c r="S10" s="1">
        <f ca="1">IFERROR(__xludf.DUMMYFUNCTION("""COMPUTED_VALUE"""),0.425)</f>
        <v>0.42499999999999999</v>
      </c>
      <c r="T10" s="1">
        <f ca="1">IFERROR(__xludf.DUMMYFUNCTION("""COMPUTED_VALUE"""),227)</f>
        <v>227</v>
      </c>
      <c r="U10" s="1">
        <f ca="1">IFERROR(__xludf.DUMMYFUNCTION("""COMPUTED_VALUE"""),576)</f>
        <v>576</v>
      </c>
      <c r="V10" s="1">
        <f ca="1">IFERROR(__xludf.DUMMYFUNCTION("""COMPUTED_VALUE"""),0.394)</f>
        <v>0.39400000000000002</v>
      </c>
      <c r="W10" s="1">
        <f ca="1">IFERROR(__xludf.DUMMYFUNCTION("""COMPUTED_VALUE"""),406)</f>
        <v>406</v>
      </c>
      <c r="X10" s="1">
        <f ca="1">IFERROR(__xludf.DUMMYFUNCTION("""COMPUTED_VALUE"""),567)</f>
        <v>567</v>
      </c>
      <c r="Y10" s="1">
        <f ca="1">IFERROR(__xludf.DUMMYFUNCTION("""COMPUTED_VALUE"""),0.716)</f>
        <v>0.71599999999999997</v>
      </c>
      <c r="Z10" s="1">
        <f ca="1">IFERROR(__xludf.DUMMYFUNCTION("""COMPUTED_VALUE"""),281)</f>
        <v>281</v>
      </c>
      <c r="AA10" s="1">
        <f ca="1">IFERROR(__xludf.DUMMYFUNCTION("""COMPUTED_VALUE"""),948)</f>
        <v>948</v>
      </c>
      <c r="AB10" s="1">
        <f ca="1">IFERROR(__xludf.DUMMYFUNCTION("""COMPUTED_VALUE"""),404)</f>
        <v>404</v>
      </c>
      <c r="AC10" s="1">
        <f ca="1">IFERROR(__xludf.DUMMYFUNCTION("""COMPUTED_VALUE"""),146)</f>
        <v>146</v>
      </c>
      <c r="AD10" s="1">
        <f ca="1">IFERROR(__xludf.DUMMYFUNCTION("""COMPUTED_VALUE"""),92)</f>
        <v>92</v>
      </c>
      <c r="AE10" s="1">
        <f ca="1">IFERROR(__xludf.DUMMYFUNCTION("""COMPUTED_VALUE"""),355)</f>
        <v>355</v>
      </c>
      <c r="AF10" s="1">
        <f ca="1">IFERROR(__xludf.DUMMYFUNCTION("""COMPUTED_VALUE"""),544)</f>
        <v>544</v>
      </c>
    </row>
    <row r="11" spans="1:32" ht="15.75" customHeight="1" x14ac:dyDescent="0.25">
      <c r="A11" s="1" t="str">
        <f ca="1">IFERROR(__xludf.DUMMYFUNCTION("""COMPUTED_VALUE"""),"Appalachian State")</f>
        <v>Appalachian State</v>
      </c>
      <c r="B11" s="1">
        <f ca="1">IFERROR(__xludf.DUMMYFUNCTION("""COMPUTED_VALUE"""),31)</f>
        <v>31</v>
      </c>
      <c r="C11" s="1">
        <f ca="1">IFERROR(__xludf.DUMMYFUNCTION("""COMPUTED_VALUE"""),13)</f>
        <v>13</v>
      </c>
      <c r="D11" s="1">
        <f ca="1">IFERROR(__xludf.DUMMYFUNCTION("""COMPUTED_VALUE"""),18)</f>
        <v>18</v>
      </c>
      <c r="E11" s="1">
        <f ca="1">IFERROR(__xludf.DUMMYFUNCTION("""COMPUTED_VALUE"""),0.419)</f>
        <v>0.41899999999999998</v>
      </c>
      <c r="F11" s="1">
        <f ca="1">IFERROR(__xludf.DUMMYFUNCTION("""COMPUTED_VALUE"""),-6.93)</f>
        <v>-6.93</v>
      </c>
      <c r="G11" s="1">
        <f ca="1">IFERROR(__xludf.DUMMYFUNCTION("""COMPUTED_VALUE"""),-3.28)</f>
        <v>-3.28</v>
      </c>
      <c r="H11" s="1">
        <f ca="1">IFERROR(__xludf.DUMMYFUNCTION("""COMPUTED_VALUE"""),7)</f>
        <v>7</v>
      </c>
      <c r="I11" s="1">
        <f ca="1">IFERROR(__xludf.DUMMYFUNCTION("""COMPUTED_VALUE"""),11)</f>
        <v>11</v>
      </c>
      <c r="J11" s="1">
        <f ca="1">IFERROR(__xludf.DUMMYFUNCTION("""COMPUTED_VALUE"""),9)</f>
        <v>9</v>
      </c>
      <c r="K11" s="1">
        <f ca="1">IFERROR(__xludf.DUMMYFUNCTION("""COMPUTED_VALUE"""),5)</f>
        <v>5</v>
      </c>
      <c r="L11" s="1">
        <f ca="1">IFERROR(__xludf.DUMMYFUNCTION("""COMPUTED_VALUE"""),3)</f>
        <v>3</v>
      </c>
      <c r="M11" s="1">
        <f ca="1">IFERROR(__xludf.DUMMYFUNCTION("""COMPUTED_VALUE"""),11)</f>
        <v>11</v>
      </c>
      <c r="N11" s="1">
        <f ca="1">IFERROR(__xludf.DUMMYFUNCTION("""COMPUTED_VALUE"""),2121)</f>
        <v>2121</v>
      </c>
      <c r="O11" s="1">
        <f ca="1">IFERROR(__xludf.DUMMYFUNCTION("""COMPUTED_VALUE"""),2175)</f>
        <v>2175</v>
      </c>
      <c r="P11" s="1">
        <f ca="1">IFERROR(__xludf.DUMMYFUNCTION("""COMPUTED_VALUE"""),1245)</f>
        <v>1245</v>
      </c>
      <c r="Q11" s="1">
        <f ca="1">IFERROR(__xludf.DUMMYFUNCTION("""COMPUTED_VALUE"""),746)</f>
        <v>746</v>
      </c>
      <c r="R11" s="1">
        <f ca="1">IFERROR(__xludf.DUMMYFUNCTION("""COMPUTED_VALUE"""),1693)</f>
        <v>1693</v>
      </c>
      <c r="S11" s="1">
        <f ca="1">IFERROR(__xludf.DUMMYFUNCTION("""COMPUTED_VALUE"""),0.441)</f>
        <v>0.441</v>
      </c>
      <c r="T11" s="1">
        <f ca="1">IFERROR(__xludf.DUMMYFUNCTION("""COMPUTED_VALUE"""),203)</f>
        <v>203</v>
      </c>
      <c r="U11" s="1">
        <f ca="1">IFERROR(__xludf.DUMMYFUNCTION("""COMPUTED_VALUE"""),591)</f>
        <v>591</v>
      </c>
      <c r="V11" s="1">
        <f ca="1">IFERROR(__xludf.DUMMYFUNCTION("""COMPUTED_VALUE"""),0.343)</f>
        <v>0.34300000000000003</v>
      </c>
      <c r="W11" s="1">
        <f ca="1">IFERROR(__xludf.DUMMYFUNCTION("""COMPUTED_VALUE"""),426)</f>
        <v>426</v>
      </c>
      <c r="X11" s="1">
        <f ca="1">IFERROR(__xludf.DUMMYFUNCTION("""COMPUTED_VALUE"""),656)</f>
        <v>656</v>
      </c>
      <c r="Y11" s="1">
        <f ca="1">IFERROR(__xludf.DUMMYFUNCTION("""COMPUTED_VALUE"""),0.649)</f>
        <v>0.64900000000000002</v>
      </c>
      <c r="Z11" s="1">
        <f ca="1">IFERROR(__xludf.DUMMYFUNCTION("""COMPUTED_VALUE"""),333)</f>
        <v>333</v>
      </c>
      <c r="AA11" s="1">
        <f ca="1">IFERROR(__xludf.DUMMYFUNCTION("""COMPUTED_VALUE"""),1009)</f>
        <v>1009</v>
      </c>
      <c r="AB11" s="1">
        <f ca="1">IFERROR(__xludf.DUMMYFUNCTION("""COMPUTED_VALUE"""),379)</f>
        <v>379</v>
      </c>
      <c r="AC11" s="1">
        <f ca="1">IFERROR(__xludf.DUMMYFUNCTION("""COMPUTED_VALUE"""),187)</f>
        <v>187</v>
      </c>
      <c r="AD11" s="1">
        <f ca="1">IFERROR(__xludf.DUMMYFUNCTION("""COMPUTED_VALUE"""),125)</f>
        <v>125</v>
      </c>
      <c r="AE11" s="1">
        <f ca="1">IFERROR(__xludf.DUMMYFUNCTION("""COMPUTED_VALUE"""),444)</f>
        <v>444</v>
      </c>
      <c r="AF11" s="1">
        <f ca="1">IFERROR(__xludf.DUMMYFUNCTION("""COMPUTED_VALUE"""),609)</f>
        <v>609</v>
      </c>
    </row>
    <row r="12" spans="1:32" ht="15.75" customHeight="1" x14ac:dyDescent="0.25">
      <c r="A12" s="1" t="str">
        <f ca="1">IFERROR(__xludf.DUMMYFUNCTION("""COMPUTED_VALUE"""),"Arizona State")</f>
        <v>Arizona State</v>
      </c>
      <c r="B12" s="1">
        <f ca="1">IFERROR(__xludf.DUMMYFUNCTION("""COMPUTED_VALUE"""),31)</f>
        <v>31</v>
      </c>
      <c r="C12" s="1">
        <f ca="1">IFERROR(__xludf.DUMMYFUNCTION("""COMPUTED_VALUE"""),10)</f>
        <v>10</v>
      </c>
      <c r="D12" s="1">
        <f ca="1">IFERROR(__xludf.DUMMYFUNCTION("""COMPUTED_VALUE"""),21)</f>
        <v>21</v>
      </c>
      <c r="E12" s="1">
        <f ca="1">IFERROR(__xludf.DUMMYFUNCTION("""COMPUTED_VALUE"""),0.323)</f>
        <v>0.32300000000000001</v>
      </c>
      <c r="F12" s="1">
        <f ca="1">IFERROR(__xludf.DUMMYFUNCTION("""COMPUTED_VALUE"""),-1.01)</f>
        <v>-1.01</v>
      </c>
      <c r="G12" s="1">
        <f ca="1">IFERROR(__xludf.DUMMYFUNCTION("""COMPUTED_VALUE"""),4.31)</f>
        <v>4.3099999999999996</v>
      </c>
      <c r="H12" s="1">
        <f ca="1">IFERROR(__xludf.DUMMYFUNCTION("""COMPUTED_VALUE"""),6)</f>
        <v>6</v>
      </c>
      <c r="I12" s="1">
        <f ca="1">IFERROR(__xludf.DUMMYFUNCTION("""COMPUTED_VALUE"""),12)</f>
        <v>12</v>
      </c>
      <c r="J12" s="1">
        <f ca="1">IFERROR(__xludf.DUMMYFUNCTION("""COMPUTED_VALUE"""),7)</f>
        <v>7</v>
      </c>
      <c r="K12" s="1">
        <f ca="1">IFERROR(__xludf.DUMMYFUNCTION("""COMPUTED_VALUE"""),10)</f>
        <v>10</v>
      </c>
      <c r="L12" s="1">
        <f ca="1">IFERROR(__xludf.DUMMYFUNCTION("""COMPUTED_VALUE"""),2)</f>
        <v>2</v>
      </c>
      <c r="M12" s="1">
        <f ca="1">IFERROR(__xludf.DUMMYFUNCTION("""COMPUTED_VALUE"""),7)</f>
        <v>7</v>
      </c>
      <c r="N12" s="1">
        <f ca="1">IFERROR(__xludf.DUMMYFUNCTION("""COMPUTED_VALUE"""),1891)</f>
        <v>1891</v>
      </c>
      <c r="O12" s="1">
        <f ca="1">IFERROR(__xludf.DUMMYFUNCTION("""COMPUTED_VALUE"""),2056)</f>
        <v>2056</v>
      </c>
      <c r="P12" s="1">
        <f ca="1">IFERROR(__xludf.DUMMYFUNCTION("""COMPUTED_VALUE"""),1240)</f>
        <v>1240</v>
      </c>
      <c r="Q12" s="1">
        <f ca="1">IFERROR(__xludf.DUMMYFUNCTION("""COMPUTED_VALUE"""),654)</f>
        <v>654</v>
      </c>
      <c r="R12" s="1">
        <f ca="1">IFERROR(__xludf.DUMMYFUNCTION("""COMPUTED_VALUE"""),1439)</f>
        <v>1439</v>
      </c>
      <c r="S12" s="1">
        <f ca="1">IFERROR(__xludf.DUMMYFUNCTION("""COMPUTED_VALUE"""),0.454)</f>
        <v>0.45400000000000001</v>
      </c>
      <c r="T12" s="1">
        <f ca="1">IFERROR(__xludf.DUMMYFUNCTION("""COMPUTED_VALUE"""),181)</f>
        <v>181</v>
      </c>
      <c r="U12" s="1">
        <f ca="1">IFERROR(__xludf.DUMMYFUNCTION("""COMPUTED_VALUE"""),497)</f>
        <v>497</v>
      </c>
      <c r="V12" s="1">
        <f ca="1">IFERROR(__xludf.DUMMYFUNCTION("""COMPUTED_VALUE"""),0.364)</f>
        <v>0.36399999999999999</v>
      </c>
      <c r="W12" s="1">
        <f ca="1">IFERROR(__xludf.DUMMYFUNCTION("""COMPUTED_VALUE"""),402)</f>
        <v>402</v>
      </c>
      <c r="X12" s="1">
        <f ca="1">IFERROR(__xludf.DUMMYFUNCTION("""COMPUTED_VALUE"""),594)</f>
        <v>594</v>
      </c>
      <c r="Y12" s="1">
        <f ca="1">IFERROR(__xludf.DUMMYFUNCTION("""COMPUTED_VALUE"""),0.677)</f>
        <v>0.67700000000000005</v>
      </c>
      <c r="Z12" s="1">
        <f ca="1">IFERROR(__xludf.DUMMYFUNCTION("""COMPUTED_VALUE"""),262)</f>
        <v>262</v>
      </c>
      <c r="AA12" s="1">
        <f ca="1">IFERROR(__xludf.DUMMYFUNCTION("""COMPUTED_VALUE"""),898)</f>
        <v>898</v>
      </c>
      <c r="AB12" s="1">
        <f ca="1">IFERROR(__xludf.DUMMYFUNCTION("""COMPUTED_VALUE"""),377)</f>
        <v>377</v>
      </c>
      <c r="AC12" s="1">
        <f ca="1">IFERROR(__xludf.DUMMYFUNCTION("""COMPUTED_VALUE"""),173)</f>
        <v>173</v>
      </c>
      <c r="AD12" s="1">
        <f ca="1">IFERROR(__xludf.DUMMYFUNCTION("""COMPUTED_VALUE"""),123)</f>
        <v>123</v>
      </c>
      <c r="AE12" s="1">
        <f ca="1">IFERROR(__xludf.DUMMYFUNCTION("""COMPUTED_VALUE"""),505)</f>
        <v>505</v>
      </c>
      <c r="AF12" s="1">
        <f ca="1">IFERROR(__xludf.DUMMYFUNCTION("""COMPUTED_VALUE"""),548)</f>
        <v>548</v>
      </c>
    </row>
    <row r="13" spans="1:32" ht="15.75" customHeight="1" x14ac:dyDescent="0.25">
      <c r="A13" s="1" t="str">
        <f ca="1">IFERROR(__xludf.DUMMYFUNCTION("""COMPUTED_VALUE"""),"Arizona")</f>
        <v>Arizona</v>
      </c>
      <c r="B13" s="1">
        <f ca="1">IFERROR(__xludf.DUMMYFUNCTION("""COMPUTED_VALUE"""),35)</f>
        <v>35</v>
      </c>
      <c r="C13" s="1">
        <f ca="1">IFERROR(__xludf.DUMMYFUNCTION("""COMPUTED_VALUE"""),23)</f>
        <v>23</v>
      </c>
      <c r="D13" s="1">
        <f ca="1">IFERROR(__xludf.DUMMYFUNCTION("""COMPUTED_VALUE"""),12)</f>
        <v>12</v>
      </c>
      <c r="E13" s="1">
        <f ca="1">IFERROR(__xludf.DUMMYFUNCTION("""COMPUTED_VALUE"""),0.657)</f>
        <v>0.65700000000000003</v>
      </c>
      <c r="F13" s="1">
        <f ca="1">IFERROR(__xludf.DUMMYFUNCTION("""COMPUTED_VALUE"""),10.91)</f>
        <v>10.91</v>
      </c>
      <c r="G13" s="1">
        <f ca="1">IFERROR(__xludf.DUMMYFUNCTION("""COMPUTED_VALUE"""),4.62)</f>
        <v>4.62</v>
      </c>
      <c r="H13" s="1">
        <f ca="1">IFERROR(__xludf.DUMMYFUNCTION("""COMPUTED_VALUE"""),12)</f>
        <v>12</v>
      </c>
      <c r="I13" s="1">
        <f ca="1">IFERROR(__xludf.DUMMYFUNCTION("""COMPUTED_VALUE"""),6)</f>
        <v>6</v>
      </c>
      <c r="J13" s="1">
        <f ca="1">IFERROR(__xludf.DUMMYFUNCTION("""COMPUTED_VALUE"""),14)</f>
        <v>14</v>
      </c>
      <c r="K13" s="1">
        <f ca="1">IFERROR(__xludf.DUMMYFUNCTION("""COMPUTED_VALUE"""),4)</f>
        <v>4</v>
      </c>
      <c r="L13" s="1">
        <f ca="1">IFERROR(__xludf.DUMMYFUNCTION("""COMPUTED_VALUE"""),6)</f>
        <v>6</v>
      </c>
      <c r="M13" s="1">
        <f ca="1">IFERROR(__xludf.DUMMYFUNCTION("""COMPUTED_VALUE"""),4)</f>
        <v>4</v>
      </c>
      <c r="N13" s="1">
        <f ca="1">IFERROR(__xludf.DUMMYFUNCTION("""COMPUTED_VALUE"""),2416)</f>
        <v>2416</v>
      </c>
      <c r="O13" s="1">
        <f ca="1">IFERROR(__xludf.DUMMYFUNCTION("""COMPUTED_VALUE"""),2196)</f>
        <v>2196</v>
      </c>
      <c r="P13" s="1">
        <f ca="1">IFERROR(__xludf.DUMMYFUNCTION("""COMPUTED_VALUE"""),1410)</f>
        <v>1410</v>
      </c>
      <c r="Q13" s="1">
        <f ca="1">IFERROR(__xludf.DUMMYFUNCTION("""COMPUTED_VALUE"""),795)</f>
        <v>795</v>
      </c>
      <c r="R13" s="1">
        <f ca="1">IFERROR(__xludf.DUMMYFUNCTION("""COMPUTED_VALUE"""),1812)</f>
        <v>1812</v>
      </c>
      <c r="S13" s="1">
        <f ca="1">IFERROR(__xludf.DUMMYFUNCTION("""COMPUTED_VALUE"""),0.439)</f>
        <v>0.439</v>
      </c>
      <c r="T13" s="1">
        <f ca="1">IFERROR(__xludf.DUMMYFUNCTION("""COMPUTED_VALUE"""),258)</f>
        <v>258</v>
      </c>
      <c r="U13" s="1">
        <f ca="1">IFERROR(__xludf.DUMMYFUNCTION("""COMPUTED_VALUE"""),683)</f>
        <v>683</v>
      </c>
      <c r="V13" s="1">
        <f ca="1">IFERROR(__xludf.DUMMYFUNCTION("""COMPUTED_VALUE"""),0.378)</f>
        <v>0.378</v>
      </c>
      <c r="W13" s="1">
        <f ca="1">IFERROR(__xludf.DUMMYFUNCTION("""COMPUTED_VALUE"""),568)</f>
        <v>568</v>
      </c>
      <c r="X13" s="1">
        <f ca="1">IFERROR(__xludf.DUMMYFUNCTION("""COMPUTED_VALUE"""),806)</f>
        <v>806</v>
      </c>
      <c r="Y13" s="1">
        <f ca="1">IFERROR(__xludf.DUMMYFUNCTION("""COMPUTED_VALUE"""),0.705)</f>
        <v>0.70499999999999996</v>
      </c>
      <c r="Z13" s="1">
        <f ca="1">IFERROR(__xludf.DUMMYFUNCTION("""COMPUTED_VALUE"""),365)</f>
        <v>365</v>
      </c>
      <c r="AA13" s="1">
        <f ca="1">IFERROR(__xludf.DUMMYFUNCTION("""COMPUTED_VALUE"""),1130)</f>
        <v>1130</v>
      </c>
      <c r="AB13" s="1">
        <f ca="1">IFERROR(__xludf.DUMMYFUNCTION("""COMPUTED_VALUE"""),473)</f>
        <v>473</v>
      </c>
      <c r="AC13" s="1">
        <f ca="1">IFERROR(__xludf.DUMMYFUNCTION("""COMPUTED_VALUE"""),195)</f>
        <v>195</v>
      </c>
      <c r="AD13" s="1">
        <f ca="1">IFERROR(__xludf.DUMMYFUNCTION("""COMPUTED_VALUE"""),122)</f>
        <v>122</v>
      </c>
      <c r="AE13" s="1">
        <f ca="1">IFERROR(__xludf.DUMMYFUNCTION("""COMPUTED_VALUE"""),446)</f>
        <v>446</v>
      </c>
      <c r="AF13" s="1">
        <f ca="1">IFERROR(__xludf.DUMMYFUNCTION("""COMPUTED_VALUE"""),588)</f>
        <v>588</v>
      </c>
    </row>
    <row r="14" spans="1:32" ht="15.75" customHeight="1" x14ac:dyDescent="0.25">
      <c r="A14" s="1" t="str">
        <f ca="1">IFERROR(__xludf.DUMMYFUNCTION("""COMPUTED_VALUE"""),"Little Rock")</f>
        <v>Little Rock</v>
      </c>
      <c r="B14" s="1">
        <f ca="1">IFERROR(__xludf.DUMMYFUNCTION("""COMPUTED_VALUE"""),31)</f>
        <v>31</v>
      </c>
      <c r="C14" s="1">
        <f ca="1">IFERROR(__xludf.DUMMYFUNCTION("""COMPUTED_VALUE"""),15)</f>
        <v>15</v>
      </c>
      <c r="D14" s="1">
        <f ca="1">IFERROR(__xludf.DUMMYFUNCTION("""COMPUTED_VALUE"""),16)</f>
        <v>16</v>
      </c>
      <c r="E14" s="1">
        <f ca="1">IFERROR(__xludf.DUMMYFUNCTION("""COMPUTED_VALUE"""),0.484)</f>
        <v>0.48399999999999999</v>
      </c>
      <c r="F14" s="1">
        <f ca="1">IFERROR(__xludf.DUMMYFUNCTION("""COMPUTED_VALUE"""),-1.94)</f>
        <v>-1.94</v>
      </c>
      <c r="G14" s="1">
        <f ca="1">IFERROR(__xludf.DUMMYFUNCTION("""COMPUTED_VALUE"""),0.03)</f>
        <v>0.03</v>
      </c>
      <c r="H14" s="1">
        <f ca="1">IFERROR(__xludf.DUMMYFUNCTION("""COMPUTED_VALUE"""),12)</f>
        <v>12</v>
      </c>
      <c r="I14" s="1">
        <f ca="1">IFERROR(__xludf.DUMMYFUNCTION("""COMPUTED_VALUE"""),4)</f>
        <v>4</v>
      </c>
      <c r="J14" s="1">
        <f ca="1">IFERROR(__xludf.DUMMYFUNCTION("""COMPUTED_VALUE"""),9)</f>
        <v>9</v>
      </c>
      <c r="K14" s="1">
        <f ca="1">IFERROR(__xludf.DUMMYFUNCTION("""COMPUTED_VALUE"""),6)</f>
        <v>6</v>
      </c>
      <c r="L14" s="1">
        <f ca="1">IFERROR(__xludf.DUMMYFUNCTION("""COMPUTED_VALUE"""),6)</f>
        <v>6</v>
      </c>
      <c r="M14" s="1">
        <f ca="1">IFERROR(__xludf.DUMMYFUNCTION("""COMPUTED_VALUE"""),8)</f>
        <v>8</v>
      </c>
      <c r="N14" s="1">
        <f ca="1">IFERROR(__xludf.DUMMYFUNCTION("""COMPUTED_VALUE"""),1974)</f>
        <v>1974</v>
      </c>
      <c r="O14" s="1">
        <f ca="1">IFERROR(__xludf.DUMMYFUNCTION("""COMPUTED_VALUE"""),1990)</f>
        <v>1990</v>
      </c>
      <c r="P14" s="1">
        <f ca="1">IFERROR(__xludf.DUMMYFUNCTION("""COMPUTED_VALUE"""),1260)</f>
        <v>1260</v>
      </c>
      <c r="Q14" s="1">
        <f ca="1">IFERROR(__xludf.DUMMYFUNCTION("""COMPUTED_VALUE"""),672)</f>
        <v>672</v>
      </c>
      <c r="R14" s="1">
        <f ca="1">IFERROR(__xludf.DUMMYFUNCTION("""COMPUTED_VALUE"""),1655)</f>
        <v>1655</v>
      </c>
      <c r="S14" s="1">
        <f ca="1">IFERROR(__xludf.DUMMYFUNCTION("""COMPUTED_VALUE"""),0.406)</f>
        <v>0.40600000000000003</v>
      </c>
      <c r="T14" s="1">
        <f ca="1">IFERROR(__xludf.DUMMYFUNCTION("""COMPUTED_VALUE"""),161)</f>
        <v>161</v>
      </c>
      <c r="U14" s="1">
        <f ca="1">IFERROR(__xludf.DUMMYFUNCTION("""COMPUTED_VALUE"""),492)</f>
        <v>492</v>
      </c>
      <c r="V14" s="1">
        <f ca="1">IFERROR(__xludf.DUMMYFUNCTION("""COMPUTED_VALUE"""),0.327)</f>
        <v>0.32700000000000001</v>
      </c>
      <c r="W14" s="1">
        <f ca="1">IFERROR(__xludf.DUMMYFUNCTION("""COMPUTED_VALUE"""),469)</f>
        <v>469</v>
      </c>
      <c r="X14" s="1">
        <f ca="1">IFERROR(__xludf.DUMMYFUNCTION("""COMPUTED_VALUE"""),672)</f>
        <v>672</v>
      </c>
      <c r="Y14" s="1">
        <f ca="1">IFERROR(__xludf.DUMMYFUNCTION("""COMPUTED_VALUE"""),0.698)</f>
        <v>0.69799999999999995</v>
      </c>
      <c r="Z14" s="1">
        <f ca="1">IFERROR(__xludf.DUMMYFUNCTION("""COMPUTED_VALUE"""),302)</f>
        <v>302</v>
      </c>
      <c r="AA14" s="1">
        <f ca="1">IFERROR(__xludf.DUMMYFUNCTION("""COMPUTED_VALUE"""),928)</f>
        <v>928</v>
      </c>
      <c r="AB14" s="1">
        <f ca="1">IFERROR(__xludf.DUMMYFUNCTION("""COMPUTED_VALUE"""),324)</f>
        <v>324</v>
      </c>
      <c r="AC14" s="1">
        <f ca="1">IFERROR(__xludf.DUMMYFUNCTION("""COMPUTED_VALUE"""),198)</f>
        <v>198</v>
      </c>
      <c r="AD14" s="1">
        <f ca="1">IFERROR(__xludf.DUMMYFUNCTION("""COMPUTED_VALUE"""),94)</f>
        <v>94</v>
      </c>
      <c r="AE14" s="1">
        <f ca="1">IFERROR(__xludf.DUMMYFUNCTION("""COMPUTED_VALUE"""),387)</f>
        <v>387</v>
      </c>
      <c r="AF14" s="1">
        <f ca="1">IFERROR(__xludf.DUMMYFUNCTION("""COMPUTED_VALUE"""),609)</f>
        <v>609</v>
      </c>
    </row>
    <row r="15" spans="1:32" ht="15.75" customHeight="1" x14ac:dyDescent="0.25">
      <c r="A15" s="1" t="str">
        <f ca="1">IFERROR(__xludf.DUMMYFUNCTION("""COMPUTED_VALUE"""),"Arkansas-Pine Bluff")</f>
        <v>Arkansas-Pine Bluff</v>
      </c>
      <c r="B15" s="1">
        <f ca="1">IFERROR(__xludf.DUMMYFUNCTION("""COMPUTED_VALUE"""),33)</f>
        <v>33</v>
      </c>
      <c r="C15" s="1">
        <f ca="1">IFERROR(__xludf.DUMMYFUNCTION("""COMPUTED_VALUE"""),11)</f>
        <v>11</v>
      </c>
      <c r="D15" s="1">
        <f ca="1">IFERROR(__xludf.DUMMYFUNCTION("""COMPUTED_VALUE"""),22)</f>
        <v>22</v>
      </c>
      <c r="E15" s="1">
        <f ca="1">IFERROR(__xludf.DUMMYFUNCTION("""COMPUTED_VALUE"""),0.333)</f>
        <v>0.33300000000000002</v>
      </c>
      <c r="F15" s="1">
        <f ca="1">IFERROR(__xludf.DUMMYFUNCTION("""COMPUTED_VALUE"""),-16.77)</f>
        <v>-16.77</v>
      </c>
      <c r="G15" s="1">
        <f ca="1">IFERROR(__xludf.DUMMYFUNCTION("""COMPUTED_VALUE"""),-8.34)</f>
        <v>-8.34</v>
      </c>
      <c r="H15" s="1">
        <f ca="1">IFERROR(__xludf.DUMMYFUNCTION("""COMPUTED_VALUE"""),9)</f>
        <v>9</v>
      </c>
      <c r="I15" s="1">
        <f ca="1">IFERROR(__xludf.DUMMYFUNCTION("""COMPUTED_VALUE"""),9)</f>
        <v>9</v>
      </c>
      <c r="J15" s="1">
        <f ca="1">IFERROR(__xludf.DUMMYFUNCTION("""COMPUTED_VALUE"""),6)</f>
        <v>6</v>
      </c>
      <c r="K15" s="1">
        <f ca="1">IFERROR(__xludf.DUMMYFUNCTION("""COMPUTED_VALUE"""),3)</f>
        <v>3</v>
      </c>
      <c r="L15" s="1">
        <f ca="1">IFERROR(__xludf.DUMMYFUNCTION("""COMPUTED_VALUE"""),3)</f>
        <v>3</v>
      </c>
      <c r="M15" s="1">
        <f ca="1">IFERROR(__xludf.DUMMYFUNCTION("""COMPUTED_VALUE"""),15)</f>
        <v>15</v>
      </c>
      <c r="N15" s="1">
        <f ca="1">IFERROR(__xludf.DUMMYFUNCTION("""COMPUTED_VALUE"""),2013)</f>
        <v>2013</v>
      </c>
      <c r="O15" s="1">
        <f ca="1">IFERROR(__xludf.DUMMYFUNCTION("""COMPUTED_VALUE"""),2291)</f>
        <v>2291</v>
      </c>
      <c r="P15" s="1">
        <f ca="1">IFERROR(__xludf.DUMMYFUNCTION("""COMPUTED_VALUE"""),1325)</f>
        <v>1325</v>
      </c>
      <c r="Q15" s="1">
        <f ca="1">IFERROR(__xludf.DUMMYFUNCTION("""COMPUTED_VALUE"""),705)</f>
        <v>705</v>
      </c>
      <c r="R15" s="1">
        <f ca="1">IFERROR(__xludf.DUMMYFUNCTION("""COMPUTED_VALUE"""),1707)</f>
        <v>1707</v>
      </c>
      <c r="S15" s="1">
        <f ca="1">IFERROR(__xludf.DUMMYFUNCTION("""COMPUTED_VALUE"""),0.413)</f>
        <v>0.41299999999999998</v>
      </c>
      <c r="T15" s="1">
        <f ca="1">IFERROR(__xludf.DUMMYFUNCTION("""COMPUTED_VALUE"""),145)</f>
        <v>145</v>
      </c>
      <c r="U15" s="1">
        <f ca="1">IFERROR(__xludf.DUMMYFUNCTION("""COMPUTED_VALUE"""),484)</f>
        <v>484</v>
      </c>
      <c r="V15" s="1">
        <f ca="1">IFERROR(__xludf.DUMMYFUNCTION("""COMPUTED_VALUE"""),0.3)</f>
        <v>0.3</v>
      </c>
      <c r="W15" s="1">
        <f ca="1">IFERROR(__xludf.DUMMYFUNCTION("""COMPUTED_VALUE"""),458)</f>
        <v>458</v>
      </c>
      <c r="X15" s="1">
        <f ca="1">IFERROR(__xludf.DUMMYFUNCTION("""COMPUTED_VALUE"""),719)</f>
        <v>719</v>
      </c>
      <c r="Y15" s="1">
        <f ca="1">IFERROR(__xludf.DUMMYFUNCTION("""COMPUTED_VALUE"""),0.637)</f>
        <v>0.63700000000000001</v>
      </c>
      <c r="Z15" s="1">
        <f ca="1">IFERROR(__xludf.DUMMYFUNCTION("""COMPUTED_VALUE"""),364)</f>
        <v>364</v>
      </c>
      <c r="AA15" s="1">
        <f ca="1">IFERROR(__xludf.DUMMYFUNCTION("""COMPUTED_VALUE"""),1003)</f>
        <v>1003</v>
      </c>
      <c r="AB15" s="1">
        <f ca="1">IFERROR(__xludf.DUMMYFUNCTION("""COMPUTED_VALUE"""),367)</f>
        <v>367</v>
      </c>
      <c r="AC15" s="1">
        <f ca="1">IFERROR(__xludf.DUMMYFUNCTION("""COMPUTED_VALUE"""),230)</f>
        <v>230</v>
      </c>
      <c r="AD15" s="1">
        <f ca="1">IFERROR(__xludf.DUMMYFUNCTION("""COMPUTED_VALUE"""),132)</f>
        <v>132</v>
      </c>
      <c r="AE15" s="1">
        <f ca="1">IFERROR(__xludf.DUMMYFUNCTION("""COMPUTED_VALUE"""),491)</f>
        <v>491</v>
      </c>
      <c r="AF15" s="1">
        <f ca="1">IFERROR(__xludf.DUMMYFUNCTION("""COMPUTED_VALUE"""),601)</f>
        <v>601</v>
      </c>
    </row>
    <row r="16" spans="1:32" ht="15.75" customHeight="1" x14ac:dyDescent="0.25">
      <c r="A16" s="1" t="str">
        <f ca="1">IFERROR(__xludf.DUMMYFUNCTION("""COMPUTED_VALUE"""),"Arkansas State")</f>
        <v>Arkansas State</v>
      </c>
      <c r="B16" s="1">
        <f ca="1">IFERROR(__xludf.DUMMYFUNCTION("""COMPUTED_VALUE"""),34)</f>
        <v>34</v>
      </c>
      <c r="C16" s="1">
        <f ca="1">IFERROR(__xludf.DUMMYFUNCTION("""COMPUTED_VALUE"""),14)</f>
        <v>14</v>
      </c>
      <c r="D16" s="1">
        <f ca="1">IFERROR(__xludf.DUMMYFUNCTION("""COMPUTED_VALUE"""),20)</f>
        <v>20</v>
      </c>
      <c r="E16" s="1">
        <f ca="1">IFERROR(__xludf.DUMMYFUNCTION("""COMPUTED_VALUE"""),0.412)</f>
        <v>0.41199999999999998</v>
      </c>
      <c r="F16" s="1">
        <f ca="1">IFERROR(__xludf.DUMMYFUNCTION("""COMPUTED_VALUE"""),-3.18)</f>
        <v>-3.18</v>
      </c>
      <c r="G16" s="1">
        <f ca="1">IFERROR(__xludf.DUMMYFUNCTION("""COMPUTED_VALUE"""),-0.52)</f>
        <v>-0.52</v>
      </c>
      <c r="H16" s="1">
        <f ca="1">IFERROR(__xludf.DUMMYFUNCTION("""COMPUTED_VALUE"""),6)</f>
        <v>6</v>
      </c>
      <c r="I16" s="1">
        <f ca="1">IFERROR(__xludf.DUMMYFUNCTION("""COMPUTED_VALUE"""),10)</f>
        <v>10</v>
      </c>
      <c r="J16" s="1">
        <f ca="1">IFERROR(__xludf.DUMMYFUNCTION("""COMPUTED_VALUE"""),10)</f>
        <v>10</v>
      </c>
      <c r="K16" s="1">
        <f ca="1">IFERROR(__xludf.DUMMYFUNCTION("""COMPUTED_VALUE"""),5)</f>
        <v>5</v>
      </c>
      <c r="L16" s="1">
        <f ca="1">IFERROR(__xludf.DUMMYFUNCTION("""COMPUTED_VALUE"""),2)</f>
        <v>2</v>
      </c>
      <c r="M16" s="1">
        <f ca="1">IFERROR(__xludf.DUMMYFUNCTION("""COMPUTED_VALUE"""),14)</f>
        <v>14</v>
      </c>
      <c r="N16" s="1">
        <f ca="1">IFERROR(__xludf.DUMMYFUNCTION("""COMPUTED_VALUE"""),2198)</f>
        <v>2198</v>
      </c>
      <c r="O16" s="1">
        <f ca="1">IFERROR(__xludf.DUMMYFUNCTION("""COMPUTED_VALUE"""),2239)</f>
        <v>2239</v>
      </c>
      <c r="P16" s="1">
        <f ca="1">IFERROR(__xludf.DUMMYFUNCTION("""COMPUTED_VALUE"""),1370)</f>
        <v>1370</v>
      </c>
      <c r="Q16" s="1">
        <f ca="1">IFERROR(__xludf.DUMMYFUNCTION("""COMPUTED_VALUE"""),765)</f>
        <v>765</v>
      </c>
      <c r="R16" s="1">
        <f ca="1">IFERROR(__xludf.DUMMYFUNCTION("""COMPUTED_VALUE"""),1771)</f>
        <v>1771</v>
      </c>
      <c r="S16" s="1">
        <f ca="1">IFERROR(__xludf.DUMMYFUNCTION("""COMPUTED_VALUE"""),0.432)</f>
        <v>0.432</v>
      </c>
      <c r="T16" s="1">
        <f ca="1">IFERROR(__xludf.DUMMYFUNCTION("""COMPUTED_VALUE"""),176)</f>
        <v>176</v>
      </c>
      <c r="U16" s="1">
        <f ca="1">IFERROR(__xludf.DUMMYFUNCTION("""COMPUTED_VALUE"""),476)</f>
        <v>476</v>
      </c>
      <c r="V16" s="1">
        <f ca="1">IFERROR(__xludf.DUMMYFUNCTION("""COMPUTED_VALUE"""),0.37)</f>
        <v>0.37</v>
      </c>
      <c r="W16" s="1">
        <f ca="1">IFERROR(__xludf.DUMMYFUNCTION("""COMPUTED_VALUE"""),492)</f>
        <v>492</v>
      </c>
      <c r="X16" s="1">
        <f ca="1">IFERROR(__xludf.DUMMYFUNCTION("""COMPUTED_VALUE"""),737)</f>
        <v>737</v>
      </c>
      <c r="Y16" s="1">
        <f ca="1">IFERROR(__xludf.DUMMYFUNCTION("""COMPUTED_VALUE"""),0.668)</f>
        <v>0.66800000000000004</v>
      </c>
      <c r="Z16" s="1">
        <f ca="1">IFERROR(__xludf.DUMMYFUNCTION("""COMPUTED_VALUE"""),392)</f>
        <v>392</v>
      </c>
      <c r="AA16" s="1">
        <f ca="1">IFERROR(__xludf.DUMMYFUNCTION("""COMPUTED_VALUE"""),1030)</f>
        <v>1030</v>
      </c>
      <c r="AB16" s="1">
        <f ca="1">IFERROR(__xludf.DUMMYFUNCTION("""COMPUTED_VALUE"""),329)</f>
        <v>329</v>
      </c>
      <c r="AC16" s="1">
        <f ca="1">IFERROR(__xludf.DUMMYFUNCTION("""COMPUTED_VALUE"""),210)</f>
        <v>210</v>
      </c>
      <c r="AD16" s="1">
        <f ca="1">IFERROR(__xludf.DUMMYFUNCTION("""COMPUTED_VALUE"""),78)</f>
        <v>78</v>
      </c>
      <c r="AE16" s="1">
        <f ca="1">IFERROR(__xludf.DUMMYFUNCTION("""COMPUTED_VALUE"""),460)</f>
        <v>460</v>
      </c>
      <c r="AF16" s="1">
        <f ca="1">IFERROR(__xludf.DUMMYFUNCTION("""COMPUTED_VALUE"""),533)</f>
        <v>533</v>
      </c>
    </row>
    <row r="17" spans="1:32" ht="15.75" customHeight="1" x14ac:dyDescent="0.25">
      <c r="A17" s="1" t="str">
        <f ca="1">IFERROR(__xludf.DUMMYFUNCTION("""COMPUTED_VALUE"""),"Arkansas")</f>
        <v>Arkansas</v>
      </c>
      <c r="B17" s="1">
        <f ca="1">IFERROR(__xludf.DUMMYFUNCTION("""COMPUTED_VALUE"""),32)</f>
        <v>32</v>
      </c>
      <c r="C17" s="1">
        <f ca="1">IFERROR(__xludf.DUMMYFUNCTION("""COMPUTED_VALUE"""),18)</f>
        <v>18</v>
      </c>
      <c r="D17" s="1">
        <f ca="1">IFERROR(__xludf.DUMMYFUNCTION("""COMPUTED_VALUE"""),14)</f>
        <v>14</v>
      </c>
      <c r="E17" s="1">
        <f ca="1">IFERROR(__xludf.DUMMYFUNCTION("""COMPUTED_VALUE"""),0.563)</f>
        <v>0.56299999999999994</v>
      </c>
      <c r="F17" s="1">
        <f ca="1">IFERROR(__xludf.DUMMYFUNCTION("""COMPUTED_VALUE"""),5.76)</f>
        <v>5.76</v>
      </c>
      <c r="G17" s="1">
        <f ca="1">IFERROR(__xludf.DUMMYFUNCTION("""COMPUTED_VALUE"""),3.63)</f>
        <v>3.63</v>
      </c>
      <c r="H17" s="1">
        <f ca="1">IFERROR(__xludf.DUMMYFUNCTION("""COMPUTED_VALUE"""),6)</f>
        <v>6</v>
      </c>
      <c r="I17" s="1">
        <f ca="1">IFERROR(__xludf.DUMMYFUNCTION("""COMPUTED_VALUE"""),10)</f>
        <v>10</v>
      </c>
      <c r="J17" s="1">
        <f ca="1">IFERROR(__xludf.DUMMYFUNCTION("""COMPUTED_VALUE"""),17)</f>
        <v>17</v>
      </c>
      <c r="K17" s="1">
        <f ca="1">IFERROR(__xludf.DUMMYFUNCTION("""COMPUTED_VALUE"""),3)</f>
        <v>3</v>
      </c>
      <c r="L17" s="1">
        <f ca="1">IFERROR(__xludf.DUMMYFUNCTION("""COMPUTED_VALUE"""),1)</f>
        <v>1</v>
      </c>
      <c r="M17" s="1">
        <f ca="1">IFERROR(__xludf.DUMMYFUNCTION("""COMPUTED_VALUE"""),9)</f>
        <v>9</v>
      </c>
      <c r="N17" s="1">
        <f ca="1">IFERROR(__xludf.DUMMYFUNCTION("""COMPUTED_VALUE"""),2299)</f>
        <v>2299</v>
      </c>
      <c r="O17" s="1">
        <f ca="1">IFERROR(__xludf.DUMMYFUNCTION("""COMPUTED_VALUE"""),2231)</f>
        <v>2231</v>
      </c>
      <c r="P17" s="1">
        <f ca="1">IFERROR(__xludf.DUMMYFUNCTION("""COMPUTED_VALUE"""),1280)</f>
        <v>1280</v>
      </c>
      <c r="Q17" s="1">
        <f ca="1">IFERROR(__xludf.DUMMYFUNCTION("""COMPUTED_VALUE"""),808)</f>
        <v>808</v>
      </c>
      <c r="R17" s="1">
        <f ca="1">IFERROR(__xludf.DUMMYFUNCTION("""COMPUTED_VALUE"""),1860)</f>
        <v>1860</v>
      </c>
      <c r="S17" s="1">
        <f ca="1">IFERROR(__xludf.DUMMYFUNCTION("""COMPUTED_VALUE"""),0.434)</f>
        <v>0.434</v>
      </c>
      <c r="T17" s="1">
        <f ca="1">IFERROR(__xludf.DUMMYFUNCTION("""COMPUTED_VALUE"""),205)</f>
        <v>205</v>
      </c>
      <c r="U17" s="1">
        <f ca="1">IFERROR(__xludf.DUMMYFUNCTION("""COMPUTED_VALUE"""),580)</f>
        <v>580</v>
      </c>
      <c r="V17" s="1">
        <f ca="1">IFERROR(__xludf.DUMMYFUNCTION("""COMPUTED_VALUE"""),0.353)</f>
        <v>0.35299999999999998</v>
      </c>
      <c r="W17" s="1">
        <f ca="1">IFERROR(__xludf.DUMMYFUNCTION("""COMPUTED_VALUE"""),478)</f>
        <v>478</v>
      </c>
      <c r="X17" s="1">
        <f ca="1">IFERROR(__xludf.DUMMYFUNCTION("""COMPUTED_VALUE"""),692)</f>
        <v>692</v>
      </c>
      <c r="Y17" s="1">
        <f ca="1">IFERROR(__xludf.DUMMYFUNCTION("""COMPUTED_VALUE"""),0.691)</f>
        <v>0.69099999999999995</v>
      </c>
      <c r="Z17" s="1">
        <f ca="1">IFERROR(__xludf.DUMMYFUNCTION("""COMPUTED_VALUE"""),363)</f>
        <v>363</v>
      </c>
      <c r="AA17" s="1">
        <f ca="1">IFERROR(__xludf.DUMMYFUNCTION("""COMPUTED_VALUE"""),971)</f>
        <v>971</v>
      </c>
      <c r="AB17" s="1">
        <f ca="1">IFERROR(__xludf.DUMMYFUNCTION("""COMPUTED_VALUE"""),433)</f>
        <v>433</v>
      </c>
      <c r="AC17" s="1">
        <f ca="1">IFERROR(__xludf.DUMMYFUNCTION("""COMPUTED_VALUE"""),265)</f>
        <v>265</v>
      </c>
      <c r="AD17" s="1">
        <f ca="1">IFERROR(__xludf.DUMMYFUNCTION("""COMPUTED_VALUE"""),159)</f>
        <v>159</v>
      </c>
      <c r="AE17" s="1">
        <f ca="1">IFERROR(__xludf.DUMMYFUNCTION("""COMPUTED_VALUE"""),415)</f>
        <v>415</v>
      </c>
      <c r="AF17" s="1">
        <f ca="1">IFERROR(__xludf.DUMMYFUNCTION("""COMPUTED_VALUE"""),618)</f>
        <v>618</v>
      </c>
    </row>
    <row r="18" spans="1:32" ht="15.75" customHeight="1" x14ac:dyDescent="0.25">
      <c r="A18" s="1" t="str">
        <f ca="1">IFERROR(__xludf.DUMMYFUNCTION("""COMPUTED_VALUE"""),"Army")</f>
        <v>Army</v>
      </c>
      <c r="B18" s="1">
        <f ca="1">IFERROR(__xludf.DUMMYFUNCTION("""COMPUTED_VALUE"""),30)</f>
        <v>30</v>
      </c>
      <c r="C18" s="1">
        <f ca="1">IFERROR(__xludf.DUMMYFUNCTION("""COMPUTED_VALUE"""),12)</f>
        <v>12</v>
      </c>
      <c r="D18" s="1">
        <f ca="1">IFERROR(__xludf.DUMMYFUNCTION("""COMPUTED_VALUE"""),18)</f>
        <v>18</v>
      </c>
      <c r="E18" s="1">
        <f ca="1">IFERROR(__xludf.DUMMYFUNCTION("""COMPUTED_VALUE"""),0.4)</f>
        <v>0.4</v>
      </c>
      <c r="F18" s="1">
        <f ca="1">IFERROR(__xludf.DUMMYFUNCTION("""COMPUTED_VALUE"""),-11.26)</f>
        <v>-11.26</v>
      </c>
      <c r="G18" s="1">
        <f ca="1">IFERROR(__xludf.DUMMYFUNCTION("""COMPUTED_VALUE"""),-7.16)</f>
        <v>-7.16</v>
      </c>
      <c r="H18" s="1">
        <f ca="1">IFERROR(__xludf.DUMMYFUNCTION("""COMPUTED_VALUE"""),5)</f>
        <v>5</v>
      </c>
      <c r="I18" s="1">
        <f ca="1">IFERROR(__xludf.DUMMYFUNCTION("""COMPUTED_VALUE"""),9)</f>
        <v>9</v>
      </c>
      <c r="J18" s="1">
        <f ca="1">IFERROR(__xludf.DUMMYFUNCTION("""COMPUTED_VALUE"""),9)</f>
        <v>9</v>
      </c>
      <c r="K18" s="1">
        <f ca="1">IFERROR(__xludf.DUMMYFUNCTION("""COMPUTED_VALUE"""),6)</f>
        <v>6</v>
      </c>
      <c r="L18" s="1">
        <f ca="1">IFERROR(__xludf.DUMMYFUNCTION("""COMPUTED_VALUE"""),3)</f>
        <v>3</v>
      </c>
      <c r="M18" s="1">
        <f ca="1">IFERROR(__xludf.DUMMYFUNCTION("""COMPUTED_VALUE"""),11)</f>
        <v>11</v>
      </c>
      <c r="N18" s="1">
        <f ca="1">IFERROR(__xludf.DUMMYFUNCTION("""COMPUTED_VALUE"""),2027)</f>
        <v>2027</v>
      </c>
      <c r="O18" s="1">
        <f ca="1">IFERROR(__xludf.DUMMYFUNCTION("""COMPUTED_VALUE"""),2091)</f>
        <v>2091</v>
      </c>
      <c r="P18" s="1">
        <f ca="1">IFERROR(__xludf.DUMMYFUNCTION("""COMPUTED_VALUE"""),1215)</f>
        <v>1215</v>
      </c>
      <c r="Q18" s="1">
        <f ca="1">IFERROR(__xludf.DUMMYFUNCTION("""COMPUTED_VALUE"""),678)</f>
        <v>678</v>
      </c>
      <c r="R18" s="1">
        <f ca="1">IFERROR(__xludf.DUMMYFUNCTION("""COMPUTED_VALUE"""),1608)</f>
        <v>1608</v>
      </c>
      <c r="S18" s="1">
        <f ca="1">IFERROR(__xludf.DUMMYFUNCTION("""COMPUTED_VALUE"""),0.422)</f>
        <v>0.42199999999999999</v>
      </c>
      <c r="T18" s="1">
        <f ca="1">IFERROR(__xludf.DUMMYFUNCTION("""COMPUTED_VALUE"""),238)</f>
        <v>238</v>
      </c>
      <c r="U18" s="1">
        <f ca="1">IFERROR(__xludf.DUMMYFUNCTION("""COMPUTED_VALUE"""),671)</f>
        <v>671</v>
      </c>
      <c r="V18" s="1">
        <f ca="1">IFERROR(__xludf.DUMMYFUNCTION("""COMPUTED_VALUE"""),0.355)</f>
        <v>0.35499999999999998</v>
      </c>
      <c r="W18" s="1">
        <f ca="1">IFERROR(__xludf.DUMMYFUNCTION("""COMPUTED_VALUE"""),433)</f>
        <v>433</v>
      </c>
      <c r="X18" s="1">
        <f ca="1">IFERROR(__xludf.DUMMYFUNCTION("""COMPUTED_VALUE"""),596)</f>
        <v>596</v>
      </c>
      <c r="Y18" s="1">
        <f ca="1">IFERROR(__xludf.DUMMYFUNCTION("""COMPUTED_VALUE"""),0.727)</f>
        <v>0.72699999999999998</v>
      </c>
      <c r="Z18" s="1">
        <f ca="1">IFERROR(__xludf.DUMMYFUNCTION("""COMPUTED_VALUE"""),247)</f>
        <v>247</v>
      </c>
      <c r="AA18" s="1">
        <f ca="1">IFERROR(__xludf.DUMMYFUNCTION("""COMPUTED_VALUE"""),860)</f>
        <v>860</v>
      </c>
      <c r="AB18" s="1">
        <f ca="1">IFERROR(__xludf.DUMMYFUNCTION("""COMPUTED_VALUE"""),403)</f>
        <v>403</v>
      </c>
      <c r="AC18" s="1">
        <f ca="1">IFERROR(__xludf.DUMMYFUNCTION("""COMPUTED_VALUE"""),185)</f>
        <v>185</v>
      </c>
      <c r="AD18" s="1">
        <f ca="1">IFERROR(__xludf.DUMMYFUNCTION("""COMPUTED_VALUE"""),54)</f>
        <v>54</v>
      </c>
      <c r="AE18" s="1">
        <f ca="1">IFERROR(__xludf.DUMMYFUNCTION("""COMPUTED_VALUE"""),467)</f>
        <v>467</v>
      </c>
      <c r="AF18" s="1">
        <f ca="1">IFERROR(__xludf.DUMMYFUNCTION("""COMPUTED_VALUE"""),581)</f>
        <v>581</v>
      </c>
    </row>
    <row r="19" spans="1:32" ht="12.5" x14ac:dyDescent="0.25">
      <c r="A19" s="1" t="str">
        <f ca="1">IFERROR(__xludf.DUMMYFUNCTION("""COMPUTED_VALUE"""),"Auburn")</f>
        <v>Auburn</v>
      </c>
      <c r="B19" s="1">
        <f ca="1">IFERROR(__xludf.DUMMYFUNCTION("""COMPUTED_VALUE"""),31)</f>
        <v>31</v>
      </c>
      <c r="C19" s="1">
        <f ca="1">IFERROR(__xludf.DUMMYFUNCTION("""COMPUTED_VALUE"""),15)</f>
        <v>15</v>
      </c>
      <c r="D19" s="1">
        <f ca="1">IFERROR(__xludf.DUMMYFUNCTION("""COMPUTED_VALUE"""),16)</f>
        <v>16</v>
      </c>
      <c r="E19" s="1">
        <f ca="1">IFERROR(__xludf.DUMMYFUNCTION("""COMPUTED_VALUE"""),0.484)</f>
        <v>0.48399999999999999</v>
      </c>
      <c r="F19" s="1">
        <f ca="1">IFERROR(__xludf.DUMMYFUNCTION("""COMPUTED_VALUE"""),2.52)</f>
        <v>2.52</v>
      </c>
      <c r="G19" s="1">
        <f ca="1">IFERROR(__xludf.DUMMYFUNCTION("""COMPUTED_VALUE"""),3.84)</f>
        <v>3.84</v>
      </c>
      <c r="H19" s="1">
        <f ca="1">IFERROR(__xludf.DUMMYFUNCTION("""COMPUTED_VALUE"""),5)</f>
        <v>5</v>
      </c>
      <c r="I19" s="1">
        <f ca="1">IFERROR(__xludf.DUMMYFUNCTION("""COMPUTED_VALUE"""),11)</f>
        <v>11</v>
      </c>
      <c r="J19" s="1">
        <f ca="1">IFERROR(__xludf.DUMMYFUNCTION("""COMPUTED_VALUE"""),14)</f>
        <v>14</v>
      </c>
      <c r="K19" s="1">
        <f ca="1">IFERROR(__xludf.DUMMYFUNCTION("""COMPUTED_VALUE"""),3)</f>
        <v>3</v>
      </c>
      <c r="L19" s="1">
        <f ca="1">IFERROR(__xludf.DUMMYFUNCTION("""COMPUTED_VALUE"""),1)</f>
        <v>1</v>
      </c>
      <c r="M19" s="1">
        <f ca="1">IFERROR(__xludf.DUMMYFUNCTION("""COMPUTED_VALUE"""),10)</f>
        <v>10</v>
      </c>
      <c r="N19" s="1">
        <f ca="1">IFERROR(__xludf.DUMMYFUNCTION("""COMPUTED_VALUE"""),1942)</f>
        <v>1942</v>
      </c>
      <c r="O19" s="1">
        <f ca="1">IFERROR(__xludf.DUMMYFUNCTION("""COMPUTED_VALUE"""),1983)</f>
        <v>1983</v>
      </c>
      <c r="P19" s="1">
        <f ca="1">IFERROR(__xludf.DUMMYFUNCTION("""COMPUTED_VALUE"""),1255)</f>
        <v>1255</v>
      </c>
      <c r="Q19" s="1">
        <f ca="1">IFERROR(__xludf.DUMMYFUNCTION("""COMPUTED_VALUE"""),696)</f>
        <v>696</v>
      </c>
      <c r="R19" s="1">
        <f ca="1">IFERROR(__xludf.DUMMYFUNCTION("""COMPUTED_VALUE"""),1669)</f>
        <v>1669</v>
      </c>
      <c r="S19" s="1">
        <f ca="1">IFERROR(__xludf.DUMMYFUNCTION("""COMPUTED_VALUE"""),0.417)</f>
        <v>0.41699999999999998</v>
      </c>
      <c r="T19" s="1">
        <f ca="1">IFERROR(__xludf.DUMMYFUNCTION("""COMPUTED_VALUE"""),156)</f>
        <v>156</v>
      </c>
      <c r="U19" s="1">
        <f ca="1">IFERROR(__xludf.DUMMYFUNCTION("""COMPUTED_VALUE"""),517)</f>
        <v>517</v>
      </c>
      <c r="V19" s="1">
        <f ca="1">IFERROR(__xludf.DUMMYFUNCTION("""COMPUTED_VALUE"""),0.302)</f>
        <v>0.30199999999999999</v>
      </c>
      <c r="W19" s="1">
        <f ca="1">IFERROR(__xludf.DUMMYFUNCTION("""COMPUTED_VALUE"""),394)</f>
        <v>394</v>
      </c>
      <c r="X19" s="1">
        <f ca="1">IFERROR(__xludf.DUMMYFUNCTION("""COMPUTED_VALUE"""),608)</f>
        <v>608</v>
      </c>
      <c r="Y19" s="1">
        <f ca="1">IFERROR(__xludf.DUMMYFUNCTION("""COMPUTED_VALUE"""),0.648)</f>
        <v>0.64800000000000002</v>
      </c>
      <c r="Z19" s="1">
        <f ca="1">IFERROR(__xludf.DUMMYFUNCTION("""COMPUTED_VALUE"""),345)</f>
        <v>345</v>
      </c>
      <c r="AA19" s="1">
        <f ca="1">IFERROR(__xludf.DUMMYFUNCTION("""COMPUTED_VALUE"""),985)</f>
        <v>985</v>
      </c>
      <c r="AB19" s="1">
        <f ca="1">IFERROR(__xludf.DUMMYFUNCTION("""COMPUTED_VALUE"""),386)</f>
        <v>386</v>
      </c>
      <c r="AC19" s="1">
        <f ca="1">IFERROR(__xludf.DUMMYFUNCTION("""COMPUTED_VALUE"""),199)</f>
        <v>199</v>
      </c>
      <c r="AD19" s="1">
        <f ca="1">IFERROR(__xludf.DUMMYFUNCTION("""COMPUTED_VALUE"""),149)</f>
        <v>149</v>
      </c>
      <c r="AE19" s="1">
        <f ca="1">IFERROR(__xludf.DUMMYFUNCTION("""COMPUTED_VALUE"""),433)</f>
        <v>433</v>
      </c>
      <c r="AF19" s="1">
        <f ca="1">IFERROR(__xludf.DUMMYFUNCTION("""COMPUTED_VALUE"""),573)</f>
        <v>573</v>
      </c>
    </row>
    <row r="20" spans="1:32" ht="12.5" x14ac:dyDescent="0.25">
      <c r="A20" s="1" t="str">
        <f ca="1">IFERROR(__xludf.DUMMYFUNCTION("""COMPUTED_VALUE"""),"Austin Peay")</f>
        <v>Austin Peay</v>
      </c>
      <c r="B20" s="1">
        <f ca="1">IFERROR(__xludf.DUMMYFUNCTION("""COMPUTED_VALUE"""),32)</f>
        <v>32</v>
      </c>
      <c r="C20" s="1">
        <f ca="1">IFERROR(__xludf.DUMMYFUNCTION("""COMPUTED_VALUE"""),12)</f>
        <v>12</v>
      </c>
      <c r="D20" s="1">
        <f ca="1">IFERROR(__xludf.DUMMYFUNCTION("""COMPUTED_VALUE"""),20)</f>
        <v>20</v>
      </c>
      <c r="E20" s="1">
        <f ca="1">IFERROR(__xludf.DUMMYFUNCTION("""COMPUTED_VALUE"""),0.375)</f>
        <v>0.375</v>
      </c>
      <c r="F20" s="1">
        <f ca="1">IFERROR(__xludf.DUMMYFUNCTION("""COMPUTED_VALUE"""),-4.86)</f>
        <v>-4.8600000000000003</v>
      </c>
      <c r="G20" s="1">
        <f ca="1">IFERROR(__xludf.DUMMYFUNCTION("""COMPUTED_VALUE"""),-0.66)</f>
        <v>-0.66</v>
      </c>
      <c r="H20" s="1">
        <f ca="1">IFERROR(__xludf.DUMMYFUNCTION("""COMPUTED_VALUE"""),8)</f>
        <v>8</v>
      </c>
      <c r="I20" s="1">
        <f ca="1">IFERROR(__xludf.DUMMYFUNCTION("""COMPUTED_VALUE"""),8)</f>
        <v>8</v>
      </c>
      <c r="J20" s="1">
        <f ca="1">IFERROR(__xludf.DUMMYFUNCTION("""COMPUTED_VALUE"""),8)</f>
        <v>8</v>
      </c>
      <c r="K20" s="1">
        <f ca="1">IFERROR(__xludf.DUMMYFUNCTION("""COMPUTED_VALUE"""),5)</f>
        <v>5</v>
      </c>
      <c r="L20" s="1">
        <f ca="1">IFERROR(__xludf.DUMMYFUNCTION("""COMPUTED_VALUE"""),4)</f>
        <v>4</v>
      </c>
      <c r="M20" s="1">
        <f ca="1">IFERROR(__xludf.DUMMYFUNCTION("""COMPUTED_VALUE"""),12)</f>
        <v>12</v>
      </c>
      <c r="N20" s="1">
        <f ca="1">IFERROR(__xludf.DUMMYFUNCTION("""COMPUTED_VALUE"""),2216)</f>
        <v>2216</v>
      </c>
      <c r="O20" s="1">
        <f ca="1">IFERROR(__xludf.DUMMYFUNCTION("""COMPUTED_VALUE"""),2324)</f>
        <v>2324</v>
      </c>
      <c r="P20" s="1">
        <f ca="1">IFERROR(__xludf.DUMMYFUNCTION("""COMPUTED_VALUE"""),1290)</f>
        <v>1290</v>
      </c>
      <c r="Q20" s="1">
        <f ca="1">IFERROR(__xludf.DUMMYFUNCTION("""COMPUTED_VALUE"""),792)</f>
        <v>792</v>
      </c>
      <c r="R20" s="1">
        <f ca="1">IFERROR(__xludf.DUMMYFUNCTION("""COMPUTED_VALUE"""),1781)</f>
        <v>1781</v>
      </c>
      <c r="S20" s="1">
        <f ca="1">IFERROR(__xludf.DUMMYFUNCTION("""COMPUTED_VALUE"""),0.445)</f>
        <v>0.44500000000000001</v>
      </c>
      <c r="T20" s="1">
        <f ca="1">IFERROR(__xludf.DUMMYFUNCTION("""COMPUTED_VALUE"""),139)</f>
        <v>139</v>
      </c>
      <c r="U20" s="1">
        <f ca="1">IFERROR(__xludf.DUMMYFUNCTION("""COMPUTED_VALUE"""),433)</f>
        <v>433</v>
      </c>
      <c r="V20" s="1">
        <f ca="1">IFERROR(__xludf.DUMMYFUNCTION("""COMPUTED_VALUE"""),0.321)</f>
        <v>0.32100000000000001</v>
      </c>
      <c r="W20" s="1">
        <f ca="1">IFERROR(__xludf.DUMMYFUNCTION("""COMPUTED_VALUE"""),493)</f>
        <v>493</v>
      </c>
      <c r="X20" s="1">
        <f ca="1">IFERROR(__xludf.DUMMYFUNCTION("""COMPUTED_VALUE"""),735)</f>
        <v>735</v>
      </c>
      <c r="Y20" s="1">
        <f ca="1">IFERROR(__xludf.DUMMYFUNCTION("""COMPUTED_VALUE"""),0.671)</f>
        <v>0.67100000000000004</v>
      </c>
      <c r="Z20" s="1">
        <f ca="1">IFERROR(__xludf.DUMMYFUNCTION("""COMPUTED_VALUE"""),388)</f>
        <v>388</v>
      </c>
      <c r="AA20" s="1">
        <f ca="1">IFERROR(__xludf.DUMMYFUNCTION("""COMPUTED_VALUE"""),982)</f>
        <v>982</v>
      </c>
      <c r="AB20" s="1">
        <f ca="1">IFERROR(__xludf.DUMMYFUNCTION("""COMPUTED_VALUE"""),388)</f>
        <v>388</v>
      </c>
      <c r="AC20" s="1">
        <f ca="1">IFERROR(__xludf.DUMMYFUNCTION("""COMPUTED_VALUE"""),230)</f>
        <v>230</v>
      </c>
      <c r="AD20" s="1">
        <f ca="1">IFERROR(__xludf.DUMMYFUNCTION("""COMPUTED_VALUE"""),115)</f>
        <v>115</v>
      </c>
      <c r="AE20" s="1">
        <f ca="1">IFERROR(__xludf.DUMMYFUNCTION("""COMPUTED_VALUE"""),466)</f>
        <v>466</v>
      </c>
      <c r="AF20" s="1">
        <f ca="1">IFERROR(__xludf.DUMMYFUNCTION("""COMPUTED_VALUE"""),574)</f>
        <v>574</v>
      </c>
    </row>
    <row r="21" spans="1:32" ht="12.5" x14ac:dyDescent="0.25">
      <c r="A21" s="1" t="str">
        <f ca="1">IFERROR(__xludf.DUMMYFUNCTION("""COMPUTED_VALUE"""),"Ball State")</f>
        <v>Ball State</v>
      </c>
      <c r="B21" s="1">
        <f ca="1">IFERROR(__xludf.DUMMYFUNCTION("""COMPUTED_VALUE"""),30)</f>
        <v>30</v>
      </c>
      <c r="C21" s="1">
        <f ca="1">IFERROR(__xludf.DUMMYFUNCTION("""COMPUTED_VALUE"""),15)</f>
        <v>15</v>
      </c>
      <c r="D21" s="1">
        <f ca="1">IFERROR(__xludf.DUMMYFUNCTION("""COMPUTED_VALUE"""),15)</f>
        <v>15</v>
      </c>
      <c r="E21" s="1">
        <f ca="1">IFERROR(__xludf.DUMMYFUNCTION("""COMPUTED_VALUE"""),0.5)</f>
        <v>0.5</v>
      </c>
      <c r="F21" s="1">
        <f ca="1">IFERROR(__xludf.DUMMYFUNCTION("""COMPUTED_VALUE"""),-2.93)</f>
        <v>-2.93</v>
      </c>
      <c r="G21" s="1">
        <f ca="1">IFERROR(__xludf.DUMMYFUNCTION("""COMPUTED_VALUE"""),-4.45)</f>
        <v>-4.45</v>
      </c>
      <c r="H21" s="1">
        <f ca="1">IFERROR(__xludf.DUMMYFUNCTION("""COMPUTED_VALUE"""),6)</f>
        <v>6</v>
      </c>
      <c r="I21" s="1">
        <f ca="1">IFERROR(__xludf.DUMMYFUNCTION("""COMPUTED_VALUE"""),10)</f>
        <v>10</v>
      </c>
      <c r="J21" s="1">
        <f ca="1">IFERROR(__xludf.DUMMYFUNCTION("""COMPUTED_VALUE"""),10)</f>
        <v>10</v>
      </c>
      <c r="K21" s="1">
        <f ca="1">IFERROR(__xludf.DUMMYFUNCTION("""COMPUTED_VALUE"""),5)</f>
        <v>5</v>
      </c>
      <c r="L21" s="1">
        <f ca="1">IFERROR(__xludf.DUMMYFUNCTION("""COMPUTED_VALUE"""),5)</f>
        <v>5</v>
      </c>
      <c r="M21" s="1">
        <f ca="1">IFERROR(__xludf.DUMMYFUNCTION("""COMPUTED_VALUE"""),9)</f>
        <v>9</v>
      </c>
      <c r="N21" s="1">
        <f ca="1">IFERROR(__xludf.DUMMYFUNCTION("""COMPUTED_VALUE"""),1901)</f>
        <v>1901</v>
      </c>
      <c r="O21" s="1">
        <f ca="1">IFERROR(__xludf.DUMMYFUNCTION("""COMPUTED_VALUE"""),1822)</f>
        <v>1822</v>
      </c>
      <c r="P21" s="1">
        <f ca="1">IFERROR(__xludf.DUMMYFUNCTION("""COMPUTED_VALUE"""),1200)</f>
        <v>1200</v>
      </c>
      <c r="Q21" s="1">
        <f ca="1">IFERROR(__xludf.DUMMYFUNCTION("""COMPUTED_VALUE"""),647)</f>
        <v>647</v>
      </c>
      <c r="R21" s="1">
        <f ca="1">IFERROR(__xludf.DUMMYFUNCTION("""COMPUTED_VALUE"""),1536)</f>
        <v>1536</v>
      </c>
      <c r="S21" s="1">
        <f ca="1">IFERROR(__xludf.DUMMYFUNCTION("""COMPUTED_VALUE"""),0.421)</f>
        <v>0.42099999999999999</v>
      </c>
      <c r="T21" s="1">
        <f ca="1">IFERROR(__xludf.DUMMYFUNCTION("""COMPUTED_VALUE"""),191)</f>
        <v>191</v>
      </c>
      <c r="U21" s="1">
        <f ca="1">IFERROR(__xludf.DUMMYFUNCTION("""COMPUTED_VALUE"""),581)</f>
        <v>581</v>
      </c>
      <c r="V21" s="1">
        <f ca="1">IFERROR(__xludf.DUMMYFUNCTION("""COMPUTED_VALUE"""),0.329)</f>
        <v>0.32900000000000001</v>
      </c>
      <c r="W21" s="1">
        <f ca="1">IFERROR(__xludf.DUMMYFUNCTION("""COMPUTED_VALUE"""),416)</f>
        <v>416</v>
      </c>
      <c r="X21" s="1">
        <f ca="1">IFERROR(__xludf.DUMMYFUNCTION("""COMPUTED_VALUE"""),604)</f>
        <v>604</v>
      </c>
      <c r="Y21" s="1">
        <f ca="1">IFERROR(__xludf.DUMMYFUNCTION("""COMPUTED_VALUE"""),0.689)</f>
        <v>0.68899999999999995</v>
      </c>
      <c r="Z21" s="1">
        <f ca="1">IFERROR(__xludf.DUMMYFUNCTION("""COMPUTED_VALUE"""),336)</f>
        <v>336</v>
      </c>
      <c r="AA21" s="1">
        <f ca="1">IFERROR(__xludf.DUMMYFUNCTION("""COMPUTED_VALUE"""),941)</f>
        <v>941</v>
      </c>
      <c r="AB21" s="1">
        <f ca="1">IFERROR(__xludf.DUMMYFUNCTION("""COMPUTED_VALUE"""),400)</f>
        <v>400</v>
      </c>
      <c r="AC21" s="1">
        <f ca="1">IFERROR(__xludf.DUMMYFUNCTION("""COMPUTED_VALUE"""),182)</f>
        <v>182</v>
      </c>
      <c r="AD21" s="1">
        <f ca="1">IFERROR(__xludf.DUMMYFUNCTION("""COMPUTED_VALUE"""),79)</f>
        <v>79</v>
      </c>
      <c r="AE21" s="1">
        <f ca="1">IFERROR(__xludf.DUMMYFUNCTION("""COMPUTED_VALUE"""),388)</f>
        <v>388</v>
      </c>
      <c r="AF21" s="1">
        <f ca="1">IFERROR(__xludf.DUMMYFUNCTION("""COMPUTED_VALUE"""),501)</f>
        <v>501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IFERROR(__xludf.DUMMYFUNCTION("""COMPUTED_VALUE"""),"BaylorNCAA")</f>
        <v>BaylorNCAA</v>
      </c>
      <c r="B24" s="1">
        <f ca="1">IFERROR(__xludf.DUMMYFUNCTION("""COMPUTED_VALUE"""),38)</f>
        <v>38</v>
      </c>
      <c r="C24" s="1">
        <f ca="1">IFERROR(__xludf.DUMMYFUNCTION("""COMPUTED_VALUE"""),30)</f>
        <v>30</v>
      </c>
      <c r="D24" s="1">
        <f ca="1">IFERROR(__xludf.DUMMYFUNCTION("""COMPUTED_VALUE"""),8)</f>
        <v>8</v>
      </c>
      <c r="E24" s="1">
        <f ca="1">IFERROR(__xludf.DUMMYFUNCTION("""COMPUTED_VALUE"""),0.789)</f>
        <v>0.78900000000000003</v>
      </c>
      <c r="F24" s="1">
        <f ca="1">IFERROR(__xludf.DUMMYFUNCTION("""COMPUTED_VALUE"""),16.54)</f>
        <v>16.54</v>
      </c>
      <c r="G24" s="1">
        <f ca="1">IFERROR(__xludf.DUMMYFUNCTION("""COMPUTED_VALUE"""),8.03)</f>
        <v>8.0299999999999994</v>
      </c>
      <c r="H24" s="1">
        <f ca="1">IFERROR(__xludf.DUMMYFUNCTION("""COMPUTED_VALUE"""),12)</f>
        <v>12</v>
      </c>
      <c r="I24" s="1">
        <f ca="1">IFERROR(__xludf.DUMMYFUNCTION("""COMPUTED_VALUE"""),6)</f>
        <v>6</v>
      </c>
      <c r="J24" s="1">
        <f ca="1">IFERROR(__xludf.DUMMYFUNCTION("""COMPUTED_VALUE"""),14)</f>
        <v>14</v>
      </c>
      <c r="K24" s="1">
        <f ca="1">IFERROR(__xludf.DUMMYFUNCTION("""COMPUTED_VALUE"""),3)</f>
        <v>3</v>
      </c>
      <c r="L24" s="1">
        <f ca="1">IFERROR(__xludf.DUMMYFUNCTION("""COMPUTED_VALUE"""),8)</f>
        <v>8</v>
      </c>
      <c r="M24" s="1">
        <f ca="1">IFERROR(__xludf.DUMMYFUNCTION("""COMPUTED_VALUE"""),3)</f>
        <v>3</v>
      </c>
      <c r="N24" s="1">
        <f ca="1">IFERROR(__xludf.DUMMYFUNCTION("""COMPUTED_VALUE"""),2839)</f>
        <v>2839</v>
      </c>
      <c r="O24" s="1">
        <f ca="1">IFERROR(__xludf.DUMMYFUNCTION("""COMPUTED_VALUE"""),2483)</f>
        <v>2483</v>
      </c>
      <c r="P24" s="1">
        <f ca="1">IFERROR(__xludf.DUMMYFUNCTION("""COMPUTED_VALUE"""),1525)</f>
        <v>1525</v>
      </c>
      <c r="Q24" s="1">
        <f ca="1">IFERROR(__xludf.DUMMYFUNCTION("""COMPUTED_VALUE"""),1004)</f>
        <v>1004</v>
      </c>
      <c r="R24" s="1">
        <f ca="1">IFERROR(__xludf.DUMMYFUNCTION("""COMPUTED_VALUE"""),2148)</f>
        <v>2148</v>
      </c>
      <c r="S24" s="1">
        <f ca="1">IFERROR(__xludf.DUMMYFUNCTION("""COMPUTED_VALUE"""),0.467)</f>
        <v>0.46700000000000003</v>
      </c>
      <c r="T24" s="1">
        <f ca="1">IFERROR(__xludf.DUMMYFUNCTION("""COMPUTED_VALUE"""),259)</f>
        <v>259</v>
      </c>
      <c r="U24" s="1">
        <f ca="1">IFERROR(__xludf.DUMMYFUNCTION("""COMPUTED_VALUE"""),676)</f>
        <v>676</v>
      </c>
      <c r="V24" s="1">
        <f ca="1">IFERROR(__xludf.DUMMYFUNCTION("""COMPUTED_VALUE"""),0.383)</f>
        <v>0.38300000000000001</v>
      </c>
      <c r="W24" s="1">
        <f ca="1">IFERROR(__xludf.DUMMYFUNCTION("""COMPUTED_VALUE"""),572)</f>
        <v>572</v>
      </c>
      <c r="X24" s="1">
        <f ca="1">IFERROR(__xludf.DUMMYFUNCTION("""COMPUTED_VALUE"""),759)</f>
        <v>759</v>
      </c>
      <c r="Y24" s="1">
        <f ca="1">IFERROR(__xludf.DUMMYFUNCTION("""COMPUTED_VALUE"""),0.754)</f>
        <v>0.754</v>
      </c>
      <c r="Z24" s="1">
        <f ca="1">IFERROR(__xludf.DUMMYFUNCTION("""COMPUTED_VALUE"""),470)</f>
        <v>470</v>
      </c>
      <c r="AA24" s="1">
        <f ca="1">IFERROR(__xludf.DUMMYFUNCTION("""COMPUTED_VALUE"""),1280)</f>
        <v>1280</v>
      </c>
      <c r="AB24" s="1">
        <f ca="1">IFERROR(__xludf.DUMMYFUNCTION("""COMPUTED_VALUE"""),570)</f>
        <v>570</v>
      </c>
      <c r="AC24" s="1">
        <f ca="1">IFERROR(__xludf.DUMMYFUNCTION("""COMPUTED_VALUE"""),286)</f>
        <v>286</v>
      </c>
      <c r="AD24" s="1">
        <f ca="1">IFERROR(__xludf.DUMMYFUNCTION("""COMPUTED_VALUE"""),178)</f>
        <v>178</v>
      </c>
      <c r="AE24" s="1">
        <f ca="1">IFERROR(__xludf.DUMMYFUNCTION("""COMPUTED_VALUE"""),522)</f>
        <v>522</v>
      </c>
      <c r="AF24" s="1">
        <f ca="1">IFERROR(__xludf.DUMMYFUNCTION("""COMPUTED_VALUE"""),674)</f>
        <v>674</v>
      </c>
    </row>
    <row r="25" spans="1:32" ht="12.5" x14ac:dyDescent="0.25">
      <c r="A25" s="1" t="str">
        <f ca="1">IFERROR(__xludf.DUMMYFUNCTION("""COMPUTED_VALUE"""),"BelmontNCAA")</f>
        <v>BelmontNCAA</v>
      </c>
      <c r="B25" s="1">
        <f ca="1">IFERROR(__xludf.DUMMYFUNCTION("""COMPUTED_VALUE"""),35)</f>
        <v>35</v>
      </c>
      <c r="C25" s="1">
        <f ca="1">IFERROR(__xludf.DUMMYFUNCTION("""COMPUTED_VALUE"""),27)</f>
        <v>27</v>
      </c>
      <c r="D25" s="1">
        <f ca="1">IFERROR(__xludf.DUMMYFUNCTION("""COMPUTED_VALUE"""),8)</f>
        <v>8</v>
      </c>
      <c r="E25" s="1">
        <f ca="1">IFERROR(__xludf.DUMMYFUNCTION("""COMPUTED_VALUE"""),0.771)</f>
        <v>0.77100000000000002</v>
      </c>
      <c r="F25" s="1">
        <f ca="1">IFERROR(__xludf.DUMMYFUNCTION("""COMPUTED_VALUE"""),11.81)</f>
        <v>11.81</v>
      </c>
      <c r="G25" s="1">
        <f ca="1">IFERROR(__xludf.DUMMYFUNCTION("""COMPUTED_VALUE"""),-1.22)</f>
        <v>-1.22</v>
      </c>
      <c r="H25" s="1">
        <f ca="1">IFERROR(__xludf.DUMMYFUNCTION("""COMPUTED_VALUE"""),16)</f>
        <v>16</v>
      </c>
      <c r="I25" s="1">
        <f ca="1">IFERROR(__xludf.DUMMYFUNCTION("""COMPUTED_VALUE"""),2)</f>
        <v>2</v>
      </c>
      <c r="J25" s="1">
        <f ca="1">IFERROR(__xludf.DUMMYFUNCTION("""COMPUTED_VALUE"""),13)</f>
        <v>13</v>
      </c>
      <c r="K25" s="1">
        <f ca="1">IFERROR(__xludf.DUMMYFUNCTION("""COMPUTED_VALUE"""),1)</f>
        <v>1</v>
      </c>
      <c r="L25" s="1">
        <f ca="1">IFERROR(__xludf.DUMMYFUNCTION("""COMPUTED_VALUE"""),10)</f>
        <v>10</v>
      </c>
      <c r="M25" s="1">
        <f ca="1">IFERROR(__xludf.DUMMYFUNCTION("""COMPUTED_VALUE"""),6)</f>
        <v>6</v>
      </c>
      <c r="N25" s="1">
        <f ca="1">IFERROR(__xludf.DUMMYFUNCTION("""COMPUTED_VALUE"""),2831)</f>
        <v>2831</v>
      </c>
      <c r="O25" s="1">
        <f ca="1">IFERROR(__xludf.DUMMYFUNCTION("""COMPUTED_VALUE"""),2363)</f>
        <v>2363</v>
      </c>
      <c r="P25" s="1">
        <f ca="1">IFERROR(__xludf.DUMMYFUNCTION("""COMPUTED_VALUE"""),1410)</f>
        <v>1410</v>
      </c>
      <c r="Q25" s="1">
        <f ca="1">IFERROR(__xludf.DUMMYFUNCTION("""COMPUTED_VALUE"""),975)</f>
        <v>975</v>
      </c>
      <c r="R25" s="1">
        <f ca="1">IFERROR(__xludf.DUMMYFUNCTION("""COMPUTED_VALUE"""),2026)</f>
        <v>2026</v>
      </c>
      <c r="S25" s="1">
        <f ca="1">IFERROR(__xludf.DUMMYFUNCTION("""COMPUTED_VALUE"""),0.481)</f>
        <v>0.48099999999999998</v>
      </c>
      <c r="T25" s="1">
        <f ca="1">IFERROR(__xludf.DUMMYFUNCTION("""COMPUTED_VALUE"""),309)</f>
        <v>309</v>
      </c>
      <c r="U25" s="1">
        <f ca="1">IFERROR(__xludf.DUMMYFUNCTION("""COMPUTED_VALUE"""),817)</f>
        <v>817</v>
      </c>
      <c r="V25" s="1">
        <f ca="1">IFERROR(__xludf.DUMMYFUNCTION("""COMPUTED_VALUE"""),0.378)</f>
        <v>0.378</v>
      </c>
      <c r="W25" s="1">
        <f ca="1">IFERROR(__xludf.DUMMYFUNCTION("""COMPUTED_VALUE"""),572)</f>
        <v>572</v>
      </c>
      <c r="X25" s="1">
        <f ca="1">IFERROR(__xludf.DUMMYFUNCTION("""COMPUTED_VALUE"""),779)</f>
        <v>779</v>
      </c>
      <c r="Y25" s="1">
        <f ca="1">IFERROR(__xludf.DUMMYFUNCTION("""COMPUTED_VALUE"""),0.734)</f>
        <v>0.73399999999999999</v>
      </c>
      <c r="Z25" s="1">
        <f ca="1">IFERROR(__xludf.DUMMYFUNCTION("""COMPUTED_VALUE"""),401)</f>
        <v>401</v>
      </c>
      <c r="AA25" s="1">
        <f ca="1">IFERROR(__xludf.DUMMYFUNCTION("""COMPUTED_VALUE"""),1151)</f>
        <v>1151</v>
      </c>
      <c r="AB25" s="1">
        <f ca="1">IFERROR(__xludf.DUMMYFUNCTION("""COMPUTED_VALUE"""),606)</f>
        <v>606</v>
      </c>
      <c r="AC25" s="1">
        <f ca="1">IFERROR(__xludf.DUMMYFUNCTION("""COMPUTED_VALUE"""),255)</f>
        <v>255</v>
      </c>
      <c r="AD25" s="1">
        <f ca="1">IFERROR(__xludf.DUMMYFUNCTION("""COMPUTED_VALUE"""),78)</f>
        <v>78</v>
      </c>
      <c r="AE25" s="1">
        <f ca="1">IFERROR(__xludf.DUMMYFUNCTION("""COMPUTED_VALUE"""),430)</f>
        <v>430</v>
      </c>
      <c r="AF25" s="1">
        <f ca="1">IFERROR(__xludf.DUMMYFUNCTION("""COMPUTED_VALUE"""),631)</f>
        <v>631</v>
      </c>
    </row>
    <row r="26" spans="1:32" ht="12.5" x14ac:dyDescent="0.25">
      <c r="A26" s="1" t="str">
        <f ca="1">IFERROR(__xludf.DUMMYFUNCTION("""COMPUTED_VALUE"""),"Bethune-Cookman")</f>
        <v>Bethune-Cookman</v>
      </c>
      <c r="B26" s="1">
        <f ca="1">IFERROR(__xludf.DUMMYFUNCTION("""COMPUTED_VALUE"""),35)</f>
        <v>35</v>
      </c>
      <c r="C26" s="1">
        <f ca="1">IFERROR(__xludf.DUMMYFUNCTION("""COMPUTED_VALUE"""),18)</f>
        <v>18</v>
      </c>
      <c r="D26" s="1">
        <f ca="1">IFERROR(__xludf.DUMMYFUNCTION("""COMPUTED_VALUE"""),17)</f>
        <v>17</v>
      </c>
      <c r="E26" s="1">
        <f ca="1">IFERROR(__xludf.DUMMYFUNCTION("""COMPUTED_VALUE"""),0.514)</f>
        <v>0.51400000000000001</v>
      </c>
      <c r="F26" s="1">
        <f ca="1">IFERROR(__xludf.DUMMYFUNCTION("""COMPUTED_VALUE"""),-9.11)</f>
        <v>-9.11</v>
      </c>
      <c r="G26" s="1">
        <f ca="1">IFERROR(__xludf.DUMMYFUNCTION("""COMPUTED_VALUE"""),-7.05)</f>
        <v>-7.05</v>
      </c>
      <c r="H26" s="1">
        <f ca="1">IFERROR(__xludf.DUMMYFUNCTION("""COMPUTED_VALUE"""),11)</f>
        <v>11</v>
      </c>
      <c r="I26" s="1">
        <f ca="1">IFERROR(__xludf.DUMMYFUNCTION("""COMPUTED_VALUE"""),5)</f>
        <v>5</v>
      </c>
      <c r="J26" s="1">
        <f ca="1">IFERROR(__xludf.DUMMYFUNCTION("""COMPUTED_VALUE"""),9)</f>
        <v>9</v>
      </c>
      <c r="K26" s="1">
        <f ca="1">IFERROR(__xludf.DUMMYFUNCTION("""COMPUTED_VALUE"""),3)</f>
        <v>3</v>
      </c>
      <c r="L26" s="1">
        <f ca="1">IFERROR(__xludf.DUMMYFUNCTION("""COMPUTED_VALUE"""),5)</f>
        <v>5</v>
      </c>
      <c r="M26" s="1">
        <f ca="1">IFERROR(__xludf.DUMMYFUNCTION("""COMPUTED_VALUE"""),12)</f>
        <v>12</v>
      </c>
      <c r="N26" s="1">
        <f ca="1">IFERROR(__xludf.DUMMYFUNCTION("""COMPUTED_VALUE"""),2276)</f>
        <v>2276</v>
      </c>
      <c r="O26" s="1">
        <f ca="1">IFERROR(__xludf.DUMMYFUNCTION("""COMPUTED_VALUE"""),2319)</f>
        <v>2319</v>
      </c>
      <c r="P26" s="1">
        <f ca="1">IFERROR(__xludf.DUMMYFUNCTION("""COMPUTED_VALUE"""),1405)</f>
        <v>1405</v>
      </c>
      <c r="Q26" s="1">
        <f ca="1">IFERROR(__xludf.DUMMYFUNCTION("""COMPUTED_VALUE"""),818)</f>
        <v>818</v>
      </c>
      <c r="R26" s="1">
        <f ca="1">IFERROR(__xludf.DUMMYFUNCTION("""COMPUTED_VALUE"""),1890)</f>
        <v>1890</v>
      </c>
      <c r="S26" s="1">
        <f ca="1">IFERROR(__xludf.DUMMYFUNCTION("""COMPUTED_VALUE"""),0.433)</f>
        <v>0.433</v>
      </c>
      <c r="T26" s="1">
        <f ca="1">IFERROR(__xludf.DUMMYFUNCTION("""COMPUTED_VALUE"""),178)</f>
        <v>178</v>
      </c>
      <c r="U26" s="1">
        <f ca="1">IFERROR(__xludf.DUMMYFUNCTION("""COMPUTED_VALUE"""),522)</f>
        <v>522</v>
      </c>
      <c r="V26" s="1">
        <f ca="1">IFERROR(__xludf.DUMMYFUNCTION("""COMPUTED_VALUE"""),0.341)</f>
        <v>0.34100000000000003</v>
      </c>
      <c r="W26" s="1">
        <f ca="1">IFERROR(__xludf.DUMMYFUNCTION("""COMPUTED_VALUE"""),462)</f>
        <v>462</v>
      </c>
      <c r="X26" s="1">
        <f ca="1">IFERROR(__xludf.DUMMYFUNCTION("""COMPUTED_VALUE"""),702)</f>
        <v>702</v>
      </c>
      <c r="Y26" s="1">
        <f ca="1">IFERROR(__xludf.DUMMYFUNCTION("""COMPUTED_VALUE"""),0.658)</f>
        <v>0.65800000000000003</v>
      </c>
      <c r="Z26" s="1">
        <f ca="1">IFERROR(__xludf.DUMMYFUNCTION("""COMPUTED_VALUE"""),414)</f>
        <v>414</v>
      </c>
      <c r="AA26" s="1">
        <f ca="1">IFERROR(__xludf.DUMMYFUNCTION("""COMPUTED_VALUE"""),974)</f>
        <v>974</v>
      </c>
      <c r="AB26" s="1">
        <f ca="1">IFERROR(__xludf.DUMMYFUNCTION("""COMPUTED_VALUE"""),416)</f>
        <v>416</v>
      </c>
      <c r="AC26" s="1">
        <f ca="1">IFERROR(__xludf.DUMMYFUNCTION("""COMPUTED_VALUE"""),241)</f>
        <v>241</v>
      </c>
      <c r="AD26" s="1">
        <f ca="1">IFERROR(__xludf.DUMMYFUNCTION("""COMPUTED_VALUE"""),95)</f>
        <v>95</v>
      </c>
      <c r="AE26" s="1">
        <f ca="1">IFERROR(__xludf.DUMMYFUNCTION("""COMPUTED_VALUE"""),471)</f>
        <v>471</v>
      </c>
      <c r="AF26" s="1">
        <f ca="1">IFERROR(__xludf.DUMMYFUNCTION("""COMPUTED_VALUE"""),663)</f>
        <v>663</v>
      </c>
    </row>
    <row r="27" spans="1:32" ht="12.5" x14ac:dyDescent="0.25">
      <c r="A27" s="1" t="str">
        <f ca="1">IFERROR(__xludf.DUMMYFUNCTION("""COMPUTED_VALUE"""),"Binghamton")</f>
        <v>Binghamton</v>
      </c>
      <c r="B27" s="1">
        <f ca="1">IFERROR(__xludf.DUMMYFUNCTION("""COMPUTED_VALUE"""),31)</f>
        <v>31</v>
      </c>
      <c r="C27" s="1">
        <f ca="1">IFERROR(__xludf.DUMMYFUNCTION("""COMPUTED_VALUE"""),2)</f>
        <v>2</v>
      </c>
      <c r="D27" s="1">
        <f ca="1">IFERROR(__xludf.DUMMYFUNCTION("""COMPUTED_VALUE"""),29)</f>
        <v>29</v>
      </c>
      <c r="E27" s="1">
        <f ca="1">IFERROR(__xludf.DUMMYFUNCTION("""COMPUTED_VALUE"""),0.065)</f>
        <v>6.5000000000000002E-2</v>
      </c>
      <c r="F27" s="1">
        <f ca="1">IFERROR(__xludf.DUMMYFUNCTION("""COMPUTED_VALUE"""),-20.14)</f>
        <v>-20.14</v>
      </c>
      <c r="G27" s="1">
        <f ca="1">IFERROR(__xludf.DUMMYFUNCTION("""COMPUTED_VALUE"""),-6.24)</f>
        <v>-6.24</v>
      </c>
      <c r="H27" s="1">
        <f ca="1">IFERROR(__xludf.DUMMYFUNCTION("""COMPUTED_VALUE"""),1)</f>
        <v>1</v>
      </c>
      <c r="I27" s="1">
        <f ca="1">IFERROR(__xludf.DUMMYFUNCTION("""COMPUTED_VALUE"""),15)</f>
        <v>15</v>
      </c>
      <c r="J27" s="1">
        <f ca="1">IFERROR(__xludf.DUMMYFUNCTION("""COMPUTED_VALUE"""),1)</f>
        <v>1</v>
      </c>
      <c r="K27" s="1">
        <f ca="1">IFERROR(__xludf.DUMMYFUNCTION("""COMPUTED_VALUE"""),13)</f>
        <v>13</v>
      </c>
      <c r="L27" s="1">
        <f ca="1">IFERROR(__xludf.DUMMYFUNCTION("""COMPUTED_VALUE"""),0)</f>
        <v>0</v>
      </c>
      <c r="M27" s="1">
        <f ca="1">IFERROR(__xludf.DUMMYFUNCTION("""COMPUTED_VALUE"""),15)</f>
        <v>15</v>
      </c>
      <c r="N27" s="1">
        <f ca="1">IFERROR(__xludf.DUMMYFUNCTION("""COMPUTED_VALUE"""),1762)</f>
        <v>1762</v>
      </c>
      <c r="O27" s="1">
        <f ca="1">IFERROR(__xludf.DUMMYFUNCTION("""COMPUTED_VALUE"""),2193)</f>
        <v>2193</v>
      </c>
      <c r="P27" s="1">
        <f ca="1">IFERROR(__xludf.DUMMYFUNCTION("""COMPUTED_VALUE"""),1245)</f>
        <v>1245</v>
      </c>
      <c r="Q27" s="1">
        <f ca="1">IFERROR(__xludf.DUMMYFUNCTION("""COMPUTED_VALUE"""),627)</f>
        <v>627</v>
      </c>
      <c r="R27" s="1">
        <f ca="1">IFERROR(__xludf.DUMMYFUNCTION("""COMPUTED_VALUE"""),1579)</f>
        <v>1579</v>
      </c>
      <c r="S27" s="1">
        <f ca="1">IFERROR(__xludf.DUMMYFUNCTION("""COMPUTED_VALUE"""),0.397)</f>
        <v>0.39700000000000002</v>
      </c>
      <c r="T27" s="1">
        <f ca="1">IFERROR(__xludf.DUMMYFUNCTION("""COMPUTED_VALUE"""),132)</f>
        <v>132</v>
      </c>
      <c r="U27" s="1">
        <f ca="1">IFERROR(__xludf.DUMMYFUNCTION("""COMPUTED_VALUE"""),437)</f>
        <v>437</v>
      </c>
      <c r="V27" s="1">
        <f ca="1">IFERROR(__xludf.DUMMYFUNCTION("""COMPUTED_VALUE"""),0.302)</f>
        <v>0.30199999999999999</v>
      </c>
      <c r="W27" s="1">
        <f ca="1">IFERROR(__xludf.DUMMYFUNCTION("""COMPUTED_VALUE"""),376)</f>
        <v>376</v>
      </c>
      <c r="X27" s="1">
        <f ca="1">IFERROR(__xludf.DUMMYFUNCTION("""COMPUTED_VALUE"""),538)</f>
        <v>538</v>
      </c>
      <c r="Y27" s="1">
        <f ca="1">IFERROR(__xludf.DUMMYFUNCTION("""COMPUTED_VALUE"""),0.699)</f>
        <v>0.69899999999999995</v>
      </c>
      <c r="Z27" s="1">
        <f ca="1">IFERROR(__xludf.DUMMYFUNCTION("""COMPUTED_VALUE"""),278)</f>
        <v>278</v>
      </c>
      <c r="AA27" s="1">
        <f ca="1">IFERROR(__xludf.DUMMYFUNCTION("""COMPUTED_VALUE"""),832)</f>
        <v>832</v>
      </c>
      <c r="AB27" s="1">
        <f ca="1">IFERROR(__xludf.DUMMYFUNCTION("""COMPUTED_VALUE"""),346)</f>
        <v>346</v>
      </c>
      <c r="AC27" s="1">
        <f ca="1">IFERROR(__xludf.DUMMYFUNCTION("""COMPUTED_VALUE"""),187)</f>
        <v>187</v>
      </c>
      <c r="AD27" s="1">
        <f ca="1">IFERROR(__xludf.DUMMYFUNCTION("""COMPUTED_VALUE"""),67)</f>
        <v>67</v>
      </c>
      <c r="AE27" s="1">
        <f ca="1">IFERROR(__xludf.DUMMYFUNCTION("""COMPUTED_VALUE"""),462)</f>
        <v>462</v>
      </c>
      <c r="AF27" s="1">
        <f ca="1">IFERROR(__xludf.DUMMYFUNCTION("""COMPUTED_VALUE"""),554)</f>
        <v>554</v>
      </c>
    </row>
    <row r="28" spans="1:32" ht="12.5" x14ac:dyDescent="0.25">
      <c r="A28" s="1" t="str">
        <f ca="1">IFERROR(__xludf.DUMMYFUNCTION("""COMPUTED_VALUE"""),"Boise State")</f>
        <v>Boise State</v>
      </c>
      <c r="B28" s="1">
        <f ca="1">IFERROR(__xludf.DUMMYFUNCTION("""COMPUTED_VALUE"""),30)</f>
        <v>30</v>
      </c>
      <c r="C28" s="1">
        <f ca="1">IFERROR(__xludf.DUMMYFUNCTION("""COMPUTED_VALUE"""),13)</f>
        <v>13</v>
      </c>
      <c r="D28" s="1">
        <f ca="1">IFERROR(__xludf.DUMMYFUNCTION("""COMPUTED_VALUE"""),17)</f>
        <v>17</v>
      </c>
      <c r="E28" s="1">
        <f ca="1">IFERROR(__xludf.DUMMYFUNCTION("""COMPUTED_VALUE"""),0.433)</f>
        <v>0.433</v>
      </c>
      <c r="F28" s="1">
        <f ca="1">IFERROR(__xludf.DUMMYFUNCTION("""COMPUTED_VALUE"""),3.52)</f>
        <v>3.52</v>
      </c>
      <c r="G28" s="1">
        <f ca="1">IFERROR(__xludf.DUMMYFUNCTION("""COMPUTED_VALUE"""),3.14)</f>
        <v>3.14</v>
      </c>
      <c r="H28" s="1">
        <f ca="1">IFERROR(__xludf.DUMMYFUNCTION("""COMPUTED_VALUE"""),3)</f>
        <v>3</v>
      </c>
      <c r="I28" s="1">
        <f ca="1">IFERROR(__xludf.DUMMYFUNCTION("""COMPUTED_VALUE"""),11)</f>
        <v>11</v>
      </c>
      <c r="J28" s="1">
        <f ca="1">IFERROR(__xludf.DUMMYFUNCTION("""COMPUTED_VALUE"""),11)</f>
        <v>11</v>
      </c>
      <c r="K28" s="1">
        <f ca="1">IFERROR(__xludf.DUMMYFUNCTION("""COMPUTED_VALUE"""),5)</f>
        <v>5</v>
      </c>
      <c r="L28" s="1">
        <f ca="1">IFERROR(__xludf.DUMMYFUNCTION("""COMPUTED_VALUE"""),1)</f>
        <v>1</v>
      </c>
      <c r="M28" s="1">
        <f ca="1">IFERROR(__xludf.DUMMYFUNCTION("""COMPUTED_VALUE"""),11)</f>
        <v>11</v>
      </c>
      <c r="N28" s="1">
        <f ca="1">IFERROR(__xludf.DUMMYFUNCTION("""COMPUTED_VALUE"""),2050)</f>
        <v>2050</v>
      </c>
      <c r="O28" s="1">
        <f ca="1">IFERROR(__xludf.DUMMYFUNCTION("""COMPUTED_VALUE"""),1988)</f>
        <v>1988</v>
      </c>
      <c r="P28" s="1">
        <f ca="1">IFERROR(__xludf.DUMMYFUNCTION("""COMPUTED_VALUE"""),1205)</f>
        <v>1205</v>
      </c>
      <c r="Q28" s="1">
        <f ca="1">IFERROR(__xludf.DUMMYFUNCTION("""COMPUTED_VALUE"""),708)</f>
        <v>708</v>
      </c>
      <c r="R28" s="1">
        <f ca="1">IFERROR(__xludf.DUMMYFUNCTION("""COMPUTED_VALUE"""),1653)</f>
        <v>1653</v>
      </c>
      <c r="S28" s="1">
        <f ca="1">IFERROR(__xludf.DUMMYFUNCTION("""COMPUTED_VALUE"""),0.428)</f>
        <v>0.42799999999999999</v>
      </c>
      <c r="T28" s="1">
        <f ca="1">IFERROR(__xludf.DUMMYFUNCTION("""COMPUTED_VALUE"""),227)</f>
        <v>227</v>
      </c>
      <c r="U28" s="1">
        <f ca="1">IFERROR(__xludf.DUMMYFUNCTION("""COMPUTED_VALUE"""),664)</f>
        <v>664</v>
      </c>
      <c r="V28" s="1">
        <f ca="1">IFERROR(__xludf.DUMMYFUNCTION("""COMPUTED_VALUE"""),0.342)</f>
        <v>0.34200000000000003</v>
      </c>
      <c r="W28" s="1">
        <f ca="1">IFERROR(__xludf.DUMMYFUNCTION("""COMPUTED_VALUE"""),407)</f>
        <v>407</v>
      </c>
      <c r="X28" s="1">
        <f ca="1">IFERROR(__xludf.DUMMYFUNCTION("""COMPUTED_VALUE"""),589)</f>
        <v>589</v>
      </c>
      <c r="Y28" s="1">
        <f ca="1">IFERROR(__xludf.DUMMYFUNCTION("""COMPUTED_VALUE"""),0.691)</f>
        <v>0.69099999999999995</v>
      </c>
      <c r="Z28" s="1">
        <f ca="1">IFERROR(__xludf.DUMMYFUNCTION("""COMPUTED_VALUE"""),328)</f>
        <v>328</v>
      </c>
      <c r="AA28" s="1">
        <f ca="1">IFERROR(__xludf.DUMMYFUNCTION("""COMPUTED_VALUE"""),917)</f>
        <v>917</v>
      </c>
      <c r="AB28" s="1">
        <f ca="1">IFERROR(__xludf.DUMMYFUNCTION("""COMPUTED_VALUE"""),346)</f>
        <v>346</v>
      </c>
      <c r="AC28" s="1">
        <f ca="1">IFERROR(__xludf.DUMMYFUNCTION("""COMPUTED_VALUE"""),183)</f>
        <v>183</v>
      </c>
      <c r="AD28" s="1">
        <f ca="1">IFERROR(__xludf.DUMMYFUNCTION("""COMPUTED_VALUE"""),56)</f>
        <v>56</v>
      </c>
      <c r="AE28" s="1">
        <f ca="1">IFERROR(__xludf.DUMMYFUNCTION("""COMPUTED_VALUE"""),366)</f>
        <v>366</v>
      </c>
      <c r="AF28" s="1">
        <f ca="1">IFERROR(__xludf.DUMMYFUNCTION("""COMPUTED_VALUE"""),544)</f>
        <v>544</v>
      </c>
    </row>
    <row r="29" spans="1:32" ht="12.5" x14ac:dyDescent="0.25">
      <c r="A29" s="1" t="str">
        <f ca="1">IFERROR(__xludf.DUMMYFUNCTION("""COMPUTED_VALUE"""),"Boston College")</f>
        <v>Boston College</v>
      </c>
      <c r="B29" s="1">
        <f ca="1">IFERROR(__xludf.DUMMYFUNCTION("""COMPUTED_VALUE"""),31)</f>
        <v>31</v>
      </c>
      <c r="C29" s="1">
        <f ca="1">IFERROR(__xludf.DUMMYFUNCTION("""COMPUTED_VALUE"""),9)</f>
        <v>9</v>
      </c>
      <c r="D29" s="1">
        <f ca="1">IFERROR(__xludf.DUMMYFUNCTION("""COMPUTED_VALUE"""),22)</f>
        <v>22</v>
      </c>
      <c r="E29" s="1">
        <f ca="1">IFERROR(__xludf.DUMMYFUNCTION("""COMPUTED_VALUE"""),0.29)</f>
        <v>0.28999999999999998</v>
      </c>
      <c r="F29" s="1">
        <f ca="1">IFERROR(__xludf.DUMMYFUNCTION("""COMPUTED_VALUE"""),-4.54)</f>
        <v>-4.54</v>
      </c>
      <c r="G29" s="1">
        <f ca="1">IFERROR(__xludf.DUMMYFUNCTION("""COMPUTED_VALUE"""),4.89)</f>
        <v>4.8899999999999997</v>
      </c>
      <c r="H29" s="1">
        <f ca="1">IFERROR(__xludf.DUMMYFUNCTION("""COMPUTED_VALUE"""),4)</f>
        <v>4</v>
      </c>
      <c r="I29" s="1">
        <f ca="1">IFERROR(__xludf.DUMMYFUNCTION("""COMPUTED_VALUE"""),12)</f>
        <v>12</v>
      </c>
      <c r="J29" s="1">
        <f ca="1">IFERROR(__xludf.DUMMYFUNCTION("""COMPUTED_VALUE"""),8)</f>
        <v>8</v>
      </c>
      <c r="K29" s="1">
        <f ca="1">IFERROR(__xludf.DUMMYFUNCTION("""COMPUTED_VALUE"""),9)</f>
        <v>9</v>
      </c>
      <c r="L29" s="1">
        <f ca="1">IFERROR(__xludf.DUMMYFUNCTION("""COMPUTED_VALUE"""),0)</f>
        <v>0</v>
      </c>
      <c r="M29" s="1">
        <f ca="1">IFERROR(__xludf.DUMMYFUNCTION("""COMPUTED_VALUE"""),10)</f>
        <v>10</v>
      </c>
      <c r="N29" s="1">
        <f ca="1">IFERROR(__xludf.DUMMYFUNCTION("""COMPUTED_VALUE"""),1833)</f>
        <v>1833</v>
      </c>
      <c r="O29" s="1">
        <f ca="1">IFERROR(__xludf.DUMMYFUNCTION("""COMPUTED_VALUE"""),2125)</f>
        <v>2125</v>
      </c>
      <c r="P29" s="1">
        <f ca="1">IFERROR(__xludf.DUMMYFUNCTION("""COMPUTED_VALUE"""),1255)</f>
        <v>1255</v>
      </c>
      <c r="Q29" s="1">
        <f ca="1">IFERROR(__xludf.DUMMYFUNCTION("""COMPUTED_VALUE"""),629)</f>
        <v>629</v>
      </c>
      <c r="R29" s="1">
        <f ca="1">IFERROR(__xludf.DUMMYFUNCTION("""COMPUTED_VALUE"""),1543)</f>
        <v>1543</v>
      </c>
      <c r="S29" s="1">
        <f ca="1">IFERROR(__xludf.DUMMYFUNCTION("""COMPUTED_VALUE"""),0.408)</f>
        <v>0.40799999999999997</v>
      </c>
      <c r="T29" s="1">
        <f ca="1">IFERROR(__xludf.DUMMYFUNCTION("""COMPUTED_VALUE"""),225)</f>
        <v>225</v>
      </c>
      <c r="U29" s="1">
        <f ca="1">IFERROR(__xludf.DUMMYFUNCTION("""COMPUTED_VALUE"""),664)</f>
        <v>664</v>
      </c>
      <c r="V29" s="1">
        <f ca="1">IFERROR(__xludf.DUMMYFUNCTION("""COMPUTED_VALUE"""),0.339)</f>
        <v>0.33900000000000002</v>
      </c>
      <c r="W29" s="1">
        <f ca="1">IFERROR(__xludf.DUMMYFUNCTION("""COMPUTED_VALUE"""),350)</f>
        <v>350</v>
      </c>
      <c r="X29" s="1">
        <f ca="1">IFERROR(__xludf.DUMMYFUNCTION("""COMPUTED_VALUE"""),520)</f>
        <v>520</v>
      </c>
      <c r="Y29" s="1">
        <f ca="1">IFERROR(__xludf.DUMMYFUNCTION("""COMPUTED_VALUE"""),0.673)</f>
        <v>0.67300000000000004</v>
      </c>
      <c r="Z29" s="1">
        <f ca="1">IFERROR(__xludf.DUMMYFUNCTION("""COMPUTED_VALUE"""),222)</f>
        <v>222</v>
      </c>
      <c r="AA29" s="1">
        <f ca="1">IFERROR(__xludf.DUMMYFUNCTION("""COMPUTED_VALUE"""),836)</f>
        <v>836</v>
      </c>
      <c r="AB29" s="1">
        <f ca="1">IFERROR(__xludf.DUMMYFUNCTION("""COMPUTED_VALUE"""),354)</f>
        <v>354</v>
      </c>
      <c r="AC29" s="1">
        <f ca="1">IFERROR(__xludf.DUMMYFUNCTION("""COMPUTED_VALUE"""),153)</f>
        <v>153</v>
      </c>
      <c r="AD29" s="1">
        <f ca="1">IFERROR(__xludf.DUMMYFUNCTION("""COMPUTED_VALUE"""),89)</f>
        <v>89</v>
      </c>
      <c r="AE29" s="1">
        <f ca="1">IFERROR(__xludf.DUMMYFUNCTION("""COMPUTED_VALUE"""),454)</f>
        <v>454</v>
      </c>
      <c r="AF29" s="1">
        <f ca="1">IFERROR(__xludf.DUMMYFUNCTION("""COMPUTED_VALUE"""),491)</f>
        <v>491</v>
      </c>
    </row>
    <row r="30" spans="1:32" ht="12.5" x14ac:dyDescent="0.25">
      <c r="A30" s="1" t="str">
        <f ca="1">IFERROR(__xludf.DUMMYFUNCTION("""COMPUTED_VALUE"""),"Boston University")</f>
        <v>Boston University</v>
      </c>
      <c r="B30" s="1">
        <f ca="1">IFERROR(__xludf.DUMMYFUNCTION("""COMPUTED_VALUE"""),32)</f>
        <v>32</v>
      </c>
      <c r="C30" s="1">
        <f ca="1">IFERROR(__xludf.DUMMYFUNCTION("""COMPUTED_VALUE"""),16)</f>
        <v>16</v>
      </c>
      <c r="D30" s="1">
        <f ca="1">IFERROR(__xludf.DUMMYFUNCTION("""COMPUTED_VALUE"""),16)</f>
        <v>16</v>
      </c>
      <c r="E30" s="1">
        <f ca="1">IFERROR(__xludf.DUMMYFUNCTION("""COMPUTED_VALUE"""),0.5)</f>
        <v>0.5</v>
      </c>
      <c r="F30" s="1">
        <f ca="1">IFERROR(__xludf.DUMMYFUNCTION("""COMPUTED_VALUE"""),-3.74)</f>
        <v>-3.74</v>
      </c>
      <c r="G30" s="1">
        <f ca="1">IFERROR(__xludf.DUMMYFUNCTION("""COMPUTED_VALUE"""),-4.09)</f>
        <v>-4.09</v>
      </c>
      <c r="H30" s="1">
        <f ca="1">IFERROR(__xludf.DUMMYFUNCTION("""COMPUTED_VALUE"""),12)</f>
        <v>12</v>
      </c>
      <c r="I30" s="1">
        <f ca="1">IFERROR(__xludf.DUMMYFUNCTION("""COMPUTED_VALUE"""),4)</f>
        <v>4</v>
      </c>
      <c r="J30" s="1">
        <f ca="1">IFERROR(__xludf.DUMMYFUNCTION("""COMPUTED_VALUE"""),7)</f>
        <v>7</v>
      </c>
      <c r="K30" s="1">
        <f ca="1">IFERROR(__xludf.DUMMYFUNCTION("""COMPUTED_VALUE"""),5)</f>
        <v>5</v>
      </c>
      <c r="L30" s="1">
        <f ca="1">IFERROR(__xludf.DUMMYFUNCTION("""COMPUTED_VALUE"""),8)</f>
        <v>8</v>
      </c>
      <c r="M30" s="1">
        <f ca="1">IFERROR(__xludf.DUMMYFUNCTION("""COMPUTED_VALUE"""),9)</f>
        <v>9</v>
      </c>
      <c r="N30" s="1">
        <f ca="1">IFERROR(__xludf.DUMMYFUNCTION("""COMPUTED_VALUE"""),2045)</f>
        <v>2045</v>
      </c>
      <c r="O30" s="1">
        <f ca="1">IFERROR(__xludf.DUMMYFUNCTION("""COMPUTED_VALUE"""),2034)</f>
        <v>2034</v>
      </c>
      <c r="P30" s="1">
        <f ca="1">IFERROR(__xludf.DUMMYFUNCTION("""COMPUTED_VALUE"""),1285)</f>
        <v>1285</v>
      </c>
      <c r="Q30" s="1">
        <f ca="1">IFERROR(__xludf.DUMMYFUNCTION("""COMPUTED_VALUE"""),725)</f>
        <v>725</v>
      </c>
      <c r="R30" s="1">
        <f ca="1">IFERROR(__xludf.DUMMYFUNCTION("""COMPUTED_VALUE"""),1717)</f>
        <v>1717</v>
      </c>
      <c r="S30" s="1">
        <f ca="1">IFERROR(__xludf.DUMMYFUNCTION("""COMPUTED_VALUE"""),0.422)</f>
        <v>0.42199999999999999</v>
      </c>
      <c r="T30" s="1">
        <f ca="1">IFERROR(__xludf.DUMMYFUNCTION("""COMPUTED_VALUE"""),202)</f>
        <v>202</v>
      </c>
      <c r="U30" s="1">
        <f ca="1">IFERROR(__xludf.DUMMYFUNCTION("""COMPUTED_VALUE"""),634)</f>
        <v>634</v>
      </c>
      <c r="V30" s="1">
        <f ca="1">IFERROR(__xludf.DUMMYFUNCTION("""COMPUTED_VALUE"""),0.319)</f>
        <v>0.31900000000000001</v>
      </c>
      <c r="W30" s="1">
        <f ca="1">IFERROR(__xludf.DUMMYFUNCTION("""COMPUTED_VALUE"""),393)</f>
        <v>393</v>
      </c>
      <c r="X30" s="1">
        <f ca="1">IFERROR(__xludf.DUMMYFUNCTION("""COMPUTED_VALUE"""),583)</f>
        <v>583</v>
      </c>
      <c r="Y30" s="1">
        <f ca="1">IFERROR(__xludf.DUMMYFUNCTION("""COMPUTED_VALUE"""),0.674)</f>
        <v>0.67400000000000004</v>
      </c>
      <c r="Z30" s="1">
        <f ca="1">IFERROR(__xludf.DUMMYFUNCTION("""COMPUTED_VALUE"""),351)</f>
        <v>351</v>
      </c>
      <c r="AA30" s="1">
        <f ca="1">IFERROR(__xludf.DUMMYFUNCTION("""COMPUTED_VALUE"""),1012)</f>
        <v>1012</v>
      </c>
      <c r="AB30" s="1">
        <f ca="1">IFERROR(__xludf.DUMMYFUNCTION("""COMPUTED_VALUE"""),371)</f>
        <v>371</v>
      </c>
      <c r="AC30" s="1">
        <f ca="1">IFERROR(__xludf.DUMMYFUNCTION("""COMPUTED_VALUE"""),187)</f>
        <v>187</v>
      </c>
      <c r="AD30" s="1">
        <f ca="1">IFERROR(__xludf.DUMMYFUNCTION("""COMPUTED_VALUE"""),98)</f>
        <v>98</v>
      </c>
      <c r="AE30" s="1">
        <f ca="1">IFERROR(__xludf.DUMMYFUNCTION("""COMPUTED_VALUE"""),434)</f>
        <v>434</v>
      </c>
      <c r="AF30" s="1">
        <f ca="1">IFERROR(__xludf.DUMMYFUNCTION("""COMPUTED_VALUE"""),537)</f>
        <v>537</v>
      </c>
    </row>
    <row r="31" spans="1:32" ht="12.5" x14ac:dyDescent="0.25">
      <c r="A31" s="1" t="str">
        <f ca="1">IFERROR(__xludf.DUMMYFUNCTION("""COMPUTED_VALUE"""),"Bowling Green State")</f>
        <v>Bowling Green State</v>
      </c>
      <c r="B31" s="1">
        <f ca="1">IFERROR(__xludf.DUMMYFUNCTION("""COMPUTED_VALUE"""),32)</f>
        <v>32</v>
      </c>
      <c r="C31" s="1">
        <f ca="1">IFERROR(__xludf.DUMMYFUNCTION("""COMPUTED_VALUE"""),16)</f>
        <v>16</v>
      </c>
      <c r="D31" s="1">
        <f ca="1">IFERROR(__xludf.DUMMYFUNCTION("""COMPUTED_VALUE"""),16)</f>
        <v>16</v>
      </c>
      <c r="E31" s="1">
        <f ca="1">IFERROR(__xludf.DUMMYFUNCTION("""COMPUTED_VALUE"""),0.5)</f>
        <v>0.5</v>
      </c>
      <c r="F31" s="1">
        <f ca="1">IFERROR(__xludf.DUMMYFUNCTION("""COMPUTED_VALUE"""),1.23)</f>
        <v>1.23</v>
      </c>
      <c r="G31" s="1">
        <f ca="1">IFERROR(__xludf.DUMMYFUNCTION("""COMPUTED_VALUE"""),0.07)</f>
        <v>7.0000000000000007E-2</v>
      </c>
      <c r="H31" s="1">
        <f ca="1">IFERROR(__xludf.DUMMYFUNCTION("""COMPUTED_VALUE"""),9)</f>
        <v>9</v>
      </c>
      <c r="I31" s="1">
        <f ca="1">IFERROR(__xludf.DUMMYFUNCTION("""COMPUTED_VALUE"""),7)</f>
        <v>7</v>
      </c>
      <c r="J31" s="1">
        <f ca="1">IFERROR(__xludf.DUMMYFUNCTION("""COMPUTED_VALUE"""),12)</f>
        <v>12</v>
      </c>
      <c r="K31" s="1">
        <f ca="1">IFERROR(__xludf.DUMMYFUNCTION("""COMPUTED_VALUE"""),4)</f>
        <v>4</v>
      </c>
      <c r="L31" s="1">
        <f ca="1">IFERROR(__xludf.DUMMYFUNCTION("""COMPUTED_VALUE"""),4)</f>
        <v>4</v>
      </c>
      <c r="M31" s="1">
        <f ca="1">IFERROR(__xludf.DUMMYFUNCTION("""COMPUTED_VALUE"""),12)</f>
        <v>12</v>
      </c>
      <c r="N31" s="1">
        <f ca="1">IFERROR(__xludf.DUMMYFUNCTION("""COMPUTED_VALUE"""),2125)</f>
        <v>2125</v>
      </c>
      <c r="O31" s="1">
        <f ca="1">IFERROR(__xludf.DUMMYFUNCTION("""COMPUTED_VALUE"""),2046)</f>
        <v>2046</v>
      </c>
      <c r="P31" s="1">
        <f ca="1">IFERROR(__xludf.DUMMYFUNCTION("""COMPUTED_VALUE"""),1285)</f>
        <v>1285</v>
      </c>
      <c r="Q31" s="1">
        <f ca="1">IFERROR(__xludf.DUMMYFUNCTION("""COMPUTED_VALUE"""),823)</f>
        <v>823</v>
      </c>
      <c r="R31" s="1">
        <f ca="1">IFERROR(__xludf.DUMMYFUNCTION("""COMPUTED_VALUE"""),1795)</f>
        <v>1795</v>
      </c>
      <c r="S31" s="1">
        <f ca="1">IFERROR(__xludf.DUMMYFUNCTION("""COMPUTED_VALUE"""),0.458)</f>
        <v>0.45800000000000002</v>
      </c>
      <c r="T31" s="1">
        <f ca="1">IFERROR(__xludf.DUMMYFUNCTION("""COMPUTED_VALUE"""),156)</f>
        <v>156</v>
      </c>
      <c r="U31" s="1">
        <f ca="1">IFERROR(__xludf.DUMMYFUNCTION("""COMPUTED_VALUE"""),461)</f>
        <v>461</v>
      </c>
      <c r="V31" s="1">
        <f ca="1">IFERROR(__xludf.DUMMYFUNCTION("""COMPUTED_VALUE"""),0.338)</f>
        <v>0.33800000000000002</v>
      </c>
      <c r="W31" s="1">
        <f ca="1">IFERROR(__xludf.DUMMYFUNCTION("""COMPUTED_VALUE"""),323)</f>
        <v>323</v>
      </c>
      <c r="X31" s="1">
        <f ca="1">IFERROR(__xludf.DUMMYFUNCTION("""COMPUTED_VALUE"""),474)</f>
        <v>474</v>
      </c>
      <c r="Y31" s="1">
        <f ca="1">IFERROR(__xludf.DUMMYFUNCTION("""COMPUTED_VALUE"""),0.681)</f>
        <v>0.68100000000000005</v>
      </c>
      <c r="Z31" s="1">
        <f ca="1">IFERROR(__xludf.DUMMYFUNCTION("""COMPUTED_VALUE"""),363)</f>
        <v>363</v>
      </c>
      <c r="AA31" s="1">
        <f ca="1">IFERROR(__xludf.DUMMYFUNCTION("""COMPUTED_VALUE"""),984)</f>
        <v>984</v>
      </c>
      <c r="AB31" s="1">
        <f ca="1">IFERROR(__xludf.DUMMYFUNCTION("""COMPUTED_VALUE"""),438)</f>
        <v>438</v>
      </c>
      <c r="AC31" s="1">
        <f ca="1">IFERROR(__xludf.DUMMYFUNCTION("""COMPUTED_VALUE"""),247)</f>
        <v>247</v>
      </c>
      <c r="AD31" s="1">
        <f ca="1">IFERROR(__xludf.DUMMYFUNCTION("""COMPUTED_VALUE"""),103)</f>
        <v>103</v>
      </c>
      <c r="AE31" s="1">
        <f ca="1">IFERROR(__xludf.DUMMYFUNCTION("""COMPUTED_VALUE"""),425)</f>
        <v>425</v>
      </c>
      <c r="AF31" s="1">
        <f ca="1">IFERROR(__xludf.DUMMYFUNCTION("""COMPUTED_VALUE"""),538)</f>
        <v>538</v>
      </c>
    </row>
    <row r="32" spans="1:32" ht="12.5" x14ac:dyDescent="0.25">
      <c r="A32" s="1" t="str">
        <f ca="1">IFERROR(__xludf.DUMMYFUNCTION("""COMPUTED_VALUE"""),"Bradley")</f>
        <v>Bradley</v>
      </c>
      <c r="B32" s="1">
        <f ca="1">IFERROR(__xludf.DUMMYFUNCTION("""COMPUTED_VALUE"""),32)</f>
        <v>32</v>
      </c>
      <c r="C32" s="1">
        <f ca="1">IFERROR(__xludf.DUMMYFUNCTION("""COMPUTED_VALUE"""),7)</f>
        <v>7</v>
      </c>
      <c r="D32" s="1">
        <f ca="1">IFERROR(__xludf.DUMMYFUNCTION("""COMPUTED_VALUE"""),25)</f>
        <v>25</v>
      </c>
      <c r="E32" s="1">
        <f ca="1">IFERROR(__xludf.DUMMYFUNCTION("""COMPUTED_VALUE"""),0.219)</f>
        <v>0.219</v>
      </c>
      <c r="F32" s="1">
        <f ca="1">IFERROR(__xludf.DUMMYFUNCTION("""COMPUTED_VALUE"""),-5.79)</f>
        <v>-5.79</v>
      </c>
      <c r="G32" s="1">
        <f ca="1">IFERROR(__xludf.DUMMYFUNCTION("""COMPUTED_VALUE"""),3.62)</f>
        <v>3.62</v>
      </c>
      <c r="H32" s="1">
        <f ca="1">IFERROR(__xludf.DUMMYFUNCTION("""COMPUTED_VALUE"""),2)</f>
        <v>2</v>
      </c>
      <c r="I32" s="1">
        <f ca="1">IFERROR(__xludf.DUMMYFUNCTION("""COMPUTED_VALUE"""),16)</f>
        <v>16</v>
      </c>
      <c r="J32" s="1">
        <f ca="1">IFERROR(__xludf.DUMMYFUNCTION("""COMPUTED_VALUE"""),6)</f>
        <v>6</v>
      </c>
      <c r="K32" s="1">
        <f ca="1">IFERROR(__xludf.DUMMYFUNCTION("""COMPUTED_VALUE"""),10)</f>
        <v>10</v>
      </c>
      <c r="L32" s="1">
        <f ca="1">IFERROR(__xludf.DUMMYFUNCTION("""COMPUTED_VALUE"""),1)</f>
        <v>1</v>
      </c>
      <c r="M32" s="1">
        <f ca="1">IFERROR(__xludf.DUMMYFUNCTION("""COMPUTED_VALUE"""),12)</f>
        <v>12</v>
      </c>
      <c r="N32" s="1">
        <f ca="1">IFERROR(__xludf.DUMMYFUNCTION("""COMPUTED_VALUE"""),1955)</f>
        <v>1955</v>
      </c>
      <c r="O32" s="1">
        <f ca="1">IFERROR(__xludf.DUMMYFUNCTION("""COMPUTED_VALUE"""),2256)</f>
        <v>2256</v>
      </c>
      <c r="P32" s="1">
        <f ca="1">IFERROR(__xludf.DUMMYFUNCTION("""COMPUTED_VALUE"""),1280)</f>
        <v>1280</v>
      </c>
      <c r="Q32" s="1">
        <f ca="1">IFERROR(__xludf.DUMMYFUNCTION("""COMPUTED_VALUE"""),689)</f>
        <v>689</v>
      </c>
      <c r="R32" s="1">
        <f ca="1">IFERROR(__xludf.DUMMYFUNCTION("""COMPUTED_VALUE"""),1720)</f>
        <v>1720</v>
      </c>
      <c r="S32" s="1">
        <f ca="1">IFERROR(__xludf.DUMMYFUNCTION("""COMPUTED_VALUE"""),0.401)</f>
        <v>0.40100000000000002</v>
      </c>
      <c r="T32" s="1">
        <f ca="1">IFERROR(__xludf.DUMMYFUNCTION("""COMPUTED_VALUE"""),151)</f>
        <v>151</v>
      </c>
      <c r="U32" s="1">
        <f ca="1">IFERROR(__xludf.DUMMYFUNCTION("""COMPUTED_VALUE"""),503)</f>
        <v>503</v>
      </c>
      <c r="V32" s="1">
        <f ca="1">IFERROR(__xludf.DUMMYFUNCTION("""COMPUTED_VALUE"""),0.3)</f>
        <v>0.3</v>
      </c>
      <c r="W32" s="1">
        <f ca="1">IFERROR(__xludf.DUMMYFUNCTION("""COMPUTED_VALUE"""),426)</f>
        <v>426</v>
      </c>
      <c r="X32" s="1">
        <f ca="1">IFERROR(__xludf.DUMMYFUNCTION("""COMPUTED_VALUE"""),625)</f>
        <v>625</v>
      </c>
      <c r="Y32" s="1">
        <f ca="1">IFERROR(__xludf.DUMMYFUNCTION("""COMPUTED_VALUE"""),0.682)</f>
        <v>0.68200000000000005</v>
      </c>
      <c r="Z32" s="1">
        <f ca="1">IFERROR(__xludf.DUMMYFUNCTION("""COMPUTED_VALUE"""),302)</f>
        <v>302</v>
      </c>
      <c r="AA32" s="1">
        <f ca="1">IFERROR(__xludf.DUMMYFUNCTION("""COMPUTED_VALUE"""),985)</f>
        <v>985</v>
      </c>
      <c r="AB32" s="1">
        <f ca="1">IFERROR(__xludf.DUMMYFUNCTION("""COMPUTED_VALUE"""),343)</f>
        <v>343</v>
      </c>
      <c r="AC32" s="1">
        <f ca="1">IFERROR(__xludf.DUMMYFUNCTION("""COMPUTED_VALUE"""),204)</f>
        <v>204</v>
      </c>
      <c r="AD32" s="1">
        <f ca="1">IFERROR(__xludf.DUMMYFUNCTION("""COMPUTED_VALUE"""),99)</f>
        <v>99</v>
      </c>
      <c r="AE32" s="1">
        <f ca="1">IFERROR(__xludf.DUMMYFUNCTION("""COMPUTED_VALUE"""),438)</f>
        <v>438</v>
      </c>
      <c r="AF32" s="1">
        <f ca="1">IFERROR(__xludf.DUMMYFUNCTION("""COMPUTED_VALUE"""),550)</f>
        <v>550</v>
      </c>
    </row>
    <row r="33" spans="1:32" ht="12.5" x14ac:dyDescent="0.25">
      <c r="A33" s="1" t="str">
        <f ca="1">IFERROR(__xludf.DUMMYFUNCTION("""COMPUTED_VALUE"""),"Brigham YoungNCAA")</f>
        <v>Brigham YoungNCAA</v>
      </c>
      <c r="B33" s="1">
        <f ca="1">IFERROR(__xludf.DUMMYFUNCTION("""COMPUTED_VALUE"""),35)</f>
        <v>35</v>
      </c>
      <c r="C33" s="1">
        <f ca="1">IFERROR(__xludf.DUMMYFUNCTION("""COMPUTED_VALUE"""),26)</f>
        <v>26</v>
      </c>
      <c r="D33" s="1">
        <f ca="1">IFERROR(__xludf.DUMMYFUNCTION("""COMPUTED_VALUE"""),9)</f>
        <v>9</v>
      </c>
      <c r="E33" s="1">
        <f ca="1">IFERROR(__xludf.DUMMYFUNCTION("""COMPUTED_VALUE"""),0.743)</f>
        <v>0.74299999999999999</v>
      </c>
      <c r="F33" s="1">
        <f ca="1">IFERROR(__xludf.DUMMYFUNCTION("""COMPUTED_VALUE"""),11.25)</f>
        <v>11.25</v>
      </c>
      <c r="G33" s="1">
        <f ca="1">IFERROR(__xludf.DUMMYFUNCTION("""COMPUTED_VALUE"""),1.55)</f>
        <v>1.55</v>
      </c>
      <c r="H33" s="1">
        <f ca="1">IFERROR(__xludf.DUMMYFUNCTION("""COMPUTED_VALUE"""),12)</f>
        <v>12</v>
      </c>
      <c r="I33" s="1">
        <f ca="1">IFERROR(__xludf.DUMMYFUNCTION("""COMPUTED_VALUE"""),4)</f>
        <v>4</v>
      </c>
      <c r="J33" s="1">
        <f ca="1">IFERROR(__xludf.DUMMYFUNCTION("""COMPUTED_VALUE"""),13)</f>
        <v>13</v>
      </c>
      <c r="K33" s="1">
        <f ca="1">IFERROR(__xludf.DUMMYFUNCTION("""COMPUTED_VALUE"""),3)</f>
        <v>3</v>
      </c>
      <c r="L33" s="1">
        <f ca="1">IFERROR(__xludf.DUMMYFUNCTION("""COMPUTED_VALUE"""),8)</f>
        <v>8</v>
      </c>
      <c r="M33" s="1">
        <f ca="1">IFERROR(__xludf.DUMMYFUNCTION("""COMPUTED_VALUE"""),3)</f>
        <v>3</v>
      </c>
      <c r="N33" s="1">
        <f ca="1">IFERROR(__xludf.DUMMYFUNCTION("""COMPUTED_VALUE"""),2727)</f>
        <v>2727</v>
      </c>
      <c r="O33" s="1">
        <f ca="1">IFERROR(__xludf.DUMMYFUNCTION("""COMPUTED_VALUE"""),2358)</f>
        <v>2358</v>
      </c>
      <c r="P33" s="1">
        <f ca="1">IFERROR(__xludf.DUMMYFUNCTION("""COMPUTED_VALUE"""),1400)</f>
        <v>1400</v>
      </c>
      <c r="Q33" s="1">
        <f ca="1">IFERROR(__xludf.DUMMYFUNCTION("""COMPUTED_VALUE"""),977)</f>
        <v>977</v>
      </c>
      <c r="R33" s="1">
        <f ca="1">IFERROR(__xludf.DUMMYFUNCTION("""COMPUTED_VALUE"""),2099)</f>
        <v>2099</v>
      </c>
      <c r="S33" s="1">
        <f ca="1">IFERROR(__xludf.DUMMYFUNCTION("""COMPUTED_VALUE"""),0.465)</f>
        <v>0.46500000000000002</v>
      </c>
      <c r="T33" s="1">
        <f ca="1">IFERROR(__xludf.DUMMYFUNCTION("""COMPUTED_VALUE"""),233)</f>
        <v>233</v>
      </c>
      <c r="U33" s="1">
        <f ca="1">IFERROR(__xludf.DUMMYFUNCTION("""COMPUTED_VALUE"""),679)</f>
        <v>679</v>
      </c>
      <c r="V33" s="1">
        <f ca="1">IFERROR(__xludf.DUMMYFUNCTION("""COMPUTED_VALUE"""),0.343)</f>
        <v>0.34300000000000003</v>
      </c>
      <c r="W33" s="1">
        <f ca="1">IFERROR(__xludf.DUMMYFUNCTION("""COMPUTED_VALUE"""),540)</f>
        <v>540</v>
      </c>
      <c r="X33" s="1">
        <f ca="1">IFERROR(__xludf.DUMMYFUNCTION("""COMPUTED_VALUE"""),771)</f>
        <v>771</v>
      </c>
      <c r="Y33" s="1">
        <f ca="1">IFERROR(__xludf.DUMMYFUNCTION("""COMPUTED_VALUE"""),0.7)</f>
        <v>0.7</v>
      </c>
      <c r="Z33" s="1">
        <f ca="1">IFERROR(__xludf.DUMMYFUNCTION("""COMPUTED_VALUE"""),381)</f>
        <v>381</v>
      </c>
      <c r="AA33" s="1">
        <f ca="1">IFERROR(__xludf.DUMMYFUNCTION("""COMPUTED_VALUE"""),1223)</f>
        <v>1223</v>
      </c>
      <c r="AB33" s="1">
        <f ca="1">IFERROR(__xludf.DUMMYFUNCTION("""COMPUTED_VALUE"""),599)</f>
        <v>599</v>
      </c>
      <c r="AC33" s="1">
        <f ca="1">IFERROR(__xludf.DUMMYFUNCTION("""COMPUTED_VALUE"""),296)</f>
        <v>296</v>
      </c>
      <c r="AD33" s="1">
        <f ca="1">IFERROR(__xludf.DUMMYFUNCTION("""COMPUTED_VALUE"""),154)</f>
        <v>154</v>
      </c>
      <c r="AE33" s="1">
        <f ca="1">IFERROR(__xludf.DUMMYFUNCTION("""COMPUTED_VALUE"""),473)</f>
        <v>473</v>
      </c>
      <c r="AF33" s="1">
        <f ca="1">IFERROR(__xludf.DUMMYFUNCTION("""COMPUTED_VALUE"""),637)</f>
        <v>637</v>
      </c>
    </row>
    <row r="34" spans="1:32" ht="12.5" x14ac:dyDescent="0.25">
      <c r="A34" s="1" t="str">
        <f ca="1">IFERROR(__xludf.DUMMYFUNCTION("""COMPUTED_VALUE"""),"Brown")</f>
        <v>Brown</v>
      </c>
      <c r="B34" s="1">
        <f ca="1">IFERROR(__xludf.DUMMYFUNCTION("""COMPUTED_VALUE"""),31)</f>
        <v>31</v>
      </c>
      <c r="C34" s="1">
        <f ca="1">IFERROR(__xludf.DUMMYFUNCTION("""COMPUTED_VALUE"""),8)</f>
        <v>8</v>
      </c>
      <c r="D34" s="1">
        <f ca="1">IFERROR(__xludf.DUMMYFUNCTION("""COMPUTED_VALUE"""),23)</f>
        <v>23</v>
      </c>
      <c r="E34" s="1">
        <f ca="1">IFERROR(__xludf.DUMMYFUNCTION("""COMPUTED_VALUE"""),0.258)</f>
        <v>0.25800000000000001</v>
      </c>
      <c r="F34" s="1">
        <f ca="1">IFERROR(__xludf.DUMMYFUNCTION("""COMPUTED_VALUE"""),-12.52)</f>
        <v>-12.52</v>
      </c>
      <c r="G34" s="1">
        <f ca="1">IFERROR(__xludf.DUMMYFUNCTION("""COMPUTED_VALUE"""),-3.62)</f>
        <v>-3.62</v>
      </c>
      <c r="H34" s="1">
        <f ca="1">IFERROR(__xludf.DUMMYFUNCTION("""COMPUTED_VALUE"""),2)</f>
        <v>2</v>
      </c>
      <c r="I34" s="1">
        <f ca="1">IFERROR(__xludf.DUMMYFUNCTION("""COMPUTED_VALUE"""),12)</f>
        <v>12</v>
      </c>
      <c r="J34" s="1">
        <f ca="1">IFERROR(__xludf.DUMMYFUNCTION("""COMPUTED_VALUE"""),6)</f>
        <v>6</v>
      </c>
      <c r="K34" s="1">
        <f ca="1">IFERROR(__xludf.DUMMYFUNCTION("""COMPUTED_VALUE"""),9)</f>
        <v>9</v>
      </c>
      <c r="L34" s="1">
        <f ca="1">IFERROR(__xludf.DUMMYFUNCTION("""COMPUTED_VALUE"""),1)</f>
        <v>1</v>
      </c>
      <c r="M34" s="1">
        <f ca="1">IFERROR(__xludf.DUMMYFUNCTION("""COMPUTED_VALUE"""),12)</f>
        <v>12</v>
      </c>
      <c r="N34" s="1">
        <f ca="1">IFERROR(__xludf.DUMMYFUNCTION("""COMPUTED_VALUE"""),1907)</f>
        <v>1907</v>
      </c>
      <c r="O34" s="1">
        <f ca="1">IFERROR(__xludf.DUMMYFUNCTION("""COMPUTED_VALUE"""),2154)</f>
        <v>2154</v>
      </c>
      <c r="P34" s="1">
        <f ca="1">IFERROR(__xludf.DUMMYFUNCTION("""COMPUTED_VALUE"""),1240)</f>
        <v>1240</v>
      </c>
      <c r="Q34" s="1">
        <f ca="1">IFERROR(__xludf.DUMMYFUNCTION("""COMPUTED_VALUE"""),685)</f>
        <v>685</v>
      </c>
      <c r="R34" s="1">
        <f ca="1">IFERROR(__xludf.DUMMYFUNCTION("""COMPUTED_VALUE"""),1695)</f>
        <v>1695</v>
      </c>
      <c r="S34" s="1">
        <f ca="1">IFERROR(__xludf.DUMMYFUNCTION("""COMPUTED_VALUE"""),0.404)</f>
        <v>0.40400000000000003</v>
      </c>
      <c r="T34" s="1">
        <f ca="1">IFERROR(__xludf.DUMMYFUNCTION("""COMPUTED_VALUE"""),234)</f>
        <v>234</v>
      </c>
      <c r="U34" s="1">
        <f ca="1">IFERROR(__xludf.DUMMYFUNCTION("""COMPUTED_VALUE"""),647)</f>
        <v>647</v>
      </c>
      <c r="V34" s="1">
        <f ca="1">IFERROR(__xludf.DUMMYFUNCTION("""COMPUTED_VALUE"""),0.362)</f>
        <v>0.36199999999999999</v>
      </c>
      <c r="W34" s="1">
        <f ca="1">IFERROR(__xludf.DUMMYFUNCTION("""COMPUTED_VALUE"""),303)</f>
        <v>303</v>
      </c>
      <c r="X34" s="1">
        <f ca="1">IFERROR(__xludf.DUMMYFUNCTION("""COMPUTED_VALUE"""),483)</f>
        <v>483</v>
      </c>
      <c r="Y34" s="1">
        <f ca="1">IFERROR(__xludf.DUMMYFUNCTION("""COMPUTED_VALUE"""),0.627)</f>
        <v>0.627</v>
      </c>
      <c r="Z34" s="1">
        <f ca="1">IFERROR(__xludf.DUMMYFUNCTION("""COMPUTED_VALUE"""),280)</f>
        <v>280</v>
      </c>
      <c r="AA34" s="1">
        <f ca="1">IFERROR(__xludf.DUMMYFUNCTION("""COMPUTED_VALUE"""),928)</f>
        <v>928</v>
      </c>
      <c r="AB34" s="1">
        <f ca="1">IFERROR(__xludf.DUMMYFUNCTION("""COMPUTED_VALUE"""),413)</f>
        <v>413</v>
      </c>
      <c r="AC34" s="1">
        <f ca="1">IFERROR(__xludf.DUMMYFUNCTION("""COMPUTED_VALUE"""),162)</f>
        <v>162</v>
      </c>
      <c r="AD34" s="1">
        <f ca="1">IFERROR(__xludf.DUMMYFUNCTION("""COMPUTED_VALUE"""),79)</f>
        <v>79</v>
      </c>
      <c r="AE34" s="1">
        <f ca="1">IFERROR(__xludf.DUMMYFUNCTION("""COMPUTED_VALUE"""),382)</f>
        <v>382</v>
      </c>
      <c r="AF34" s="1">
        <f ca="1">IFERROR(__xludf.DUMMYFUNCTION("""COMPUTED_VALUE"""),497)</f>
        <v>497</v>
      </c>
    </row>
    <row r="35" spans="1:32" ht="12.5" x14ac:dyDescent="0.25">
      <c r="A35" s="1" t="str">
        <f ca="1">IFERROR(__xludf.DUMMYFUNCTION("""COMPUTED_VALUE"""),"Bryant")</f>
        <v>Bryant</v>
      </c>
      <c r="B35" s="1">
        <f ca="1">IFERROR(__xludf.DUMMYFUNCTION("""COMPUTED_VALUE"""),30)</f>
        <v>30</v>
      </c>
      <c r="C35" s="1">
        <f ca="1">IFERROR(__xludf.DUMMYFUNCTION("""COMPUTED_VALUE"""),2)</f>
        <v>2</v>
      </c>
      <c r="D35" s="1">
        <f ca="1">IFERROR(__xludf.DUMMYFUNCTION("""COMPUTED_VALUE"""),28)</f>
        <v>28</v>
      </c>
      <c r="E35" s="1">
        <f ca="1">IFERROR(__xludf.DUMMYFUNCTION("""COMPUTED_VALUE"""),0.067)</f>
        <v>6.7000000000000004E-2</v>
      </c>
      <c r="F35" s="1">
        <f ca="1">IFERROR(__xludf.DUMMYFUNCTION("""COMPUTED_VALUE"""),-17.9)</f>
        <v>-17.899999999999999</v>
      </c>
      <c r="G35" s="1">
        <f ca="1">IFERROR(__xludf.DUMMYFUNCTION("""COMPUTED_VALUE"""),-4.27)</f>
        <v>-4.2699999999999996</v>
      </c>
      <c r="H35" s="1">
        <f ca="1">IFERROR(__xludf.DUMMYFUNCTION("""COMPUTED_VALUE"""),1)</f>
        <v>1</v>
      </c>
      <c r="I35" s="1">
        <f ca="1">IFERROR(__xludf.DUMMYFUNCTION("""COMPUTED_VALUE"""),17)</f>
        <v>17</v>
      </c>
      <c r="J35" s="1">
        <f ca="1">IFERROR(__xludf.DUMMYFUNCTION("""COMPUTED_VALUE"""),1)</f>
        <v>1</v>
      </c>
      <c r="K35" s="1">
        <f ca="1">IFERROR(__xludf.DUMMYFUNCTION("""COMPUTED_VALUE"""),10)</f>
        <v>10</v>
      </c>
      <c r="L35" s="1">
        <f ca="1">IFERROR(__xludf.DUMMYFUNCTION("""COMPUTED_VALUE"""),0)</f>
        <v>0</v>
      </c>
      <c r="M35" s="1">
        <f ca="1">IFERROR(__xludf.DUMMYFUNCTION("""COMPUTED_VALUE"""),17)</f>
        <v>17</v>
      </c>
      <c r="N35" s="1">
        <f ca="1">IFERROR(__xludf.DUMMYFUNCTION("""COMPUTED_VALUE"""),1852)</f>
        <v>1852</v>
      </c>
      <c r="O35" s="1">
        <f ca="1">IFERROR(__xludf.DUMMYFUNCTION("""COMPUTED_VALUE"""),2261)</f>
        <v>2261</v>
      </c>
      <c r="P35" s="1">
        <f ca="1">IFERROR(__xludf.DUMMYFUNCTION("""COMPUTED_VALUE"""),1205)</f>
        <v>1205</v>
      </c>
      <c r="Q35" s="1">
        <f ca="1">IFERROR(__xludf.DUMMYFUNCTION("""COMPUTED_VALUE"""),656)</f>
        <v>656</v>
      </c>
      <c r="R35" s="1">
        <f ca="1">IFERROR(__xludf.DUMMYFUNCTION("""COMPUTED_VALUE"""),1626)</f>
        <v>1626</v>
      </c>
      <c r="S35" s="1">
        <f ca="1">IFERROR(__xludf.DUMMYFUNCTION("""COMPUTED_VALUE"""),0.403)</f>
        <v>0.40300000000000002</v>
      </c>
      <c r="T35" s="1">
        <f ca="1">IFERROR(__xludf.DUMMYFUNCTION("""COMPUTED_VALUE"""),209)</f>
        <v>209</v>
      </c>
      <c r="U35" s="1">
        <f ca="1">IFERROR(__xludf.DUMMYFUNCTION("""COMPUTED_VALUE"""),690)</f>
        <v>690</v>
      </c>
      <c r="V35" s="1">
        <f ca="1">IFERROR(__xludf.DUMMYFUNCTION("""COMPUTED_VALUE"""),0.303)</f>
        <v>0.30299999999999999</v>
      </c>
      <c r="W35" s="1">
        <f ca="1">IFERROR(__xludf.DUMMYFUNCTION("""COMPUTED_VALUE"""),331)</f>
        <v>331</v>
      </c>
      <c r="X35" s="1">
        <f ca="1">IFERROR(__xludf.DUMMYFUNCTION("""COMPUTED_VALUE"""),480)</f>
        <v>480</v>
      </c>
      <c r="Y35" s="1">
        <f ca="1">IFERROR(__xludf.DUMMYFUNCTION("""COMPUTED_VALUE"""),0.69)</f>
        <v>0.69</v>
      </c>
      <c r="Z35" s="1">
        <f ca="1">IFERROR(__xludf.DUMMYFUNCTION("""COMPUTED_VALUE"""),293)</f>
        <v>293</v>
      </c>
      <c r="AA35" s="1">
        <f ca="1">IFERROR(__xludf.DUMMYFUNCTION("""COMPUTED_VALUE"""),854)</f>
        <v>854</v>
      </c>
      <c r="AB35" s="1">
        <f ca="1">IFERROR(__xludf.DUMMYFUNCTION("""COMPUTED_VALUE"""),376)</f>
        <v>376</v>
      </c>
      <c r="AC35" s="1">
        <f ca="1">IFERROR(__xludf.DUMMYFUNCTION("""COMPUTED_VALUE"""),133)</f>
        <v>133</v>
      </c>
      <c r="AD35" s="1">
        <f ca="1">IFERROR(__xludf.DUMMYFUNCTION("""COMPUTED_VALUE"""),64)</f>
        <v>64</v>
      </c>
      <c r="AE35" s="1">
        <f ca="1">IFERROR(__xludf.DUMMYFUNCTION("""COMPUTED_VALUE"""),441)</f>
        <v>441</v>
      </c>
      <c r="AF35" s="1">
        <f ca="1">IFERROR(__xludf.DUMMYFUNCTION("""COMPUTED_VALUE"""),552)</f>
        <v>552</v>
      </c>
    </row>
    <row r="36" spans="1:32" ht="12.5" x14ac:dyDescent="0.25">
      <c r="A36" s="1" t="str">
        <f ca="1">IFERROR(__xludf.DUMMYFUNCTION("""COMPUTED_VALUE"""),"Bucknell")</f>
        <v>Bucknell</v>
      </c>
      <c r="B36" s="1">
        <f ca="1">IFERROR(__xludf.DUMMYFUNCTION("""COMPUTED_VALUE"""),35)</f>
        <v>35</v>
      </c>
      <c r="C36" s="1">
        <f ca="1">IFERROR(__xludf.DUMMYFUNCTION("""COMPUTED_VALUE"""),25)</f>
        <v>25</v>
      </c>
      <c r="D36" s="1">
        <f ca="1">IFERROR(__xludf.DUMMYFUNCTION("""COMPUTED_VALUE"""),10)</f>
        <v>10</v>
      </c>
      <c r="E36" s="1">
        <f ca="1">IFERROR(__xludf.DUMMYFUNCTION("""COMPUTED_VALUE"""),0.714)</f>
        <v>0.71399999999999997</v>
      </c>
      <c r="F36" s="1">
        <f ca="1">IFERROR(__xludf.DUMMYFUNCTION("""COMPUTED_VALUE"""),3.57)</f>
        <v>3.57</v>
      </c>
      <c r="G36" s="1">
        <f ca="1">IFERROR(__xludf.DUMMYFUNCTION("""COMPUTED_VALUE"""),-3.08)</f>
        <v>-3.08</v>
      </c>
      <c r="H36" s="1">
        <f ca="1">IFERROR(__xludf.DUMMYFUNCTION("""COMPUTED_VALUE"""),12)</f>
        <v>12</v>
      </c>
      <c r="I36" s="1">
        <f ca="1">IFERROR(__xludf.DUMMYFUNCTION("""COMPUTED_VALUE"""),2)</f>
        <v>2</v>
      </c>
      <c r="J36" s="1">
        <f ca="1">IFERROR(__xludf.DUMMYFUNCTION("""COMPUTED_VALUE"""),14)</f>
        <v>14</v>
      </c>
      <c r="K36" s="1">
        <f ca="1">IFERROR(__xludf.DUMMYFUNCTION("""COMPUTED_VALUE"""),3)</f>
        <v>3</v>
      </c>
      <c r="L36" s="1">
        <f ca="1">IFERROR(__xludf.DUMMYFUNCTION("""COMPUTED_VALUE"""),11)</f>
        <v>11</v>
      </c>
      <c r="M36" s="1">
        <f ca="1">IFERROR(__xludf.DUMMYFUNCTION("""COMPUTED_VALUE"""),7)</f>
        <v>7</v>
      </c>
      <c r="N36" s="1">
        <f ca="1">IFERROR(__xludf.DUMMYFUNCTION("""COMPUTED_VALUE"""),2410)</f>
        <v>2410</v>
      </c>
      <c r="O36" s="1">
        <f ca="1">IFERROR(__xludf.DUMMYFUNCTION("""COMPUTED_VALUE"""),2147)</f>
        <v>2147</v>
      </c>
      <c r="P36" s="1">
        <f ca="1">IFERROR(__xludf.DUMMYFUNCTION("""COMPUTED_VALUE"""),1400)</f>
        <v>1400</v>
      </c>
      <c r="Q36" s="1">
        <f ca="1">IFERROR(__xludf.DUMMYFUNCTION("""COMPUTED_VALUE"""),836)</f>
        <v>836</v>
      </c>
      <c r="R36" s="1">
        <f ca="1">IFERROR(__xludf.DUMMYFUNCTION("""COMPUTED_VALUE"""),1813)</f>
        <v>1813</v>
      </c>
      <c r="S36" s="1">
        <f ca="1">IFERROR(__xludf.DUMMYFUNCTION("""COMPUTED_VALUE"""),0.461)</f>
        <v>0.46100000000000002</v>
      </c>
      <c r="T36" s="1">
        <f ca="1">IFERROR(__xludf.DUMMYFUNCTION("""COMPUTED_VALUE"""),206)</f>
        <v>206</v>
      </c>
      <c r="U36" s="1">
        <f ca="1">IFERROR(__xludf.DUMMYFUNCTION("""COMPUTED_VALUE"""),526)</f>
        <v>526</v>
      </c>
      <c r="V36" s="1">
        <f ca="1">IFERROR(__xludf.DUMMYFUNCTION("""COMPUTED_VALUE"""),0.392)</f>
        <v>0.39200000000000002</v>
      </c>
      <c r="W36" s="1">
        <f ca="1">IFERROR(__xludf.DUMMYFUNCTION("""COMPUTED_VALUE"""),532)</f>
        <v>532</v>
      </c>
      <c r="X36" s="1">
        <f ca="1">IFERROR(__xludf.DUMMYFUNCTION("""COMPUTED_VALUE"""),687)</f>
        <v>687</v>
      </c>
      <c r="Y36" s="1">
        <f ca="1">IFERROR(__xludf.DUMMYFUNCTION("""COMPUTED_VALUE"""),0.774)</f>
        <v>0.77400000000000002</v>
      </c>
      <c r="Z36" s="1">
        <f ca="1">IFERROR(__xludf.DUMMYFUNCTION("""COMPUTED_VALUE"""),314)</f>
        <v>314</v>
      </c>
      <c r="AA36" s="1">
        <f ca="1">IFERROR(__xludf.DUMMYFUNCTION("""COMPUTED_VALUE"""),1135)</f>
        <v>1135</v>
      </c>
      <c r="AB36" s="1">
        <f ca="1">IFERROR(__xludf.DUMMYFUNCTION("""COMPUTED_VALUE"""),478)</f>
        <v>478</v>
      </c>
      <c r="AC36" s="1">
        <f ca="1">IFERROR(__xludf.DUMMYFUNCTION("""COMPUTED_VALUE"""),152)</f>
        <v>152</v>
      </c>
      <c r="AD36" s="1">
        <f ca="1">IFERROR(__xludf.DUMMYFUNCTION("""COMPUTED_VALUE"""),112)</f>
        <v>112</v>
      </c>
      <c r="AE36" s="1">
        <f ca="1">IFERROR(__xludf.DUMMYFUNCTION("""COMPUTED_VALUE"""),416)</f>
        <v>416</v>
      </c>
      <c r="AF36" s="1">
        <f ca="1">IFERROR(__xludf.DUMMYFUNCTION("""COMPUTED_VALUE"""),595)</f>
        <v>595</v>
      </c>
    </row>
    <row r="37" spans="1:32" ht="12.5" x14ac:dyDescent="0.25">
      <c r="A37" s="1" t="str">
        <f ca="1">IFERROR(__xludf.DUMMYFUNCTION("""COMPUTED_VALUE"""),"Buffalo")</f>
        <v>Buffalo</v>
      </c>
      <c r="B37" s="1">
        <f ca="1">IFERROR(__xludf.DUMMYFUNCTION("""COMPUTED_VALUE"""),31)</f>
        <v>31</v>
      </c>
      <c r="C37" s="1">
        <f ca="1">IFERROR(__xludf.DUMMYFUNCTION("""COMPUTED_VALUE"""),20)</f>
        <v>20</v>
      </c>
      <c r="D37" s="1">
        <f ca="1">IFERROR(__xludf.DUMMYFUNCTION("""COMPUTED_VALUE"""),11)</f>
        <v>11</v>
      </c>
      <c r="E37" s="1">
        <f ca="1">IFERROR(__xludf.DUMMYFUNCTION("""COMPUTED_VALUE"""),0.645)</f>
        <v>0.64500000000000002</v>
      </c>
      <c r="F37" s="1">
        <f ca="1">IFERROR(__xludf.DUMMYFUNCTION("""COMPUTED_VALUE"""),4.15)</f>
        <v>4.1500000000000004</v>
      </c>
      <c r="G37" s="1">
        <f ca="1">IFERROR(__xludf.DUMMYFUNCTION("""COMPUTED_VALUE"""),0.15)</f>
        <v>0.15</v>
      </c>
      <c r="H37" s="1">
        <f ca="1">IFERROR(__xludf.DUMMYFUNCTION("""COMPUTED_VALUE"""),12)</f>
        <v>12</v>
      </c>
      <c r="I37" s="1">
        <f ca="1">IFERROR(__xludf.DUMMYFUNCTION("""COMPUTED_VALUE"""),4)</f>
        <v>4</v>
      </c>
      <c r="J37" s="1">
        <f ca="1">IFERROR(__xludf.DUMMYFUNCTION("""COMPUTED_VALUE"""),12)</f>
        <v>12</v>
      </c>
      <c r="K37" s="1">
        <f ca="1">IFERROR(__xludf.DUMMYFUNCTION("""COMPUTED_VALUE"""),2)</f>
        <v>2</v>
      </c>
      <c r="L37" s="1">
        <f ca="1">IFERROR(__xludf.DUMMYFUNCTION("""COMPUTED_VALUE"""),8)</f>
        <v>8</v>
      </c>
      <c r="M37" s="1">
        <f ca="1">IFERROR(__xludf.DUMMYFUNCTION("""COMPUTED_VALUE"""),8)</f>
        <v>8</v>
      </c>
      <c r="N37" s="1">
        <f ca="1">IFERROR(__xludf.DUMMYFUNCTION("""COMPUTED_VALUE"""),2262)</f>
        <v>2262</v>
      </c>
      <c r="O37" s="1">
        <f ca="1">IFERROR(__xludf.DUMMYFUNCTION("""COMPUTED_VALUE"""),2090)</f>
        <v>2090</v>
      </c>
      <c r="P37" s="1">
        <f ca="1">IFERROR(__xludf.DUMMYFUNCTION("""COMPUTED_VALUE"""),1245)</f>
        <v>1245</v>
      </c>
      <c r="Q37" s="1">
        <f ca="1">IFERROR(__xludf.DUMMYFUNCTION("""COMPUTED_VALUE"""),806)</f>
        <v>806</v>
      </c>
      <c r="R37" s="1">
        <f ca="1">IFERROR(__xludf.DUMMYFUNCTION("""COMPUTED_VALUE"""),1734)</f>
        <v>1734</v>
      </c>
      <c r="S37" s="1">
        <f ca="1">IFERROR(__xludf.DUMMYFUNCTION("""COMPUTED_VALUE"""),0.465)</f>
        <v>0.46500000000000002</v>
      </c>
      <c r="T37" s="1">
        <f ca="1">IFERROR(__xludf.DUMMYFUNCTION("""COMPUTED_VALUE"""),212)</f>
        <v>212</v>
      </c>
      <c r="U37" s="1">
        <f ca="1">IFERROR(__xludf.DUMMYFUNCTION("""COMPUTED_VALUE"""),601)</f>
        <v>601</v>
      </c>
      <c r="V37" s="1">
        <f ca="1">IFERROR(__xludf.DUMMYFUNCTION("""COMPUTED_VALUE"""),0.353)</f>
        <v>0.35299999999999998</v>
      </c>
      <c r="W37" s="1">
        <f ca="1">IFERROR(__xludf.DUMMYFUNCTION("""COMPUTED_VALUE"""),438)</f>
        <v>438</v>
      </c>
      <c r="X37" s="1">
        <f ca="1">IFERROR(__xludf.DUMMYFUNCTION("""COMPUTED_VALUE"""),665)</f>
        <v>665</v>
      </c>
      <c r="Y37" s="1">
        <f ca="1">IFERROR(__xludf.DUMMYFUNCTION("""COMPUTED_VALUE"""),0.659)</f>
        <v>0.65900000000000003</v>
      </c>
      <c r="Z37" s="1">
        <f ca="1">IFERROR(__xludf.DUMMYFUNCTION("""COMPUTED_VALUE"""),374)</f>
        <v>374</v>
      </c>
      <c r="AA37" s="1">
        <f ca="1">IFERROR(__xludf.DUMMYFUNCTION("""COMPUTED_VALUE"""),1128)</f>
        <v>1128</v>
      </c>
      <c r="AB37" s="1">
        <f ca="1">IFERROR(__xludf.DUMMYFUNCTION("""COMPUTED_VALUE"""),511)</f>
        <v>511</v>
      </c>
      <c r="AC37" s="1">
        <f ca="1">IFERROR(__xludf.DUMMYFUNCTION("""COMPUTED_VALUE"""),174)</f>
        <v>174</v>
      </c>
      <c r="AD37" s="1">
        <f ca="1">IFERROR(__xludf.DUMMYFUNCTION("""COMPUTED_VALUE"""),157)</f>
        <v>157</v>
      </c>
      <c r="AE37" s="1">
        <f ca="1">IFERROR(__xludf.DUMMYFUNCTION("""COMPUTED_VALUE"""),465)</f>
        <v>465</v>
      </c>
      <c r="AF37" s="1">
        <f ca="1">IFERROR(__xludf.DUMMYFUNCTION("""COMPUTED_VALUE"""),549)</f>
        <v>549</v>
      </c>
    </row>
    <row r="38" spans="1:32" ht="12.5" x14ac:dyDescent="0.25">
      <c r="A38" s="1" t="str">
        <f ca="1">IFERROR(__xludf.DUMMYFUNCTION("""COMPUTED_VALUE"""),"Butler")</f>
        <v>Butler</v>
      </c>
      <c r="B38" s="1">
        <f ca="1">IFERROR(__xludf.DUMMYFUNCTION("""COMPUTED_VALUE"""),37)</f>
        <v>37</v>
      </c>
      <c r="C38" s="1">
        <f ca="1">IFERROR(__xludf.DUMMYFUNCTION("""COMPUTED_VALUE"""),22)</f>
        <v>22</v>
      </c>
      <c r="D38" s="1">
        <f ca="1">IFERROR(__xludf.DUMMYFUNCTION("""COMPUTED_VALUE"""),15)</f>
        <v>15</v>
      </c>
      <c r="E38" s="1">
        <f ca="1">IFERROR(__xludf.DUMMYFUNCTION("""COMPUTED_VALUE"""),0.595)</f>
        <v>0.59499999999999997</v>
      </c>
      <c r="F38" s="1">
        <f ca="1">IFERROR(__xludf.DUMMYFUNCTION("""COMPUTED_VALUE"""),2.86)</f>
        <v>2.86</v>
      </c>
      <c r="G38" s="1">
        <f ca="1">IFERROR(__xludf.DUMMYFUNCTION("""COMPUTED_VALUE"""),1.14)</f>
        <v>1.1399999999999999</v>
      </c>
      <c r="H38" s="1">
        <f ca="1">IFERROR(__xludf.DUMMYFUNCTION("""COMPUTED_VALUE"""),11)</f>
        <v>11</v>
      </c>
      <c r="I38" s="1">
        <f ca="1">IFERROR(__xludf.DUMMYFUNCTION("""COMPUTED_VALUE"""),7)</f>
        <v>7</v>
      </c>
      <c r="J38" s="1">
        <f ca="1">IFERROR(__xludf.DUMMYFUNCTION("""COMPUTED_VALUE"""),13)</f>
        <v>13</v>
      </c>
      <c r="K38" s="1">
        <f ca="1">IFERROR(__xludf.DUMMYFUNCTION("""COMPUTED_VALUE"""),6)</f>
        <v>6</v>
      </c>
      <c r="L38" s="1">
        <f ca="1">IFERROR(__xludf.DUMMYFUNCTION("""COMPUTED_VALUE"""),7)</f>
        <v>7</v>
      </c>
      <c r="M38" s="1">
        <f ca="1">IFERROR(__xludf.DUMMYFUNCTION("""COMPUTED_VALUE"""),9)</f>
        <v>9</v>
      </c>
      <c r="N38" s="1">
        <f ca="1">IFERROR(__xludf.DUMMYFUNCTION("""COMPUTED_VALUE"""),2352)</f>
        <v>2352</v>
      </c>
      <c r="O38" s="1">
        <f ca="1">IFERROR(__xludf.DUMMYFUNCTION("""COMPUTED_VALUE"""),2245)</f>
        <v>2245</v>
      </c>
      <c r="P38" s="1">
        <f ca="1">IFERROR(__xludf.DUMMYFUNCTION("""COMPUTED_VALUE"""),1495)</f>
        <v>1495</v>
      </c>
      <c r="Q38" s="1">
        <f ca="1">IFERROR(__xludf.DUMMYFUNCTION("""COMPUTED_VALUE"""),823)</f>
        <v>823</v>
      </c>
      <c r="R38" s="1">
        <f ca="1">IFERROR(__xludf.DUMMYFUNCTION("""COMPUTED_VALUE"""),2014)</f>
        <v>2014</v>
      </c>
      <c r="S38" s="1">
        <f ca="1">IFERROR(__xludf.DUMMYFUNCTION("""COMPUTED_VALUE"""),0.409)</f>
        <v>0.40899999999999997</v>
      </c>
      <c r="T38" s="1">
        <f ca="1">IFERROR(__xludf.DUMMYFUNCTION("""COMPUTED_VALUE"""),183)</f>
        <v>183</v>
      </c>
      <c r="U38" s="1">
        <f ca="1">IFERROR(__xludf.DUMMYFUNCTION("""COMPUTED_VALUE"""),651)</f>
        <v>651</v>
      </c>
      <c r="V38" s="1">
        <f ca="1">IFERROR(__xludf.DUMMYFUNCTION("""COMPUTED_VALUE"""),0.281)</f>
        <v>0.28100000000000003</v>
      </c>
      <c r="W38" s="1">
        <f ca="1">IFERROR(__xludf.DUMMYFUNCTION("""COMPUTED_VALUE"""),523)</f>
        <v>523</v>
      </c>
      <c r="X38" s="1">
        <f ca="1">IFERROR(__xludf.DUMMYFUNCTION("""COMPUTED_VALUE"""),806)</f>
        <v>806</v>
      </c>
      <c r="Y38" s="1">
        <f ca="1">IFERROR(__xludf.DUMMYFUNCTION("""COMPUTED_VALUE"""),0.649)</f>
        <v>0.64900000000000002</v>
      </c>
      <c r="Z38" s="1">
        <f ca="1">IFERROR(__xludf.DUMMYFUNCTION("""COMPUTED_VALUE"""),468)</f>
        <v>468</v>
      </c>
      <c r="AA38" s="1">
        <f ca="1">IFERROR(__xludf.DUMMYFUNCTION("""COMPUTED_VALUE"""),1201)</f>
        <v>1201</v>
      </c>
      <c r="AB38" s="1">
        <f ca="1">IFERROR(__xludf.DUMMYFUNCTION("""COMPUTED_VALUE"""),454)</f>
        <v>454</v>
      </c>
      <c r="AC38" s="1">
        <f ca="1">IFERROR(__xludf.DUMMYFUNCTION("""COMPUTED_VALUE"""),239)</f>
        <v>239</v>
      </c>
      <c r="AD38" s="1">
        <f ca="1">IFERROR(__xludf.DUMMYFUNCTION("""COMPUTED_VALUE"""),123)</f>
        <v>123</v>
      </c>
      <c r="AE38" s="1">
        <f ca="1">IFERROR(__xludf.DUMMYFUNCTION("""COMPUTED_VALUE"""),485)</f>
        <v>485</v>
      </c>
      <c r="AF38" s="1">
        <f ca="1">IFERROR(__xludf.DUMMYFUNCTION("""COMPUTED_VALUE"""),715)</f>
        <v>715</v>
      </c>
    </row>
    <row r="39" spans="1:32" ht="12.5" x14ac:dyDescent="0.25">
      <c r="A39" s="1" t="str">
        <f ca="1">IFERROR(__xludf.DUMMYFUNCTION("""COMPUTED_VALUE"""),"Cal Poly")</f>
        <v>Cal Poly</v>
      </c>
      <c r="B39" s="1">
        <f ca="1">IFERROR(__xludf.DUMMYFUNCTION("""COMPUTED_VALUE"""),33)</f>
        <v>33</v>
      </c>
      <c r="C39" s="1">
        <f ca="1">IFERROR(__xludf.DUMMYFUNCTION("""COMPUTED_VALUE"""),18)</f>
        <v>18</v>
      </c>
      <c r="D39" s="1">
        <f ca="1">IFERROR(__xludf.DUMMYFUNCTION("""COMPUTED_VALUE"""),15)</f>
        <v>15</v>
      </c>
      <c r="E39" s="1">
        <f ca="1">IFERROR(__xludf.DUMMYFUNCTION("""COMPUTED_VALUE"""),0.545)</f>
        <v>0.54500000000000004</v>
      </c>
      <c r="F39" s="1">
        <f ca="1">IFERROR(__xludf.DUMMYFUNCTION("""COMPUTED_VALUE"""),-0.58)</f>
        <v>-0.57999999999999996</v>
      </c>
      <c r="G39" s="1">
        <f ca="1">IFERROR(__xludf.DUMMYFUNCTION("""COMPUTED_VALUE"""),-3.78)</f>
        <v>-3.78</v>
      </c>
      <c r="H39" s="1">
        <f ca="1">IFERROR(__xludf.DUMMYFUNCTION("""COMPUTED_VALUE"""),8)</f>
        <v>8</v>
      </c>
      <c r="I39" s="1">
        <f ca="1">IFERROR(__xludf.DUMMYFUNCTION("""COMPUTED_VALUE"""),8)</f>
        <v>8</v>
      </c>
      <c r="J39" s="1">
        <f ca="1">IFERROR(__xludf.DUMMYFUNCTION("""COMPUTED_VALUE"""),10)</f>
        <v>10</v>
      </c>
      <c r="K39" s="1">
        <f ca="1">IFERROR(__xludf.DUMMYFUNCTION("""COMPUTED_VALUE"""),4)</f>
        <v>4</v>
      </c>
      <c r="L39" s="1">
        <f ca="1">IFERROR(__xludf.DUMMYFUNCTION("""COMPUTED_VALUE"""),5)</f>
        <v>5</v>
      </c>
      <c r="M39" s="1">
        <f ca="1">IFERROR(__xludf.DUMMYFUNCTION("""COMPUTED_VALUE"""),10)</f>
        <v>10</v>
      </c>
      <c r="N39" s="1">
        <f ca="1">IFERROR(__xludf.DUMMYFUNCTION("""COMPUTED_VALUE"""),2136)</f>
        <v>2136</v>
      </c>
      <c r="O39" s="1">
        <f ca="1">IFERROR(__xludf.DUMMYFUNCTION("""COMPUTED_VALUE"""),1998)</f>
        <v>1998</v>
      </c>
      <c r="P39" s="1">
        <f ca="1">IFERROR(__xludf.DUMMYFUNCTION("""COMPUTED_VALUE"""),1320)</f>
        <v>1320</v>
      </c>
      <c r="Q39" s="1">
        <f ca="1">IFERROR(__xludf.DUMMYFUNCTION("""COMPUTED_VALUE"""),772)</f>
        <v>772</v>
      </c>
      <c r="R39" s="1">
        <f ca="1">IFERROR(__xludf.DUMMYFUNCTION("""COMPUTED_VALUE"""),1800)</f>
        <v>1800</v>
      </c>
      <c r="S39" s="1">
        <f ca="1">IFERROR(__xludf.DUMMYFUNCTION("""COMPUTED_VALUE"""),0.429)</f>
        <v>0.42899999999999999</v>
      </c>
      <c r="T39" s="1">
        <f ca="1">IFERROR(__xludf.DUMMYFUNCTION("""COMPUTED_VALUE"""),226)</f>
        <v>226</v>
      </c>
      <c r="U39" s="1">
        <f ca="1">IFERROR(__xludf.DUMMYFUNCTION("""COMPUTED_VALUE"""),642)</f>
        <v>642</v>
      </c>
      <c r="V39" s="1">
        <f ca="1">IFERROR(__xludf.DUMMYFUNCTION("""COMPUTED_VALUE"""),0.352)</f>
        <v>0.35199999999999998</v>
      </c>
      <c r="W39" s="1">
        <f ca="1">IFERROR(__xludf.DUMMYFUNCTION("""COMPUTED_VALUE"""),366)</f>
        <v>366</v>
      </c>
      <c r="X39" s="1">
        <f ca="1">IFERROR(__xludf.DUMMYFUNCTION("""COMPUTED_VALUE"""),524)</f>
        <v>524</v>
      </c>
      <c r="Y39" s="1">
        <f ca="1">IFERROR(__xludf.DUMMYFUNCTION("""COMPUTED_VALUE"""),0.698)</f>
        <v>0.69799999999999995</v>
      </c>
      <c r="Z39" s="1">
        <f ca="1">IFERROR(__xludf.DUMMYFUNCTION("""COMPUTED_VALUE"""),407)</f>
        <v>407</v>
      </c>
      <c r="AA39" s="1">
        <f ca="1">IFERROR(__xludf.DUMMYFUNCTION("""COMPUTED_VALUE"""),1033)</f>
        <v>1033</v>
      </c>
      <c r="AB39" s="1">
        <f ca="1">IFERROR(__xludf.DUMMYFUNCTION("""COMPUTED_VALUE"""),417)</f>
        <v>417</v>
      </c>
      <c r="AC39" s="1">
        <f ca="1">IFERROR(__xludf.DUMMYFUNCTION("""COMPUTED_VALUE"""),188)</f>
        <v>188</v>
      </c>
      <c r="AD39" s="1">
        <f ca="1">IFERROR(__xludf.DUMMYFUNCTION("""COMPUTED_VALUE"""),51)</f>
        <v>51</v>
      </c>
      <c r="AE39" s="1">
        <f ca="1">IFERROR(__xludf.DUMMYFUNCTION("""COMPUTED_VALUE"""),351)</f>
        <v>351</v>
      </c>
      <c r="AF39" s="1">
        <f ca="1">IFERROR(__xludf.DUMMYFUNCTION("""COMPUTED_VALUE"""),594)</f>
        <v>594</v>
      </c>
    </row>
    <row r="40" spans="1:32" ht="12.5" x14ac:dyDescent="0.25">
      <c r="A40" s="1" t="str">
        <f ca="1">IFERROR(__xludf.DUMMYFUNCTION("""COMPUTED_VALUE"""),"Cal State Bakersfield")</f>
        <v>Cal State Bakersfield</v>
      </c>
      <c r="B40" s="1">
        <f ca="1">IFERROR(__xludf.DUMMYFUNCTION("""COMPUTED_VALUE"""),31)</f>
        <v>31</v>
      </c>
      <c r="C40" s="1">
        <f ca="1">IFERROR(__xludf.DUMMYFUNCTION("""COMPUTED_VALUE"""),16)</f>
        <v>16</v>
      </c>
      <c r="D40" s="1">
        <f ca="1">IFERROR(__xludf.DUMMYFUNCTION("""COMPUTED_VALUE"""),15)</f>
        <v>15</v>
      </c>
      <c r="E40" s="1">
        <f ca="1">IFERROR(__xludf.DUMMYFUNCTION("""COMPUTED_VALUE"""),0.516)</f>
        <v>0.51600000000000001</v>
      </c>
      <c r="F40" s="1">
        <f ca="1">IFERROR(__xludf.DUMMYFUNCTION("""COMPUTED_VALUE"""),-7.15)</f>
        <v>-7.15</v>
      </c>
      <c r="G40" s="1">
        <f ca="1">IFERROR(__xludf.DUMMYFUNCTION("""COMPUTED_VALUE"""),-3.65)</f>
        <v>-3.65</v>
      </c>
      <c r="H40" s="1">
        <f ca="1">IFERROR(__xludf.DUMMYFUNCTION("""COMPUTED_VALUE"""),0)</f>
        <v>0</v>
      </c>
      <c r="I40" s="1">
        <f ca="1">IFERROR(__xludf.DUMMYFUNCTION("""COMPUTED_VALUE"""),0)</f>
        <v>0</v>
      </c>
      <c r="J40" s="1">
        <f ca="1">IFERROR(__xludf.DUMMYFUNCTION("""COMPUTED_VALUE"""),10)</f>
        <v>10</v>
      </c>
      <c r="K40" s="1">
        <f ca="1">IFERROR(__xludf.DUMMYFUNCTION("""COMPUTED_VALUE"""),3)</f>
        <v>3</v>
      </c>
      <c r="L40" s="1">
        <f ca="1">IFERROR(__xludf.DUMMYFUNCTION("""COMPUTED_VALUE"""),6)</f>
        <v>6</v>
      </c>
      <c r="M40" s="1">
        <f ca="1">IFERROR(__xludf.DUMMYFUNCTION("""COMPUTED_VALUE"""),12)</f>
        <v>12</v>
      </c>
      <c r="N40" s="1">
        <f ca="1">IFERROR(__xludf.DUMMYFUNCTION("""COMPUTED_VALUE"""),2121)</f>
        <v>2121</v>
      </c>
      <c r="O40" s="1">
        <f ca="1">IFERROR(__xludf.DUMMYFUNCTION("""COMPUTED_VALUE"""),2154)</f>
        <v>2154</v>
      </c>
      <c r="P40" s="1">
        <f ca="1">IFERROR(__xludf.DUMMYFUNCTION("""COMPUTED_VALUE"""),1245)</f>
        <v>1245</v>
      </c>
      <c r="Q40" s="1">
        <f ca="1">IFERROR(__xludf.DUMMYFUNCTION("""COMPUTED_VALUE"""),761)</f>
        <v>761</v>
      </c>
      <c r="R40" s="1">
        <f ca="1">IFERROR(__xludf.DUMMYFUNCTION("""COMPUTED_VALUE"""),1676)</f>
        <v>1676</v>
      </c>
      <c r="S40" s="1">
        <f ca="1">IFERROR(__xludf.DUMMYFUNCTION("""COMPUTED_VALUE"""),0.454)</f>
        <v>0.45400000000000001</v>
      </c>
      <c r="T40" s="1">
        <f ca="1">IFERROR(__xludf.DUMMYFUNCTION("""COMPUTED_VALUE"""),198)</f>
        <v>198</v>
      </c>
      <c r="U40" s="1">
        <f ca="1">IFERROR(__xludf.DUMMYFUNCTION("""COMPUTED_VALUE"""),542)</f>
        <v>542</v>
      </c>
      <c r="V40" s="1">
        <f ca="1">IFERROR(__xludf.DUMMYFUNCTION("""COMPUTED_VALUE"""),0.365)</f>
        <v>0.36499999999999999</v>
      </c>
      <c r="W40" s="1">
        <f ca="1">IFERROR(__xludf.DUMMYFUNCTION("""COMPUTED_VALUE"""),401)</f>
        <v>401</v>
      </c>
      <c r="X40" s="1">
        <f ca="1">IFERROR(__xludf.DUMMYFUNCTION("""COMPUTED_VALUE"""),587)</f>
        <v>587</v>
      </c>
      <c r="Y40" s="1">
        <f ca="1">IFERROR(__xludf.DUMMYFUNCTION("""COMPUTED_VALUE"""),0.683)</f>
        <v>0.68300000000000005</v>
      </c>
      <c r="Z40" s="1">
        <f ca="1">IFERROR(__xludf.DUMMYFUNCTION("""COMPUTED_VALUE"""),352)</f>
        <v>352</v>
      </c>
      <c r="AA40" s="1">
        <f ca="1">IFERROR(__xludf.DUMMYFUNCTION("""COMPUTED_VALUE"""),883)</f>
        <v>883</v>
      </c>
      <c r="AB40" s="1">
        <f ca="1">IFERROR(__xludf.DUMMYFUNCTION("""COMPUTED_VALUE"""),439)</f>
        <v>439</v>
      </c>
      <c r="AC40" s="1">
        <f ca="1">IFERROR(__xludf.DUMMYFUNCTION("""COMPUTED_VALUE"""),248)</f>
        <v>248</v>
      </c>
      <c r="AD40" s="1">
        <f ca="1">IFERROR(__xludf.DUMMYFUNCTION("""COMPUTED_VALUE"""),107)</f>
        <v>107</v>
      </c>
      <c r="AE40" s="1">
        <f ca="1">IFERROR(__xludf.DUMMYFUNCTION("""COMPUTED_VALUE"""),457)</f>
        <v>457</v>
      </c>
      <c r="AF40" s="1">
        <f ca="1">IFERROR(__xludf.DUMMYFUNCTION("""COMPUTED_VALUE"""),614)</f>
        <v>614</v>
      </c>
    </row>
    <row r="41" spans="1:32" ht="12.5" x14ac:dyDescent="0.25">
      <c r="A41" s="1" t="str">
        <f ca="1">IFERROR(__xludf.DUMMYFUNCTION("""COMPUTED_VALUE"""),"Cal State Fullerton")</f>
        <v>Cal State Fullerton</v>
      </c>
      <c r="B41" s="1">
        <f ca="1">IFERROR(__xludf.DUMMYFUNCTION("""COMPUTED_VALUE"""),31)</f>
        <v>31</v>
      </c>
      <c r="C41" s="1">
        <f ca="1">IFERROR(__xludf.DUMMYFUNCTION("""COMPUTED_VALUE"""),21)</f>
        <v>21</v>
      </c>
      <c r="D41" s="1">
        <f ca="1">IFERROR(__xludf.DUMMYFUNCTION("""COMPUTED_VALUE"""),10)</f>
        <v>10</v>
      </c>
      <c r="E41" s="1">
        <f ca="1">IFERROR(__xludf.DUMMYFUNCTION("""COMPUTED_VALUE"""),0.677)</f>
        <v>0.67700000000000005</v>
      </c>
      <c r="F41" s="1">
        <f ca="1">IFERROR(__xludf.DUMMYFUNCTION("""COMPUTED_VALUE"""),-1.18)</f>
        <v>-1.18</v>
      </c>
      <c r="G41" s="1">
        <f ca="1">IFERROR(__xludf.DUMMYFUNCTION("""COMPUTED_VALUE"""),-5.32)</f>
        <v>-5.32</v>
      </c>
      <c r="H41" s="1">
        <f ca="1">IFERROR(__xludf.DUMMYFUNCTION("""COMPUTED_VALUE"""),12)</f>
        <v>12</v>
      </c>
      <c r="I41" s="1">
        <f ca="1">IFERROR(__xludf.DUMMYFUNCTION("""COMPUTED_VALUE"""),4)</f>
        <v>4</v>
      </c>
      <c r="J41" s="1">
        <f ca="1">IFERROR(__xludf.DUMMYFUNCTION("""COMPUTED_VALUE"""),13)</f>
        <v>13</v>
      </c>
      <c r="K41" s="1">
        <f ca="1">IFERROR(__xludf.DUMMYFUNCTION("""COMPUTED_VALUE"""),1)</f>
        <v>1</v>
      </c>
      <c r="L41" s="1">
        <f ca="1">IFERROR(__xludf.DUMMYFUNCTION("""COMPUTED_VALUE"""),7)</f>
        <v>7</v>
      </c>
      <c r="M41" s="1">
        <f ca="1">IFERROR(__xludf.DUMMYFUNCTION("""COMPUTED_VALUE"""),7)</f>
        <v>7</v>
      </c>
      <c r="N41" s="1">
        <f ca="1">IFERROR(__xludf.DUMMYFUNCTION("""COMPUTED_VALUE"""),2417)</f>
        <v>2417</v>
      </c>
      <c r="O41" s="1">
        <f ca="1">IFERROR(__xludf.DUMMYFUNCTION("""COMPUTED_VALUE"""),2205)</f>
        <v>2205</v>
      </c>
      <c r="P41" s="1">
        <f ca="1">IFERROR(__xludf.DUMMYFUNCTION("""COMPUTED_VALUE"""),1240)</f>
        <v>1240</v>
      </c>
      <c r="Q41" s="1">
        <f ca="1">IFERROR(__xludf.DUMMYFUNCTION("""COMPUTED_VALUE"""),833)</f>
        <v>833</v>
      </c>
      <c r="R41" s="1">
        <f ca="1">IFERROR(__xludf.DUMMYFUNCTION("""COMPUTED_VALUE"""),1763)</f>
        <v>1763</v>
      </c>
      <c r="S41" s="1">
        <f ca="1">IFERROR(__xludf.DUMMYFUNCTION("""COMPUTED_VALUE"""),0.472)</f>
        <v>0.47199999999999998</v>
      </c>
      <c r="T41" s="1">
        <f ca="1">IFERROR(__xludf.DUMMYFUNCTION("""COMPUTED_VALUE"""),266)</f>
        <v>266</v>
      </c>
      <c r="U41" s="1">
        <f ca="1">IFERROR(__xludf.DUMMYFUNCTION("""COMPUTED_VALUE"""),658)</f>
        <v>658</v>
      </c>
      <c r="V41" s="1">
        <f ca="1">IFERROR(__xludf.DUMMYFUNCTION("""COMPUTED_VALUE"""),0.404)</f>
        <v>0.40400000000000003</v>
      </c>
      <c r="W41" s="1">
        <f ca="1">IFERROR(__xludf.DUMMYFUNCTION("""COMPUTED_VALUE"""),485)</f>
        <v>485</v>
      </c>
      <c r="X41" s="1">
        <f ca="1">IFERROR(__xludf.DUMMYFUNCTION("""COMPUTED_VALUE"""),699)</f>
        <v>699</v>
      </c>
      <c r="Y41" s="1">
        <f ca="1">IFERROR(__xludf.DUMMYFUNCTION("""COMPUTED_VALUE"""),0.694)</f>
        <v>0.69399999999999995</v>
      </c>
      <c r="Z41" s="1">
        <f ca="1">IFERROR(__xludf.DUMMYFUNCTION("""COMPUTED_VALUE"""),385)</f>
        <v>385</v>
      </c>
      <c r="AA41" s="1">
        <f ca="1">IFERROR(__xludf.DUMMYFUNCTION("""COMPUTED_VALUE"""),1053)</f>
        <v>1053</v>
      </c>
      <c r="AB41" s="1">
        <f ca="1">IFERROR(__xludf.DUMMYFUNCTION("""COMPUTED_VALUE"""),464)</f>
        <v>464</v>
      </c>
      <c r="AC41" s="1">
        <f ca="1">IFERROR(__xludf.DUMMYFUNCTION("""COMPUTED_VALUE"""),174)</f>
        <v>174</v>
      </c>
      <c r="AD41" s="1">
        <f ca="1">IFERROR(__xludf.DUMMYFUNCTION("""COMPUTED_VALUE"""),84)</f>
        <v>84</v>
      </c>
      <c r="AE41" s="1">
        <f ca="1">IFERROR(__xludf.DUMMYFUNCTION("""COMPUTED_VALUE"""),476)</f>
        <v>476</v>
      </c>
      <c r="AF41" s="1">
        <f ca="1">IFERROR(__xludf.DUMMYFUNCTION("""COMPUTED_VALUE"""),603)</f>
        <v>603</v>
      </c>
    </row>
    <row r="42" spans="1:32" ht="12.5" x14ac:dyDescent="0.25">
      <c r="A42" s="1" t="str">
        <f ca="1">IFERROR(__xludf.DUMMYFUNCTION("""COMPUTED_VALUE"""),"Cal State Northridge")</f>
        <v>Cal State Northridge</v>
      </c>
      <c r="B42" s="1">
        <f ca="1">IFERROR(__xludf.DUMMYFUNCTION("""COMPUTED_VALUE"""),28)</f>
        <v>28</v>
      </c>
      <c r="C42" s="1">
        <f ca="1">IFERROR(__xludf.DUMMYFUNCTION("""COMPUTED_VALUE"""),7)</f>
        <v>7</v>
      </c>
      <c r="D42" s="1">
        <f ca="1">IFERROR(__xludf.DUMMYFUNCTION("""COMPUTED_VALUE"""),21)</f>
        <v>21</v>
      </c>
      <c r="E42" s="1">
        <f ca="1">IFERROR(__xludf.DUMMYFUNCTION("""COMPUTED_VALUE"""),0.25)</f>
        <v>0.25</v>
      </c>
      <c r="F42" s="1">
        <f ca="1">IFERROR(__xludf.DUMMYFUNCTION("""COMPUTED_VALUE"""),-12.65)</f>
        <v>-12.65</v>
      </c>
      <c r="G42" s="1">
        <f ca="1">IFERROR(__xludf.DUMMYFUNCTION("""COMPUTED_VALUE"""),-2.61)</f>
        <v>-2.61</v>
      </c>
      <c r="H42" s="1">
        <f ca="1">IFERROR(__xludf.DUMMYFUNCTION("""COMPUTED_VALUE"""),3)</f>
        <v>3</v>
      </c>
      <c r="I42" s="1">
        <f ca="1">IFERROR(__xludf.DUMMYFUNCTION("""COMPUTED_VALUE"""),13)</f>
        <v>13</v>
      </c>
      <c r="J42" s="1">
        <f ca="1">IFERROR(__xludf.DUMMYFUNCTION("""COMPUTED_VALUE"""),4)</f>
        <v>4</v>
      </c>
      <c r="K42" s="1">
        <f ca="1">IFERROR(__xludf.DUMMYFUNCTION("""COMPUTED_VALUE"""),8)</f>
        <v>8</v>
      </c>
      <c r="L42" s="1">
        <f ca="1">IFERROR(__xludf.DUMMYFUNCTION("""COMPUTED_VALUE"""),3)</f>
        <v>3</v>
      </c>
      <c r="M42" s="1">
        <f ca="1">IFERROR(__xludf.DUMMYFUNCTION("""COMPUTED_VALUE"""),13)</f>
        <v>13</v>
      </c>
      <c r="N42" s="1">
        <f ca="1">IFERROR(__xludf.DUMMYFUNCTION("""COMPUTED_VALUE"""),1908)</f>
        <v>1908</v>
      </c>
      <c r="O42" s="1">
        <f ca="1">IFERROR(__xludf.DUMMYFUNCTION("""COMPUTED_VALUE"""),2101)</f>
        <v>2101</v>
      </c>
      <c r="P42" s="1">
        <f ca="1">IFERROR(__xludf.DUMMYFUNCTION("""COMPUTED_VALUE"""),1125)</f>
        <v>1125</v>
      </c>
      <c r="Q42" s="1">
        <f ca="1">IFERROR(__xludf.DUMMYFUNCTION("""COMPUTED_VALUE"""),641)</f>
        <v>641</v>
      </c>
      <c r="R42" s="1">
        <f ca="1">IFERROR(__xludf.DUMMYFUNCTION("""COMPUTED_VALUE"""),1671)</f>
        <v>1671</v>
      </c>
      <c r="S42" s="1">
        <f ca="1">IFERROR(__xludf.DUMMYFUNCTION("""COMPUTED_VALUE"""),0.384)</f>
        <v>0.38400000000000001</v>
      </c>
      <c r="T42" s="1">
        <f ca="1">IFERROR(__xludf.DUMMYFUNCTION("""COMPUTED_VALUE"""),170)</f>
        <v>170</v>
      </c>
      <c r="U42" s="1">
        <f ca="1">IFERROR(__xludf.DUMMYFUNCTION("""COMPUTED_VALUE"""),554)</f>
        <v>554</v>
      </c>
      <c r="V42" s="1">
        <f ca="1">IFERROR(__xludf.DUMMYFUNCTION("""COMPUTED_VALUE"""),0.307)</f>
        <v>0.307</v>
      </c>
      <c r="W42" s="1">
        <f ca="1">IFERROR(__xludf.DUMMYFUNCTION("""COMPUTED_VALUE"""),456)</f>
        <v>456</v>
      </c>
      <c r="X42" s="1">
        <f ca="1">IFERROR(__xludf.DUMMYFUNCTION("""COMPUTED_VALUE"""),604)</f>
        <v>604</v>
      </c>
      <c r="Y42" s="1">
        <f ca="1">IFERROR(__xludf.DUMMYFUNCTION("""COMPUTED_VALUE"""),0.755)</f>
        <v>0.755</v>
      </c>
      <c r="Z42" s="1">
        <f ca="1">IFERROR(__xludf.DUMMYFUNCTION("""COMPUTED_VALUE"""),397)</f>
        <v>397</v>
      </c>
      <c r="AA42" s="1">
        <f ca="1">IFERROR(__xludf.DUMMYFUNCTION("""COMPUTED_VALUE"""),879)</f>
        <v>879</v>
      </c>
      <c r="AB42" s="1">
        <f ca="1">IFERROR(__xludf.DUMMYFUNCTION("""COMPUTED_VALUE"""),375)</f>
        <v>375</v>
      </c>
      <c r="AC42" s="1">
        <f ca="1">IFERROR(__xludf.DUMMYFUNCTION("""COMPUTED_VALUE"""),175)</f>
        <v>175</v>
      </c>
      <c r="AD42" s="1">
        <f ca="1">IFERROR(__xludf.DUMMYFUNCTION("""COMPUTED_VALUE"""),67)</f>
        <v>67</v>
      </c>
      <c r="AE42" s="1">
        <f ca="1">IFERROR(__xludf.DUMMYFUNCTION("""COMPUTED_VALUE"""),384)</f>
        <v>384</v>
      </c>
      <c r="AF42" s="1">
        <f ca="1">IFERROR(__xludf.DUMMYFUNCTION("""COMPUTED_VALUE"""),627)</f>
        <v>627</v>
      </c>
    </row>
    <row r="43" spans="1:32" ht="12.5" x14ac:dyDescent="0.25">
      <c r="A43" s="1" t="str">
        <f ca="1">IFERROR(__xludf.DUMMYFUNCTION("""COMPUTED_VALUE"""),"UC-Davis")</f>
        <v>UC-Davis</v>
      </c>
      <c r="B43" s="1">
        <f ca="1">IFERROR(__xludf.DUMMYFUNCTION("""COMPUTED_VALUE"""),31)</f>
        <v>31</v>
      </c>
      <c r="C43" s="1">
        <f ca="1">IFERROR(__xludf.DUMMYFUNCTION("""COMPUTED_VALUE"""),5)</f>
        <v>5</v>
      </c>
      <c r="D43" s="1">
        <f ca="1">IFERROR(__xludf.DUMMYFUNCTION("""COMPUTED_VALUE"""),26)</f>
        <v>26</v>
      </c>
      <c r="E43" s="1">
        <f ca="1">IFERROR(__xludf.DUMMYFUNCTION("""COMPUTED_VALUE"""),0.161)</f>
        <v>0.161</v>
      </c>
      <c r="F43" s="1">
        <f ca="1">IFERROR(__xludf.DUMMYFUNCTION("""COMPUTED_VALUE"""),-15.6)</f>
        <v>-15.6</v>
      </c>
      <c r="G43" s="1">
        <f ca="1">IFERROR(__xludf.DUMMYFUNCTION("""COMPUTED_VALUE"""),-2.63)</f>
        <v>-2.63</v>
      </c>
      <c r="H43" s="1">
        <f ca="1">IFERROR(__xludf.DUMMYFUNCTION("""COMPUTED_VALUE"""),3)</f>
        <v>3</v>
      </c>
      <c r="I43" s="1">
        <f ca="1">IFERROR(__xludf.DUMMYFUNCTION("""COMPUTED_VALUE"""),13)</f>
        <v>13</v>
      </c>
      <c r="J43" s="1">
        <f ca="1">IFERROR(__xludf.DUMMYFUNCTION("""COMPUTED_VALUE"""),4)</f>
        <v>4</v>
      </c>
      <c r="K43" s="1">
        <f ca="1">IFERROR(__xludf.DUMMYFUNCTION("""COMPUTED_VALUE"""),8)</f>
        <v>8</v>
      </c>
      <c r="L43" s="1">
        <f ca="1">IFERROR(__xludf.DUMMYFUNCTION("""COMPUTED_VALUE"""),1)</f>
        <v>1</v>
      </c>
      <c r="M43" s="1">
        <f ca="1">IFERROR(__xludf.DUMMYFUNCTION("""COMPUTED_VALUE"""),14)</f>
        <v>14</v>
      </c>
      <c r="N43" s="1">
        <f ca="1">IFERROR(__xludf.DUMMYFUNCTION("""COMPUTED_VALUE"""),1924)</f>
        <v>1924</v>
      </c>
      <c r="O43" s="1">
        <f ca="1">IFERROR(__xludf.DUMMYFUNCTION("""COMPUTED_VALUE"""),2307)</f>
        <v>2307</v>
      </c>
      <c r="P43" s="1">
        <f ca="1">IFERROR(__xludf.DUMMYFUNCTION("""COMPUTED_VALUE"""),1240)</f>
        <v>1240</v>
      </c>
      <c r="Q43" s="1">
        <f ca="1">IFERROR(__xludf.DUMMYFUNCTION("""COMPUTED_VALUE"""),661)</f>
        <v>661</v>
      </c>
      <c r="R43" s="1">
        <f ca="1">IFERROR(__xludf.DUMMYFUNCTION("""COMPUTED_VALUE"""),1614)</f>
        <v>1614</v>
      </c>
      <c r="S43" s="1">
        <f ca="1">IFERROR(__xludf.DUMMYFUNCTION("""COMPUTED_VALUE"""),0.41)</f>
        <v>0.41</v>
      </c>
      <c r="T43" s="1">
        <f ca="1">IFERROR(__xludf.DUMMYFUNCTION("""COMPUTED_VALUE"""),240)</f>
        <v>240</v>
      </c>
      <c r="U43" s="1">
        <f ca="1">IFERROR(__xludf.DUMMYFUNCTION("""COMPUTED_VALUE"""),650)</f>
        <v>650</v>
      </c>
      <c r="V43" s="1">
        <f ca="1">IFERROR(__xludf.DUMMYFUNCTION("""COMPUTED_VALUE"""),0.369)</f>
        <v>0.36899999999999999</v>
      </c>
      <c r="W43" s="1">
        <f ca="1">IFERROR(__xludf.DUMMYFUNCTION("""COMPUTED_VALUE"""),362)</f>
        <v>362</v>
      </c>
      <c r="X43" s="1">
        <f ca="1">IFERROR(__xludf.DUMMYFUNCTION("""COMPUTED_VALUE"""),529)</f>
        <v>529</v>
      </c>
      <c r="Y43" s="1">
        <f ca="1">IFERROR(__xludf.DUMMYFUNCTION("""COMPUTED_VALUE"""),0.684)</f>
        <v>0.68400000000000005</v>
      </c>
      <c r="Z43" s="1">
        <f ca="1">IFERROR(__xludf.DUMMYFUNCTION("""COMPUTED_VALUE"""),278)</f>
        <v>278</v>
      </c>
      <c r="AA43" s="1">
        <f ca="1">IFERROR(__xludf.DUMMYFUNCTION("""COMPUTED_VALUE"""),868)</f>
        <v>868</v>
      </c>
      <c r="AB43" s="1">
        <f ca="1">IFERROR(__xludf.DUMMYFUNCTION("""COMPUTED_VALUE"""),371)</f>
        <v>371</v>
      </c>
      <c r="AC43" s="1">
        <f ca="1">IFERROR(__xludf.DUMMYFUNCTION("""COMPUTED_VALUE"""),151)</f>
        <v>151</v>
      </c>
      <c r="AD43" s="1">
        <f ca="1">IFERROR(__xludf.DUMMYFUNCTION("""COMPUTED_VALUE"""),70)</f>
        <v>70</v>
      </c>
      <c r="AE43" s="1">
        <f ca="1">IFERROR(__xludf.DUMMYFUNCTION("""COMPUTED_VALUE"""),479)</f>
        <v>479</v>
      </c>
      <c r="AF43" s="1">
        <f ca="1">IFERROR(__xludf.DUMMYFUNCTION("""COMPUTED_VALUE"""),574)</f>
        <v>574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IFERROR(__xludf.DUMMYFUNCTION("""COMPUTED_VALUE"""),"UC-Irvine")</f>
        <v>UC-Irvine</v>
      </c>
      <c r="B46" s="1">
        <f ca="1">IFERROR(__xludf.DUMMYFUNCTION("""COMPUTED_VALUE"""),32)</f>
        <v>32</v>
      </c>
      <c r="C46" s="1">
        <f ca="1">IFERROR(__xludf.DUMMYFUNCTION("""COMPUTED_VALUE"""),12)</f>
        <v>12</v>
      </c>
      <c r="D46" s="1">
        <f ca="1">IFERROR(__xludf.DUMMYFUNCTION("""COMPUTED_VALUE"""),20)</f>
        <v>20</v>
      </c>
      <c r="E46" s="1">
        <f ca="1">IFERROR(__xludf.DUMMYFUNCTION("""COMPUTED_VALUE"""),0.375)</f>
        <v>0.375</v>
      </c>
      <c r="F46" s="1">
        <f ca="1">IFERROR(__xludf.DUMMYFUNCTION("""COMPUTED_VALUE"""),-6.07)</f>
        <v>-6.07</v>
      </c>
      <c r="G46" s="1">
        <f ca="1">IFERROR(__xludf.DUMMYFUNCTION("""COMPUTED_VALUE"""),-1.24)</f>
        <v>-1.24</v>
      </c>
      <c r="H46" s="1">
        <f ca="1">IFERROR(__xludf.DUMMYFUNCTION("""COMPUTED_VALUE"""),6)</f>
        <v>6</v>
      </c>
      <c r="I46" s="1">
        <f ca="1">IFERROR(__xludf.DUMMYFUNCTION("""COMPUTED_VALUE"""),10)</f>
        <v>10</v>
      </c>
      <c r="J46" s="1">
        <f ca="1">IFERROR(__xludf.DUMMYFUNCTION("""COMPUTED_VALUE"""),8)</f>
        <v>8</v>
      </c>
      <c r="K46" s="1">
        <f ca="1">IFERROR(__xludf.DUMMYFUNCTION("""COMPUTED_VALUE"""),6)</f>
        <v>6</v>
      </c>
      <c r="L46" s="1">
        <f ca="1">IFERROR(__xludf.DUMMYFUNCTION("""COMPUTED_VALUE"""),3)</f>
        <v>3</v>
      </c>
      <c r="M46" s="1">
        <f ca="1">IFERROR(__xludf.DUMMYFUNCTION("""COMPUTED_VALUE"""),11)</f>
        <v>11</v>
      </c>
      <c r="N46" s="1">
        <f ca="1">IFERROR(__xludf.DUMMYFUNCTION("""COMPUTED_VALUE"""),2179)</f>
        <v>2179</v>
      </c>
      <c r="O46" s="1">
        <f ca="1">IFERROR(__xludf.DUMMYFUNCTION("""COMPUTED_VALUE"""),2309)</f>
        <v>2309</v>
      </c>
      <c r="P46" s="1">
        <f ca="1">IFERROR(__xludf.DUMMYFUNCTION("""COMPUTED_VALUE"""),1290)</f>
        <v>1290</v>
      </c>
      <c r="Q46" s="1">
        <f ca="1">IFERROR(__xludf.DUMMYFUNCTION("""COMPUTED_VALUE"""),776)</f>
        <v>776</v>
      </c>
      <c r="R46" s="1">
        <f ca="1">IFERROR(__xludf.DUMMYFUNCTION("""COMPUTED_VALUE"""),1861)</f>
        <v>1861</v>
      </c>
      <c r="S46" s="1">
        <f ca="1">IFERROR(__xludf.DUMMYFUNCTION("""COMPUTED_VALUE"""),0.417)</f>
        <v>0.41699999999999998</v>
      </c>
      <c r="T46" s="1">
        <f ca="1">IFERROR(__xludf.DUMMYFUNCTION("""COMPUTED_VALUE"""),250)</f>
        <v>250</v>
      </c>
      <c r="U46" s="1">
        <f ca="1">IFERROR(__xludf.DUMMYFUNCTION("""COMPUTED_VALUE"""),700)</f>
        <v>700</v>
      </c>
      <c r="V46" s="1">
        <f ca="1">IFERROR(__xludf.DUMMYFUNCTION("""COMPUTED_VALUE"""),0.357)</f>
        <v>0.35699999999999998</v>
      </c>
      <c r="W46" s="1">
        <f ca="1">IFERROR(__xludf.DUMMYFUNCTION("""COMPUTED_VALUE"""),377)</f>
        <v>377</v>
      </c>
      <c r="X46" s="1">
        <f ca="1">IFERROR(__xludf.DUMMYFUNCTION("""COMPUTED_VALUE"""),592)</f>
        <v>592</v>
      </c>
      <c r="Y46" s="1">
        <f ca="1">IFERROR(__xludf.DUMMYFUNCTION("""COMPUTED_VALUE"""),0.637)</f>
        <v>0.63700000000000001</v>
      </c>
      <c r="Z46" s="1">
        <f ca="1">IFERROR(__xludf.DUMMYFUNCTION("""COMPUTED_VALUE"""),375)</f>
        <v>375</v>
      </c>
      <c r="AA46" s="1">
        <f ca="1">IFERROR(__xludf.DUMMYFUNCTION("""COMPUTED_VALUE"""),1071)</f>
        <v>1071</v>
      </c>
      <c r="AB46" s="1">
        <f ca="1">IFERROR(__xludf.DUMMYFUNCTION("""COMPUTED_VALUE"""),493)</f>
        <v>493</v>
      </c>
      <c r="AC46" s="1">
        <f ca="1">IFERROR(__xludf.DUMMYFUNCTION("""COMPUTED_VALUE"""),156)</f>
        <v>156</v>
      </c>
      <c r="AD46" s="1">
        <f ca="1">IFERROR(__xludf.DUMMYFUNCTION("""COMPUTED_VALUE"""),131)</f>
        <v>131</v>
      </c>
      <c r="AE46" s="1">
        <f ca="1">IFERROR(__xludf.DUMMYFUNCTION("""COMPUTED_VALUE"""),489)</f>
        <v>489</v>
      </c>
      <c r="AF46" s="1">
        <f ca="1">IFERROR(__xludf.DUMMYFUNCTION("""COMPUTED_VALUE"""),598)</f>
        <v>598</v>
      </c>
    </row>
    <row r="47" spans="1:32" ht="12.5" x14ac:dyDescent="0.25">
      <c r="A47" s="1" t="str">
        <f ca="1">IFERROR(__xludf.DUMMYFUNCTION("""COMPUTED_VALUE"""),"UC-Riverside")</f>
        <v>UC-Riverside</v>
      </c>
      <c r="B47" s="1">
        <f ca="1">IFERROR(__xludf.DUMMYFUNCTION("""COMPUTED_VALUE"""),31)</f>
        <v>31</v>
      </c>
      <c r="C47" s="1">
        <f ca="1">IFERROR(__xludf.DUMMYFUNCTION("""COMPUTED_VALUE"""),14)</f>
        <v>14</v>
      </c>
      <c r="D47" s="1">
        <f ca="1">IFERROR(__xludf.DUMMYFUNCTION("""COMPUTED_VALUE"""),17)</f>
        <v>17</v>
      </c>
      <c r="E47" s="1">
        <f ca="1">IFERROR(__xludf.DUMMYFUNCTION("""COMPUTED_VALUE"""),0.452)</f>
        <v>0.45200000000000001</v>
      </c>
      <c r="F47" s="1">
        <f ca="1">IFERROR(__xludf.DUMMYFUNCTION("""COMPUTED_VALUE"""),-8.01)</f>
        <v>-8.01</v>
      </c>
      <c r="G47" s="1">
        <f ca="1">IFERROR(__xludf.DUMMYFUNCTION("""COMPUTED_VALUE"""),-2.22)</f>
        <v>-2.2200000000000002</v>
      </c>
      <c r="H47" s="1">
        <f ca="1">IFERROR(__xludf.DUMMYFUNCTION("""COMPUTED_VALUE"""),7)</f>
        <v>7</v>
      </c>
      <c r="I47" s="1">
        <f ca="1">IFERROR(__xludf.DUMMYFUNCTION("""COMPUTED_VALUE"""),9)</f>
        <v>9</v>
      </c>
      <c r="J47" s="1">
        <f ca="1">IFERROR(__xludf.DUMMYFUNCTION("""COMPUTED_VALUE"""),8)</f>
        <v>8</v>
      </c>
      <c r="K47" s="1">
        <f ca="1">IFERROR(__xludf.DUMMYFUNCTION("""COMPUTED_VALUE"""),5)</f>
        <v>5</v>
      </c>
      <c r="L47" s="1">
        <f ca="1">IFERROR(__xludf.DUMMYFUNCTION("""COMPUTED_VALUE"""),5)</f>
        <v>5</v>
      </c>
      <c r="M47" s="1">
        <f ca="1">IFERROR(__xludf.DUMMYFUNCTION("""COMPUTED_VALUE"""),9)</f>
        <v>9</v>
      </c>
      <c r="N47" s="1">
        <f ca="1">IFERROR(__xludf.DUMMYFUNCTION("""COMPUTED_VALUE"""),1841)</f>
        <v>1841</v>
      </c>
      <c r="O47" s="1">
        <f ca="1">IFERROR(__xludf.DUMMYFUNCTION("""COMPUTED_VALUE"""),1954)</f>
        <v>1954</v>
      </c>
      <c r="P47" s="1">
        <f ca="1">IFERROR(__xludf.DUMMYFUNCTION("""COMPUTED_VALUE"""),1265)</f>
        <v>1265</v>
      </c>
      <c r="Q47" s="1">
        <f ca="1">IFERROR(__xludf.DUMMYFUNCTION("""COMPUTED_VALUE"""),684)</f>
        <v>684</v>
      </c>
      <c r="R47" s="1">
        <f ca="1">IFERROR(__xludf.DUMMYFUNCTION("""COMPUTED_VALUE"""),1669)</f>
        <v>1669</v>
      </c>
      <c r="S47" s="1">
        <f ca="1">IFERROR(__xludf.DUMMYFUNCTION("""COMPUTED_VALUE"""),0.41)</f>
        <v>0.41</v>
      </c>
      <c r="T47" s="1">
        <f ca="1">IFERROR(__xludf.DUMMYFUNCTION("""COMPUTED_VALUE"""),130)</f>
        <v>130</v>
      </c>
      <c r="U47" s="1">
        <f ca="1">IFERROR(__xludf.DUMMYFUNCTION("""COMPUTED_VALUE"""),422)</f>
        <v>422</v>
      </c>
      <c r="V47" s="1">
        <f ca="1">IFERROR(__xludf.DUMMYFUNCTION("""COMPUTED_VALUE"""),0.308)</f>
        <v>0.308</v>
      </c>
      <c r="W47" s="1">
        <f ca="1">IFERROR(__xludf.DUMMYFUNCTION("""COMPUTED_VALUE"""),343)</f>
        <v>343</v>
      </c>
      <c r="X47" s="1">
        <f ca="1">IFERROR(__xludf.DUMMYFUNCTION("""COMPUTED_VALUE"""),498)</f>
        <v>498</v>
      </c>
      <c r="Y47" s="1">
        <f ca="1">IFERROR(__xludf.DUMMYFUNCTION("""COMPUTED_VALUE"""),0.689)</f>
        <v>0.68899999999999995</v>
      </c>
      <c r="Z47" s="1">
        <f ca="1">IFERROR(__xludf.DUMMYFUNCTION("""COMPUTED_VALUE"""),308)</f>
        <v>308</v>
      </c>
      <c r="AA47" s="1">
        <f ca="1">IFERROR(__xludf.DUMMYFUNCTION("""COMPUTED_VALUE"""),933)</f>
        <v>933</v>
      </c>
      <c r="AB47" s="1">
        <f ca="1">IFERROR(__xludf.DUMMYFUNCTION("""COMPUTED_VALUE"""),308)</f>
        <v>308</v>
      </c>
      <c r="AC47" s="1">
        <f ca="1">IFERROR(__xludf.DUMMYFUNCTION("""COMPUTED_VALUE"""),148)</f>
        <v>148</v>
      </c>
      <c r="AD47" s="1">
        <f ca="1">IFERROR(__xludf.DUMMYFUNCTION("""COMPUTED_VALUE"""),123)</f>
        <v>123</v>
      </c>
      <c r="AE47" s="1">
        <f ca="1">IFERROR(__xludf.DUMMYFUNCTION("""COMPUTED_VALUE"""),411)</f>
        <v>411</v>
      </c>
      <c r="AF47" s="1">
        <f ca="1">IFERROR(__xludf.DUMMYFUNCTION("""COMPUTED_VALUE"""),536)</f>
        <v>536</v>
      </c>
    </row>
    <row r="48" spans="1:32" ht="12.5" x14ac:dyDescent="0.25">
      <c r="A48" s="1" t="str">
        <f ca="1">IFERROR(__xludf.DUMMYFUNCTION("""COMPUTED_VALUE"""),"UC-Santa Barbara")</f>
        <v>UC-Santa Barbara</v>
      </c>
      <c r="B48" s="1">
        <f ca="1">IFERROR(__xludf.DUMMYFUNCTION("""COMPUTED_VALUE"""),31)</f>
        <v>31</v>
      </c>
      <c r="C48" s="1">
        <f ca="1">IFERROR(__xludf.DUMMYFUNCTION("""COMPUTED_VALUE"""),20)</f>
        <v>20</v>
      </c>
      <c r="D48" s="1">
        <f ca="1">IFERROR(__xludf.DUMMYFUNCTION("""COMPUTED_VALUE"""),11)</f>
        <v>11</v>
      </c>
      <c r="E48" s="1">
        <f ca="1">IFERROR(__xludf.DUMMYFUNCTION("""COMPUTED_VALUE"""),0.645)</f>
        <v>0.64500000000000002</v>
      </c>
      <c r="F48" s="1">
        <f ca="1">IFERROR(__xludf.DUMMYFUNCTION("""COMPUTED_VALUE"""),4)</f>
        <v>4</v>
      </c>
      <c r="G48" s="1">
        <f ca="1">IFERROR(__xludf.DUMMYFUNCTION("""COMPUTED_VALUE"""),-1.38)</f>
        <v>-1.38</v>
      </c>
      <c r="H48" s="1">
        <f ca="1">IFERROR(__xludf.DUMMYFUNCTION("""COMPUTED_VALUE"""),12)</f>
        <v>12</v>
      </c>
      <c r="I48" s="1">
        <f ca="1">IFERROR(__xludf.DUMMYFUNCTION("""COMPUTED_VALUE"""),4)</f>
        <v>4</v>
      </c>
      <c r="J48" s="1">
        <f ca="1">IFERROR(__xludf.DUMMYFUNCTION("""COMPUTED_VALUE"""),11)</f>
        <v>11</v>
      </c>
      <c r="K48" s="1">
        <f ca="1">IFERROR(__xludf.DUMMYFUNCTION("""COMPUTED_VALUE"""),3)</f>
        <v>3</v>
      </c>
      <c r="L48" s="1">
        <f ca="1">IFERROR(__xludf.DUMMYFUNCTION("""COMPUTED_VALUE"""),7)</f>
        <v>7</v>
      </c>
      <c r="M48" s="1">
        <f ca="1">IFERROR(__xludf.DUMMYFUNCTION("""COMPUTED_VALUE"""),7)</f>
        <v>7</v>
      </c>
      <c r="N48" s="1">
        <f ca="1">IFERROR(__xludf.DUMMYFUNCTION("""COMPUTED_VALUE"""),2262)</f>
        <v>2262</v>
      </c>
      <c r="O48" s="1">
        <f ca="1">IFERROR(__xludf.DUMMYFUNCTION("""COMPUTED_VALUE"""),2059)</f>
        <v>2059</v>
      </c>
      <c r="P48" s="1">
        <f ca="1">IFERROR(__xludf.DUMMYFUNCTION("""COMPUTED_VALUE"""),1260)</f>
        <v>1260</v>
      </c>
      <c r="Q48" s="1">
        <f ca="1">IFERROR(__xludf.DUMMYFUNCTION("""COMPUTED_VALUE"""),809)</f>
        <v>809</v>
      </c>
      <c r="R48" s="1">
        <f ca="1">IFERROR(__xludf.DUMMYFUNCTION("""COMPUTED_VALUE"""),1757)</f>
        <v>1757</v>
      </c>
      <c r="S48" s="1">
        <f ca="1">IFERROR(__xludf.DUMMYFUNCTION("""COMPUTED_VALUE"""),0.46)</f>
        <v>0.46</v>
      </c>
      <c r="T48" s="1">
        <f ca="1">IFERROR(__xludf.DUMMYFUNCTION("""COMPUTED_VALUE"""),227)</f>
        <v>227</v>
      </c>
      <c r="U48" s="1">
        <f ca="1">IFERROR(__xludf.DUMMYFUNCTION("""COMPUTED_VALUE"""),593)</f>
        <v>593</v>
      </c>
      <c r="V48" s="1">
        <f ca="1">IFERROR(__xludf.DUMMYFUNCTION("""COMPUTED_VALUE"""),0.383)</f>
        <v>0.38300000000000001</v>
      </c>
      <c r="W48" s="1">
        <f ca="1">IFERROR(__xludf.DUMMYFUNCTION("""COMPUTED_VALUE"""),417)</f>
        <v>417</v>
      </c>
      <c r="X48" s="1">
        <f ca="1">IFERROR(__xludf.DUMMYFUNCTION("""COMPUTED_VALUE"""),601)</f>
        <v>601</v>
      </c>
      <c r="Y48" s="1">
        <f ca="1">IFERROR(__xludf.DUMMYFUNCTION("""COMPUTED_VALUE"""),0.694)</f>
        <v>0.69399999999999995</v>
      </c>
      <c r="Z48" s="1">
        <f ca="1">IFERROR(__xludf.DUMMYFUNCTION("""COMPUTED_VALUE"""),383)</f>
        <v>383</v>
      </c>
      <c r="AA48" s="1">
        <f ca="1">IFERROR(__xludf.DUMMYFUNCTION("""COMPUTED_VALUE"""),1096)</f>
        <v>1096</v>
      </c>
      <c r="AB48" s="1">
        <f ca="1">IFERROR(__xludf.DUMMYFUNCTION("""COMPUTED_VALUE"""),464)</f>
        <v>464</v>
      </c>
      <c r="AC48" s="1">
        <f ca="1">IFERROR(__xludf.DUMMYFUNCTION("""COMPUTED_VALUE"""),172)</f>
        <v>172</v>
      </c>
      <c r="AD48" s="1">
        <f ca="1">IFERROR(__xludf.DUMMYFUNCTION("""COMPUTED_VALUE"""),155)</f>
        <v>155</v>
      </c>
      <c r="AE48" s="1">
        <f ca="1">IFERROR(__xludf.DUMMYFUNCTION("""COMPUTED_VALUE"""),367)</f>
        <v>367</v>
      </c>
      <c r="AF48" s="1">
        <f ca="1">IFERROR(__xludf.DUMMYFUNCTION("""COMPUTED_VALUE"""),539)</f>
        <v>539</v>
      </c>
    </row>
    <row r="49" spans="1:32" ht="12.5" x14ac:dyDescent="0.25">
      <c r="A49" s="1" t="str">
        <f ca="1">IFERROR(__xludf.DUMMYFUNCTION("""COMPUTED_VALUE"""),"University of CaliforniaNCAA")</f>
        <v>University of CaliforniaNCAA</v>
      </c>
      <c r="B49" s="1">
        <f ca="1">IFERROR(__xludf.DUMMYFUNCTION("""COMPUTED_VALUE"""),34)</f>
        <v>34</v>
      </c>
      <c r="C49" s="1">
        <f ca="1">IFERROR(__xludf.DUMMYFUNCTION("""COMPUTED_VALUE"""),24)</f>
        <v>24</v>
      </c>
      <c r="D49" s="1">
        <f ca="1">IFERROR(__xludf.DUMMYFUNCTION("""COMPUTED_VALUE"""),10)</f>
        <v>10</v>
      </c>
      <c r="E49" s="1">
        <f ca="1">IFERROR(__xludf.DUMMYFUNCTION("""COMPUTED_VALUE"""),0.706)</f>
        <v>0.70599999999999996</v>
      </c>
      <c r="F49" s="1">
        <f ca="1">IFERROR(__xludf.DUMMYFUNCTION("""COMPUTED_VALUE"""),13.79)</f>
        <v>13.79</v>
      </c>
      <c r="G49" s="1">
        <f ca="1">IFERROR(__xludf.DUMMYFUNCTION("""COMPUTED_VALUE"""),4.53)</f>
        <v>4.53</v>
      </c>
      <c r="H49" s="1">
        <f ca="1">IFERROR(__xludf.DUMMYFUNCTION("""COMPUTED_VALUE"""),13)</f>
        <v>13</v>
      </c>
      <c r="I49" s="1">
        <f ca="1">IFERROR(__xludf.DUMMYFUNCTION("""COMPUTED_VALUE"""),5)</f>
        <v>5</v>
      </c>
      <c r="J49" s="1">
        <f ca="1">IFERROR(__xludf.DUMMYFUNCTION("""COMPUTED_VALUE"""),17)</f>
        <v>17</v>
      </c>
      <c r="K49" s="1">
        <f ca="1">IFERROR(__xludf.DUMMYFUNCTION("""COMPUTED_VALUE"""),1)</f>
        <v>1</v>
      </c>
      <c r="L49" s="1">
        <f ca="1">IFERROR(__xludf.DUMMYFUNCTION("""COMPUTED_VALUE"""),5)</f>
        <v>5</v>
      </c>
      <c r="M49" s="1">
        <f ca="1">IFERROR(__xludf.DUMMYFUNCTION("""COMPUTED_VALUE"""),6)</f>
        <v>6</v>
      </c>
      <c r="N49" s="1">
        <f ca="1">IFERROR(__xludf.DUMMYFUNCTION("""COMPUTED_VALUE"""),2419)</f>
        <v>2419</v>
      </c>
      <c r="O49" s="1">
        <f ca="1">IFERROR(__xludf.DUMMYFUNCTION("""COMPUTED_VALUE"""),2104)</f>
        <v>2104</v>
      </c>
      <c r="P49" s="1">
        <f ca="1">IFERROR(__xludf.DUMMYFUNCTION("""COMPUTED_VALUE"""),1360)</f>
        <v>1360</v>
      </c>
      <c r="Q49" s="1">
        <f ca="1">IFERROR(__xludf.DUMMYFUNCTION("""COMPUTED_VALUE"""),893)</f>
        <v>893</v>
      </c>
      <c r="R49" s="1">
        <f ca="1">IFERROR(__xludf.DUMMYFUNCTION("""COMPUTED_VALUE"""),1878)</f>
        <v>1878</v>
      </c>
      <c r="S49" s="1">
        <f ca="1">IFERROR(__xludf.DUMMYFUNCTION("""COMPUTED_VALUE"""),0.476)</f>
        <v>0.47599999999999998</v>
      </c>
      <c r="T49" s="1">
        <f ca="1">IFERROR(__xludf.DUMMYFUNCTION("""COMPUTED_VALUE"""),156)</f>
        <v>156</v>
      </c>
      <c r="U49" s="1">
        <f ca="1">IFERROR(__xludf.DUMMYFUNCTION("""COMPUTED_VALUE"""),430)</f>
        <v>430</v>
      </c>
      <c r="V49" s="1">
        <f ca="1">IFERROR(__xludf.DUMMYFUNCTION("""COMPUTED_VALUE"""),0.363)</f>
        <v>0.36299999999999999</v>
      </c>
      <c r="W49" s="1">
        <f ca="1">IFERROR(__xludf.DUMMYFUNCTION("""COMPUTED_VALUE"""),477)</f>
        <v>477</v>
      </c>
      <c r="X49" s="1">
        <f ca="1">IFERROR(__xludf.DUMMYFUNCTION("""COMPUTED_VALUE"""),641)</f>
        <v>641</v>
      </c>
      <c r="Y49" s="1">
        <f ca="1">IFERROR(__xludf.DUMMYFUNCTION("""COMPUTED_VALUE"""),0.744)</f>
        <v>0.74399999999999999</v>
      </c>
      <c r="Z49" s="1">
        <f ca="1">IFERROR(__xludf.DUMMYFUNCTION("""COMPUTED_VALUE"""),341)</f>
        <v>341</v>
      </c>
      <c r="AA49" s="1">
        <f ca="1">IFERROR(__xludf.DUMMYFUNCTION("""COMPUTED_VALUE"""),1095)</f>
        <v>1095</v>
      </c>
      <c r="AB49" s="1">
        <f ca="1">IFERROR(__xludf.DUMMYFUNCTION("""COMPUTED_VALUE"""),540)</f>
        <v>540</v>
      </c>
      <c r="AC49" s="1">
        <f ca="1">IFERROR(__xludf.DUMMYFUNCTION("""COMPUTED_VALUE"""),159)</f>
        <v>159</v>
      </c>
      <c r="AD49" s="1">
        <f ca="1">IFERROR(__xludf.DUMMYFUNCTION("""COMPUTED_VALUE"""),106)</f>
        <v>106</v>
      </c>
      <c r="AE49" s="1">
        <f ca="1">IFERROR(__xludf.DUMMYFUNCTION("""COMPUTED_VALUE"""),411)</f>
        <v>411</v>
      </c>
      <c r="AF49" s="1">
        <f ca="1">IFERROR(__xludf.DUMMYFUNCTION("""COMPUTED_VALUE"""),489)</f>
        <v>489</v>
      </c>
    </row>
    <row r="50" spans="1:32" ht="12.5" x14ac:dyDescent="0.25">
      <c r="A50" s="1" t="str">
        <f ca="1">IFERROR(__xludf.DUMMYFUNCTION("""COMPUTED_VALUE"""),"Campbell")</f>
        <v>Campbell</v>
      </c>
      <c r="B50" s="1">
        <f ca="1">IFERROR(__xludf.DUMMYFUNCTION("""COMPUTED_VALUE"""),32)</f>
        <v>32</v>
      </c>
      <c r="C50" s="1">
        <f ca="1">IFERROR(__xludf.DUMMYFUNCTION("""COMPUTED_VALUE"""),17)</f>
        <v>17</v>
      </c>
      <c r="D50" s="1">
        <f ca="1">IFERROR(__xludf.DUMMYFUNCTION("""COMPUTED_VALUE"""),15)</f>
        <v>15</v>
      </c>
      <c r="E50" s="1">
        <f ca="1">IFERROR(__xludf.DUMMYFUNCTION("""COMPUTED_VALUE"""),0.531)</f>
        <v>0.53100000000000003</v>
      </c>
      <c r="F50" s="1">
        <f ca="1">IFERROR(__xludf.DUMMYFUNCTION("""COMPUTED_VALUE"""),-6.06)</f>
        <v>-6.06</v>
      </c>
      <c r="G50" s="1">
        <f ca="1">IFERROR(__xludf.DUMMYFUNCTION("""COMPUTED_VALUE"""),-4.8)</f>
        <v>-4.8</v>
      </c>
      <c r="H50" s="1">
        <f ca="1">IFERROR(__xludf.DUMMYFUNCTION("""COMPUTED_VALUE"""),11)</f>
        <v>11</v>
      </c>
      <c r="I50" s="1">
        <f ca="1">IFERROR(__xludf.DUMMYFUNCTION("""COMPUTED_VALUE"""),7)</f>
        <v>7</v>
      </c>
      <c r="J50" s="1">
        <f ca="1">IFERROR(__xludf.DUMMYFUNCTION("""COMPUTED_VALUE"""),11)</f>
        <v>11</v>
      </c>
      <c r="K50" s="1">
        <f ca="1">IFERROR(__xludf.DUMMYFUNCTION("""COMPUTED_VALUE"""),2)</f>
        <v>2</v>
      </c>
      <c r="L50" s="1">
        <f ca="1">IFERROR(__xludf.DUMMYFUNCTION("""COMPUTED_VALUE"""),6)</f>
        <v>6</v>
      </c>
      <c r="M50" s="1">
        <f ca="1">IFERROR(__xludf.DUMMYFUNCTION("""COMPUTED_VALUE"""),12)</f>
        <v>12</v>
      </c>
      <c r="N50" s="1">
        <f ca="1">IFERROR(__xludf.DUMMYFUNCTION("""COMPUTED_VALUE"""),2370)</f>
        <v>2370</v>
      </c>
      <c r="O50" s="1">
        <f ca="1">IFERROR(__xludf.DUMMYFUNCTION("""COMPUTED_VALUE"""),2361)</f>
        <v>2361</v>
      </c>
      <c r="P50" s="1">
        <f ca="1">IFERROR(__xludf.DUMMYFUNCTION("""COMPUTED_VALUE"""),1285)</f>
        <v>1285</v>
      </c>
      <c r="Q50" s="1">
        <f ca="1">IFERROR(__xludf.DUMMYFUNCTION("""COMPUTED_VALUE"""),846)</f>
        <v>846</v>
      </c>
      <c r="R50" s="1">
        <f ca="1">IFERROR(__xludf.DUMMYFUNCTION("""COMPUTED_VALUE"""),1748)</f>
        <v>1748</v>
      </c>
      <c r="S50" s="1">
        <f ca="1">IFERROR(__xludf.DUMMYFUNCTION("""COMPUTED_VALUE"""),0.484)</f>
        <v>0.48399999999999999</v>
      </c>
      <c r="T50" s="1">
        <f ca="1">IFERROR(__xludf.DUMMYFUNCTION("""COMPUTED_VALUE"""),169)</f>
        <v>169</v>
      </c>
      <c r="U50" s="1">
        <f ca="1">IFERROR(__xludf.DUMMYFUNCTION("""COMPUTED_VALUE"""),452)</f>
        <v>452</v>
      </c>
      <c r="V50" s="1">
        <f ca="1">IFERROR(__xludf.DUMMYFUNCTION("""COMPUTED_VALUE"""),0.374)</f>
        <v>0.374</v>
      </c>
      <c r="W50" s="1">
        <f ca="1">IFERROR(__xludf.DUMMYFUNCTION("""COMPUTED_VALUE"""),509)</f>
        <v>509</v>
      </c>
      <c r="X50" s="1">
        <f ca="1">IFERROR(__xludf.DUMMYFUNCTION("""COMPUTED_VALUE"""),761)</f>
        <v>761</v>
      </c>
      <c r="Y50" s="1">
        <f ca="1">IFERROR(__xludf.DUMMYFUNCTION("""COMPUTED_VALUE"""),0.669)</f>
        <v>0.66900000000000004</v>
      </c>
      <c r="Z50" s="1">
        <f ca="1">IFERROR(__xludf.DUMMYFUNCTION("""COMPUTED_VALUE"""),329)</f>
        <v>329</v>
      </c>
      <c r="AA50" s="1">
        <f ca="1">IFERROR(__xludf.DUMMYFUNCTION("""COMPUTED_VALUE"""),1044)</f>
        <v>1044</v>
      </c>
      <c r="AB50" s="1">
        <f ca="1">IFERROR(__xludf.DUMMYFUNCTION("""COMPUTED_VALUE"""),496)</f>
        <v>496</v>
      </c>
      <c r="AC50" s="1">
        <f ca="1">IFERROR(__xludf.DUMMYFUNCTION("""COMPUTED_VALUE"""),196)</f>
        <v>196</v>
      </c>
      <c r="AD50" s="1">
        <f ca="1">IFERROR(__xludf.DUMMYFUNCTION("""COMPUTED_VALUE"""),167)</f>
        <v>167</v>
      </c>
      <c r="AE50" s="1">
        <f ca="1">IFERROR(__xludf.DUMMYFUNCTION("""COMPUTED_VALUE"""),454)</f>
        <v>454</v>
      </c>
      <c r="AF50" s="1">
        <f ca="1">IFERROR(__xludf.DUMMYFUNCTION("""COMPUTED_VALUE"""),648)</f>
        <v>648</v>
      </c>
    </row>
    <row r="51" spans="1:32" ht="12.5" x14ac:dyDescent="0.25">
      <c r="A51" s="1" t="str">
        <f ca="1">IFERROR(__xludf.DUMMYFUNCTION("""COMPUTED_VALUE"""),"Canisius")</f>
        <v>Canisius</v>
      </c>
      <c r="B51" s="1">
        <f ca="1">IFERROR(__xludf.DUMMYFUNCTION("""COMPUTED_VALUE"""),30)</f>
        <v>30</v>
      </c>
      <c r="C51" s="1">
        <f ca="1">IFERROR(__xludf.DUMMYFUNCTION("""COMPUTED_VALUE"""),5)</f>
        <v>5</v>
      </c>
      <c r="D51" s="1">
        <f ca="1">IFERROR(__xludf.DUMMYFUNCTION("""COMPUTED_VALUE"""),25)</f>
        <v>25</v>
      </c>
      <c r="E51" s="1">
        <f ca="1">IFERROR(__xludf.DUMMYFUNCTION("""COMPUTED_VALUE"""),0.167)</f>
        <v>0.16700000000000001</v>
      </c>
      <c r="F51" s="1">
        <f ca="1">IFERROR(__xludf.DUMMYFUNCTION("""COMPUTED_VALUE"""),-14.73)</f>
        <v>-14.73</v>
      </c>
      <c r="G51" s="1">
        <f ca="1">IFERROR(__xludf.DUMMYFUNCTION("""COMPUTED_VALUE"""),-4.53)</f>
        <v>-4.53</v>
      </c>
      <c r="H51" s="1">
        <f ca="1">IFERROR(__xludf.DUMMYFUNCTION("""COMPUTED_VALUE"""),1)</f>
        <v>1</v>
      </c>
      <c r="I51" s="1">
        <f ca="1">IFERROR(__xludf.DUMMYFUNCTION("""COMPUTED_VALUE"""),17)</f>
        <v>17</v>
      </c>
      <c r="J51" s="1">
        <f ca="1">IFERROR(__xludf.DUMMYFUNCTION("""COMPUTED_VALUE"""),3)</f>
        <v>3</v>
      </c>
      <c r="K51" s="1">
        <f ca="1">IFERROR(__xludf.DUMMYFUNCTION("""COMPUTED_VALUE"""),10)</f>
        <v>10</v>
      </c>
      <c r="L51" s="1">
        <f ca="1">IFERROR(__xludf.DUMMYFUNCTION("""COMPUTED_VALUE"""),2)</f>
        <v>2</v>
      </c>
      <c r="M51" s="1">
        <f ca="1">IFERROR(__xludf.DUMMYFUNCTION("""COMPUTED_VALUE"""),14)</f>
        <v>14</v>
      </c>
      <c r="N51" s="1">
        <f ca="1">IFERROR(__xludf.DUMMYFUNCTION("""COMPUTED_VALUE"""),1965)</f>
        <v>1965</v>
      </c>
      <c r="O51" s="1">
        <f ca="1">IFERROR(__xludf.DUMMYFUNCTION("""COMPUTED_VALUE"""),2271)</f>
        <v>2271</v>
      </c>
      <c r="P51" s="1">
        <f ca="1">IFERROR(__xludf.DUMMYFUNCTION("""COMPUTED_VALUE"""),1210)</f>
        <v>1210</v>
      </c>
      <c r="Q51" s="1">
        <f ca="1">IFERROR(__xludf.DUMMYFUNCTION("""COMPUTED_VALUE"""),704)</f>
        <v>704</v>
      </c>
      <c r="R51" s="1">
        <f ca="1">IFERROR(__xludf.DUMMYFUNCTION("""COMPUTED_VALUE"""),1731)</f>
        <v>1731</v>
      </c>
      <c r="S51" s="1">
        <f ca="1">IFERROR(__xludf.DUMMYFUNCTION("""COMPUTED_VALUE"""),0.407)</f>
        <v>0.40699999999999997</v>
      </c>
      <c r="T51" s="1">
        <f ca="1">IFERROR(__xludf.DUMMYFUNCTION("""COMPUTED_VALUE"""),191)</f>
        <v>191</v>
      </c>
      <c r="U51" s="1">
        <f ca="1">IFERROR(__xludf.DUMMYFUNCTION("""COMPUTED_VALUE"""),580)</f>
        <v>580</v>
      </c>
      <c r="V51" s="1">
        <f ca="1">IFERROR(__xludf.DUMMYFUNCTION("""COMPUTED_VALUE"""),0.329)</f>
        <v>0.32900000000000001</v>
      </c>
      <c r="W51" s="1">
        <f ca="1">IFERROR(__xludf.DUMMYFUNCTION("""COMPUTED_VALUE"""),366)</f>
        <v>366</v>
      </c>
      <c r="X51" s="1">
        <f ca="1">IFERROR(__xludf.DUMMYFUNCTION("""COMPUTED_VALUE"""),503)</f>
        <v>503</v>
      </c>
      <c r="Y51" s="1">
        <f ca="1">IFERROR(__xludf.DUMMYFUNCTION("""COMPUTED_VALUE"""),0.728)</f>
        <v>0.72799999999999998</v>
      </c>
      <c r="Z51" s="1">
        <f ca="1">IFERROR(__xludf.DUMMYFUNCTION("""COMPUTED_VALUE"""),371)</f>
        <v>371</v>
      </c>
      <c r="AA51" s="1">
        <f ca="1">IFERROR(__xludf.DUMMYFUNCTION("""COMPUTED_VALUE"""),938)</f>
        <v>938</v>
      </c>
      <c r="AB51" s="1">
        <f ca="1">IFERROR(__xludf.DUMMYFUNCTION("""COMPUTED_VALUE"""),327)</f>
        <v>327</v>
      </c>
      <c r="AC51" s="1">
        <f ca="1">IFERROR(__xludf.DUMMYFUNCTION("""COMPUTED_VALUE"""),192)</f>
        <v>192</v>
      </c>
      <c r="AD51" s="1">
        <f ca="1">IFERROR(__xludf.DUMMYFUNCTION("""COMPUTED_VALUE"""),76)</f>
        <v>76</v>
      </c>
      <c r="AE51" s="1">
        <f ca="1">IFERROR(__xludf.DUMMYFUNCTION("""COMPUTED_VALUE"""),442)</f>
        <v>442</v>
      </c>
      <c r="AF51" s="1">
        <f ca="1">IFERROR(__xludf.DUMMYFUNCTION("""COMPUTED_VALUE"""),539)</f>
        <v>539</v>
      </c>
    </row>
    <row r="52" spans="1:32" ht="12.5" x14ac:dyDescent="0.25">
      <c r="A52" s="1" t="str">
        <f ca="1">IFERROR(__xludf.DUMMYFUNCTION("""COMPUTED_VALUE"""),"Central Arkansas")</f>
        <v>Central Arkansas</v>
      </c>
      <c r="B52" s="1">
        <f ca="1">IFERROR(__xludf.DUMMYFUNCTION("""COMPUTED_VALUE"""),29)</f>
        <v>29</v>
      </c>
      <c r="C52" s="1">
        <f ca="1">IFERROR(__xludf.DUMMYFUNCTION("""COMPUTED_VALUE"""),8)</f>
        <v>8</v>
      </c>
      <c r="D52" s="1">
        <f ca="1">IFERROR(__xludf.DUMMYFUNCTION("""COMPUTED_VALUE"""),21)</f>
        <v>21</v>
      </c>
      <c r="E52" s="1">
        <f ca="1">IFERROR(__xludf.DUMMYFUNCTION("""COMPUTED_VALUE"""),0.276)</f>
        <v>0.27600000000000002</v>
      </c>
      <c r="F52" s="1">
        <f ca="1">IFERROR(__xludf.DUMMYFUNCTION("""COMPUTED_VALUE"""),-17.26)</f>
        <v>-17.260000000000002</v>
      </c>
      <c r="G52" s="1">
        <f ca="1">IFERROR(__xludf.DUMMYFUNCTION("""COMPUTED_VALUE"""),-4.83)</f>
        <v>-4.83</v>
      </c>
      <c r="H52" s="1">
        <f ca="1">IFERROR(__xludf.DUMMYFUNCTION("""COMPUTED_VALUE"""),3)</f>
        <v>3</v>
      </c>
      <c r="I52" s="1">
        <f ca="1">IFERROR(__xludf.DUMMYFUNCTION("""COMPUTED_VALUE"""),13)</f>
        <v>13</v>
      </c>
      <c r="J52" s="1">
        <f ca="1">IFERROR(__xludf.DUMMYFUNCTION("""COMPUTED_VALUE"""),6)</f>
        <v>6</v>
      </c>
      <c r="K52" s="1">
        <f ca="1">IFERROR(__xludf.DUMMYFUNCTION("""COMPUTED_VALUE"""),7)</f>
        <v>7</v>
      </c>
      <c r="L52" s="1">
        <f ca="1">IFERROR(__xludf.DUMMYFUNCTION("""COMPUTED_VALUE"""),2)</f>
        <v>2</v>
      </c>
      <c r="M52" s="1">
        <f ca="1">IFERROR(__xludf.DUMMYFUNCTION("""COMPUTED_VALUE"""),14)</f>
        <v>14</v>
      </c>
      <c r="N52" s="1">
        <f ca="1">IFERROR(__xludf.DUMMYFUNCTION("""COMPUTED_VALUE"""),2058)</f>
        <v>2058</v>
      </c>
      <c r="O52" s="1">
        <f ca="1">IFERROR(__xludf.DUMMYFUNCTION("""COMPUTED_VALUE"""),2371)</f>
        <v>2371</v>
      </c>
      <c r="P52" s="1">
        <f ca="1">IFERROR(__xludf.DUMMYFUNCTION("""COMPUTED_VALUE"""),1180)</f>
        <v>1180</v>
      </c>
      <c r="Q52" s="1">
        <f ca="1">IFERROR(__xludf.DUMMYFUNCTION("""COMPUTED_VALUE"""),786)</f>
        <v>786</v>
      </c>
      <c r="R52" s="1">
        <f ca="1">IFERROR(__xludf.DUMMYFUNCTION("""COMPUTED_VALUE"""),1884)</f>
        <v>1884</v>
      </c>
      <c r="S52" s="1">
        <f ca="1">IFERROR(__xludf.DUMMYFUNCTION("""COMPUTED_VALUE"""),0.417)</f>
        <v>0.41699999999999998</v>
      </c>
      <c r="T52" s="1">
        <f ca="1">IFERROR(__xludf.DUMMYFUNCTION("""COMPUTED_VALUE"""),150)</f>
        <v>150</v>
      </c>
      <c r="U52" s="1">
        <f ca="1">IFERROR(__xludf.DUMMYFUNCTION("""COMPUTED_VALUE"""),490)</f>
        <v>490</v>
      </c>
      <c r="V52" s="1">
        <f ca="1">IFERROR(__xludf.DUMMYFUNCTION("""COMPUTED_VALUE"""),0.306)</f>
        <v>0.30599999999999999</v>
      </c>
      <c r="W52" s="1">
        <f ca="1">IFERROR(__xludf.DUMMYFUNCTION("""COMPUTED_VALUE"""),336)</f>
        <v>336</v>
      </c>
      <c r="X52" s="1">
        <f ca="1">IFERROR(__xludf.DUMMYFUNCTION("""COMPUTED_VALUE"""),605)</f>
        <v>605</v>
      </c>
      <c r="Y52" s="1">
        <f ca="1">IFERROR(__xludf.DUMMYFUNCTION("""COMPUTED_VALUE"""),0.555)</f>
        <v>0.55500000000000005</v>
      </c>
      <c r="Z52" s="1">
        <f ca="1">IFERROR(__xludf.DUMMYFUNCTION("""COMPUTED_VALUE"""),425)</f>
        <v>425</v>
      </c>
      <c r="AA52" s="1">
        <f ca="1">IFERROR(__xludf.DUMMYFUNCTION("""COMPUTED_VALUE"""),984)</f>
        <v>984</v>
      </c>
      <c r="AB52" s="1">
        <f ca="1">IFERROR(__xludf.DUMMYFUNCTION("""COMPUTED_VALUE"""),426)</f>
        <v>426</v>
      </c>
      <c r="AC52" s="1">
        <f ca="1">IFERROR(__xludf.DUMMYFUNCTION("""COMPUTED_VALUE"""),235)</f>
        <v>235</v>
      </c>
      <c r="AD52" s="1">
        <f ca="1">IFERROR(__xludf.DUMMYFUNCTION("""COMPUTED_VALUE"""),92)</f>
        <v>92</v>
      </c>
      <c r="AE52" s="1">
        <f ca="1">IFERROR(__xludf.DUMMYFUNCTION("""COMPUTED_VALUE"""),445)</f>
        <v>445</v>
      </c>
      <c r="AF52" s="1">
        <f ca="1">IFERROR(__xludf.DUMMYFUNCTION("""COMPUTED_VALUE"""),588)</f>
        <v>588</v>
      </c>
    </row>
    <row r="53" spans="1:32" ht="12.5" x14ac:dyDescent="0.25">
      <c r="A53" s="1" t="str">
        <f ca="1">IFERROR(__xludf.DUMMYFUNCTION("""COMPUTED_VALUE"""),"Central Connecticut State")</f>
        <v>Central Connecticut State</v>
      </c>
      <c r="B53" s="1">
        <f ca="1">IFERROR(__xludf.DUMMYFUNCTION("""COMPUTED_VALUE"""),29)</f>
        <v>29</v>
      </c>
      <c r="C53" s="1">
        <f ca="1">IFERROR(__xludf.DUMMYFUNCTION("""COMPUTED_VALUE"""),13)</f>
        <v>13</v>
      </c>
      <c r="D53" s="1">
        <f ca="1">IFERROR(__xludf.DUMMYFUNCTION("""COMPUTED_VALUE"""),16)</f>
        <v>16</v>
      </c>
      <c r="E53" s="1">
        <f ca="1">IFERROR(__xludf.DUMMYFUNCTION("""COMPUTED_VALUE"""),0.448)</f>
        <v>0.44800000000000001</v>
      </c>
      <c r="F53" s="1">
        <f ca="1">IFERROR(__xludf.DUMMYFUNCTION("""COMPUTED_VALUE"""),-5.36)</f>
        <v>-5.36</v>
      </c>
      <c r="G53" s="1">
        <f ca="1">IFERROR(__xludf.DUMMYFUNCTION("""COMPUTED_VALUE"""),-5.05)</f>
        <v>-5.05</v>
      </c>
      <c r="H53" s="1">
        <f ca="1">IFERROR(__xludf.DUMMYFUNCTION("""COMPUTED_VALUE"""),10)</f>
        <v>10</v>
      </c>
      <c r="I53" s="1">
        <f ca="1">IFERROR(__xludf.DUMMYFUNCTION("""COMPUTED_VALUE"""),8)</f>
        <v>8</v>
      </c>
      <c r="J53" s="1">
        <f ca="1">IFERROR(__xludf.DUMMYFUNCTION("""COMPUTED_VALUE"""),10)</f>
        <v>10</v>
      </c>
      <c r="K53" s="1">
        <f ca="1">IFERROR(__xludf.DUMMYFUNCTION("""COMPUTED_VALUE"""),3)</f>
        <v>3</v>
      </c>
      <c r="L53" s="1">
        <f ca="1">IFERROR(__xludf.DUMMYFUNCTION("""COMPUTED_VALUE"""),3)</f>
        <v>3</v>
      </c>
      <c r="M53" s="1">
        <f ca="1">IFERROR(__xludf.DUMMYFUNCTION("""COMPUTED_VALUE"""),12)</f>
        <v>12</v>
      </c>
      <c r="N53" s="1">
        <f ca="1">IFERROR(__xludf.DUMMYFUNCTION("""COMPUTED_VALUE"""),2029)</f>
        <v>2029</v>
      </c>
      <c r="O53" s="1">
        <f ca="1">IFERROR(__xludf.DUMMYFUNCTION("""COMPUTED_VALUE"""),2038)</f>
        <v>2038</v>
      </c>
      <c r="P53" s="1">
        <f ca="1">IFERROR(__xludf.DUMMYFUNCTION("""COMPUTED_VALUE"""),1175)</f>
        <v>1175</v>
      </c>
      <c r="Q53" s="1">
        <f ca="1">IFERROR(__xludf.DUMMYFUNCTION("""COMPUTED_VALUE"""),717)</f>
        <v>717</v>
      </c>
      <c r="R53" s="1">
        <f ca="1">IFERROR(__xludf.DUMMYFUNCTION("""COMPUTED_VALUE"""),1689)</f>
        <v>1689</v>
      </c>
      <c r="S53" s="1">
        <f ca="1">IFERROR(__xludf.DUMMYFUNCTION("""COMPUTED_VALUE"""),0.425)</f>
        <v>0.42499999999999999</v>
      </c>
      <c r="T53" s="1">
        <f ca="1">IFERROR(__xludf.DUMMYFUNCTION("""COMPUTED_VALUE"""),180)</f>
        <v>180</v>
      </c>
      <c r="U53" s="1">
        <f ca="1">IFERROR(__xludf.DUMMYFUNCTION("""COMPUTED_VALUE"""),524)</f>
        <v>524</v>
      </c>
      <c r="V53" s="1">
        <f ca="1">IFERROR(__xludf.DUMMYFUNCTION("""COMPUTED_VALUE"""),0.344)</f>
        <v>0.34399999999999997</v>
      </c>
      <c r="W53" s="1">
        <f ca="1">IFERROR(__xludf.DUMMYFUNCTION("""COMPUTED_VALUE"""),415)</f>
        <v>415</v>
      </c>
      <c r="X53" s="1">
        <f ca="1">IFERROR(__xludf.DUMMYFUNCTION("""COMPUTED_VALUE"""),547)</f>
        <v>547</v>
      </c>
      <c r="Y53" s="1">
        <f ca="1">IFERROR(__xludf.DUMMYFUNCTION("""COMPUTED_VALUE"""),0.759)</f>
        <v>0.75900000000000001</v>
      </c>
      <c r="Z53" s="1">
        <f ca="1">IFERROR(__xludf.DUMMYFUNCTION("""COMPUTED_VALUE"""),345)</f>
        <v>345</v>
      </c>
      <c r="AA53" s="1">
        <f ca="1">IFERROR(__xludf.DUMMYFUNCTION("""COMPUTED_VALUE"""),859)</f>
        <v>859</v>
      </c>
      <c r="AB53" s="1">
        <f ca="1">IFERROR(__xludf.DUMMYFUNCTION("""COMPUTED_VALUE"""),393)</f>
        <v>393</v>
      </c>
      <c r="AC53" s="1">
        <f ca="1">IFERROR(__xludf.DUMMYFUNCTION("""COMPUTED_VALUE"""),235)</f>
        <v>235</v>
      </c>
      <c r="AD53" s="1">
        <f ca="1">IFERROR(__xludf.DUMMYFUNCTION("""COMPUTED_VALUE"""),103)</f>
        <v>103</v>
      </c>
      <c r="AE53" s="1">
        <f ca="1">IFERROR(__xludf.DUMMYFUNCTION("""COMPUTED_VALUE"""),424)</f>
        <v>424</v>
      </c>
      <c r="AF53" s="1">
        <f ca="1">IFERROR(__xludf.DUMMYFUNCTION("""COMPUTED_VALUE"""),541)</f>
        <v>541</v>
      </c>
    </row>
    <row r="54" spans="1:32" ht="12.5" x14ac:dyDescent="0.25">
      <c r="A54" s="1" t="str">
        <f ca="1">IFERROR(__xludf.DUMMYFUNCTION("""COMPUTED_VALUE"""),"Central Florida")</f>
        <v>Central Florida</v>
      </c>
      <c r="B54" s="1">
        <f ca="1">IFERROR(__xludf.DUMMYFUNCTION("""COMPUTED_VALUE"""),33)</f>
        <v>33</v>
      </c>
      <c r="C54" s="1">
        <f ca="1">IFERROR(__xludf.DUMMYFUNCTION("""COMPUTED_VALUE"""),22)</f>
        <v>22</v>
      </c>
      <c r="D54" s="1">
        <f ca="1">IFERROR(__xludf.DUMMYFUNCTION("""COMPUTED_VALUE"""),11)</f>
        <v>11</v>
      </c>
      <c r="E54" s="1">
        <f ca="1">IFERROR(__xludf.DUMMYFUNCTION("""COMPUTED_VALUE"""),0.667)</f>
        <v>0.66700000000000004</v>
      </c>
      <c r="F54" s="1">
        <f ca="1">IFERROR(__xludf.DUMMYFUNCTION("""COMPUTED_VALUE"""),4.33)</f>
        <v>4.33</v>
      </c>
      <c r="G54" s="1">
        <f ca="1">IFERROR(__xludf.DUMMYFUNCTION("""COMPUTED_VALUE"""),2.98)</f>
        <v>2.98</v>
      </c>
      <c r="H54" s="1">
        <f ca="1">IFERROR(__xludf.DUMMYFUNCTION("""COMPUTED_VALUE"""),10)</f>
        <v>10</v>
      </c>
      <c r="I54" s="1">
        <f ca="1">IFERROR(__xludf.DUMMYFUNCTION("""COMPUTED_VALUE"""),6)</f>
        <v>6</v>
      </c>
      <c r="J54" s="1">
        <f ca="1">IFERROR(__xludf.DUMMYFUNCTION("""COMPUTED_VALUE"""),16)</f>
        <v>16</v>
      </c>
      <c r="K54" s="1">
        <f ca="1">IFERROR(__xludf.DUMMYFUNCTION("""COMPUTED_VALUE"""),1)</f>
        <v>1</v>
      </c>
      <c r="L54" s="1">
        <f ca="1">IFERROR(__xludf.DUMMYFUNCTION("""COMPUTED_VALUE"""),3)</f>
        <v>3</v>
      </c>
      <c r="M54" s="1">
        <f ca="1">IFERROR(__xludf.DUMMYFUNCTION("""COMPUTED_VALUE"""),9)</f>
        <v>9</v>
      </c>
      <c r="N54" s="1">
        <f ca="1">IFERROR(__xludf.DUMMYFUNCTION("""COMPUTED_VALUE"""),2166)</f>
        <v>2166</v>
      </c>
      <c r="O54" s="1">
        <f ca="1">IFERROR(__xludf.DUMMYFUNCTION("""COMPUTED_VALUE"""),2096)</f>
        <v>2096</v>
      </c>
      <c r="P54" s="1">
        <f ca="1">IFERROR(__xludf.DUMMYFUNCTION("""COMPUTED_VALUE"""),1320)</f>
        <v>1320</v>
      </c>
      <c r="Q54" s="1">
        <f ca="1">IFERROR(__xludf.DUMMYFUNCTION("""COMPUTED_VALUE"""),768)</f>
        <v>768</v>
      </c>
      <c r="R54" s="1">
        <f ca="1">IFERROR(__xludf.DUMMYFUNCTION("""COMPUTED_VALUE"""),1777)</f>
        <v>1777</v>
      </c>
      <c r="S54" s="1">
        <f ca="1">IFERROR(__xludf.DUMMYFUNCTION("""COMPUTED_VALUE"""),0.432)</f>
        <v>0.432</v>
      </c>
      <c r="T54" s="1">
        <f ca="1">IFERROR(__xludf.DUMMYFUNCTION("""COMPUTED_VALUE"""),178)</f>
        <v>178</v>
      </c>
      <c r="U54" s="1">
        <f ca="1">IFERROR(__xludf.DUMMYFUNCTION("""COMPUTED_VALUE"""),592)</f>
        <v>592</v>
      </c>
      <c r="V54" s="1">
        <f ca="1">IFERROR(__xludf.DUMMYFUNCTION("""COMPUTED_VALUE"""),0.301)</f>
        <v>0.30099999999999999</v>
      </c>
      <c r="W54" s="1">
        <f ca="1">IFERROR(__xludf.DUMMYFUNCTION("""COMPUTED_VALUE"""),452)</f>
        <v>452</v>
      </c>
      <c r="X54" s="1">
        <f ca="1">IFERROR(__xludf.DUMMYFUNCTION("""COMPUTED_VALUE"""),722)</f>
        <v>722</v>
      </c>
      <c r="Y54" s="1">
        <f ca="1">IFERROR(__xludf.DUMMYFUNCTION("""COMPUTED_VALUE"""),0.626)</f>
        <v>0.626</v>
      </c>
      <c r="Z54" s="1">
        <f ca="1">IFERROR(__xludf.DUMMYFUNCTION("""COMPUTED_VALUE"""),423)</f>
        <v>423</v>
      </c>
      <c r="AA54" s="1">
        <f ca="1">IFERROR(__xludf.DUMMYFUNCTION("""COMPUTED_VALUE"""),1083)</f>
        <v>1083</v>
      </c>
      <c r="AB54" s="1">
        <f ca="1">IFERROR(__xludf.DUMMYFUNCTION("""COMPUTED_VALUE"""),375)</f>
        <v>375</v>
      </c>
      <c r="AC54" s="1">
        <f ca="1">IFERROR(__xludf.DUMMYFUNCTION("""COMPUTED_VALUE"""),208)</f>
        <v>208</v>
      </c>
      <c r="AD54" s="1">
        <f ca="1">IFERROR(__xludf.DUMMYFUNCTION("""COMPUTED_VALUE"""),142)</f>
        <v>142</v>
      </c>
      <c r="AE54" s="1">
        <f ca="1">IFERROR(__xludf.DUMMYFUNCTION("""COMPUTED_VALUE"""),417)</f>
        <v>417</v>
      </c>
      <c r="AF54" s="1">
        <f ca="1">IFERROR(__xludf.DUMMYFUNCTION("""COMPUTED_VALUE"""),552)</f>
        <v>552</v>
      </c>
    </row>
    <row r="55" spans="1:32" ht="12.5" x14ac:dyDescent="0.25">
      <c r="A55" s="1" t="str">
        <f ca="1">IFERROR(__xludf.DUMMYFUNCTION("""COMPUTED_VALUE"""),"Central Michigan")</f>
        <v>Central Michigan</v>
      </c>
      <c r="B55" s="1">
        <f ca="1">IFERROR(__xludf.DUMMYFUNCTION("""COMPUTED_VALUE"""),32)</f>
        <v>32</v>
      </c>
      <c r="C55" s="1">
        <f ca="1">IFERROR(__xludf.DUMMYFUNCTION("""COMPUTED_VALUE"""),11)</f>
        <v>11</v>
      </c>
      <c r="D55" s="1">
        <f ca="1">IFERROR(__xludf.DUMMYFUNCTION("""COMPUTED_VALUE"""),21)</f>
        <v>21</v>
      </c>
      <c r="E55" s="1">
        <f ca="1">IFERROR(__xludf.DUMMYFUNCTION("""COMPUTED_VALUE"""),0.344)</f>
        <v>0.34399999999999997</v>
      </c>
      <c r="F55" s="1">
        <f ca="1">IFERROR(__xludf.DUMMYFUNCTION("""COMPUTED_VALUE"""),-6.74)</f>
        <v>-6.74</v>
      </c>
      <c r="G55" s="1">
        <f ca="1">IFERROR(__xludf.DUMMYFUNCTION("""COMPUTED_VALUE"""),-1.62)</f>
        <v>-1.62</v>
      </c>
      <c r="H55" s="1">
        <f ca="1">IFERROR(__xludf.DUMMYFUNCTION("""COMPUTED_VALUE"""),5)</f>
        <v>5</v>
      </c>
      <c r="I55" s="1">
        <f ca="1">IFERROR(__xludf.DUMMYFUNCTION("""COMPUTED_VALUE"""),11)</f>
        <v>11</v>
      </c>
      <c r="J55" s="1">
        <f ca="1">IFERROR(__xludf.DUMMYFUNCTION("""COMPUTED_VALUE"""),6)</f>
        <v>6</v>
      </c>
      <c r="K55" s="1">
        <f ca="1">IFERROR(__xludf.DUMMYFUNCTION("""COMPUTED_VALUE"""),6)</f>
        <v>6</v>
      </c>
      <c r="L55" s="1">
        <f ca="1">IFERROR(__xludf.DUMMYFUNCTION("""COMPUTED_VALUE"""),3)</f>
        <v>3</v>
      </c>
      <c r="M55" s="1">
        <f ca="1">IFERROR(__xludf.DUMMYFUNCTION("""COMPUTED_VALUE"""),13)</f>
        <v>13</v>
      </c>
      <c r="N55" s="1">
        <f ca="1">IFERROR(__xludf.DUMMYFUNCTION("""COMPUTED_VALUE"""),1980)</f>
        <v>1980</v>
      </c>
      <c r="O55" s="1">
        <f ca="1">IFERROR(__xludf.DUMMYFUNCTION("""COMPUTED_VALUE"""),2134)</f>
        <v>2134</v>
      </c>
      <c r="P55" s="1">
        <f ca="1">IFERROR(__xludf.DUMMYFUNCTION("""COMPUTED_VALUE"""),1290)</f>
        <v>1290</v>
      </c>
      <c r="Q55" s="1">
        <f ca="1">IFERROR(__xludf.DUMMYFUNCTION("""COMPUTED_VALUE"""),700)</f>
        <v>700</v>
      </c>
      <c r="R55" s="1">
        <f ca="1">IFERROR(__xludf.DUMMYFUNCTION("""COMPUTED_VALUE"""),1772)</f>
        <v>1772</v>
      </c>
      <c r="S55" s="1">
        <f ca="1">IFERROR(__xludf.DUMMYFUNCTION("""COMPUTED_VALUE"""),0.395)</f>
        <v>0.39500000000000002</v>
      </c>
      <c r="T55" s="1">
        <f ca="1">IFERROR(__xludf.DUMMYFUNCTION("""COMPUTED_VALUE"""),203)</f>
        <v>203</v>
      </c>
      <c r="U55" s="1">
        <f ca="1">IFERROR(__xludf.DUMMYFUNCTION("""COMPUTED_VALUE"""),608)</f>
        <v>608</v>
      </c>
      <c r="V55" s="1">
        <f ca="1">IFERROR(__xludf.DUMMYFUNCTION("""COMPUTED_VALUE"""),0.334)</f>
        <v>0.33400000000000002</v>
      </c>
      <c r="W55" s="1">
        <f ca="1">IFERROR(__xludf.DUMMYFUNCTION("""COMPUTED_VALUE"""),377)</f>
        <v>377</v>
      </c>
      <c r="X55" s="1">
        <f ca="1">IFERROR(__xludf.DUMMYFUNCTION("""COMPUTED_VALUE"""),594)</f>
        <v>594</v>
      </c>
      <c r="Y55" s="1">
        <f ca="1">IFERROR(__xludf.DUMMYFUNCTION("""COMPUTED_VALUE"""),0.635)</f>
        <v>0.63500000000000001</v>
      </c>
      <c r="Z55" s="1">
        <f ca="1">IFERROR(__xludf.DUMMYFUNCTION("""COMPUTED_VALUE"""),378)</f>
        <v>378</v>
      </c>
      <c r="AA55" s="1">
        <f ca="1">IFERROR(__xludf.DUMMYFUNCTION("""COMPUTED_VALUE"""),968)</f>
        <v>968</v>
      </c>
      <c r="AB55" s="1">
        <f ca="1">IFERROR(__xludf.DUMMYFUNCTION("""COMPUTED_VALUE"""),329)</f>
        <v>329</v>
      </c>
      <c r="AC55" s="1">
        <f ca="1">IFERROR(__xludf.DUMMYFUNCTION("""COMPUTED_VALUE"""),214)</f>
        <v>214</v>
      </c>
      <c r="AD55" s="1">
        <f ca="1">IFERROR(__xludf.DUMMYFUNCTION("""COMPUTED_VALUE"""),105)</f>
        <v>105</v>
      </c>
      <c r="AE55" s="1">
        <f ca="1">IFERROR(__xludf.DUMMYFUNCTION("""COMPUTED_VALUE"""),393)</f>
        <v>393</v>
      </c>
      <c r="AF55" s="1">
        <f ca="1">IFERROR(__xludf.DUMMYFUNCTION("""COMPUTED_VALUE"""),631)</f>
        <v>631</v>
      </c>
    </row>
    <row r="56" spans="1:32" ht="12.5" x14ac:dyDescent="0.25">
      <c r="A56" s="1" t="str">
        <f ca="1">IFERROR(__xludf.DUMMYFUNCTION("""COMPUTED_VALUE"""),"Charleston Southern")</f>
        <v>Charleston Southern</v>
      </c>
      <c r="B56" s="1">
        <f ca="1">IFERROR(__xludf.DUMMYFUNCTION("""COMPUTED_VALUE"""),31)</f>
        <v>31</v>
      </c>
      <c r="C56" s="1">
        <f ca="1">IFERROR(__xludf.DUMMYFUNCTION("""COMPUTED_VALUE"""),19)</f>
        <v>19</v>
      </c>
      <c r="D56" s="1">
        <f ca="1">IFERROR(__xludf.DUMMYFUNCTION("""COMPUTED_VALUE"""),12)</f>
        <v>12</v>
      </c>
      <c r="E56" s="1">
        <f ca="1">IFERROR(__xludf.DUMMYFUNCTION("""COMPUTED_VALUE"""),0.613)</f>
        <v>0.61299999999999999</v>
      </c>
      <c r="F56" s="1">
        <f ca="1">IFERROR(__xludf.DUMMYFUNCTION("""COMPUTED_VALUE"""),-2.19)</f>
        <v>-2.19</v>
      </c>
      <c r="G56" s="1">
        <f ca="1">IFERROR(__xludf.DUMMYFUNCTION("""COMPUTED_VALUE"""),-4.33)</f>
        <v>-4.33</v>
      </c>
      <c r="H56" s="1">
        <f ca="1">IFERROR(__xludf.DUMMYFUNCTION("""COMPUTED_VALUE"""),11)</f>
        <v>11</v>
      </c>
      <c r="I56" s="1">
        <f ca="1">IFERROR(__xludf.DUMMYFUNCTION("""COMPUTED_VALUE"""),7)</f>
        <v>7</v>
      </c>
      <c r="J56" s="1">
        <f ca="1">IFERROR(__xludf.DUMMYFUNCTION("""COMPUTED_VALUE"""),12)</f>
        <v>12</v>
      </c>
      <c r="K56" s="1">
        <f ca="1">IFERROR(__xludf.DUMMYFUNCTION("""COMPUTED_VALUE"""),2)</f>
        <v>2</v>
      </c>
      <c r="L56" s="1">
        <f ca="1">IFERROR(__xludf.DUMMYFUNCTION("""COMPUTED_VALUE"""),5)</f>
        <v>5</v>
      </c>
      <c r="M56" s="1">
        <f ca="1">IFERROR(__xludf.DUMMYFUNCTION("""COMPUTED_VALUE"""),10)</f>
        <v>10</v>
      </c>
      <c r="N56" s="1">
        <f ca="1">IFERROR(__xludf.DUMMYFUNCTION("""COMPUTED_VALUE"""),2383)</f>
        <v>2383</v>
      </c>
      <c r="O56" s="1">
        <f ca="1">IFERROR(__xludf.DUMMYFUNCTION("""COMPUTED_VALUE"""),2242)</f>
        <v>2242</v>
      </c>
      <c r="P56" s="1">
        <f ca="1">IFERROR(__xludf.DUMMYFUNCTION("""COMPUTED_VALUE"""),1245)</f>
        <v>1245</v>
      </c>
      <c r="Q56" s="1">
        <f ca="1">IFERROR(__xludf.DUMMYFUNCTION("""COMPUTED_VALUE"""),835)</f>
        <v>835</v>
      </c>
      <c r="R56" s="1">
        <f ca="1">IFERROR(__xludf.DUMMYFUNCTION("""COMPUTED_VALUE"""),1866)</f>
        <v>1866</v>
      </c>
      <c r="S56" s="1">
        <f ca="1">IFERROR(__xludf.DUMMYFUNCTION("""COMPUTED_VALUE"""),0.447)</f>
        <v>0.44700000000000001</v>
      </c>
      <c r="T56" s="1">
        <f ca="1">IFERROR(__xludf.DUMMYFUNCTION("""COMPUTED_VALUE"""),259)</f>
        <v>259</v>
      </c>
      <c r="U56" s="1">
        <f ca="1">IFERROR(__xludf.DUMMYFUNCTION("""COMPUTED_VALUE"""),681)</f>
        <v>681</v>
      </c>
      <c r="V56" s="1">
        <f ca="1">IFERROR(__xludf.DUMMYFUNCTION("""COMPUTED_VALUE"""),0.38)</f>
        <v>0.38</v>
      </c>
      <c r="W56" s="1">
        <f ca="1">IFERROR(__xludf.DUMMYFUNCTION("""COMPUTED_VALUE"""),454)</f>
        <v>454</v>
      </c>
      <c r="X56" s="1">
        <f ca="1">IFERROR(__xludf.DUMMYFUNCTION("""COMPUTED_VALUE"""),658)</f>
        <v>658</v>
      </c>
      <c r="Y56" s="1">
        <f ca="1">IFERROR(__xludf.DUMMYFUNCTION("""COMPUTED_VALUE"""),0.69)</f>
        <v>0.69</v>
      </c>
      <c r="Z56" s="1">
        <f ca="1">IFERROR(__xludf.DUMMYFUNCTION("""COMPUTED_VALUE"""),393)</f>
        <v>393</v>
      </c>
      <c r="AA56" s="1">
        <f ca="1">IFERROR(__xludf.DUMMYFUNCTION("""COMPUTED_VALUE"""),996)</f>
        <v>996</v>
      </c>
      <c r="AB56" s="1">
        <f ca="1">IFERROR(__xludf.DUMMYFUNCTION("""COMPUTED_VALUE"""),396)</f>
        <v>396</v>
      </c>
      <c r="AC56" s="1">
        <f ca="1">IFERROR(__xludf.DUMMYFUNCTION("""COMPUTED_VALUE"""),251)</f>
        <v>251</v>
      </c>
      <c r="AD56" s="1">
        <f ca="1">IFERROR(__xludf.DUMMYFUNCTION("""COMPUTED_VALUE"""),82)</f>
        <v>82</v>
      </c>
      <c r="AE56" s="1">
        <f ca="1">IFERROR(__xludf.DUMMYFUNCTION("""COMPUTED_VALUE"""),416)</f>
        <v>416</v>
      </c>
      <c r="AF56" s="1">
        <f ca="1">IFERROR(__xludf.DUMMYFUNCTION("""COMPUTED_VALUE"""),563)</f>
        <v>563</v>
      </c>
    </row>
    <row r="57" spans="1:32" ht="12.5" x14ac:dyDescent="0.25">
      <c r="A57" s="1" t="str">
        <f ca="1">IFERROR(__xludf.DUMMYFUNCTION("""COMPUTED_VALUE"""),"Charlotte")</f>
        <v>Charlotte</v>
      </c>
      <c r="B57" s="1">
        <f ca="1">IFERROR(__xludf.DUMMYFUNCTION("""COMPUTED_VALUE"""),30)</f>
        <v>30</v>
      </c>
      <c r="C57" s="1">
        <f ca="1">IFERROR(__xludf.DUMMYFUNCTION("""COMPUTED_VALUE"""),13)</f>
        <v>13</v>
      </c>
      <c r="D57" s="1">
        <f ca="1">IFERROR(__xludf.DUMMYFUNCTION("""COMPUTED_VALUE"""),17)</f>
        <v>17</v>
      </c>
      <c r="E57" s="1">
        <f ca="1">IFERROR(__xludf.DUMMYFUNCTION("""COMPUTED_VALUE"""),0.433)</f>
        <v>0.433</v>
      </c>
      <c r="F57" s="1">
        <f ca="1">IFERROR(__xludf.DUMMYFUNCTION("""COMPUTED_VALUE"""),0.99)</f>
        <v>0.99</v>
      </c>
      <c r="G57" s="1">
        <f ca="1">IFERROR(__xludf.DUMMYFUNCTION("""COMPUTED_VALUE"""),2.86)</f>
        <v>2.86</v>
      </c>
      <c r="H57" s="1">
        <f ca="1">IFERROR(__xludf.DUMMYFUNCTION("""COMPUTED_VALUE"""),5)</f>
        <v>5</v>
      </c>
      <c r="I57" s="1">
        <f ca="1">IFERROR(__xludf.DUMMYFUNCTION("""COMPUTED_VALUE"""),11)</f>
        <v>11</v>
      </c>
      <c r="J57" s="1">
        <f ca="1">IFERROR(__xludf.DUMMYFUNCTION("""COMPUTED_VALUE"""),7)</f>
        <v>7</v>
      </c>
      <c r="K57" s="1">
        <f ca="1">IFERROR(__xludf.DUMMYFUNCTION("""COMPUTED_VALUE"""),7)</f>
        <v>7</v>
      </c>
      <c r="L57" s="1">
        <f ca="1">IFERROR(__xludf.DUMMYFUNCTION("""COMPUTED_VALUE"""),6)</f>
        <v>6</v>
      </c>
      <c r="M57" s="1">
        <f ca="1">IFERROR(__xludf.DUMMYFUNCTION("""COMPUTED_VALUE"""),10)</f>
        <v>10</v>
      </c>
      <c r="N57" s="1">
        <f ca="1">IFERROR(__xludf.DUMMYFUNCTION("""COMPUTED_VALUE"""),2010)</f>
        <v>2010</v>
      </c>
      <c r="O57" s="1">
        <f ca="1">IFERROR(__xludf.DUMMYFUNCTION("""COMPUTED_VALUE"""),2066)</f>
        <v>2066</v>
      </c>
      <c r="P57" s="1">
        <f ca="1">IFERROR(__xludf.DUMMYFUNCTION("""COMPUTED_VALUE"""),1210)</f>
        <v>1210</v>
      </c>
      <c r="Q57" s="1">
        <f ca="1">IFERROR(__xludf.DUMMYFUNCTION("""COMPUTED_VALUE"""),693)</f>
        <v>693</v>
      </c>
      <c r="R57" s="1">
        <f ca="1">IFERROR(__xludf.DUMMYFUNCTION("""COMPUTED_VALUE"""),1683)</f>
        <v>1683</v>
      </c>
      <c r="S57" s="1">
        <f ca="1">IFERROR(__xludf.DUMMYFUNCTION("""COMPUTED_VALUE"""),0.412)</f>
        <v>0.41199999999999998</v>
      </c>
      <c r="T57" s="1">
        <f ca="1">IFERROR(__xludf.DUMMYFUNCTION("""COMPUTED_VALUE"""),192)</f>
        <v>192</v>
      </c>
      <c r="U57" s="1">
        <f ca="1">IFERROR(__xludf.DUMMYFUNCTION("""COMPUTED_VALUE"""),590)</f>
        <v>590</v>
      </c>
      <c r="V57" s="1">
        <f ca="1">IFERROR(__xludf.DUMMYFUNCTION("""COMPUTED_VALUE"""),0.325)</f>
        <v>0.32500000000000001</v>
      </c>
      <c r="W57" s="1">
        <f ca="1">IFERROR(__xludf.DUMMYFUNCTION("""COMPUTED_VALUE"""),432)</f>
        <v>432</v>
      </c>
      <c r="X57" s="1">
        <f ca="1">IFERROR(__xludf.DUMMYFUNCTION("""COMPUTED_VALUE"""),656)</f>
        <v>656</v>
      </c>
      <c r="Y57" s="1">
        <f ca="1">IFERROR(__xludf.DUMMYFUNCTION("""COMPUTED_VALUE"""),0.659)</f>
        <v>0.65900000000000003</v>
      </c>
      <c r="Z57" s="1">
        <f ca="1">IFERROR(__xludf.DUMMYFUNCTION("""COMPUTED_VALUE"""),334)</f>
        <v>334</v>
      </c>
      <c r="AA57" s="1">
        <f ca="1">IFERROR(__xludf.DUMMYFUNCTION("""COMPUTED_VALUE"""),982)</f>
        <v>982</v>
      </c>
      <c r="AB57" s="1">
        <f ca="1">IFERROR(__xludf.DUMMYFUNCTION("""COMPUTED_VALUE"""),392)</f>
        <v>392</v>
      </c>
      <c r="AC57" s="1">
        <f ca="1">IFERROR(__xludf.DUMMYFUNCTION("""COMPUTED_VALUE"""),243)</f>
        <v>243</v>
      </c>
      <c r="AD57" s="1">
        <f ca="1">IFERROR(__xludf.DUMMYFUNCTION("""COMPUTED_VALUE"""),85)</f>
        <v>85</v>
      </c>
      <c r="AE57" s="1">
        <f ca="1">IFERROR(__xludf.DUMMYFUNCTION("""COMPUTED_VALUE"""),421)</f>
        <v>421</v>
      </c>
      <c r="AF57" s="1">
        <f ca="1">IFERROR(__xludf.DUMMYFUNCTION("""COMPUTED_VALUE"""),548)</f>
        <v>548</v>
      </c>
    </row>
    <row r="58" spans="1:32" ht="12.5" x14ac:dyDescent="0.25">
      <c r="A58" s="1" t="str">
        <f ca="1">IFERROR(__xludf.DUMMYFUNCTION("""COMPUTED_VALUE"""),"Chattanooga")</f>
        <v>Chattanooga</v>
      </c>
      <c r="B58" s="1">
        <f ca="1">IFERROR(__xludf.DUMMYFUNCTION("""COMPUTED_VALUE"""),32)</f>
        <v>32</v>
      </c>
      <c r="C58" s="1">
        <f ca="1">IFERROR(__xludf.DUMMYFUNCTION("""COMPUTED_VALUE"""),11)</f>
        <v>11</v>
      </c>
      <c r="D58" s="1">
        <f ca="1">IFERROR(__xludf.DUMMYFUNCTION("""COMPUTED_VALUE"""),21)</f>
        <v>21</v>
      </c>
      <c r="E58" s="1">
        <f ca="1">IFERROR(__xludf.DUMMYFUNCTION("""COMPUTED_VALUE"""),0.344)</f>
        <v>0.34399999999999997</v>
      </c>
      <c r="F58" s="1">
        <f ca="1">IFERROR(__xludf.DUMMYFUNCTION("""COMPUTED_VALUE"""),-6.99)</f>
        <v>-6.99</v>
      </c>
      <c r="G58" s="1">
        <f ca="1">IFERROR(__xludf.DUMMYFUNCTION("""COMPUTED_VALUE"""),-3.54)</f>
        <v>-3.54</v>
      </c>
      <c r="H58" s="1">
        <f ca="1">IFERROR(__xludf.DUMMYFUNCTION("""COMPUTED_VALUE"""),5)</f>
        <v>5</v>
      </c>
      <c r="I58" s="1">
        <f ca="1">IFERROR(__xludf.DUMMYFUNCTION("""COMPUTED_VALUE"""),13)</f>
        <v>13</v>
      </c>
      <c r="J58" s="1">
        <f ca="1">IFERROR(__xludf.DUMMYFUNCTION("""COMPUTED_VALUE"""),11)</f>
        <v>11</v>
      </c>
      <c r="K58" s="1">
        <f ca="1">IFERROR(__xludf.DUMMYFUNCTION("""COMPUTED_VALUE"""),6)</f>
        <v>6</v>
      </c>
      <c r="L58" s="1">
        <f ca="1">IFERROR(__xludf.DUMMYFUNCTION("""COMPUTED_VALUE"""),0)</f>
        <v>0</v>
      </c>
      <c r="M58" s="1">
        <f ca="1">IFERROR(__xludf.DUMMYFUNCTION("""COMPUTED_VALUE"""),14)</f>
        <v>14</v>
      </c>
      <c r="N58" s="1">
        <f ca="1">IFERROR(__xludf.DUMMYFUNCTION("""COMPUTED_VALUE"""),2260)</f>
        <v>2260</v>
      </c>
      <c r="O58" s="1">
        <f ca="1">IFERROR(__xludf.DUMMYFUNCTION("""COMPUTED_VALUE"""),2204)</f>
        <v>2204</v>
      </c>
      <c r="P58" s="1">
        <f ca="1">IFERROR(__xludf.DUMMYFUNCTION("""COMPUTED_VALUE"""),1295)</f>
        <v>1295</v>
      </c>
      <c r="Q58" s="1">
        <f ca="1">IFERROR(__xludf.DUMMYFUNCTION("""COMPUTED_VALUE"""),765)</f>
        <v>765</v>
      </c>
      <c r="R58" s="1">
        <f ca="1">IFERROR(__xludf.DUMMYFUNCTION("""COMPUTED_VALUE"""),1849)</f>
        <v>1849</v>
      </c>
      <c r="S58" s="1">
        <f ca="1">IFERROR(__xludf.DUMMYFUNCTION("""COMPUTED_VALUE"""),0.414)</f>
        <v>0.41399999999999998</v>
      </c>
      <c r="T58" s="1">
        <f ca="1">IFERROR(__xludf.DUMMYFUNCTION("""COMPUTED_VALUE"""),240)</f>
        <v>240</v>
      </c>
      <c r="U58" s="1">
        <f ca="1">IFERROR(__xludf.DUMMYFUNCTION("""COMPUTED_VALUE"""),723)</f>
        <v>723</v>
      </c>
      <c r="V58" s="1">
        <f ca="1">IFERROR(__xludf.DUMMYFUNCTION("""COMPUTED_VALUE"""),0.332)</f>
        <v>0.33200000000000002</v>
      </c>
      <c r="W58" s="1">
        <f ca="1">IFERROR(__xludf.DUMMYFUNCTION("""COMPUTED_VALUE"""),490)</f>
        <v>490</v>
      </c>
      <c r="X58" s="1">
        <f ca="1">IFERROR(__xludf.DUMMYFUNCTION("""COMPUTED_VALUE"""),714)</f>
        <v>714</v>
      </c>
      <c r="Y58" s="1">
        <f ca="1">IFERROR(__xludf.DUMMYFUNCTION("""COMPUTED_VALUE"""),0.686)</f>
        <v>0.68600000000000005</v>
      </c>
      <c r="Z58" s="1">
        <f ca="1">IFERROR(__xludf.DUMMYFUNCTION("""COMPUTED_VALUE"""),377)</f>
        <v>377</v>
      </c>
      <c r="AA58" s="1">
        <f ca="1">IFERROR(__xludf.DUMMYFUNCTION("""COMPUTED_VALUE"""),1147)</f>
        <v>1147</v>
      </c>
      <c r="AB58" s="1">
        <f ca="1">IFERROR(__xludf.DUMMYFUNCTION("""COMPUTED_VALUE"""),456)</f>
        <v>456</v>
      </c>
      <c r="AC58" s="1">
        <f ca="1">IFERROR(__xludf.DUMMYFUNCTION("""COMPUTED_VALUE"""),202)</f>
        <v>202</v>
      </c>
      <c r="AD58" s="1">
        <f ca="1">IFERROR(__xludf.DUMMYFUNCTION("""COMPUTED_VALUE"""),36)</f>
        <v>36</v>
      </c>
      <c r="AE58" s="1">
        <f ca="1">IFERROR(__xludf.DUMMYFUNCTION("""COMPUTED_VALUE"""),443)</f>
        <v>443</v>
      </c>
      <c r="AF58" s="1">
        <f ca="1">IFERROR(__xludf.DUMMYFUNCTION("""COMPUTED_VALUE"""),555)</f>
        <v>555</v>
      </c>
    </row>
    <row r="59" spans="1:32" ht="12.5" x14ac:dyDescent="0.25">
      <c r="A59" s="1" t="str">
        <f ca="1">IFERROR(__xludf.DUMMYFUNCTION("""COMPUTED_VALUE"""),"Chicago State")</f>
        <v>Chicago State</v>
      </c>
      <c r="B59" s="1">
        <f ca="1">IFERROR(__xludf.DUMMYFUNCTION("""COMPUTED_VALUE"""),30)</f>
        <v>30</v>
      </c>
      <c r="C59" s="1">
        <f ca="1">IFERROR(__xludf.DUMMYFUNCTION("""COMPUTED_VALUE"""),4)</f>
        <v>4</v>
      </c>
      <c r="D59" s="1">
        <f ca="1">IFERROR(__xludf.DUMMYFUNCTION("""COMPUTED_VALUE"""),26)</f>
        <v>26</v>
      </c>
      <c r="E59" s="1">
        <f ca="1">IFERROR(__xludf.DUMMYFUNCTION("""COMPUTED_VALUE"""),0.133)</f>
        <v>0.13300000000000001</v>
      </c>
      <c r="F59" s="1">
        <f ca="1">IFERROR(__xludf.DUMMYFUNCTION("""COMPUTED_VALUE"""),-19.3)</f>
        <v>-19.3</v>
      </c>
      <c r="G59" s="1">
        <f ca="1">IFERROR(__xludf.DUMMYFUNCTION("""COMPUTED_VALUE"""),-3.13)</f>
        <v>-3.13</v>
      </c>
      <c r="H59" s="1">
        <f ca="1">IFERROR(__xludf.DUMMYFUNCTION("""COMPUTED_VALUE"""),2)</f>
        <v>2</v>
      </c>
      <c r="I59" s="1">
        <f ca="1">IFERROR(__xludf.DUMMYFUNCTION("""COMPUTED_VALUE"""),8)</f>
        <v>8</v>
      </c>
      <c r="J59" s="1">
        <f ca="1">IFERROR(__xludf.DUMMYFUNCTION("""COMPUTED_VALUE"""),3)</f>
        <v>3</v>
      </c>
      <c r="K59" s="1">
        <f ca="1">IFERROR(__xludf.DUMMYFUNCTION("""COMPUTED_VALUE"""),9)</f>
        <v>9</v>
      </c>
      <c r="L59" s="1">
        <f ca="1">IFERROR(__xludf.DUMMYFUNCTION("""COMPUTED_VALUE"""),1)</f>
        <v>1</v>
      </c>
      <c r="M59" s="1">
        <f ca="1">IFERROR(__xludf.DUMMYFUNCTION("""COMPUTED_VALUE"""),17)</f>
        <v>17</v>
      </c>
      <c r="N59" s="1">
        <f ca="1">IFERROR(__xludf.DUMMYFUNCTION("""COMPUTED_VALUE"""),1884)</f>
        <v>1884</v>
      </c>
      <c r="O59" s="1">
        <f ca="1">IFERROR(__xludf.DUMMYFUNCTION("""COMPUTED_VALUE"""),2313)</f>
        <v>2313</v>
      </c>
      <c r="P59" s="1">
        <f ca="1">IFERROR(__xludf.DUMMYFUNCTION("""COMPUTED_VALUE"""),1204)</f>
        <v>1204</v>
      </c>
      <c r="Q59" s="1">
        <f ca="1">IFERROR(__xludf.DUMMYFUNCTION("""COMPUTED_VALUE"""),688)</f>
        <v>688</v>
      </c>
      <c r="R59" s="1">
        <f ca="1">IFERROR(__xludf.DUMMYFUNCTION("""COMPUTED_VALUE"""),1732)</f>
        <v>1732</v>
      </c>
      <c r="S59" s="1">
        <f ca="1">IFERROR(__xludf.DUMMYFUNCTION("""COMPUTED_VALUE"""),0.397)</f>
        <v>0.39700000000000002</v>
      </c>
      <c r="T59" s="1">
        <f ca="1">IFERROR(__xludf.DUMMYFUNCTION("""COMPUTED_VALUE"""),155)</f>
        <v>155</v>
      </c>
      <c r="U59" s="1">
        <f ca="1">IFERROR(__xludf.DUMMYFUNCTION("""COMPUTED_VALUE"""),526)</f>
        <v>526</v>
      </c>
      <c r="V59" s="1">
        <f ca="1">IFERROR(__xludf.DUMMYFUNCTION("""COMPUTED_VALUE"""),0.295)</f>
        <v>0.29499999999999998</v>
      </c>
      <c r="W59" s="1">
        <f ca="1">IFERROR(__xludf.DUMMYFUNCTION("""COMPUTED_VALUE"""),353)</f>
        <v>353</v>
      </c>
      <c r="X59" s="1">
        <f ca="1">IFERROR(__xludf.DUMMYFUNCTION("""COMPUTED_VALUE"""),541)</f>
        <v>541</v>
      </c>
      <c r="Y59" s="1">
        <f ca="1">IFERROR(__xludf.DUMMYFUNCTION("""COMPUTED_VALUE"""),0.652)</f>
        <v>0.65200000000000002</v>
      </c>
      <c r="Z59" s="1">
        <f ca="1">IFERROR(__xludf.DUMMYFUNCTION("""COMPUTED_VALUE"""),345)</f>
        <v>345</v>
      </c>
      <c r="AA59" s="1">
        <f ca="1">IFERROR(__xludf.DUMMYFUNCTION("""COMPUTED_VALUE"""),944)</f>
        <v>944</v>
      </c>
      <c r="AB59" s="1">
        <f ca="1">IFERROR(__xludf.DUMMYFUNCTION("""COMPUTED_VALUE"""),320)</f>
        <v>320</v>
      </c>
      <c r="AC59" s="1">
        <f ca="1">IFERROR(__xludf.DUMMYFUNCTION("""COMPUTED_VALUE"""),214)</f>
        <v>214</v>
      </c>
      <c r="AD59" s="1">
        <f ca="1">IFERROR(__xludf.DUMMYFUNCTION("""COMPUTED_VALUE"""),99)</f>
        <v>99</v>
      </c>
      <c r="AE59" s="1">
        <f ca="1">IFERROR(__xludf.DUMMYFUNCTION("""COMPUTED_VALUE"""),507)</f>
        <v>507</v>
      </c>
      <c r="AF59" s="1">
        <f ca="1">IFERROR(__xludf.DUMMYFUNCTION("""COMPUTED_VALUE"""),626)</f>
        <v>626</v>
      </c>
    </row>
    <row r="60" spans="1:32" ht="12.5" x14ac:dyDescent="0.25">
      <c r="A60" s="1" t="str">
        <f ca="1">IFERROR(__xludf.DUMMYFUNCTION("""COMPUTED_VALUE"""),"CincinnatiNCAA")</f>
        <v>CincinnatiNCAA</v>
      </c>
      <c r="B60" s="1">
        <f ca="1">IFERROR(__xludf.DUMMYFUNCTION("""COMPUTED_VALUE"""),37)</f>
        <v>37</v>
      </c>
      <c r="C60" s="1">
        <f ca="1">IFERROR(__xludf.DUMMYFUNCTION("""COMPUTED_VALUE"""),26)</f>
        <v>26</v>
      </c>
      <c r="D60" s="1">
        <f ca="1">IFERROR(__xludf.DUMMYFUNCTION("""COMPUTED_VALUE"""),11)</f>
        <v>11</v>
      </c>
      <c r="E60" s="1">
        <f ca="1">IFERROR(__xludf.DUMMYFUNCTION("""COMPUTED_VALUE"""),0.703)</f>
        <v>0.70299999999999996</v>
      </c>
      <c r="F60" s="1">
        <f ca="1">IFERROR(__xludf.DUMMYFUNCTION("""COMPUTED_VALUE"""),12.93)</f>
        <v>12.93</v>
      </c>
      <c r="G60" s="1">
        <f ca="1">IFERROR(__xludf.DUMMYFUNCTION("""COMPUTED_VALUE"""),6.28)</f>
        <v>6.28</v>
      </c>
      <c r="H60" s="1">
        <f ca="1">IFERROR(__xludf.DUMMYFUNCTION("""COMPUTED_VALUE"""),12)</f>
        <v>12</v>
      </c>
      <c r="I60" s="1">
        <f ca="1">IFERROR(__xludf.DUMMYFUNCTION("""COMPUTED_VALUE"""),6)</f>
        <v>6</v>
      </c>
      <c r="J60" s="1">
        <f ca="1">IFERROR(__xludf.DUMMYFUNCTION("""COMPUTED_VALUE"""),14)</f>
        <v>14</v>
      </c>
      <c r="K60" s="1">
        <f ca="1">IFERROR(__xludf.DUMMYFUNCTION("""COMPUTED_VALUE"""),4)</f>
        <v>4</v>
      </c>
      <c r="L60" s="1">
        <f ca="1">IFERROR(__xludf.DUMMYFUNCTION("""COMPUTED_VALUE"""),7)</f>
        <v>7</v>
      </c>
      <c r="M60" s="1">
        <f ca="1">IFERROR(__xludf.DUMMYFUNCTION("""COMPUTED_VALUE"""),5)</f>
        <v>5</v>
      </c>
      <c r="N60" s="1">
        <f ca="1">IFERROR(__xludf.DUMMYFUNCTION("""COMPUTED_VALUE"""),2522)</f>
        <v>2522</v>
      </c>
      <c r="O60" s="1">
        <f ca="1">IFERROR(__xludf.DUMMYFUNCTION("""COMPUTED_VALUE"""),2276)</f>
        <v>2276</v>
      </c>
      <c r="P60" s="1">
        <f ca="1">IFERROR(__xludf.DUMMYFUNCTION("""COMPUTED_VALUE"""),1500)</f>
        <v>1500</v>
      </c>
      <c r="Q60" s="1">
        <f ca="1">IFERROR(__xludf.DUMMYFUNCTION("""COMPUTED_VALUE"""),924)</f>
        <v>924</v>
      </c>
      <c r="R60" s="1">
        <f ca="1">IFERROR(__xludf.DUMMYFUNCTION("""COMPUTED_VALUE"""),2194)</f>
        <v>2194</v>
      </c>
      <c r="S60" s="1">
        <f ca="1">IFERROR(__xludf.DUMMYFUNCTION("""COMPUTED_VALUE"""),0.421)</f>
        <v>0.42099999999999999</v>
      </c>
      <c r="T60" s="1">
        <f ca="1">IFERROR(__xludf.DUMMYFUNCTION("""COMPUTED_VALUE"""),260)</f>
        <v>260</v>
      </c>
      <c r="U60" s="1">
        <f ca="1">IFERROR(__xludf.DUMMYFUNCTION("""COMPUTED_VALUE"""),763)</f>
        <v>763</v>
      </c>
      <c r="V60" s="1">
        <f ca="1">IFERROR(__xludf.DUMMYFUNCTION("""COMPUTED_VALUE"""),0.341)</f>
        <v>0.34100000000000003</v>
      </c>
      <c r="W60" s="1">
        <f ca="1">IFERROR(__xludf.DUMMYFUNCTION("""COMPUTED_VALUE"""),414)</f>
        <v>414</v>
      </c>
      <c r="X60" s="1">
        <f ca="1">IFERROR(__xludf.DUMMYFUNCTION("""COMPUTED_VALUE"""),643)</f>
        <v>643</v>
      </c>
      <c r="Y60" s="1">
        <f ca="1">IFERROR(__xludf.DUMMYFUNCTION("""COMPUTED_VALUE"""),0.644)</f>
        <v>0.64400000000000002</v>
      </c>
      <c r="Z60" s="1">
        <f ca="1">IFERROR(__xludf.DUMMYFUNCTION("""COMPUTED_VALUE"""),489)</f>
        <v>489</v>
      </c>
      <c r="AA60" s="1">
        <f ca="1">IFERROR(__xludf.DUMMYFUNCTION("""COMPUTED_VALUE"""),1225)</f>
        <v>1225</v>
      </c>
      <c r="AB60" s="1">
        <f ca="1">IFERROR(__xludf.DUMMYFUNCTION("""COMPUTED_VALUE"""),479)</f>
        <v>479</v>
      </c>
      <c r="AC60" s="1">
        <f ca="1">IFERROR(__xludf.DUMMYFUNCTION("""COMPUTED_VALUE"""),298)</f>
        <v>298</v>
      </c>
      <c r="AD60" s="1">
        <f ca="1">IFERROR(__xludf.DUMMYFUNCTION("""COMPUTED_VALUE"""),170)</f>
        <v>170</v>
      </c>
      <c r="AE60" s="1">
        <f ca="1">IFERROR(__xludf.DUMMYFUNCTION("""COMPUTED_VALUE"""),403)</f>
        <v>403</v>
      </c>
      <c r="AF60" s="1">
        <f ca="1">IFERROR(__xludf.DUMMYFUNCTION("""COMPUTED_VALUE"""),570)</f>
        <v>570</v>
      </c>
    </row>
    <row r="61" spans="1:32" ht="12.5" x14ac:dyDescent="0.25">
      <c r="A61" s="1" t="str">
        <f ca="1">IFERROR(__xludf.DUMMYFUNCTION("""COMPUTED_VALUE"""),"Citadel")</f>
        <v>Citadel</v>
      </c>
      <c r="B61" s="1">
        <f ca="1">IFERROR(__xludf.DUMMYFUNCTION("""COMPUTED_VALUE"""),30)</f>
        <v>30</v>
      </c>
      <c r="C61" s="1">
        <f ca="1">IFERROR(__xludf.DUMMYFUNCTION("""COMPUTED_VALUE"""),6)</f>
        <v>6</v>
      </c>
      <c r="D61" s="1">
        <f ca="1">IFERROR(__xludf.DUMMYFUNCTION("""COMPUTED_VALUE"""),24)</f>
        <v>24</v>
      </c>
      <c r="E61" s="1">
        <f ca="1">IFERROR(__xludf.DUMMYFUNCTION("""COMPUTED_VALUE"""),0.2)</f>
        <v>0.2</v>
      </c>
      <c r="F61" s="1">
        <f ca="1">IFERROR(__xludf.DUMMYFUNCTION("""COMPUTED_VALUE"""),-14.49)</f>
        <v>-14.49</v>
      </c>
      <c r="G61" s="1">
        <f ca="1">IFERROR(__xludf.DUMMYFUNCTION("""COMPUTED_VALUE"""),-3.67)</f>
        <v>-3.67</v>
      </c>
      <c r="H61" s="1">
        <f ca="1">IFERROR(__xludf.DUMMYFUNCTION("""COMPUTED_VALUE"""),3)</f>
        <v>3</v>
      </c>
      <c r="I61" s="1">
        <f ca="1">IFERROR(__xludf.DUMMYFUNCTION("""COMPUTED_VALUE"""),15)</f>
        <v>15</v>
      </c>
      <c r="J61" s="1">
        <f ca="1">IFERROR(__xludf.DUMMYFUNCTION("""COMPUTED_VALUE"""),4)</f>
        <v>4</v>
      </c>
      <c r="K61" s="1">
        <f ca="1">IFERROR(__xludf.DUMMYFUNCTION("""COMPUTED_VALUE"""),10)</f>
        <v>10</v>
      </c>
      <c r="L61" s="1">
        <f ca="1">IFERROR(__xludf.DUMMYFUNCTION("""COMPUTED_VALUE"""),1)</f>
        <v>1</v>
      </c>
      <c r="M61" s="1">
        <f ca="1">IFERROR(__xludf.DUMMYFUNCTION("""COMPUTED_VALUE"""),12)</f>
        <v>12</v>
      </c>
      <c r="N61" s="1">
        <f ca="1">IFERROR(__xludf.DUMMYFUNCTION("""COMPUTED_VALUE"""),1925)</f>
        <v>1925</v>
      </c>
      <c r="O61" s="1">
        <f ca="1">IFERROR(__xludf.DUMMYFUNCTION("""COMPUTED_VALUE"""),2158)</f>
        <v>2158</v>
      </c>
      <c r="P61" s="1">
        <f ca="1">IFERROR(__xludf.DUMMYFUNCTION("""COMPUTED_VALUE"""),1220)</f>
        <v>1220</v>
      </c>
      <c r="Q61" s="1">
        <f ca="1">IFERROR(__xludf.DUMMYFUNCTION("""COMPUTED_VALUE"""),704)</f>
        <v>704</v>
      </c>
      <c r="R61" s="1">
        <f ca="1">IFERROR(__xludf.DUMMYFUNCTION("""COMPUTED_VALUE"""),1610)</f>
        <v>1610</v>
      </c>
      <c r="S61" s="1">
        <f ca="1">IFERROR(__xludf.DUMMYFUNCTION("""COMPUTED_VALUE"""),0.437)</f>
        <v>0.437</v>
      </c>
      <c r="T61" s="1">
        <f ca="1">IFERROR(__xludf.DUMMYFUNCTION("""COMPUTED_VALUE"""),162)</f>
        <v>162</v>
      </c>
      <c r="U61" s="1">
        <f ca="1">IFERROR(__xludf.DUMMYFUNCTION("""COMPUTED_VALUE"""),486)</f>
        <v>486</v>
      </c>
      <c r="V61" s="1">
        <f ca="1">IFERROR(__xludf.DUMMYFUNCTION("""COMPUTED_VALUE"""),0.333)</f>
        <v>0.33300000000000002</v>
      </c>
      <c r="W61" s="1">
        <f ca="1">IFERROR(__xludf.DUMMYFUNCTION("""COMPUTED_VALUE"""),355)</f>
        <v>355</v>
      </c>
      <c r="X61" s="1">
        <f ca="1">IFERROR(__xludf.DUMMYFUNCTION("""COMPUTED_VALUE"""),537)</f>
        <v>537</v>
      </c>
      <c r="Y61" s="1">
        <f ca="1">IFERROR(__xludf.DUMMYFUNCTION("""COMPUTED_VALUE"""),0.661)</f>
        <v>0.66100000000000003</v>
      </c>
      <c r="Z61" s="1">
        <f ca="1">IFERROR(__xludf.DUMMYFUNCTION("""COMPUTED_VALUE"""),299)</f>
        <v>299</v>
      </c>
      <c r="AA61" s="1">
        <f ca="1">IFERROR(__xludf.DUMMYFUNCTION("""COMPUTED_VALUE"""),870)</f>
        <v>870</v>
      </c>
      <c r="AB61" s="1">
        <f ca="1">IFERROR(__xludf.DUMMYFUNCTION("""COMPUTED_VALUE"""),400)</f>
        <v>400</v>
      </c>
      <c r="AC61" s="1">
        <f ca="1">IFERROR(__xludf.DUMMYFUNCTION("""COMPUTED_VALUE"""),180)</f>
        <v>180</v>
      </c>
      <c r="AD61" s="1">
        <f ca="1">IFERROR(__xludf.DUMMYFUNCTION("""COMPUTED_VALUE"""),50)</f>
        <v>50</v>
      </c>
      <c r="AE61" s="1">
        <f ca="1">IFERROR(__xludf.DUMMYFUNCTION("""COMPUTED_VALUE"""),441)</f>
        <v>441</v>
      </c>
      <c r="AF61" s="1">
        <f ca="1">IFERROR(__xludf.DUMMYFUNCTION("""COMPUTED_VALUE"""),497)</f>
        <v>497</v>
      </c>
    </row>
    <row r="62" spans="1:32" ht="12.5" x14ac:dyDescent="0.25">
      <c r="A62" s="1" t="str">
        <f ca="1">IFERROR(__xludf.DUMMYFUNCTION("""COMPUTED_VALUE"""),"Clemson")</f>
        <v>Clemson</v>
      </c>
      <c r="B62" s="1">
        <f ca="1">IFERROR(__xludf.DUMMYFUNCTION("""COMPUTED_VALUE"""),31)</f>
        <v>31</v>
      </c>
      <c r="C62" s="1">
        <f ca="1">IFERROR(__xludf.DUMMYFUNCTION("""COMPUTED_VALUE"""),16)</f>
        <v>16</v>
      </c>
      <c r="D62" s="1">
        <f ca="1">IFERROR(__xludf.DUMMYFUNCTION("""COMPUTED_VALUE"""),15)</f>
        <v>15</v>
      </c>
      <c r="E62" s="1">
        <f ca="1">IFERROR(__xludf.DUMMYFUNCTION("""COMPUTED_VALUE"""),0.516)</f>
        <v>0.51600000000000001</v>
      </c>
      <c r="F62" s="1">
        <f ca="1">IFERROR(__xludf.DUMMYFUNCTION("""COMPUTED_VALUE"""),7.31)</f>
        <v>7.31</v>
      </c>
      <c r="G62" s="1">
        <f ca="1">IFERROR(__xludf.DUMMYFUNCTION("""COMPUTED_VALUE"""),3.41)</f>
        <v>3.41</v>
      </c>
      <c r="H62" s="1">
        <f ca="1">IFERROR(__xludf.DUMMYFUNCTION("""COMPUTED_VALUE"""),8)</f>
        <v>8</v>
      </c>
      <c r="I62" s="1">
        <f ca="1">IFERROR(__xludf.DUMMYFUNCTION("""COMPUTED_VALUE"""),8)</f>
        <v>8</v>
      </c>
      <c r="J62" s="1">
        <f ca="1">IFERROR(__xludf.DUMMYFUNCTION("""COMPUTED_VALUE"""),11)</f>
        <v>11</v>
      </c>
      <c r="K62" s="1">
        <f ca="1">IFERROR(__xludf.DUMMYFUNCTION("""COMPUTED_VALUE"""),5)</f>
        <v>5</v>
      </c>
      <c r="L62" s="1">
        <f ca="1">IFERROR(__xludf.DUMMYFUNCTION("""COMPUTED_VALUE"""),4)</f>
        <v>4</v>
      </c>
      <c r="M62" s="1">
        <f ca="1">IFERROR(__xludf.DUMMYFUNCTION("""COMPUTED_VALUE"""),7)</f>
        <v>7</v>
      </c>
      <c r="N62" s="1">
        <f ca="1">IFERROR(__xludf.DUMMYFUNCTION("""COMPUTED_VALUE"""),2001)</f>
        <v>2001</v>
      </c>
      <c r="O62" s="1">
        <f ca="1">IFERROR(__xludf.DUMMYFUNCTION("""COMPUTED_VALUE"""),1880)</f>
        <v>1880</v>
      </c>
      <c r="P62" s="1">
        <f ca="1">IFERROR(__xludf.DUMMYFUNCTION("""COMPUTED_VALUE"""),1250)</f>
        <v>1250</v>
      </c>
      <c r="Q62" s="1">
        <f ca="1">IFERROR(__xludf.DUMMYFUNCTION("""COMPUTED_VALUE"""),736)</f>
        <v>736</v>
      </c>
      <c r="R62" s="1">
        <f ca="1">IFERROR(__xludf.DUMMYFUNCTION("""COMPUTED_VALUE"""),1701)</f>
        <v>1701</v>
      </c>
      <c r="S62" s="1">
        <f ca="1">IFERROR(__xludf.DUMMYFUNCTION("""COMPUTED_VALUE"""),0.433)</f>
        <v>0.433</v>
      </c>
      <c r="T62" s="1">
        <f ca="1">IFERROR(__xludf.DUMMYFUNCTION("""COMPUTED_VALUE"""),171)</f>
        <v>171</v>
      </c>
      <c r="U62" s="1">
        <f ca="1">IFERROR(__xludf.DUMMYFUNCTION("""COMPUTED_VALUE"""),532)</f>
        <v>532</v>
      </c>
      <c r="V62" s="1">
        <f ca="1">IFERROR(__xludf.DUMMYFUNCTION("""COMPUTED_VALUE"""),0.321)</f>
        <v>0.32100000000000001</v>
      </c>
      <c r="W62" s="1">
        <f ca="1">IFERROR(__xludf.DUMMYFUNCTION("""COMPUTED_VALUE"""),358)</f>
        <v>358</v>
      </c>
      <c r="X62" s="1">
        <f ca="1">IFERROR(__xludf.DUMMYFUNCTION("""COMPUTED_VALUE"""),534)</f>
        <v>534</v>
      </c>
      <c r="Y62" s="1">
        <f ca="1">IFERROR(__xludf.DUMMYFUNCTION("""COMPUTED_VALUE"""),0.67)</f>
        <v>0.67</v>
      </c>
      <c r="Z62" s="1">
        <f ca="1">IFERROR(__xludf.DUMMYFUNCTION("""COMPUTED_VALUE"""),345)</f>
        <v>345</v>
      </c>
      <c r="AA62" s="1">
        <f ca="1">IFERROR(__xludf.DUMMYFUNCTION("""COMPUTED_VALUE"""),946)</f>
        <v>946</v>
      </c>
      <c r="AB62" s="1">
        <f ca="1">IFERROR(__xludf.DUMMYFUNCTION("""COMPUTED_VALUE"""),392)</f>
        <v>392</v>
      </c>
      <c r="AC62" s="1">
        <f ca="1">IFERROR(__xludf.DUMMYFUNCTION("""COMPUTED_VALUE"""),231)</f>
        <v>231</v>
      </c>
      <c r="AD62" s="1">
        <f ca="1">IFERROR(__xludf.DUMMYFUNCTION("""COMPUTED_VALUE"""),117)</f>
        <v>117</v>
      </c>
      <c r="AE62" s="1">
        <f ca="1">IFERROR(__xludf.DUMMYFUNCTION("""COMPUTED_VALUE"""),375)</f>
        <v>375</v>
      </c>
      <c r="AF62" s="1">
        <f ca="1">IFERROR(__xludf.DUMMYFUNCTION("""COMPUTED_VALUE"""),499)</f>
        <v>499</v>
      </c>
    </row>
    <row r="63" spans="1:32" ht="12.5" x14ac:dyDescent="0.25">
      <c r="A63" s="1" t="str">
        <f ca="1">IFERROR(__xludf.DUMMYFUNCTION("""COMPUTED_VALUE"""),"Cleveland State")</f>
        <v>Cleveland State</v>
      </c>
      <c r="B63" s="1">
        <f ca="1">IFERROR(__xludf.DUMMYFUNCTION("""COMPUTED_VALUE"""),33)</f>
        <v>33</v>
      </c>
      <c r="C63" s="1">
        <f ca="1">IFERROR(__xludf.DUMMYFUNCTION("""COMPUTED_VALUE"""),22)</f>
        <v>22</v>
      </c>
      <c r="D63" s="1">
        <f ca="1">IFERROR(__xludf.DUMMYFUNCTION("""COMPUTED_VALUE"""),11)</f>
        <v>11</v>
      </c>
      <c r="E63" s="1">
        <f ca="1">IFERROR(__xludf.DUMMYFUNCTION("""COMPUTED_VALUE"""),0.667)</f>
        <v>0.66700000000000004</v>
      </c>
      <c r="F63" s="1">
        <f ca="1">IFERROR(__xludf.DUMMYFUNCTION("""COMPUTED_VALUE"""),5.27)</f>
        <v>5.27</v>
      </c>
      <c r="G63" s="1">
        <f ca="1">IFERROR(__xludf.DUMMYFUNCTION("""COMPUTED_VALUE"""),0.12)</f>
        <v>0.12</v>
      </c>
      <c r="H63" s="1">
        <f ca="1">IFERROR(__xludf.DUMMYFUNCTION("""COMPUTED_VALUE"""),12)</f>
        <v>12</v>
      </c>
      <c r="I63" s="1">
        <f ca="1">IFERROR(__xludf.DUMMYFUNCTION("""COMPUTED_VALUE"""),6)</f>
        <v>6</v>
      </c>
      <c r="J63" s="1">
        <f ca="1">IFERROR(__xludf.DUMMYFUNCTION("""COMPUTED_VALUE"""),10)</f>
        <v>10</v>
      </c>
      <c r="K63" s="1">
        <f ca="1">IFERROR(__xludf.DUMMYFUNCTION("""COMPUTED_VALUE"""),4)</f>
        <v>4</v>
      </c>
      <c r="L63" s="1">
        <f ca="1">IFERROR(__xludf.DUMMYFUNCTION("""COMPUTED_VALUE"""),11)</f>
        <v>11</v>
      </c>
      <c r="M63" s="1">
        <f ca="1">IFERROR(__xludf.DUMMYFUNCTION("""COMPUTED_VALUE"""),5)</f>
        <v>5</v>
      </c>
      <c r="N63" s="1">
        <f ca="1">IFERROR(__xludf.DUMMYFUNCTION("""COMPUTED_VALUE"""),2177)</f>
        <v>2177</v>
      </c>
      <c r="O63" s="1">
        <f ca="1">IFERROR(__xludf.DUMMYFUNCTION("""COMPUTED_VALUE"""),1983)</f>
        <v>1983</v>
      </c>
      <c r="P63" s="1">
        <f ca="1">IFERROR(__xludf.DUMMYFUNCTION("""COMPUTED_VALUE"""),1320)</f>
        <v>1320</v>
      </c>
      <c r="Q63" s="1">
        <f ca="1">IFERROR(__xludf.DUMMYFUNCTION("""COMPUTED_VALUE"""),804)</f>
        <v>804</v>
      </c>
      <c r="R63" s="1">
        <f ca="1">IFERROR(__xludf.DUMMYFUNCTION("""COMPUTED_VALUE"""),1798)</f>
        <v>1798</v>
      </c>
      <c r="S63" s="1">
        <f ca="1">IFERROR(__xludf.DUMMYFUNCTION("""COMPUTED_VALUE"""),0.447)</f>
        <v>0.44700000000000001</v>
      </c>
      <c r="T63" s="1">
        <f ca="1">IFERROR(__xludf.DUMMYFUNCTION("""COMPUTED_VALUE"""),217)</f>
        <v>217</v>
      </c>
      <c r="U63" s="1">
        <f ca="1">IFERROR(__xludf.DUMMYFUNCTION("""COMPUTED_VALUE"""),599)</f>
        <v>599</v>
      </c>
      <c r="V63" s="1">
        <f ca="1">IFERROR(__xludf.DUMMYFUNCTION("""COMPUTED_VALUE"""),0.362)</f>
        <v>0.36199999999999999</v>
      </c>
      <c r="W63" s="1">
        <f ca="1">IFERROR(__xludf.DUMMYFUNCTION("""COMPUTED_VALUE"""),352)</f>
        <v>352</v>
      </c>
      <c r="X63" s="1">
        <f ca="1">IFERROR(__xludf.DUMMYFUNCTION("""COMPUTED_VALUE"""),496)</f>
        <v>496</v>
      </c>
      <c r="Y63" s="1">
        <f ca="1">IFERROR(__xludf.DUMMYFUNCTION("""COMPUTED_VALUE"""),0.71)</f>
        <v>0.71</v>
      </c>
      <c r="Z63" s="1">
        <f ca="1">IFERROR(__xludf.DUMMYFUNCTION("""COMPUTED_VALUE"""),371)</f>
        <v>371</v>
      </c>
      <c r="AA63" s="1">
        <f ca="1">IFERROR(__xludf.DUMMYFUNCTION("""COMPUTED_VALUE"""),967)</f>
        <v>967</v>
      </c>
      <c r="AB63" s="1">
        <f ca="1">IFERROR(__xludf.DUMMYFUNCTION("""COMPUTED_VALUE"""),451)</f>
        <v>451</v>
      </c>
      <c r="AC63" s="1">
        <f ca="1">IFERROR(__xludf.DUMMYFUNCTION("""COMPUTED_VALUE"""),279)</f>
        <v>279</v>
      </c>
      <c r="AD63" s="1">
        <f ca="1">IFERROR(__xludf.DUMMYFUNCTION("""COMPUTED_VALUE"""),110)</f>
        <v>110</v>
      </c>
      <c r="AE63" s="1">
        <f ca="1">IFERROR(__xludf.DUMMYFUNCTION("""COMPUTED_VALUE"""),458)</f>
        <v>458</v>
      </c>
      <c r="AF63" s="1">
        <f ca="1">IFERROR(__xludf.DUMMYFUNCTION("""COMPUTED_VALUE"""),693)</f>
        <v>693</v>
      </c>
    </row>
    <row r="64" spans="1:32" ht="12.5" x14ac:dyDescent="0.25">
      <c r="A64" s="1" t="str">
        <f ca="1">IFERROR(__xludf.DUMMYFUNCTION("""COMPUTED_VALUE"""),"Coastal Carolina")</f>
        <v>Coastal Carolina</v>
      </c>
      <c r="B64" s="1">
        <f ca="1">IFERROR(__xludf.DUMMYFUNCTION("""COMPUTED_VALUE"""),31)</f>
        <v>31</v>
      </c>
      <c r="C64" s="1">
        <f ca="1">IFERROR(__xludf.DUMMYFUNCTION("""COMPUTED_VALUE"""),19)</f>
        <v>19</v>
      </c>
      <c r="D64" s="1">
        <f ca="1">IFERROR(__xludf.DUMMYFUNCTION("""COMPUTED_VALUE"""),12)</f>
        <v>12</v>
      </c>
      <c r="E64" s="1">
        <f ca="1">IFERROR(__xludf.DUMMYFUNCTION("""COMPUTED_VALUE"""),0.613)</f>
        <v>0.61299999999999999</v>
      </c>
      <c r="F64" s="1">
        <f ca="1">IFERROR(__xludf.DUMMYFUNCTION("""COMPUTED_VALUE"""),-2.64)</f>
        <v>-2.64</v>
      </c>
      <c r="G64" s="1">
        <f ca="1">IFERROR(__xludf.DUMMYFUNCTION("""COMPUTED_VALUE"""),-4.56)</f>
        <v>-4.5599999999999996</v>
      </c>
      <c r="H64" s="1">
        <f ca="1">IFERROR(__xludf.DUMMYFUNCTION("""COMPUTED_VALUE"""),12)</f>
        <v>12</v>
      </c>
      <c r="I64" s="1">
        <f ca="1">IFERROR(__xludf.DUMMYFUNCTION("""COMPUTED_VALUE"""),6)</f>
        <v>6</v>
      </c>
      <c r="J64" s="1">
        <f ca="1">IFERROR(__xludf.DUMMYFUNCTION("""COMPUTED_VALUE"""),12)</f>
        <v>12</v>
      </c>
      <c r="K64" s="1">
        <f ca="1">IFERROR(__xludf.DUMMYFUNCTION("""COMPUTED_VALUE"""),4)</f>
        <v>4</v>
      </c>
      <c r="L64" s="1">
        <f ca="1">IFERROR(__xludf.DUMMYFUNCTION("""COMPUTED_VALUE"""),7)</f>
        <v>7</v>
      </c>
      <c r="M64" s="1">
        <f ca="1">IFERROR(__xludf.DUMMYFUNCTION("""COMPUTED_VALUE"""),7)</f>
        <v>7</v>
      </c>
      <c r="N64" s="1">
        <f ca="1">IFERROR(__xludf.DUMMYFUNCTION("""COMPUTED_VALUE"""),2248)</f>
        <v>2248</v>
      </c>
      <c r="O64" s="1">
        <f ca="1">IFERROR(__xludf.DUMMYFUNCTION("""COMPUTED_VALUE"""),2042)</f>
        <v>2042</v>
      </c>
      <c r="P64" s="1">
        <f ca="1">IFERROR(__xludf.DUMMYFUNCTION("""COMPUTED_VALUE"""),1250)</f>
        <v>1250</v>
      </c>
      <c r="Q64" s="1">
        <f ca="1">IFERROR(__xludf.DUMMYFUNCTION("""COMPUTED_VALUE"""),853)</f>
        <v>853</v>
      </c>
      <c r="R64" s="1">
        <f ca="1">IFERROR(__xludf.DUMMYFUNCTION("""COMPUTED_VALUE"""),1753)</f>
        <v>1753</v>
      </c>
      <c r="S64" s="1">
        <f ca="1">IFERROR(__xludf.DUMMYFUNCTION("""COMPUTED_VALUE"""),0.487)</f>
        <v>0.48699999999999999</v>
      </c>
      <c r="T64" s="1">
        <f ca="1">IFERROR(__xludf.DUMMYFUNCTION("""COMPUTED_VALUE"""),150)</f>
        <v>150</v>
      </c>
      <c r="U64" s="1">
        <f ca="1">IFERROR(__xludf.DUMMYFUNCTION("""COMPUTED_VALUE"""),440)</f>
        <v>440</v>
      </c>
      <c r="V64" s="1">
        <f ca="1">IFERROR(__xludf.DUMMYFUNCTION("""COMPUTED_VALUE"""),0.341)</f>
        <v>0.34100000000000003</v>
      </c>
      <c r="W64" s="1">
        <f ca="1">IFERROR(__xludf.DUMMYFUNCTION("""COMPUTED_VALUE"""),392)</f>
        <v>392</v>
      </c>
      <c r="X64" s="1">
        <f ca="1">IFERROR(__xludf.DUMMYFUNCTION("""COMPUTED_VALUE"""),582)</f>
        <v>582</v>
      </c>
      <c r="Y64" s="1">
        <f ca="1">IFERROR(__xludf.DUMMYFUNCTION("""COMPUTED_VALUE"""),0.674)</f>
        <v>0.67400000000000004</v>
      </c>
      <c r="Z64" s="1">
        <f ca="1">IFERROR(__xludf.DUMMYFUNCTION("""COMPUTED_VALUE"""),357)</f>
        <v>357</v>
      </c>
      <c r="AA64" s="1">
        <f ca="1">IFERROR(__xludf.DUMMYFUNCTION("""COMPUTED_VALUE"""),1089)</f>
        <v>1089</v>
      </c>
      <c r="AB64" s="1">
        <f ca="1">IFERROR(__xludf.DUMMYFUNCTION("""COMPUTED_VALUE"""),407)</f>
        <v>407</v>
      </c>
      <c r="AC64" s="1">
        <f ca="1">IFERROR(__xludf.DUMMYFUNCTION("""COMPUTED_VALUE"""),203)</f>
        <v>203</v>
      </c>
      <c r="AD64" s="1">
        <f ca="1">IFERROR(__xludf.DUMMYFUNCTION("""COMPUTED_VALUE"""),120)</f>
        <v>120</v>
      </c>
      <c r="AE64" s="1">
        <f ca="1">IFERROR(__xludf.DUMMYFUNCTION("""COMPUTED_VALUE"""),428)</f>
        <v>428</v>
      </c>
      <c r="AF64" s="1">
        <f ca="1">IFERROR(__xludf.DUMMYFUNCTION("""COMPUTED_VALUE"""),538)</f>
        <v>538</v>
      </c>
    </row>
    <row r="65" spans="1:32" ht="12.5" x14ac:dyDescent="0.25">
      <c r="A65" s="1" t="str">
        <f ca="1">IFERROR(__xludf.DUMMYFUNCTION("""COMPUTED_VALUE"""),"Colgate")</f>
        <v>Colgate</v>
      </c>
      <c r="B65" s="1">
        <f ca="1">IFERROR(__xludf.DUMMYFUNCTION("""COMPUTED_VALUE"""),30)</f>
        <v>30</v>
      </c>
      <c r="C65" s="1">
        <f ca="1">IFERROR(__xludf.DUMMYFUNCTION("""COMPUTED_VALUE"""),8)</f>
        <v>8</v>
      </c>
      <c r="D65" s="1">
        <f ca="1">IFERROR(__xludf.DUMMYFUNCTION("""COMPUTED_VALUE"""),22)</f>
        <v>22</v>
      </c>
      <c r="E65" s="1">
        <f ca="1">IFERROR(__xludf.DUMMYFUNCTION("""COMPUTED_VALUE"""),0.267)</f>
        <v>0.26700000000000002</v>
      </c>
      <c r="F65" s="1">
        <f ca="1">IFERROR(__xludf.DUMMYFUNCTION("""COMPUTED_VALUE"""),-14.91)</f>
        <v>-14.91</v>
      </c>
      <c r="G65" s="1">
        <f ca="1">IFERROR(__xludf.DUMMYFUNCTION("""COMPUTED_VALUE"""),-4.38)</f>
        <v>-4.38</v>
      </c>
      <c r="H65" s="1">
        <f ca="1">IFERROR(__xludf.DUMMYFUNCTION("""COMPUTED_VALUE"""),2)</f>
        <v>2</v>
      </c>
      <c r="I65" s="1">
        <f ca="1">IFERROR(__xludf.DUMMYFUNCTION("""COMPUTED_VALUE"""),12)</f>
        <v>12</v>
      </c>
      <c r="J65" s="1">
        <f ca="1">IFERROR(__xludf.DUMMYFUNCTION("""COMPUTED_VALUE"""),5)</f>
        <v>5</v>
      </c>
      <c r="K65" s="1">
        <f ca="1">IFERROR(__xludf.DUMMYFUNCTION("""COMPUTED_VALUE"""),8)</f>
        <v>8</v>
      </c>
      <c r="L65" s="1">
        <f ca="1">IFERROR(__xludf.DUMMYFUNCTION("""COMPUTED_VALUE"""),3)</f>
        <v>3</v>
      </c>
      <c r="M65" s="1">
        <f ca="1">IFERROR(__xludf.DUMMYFUNCTION("""COMPUTED_VALUE"""),14)</f>
        <v>14</v>
      </c>
      <c r="N65" s="1">
        <f ca="1">IFERROR(__xludf.DUMMYFUNCTION("""COMPUTED_VALUE"""),1893)</f>
        <v>1893</v>
      </c>
      <c r="O65" s="1">
        <f ca="1">IFERROR(__xludf.DUMMYFUNCTION("""COMPUTED_VALUE"""),2209)</f>
        <v>2209</v>
      </c>
      <c r="P65" s="1">
        <f ca="1">IFERROR(__xludf.DUMMYFUNCTION("""COMPUTED_VALUE"""),1210)</f>
        <v>1210</v>
      </c>
      <c r="Q65" s="1">
        <f ca="1">IFERROR(__xludf.DUMMYFUNCTION("""COMPUTED_VALUE"""),660)</f>
        <v>660</v>
      </c>
      <c r="R65" s="1">
        <f ca="1">IFERROR(__xludf.DUMMYFUNCTION("""COMPUTED_VALUE"""),1532)</f>
        <v>1532</v>
      </c>
      <c r="S65" s="1">
        <f ca="1">IFERROR(__xludf.DUMMYFUNCTION("""COMPUTED_VALUE"""),0.431)</f>
        <v>0.43099999999999999</v>
      </c>
      <c r="T65" s="1">
        <f ca="1">IFERROR(__xludf.DUMMYFUNCTION("""COMPUTED_VALUE"""),198)</f>
        <v>198</v>
      </c>
      <c r="U65" s="1">
        <f ca="1">IFERROR(__xludf.DUMMYFUNCTION("""COMPUTED_VALUE"""),515)</f>
        <v>515</v>
      </c>
      <c r="V65" s="1">
        <f ca="1">IFERROR(__xludf.DUMMYFUNCTION("""COMPUTED_VALUE"""),0.384)</f>
        <v>0.38400000000000001</v>
      </c>
      <c r="W65" s="1">
        <f ca="1">IFERROR(__xludf.DUMMYFUNCTION("""COMPUTED_VALUE"""),375)</f>
        <v>375</v>
      </c>
      <c r="X65" s="1">
        <f ca="1">IFERROR(__xludf.DUMMYFUNCTION("""COMPUTED_VALUE"""),544)</f>
        <v>544</v>
      </c>
      <c r="Y65" s="1">
        <f ca="1">IFERROR(__xludf.DUMMYFUNCTION("""COMPUTED_VALUE"""),0.689)</f>
        <v>0.68899999999999995</v>
      </c>
      <c r="Z65" s="1">
        <f ca="1">IFERROR(__xludf.DUMMYFUNCTION("""COMPUTED_VALUE"""),250)</f>
        <v>250</v>
      </c>
      <c r="AA65" s="1">
        <f ca="1">IFERROR(__xludf.DUMMYFUNCTION("""COMPUTED_VALUE"""),873)</f>
        <v>873</v>
      </c>
      <c r="AB65" s="1">
        <f ca="1">IFERROR(__xludf.DUMMYFUNCTION("""COMPUTED_VALUE"""),363)</f>
        <v>363</v>
      </c>
      <c r="AC65" s="1">
        <f ca="1">IFERROR(__xludf.DUMMYFUNCTION("""COMPUTED_VALUE"""),111)</f>
        <v>111</v>
      </c>
      <c r="AD65" s="1">
        <f ca="1">IFERROR(__xludf.DUMMYFUNCTION("""COMPUTED_VALUE"""),68)</f>
        <v>68</v>
      </c>
      <c r="AE65" s="1">
        <f ca="1">IFERROR(__xludf.DUMMYFUNCTION("""COMPUTED_VALUE"""),439)</f>
        <v>439</v>
      </c>
      <c r="AF65" s="1">
        <f ca="1">IFERROR(__xludf.DUMMYFUNCTION("""COMPUTED_VALUE"""),570)</f>
        <v>570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IFERROR(__xludf.DUMMYFUNCTION("""COMPUTED_VALUE"""),"College of Charleston")</f>
        <v>College of Charleston</v>
      </c>
      <c r="B68" s="1">
        <f ca="1">IFERROR(__xludf.DUMMYFUNCTION("""COMPUTED_VALUE"""),31)</f>
        <v>31</v>
      </c>
      <c r="C68" s="1">
        <f ca="1">IFERROR(__xludf.DUMMYFUNCTION("""COMPUTED_VALUE"""),19)</f>
        <v>19</v>
      </c>
      <c r="D68" s="1">
        <f ca="1">IFERROR(__xludf.DUMMYFUNCTION("""COMPUTED_VALUE"""),12)</f>
        <v>12</v>
      </c>
      <c r="E68" s="1">
        <f ca="1">IFERROR(__xludf.DUMMYFUNCTION("""COMPUTED_VALUE"""),0.613)</f>
        <v>0.61299999999999999</v>
      </c>
      <c r="F68" s="1">
        <f ca="1">IFERROR(__xludf.DUMMYFUNCTION("""COMPUTED_VALUE"""),-0.16)</f>
        <v>-0.16</v>
      </c>
      <c r="G68" s="1">
        <f ca="1">IFERROR(__xludf.DUMMYFUNCTION("""COMPUTED_VALUE"""),-2.54)</f>
        <v>-2.54</v>
      </c>
      <c r="H68" s="1">
        <f ca="1">IFERROR(__xludf.DUMMYFUNCTION("""COMPUTED_VALUE"""),10)</f>
        <v>10</v>
      </c>
      <c r="I68" s="1">
        <f ca="1">IFERROR(__xludf.DUMMYFUNCTION("""COMPUTED_VALUE"""),8)</f>
        <v>8</v>
      </c>
      <c r="J68" s="1">
        <f ca="1">IFERROR(__xludf.DUMMYFUNCTION("""COMPUTED_VALUE"""),10)</f>
        <v>10</v>
      </c>
      <c r="K68" s="1">
        <f ca="1">IFERROR(__xludf.DUMMYFUNCTION("""COMPUTED_VALUE"""),4)</f>
        <v>4</v>
      </c>
      <c r="L68" s="1">
        <f ca="1">IFERROR(__xludf.DUMMYFUNCTION("""COMPUTED_VALUE"""),7)</f>
        <v>7</v>
      </c>
      <c r="M68" s="1">
        <f ca="1">IFERROR(__xludf.DUMMYFUNCTION("""COMPUTED_VALUE"""),6)</f>
        <v>6</v>
      </c>
      <c r="N68" s="1">
        <f ca="1">IFERROR(__xludf.DUMMYFUNCTION("""COMPUTED_VALUE"""),2191)</f>
        <v>2191</v>
      </c>
      <c r="O68" s="1">
        <f ca="1">IFERROR(__xludf.DUMMYFUNCTION("""COMPUTED_VALUE"""),2117)</f>
        <v>2117</v>
      </c>
      <c r="P68" s="1">
        <f ca="1">IFERROR(__xludf.DUMMYFUNCTION("""COMPUTED_VALUE"""),1260)</f>
        <v>1260</v>
      </c>
      <c r="Q68" s="1">
        <f ca="1">IFERROR(__xludf.DUMMYFUNCTION("""COMPUTED_VALUE"""),754)</f>
        <v>754</v>
      </c>
      <c r="R68" s="1">
        <f ca="1">IFERROR(__xludf.DUMMYFUNCTION("""COMPUTED_VALUE"""),1769)</f>
        <v>1769</v>
      </c>
      <c r="S68" s="1">
        <f ca="1">IFERROR(__xludf.DUMMYFUNCTION("""COMPUTED_VALUE"""),0.426)</f>
        <v>0.42599999999999999</v>
      </c>
      <c r="T68" s="1">
        <f ca="1">IFERROR(__xludf.DUMMYFUNCTION("""COMPUTED_VALUE"""),245)</f>
        <v>245</v>
      </c>
      <c r="U68" s="1">
        <f ca="1">IFERROR(__xludf.DUMMYFUNCTION("""COMPUTED_VALUE"""),725)</f>
        <v>725</v>
      </c>
      <c r="V68" s="1">
        <f ca="1">IFERROR(__xludf.DUMMYFUNCTION("""COMPUTED_VALUE"""),0.338)</f>
        <v>0.33800000000000002</v>
      </c>
      <c r="W68" s="1">
        <f ca="1">IFERROR(__xludf.DUMMYFUNCTION("""COMPUTED_VALUE"""),438)</f>
        <v>438</v>
      </c>
      <c r="X68" s="1">
        <f ca="1">IFERROR(__xludf.DUMMYFUNCTION("""COMPUTED_VALUE"""),683)</f>
        <v>683</v>
      </c>
      <c r="Y68" s="1">
        <f ca="1">IFERROR(__xludf.DUMMYFUNCTION("""COMPUTED_VALUE"""),0.641)</f>
        <v>0.64100000000000001</v>
      </c>
      <c r="Z68" s="1">
        <f ca="1">IFERROR(__xludf.DUMMYFUNCTION("""COMPUTED_VALUE"""),345)</f>
        <v>345</v>
      </c>
      <c r="AA68" s="1">
        <f ca="1">IFERROR(__xludf.DUMMYFUNCTION("""COMPUTED_VALUE"""),1007)</f>
        <v>1007</v>
      </c>
      <c r="AB68" s="1">
        <f ca="1">IFERROR(__xludf.DUMMYFUNCTION("""COMPUTED_VALUE"""),370)</f>
        <v>370</v>
      </c>
      <c r="AC68" s="1">
        <f ca="1">IFERROR(__xludf.DUMMYFUNCTION("""COMPUTED_VALUE"""),229)</f>
        <v>229</v>
      </c>
      <c r="AD68" s="1">
        <f ca="1">IFERROR(__xludf.DUMMYFUNCTION("""COMPUTED_VALUE"""),115)</f>
        <v>115</v>
      </c>
      <c r="AE68" s="1">
        <f ca="1">IFERROR(__xludf.DUMMYFUNCTION("""COMPUTED_VALUE"""),411)</f>
        <v>411</v>
      </c>
      <c r="AF68" s="1">
        <f ca="1">IFERROR(__xludf.DUMMYFUNCTION("""COMPUTED_VALUE"""),497)</f>
        <v>497</v>
      </c>
    </row>
    <row r="69" spans="1:32" ht="12.5" x14ac:dyDescent="0.25">
      <c r="A69" s="1" t="str">
        <f ca="1">IFERROR(__xludf.DUMMYFUNCTION("""COMPUTED_VALUE"""),"Colorado StateNCAA")</f>
        <v>Colorado StateNCAA</v>
      </c>
      <c r="B69" s="1">
        <f ca="1">IFERROR(__xludf.DUMMYFUNCTION("""COMPUTED_VALUE"""),32)</f>
        <v>32</v>
      </c>
      <c r="C69" s="1">
        <f ca="1">IFERROR(__xludf.DUMMYFUNCTION("""COMPUTED_VALUE"""),20)</f>
        <v>20</v>
      </c>
      <c r="D69" s="1">
        <f ca="1">IFERROR(__xludf.DUMMYFUNCTION("""COMPUTED_VALUE"""),12)</f>
        <v>12</v>
      </c>
      <c r="E69" s="1">
        <f ca="1">IFERROR(__xludf.DUMMYFUNCTION("""COMPUTED_VALUE"""),0.625)</f>
        <v>0.625</v>
      </c>
      <c r="F69" s="1">
        <f ca="1">IFERROR(__xludf.DUMMYFUNCTION("""COMPUTED_VALUE"""),6.58)</f>
        <v>6.58</v>
      </c>
      <c r="G69" s="1">
        <f ca="1">IFERROR(__xludf.DUMMYFUNCTION("""COMPUTED_VALUE"""),5.23)</f>
        <v>5.23</v>
      </c>
      <c r="H69" s="1">
        <f ca="1">IFERROR(__xludf.DUMMYFUNCTION("""COMPUTED_VALUE"""),8)</f>
        <v>8</v>
      </c>
      <c r="I69" s="1">
        <f ca="1">IFERROR(__xludf.DUMMYFUNCTION("""COMPUTED_VALUE"""),6)</f>
        <v>6</v>
      </c>
      <c r="J69" s="1">
        <f ca="1">IFERROR(__xludf.DUMMYFUNCTION("""COMPUTED_VALUE"""),14)</f>
        <v>14</v>
      </c>
      <c r="K69" s="1">
        <f ca="1">IFERROR(__xludf.DUMMYFUNCTION("""COMPUTED_VALUE"""),1)</f>
        <v>1</v>
      </c>
      <c r="L69" s="1">
        <f ca="1">IFERROR(__xludf.DUMMYFUNCTION("""COMPUTED_VALUE"""),3)</f>
        <v>3</v>
      </c>
      <c r="M69" s="1">
        <f ca="1">IFERROR(__xludf.DUMMYFUNCTION("""COMPUTED_VALUE"""),9)</f>
        <v>9</v>
      </c>
      <c r="N69" s="1">
        <f ca="1">IFERROR(__xludf.DUMMYFUNCTION("""COMPUTED_VALUE"""),2243)</f>
        <v>2243</v>
      </c>
      <c r="O69" s="1">
        <f ca="1">IFERROR(__xludf.DUMMYFUNCTION("""COMPUTED_VALUE"""),2177)</f>
        <v>2177</v>
      </c>
      <c r="P69" s="1">
        <f ca="1">IFERROR(__xludf.DUMMYFUNCTION("""COMPUTED_VALUE"""),1295)</f>
        <v>1295</v>
      </c>
      <c r="Q69" s="1">
        <f ca="1">IFERROR(__xludf.DUMMYFUNCTION("""COMPUTED_VALUE"""),764)</f>
        <v>764</v>
      </c>
      <c r="R69" s="1">
        <f ca="1">IFERROR(__xludf.DUMMYFUNCTION("""COMPUTED_VALUE"""),1621)</f>
        <v>1621</v>
      </c>
      <c r="S69" s="1">
        <f ca="1">IFERROR(__xludf.DUMMYFUNCTION("""COMPUTED_VALUE"""),0.471)</f>
        <v>0.47099999999999997</v>
      </c>
      <c r="T69" s="1">
        <f ca="1">IFERROR(__xludf.DUMMYFUNCTION("""COMPUTED_VALUE"""),189)</f>
        <v>189</v>
      </c>
      <c r="U69" s="1">
        <f ca="1">IFERROR(__xludf.DUMMYFUNCTION("""COMPUTED_VALUE"""),473)</f>
        <v>473</v>
      </c>
      <c r="V69" s="1">
        <f ca="1">IFERROR(__xludf.DUMMYFUNCTION("""COMPUTED_VALUE"""),0.4)</f>
        <v>0.4</v>
      </c>
      <c r="W69" s="1">
        <f ca="1">IFERROR(__xludf.DUMMYFUNCTION("""COMPUTED_VALUE"""),526)</f>
        <v>526</v>
      </c>
      <c r="X69" s="1">
        <f ca="1">IFERROR(__xludf.DUMMYFUNCTION("""COMPUTED_VALUE"""),685)</f>
        <v>685</v>
      </c>
      <c r="Y69" s="1">
        <f ca="1">IFERROR(__xludf.DUMMYFUNCTION("""COMPUTED_VALUE"""),0.768)</f>
        <v>0.76800000000000002</v>
      </c>
      <c r="Z69" s="1">
        <f ca="1">IFERROR(__xludf.DUMMYFUNCTION("""COMPUTED_VALUE"""),266)</f>
        <v>266</v>
      </c>
      <c r="AA69" s="1">
        <f ca="1">IFERROR(__xludf.DUMMYFUNCTION("""COMPUTED_VALUE"""),939)</f>
        <v>939</v>
      </c>
      <c r="AB69" s="1">
        <f ca="1">IFERROR(__xludf.DUMMYFUNCTION("""COMPUTED_VALUE"""),389)</f>
        <v>389</v>
      </c>
      <c r="AC69" s="1">
        <f ca="1">IFERROR(__xludf.DUMMYFUNCTION("""COMPUTED_VALUE"""),172)</f>
        <v>172</v>
      </c>
      <c r="AD69" s="1">
        <f ca="1">IFERROR(__xludf.DUMMYFUNCTION("""COMPUTED_VALUE"""),60)</f>
        <v>60</v>
      </c>
      <c r="AE69" s="1">
        <f ca="1">IFERROR(__xludf.DUMMYFUNCTION("""COMPUTED_VALUE"""),408)</f>
        <v>408</v>
      </c>
      <c r="AF69" s="1">
        <f ca="1">IFERROR(__xludf.DUMMYFUNCTION("""COMPUTED_VALUE"""),606)</f>
        <v>606</v>
      </c>
    </row>
    <row r="70" spans="1:32" ht="12.5" x14ac:dyDescent="0.25">
      <c r="A70" s="1" t="str">
        <f ca="1">IFERROR(__xludf.DUMMYFUNCTION("""COMPUTED_VALUE"""),"ColoradoNCAA")</f>
        <v>ColoradoNCAA</v>
      </c>
      <c r="B70" s="1">
        <f ca="1">IFERROR(__xludf.DUMMYFUNCTION("""COMPUTED_VALUE"""),36)</f>
        <v>36</v>
      </c>
      <c r="C70" s="1">
        <f ca="1">IFERROR(__xludf.DUMMYFUNCTION("""COMPUTED_VALUE"""),24)</f>
        <v>24</v>
      </c>
      <c r="D70" s="1">
        <f ca="1">IFERROR(__xludf.DUMMYFUNCTION("""COMPUTED_VALUE"""),12)</f>
        <v>12</v>
      </c>
      <c r="E70" s="1">
        <f ca="1">IFERROR(__xludf.DUMMYFUNCTION("""COMPUTED_VALUE"""),0.667)</f>
        <v>0.66700000000000004</v>
      </c>
      <c r="F70" s="1">
        <f ca="1">IFERROR(__xludf.DUMMYFUNCTION("""COMPUTED_VALUE"""),7.91)</f>
        <v>7.91</v>
      </c>
      <c r="G70" s="1">
        <f ca="1">IFERROR(__xludf.DUMMYFUNCTION("""COMPUTED_VALUE"""),5.73)</f>
        <v>5.73</v>
      </c>
      <c r="H70" s="1">
        <f ca="1">IFERROR(__xludf.DUMMYFUNCTION("""COMPUTED_VALUE"""),11)</f>
        <v>11</v>
      </c>
      <c r="I70" s="1">
        <f ca="1">IFERROR(__xludf.DUMMYFUNCTION("""COMPUTED_VALUE"""),7)</f>
        <v>7</v>
      </c>
      <c r="J70" s="1">
        <f ca="1">IFERROR(__xludf.DUMMYFUNCTION("""COMPUTED_VALUE"""),14)</f>
        <v>14</v>
      </c>
      <c r="K70" s="1">
        <f ca="1">IFERROR(__xludf.DUMMYFUNCTION("""COMPUTED_VALUE"""),2)</f>
        <v>2</v>
      </c>
      <c r="L70" s="1">
        <f ca="1">IFERROR(__xludf.DUMMYFUNCTION("""COMPUTED_VALUE"""),4)</f>
        <v>4</v>
      </c>
      <c r="M70" s="1">
        <f ca="1">IFERROR(__xludf.DUMMYFUNCTION("""COMPUTED_VALUE"""),7)</f>
        <v>7</v>
      </c>
      <c r="N70" s="1">
        <f ca="1">IFERROR(__xludf.DUMMYFUNCTION("""COMPUTED_VALUE"""),2429)</f>
        <v>2429</v>
      </c>
      <c r="O70" s="1">
        <f ca="1">IFERROR(__xludf.DUMMYFUNCTION("""COMPUTED_VALUE"""),2269)</f>
        <v>2269</v>
      </c>
      <c r="P70" s="1">
        <f ca="1">IFERROR(__xludf.DUMMYFUNCTION("""COMPUTED_VALUE"""),1445)</f>
        <v>1445</v>
      </c>
      <c r="Q70" s="1">
        <f ca="1">IFERROR(__xludf.DUMMYFUNCTION("""COMPUTED_VALUE"""),835)</f>
        <v>835</v>
      </c>
      <c r="R70" s="1">
        <f ca="1">IFERROR(__xludf.DUMMYFUNCTION("""COMPUTED_VALUE"""),1874)</f>
        <v>1874</v>
      </c>
      <c r="S70" s="1">
        <f ca="1">IFERROR(__xludf.DUMMYFUNCTION("""COMPUTED_VALUE"""),0.446)</f>
        <v>0.44600000000000001</v>
      </c>
      <c r="T70" s="1">
        <f ca="1">IFERROR(__xludf.DUMMYFUNCTION("""COMPUTED_VALUE"""),199)</f>
        <v>199</v>
      </c>
      <c r="U70" s="1">
        <f ca="1">IFERROR(__xludf.DUMMYFUNCTION("""COMPUTED_VALUE"""),572)</f>
        <v>572</v>
      </c>
      <c r="V70" s="1">
        <f ca="1">IFERROR(__xludf.DUMMYFUNCTION("""COMPUTED_VALUE"""),0.348)</f>
        <v>0.34799999999999998</v>
      </c>
      <c r="W70" s="1">
        <f ca="1">IFERROR(__xludf.DUMMYFUNCTION("""COMPUTED_VALUE"""),560)</f>
        <v>560</v>
      </c>
      <c r="X70" s="1">
        <f ca="1">IFERROR(__xludf.DUMMYFUNCTION("""COMPUTED_VALUE"""),810)</f>
        <v>810</v>
      </c>
      <c r="Y70" s="1">
        <f ca="1">IFERROR(__xludf.DUMMYFUNCTION("""COMPUTED_VALUE"""),0.691)</f>
        <v>0.69099999999999995</v>
      </c>
      <c r="Z70" s="1">
        <f ca="1">IFERROR(__xludf.DUMMYFUNCTION("""COMPUTED_VALUE"""),351)</f>
        <v>351</v>
      </c>
      <c r="AA70" s="1">
        <f ca="1">IFERROR(__xludf.DUMMYFUNCTION("""COMPUTED_VALUE"""),1192)</f>
        <v>1192</v>
      </c>
      <c r="AB70" s="1">
        <f ca="1">IFERROR(__xludf.DUMMYFUNCTION("""COMPUTED_VALUE"""),422)</f>
        <v>422</v>
      </c>
      <c r="AC70" s="1">
        <f ca="1">IFERROR(__xludf.DUMMYFUNCTION("""COMPUTED_VALUE"""),210)</f>
        <v>210</v>
      </c>
      <c r="AD70" s="1">
        <f ca="1">IFERROR(__xludf.DUMMYFUNCTION("""COMPUTED_VALUE"""),117)</f>
        <v>117</v>
      </c>
      <c r="AE70" s="1">
        <f ca="1">IFERROR(__xludf.DUMMYFUNCTION("""COMPUTED_VALUE"""),468)</f>
        <v>468</v>
      </c>
      <c r="AF70" s="1">
        <f ca="1">IFERROR(__xludf.DUMMYFUNCTION("""COMPUTED_VALUE"""),614)</f>
        <v>614</v>
      </c>
    </row>
    <row r="71" spans="1:32" ht="12.5" x14ac:dyDescent="0.25">
      <c r="A71" s="1" t="str">
        <f ca="1">IFERROR(__xludf.DUMMYFUNCTION("""COMPUTED_VALUE"""),"Columbia")</f>
        <v>Columbia</v>
      </c>
      <c r="B71" s="1">
        <f ca="1">IFERROR(__xludf.DUMMYFUNCTION("""COMPUTED_VALUE"""),30)</f>
        <v>30</v>
      </c>
      <c r="C71" s="1">
        <f ca="1">IFERROR(__xludf.DUMMYFUNCTION("""COMPUTED_VALUE"""),15)</f>
        <v>15</v>
      </c>
      <c r="D71" s="1">
        <f ca="1">IFERROR(__xludf.DUMMYFUNCTION("""COMPUTED_VALUE"""),15)</f>
        <v>15</v>
      </c>
      <c r="E71" s="1">
        <f ca="1">IFERROR(__xludf.DUMMYFUNCTION("""COMPUTED_VALUE"""),0.5)</f>
        <v>0.5</v>
      </c>
      <c r="F71" s="1">
        <f ca="1">IFERROR(__xludf.DUMMYFUNCTION("""COMPUTED_VALUE"""),-2.9)</f>
        <v>-2.9</v>
      </c>
      <c r="G71" s="1">
        <f ca="1">IFERROR(__xludf.DUMMYFUNCTION("""COMPUTED_VALUE"""),-3.18)</f>
        <v>-3.18</v>
      </c>
      <c r="H71" s="1">
        <f ca="1">IFERROR(__xludf.DUMMYFUNCTION("""COMPUTED_VALUE"""),4)</f>
        <v>4</v>
      </c>
      <c r="I71" s="1">
        <f ca="1">IFERROR(__xludf.DUMMYFUNCTION("""COMPUTED_VALUE"""),10)</f>
        <v>10</v>
      </c>
      <c r="J71" s="1">
        <f ca="1">IFERROR(__xludf.DUMMYFUNCTION("""COMPUTED_VALUE"""),8)</f>
        <v>8</v>
      </c>
      <c r="K71" s="1">
        <f ca="1">IFERROR(__xludf.DUMMYFUNCTION("""COMPUTED_VALUE"""),6)</f>
        <v>6</v>
      </c>
      <c r="L71" s="1">
        <f ca="1">IFERROR(__xludf.DUMMYFUNCTION("""COMPUTED_VALUE"""),5)</f>
        <v>5</v>
      </c>
      <c r="M71" s="1">
        <f ca="1">IFERROR(__xludf.DUMMYFUNCTION("""COMPUTED_VALUE"""),9)</f>
        <v>9</v>
      </c>
      <c r="N71" s="1">
        <f ca="1">IFERROR(__xludf.DUMMYFUNCTION("""COMPUTED_VALUE"""),1955)</f>
        <v>1955</v>
      </c>
      <c r="O71" s="1">
        <f ca="1">IFERROR(__xludf.DUMMYFUNCTION("""COMPUTED_VALUE"""),1863)</f>
        <v>1863</v>
      </c>
      <c r="P71" s="1">
        <f ca="1">IFERROR(__xludf.DUMMYFUNCTION("""COMPUTED_VALUE"""),1210)</f>
        <v>1210</v>
      </c>
      <c r="Q71" s="1">
        <f ca="1">IFERROR(__xludf.DUMMYFUNCTION("""COMPUTED_VALUE"""),683)</f>
        <v>683</v>
      </c>
      <c r="R71" s="1">
        <f ca="1">IFERROR(__xludf.DUMMYFUNCTION("""COMPUTED_VALUE"""),1586)</f>
        <v>1586</v>
      </c>
      <c r="S71" s="1">
        <f ca="1">IFERROR(__xludf.DUMMYFUNCTION("""COMPUTED_VALUE"""),0.431)</f>
        <v>0.43099999999999999</v>
      </c>
      <c r="T71" s="1">
        <f ca="1">IFERROR(__xludf.DUMMYFUNCTION("""COMPUTED_VALUE"""),211)</f>
        <v>211</v>
      </c>
      <c r="U71" s="1">
        <f ca="1">IFERROR(__xludf.DUMMYFUNCTION("""COMPUTED_VALUE"""),565)</f>
        <v>565</v>
      </c>
      <c r="V71" s="1">
        <f ca="1">IFERROR(__xludf.DUMMYFUNCTION("""COMPUTED_VALUE"""),0.373)</f>
        <v>0.373</v>
      </c>
      <c r="W71" s="1">
        <f ca="1">IFERROR(__xludf.DUMMYFUNCTION("""COMPUTED_VALUE"""),378)</f>
        <v>378</v>
      </c>
      <c r="X71" s="1">
        <f ca="1">IFERROR(__xludf.DUMMYFUNCTION("""COMPUTED_VALUE"""),509)</f>
        <v>509</v>
      </c>
      <c r="Y71" s="1">
        <f ca="1">IFERROR(__xludf.DUMMYFUNCTION("""COMPUTED_VALUE"""),0.743)</f>
        <v>0.74299999999999999</v>
      </c>
      <c r="Z71" s="1">
        <f ca="1">IFERROR(__xludf.DUMMYFUNCTION("""COMPUTED_VALUE"""),286)</f>
        <v>286</v>
      </c>
      <c r="AA71" s="1">
        <f ca="1">IFERROR(__xludf.DUMMYFUNCTION("""COMPUTED_VALUE"""),943)</f>
        <v>943</v>
      </c>
      <c r="AB71" s="1">
        <f ca="1">IFERROR(__xludf.DUMMYFUNCTION("""COMPUTED_VALUE"""),380)</f>
        <v>380</v>
      </c>
      <c r="AC71" s="1">
        <f ca="1">IFERROR(__xludf.DUMMYFUNCTION("""COMPUTED_VALUE"""),182)</f>
        <v>182</v>
      </c>
      <c r="AD71" s="1">
        <f ca="1">IFERROR(__xludf.DUMMYFUNCTION("""COMPUTED_VALUE"""),70)</f>
        <v>70</v>
      </c>
      <c r="AE71" s="1">
        <f ca="1">IFERROR(__xludf.DUMMYFUNCTION("""COMPUTED_VALUE"""),365)</f>
        <v>365</v>
      </c>
      <c r="AF71" s="1">
        <f ca="1">IFERROR(__xludf.DUMMYFUNCTION("""COMPUTED_VALUE"""),511)</f>
        <v>511</v>
      </c>
    </row>
    <row r="72" spans="1:32" ht="12.5" x14ac:dyDescent="0.25">
      <c r="A72" s="1" t="str">
        <f ca="1">IFERROR(__xludf.DUMMYFUNCTION("""COMPUTED_VALUE"""),"ConnecticutNCAA")</f>
        <v>ConnecticutNCAA</v>
      </c>
      <c r="B72" s="1">
        <f ca="1">IFERROR(__xludf.DUMMYFUNCTION("""COMPUTED_VALUE"""),34)</f>
        <v>34</v>
      </c>
      <c r="C72" s="1">
        <f ca="1">IFERROR(__xludf.DUMMYFUNCTION("""COMPUTED_VALUE"""),20)</f>
        <v>20</v>
      </c>
      <c r="D72" s="1">
        <f ca="1">IFERROR(__xludf.DUMMYFUNCTION("""COMPUTED_VALUE"""),14)</f>
        <v>14</v>
      </c>
      <c r="E72" s="1">
        <f ca="1">IFERROR(__xludf.DUMMYFUNCTION("""COMPUTED_VALUE"""),0.588)</f>
        <v>0.58799999999999997</v>
      </c>
      <c r="F72" s="1">
        <f ca="1">IFERROR(__xludf.DUMMYFUNCTION("""COMPUTED_VALUE"""),12.27)</f>
        <v>12.27</v>
      </c>
      <c r="G72" s="1">
        <f ca="1">IFERROR(__xludf.DUMMYFUNCTION("""COMPUTED_VALUE"""),8.07)</f>
        <v>8.07</v>
      </c>
      <c r="H72" s="1">
        <f ca="1">IFERROR(__xludf.DUMMYFUNCTION("""COMPUTED_VALUE"""),8)</f>
        <v>8</v>
      </c>
      <c r="I72" s="1">
        <f ca="1">IFERROR(__xludf.DUMMYFUNCTION("""COMPUTED_VALUE"""),10)</f>
        <v>10</v>
      </c>
      <c r="J72" s="1">
        <f ca="1">IFERROR(__xludf.DUMMYFUNCTION("""COMPUTED_VALUE"""),13)</f>
        <v>13</v>
      </c>
      <c r="K72" s="1">
        <f ca="1">IFERROR(__xludf.DUMMYFUNCTION("""COMPUTED_VALUE"""),4)</f>
        <v>4</v>
      </c>
      <c r="L72" s="1">
        <f ca="1">IFERROR(__xludf.DUMMYFUNCTION("""COMPUTED_VALUE"""),3)</f>
        <v>3</v>
      </c>
      <c r="M72" s="1">
        <f ca="1">IFERROR(__xludf.DUMMYFUNCTION("""COMPUTED_VALUE"""),7)</f>
        <v>7</v>
      </c>
      <c r="N72" s="1">
        <f ca="1">IFERROR(__xludf.DUMMYFUNCTION("""COMPUTED_VALUE"""),2336)</f>
        <v>2336</v>
      </c>
      <c r="O72" s="1">
        <f ca="1">IFERROR(__xludf.DUMMYFUNCTION("""COMPUTED_VALUE"""),2193)</f>
        <v>2193</v>
      </c>
      <c r="P72" s="1">
        <f ca="1">IFERROR(__xludf.DUMMYFUNCTION("""COMPUTED_VALUE"""),1375)</f>
        <v>1375</v>
      </c>
      <c r="Q72" s="1">
        <f ca="1">IFERROR(__xludf.DUMMYFUNCTION("""COMPUTED_VALUE"""),858)</f>
        <v>858</v>
      </c>
      <c r="R72" s="1">
        <f ca="1">IFERROR(__xludf.DUMMYFUNCTION("""COMPUTED_VALUE"""),1900)</f>
        <v>1900</v>
      </c>
      <c r="S72" s="1">
        <f ca="1">IFERROR(__xludf.DUMMYFUNCTION("""COMPUTED_VALUE"""),0.452)</f>
        <v>0.45200000000000001</v>
      </c>
      <c r="T72" s="1">
        <f ca="1">IFERROR(__xludf.DUMMYFUNCTION("""COMPUTED_VALUE"""),185)</f>
        <v>185</v>
      </c>
      <c r="U72" s="1">
        <f ca="1">IFERROR(__xludf.DUMMYFUNCTION("""COMPUTED_VALUE"""),557)</f>
        <v>557</v>
      </c>
      <c r="V72" s="1">
        <f ca="1">IFERROR(__xludf.DUMMYFUNCTION("""COMPUTED_VALUE"""),0.332)</f>
        <v>0.33200000000000002</v>
      </c>
      <c r="W72" s="1">
        <f ca="1">IFERROR(__xludf.DUMMYFUNCTION("""COMPUTED_VALUE"""),435)</f>
        <v>435</v>
      </c>
      <c r="X72" s="1">
        <f ca="1">IFERROR(__xludf.DUMMYFUNCTION("""COMPUTED_VALUE"""),657)</f>
        <v>657</v>
      </c>
      <c r="Y72" s="1">
        <f ca="1">IFERROR(__xludf.DUMMYFUNCTION("""COMPUTED_VALUE"""),0.662)</f>
        <v>0.66200000000000003</v>
      </c>
      <c r="Z72" s="1">
        <f ca="1">IFERROR(__xludf.DUMMYFUNCTION("""COMPUTED_VALUE"""),415)</f>
        <v>415</v>
      </c>
      <c r="AA72" s="1">
        <f ca="1">IFERROR(__xludf.DUMMYFUNCTION("""COMPUTED_VALUE"""),1151)</f>
        <v>1151</v>
      </c>
      <c r="AB72" s="1">
        <f ca="1">IFERROR(__xludf.DUMMYFUNCTION("""COMPUTED_VALUE"""),457)</f>
        <v>457</v>
      </c>
      <c r="AC72" s="1">
        <f ca="1">IFERROR(__xludf.DUMMYFUNCTION("""COMPUTED_VALUE"""),199)</f>
        <v>199</v>
      </c>
      <c r="AD72" s="1">
        <f ca="1">IFERROR(__xludf.DUMMYFUNCTION("""COMPUTED_VALUE"""),233)</f>
        <v>233</v>
      </c>
      <c r="AE72" s="1">
        <f ca="1">IFERROR(__xludf.DUMMYFUNCTION("""COMPUTED_VALUE"""),418)</f>
        <v>418</v>
      </c>
      <c r="AF72" s="1">
        <f ca="1">IFERROR(__xludf.DUMMYFUNCTION("""COMPUTED_VALUE"""),492)</f>
        <v>492</v>
      </c>
    </row>
    <row r="73" spans="1:32" ht="12.5" x14ac:dyDescent="0.25">
      <c r="A73" s="1" t="str">
        <f ca="1">IFERROR(__xludf.DUMMYFUNCTION("""COMPUTED_VALUE"""),"Coppin State")</f>
        <v>Coppin State</v>
      </c>
      <c r="B73" s="1">
        <f ca="1">IFERROR(__xludf.DUMMYFUNCTION("""COMPUTED_VALUE"""),30)</f>
        <v>30</v>
      </c>
      <c r="C73" s="1">
        <f ca="1">IFERROR(__xludf.DUMMYFUNCTION("""COMPUTED_VALUE"""),14)</f>
        <v>14</v>
      </c>
      <c r="D73" s="1">
        <f ca="1">IFERROR(__xludf.DUMMYFUNCTION("""COMPUTED_VALUE"""),16)</f>
        <v>16</v>
      </c>
      <c r="E73" s="1">
        <f ca="1">IFERROR(__xludf.DUMMYFUNCTION("""COMPUTED_VALUE"""),0.467)</f>
        <v>0.46700000000000003</v>
      </c>
      <c r="F73" s="1">
        <f ca="1">IFERROR(__xludf.DUMMYFUNCTION("""COMPUTED_VALUE"""),-9.07)</f>
        <v>-9.07</v>
      </c>
      <c r="G73" s="1">
        <f ca="1">IFERROR(__xludf.DUMMYFUNCTION("""COMPUTED_VALUE"""),-5.96)</f>
        <v>-5.96</v>
      </c>
      <c r="H73" s="1">
        <f ca="1">IFERROR(__xludf.DUMMYFUNCTION("""COMPUTED_VALUE"""),9)</f>
        <v>9</v>
      </c>
      <c r="I73" s="1">
        <f ca="1">IFERROR(__xludf.DUMMYFUNCTION("""COMPUTED_VALUE"""),7)</f>
        <v>7</v>
      </c>
      <c r="J73" s="1">
        <f ca="1">IFERROR(__xludf.DUMMYFUNCTION("""COMPUTED_VALUE"""),7)</f>
        <v>7</v>
      </c>
      <c r="K73" s="1">
        <f ca="1">IFERROR(__xludf.DUMMYFUNCTION("""COMPUTED_VALUE"""),5)</f>
        <v>5</v>
      </c>
      <c r="L73" s="1">
        <f ca="1">IFERROR(__xludf.DUMMYFUNCTION("""COMPUTED_VALUE"""),6)</f>
        <v>6</v>
      </c>
      <c r="M73" s="1">
        <f ca="1">IFERROR(__xludf.DUMMYFUNCTION("""COMPUTED_VALUE"""),9)</f>
        <v>9</v>
      </c>
      <c r="N73" s="1">
        <f ca="1">IFERROR(__xludf.DUMMYFUNCTION("""COMPUTED_VALUE"""),2213)</f>
        <v>2213</v>
      </c>
      <c r="O73" s="1">
        <f ca="1">IFERROR(__xludf.DUMMYFUNCTION("""COMPUTED_VALUE"""),2257)</f>
        <v>2257</v>
      </c>
      <c r="P73" s="1">
        <f ca="1">IFERROR(__xludf.DUMMYFUNCTION("""COMPUTED_VALUE"""),1205)</f>
        <v>1205</v>
      </c>
      <c r="Q73" s="1">
        <f ca="1">IFERROR(__xludf.DUMMYFUNCTION("""COMPUTED_VALUE"""),756)</f>
        <v>756</v>
      </c>
      <c r="R73" s="1">
        <f ca="1">IFERROR(__xludf.DUMMYFUNCTION("""COMPUTED_VALUE"""),1749)</f>
        <v>1749</v>
      </c>
      <c r="S73" s="1">
        <f ca="1">IFERROR(__xludf.DUMMYFUNCTION("""COMPUTED_VALUE"""),0.432)</f>
        <v>0.432</v>
      </c>
      <c r="T73" s="1">
        <f ca="1">IFERROR(__xludf.DUMMYFUNCTION("""COMPUTED_VALUE"""),289)</f>
        <v>289</v>
      </c>
      <c r="U73" s="1">
        <f ca="1">IFERROR(__xludf.DUMMYFUNCTION("""COMPUTED_VALUE"""),792)</f>
        <v>792</v>
      </c>
      <c r="V73" s="1">
        <f ca="1">IFERROR(__xludf.DUMMYFUNCTION("""COMPUTED_VALUE"""),0.365)</f>
        <v>0.36499999999999999</v>
      </c>
      <c r="W73" s="1">
        <f ca="1">IFERROR(__xludf.DUMMYFUNCTION("""COMPUTED_VALUE"""),412)</f>
        <v>412</v>
      </c>
      <c r="X73" s="1">
        <f ca="1">IFERROR(__xludf.DUMMYFUNCTION("""COMPUTED_VALUE"""),596)</f>
        <v>596</v>
      </c>
      <c r="Y73" s="1">
        <f ca="1">IFERROR(__xludf.DUMMYFUNCTION("""COMPUTED_VALUE"""),0.691)</f>
        <v>0.69099999999999995</v>
      </c>
      <c r="Z73" s="1">
        <f ca="1">IFERROR(__xludf.DUMMYFUNCTION("""COMPUTED_VALUE"""),326)</f>
        <v>326</v>
      </c>
      <c r="AA73" s="1">
        <f ca="1">IFERROR(__xludf.DUMMYFUNCTION("""COMPUTED_VALUE"""),924)</f>
        <v>924</v>
      </c>
      <c r="AB73" s="1">
        <f ca="1">IFERROR(__xludf.DUMMYFUNCTION("""COMPUTED_VALUE"""),443)</f>
        <v>443</v>
      </c>
      <c r="AC73" s="1">
        <f ca="1">IFERROR(__xludf.DUMMYFUNCTION("""COMPUTED_VALUE"""),173)</f>
        <v>173</v>
      </c>
      <c r="AD73" s="1">
        <f ca="1">IFERROR(__xludf.DUMMYFUNCTION("""COMPUTED_VALUE"""),53)</f>
        <v>53</v>
      </c>
      <c r="AE73" s="1">
        <f ca="1">IFERROR(__xludf.DUMMYFUNCTION("""COMPUTED_VALUE"""),387)</f>
        <v>387</v>
      </c>
      <c r="AF73" s="1">
        <f ca="1">IFERROR(__xludf.DUMMYFUNCTION("""COMPUTED_VALUE"""),501)</f>
        <v>501</v>
      </c>
    </row>
    <row r="74" spans="1:32" ht="12.5" x14ac:dyDescent="0.25">
      <c r="A74" s="1" t="str">
        <f ca="1">IFERROR(__xludf.DUMMYFUNCTION("""COMPUTED_VALUE"""),"Cornell")</f>
        <v>Cornell</v>
      </c>
      <c r="B74" s="1">
        <f ca="1">IFERROR(__xludf.DUMMYFUNCTION("""COMPUTED_VALUE"""),28)</f>
        <v>28</v>
      </c>
      <c r="C74" s="1">
        <f ca="1">IFERROR(__xludf.DUMMYFUNCTION("""COMPUTED_VALUE"""),12)</f>
        <v>12</v>
      </c>
      <c r="D74" s="1">
        <f ca="1">IFERROR(__xludf.DUMMYFUNCTION("""COMPUTED_VALUE"""),16)</f>
        <v>16</v>
      </c>
      <c r="E74" s="1">
        <f ca="1">IFERROR(__xludf.DUMMYFUNCTION("""COMPUTED_VALUE"""),0.429)</f>
        <v>0.42899999999999999</v>
      </c>
      <c r="F74" s="1">
        <f ca="1">IFERROR(__xludf.DUMMYFUNCTION("""COMPUTED_VALUE"""),-4.05)</f>
        <v>-4.05</v>
      </c>
      <c r="G74" s="1">
        <f ca="1">IFERROR(__xludf.DUMMYFUNCTION("""COMPUTED_VALUE"""),-0.98)</f>
        <v>-0.98</v>
      </c>
      <c r="H74" s="1">
        <f ca="1">IFERROR(__xludf.DUMMYFUNCTION("""COMPUTED_VALUE"""),7)</f>
        <v>7</v>
      </c>
      <c r="I74" s="1">
        <f ca="1">IFERROR(__xludf.DUMMYFUNCTION("""COMPUTED_VALUE"""),7)</f>
        <v>7</v>
      </c>
      <c r="J74" s="1">
        <f ca="1">IFERROR(__xludf.DUMMYFUNCTION("""COMPUTED_VALUE"""),10)</f>
        <v>10</v>
      </c>
      <c r="K74" s="1">
        <f ca="1">IFERROR(__xludf.DUMMYFUNCTION("""COMPUTED_VALUE"""),3)</f>
        <v>3</v>
      </c>
      <c r="L74" s="1">
        <f ca="1">IFERROR(__xludf.DUMMYFUNCTION("""COMPUTED_VALUE"""),2)</f>
        <v>2</v>
      </c>
      <c r="M74" s="1">
        <f ca="1">IFERROR(__xludf.DUMMYFUNCTION("""COMPUTED_VALUE"""),13)</f>
        <v>13</v>
      </c>
      <c r="N74" s="1">
        <f ca="1">IFERROR(__xludf.DUMMYFUNCTION("""COMPUTED_VALUE"""),1833)</f>
        <v>1833</v>
      </c>
      <c r="O74" s="1">
        <f ca="1">IFERROR(__xludf.DUMMYFUNCTION("""COMPUTED_VALUE"""),1898)</f>
        <v>1898</v>
      </c>
      <c r="P74" s="1">
        <f ca="1">IFERROR(__xludf.DUMMYFUNCTION("""COMPUTED_VALUE"""),1140)</f>
        <v>1140</v>
      </c>
      <c r="Q74" s="1">
        <f ca="1">IFERROR(__xludf.DUMMYFUNCTION("""COMPUTED_VALUE"""),639)</f>
        <v>639</v>
      </c>
      <c r="R74" s="1">
        <f ca="1">IFERROR(__xludf.DUMMYFUNCTION("""COMPUTED_VALUE"""),1567)</f>
        <v>1567</v>
      </c>
      <c r="S74" s="1">
        <f ca="1">IFERROR(__xludf.DUMMYFUNCTION("""COMPUTED_VALUE"""),0.408)</f>
        <v>0.40799999999999997</v>
      </c>
      <c r="T74" s="1">
        <f ca="1">IFERROR(__xludf.DUMMYFUNCTION("""COMPUTED_VALUE"""),217)</f>
        <v>217</v>
      </c>
      <c r="U74" s="1">
        <f ca="1">IFERROR(__xludf.DUMMYFUNCTION("""COMPUTED_VALUE"""),636)</f>
        <v>636</v>
      </c>
      <c r="V74" s="1">
        <f ca="1">IFERROR(__xludf.DUMMYFUNCTION("""COMPUTED_VALUE"""),0.341)</f>
        <v>0.34100000000000003</v>
      </c>
      <c r="W74" s="1">
        <f ca="1">IFERROR(__xludf.DUMMYFUNCTION("""COMPUTED_VALUE"""),338)</f>
        <v>338</v>
      </c>
      <c r="X74" s="1">
        <f ca="1">IFERROR(__xludf.DUMMYFUNCTION("""COMPUTED_VALUE"""),494)</f>
        <v>494</v>
      </c>
      <c r="Y74" s="1">
        <f ca="1">IFERROR(__xludf.DUMMYFUNCTION("""COMPUTED_VALUE"""),0.684)</f>
        <v>0.68400000000000005</v>
      </c>
      <c r="Z74" s="1">
        <f ca="1">IFERROR(__xludf.DUMMYFUNCTION("""COMPUTED_VALUE"""),256)</f>
        <v>256</v>
      </c>
      <c r="AA74" s="1">
        <f ca="1">IFERROR(__xludf.DUMMYFUNCTION("""COMPUTED_VALUE"""),832)</f>
        <v>832</v>
      </c>
      <c r="AB74" s="1">
        <f ca="1">IFERROR(__xludf.DUMMYFUNCTION("""COMPUTED_VALUE"""),379)</f>
        <v>379</v>
      </c>
      <c r="AC74" s="1">
        <f ca="1">IFERROR(__xludf.DUMMYFUNCTION("""COMPUTED_VALUE"""),218)</f>
        <v>218</v>
      </c>
      <c r="AD74" s="1">
        <f ca="1">IFERROR(__xludf.DUMMYFUNCTION("""COMPUTED_VALUE"""),85)</f>
        <v>85</v>
      </c>
      <c r="AE74" s="1">
        <f ca="1">IFERROR(__xludf.DUMMYFUNCTION("""COMPUTED_VALUE"""),377)</f>
        <v>377</v>
      </c>
      <c r="AF74" s="1">
        <f ca="1">IFERROR(__xludf.DUMMYFUNCTION("""COMPUTED_VALUE"""),558)</f>
        <v>558</v>
      </c>
    </row>
    <row r="75" spans="1:32" ht="12.5" x14ac:dyDescent="0.25">
      <c r="A75" s="1" t="str">
        <f ca="1">IFERROR(__xludf.DUMMYFUNCTION("""COMPUTED_VALUE"""),"CreightonNCAA")</f>
        <v>CreightonNCAA</v>
      </c>
      <c r="B75" s="1">
        <f ca="1">IFERROR(__xludf.DUMMYFUNCTION("""COMPUTED_VALUE"""),35)</f>
        <v>35</v>
      </c>
      <c r="C75" s="1">
        <f ca="1">IFERROR(__xludf.DUMMYFUNCTION("""COMPUTED_VALUE"""),29)</f>
        <v>29</v>
      </c>
      <c r="D75" s="1">
        <f ca="1">IFERROR(__xludf.DUMMYFUNCTION("""COMPUTED_VALUE"""),6)</f>
        <v>6</v>
      </c>
      <c r="E75" s="1">
        <f ca="1">IFERROR(__xludf.DUMMYFUNCTION("""COMPUTED_VALUE"""),0.829)</f>
        <v>0.82899999999999996</v>
      </c>
      <c r="F75" s="1">
        <f ca="1">IFERROR(__xludf.DUMMYFUNCTION("""COMPUTED_VALUE"""),12.92)</f>
        <v>12.92</v>
      </c>
      <c r="G75" s="1">
        <f ca="1">IFERROR(__xludf.DUMMYFUNCTION("""COMPUTED_VALUE"""),3.41)</f>
        <v>3.41</v>
      </c>
      <c r="H75" s="1">
        <f ca="1">IFERROR(__xludf.DUMMYFUNCTION("""COMPUTED_VALUE"""),14)</f>
        <v>14</v>
      </c>
      <c r="I75" s="1">
        <f ca="1">IFERROR(__xludf.DUMMYFUNCTION("""COMPUTED_VALUE"""),4)</f>
        <v>4</v>
      </c>
      <c r="J75" s="1">
        <f ca="1">IFERROR(__xludf.DUMMYFUNCTION("""COMPUTED_VALUE"""),14)</f>
        <v>14</v>
      </c>
      <c r="K75" s="1">
        <f ca="1">IFERROR(__xludf.DUMMYFUNCTION("""COMPUTED_VALUE"""),2)</f>
        <v>2</v>
      </c>
      <c r="L75" s="1">
        <f ca="1">IFERROR(__xludf.DUMMYFUNCTION("""COMPUTED_VALUE"""),10)</f>
        <v>10</v>
      </c>
      <c r="M75" s="1">
        <f ca="1">IFERROR(__xludf.DUMMYFUNCTION("""COMPUTED_VALUE"""),3)</f>
        <v>3</v>
      </c>
      <c r="N75" s="1">
        <f ca="1">IFERROR(__xludf.DUMMYFUNCTION("""COMPUTED_VALUE"""),2772)</f>
        <v>2772</v>
      </c>
      <c r="O75" s="1">
        <f ca="1">IFERROR(__xludf.DUMMYFUNCTION("""COMPUTED_VALUE"""),2439)</f>
        <v>2439</v>
      </c>
      <c r="P75" s="1">
        <f ca="1">IFERROR(__xludf.DUMMYFUNCTION("""COMPUTED_VALUE"""),1410)</f>
        <v>1410</v>
      </c>
      <c r="Q75" s="1">
        <f ca="1">IFERROR(__xludf.DUMMYFUNCTION("""COMPUTED_VALUE"""),975)</f>
        <v>975</v>
      </c>
      <c r="R75" s="1">
        <f ca="1">IFERROR(__xludf.DUMMYFUNCTION("""COMPUTED_VALUE"""),1935)</f>
        <v>1935</v>
      </c>
      <c r="S75" s="1">
        <f ca="1">IFERROR(__xludf.DUMMYFUNCTION("""COMPUTED_VALUE"""),0.504)</f>
        <v>0.504</v>
      </c>
      <c r="T75" s="1">
        <f ca="1">IFERROR(__xludf.DUMMYFUNCTION("""COMPUTED_VALUE"""),287)</f>
        <v>287</v>
      </c>
      <c r="U75" s="1">
        <f ca="1">IFERROR(__xludf.DUMMYFUNCTION("""COMPUTED_VALUE"""),677)</f>
        <v>677</v>
      </c>
      <c r="V75" s="1">
        <f ca="1">IFERROR(__xludf.DUMMYFUNCTION("""COMPUTED_VALUE"""),0.424)</f>
        <v>0.42399999999999999</v>
      </c>
      <c r="W75" s="1">
        <f ca="1">IFERROR(__xludf.DUMMYFUNCTION("""COMPUTED_VALUE"""),535)</f>
        <v>535</v>
      </c>
      <c r="X75" s="1">
        <f ca="1">IFERROR(__xludf.DUMMYFUNCTION("""COMPUTED_VALUE"""),737)</f>
        <v>737</v>
      </c>
      <c r="Y75" s="1">
        <f ca="1">IFERROR(__xludf.DUMMYFUNCTION("""COMPUTED_VALUE"""),0.726)</f>
        <v>0.72599999999999998</v>
      </c>
      <c r="Z75" s="1">
        <f ca="1">IFERROR(__xludf.DUMMYFUNCTION("""COMPUTED_VALUE"""),330)</f>
        <v>330</v>
      </c>
      <c r="AA75" s="1">
        <f ca="1">IFERROR(__xludf.DUMMYFUNCTION("""COMPUTED_VALUE"""),1163)</f>
        <v>1163</v>
      </c>
      <c r="AB75" s="1">
        <f ca="1">IFERROR(__xludf.DUMMYFUNCTION("""COMPUTED_VALUE"""),616)</f>
        <v>616</v>
      </c>
      <c r="AC75" s="1">
        <f ca="1">IFERROR(__xludf.DUMMYFUNCTION("""COMPUTED_VALUE"""),169)</f>
        <v>169</v>
      </c>
      <c r="AD75" s="1">
        <f ca="1">IFERROR(__xludf.DUMMYFUNCTION("""COMPUTED_VALUE"""),82)</f>
        <v>82</v>
      </c>
      <c r="AE75" s="1">
        <f ca="1">IFERROR(__xludf.DUMMYFUNCTION("""COMPUTED_VALUE"""),421)</f>
        <v>421</v>
      </c>
      <c r="AF75" s="1">
        <f ca="1">IFERROR(__xludf.DUMMYFUNCTION("""COMPUTED_VALUE"""),592)</f>
        <v>592</v>
      </c>
    </row>
    <row r="76" spans="1:32" ht="12.5" x14ac:dyDescent="0.25">
      <c r="A76" s="1" t="str">
        <f ca="1">IFERROR(__xludf.DUMMYFUNCTION("""COMPUTED_VALUE"""),"Dartmouth")</f>
        <v>Dartmouth</v>
      </c>
      <c r="B76" s="1">
        <f ca="1">IFERROR(__xludf.DUMMYFUNCTION("""COMPUTED_VALUE"""),30)</f>
        <v>30</v>
      </c>
      <c r="C76" s="1">
        <f ca="1">IFERROR(__xludf.DUMMYFUNCTION("""COMPUTED_VALUE"""),5)</f>
        <v>5</v>
      </c>
      <c r="D76" s="1">
        <f ca="1">IFERROR(__xludf.DUMMYFUNCTION("""COMPUTED_VALUE"""),25)</f>
        <v>25</v>
      </c>
      <c r="E76" s="1">
        <f ca="1">IFERROR(__xludf.DUMMYFUNCTION("""COMPUTED_VALUE"""),0.167)</f>
        <v>0.16700000000000001</v>
      </c>
      <c r="F76" s="1">
        <f ca="1">IFERROR(__xludf.DUMMYFUNCTION("""COMPUTED_VALUE"""),-10.07)</f>
        <v>-10.07</v>
      </c>
      <c r="G76" s="1">
        <f ca="1">IFERROR(__xludf.DUMMYFUNCTION("""COMPUTED_VALUE"""),-3.56)</f>
        <v>-3.56</v>
      </c>
      <c r="H76" s="1">
        <f ca="1">IFERROR(__xludf.DUMMYFUNCTION("""COMPUTED_VALUE"""),1)</f>
        <v>1</v>
      </c>
      <c r="I76" s="1">
        <f ca="1">IFERROR(__xludf.DUMMYFUNCTION("""COMPUTED_VALUE"""),13)</f>
        <v>13</v>
      </c>
      <c r="J76" s="1">
        <f ca="1">IFERROR(__xludf.DUMMYFUNCTION("""COMPUTED_VALUE"""),4)</f>
        <v>4</v>
      </c>
      <c r="K76" s="1">
        <f ca="1">IFERROR(__xludf.DUMMYFUNCTION("""COMPUTED_VALUE"""),9)</f>
        <v>9</v>
      </c>
      <c r="L76" s="1">
        <f ca="1">IFERROR(__xludf.DUMMYFUNCTION("""COMPUTED_VALUE"""),1)</f>
        <v>1</v>
      </c>
      <c r="M76" s="1">
        <f ca="1">IFERROR(__xludf.DUMMYFUNCTION("""COMPUTED_VALUE"""),14)</f>
        <v>14</v>
      </c>
      <c r="N76" s="1">
        <f ca="1">IFERROR(__xludf.DUMMYFUNCTION("""COMPUTED_VALUE"""),1727)</f>
        <v>1727</v>
      </c>
      <c r="O76" s="1">
        <f ca="1">IFERROR(__xludf.DUMMYFUNCTION("""COMPUTED_VALUE"""),1904)</f>
        <v>1904</v>
      </c>
      <c r="P76" s="1">
        <f ca="1">IFERROR(__xludf.DUMMYFUNCTION("""COMPUTED_VALUE"""),1205)</f>
        <v>1205</v>
      </c>
      <c r="Q76" s="1">
        <f ca="1">IFERROR(__xludf.DUMMYFUNCTION("""COMPUTED_VALUE"""),592)</f>
        <v>592</v>
      </c>
      <c r="R76" s="1">
        <f ca="1">IFERROR(__xludf.DUMMYFUNCTION("""COMPUTED_VALUE"""),1504)</f>
        <v>1504</v>
      </c>
      <c r="S76" s="1">
        <f ca="1">IFERROR(__xludf.DUMMYFUNCTION("""COMPUTED_VALUE"""),0.394)</f>
        <v>0.39400000000000002</v>
      </c>
      <c r="T76" s="1">
        <f ca="1">IFERROR(__xludf.DUMMYFUNCTION("""COMPUTED_VALUE"""),154)</f>
        <v>154</v>
      </c>
      <c r="U76" s="1">
        <f ca="1">IFERROR(__xludf.DUMMYFUNCTION("""COMPUTED_VALUE"""),463)</f>
        <v>463</v>
      </c>
      <c r="V76" s="1">
        <f ca="1">IFERROR(__xludf.DUMMYFUNCTION("""COMPUTED_VALUE"""),0.333)</f>
        <v>0.33300000000000002</v>
      </c>
      <c r="W76" s="1">
        <f ca="1">IFERROR(__xludf.DUMMYFUNCTION("""COMPUTED_VALUE"""),389)</f>
        <v>389</v>
      </c>
      <c r="X76" s="1">
        <f ca="1">IFERROR(__xludf.DUMMYFUNCTION("""COMPUTED_VALUE"""),552)</f>
        <v>552</v>
      </c>
      <c r="Y76" s="1">
        <f ca="1">IFERROR(__xludf.DUMMYFUNCTION("""COMPUTED_VALUE"""),0.705)</f>
        <v>0.70499999999999996</v>
      </c>
      <c r="Z76" s="1">
        <f ca="1">IFERROR(__xludf.DUMMYFUNCTION("""COMPUTED_VALUE"""),272)</f>
        <v>272</v>
      </c>
      <c r="AA76" s="1">
        <f ca="1">IFERROR(__xludf.DUMMYFUNCTION("""COMPUTED_VALUE"""),908)</f>
        <v>908</v>
      </c>
      <c r="AB76" s="1">
        <f ca="1">IFERROR(__xludf.DUMMYFUNCTION("""COMPUTED_VALUE"""),291)</f>
        <v>291</v>
      </c>
      <c r="AC76" s="1">
        <f ca="1">IFERROR(__xludf.DUMMYFUNCTION("""COMPUTED_VALUE"""),163)</f>
        <v>163</v>
      </c>
      <c r="AD76" s="1">
        <f ca="1">IFERROR(__xludf.DUMMYFUNCTION("""COMPUTED_VALUE"""),73)</f>
        <v>73</v>
      </c>
      <c r="AE76" s="1">
        <f ca="1">IFERROR(__xludf.DUMMYFUNCTION("""COMPUTED_VALUE"""),418)</f>
        <v>418</v>
      </c>
      <c r="AF76" s="1">
        <f ca="1">IFERROR(__xludf.DUMMYFUNCTION("""COMPUTED_VALUE"""),557)</f>
        <v>557</v>
      </c>
    </row>
    <row r="77" spans="1:32" ht="12.5" x14ac:dyDescent="0.25">
      <c r="A77" s="1" t="str">
        <f ca="1">IFERROR(__xludf.DUMMYFUNCTION("""COMPUTED_VALUE"""),"DavidsonNCAA")</f>
        <v>DavidsonNCAA</v>
      </c>
      <c r="B77" s="1">
        <f ca="1">IFERROR(__xludf.DUMMYFUNCTION("""COMPUTED_VALUE"""),33)</f>
        <v>33</v>
      </c>
      <c r="C77" s="1">
        <f ca="1">IFERROR(__xludf.DUMMYFUNCTION("""COMPUTED_VALUE"""),25)</f>
        <v>25</v>
      </c>
      <c r="D77" s="1">
        <f ca="1">IFERROR(__xludf.DUMMYFUNCTION("""COMPUTED_VALUE"""),8)</f>
        <v>8</v>
      </c>
      <c r="E77" s="1">
        <f ca="1">IFERROR(__xludf.DUMMYFUNCTION("""COMPUTED_VALUE"""),0.758)</f>
        <v>0.75800000000000001</v>
      </c>
      <c r="F77" s="1">
        <f ca="1">IFERROR(__xludf.DUMMYFUNCTION("""COMPUTED_VALUE"""),7.26)</f>
        <v>7.26</v>
      </c>
      <c r="G77" s="1">
        <f ca="1">IFERROR(__xludf.DUMMYFUNCTION("""COMPUTED_VALUE"""),-1.68)</f>
        <v>-1.68</v>
      </c>
      <c r="H77" s="1">
        <f ca="1">IFERROR(__xludf.DUMMYFUNCTION("""COMPUTED_VALUE"""),16)</f>
        <v>16</v>
      </c>
      <c r="I77" s="1">
        <f ca="1">IFERROR(__xludf.DUMMYFUNCTION("""COMPUTED_VALUE"""),2)</f>
        <v>2</v>
      </c>
      <c r="J77" s="1">
        <f ca="1">IFERROR(__xludf.DUMMYFUNCTION("""COMPUTED_VALUE"""),13)</f>
        <v>13</v>
      </c>
      <c r="K77" s="1">
        <f ca="1">IFERROR(__xludf.DUMMYFUNCTION("""COMPUTED_VALUE"""),2)</f>
        <v>2</v>
      </c>
      <c r="L77" s="1">
        <f ca="1">IFERROR(__xludf.DUMMYFUNCTION("""COMPUTED_VALUE"""),8)</f>
        <v>8</v>
      </c>
      <c r="M77" s="1">
        <f ca="1">IFERROR(__xludf.DUMMYFUNCTION("""COMPUTED_VALUE"""),5)</f>
        <v>5</v>
      </c>
      <c r="N77" s="1">
        <f ca="1">IFERROR(__xludf.DUMMYFUNCTION("""COMPUTED_VALUE"""),2571)</f>
        <v>2571</v>
      </c>
      <c r="O77" s="1">
        <f ca="1">IFERROR(__xludf.DUMMYFUNCTION("""COMPUTED_VALUE"""),2238)</f>
        <v>2238</v>
      </c>
      <c r="P77" s="1">
        <f ca="1">IFERROR(__xludf.DUMMYFUNCTION("""COMPUTED_VALUE"""),1330)</f>
        <v>1330</v>
      </c>
      <c r="Q77" s="1">
        <f ca="1">IFERROR(__xludf.DUMMYFUNCTION("""COMPUTED_VALUE"""),879)</f>
        <v>879</v>
      </c>
      <c r="R77" s="1">
        <f ca="1">IFERROR(__xludf.DUMMYFUNCTION("""COMPUTED_VALUE"""),1969)</f>
        <v>1969</v>
      </c>
      <c r="S77" s="1">
        <f ca="1">IFERROR(__xludf.DUMMYFUNCTION("""COMPUTED_VALUE"""),0.446)</f>
        <v>0.44600000000000001</v>
      </c>
      <c r="T77" s="1">
        <f ca="1">IFERROR(__xludf.DUMMYFUNCTION("""COMPUTED_VALUE"""),255)</f>
        <v>255</v>
      </c>
      <c r="U77" s="1">
        <f ca="1">IFERROR(__xludf.DUMMYFUNCTION("""COMPUTED_VALUE"""),760)</f>
        <v>760</v>
      </c>
      <c r="V77" s="1">
        <f ca="1">IFERROR(__xludf.DUMMYFUNCTION("""COMPUTED_VALUE"""),0.336)</f>
        <v>0.33600000000000002</v>
      </c>
      <c r="W77" s="1">
        <f ca="1">IFERROR(__xludf.DUMMYFUNCTION("""COMPUTED_VALUE"""),558)</f>
        <v>558</v>
      </c>
      <c r="X77" s="1">
        <f ca="1">IFERROR(__xludf.DUMMYFUNCTION("""COMPUTED_VALUE"""),731)</f>
        <v>731</v>
      </c>
      <c r="Y77" s="1">
        <f ca="1">IFERROR(__xludf.DUMMYFUNCTION("""COMPUTED_VALUE"""),0.763)</f>
        <v>0.76300000000000001</v>
      </c>
      <c r="Z77" s="1">
        <f ca="1">IFERROR(__xludf.DUMMYFUNCTION("""COMPUTED_VALUE"""),415)</f>
        <v>415</v>
      </c>
      <c r="AA77" s="1">
        <f ca="1">IFERROR(__xludf.DUMMYFUNCTION("""COMPUTED_VALUE"""),1167)</f>
        <v>1167</v>
      </c>
      <c r="AB77" s="1">
        <f ca="1">IFERROR(__xludf.DUMMYFUNCTION("""COMPUTED_VALUE"""),455)</f>
        <v>455</v>
      </c>
      <c r="AC77" s="1">
        <f ca="1">IFERROR(__xludf.DUMMYFUNCTION("""COMPUTED_VALUE"""),184)</f>
        <v>184</v>
      </c>
      <c r="AD77" s="1">
        <f ca="1">IFERROR(__xludf.DUMMYFUNCTION("""COMPUTED_VALUE"""),116)</f>
        <v>116</v>
      </c>
      <c r="AE77" s="1">
        <f ca="1">IFERROR(__xludf.DUMMYFUNCTION("""COMPUTED_VALUE"""),388)</f>
        <v>388</v>
      </c>
      <c r="AF77" s="1">
        <f ca="1">IFERROR(__xludf.DUMMYFUNCTION("""COMPUTED_VALUE"""),673)</f>
        <v>673</v>
      </c>
    </row>
    <row r="78" spans="1:32" ht="12.5" x14ac:dyDescent="0.25">
      <c r="A78" s="1" t="str">
        <f ca="1">IFERROR(__xludf.DUMMYFUNCTION("""COMPUTED_VALUE"""),"Dayton")</f>
        <v>Dayton</v>
      </c>
      <c r="B78" s="1">
        <f ca="1">IFERROR(__xludf.DUMMYFUNCTION("""COMPUTED_VALUE"""),33)</f>
        <v>33</v>
      </c>
      <c r="C78" s="1">
        <f ca="1">IFERROR(__xludf.DUMMYFUNCTION("""COMPUTED_VALUE"""),20)</f>
        <v>20</v>
      </c>
      <c r="D78" s="1">
        <f ca="1">IFERROR(__xludf.DUMMYFUNCTION("""COMPUTED_VALUE"""),13)</f>
        <v>13</v>
      </c>
      <c r="E78" s="1">
        <f ca="1">IFERROR(__xludf.DUMMYFUNCTION("""COMPUTED_VALUE"""),0.606)</f>
        <v>0.60599999999999998</v>
      </c>
      <c r="F78" s="1">
        <f ca="1">IFERROR(__xludf.DUMMYFUNCTION("""COMPUTED_VALUE"""),8.48)</f>
        <v>8.48</v>
      </c>
      <c r="G78" s="1">
        <f ca="1">IFERROR(__xludf.DUMMYFUNCTION("""COMPUTED_VALUE"""),4.3)</f>
        <v>4.3</v>
      </c>
      <c r="H78" s="1">
        <f ca="1">IFERROR(__xludf.DUMMYFUNCTION("""COMPUTED_VALUE"""),9)</f>
        <v>9</v>
      </c>
      <c r="I78" s="1">
        <f ca="1">IFERROR(__xludf.DUMMYFUNCTION("""COMPUTED_VALUE"""),7)</f>
        <v>7</v>
      </c>
      <c r="J78" s="1">
        <f ca="1">IFERROR(__xludf.DUMMYFUNCTION("""COMPUTED_VALUE"""),14)</f>
        <v>14</v>
      </c>
      <c r="K78" s="1">
        <f ca="1">IFERROR(__xludf.DUMMYFUNCTION("""COMPUTED_VALUE"""),4)</f>
        <v>4</v>
      </c>
      <c r="L78" s="1">
        <f ca="1">IFERROR(__xludf.DUMMYFUNCTION("""COMPUTED_VALUE"""),3)</f>
        <v>3</v>
      </c>
      <c r="M78" s="1">
        <f ca="1">IFERROR(__xludf.DUMMYFUNCTION("""COMPUTED_VALUE"""),8)</f>
        <v>8</v>
      </c>
      <c r="N78" s="1">
        <f ca="1">IFERROR(__xludf.DUMMYFUNCTION("""COMPUTED_VALUE"""),2369)</f>
        <v>2369</v>
      </c>
      <c r="O78" s="1">
        <f ca="1">IFERROR(__xludf.DUMMYFUNCTION("""COMPUTED_VALUE"""),2231)</f>
        <v>2231</v>
      </c>
      <c r="P78" s="1">
        <f ca="1">IFERROR(__xludf.DUMMYFUNCTION("""COMPUTED_VALUE"""),1340)</f>
        <v>1340</v>
      </c>
      <c r="Q78" s="1">
        <f ca="1">IFERROR(__xludf.DUMMYFUNCTION("""COMPUTED_VALUE"""),814)</f>
        <v>814</v>
      </c>
      <c r="R78" s="1">
        <f ca="1">IFERROR(__xludf.DUMMYFUNCTION("""COMPUTED_VALUE"""),1860)</f>
        <v>1860</v>
      </c>
      <c r="S78" s="1">
        <f ca="1">IFERROR(__xludf.DUMMYFUNCTION("""COMPUTED_VALUE"""),0.438)</f>
        <v>0.438</v>
      </c>
      <c r="T78" s="1">
        <f ca="1">IFERROR(__xludf.DUMMYFUNCTION("""COMPUTED_VALUE"""),257)</f>
        <v>257</v>
      </c>
      <c r="U78" s="1">
        <f ca="1">IFERROR(__xludf.DUMMYFUNCTION("""COMPUTED_VALUE"""),750)</f>
        <v>750</v>
      </c>
      <c r="V78" s="1">
        <f ca="1">IFERROR(__xludf.DUMMYFUNCTION("""COMPUTED_VALUE"""),0.343)</f>
        <v>0.34300000000000003</v>
      </c>
      <c r="W78" s="1">
        <f ca="1">IFERROR(__xludf.DUMMYFUNCTION("""COMPUTED_VALUE"""),484)</f>
        <v>484</v>
      </c>
      <c r="X78" s="1">
        <f ca="1">IFERROR(__xludf.DUMMYFUNCTION("""COMPUTED_VALUE"""),623)</f>
        <v>623</v>
      </c>
      <c r="Y78" s="1">
        <f ca="1">IFERROR(__xludf.DUMMYFUNCTION("""COMPUTED_VALUE"""),0.777)</f>
        <v>0.77700000000000002</v>
      </c>
      <c r="Z78" s="1">
        <f ca="1">IFERROR(__xludf.DUMMYFUNCTION("""COMPUTED_VALUE"""),407)</f>
        <v>407</v>
      </c>
      <c r="AA78" s="1">
        <f ca="1">IFERROR(__xludf.DUMMYFUNCTION("""COMPUTED_VALUE"""),1083)</f>
        <v>1083</v>
      </c>
      <c r="AB78" s="1">
        <f ca="1">IFERROR(__xludf.DUMMYFUNCTION("""COMPUTED_VALUE"""),472)</f>
        <v>472</v>
      </c>
      <c r="AC78" s="1">
        <f ca="1">IFERROR(__xludf.DUMMYFUNCTION("""COMPUTED_VALUE"""),174)</f>
        <v>174</v>
      </c>
      <c r="AD78" s="1">
        <f ca="1">IFERROR(__xludf.DUMMYFUNCTION("""COMPUTED_VALUE"""),89)</f>
        <v>89</v>
      </c>
      <c r="AE78" s="1">
        <f ca="1">IFERROR(__xludf.DUMMYFUNCTION("""COMPUTED_VALUE"""),430)</f>
        <v>430</v>
      </c>
      <c r="AF78" s="1">
        <f ca="1">IFERROR(__xludf.DUMMYFUNCTION("""COMPUTED_VALUE"""),617)</f>
        <v>617</v>
      </c>
    </row>
    <row r="79" spans="1:32" ht="12.5" x14ac:dyDescent="0.25">
      <c r="A79" s="1" t="str">
        <f ca="1">IFERROR(__xludf.DUMMYFUNCTION("""COMPUTED_VALUE"""),"Delaware State")</f>
        <v>Delaware State</v>
      </c>
      <c r="B79" s="1">
        <f ca="1">IFERROR(__xludf.DUMMYFUNCTION("""COMPUTED_VALUE"""),29)</f>
        <v>29</v>
      </c>
      <c r="C79" s="1">
        <f ca="1">IFERROR(__xludf.DUMMYFUNCTION("""COMPUTED_VALUE"""),15)</f>
        <v>15</v>
      </c>
      <c r="D79" s="1">
        <f ca="1">IFERROR(__xludf.DUMMYFUNCTION("""COMPUTED_VALUE"""),14)</f>
        <v>14</v>
      </c>
      <c r="E79" s="1">
        <f ca="1">IFERROR(__xludf.DUMMYFUNCTION("""COMPUTED_VALUE"""),0.517)</f>
        <v>0.51700000000000002</v>
      </c>
      <c r="F79" s="1">
        <f ca="1">IFERROR(__xludf.DUMMYFUNCTION("""COMPUTED_VALUE"""),-8.07)</f>
        <v>-8.07</v>
      </c>
      <c r="G79" s="1">
        <f ca="1">IFERROR(__xludf.DUMMYFUNCTION("""COMPUTED_VALUE"""),-6.78)</f>
        <v>-6.78</v>
      </c>
      <c r="H79" s="1">
        <f ca="1">IFERROR(__xludf.DUMMYFUNCTION("""COMPUTED_VALUE"""),12)</f>
        <v>12</v>
      </c>
      <c r="I79" s="1">
        <f ca="1">IFERROR(__xludf.DUMMYFUNCTION("""COMPUTED_VALUE"""),4)</f>
        <v>4</v>
      </c>
      <c r="J79" s="1">
        <f ca="1">IFERROR(__xludf.DUMMYFUNCTION("""COMPUTED_VALUE"""),8)</f>
        <v>8</v>
      </c>
      <c r="K79" s="1">
        <f ca="1">IFERROR(__xludf.DUMMYFUNCTION("""COMPUTED_VALUE"""),5)</f>
        <v>5</v>
      </c>
      <c r="L79" s="1">
        <f ca="1">IFERROR(__xludf.DUMMYFUNCTION("""COMPUTED_VALUE"""),7)</f>
        <v>7</v>
      </c>
      <c r="M79" s="1">
        <f ca="1">IFERROR(__xludf.DUMMYFUNCTION("""COMPUTED_VALUE"""),8)</f>
        <v>8</v>
      </c>
      <c r="N79" s="1">
        <f ca="1">IFERROR(__xludf.DUMMYFUNCTION("""COMPUTED_VALUE"""),1917)</f>
        <v>1917</v>
      </c>
      <c r="O79" s="1">
        <f ca="1">IFERROR(__xludf.DUMMYFUNCTION("""COMPUTED_VALUE"""),1868)</f>
        <v>1868</v>
      </c>
      <c r="P79" s="1">
        <f ca="1">IFERROR(__xludf.DUMMYFUNCTION("""COMPUTED_VALUE"""),1185)</f>
        <v>1185</v>
      </c>
      <c r="Q79" s="1">
        <f ca="1">IFERROR(__xludf.DUMMYFUNCTION("""COMPUTED_VALUE"""),694)</f>
        <v>694</v>
      </c>
      <c r="R79" s="1">
        <f ca="1">IFERROR(__xludf.DUMMYFUNCTION("""COMPUTED_VALUE"""),1596)</f>
        <v>1596</v>
      </c>
      <c r="S79" s="1">
        <f ca="1">IFERROR(__xludf.DUMMYFUNCTION("""COMPUTED_VALUE"""),0.435)</f>
        <v>0.435</v>
      </c>
      <c r="T79" s="1">
        <f ca="1">IFERROR(__xludf.DUMMYFUNCTION("""COMPUTED_VALUE"""),180)</f>
        <v>180</v>
      </c>
      <c r="U79" s="1">
        <f ca="1">IFERROR(__xludf.DUMMYFUNCTION("""COMPUTED_VALUE"""),515)</f>
        <v>515</v>
      </c>
      <c r="V79" s="1">
        <f ca="1">IFERROR(__xludf.DUMMYFUNCTION("""COMPUTED_VALUE"""),0.35)</f>
        <v>0.35</v>
      </c>
      <c r="W79" s="1">
        <f ca="1">IFERROR(__xludf.DUMMYFUNCTION("""COMPUTED_VALUE"""),349)</f>
        <v>349</v>
      </c>
      <c r="X79" s="1">
        <f ca="1">IFERROR(__xludf.DUMMYFUNCTION("""COMPUTED_VALUE"""),498)</f>
        <v>498</v>
      </c>
      <c r="Y79" s="1">
        <f ca="1">IFERROR(__xludf.DUMMYFUNCTION("""COMPUTED_VALUE"""),0.701)</f>
        <v>0.70099999999999996</v>
      </c>
      <c r="Z79" s="1">
        <f ca="1">IFERROR(__xludf.DUMMYFUNCTION("""COMPUTED_VALUE"""),298)</f>
        <v>298</v>
      </c>
      <c r="AA79" s="1">
        <f ca="1">IFERROR(__xludf.DUMMYFUNCTION("""COMPUTED_VALUE"""),778)</f>
        <v>778</v>
      </c>
      <c r="AB79" s="1">
        <f ca="1">IFERROR(__xludf.DUMMYFUNCTION("""COMPUTED_VALUE"""),342)</f>
        <v>342</v>
      </c>
      <c r="AC79" s="1">
        <f ca="1">IFERROR(__xludf.DUMMYFUNCTION("""COMPUTED_VALUE"""),228)</f>
        <v>228</v>
      </c>
      <c r="AD79" s="1">
        <f ca="1">IFERROR(__xludf.DUMMYFUNCTION("""COMPUTED_VALUE"""),192)</f>
        <v>192</v>
      </c>
      <c r="AE79" s="1">
        <f ca="1">IFERROR(__xludf.DUMMYFUNCTION("""COMPUTED_VALUE"""),299)</f>
        <v>299</v>
      </c>
      <c r="AF79" s="1">
        <f ca="1">IFERROR(__xludf.DUMMYFUNCTION("""COMPUTED_VALUE"""),472)</f>
        <v>472</v>
      </c>
    </row>
    <row r="80" spans="1:32" ht="12.5" x14ac:dyDescent="0.25">
      <c r="A80" s="1" t="str">
        <f ca="1">IFERROR(__xludf.DUMMYFUNCTION("""COMPUTED_VALUE"""),"Delaware")</f>
        <v>Delaware</v>
      </c>
      <c r="B80" s="1">
        <f ca="1">IFERROR(__xludf.DUMMYFUNCTION("""COMPUTED_VALUE"""),32)</f>
        <v>32</v>
      </c>
      <c r="C80" s="1">
        <f ca="1">IFERROR(__xludf.DUMMYFUNCTION("""COMPUTED_VALUE"""),18)</f>
        <v>18</v>
      </c>
      <c r="D80" s="1">
        <f ca="1">IFERROR(__xludf.DUMMYFUNCTION("""COMPUTED_VALUE"""),14)</f>
        <v>14</v>
      </c>
      <c r="E80" s="1">
        <f ca="1">IFERROR(__xludf.DUMMYFUNCTION("""COMPUTED_VALUE"""),0.563)</f>
        <v>0.56299999999999994</v>
      </c>
      <c r="F80" s="1">
        <f ca="1">IFERROR(__xludf.DUMMYFUNCTION("""COMPUTED_VALUE"""),-1.61)</f>
        <v>-1.61</v>
      </c>
      <c r="G80" s="1">
        <f ca="1">IFERROR(__xludf.DUMMYFUNCTION("""COMPUTED_VALUE"""),-2.18)</f>
        <v>-2.1800000000000002</v>
      </c>
      <c r="H80" s="1">
        <f ca="1">IFERROR(__xludf.DUMMYFUNCTION("""COMPUTED_VALUE"""),12)</f>
        <v>12</v>
      </c>
      <c r="I80" s="1">
        <f ca="1">IFERROR(__xludf.DUMMYFUNCTION("""COMPUTED_VALUE"""),6)</f>
        <v>6</v>
      </c>
      <c r="J80" s="1">
        <f ca="1">IFERROR(__xludf.DUMMYFUNCTION("""COMPUTED_VALUE"""),11)</f>
        <v>11</v>
      </c>
      <c r="K80" s="1">
        <f ca="1">IFERROR(__xludf.DUMMYFUNCTION("""COMPUTED_VALUE"""),3)</f>
        <v>3</v>
      </c>
      <c r="L80" s="1">
        <f ca="1">IFERROR(__xludf.DUMMYFUNCTION("""COMPUTED_VALUE"""),6)</f>
        <v>6</v>
      </c>
      <c r="M80" s="1">
        <f ca="1">IFERROR(__xludf.DUMMYFUNCTION("""COMPUTED_VALUE"""),10)</f>
        <v>10</v>
      </c>
      <c r="N80" s="1">
        <f ca="1">IFERROR(__xludf.DUMMYFUNCTION("""COMPUTED_VALUE"""),2206)</f>
        <v>2206</v>
      </c>
      <c r="O80" s="1">
        <f ca="1">IFERROR(__xludf.DUMMYFUNCTION("""COMPUTED_VALUE"""),2188)</f>
        <v>2188</v>
      </c>
      <c r="P80" s="1">
        <f ca="1">IFERROR(__xludf.DUMMYFUNCTION("""COMPUTED_VALUE"""),1305)</f>
        <v>1305</v>
      </c>
      <c r="Q80" s="1">
        <f ca="1">IFERROR(__xludf.DUMMYFUNCTION("""COMPUTED_VALUE"""),746)</f>
        <v>746</v>
      </c>
      <c r="R80" s="1">
        <f ca="1">IFERROR(__xludf.DUMMYFUNCTION("""COMPUTED_VALUE"""),1750)</f>
        <v>1750</v>
      </c>
      <c r="S80" s="1">
        <f ca="1">IFERROR(__xludf.DUMMYFUNCTION("""COMPUTED_VALUE"""),0.426)</f>
        <v>0.42599999999999999</v>
      </c>
      <c r="T80" s="1">
        <f ca="1">IFERROR(__xludf.DUMMYFUNCTION("""COMPUTED_VALUE"""),169)</f>
        <v>169</v>
      </c>
      <c r="U80" s="1">
        <f ca="1">IFERROR(__xludf.DUMMYFUNCTION("""COMPUTED_VALUE"""),543)</f>
        <v>543</v>
      </c>
      <c r="V80" s="1">
        <f ca="1">IFERROR(__xludf.DUMMYFUNCTION("""COMPUTED_VALUE"""),0.311)</f>
        <v>0.311</v>
      </c>
      <c r="W80" s="1">
        <f ca="1">IFERROR(__xludf.DUMMYFUNCTION("""COMPUTED_VALUE"""),545)</f>
        <v>545</v>
      </c>
      <c r="X80" s="1">
        <f ca="1">IFERROR(__xludf.DUMMYFUNCTION("""COMPUTED_VALUE"""),760)</f>
        <v>760</v>
      </c>
      <c r="Y80" s="1">
        <f ca="1">IFERROR(__xludf.DUMMYFUNCTION("""COMPUTED_VALUE"""),0.717)</f>
        <v>0.71699999999999997</v>
      </c>
      <c r="Z80" s="1">
        <f ca="1">IFERROR(__xludf.DUMMYFUNCTION("""COMPUTED_VALUE"""),326)</f>
        <v>326</v>
      </c>
      <c r="AA80" s="1">
        <f ca="1">IFERROR(__xludf.DUMMYFUNCTION("""COMPUTED_VALUE"""),1080)</f>
        <v>1080</v>
      </c>
      <c r="AB80" s="1">
        <f ca="1">IFERROR(__xludf.DUMMYFUNCTION("""COMPUTED_VALUE"""),302)</f>
        <v>302</v>
      </c>
      <c r="AC80" s="1">
        <f ca="1">IFERROR(__xludf.DUMMYFUNCTION("""COMPUTED_VALUE"""),150)</f>
        <v>150</v>
      </c>
      <c r="AD80" s="1">
        <f ca="1">IFERROR(__xludf.DUMMYFUNCTION("""COMPUTED_VALUE"""),160)</f>
        <v>160</v>
      </c>
      <c r="AE80" s="1">
        <f ca="1">IFERROR(__xludf.DUMMYFUNCTION("""COMPUTED_VALUE"""),412)</f>
        <v>412</v>
      </c>
      <c r="AF80" s="1">
        <f ca="1">IFERROR(__xludf.DUMMYFUNCTION("""COMPUTED_VALUE"""),571)</f>
        <v>571</v>
      </c>
    </row>
    <row r="81" spans="1:32" ht="12.5" x14ac:dyDescent="0.25">
      <c r="A81" s="1" t="str">
        <f ca="1">IFERROR(__xludf.DUMMYFUNCTION("""COMPUTED_VALUE"""),"Denver")</f>
        <v>Denver</v>
      </c>
      <c r="B81" s="1">
        <f ca="1">IFERROR(__xludf.DUMMYFUNCTION("""COMPUTED_VALUE"""),31)</f>
        <v>31</v>
      </c>
      <c r="C81" s="1">
        <f ca="1">IFERROR(__xludf.DUMMYFUNCTION("""COMPUTED_VALUE"""),22)</f>
        <v>22</v>
      </c>
      <c r="D81" s="1">
        <f ca="1">IFERROR(__xludf.DUMMYFUNCTION("""COMPUTED_VALUE"""),9)</f>
        <v>9</v>
      </c>
      <c r="E81" s="1">
        <f ca="1">IFERROR(__xludf.DUMMYFUNCTION("""COMPUTED_VALUE"""),0.71)</f>
        <v>0.71</v>
      </c>
      <c r="F81" s="1">
        <f ca="1">IFERROR(__xludf.DUMMYFUNCTION("""COMPUTED_VALUE"""),6.14)</f>
        <v>6.14</v>
      </c>
      <c r="G81" s="1">
        <f ca="1">IFERROR(__xludf.DUMMYFUNCTION("""COMPUTED_VALUE"""),-1.47)</f>
        <v>-1.47</v>
      </c>
      <c r="H81" s="1">
        <f ca="1">IFERROR(__xludf.DUMMYFUNCTION("""COMPUTED_VALUE"""),11)</f>
        <v>11</v>
      </c>
      <c r="I81" s="1">
        <f ca="1">IFERROR(__xludf.DUMMYFUNCTION("""COMPUTED_VALUE"""),5)</f>
        <v>5</v>
      </c>
      <c r="J81" s="1">
        <f ca="1">IFERROR(__xludf.DUMMYFUNCTION("""COMPUTED_VALUE"""),14)</f>
        <v>14</v>
      </c>
      <c r="K81" s="1">
        <f ca="1">IFERROR(__xludf.DUMMYFUNCTION("""COMPUTED_VALUE"""),2)</f>
        <v>2</v>
      </c>
      <c r="L81" s="1">
        <f ca="1">IFERROR(__xludf.DUMMYFUNCTION("""COMPUTED_VALUE"""),7)</f>
        <v>7</v>
      </c>
      <c r="M81" s="1">
        <f ca="1">IFERROR(__xludf.DUMMYFUNCTION("""COMPUTED_VALUE"""),6)</f>
        <v>6</v>
      </c>
      <c r="N81" s="1">
        <f ca="1">IFERROR(__xludf.DUMMYFUNCTION("""COMPUTED_VALUE"""),2112)</f>
        <v>2112</v>
      </c>
      <c r="O81" s="1">
        <f ca="1">IFERROR(__xludf.DUMMYFUNCTION("""COMPUTED_VALUE"""),1876)</f>
        <v>1876</v>
      </c>
      <c r="P81" s="1">
        <f ca="1">IFERROR(__xludf.DUMMYFUNCTION("""COMPUTED_VALUE"""),1255)</f>
        <v>1255</v>
      </c>
      <c r="Q81" s="1">
        <f ca="1">IFERROR(__xludf.DUMMYFUNCTION("""COMPUTED_VALUE"""),728)</f>
        <v>728</v>
      </c>
      <c r="R81" s="1">
        <f ca="1">IFERROR(__xludf.DUMMYFUNCTION("""COMPUTED_VALUE"""),1494)</f>
        <v>1494</v>
      </c>
      <c r="S81" s="1">
        <f ca="1">IFERROR(__xludf.DUMMYFUNCTION("""COMPUTED_VALUE"""),0.487)</f>
        <v>0.48699999999999999</v>
      </c>
      <c r="T81" s="1">
        <f ca="1">IFERROR(__xludf.DUMMYFUNCTION("""COMPUTED_VALUE"""),255)</f>
        <v>255</v>
      </c>
      <c r="U81" s="1">
        <f ca="1">IFERROR(__xludf.DUMMYFUNCTION("""COMPUTED_VALUE"""),641)</f>
        <v>641</v>
      </c>
      <c r="V81" s="1">
        <f ca="1">IFERROR(__xludf.DUMMYFUNCTION("""COMPUTED_VALUE"""),0.398)</f>
        <v>0.39800000000000002</v>
      </c>
      <c r="W81" s="1">
        <f ca="1">IFERROR(__xludf.DUMMYFUNCTION("""COMPUTED_VALUE"""),401)</f>
        <v>401</v>
      </c>
      <c r="X81" s="1">
        <f ca="1">IFERROR(__xludf.DUMMYFUNCTION("""COMPUTED_VALUE"""),526)</f>
        <v>526</v>
      </c>
      <c r="Y81" s="1">
        <f ca="1">IFERROR(__xludf.DUMMYFUNCTION("""COMPUTED_VALUE"""),0.762)</f>
        <v>0.76200000000000001</v>
      </c>
      <c r="Z81" s="1">
        <f ca="1">IFERROR(__xludf.DUMMYFUNCTION("""COMPUTED_VALUE"""),197)</f>
        <v>197</v>
      </c>
      <c r="AA81" s="1">
        <f ca="1">IFERROR(__xludf.DUMMYFUNCTION("""COMPUTED_VALUE"""),745)</f>
        <v>745</v>
      </c>
      <c r="AB81" s="1">
        <f ca="1">IFERROR(__xludf.DUMMYFUNCTION("""COMPUTED_VALUE"""),484)</f>
        <v>484</v>
      </c>
      <c r="AC81" s="1">
        <f ca="1">IFERROR(__xludf.DUMMYFUNCTION("""COMPUTED_VALUE"""),223)</f>
        <v>223</v>
      </c>
      <c r="AD81" s="1">
        <f ca="1">IFERROR(__xludf.DUMMYFUNCTION("""COMPUTED_VALUE"""),137)</f>
        <v>137</v>
      </c>
      <c r="AE81" s="1">
        <f ca="1">IFERROR(__xludf.DUMMYFUNCTION("""COMPUTED_VALUE"""),375)</f>
        <v>375</v>
      </c>
      <c r="AF81" s="1">
        <f ca="1">IFERROR(__xludf.DUMMYFUNCTION("""COMPUTED_VALUE"""),564)</f>
        <v>564</v>
      </c>
    </row>
    <row r="82" spans="1:32" ht="12.5" x14ac:dyDescent="0.25">
      <c r="A82" s="1" t="str">
        <f ca="1">IFERROR(__xludf.DUMMYFUNCTION("""COMPUTED_VALUE"""),"DePaul")</f>
        <v>DePaul</v>
      </c>
      <c r="B82" s="1">
        <f ca="1">IFERROR(__xludf.DUMMYFUNCTION("""COMPUTED_VALUE"""),31)</f>
        <v>31</v>
      </c>
      <c r="C82" s="1">
        <f ca="1">IFERROR(__xludf.DUMMYFUNCTION("""COMPUTED_VALUE"""),12)</f>
        <v>12</v>
      </c>
      <c r="D82" s="1">
        <f ca="1">IFERROR(__xludf.DUMMYFUNCTION("""COMPUTED_VALUE"""),19)</f>
        <v>19</v>
      </c>
      <c r="E82" s="1">
        <f ca="1">IFERROR(__xludf.DUMMYFUNCTION("""COMPUTED_VALUE"""),0.387)</f>
        <v>0.38700000000000001</v>
      </c>
      <c r="F82" s="1">
        <f ca="1">IFERROR(__xludf.DUMMYFUNCTION("""COMPUTED_VALUE"""),1.99)</f>
        <v>1.99</v>
      </c>
      <c r="G82" s="1">
        <f ca="1">IFERROR(__xludf.DUMMYFUNCTION("""COMPUTED_VALUE"""),4.57)</f>
        <v>4.57</v>
      </c>
      <c r="H82" s="1">
        <f ca="1">IFERROR(__xludf.DUMMYFUNCTION("""COMPUTED_VALUE"""),3)</f>
        <v>3</v>
      </c>
      <c r="I82" s="1">
        <f ca="1">IFERROR(__xludf.DUMMYFUNCTION("""COMPUTED_VALUE"""),15)</f>
        <v>15</v>
      </c>
      <c r="J82" s="1">
        <f ca="1">IFERROR(__xludf.DUMMYFUNCTION("""COMPUTED_VALUE"""),7)</f>
        <v>7</v>
      </c>
      <c r="K82" s="1">
        <f ca="1">IFERROR(__xludf.DUMMYFUNCTION("""COMPUTED_VALUE"""),9)</f>
        <v>9</v>
      </c>
      <c r="L82" s="1">
        <f ca="1">IFERROR(__xludf.DUMMYFUNCTION("""COMPUTED_VALUE"""),3)</f>
        <v>3</v>
      </c>
      <c r="M82" s="1">
        <f ca="1">IFERROR(__xludf.DUMMYFUNCTION("""COMPUTED_VALUE"""),8)</f>
        <v>8</v>
      </c>
      <c r="N82" s="1">
        <f ca="1">IFERROR(__xludf.DUMMYFUNCTION("""COMPUTED_VALUE"""),2298)</f>
        <v>2298</v>
      </c>
      <c r="O82" s="1">
        <f ca="1">IFERROR(__xludf.DUMMYFUNCTION("""COMPUTED_VALUE"""),2378)</f>
        <v>2378</v>
      </c>
      <c r="P82" s="1">
        <f ca="1">IFERROR(__xludf.DUMMYFUNCTION("""COMPUTED_VALUE"""),1245)</f>
        <v>1245</v>
      </c>
      <c r="Q82" s="1">
        <f ca="1">IFERROR(__xludf.DUMMYFUNCTION("""COMPUTED_VALUE"""),857)</f>
        <v>857</v>
      </c>
      <c r="R82" s="1">
        <f ca="1">IFERROR(__xludf.DUMMYFUNCTION("""COMPUTED_VALUE"""),1956)</f>
        <v>1956</v>
      </c>
      <c r="S82" s="1">
        <f ca="1">IFERROR(__xludf.DUMMYFUNCTION("""COMPUTED_VALUE"""),0.438)</f>
        <v>0.438</v>
      </c>
      <c r="T82" s="1">
        <f ca="1">IFERROR(__xludf.DUMMYFUNCTION("""COMPUTED_VALUE"""),224)</f>
        <v>224</v>
      </c>
      <c r="U82" s="1">
        <f ca="1">IFERROR(__xludf.DUMMYFUNCTION("""COMPUTED_VALUE"""),669)</f>
        <v>669</v>
      </c>
      <c r="V82" s="1">
        <f ca="1">IFERROR(__xludf.DUMMYFUNCTION("""COMPUTED_VALUE"""),0.335)</f>
        <v>0.33500000000000002</v>
      </c>
      <c r="W82" s="1">
        <f ca="1">IFERROR(__xludf.DUMMYFUNCTION("""COMPUTED_VALUE"""),360)</f>
        <v>360</v>
      </c>
      <c r="X82" s="1">
        <f ca="1">IFERROR(__xludf.DUMMYFUNCTION("""COMPUTED_VALUE"""),517)</f>
        <v>517</v>
      </c>
      <c r="Y82" s="1">
        <f ca="1">IFERROR(__xludf.DUMMYFUNCTION("""COMPUTED_VALUE"""),0.696)</f>
        <v>0.69599999999999995</v>
      </c>
      <c r="Z82" s="1">
        <f ca="1">IFERROR(__xludf.DUMMYFUNCTION("""COMPUTED_VALUE"""),374)</f>
        <v>374</v>
      </c>
      <c r="AA82" s="1">
        <f ca="1">IFERROR(__xludf.DUMMYFUNCTION("""COMPUTED_VALUE"""),917)</f>
        <v>917</v>
      </c>
      <c r="AB82" s="1">
        <f ca="1">IFERROR(__xludf.DUMMYFUNCTION("""COMPUTED_VALUE"""),474)</f>
        <v>474</v>
      </c>
      <c r="AC82" s="1">
        <f ca="1">IFERROR(__xludf.DUMMYFUNCTION("""COMPUTED_VALUE"""),245)</f>
        <v>245</v>
      </c>
      <c r="AD82" s="1">
        <f ca="1">IFERROR(__xludf.DUMMYFUNCTION("""COMPUTED_VALUE"""),126)</f>
        <v>126</v>
      </c>
      <c r="AE82" s="1">
        <f ca="1">IFERROR(__xludf.DUMMYFUNCTION("""COMPUTED_VALUE"""),414)</f>
        <v>414</v>
      </c>
      <c r="AF82" s="1">
        <f ca="1">IFERROR(__xludf.DUMMYFUNCTION("""COMPUTED_VALUE"""),637)</f>
        <v>637</v>
      </c>
    </row>
    <row r="83" spans="1:32" ht="12.5" x14ac:dyDescent="0.25">
      <c r="A83" s="1" t="str">
        <f ca="1">IFERROR(__xludf.DUMMYFUNCTION("""COMPUTED_VALUE"""),"Detroit MercyNCAA")</f>
        <v>Detroit MercyNCAA</v>
      </c>
      <c r="B83" s="1">
        <f ca="1">IFERROR(__xludf.DUMMYFUNCTION("""COMPUTED_VALUE"""),36)</f>
        <v>36</v>
      </c>
      <c r="C83" s="1">
        <f ca="1">IFERROR(__xludf.DUMMYFUNCTION("""COMPUTED_VALUE"""),22)</f>
        <v>22</v>
      </c>
      <c r="D83" s="1">
        <f ca="1">IFERROR(__xludf.DUMMYFUNCTION("""COMPUTED_VALUE"""),14)</f>
        <v>14</v>
      </c>
      <c r="E83" s="1">
        <f ca="1">IFERROR(__xludf.DUMMYFUNCTION("""COMPUTED_VALUE"""),0.611)</f>
        <v>0.61099999999999999</v>
      </c>
      <c r="F83" s="1">
        <f ca="1">IFERROR(__xludf.DUMMYFUNCTION("""COMPUTED_VALUE"""),2.4)</f>
        <v>2.4</v>
      </c>
      <c r="G83" s="1">
        <f ca="1">IFERROR(__xludf.DUMMYFUNCTION("""COMPUTED_VALUE"""),-0.01)</f>
        <v>-0.01</v>
      </c>
      <c r="H83" s="1">
        <f ca="1">IFERROR(__xludf.DUMMYFUNCTION("""COMPUTED_VALUE"""),11)</f>
        <v>11</v>
      </c>
      <c r="I83" s="1">
        <f ca="1">IFERROR(__xludf.DUMMYFUNCTION("""COMPUTED_VALUE"""),7)</f>
        <v>7</v>
      </c>
      <c r="J83" s="1">
        <f ca="1">IFERROR(__xludf.DUMMYFUNCTION("""COMPUTED_VALUE"""),13)</f>
        <v>13</v>
      </c>
      <c r="K83" s="1">
        <f ca="1">IFERROR(__xludf.DUMMYFUNCTION("""COMPUTED_VALUE"""),4)</f>
        <v>4</v>
      </c>
      <c r="L83" s="1">
        <f ca="1">IFERROR(__xludf.DUMMYFUNCTION("""COMPUTED_VALUE"""),6)</f>
        <v>6</v>
      </c>
      <c r="M83" s="1">
        <f ca="1">IFERROR(__xludf.DUMMYFUNCTION("""COMPUTED_VALUE"""),8)</f>
        <v>8</v>
      </c>
      <c r="N83" s="1">
        <f ca="1">IFERROR(__xludf.DUMMYFUNCTION("""COMPUTED_VALUE"""),2597)</f>
        <v>2597</v>
      </c>
      <c r="O83" s="1">
        <f ca="1">IFERROR(__xludf.DUMMYFUNCTION("""COMPUTED_VALUE"""),2432)</f>
        <v>2432</v>
      </c>
      <c r="P83" s="1">
        <f ca="1">IFERROR(__xludf.DUMMYFUNCTION("""COMPUTED_VALUE"""),1445)</f>
        <v>1445</v>
      </c>
      <c r="Q83" s="1">
        <f ca="1">IFERROR(__xludf.DUMMYFUNCTION("""COMPUTED_VALUE"""),903)</f>
        <v>903</v>
      </c>
      <c r="R83" s="1">
        <f ca="1">IFERROR(__xludf.DUMMYFUNCTION("""COMPUTED_VALUE"""),2008)</f>
        <v>2008</v>
      </c>
      <c r="S83" s="1">
        <f ca="1">IFERROR(__xludf.DUMMYFUNCTION("""COMPUTED_VALUE"""),0.45)</f>
        <v>0.45</v>
      </c>
      <c r="T83" s="1">
        <f ca="1">IFERROR(__xludf.DUMMYFUNCTION("""COMPUTED_VALUE"""),165)</f>
        <v>165</v>
      </c>
      <c r="U83" s="1">
        <f ca="1">IFERROR(__xludf.DUMMYFUNCTION("""COMPUTED_VALUE"""),553)</f>
        <v>553</v>
      </c>
      <c r="V83" s="1">
        <f ca="1">IFERROR(__xludf.DUMMYFUNCTION("""COMPUTED_VALUE"""),0.298)</f>
        <v>0.29799999999999999</v>
      </c>
      <c r="W83" s="1">
        <f ca="1">IFERROR(__xludf.DUMMYFUNCTION("""COMPUTED_VALUE"""),626)</f>
        <v>626</v>
      </c>
      <c r="X83" s="1">
        <f ca="1">IFERROR(__xludf.DUMMYFUNCTION("""COMPUTED_VALUE"""),857)</f>
        <v>857</v>
      </c>
      <c r="Y83" s="1">
        <f ca="1">IFERROR(__xludf.DUMMYFUNCTION("""COMPUTED_VALUE"""),0.73)</f>
        <v>0.73</v>
      </c>
      <c r="Z83" s="1">
        <f ca="1">IFERROR(__xludf.DUMMYFUNCTION("""COMPUTED_VALUE"""),434)</f>
        <v>434</v>
      </c>
      <c r="AA83" s="1">
        <f ca="1">IFERROR(__xludf.DUMMYFUNCTION("""COMPUTED_VALUE"""),1124)</f>
        <v>1124</v>
      </c>
      <c r="AB83" s="1">
        <f ca="1">IFERROR(__xludf.DUMMYFUNCTION("""COMPUTED_VALUE"""),463)</f>
        <v>463</v>
      </c>
      <c r="AC83" s="1">
        <f ca="1">IFERROR(__xludf.DUMMYFUNCTION("""COMPUTED_VALUE"""),272)</f>
        <v>272</v>
      </c>
      <c r="AD83" s="1">
        <f ca="1">IFERROR(__xludf.DUMMYFUNCTION("""COMPUTED_VALUE"""),165)</f>
        <v>165</v>
      </c>
      <c r="AE83" s="1">
        <f ca="1">IFERROR(__xludf.DUMMYFUNCTION("""COMPUTED_VALUE"""),450)</f>
        <v>450</v>
      </c>
      <c r="AF83" s="1">
        <f ca="1">IFERROR(__xludf.DUMMYFUNCTION("""COMPUTED_VALUE"""),684)</f>
        <v>684</v>
      </c>
    </row>
    <row r="84" spans="1:32" ht="12.5" x14ac:dyDescent="0.25">
      <c r="A84" s="1" t="str">
        <f ca="1">IFERROR(__xludf.DUMMYFUNCTION("""COMPUTED_VALUE"""),"Drake")</f>
        <v>Drake</v>
      </c>
      <c r="B84" s="1">
        <f ca="1">IFERROR(__xludf.DUMMYFUNCTION("""COMPUTED_VALUE"""),34)</f>
        <v>34</v>
      </c>
      <c r="C84" s="1">
        <f ca="1">IFERROR(__xludf.DUMMYFUNCTION("""COMPUTED_VALUE"""),18)</f>
        <v>18</v>
      </c>
      <c r="D84" s="1">
        <f ca="1">IFERROR(__xludf.DUMMYFUNCTION("""COMPUTED_VALUE"""),16)</f>
        <v>16</v>
      </c>
      <c r="E84" s="1">
        <f ca="1">IFERROR(__xludf.DUMMYFUNCTION("""COMPUTED_VALUE"""),0.529)</f>
        <v>0.52900000000000003</v>
      </c>
      <c r="F84" s="1">
        <f ca="1">IFERROR(__xludf.DUMMYFUNCTION("""COMPUTED_VALUE"""),2.44)</f>
        <v>2.44</v>
      </c>
      <c r="G84" s="1">
        <f ca="1">IFERROR(__xludf.DUMMYFUNCTION("""COMPUTED_VALUE"""),2.96)</f>
        <v>2.96</v>
      </c>
      <c r="H84" s="1">
        <f ca="1">IFERROR(__xludf.DUMMYFUNCTION("""COMPUTED_VALUE"""),9)</f>
        <v>9</v>
      </c>
      <c r="I84" s="1">
        <f ca="1">IFERROR(__xludf.DUMMYFUNCTION("""COMPUTED_VALUE"""),9)</f>
        <v>9</v>
      </c>
      <c r="J84" s="1">
        <f ca="1">IFERROR(__xludf.DUMMYFUNCTION("""COMPUTED_VALUE"""),13)</f>
        <v>13</v>
      </c>
      <c r="K84" s="1">
        <f ca="1">IFERROR(__xludf.DUMMYFUNCTION("""COMPUTED_VALUE"""),3)</f>
        <v>3</v>
      </c>
      <c r="L84" s="1">
        <f ca="1">IFERROR(__xludf.DUMMYFUNCTION("""COMPUTED_VALUE"""),3)</f>
        <v>3</v>
      </c>
      <c r="M84" s="1">
        <f ca="1">IFERROR(__xludf.DUMMYFUNCTION("""COMPUTED_VALUE"""),10)</f>
        <v>10</v>
      </c>
      <c r="N84" s="1">
        <f ca="1">IFERROR(__xludf.DUMMYFUNCTION("""COMPUTED_VALUE"""),2279)</f>
        <v>2279</v>
      </c>
      <c r="O84" s="1">
        <f ca="1">IFERROR(__xludf.DUMMYFUNCTION("""COMPUTED_VALUE"""),2271)</f>
        <v>2271</v>
      </c>
      <c r="P84" s="1">
        <f ca="1">IFERROR(__xludf.DUMMYFUNCTION("""COMPUTED_VALUE"""),1380)</f>
        <v>1380</v>
      </c>
      <c r="Q84" s="1">
        <f ca="1">IFERROR(__xludf.DUMMYFUNCTION("""COMPUTED_VALUE"""),788)</f>
        <v>788</v>
      </c>
      <c r="R84" s="1">
        <f ca="1">IFERROR(__xludf.DUMMYFUNCTION("""COMPUTED_VALUE"""),1794)</f>
        <v>1794</v>
      </c>
      <c r="S84" s="1">
        <f ca="1">IFERROR(__xludf.DUMMYFUNCTION("""COMPUTED_VALUE"""),0.439)</f>
        <v>0.439</v>
      </c>
      <c r="T84" s="1">
        <f ca="1">IFERROR(__xludf.DUMMYFUNCTION("""COMPUTED_VALUE"""),212)</f>
        <v>212</v>
      </c>
      <c r="U84" s="1">
        <f ca="1">IFERROR(__xludf.DUMMYFUNCTION("""COMPUTED_VALUE"""),585)</f>
        <v>585</v>
      </c>
      <c r="V84" s="1">
        <f ca="1">IFERROR(__xludf.DUMMYFUNCTION("""COMPUTED_VALUE"""),0.362)</f>
        <v>0.36199999999999999</v>
      </c>
      <c r="W84" s="1">
        <f ca="1">IFERROR(__xludf.DUMMYFUNCTION("""COMPUTED_VALUE"""),491)</f>
        <v>491</v>
      </c>
      <c r="X84" s="1">
        <f ca="1">IFERROR(__xludf.DUMMYFUNCTION("""COMPUTED_VALUE"""),749)</f>
        <v>749</v>
      </c>
      <c r="Y84" s="1">
        <f ca="1">IFERROR(__xludf.DUMMYFUNCTION("""COMPUTED_VALUE"""),0.656)</f>
        <v>0.65600000000000003</v>
      </c>
      <c r="Z84" s="1">
        <f ca="1">IFERROR(__xludf.DUMMYFUNCTION("""COMPUTED_VALUE"""),282)</f>
        <v>282</v>
      </c>
      <c r="AA84" s="1">
        <f ca="1">IFERROR(__xludf.DUMMYFUNCTION("""COMPUTED_VALUE"""),1013)</f>
        <v>1013</v>
      </c>
      <c r="AB84" s="1">
        <f ca="1">IFERROR(__xludf.DUMMYFUNCTION("""COMPUTED_VALUE"""),350)</f>
        <v>350</v>
      </c>
      <c r="AC84" s="1">
        <f ca="1">IFERROR(__xludf.DUMMYFUNCTION("""COMPUTED_VALUE"""),236)</f>
        <v>236</v>
      </c>
      <c r="AD84" s="1">
        <f ca="1">IFERROR(__xludf.DUMMYFUNCTION("""COMPUTED_VALUE"""),103)</f>
        <v>103</v>
      </c>
      <c r="AE84" s="1">
        <f ca="1">IFERROR(__xludf.DUMMYFUNCTION("""COMPUTED_VALUE"""),440)</f>
        <v>440</v>
      </c>
      <c r="AF84" s="1">
        <f ca="1">IFERROR(__xludf.DUMMYFUNCTION("""COMPUTED_VALUE"""),686)</f>
        <v>686</v>
      </c>
    </row>
    <row r="85" spans="1:32" ht="12.5" x14ac:dyDescent="0.25">
      <c r="A85" s="1" t="str">
        <f ca="1">IFERROR(__xludf.DUMMYFUNCTION("""COMPUTED_VALUE"""),"Drexel")</f>
        <v>Drexel</v>
      </c>
      <c r="B85" s="1">
        <f ca="1">IFERROR(__xludf.DUMMYFUNCTION("""COMPUTED_VALUE"""),36)</f>
        <v>36</v>
      </c>
      <c r="C85" s="1">
        <f ca="1">IFERROR(__xludf.DUMMYFUNCTION("""COMPUTED_VALUE"""),29)</f>
        <v>29</v>
      </c>
      <c r="D85" s="1">
        <f ca="1">IFERROR(__xludf.DUMMYFUNCTION("""COMPUTED_VALUE"""),7)</f>
        <v>7</v>
      </c>
      <c r="E85" s="1">
        <f ca="1">IFERROR(__xludf.DUMMYFUNCTION("""COMPUTED_VALUE"""),0.806)</f>
        <v>0.80600000000000005</v>
      </c>
      <c r="F85" s="1">
        <f ca="1">IFERROR(__xludf.DUMMYFUNCTION("""COMPUTED_VALUE"""),7.37)</f>
        <v>7.37</v>
      </c>
      <c r="G85" s="1">
        <f ca="1">IFERROR(__xludf.DUMMYFUNCTION("""COMPUTED_VALUE"""),-1.8)</f>
        <v>-1.8</v>
      </c>
      <c r="H85" s="1">
        <f ca="1">IFERROR(__xludf.DUMMYFUNCTION("""COMPUTED_VALUE"""),16)</f>
        <v>16</v>
      </c>
      <c r="I85" s="1">
        <f ca="1">IFERROR(__xludf.DUMMYFUNCTION("""COMPUTED_VALUE"""),2)</f>
        <v>2</v>
      </c>
      <c r="J85" s="1">
        <f ca="1">IFERROR(__xludf.DUMMYFUNCTION("""COMPUTED_VALUE"""),15)</f>
        <v>15</v>
      </c>
      <c r="K85" s="1">
        <f ca="1">IFERROR(__xludf.DUMMYFUNCTION("""COMPUTED_VALUE"""),1)</f>
        <v>1</v>
      </c>
      <c r="L85" s="1">
        <f ca="1">IFERROR(__xludf.DUMMYFUNCTION("""COMPUTED_VALUE"""),11)</f>
        <v>11</v>
      </c>
      <c r="M85" s="1">
        <f ca="1">IFERROR(__xludf.DUMMYFUNCTION("""COMPUTED_VALUE"""),3)</f>
        <v>3</v>
      </c>
      <c r="N85" s="1">
        <f ca="1">IFERROR(__xludf.DUMMYFUNCTION("""COMPUTED_VALUE"""),2350)</f>
        <v>2350</v>
      </c>
      <c r="O85" s="1">
        <f ca="1">IFERROR(__xludf.DUMMYFUNCTION("""COMPUTED_VALUE"""),2020)</f>
        <v>2020</v>
      </c>
      <c r="P85" s="1">
        <f ca="1">IFERROR(__xludf.DUMMYFUNCTION("""COMPUTED_VALUE"""),1440)</f>
        <v>1440</v>
      </c>
      <c r="Q85" s="1">
        <f ca="1">IFERROR(__xludf.DUMMYFUNCTION("""COMPUTED_VALUE"""),801)</f>
        <v>801</v>
      </c>
      <c r="R85" s="1">
        <f ca="1">IFERROR(__xludf.DUMMYFUNCTION("""COMPUTED_VALUE"""),1821)</f>
        <v>1821</v>
      </c>
      <c r="S85" s="1">
        <f ca="1">IFERROR(__xludf.DUMMYFUNCTION("""COMPUTED_VALUE"""),0.44)</f>
        <v>0.44</v>
      </c>
      <c r="T85" s="1">
        <f ca="1">IFERROR(__xludf.DUMMYFUNCTION("""COMPUTED_VALUE"""),221)</f>
        <v>221</v>
      </c>
      <c r="U85" s="1">
        <f ca="1">IFERROR(__xludf.DUMMYFUNCTION("""COMPUTED_VALUE"""),584)</f>
        <v>584</v>
      </c>
      <c r="V85" s="1">
        <f ca="1">IFERROR(__xludf.DUMMYFUNCTION("""COMPUTED_VALUE"""),0.378)</f>
        <v>0.378</v>
      </c>
      <c r="W85" s="1">
        <f ca="1">IFERROR(__xludf.DUMMYFUNCTION("""COMPUTED_VALUE"""),527)</f>
        <v>527</v>
      </c>
      <c r="X85" s="1">
        <f ca="1">IFERROR(__xludf.DUMMYFUNCTION("""COMPUTED_VALUE"""),711)</f>
        <v>711</v>
      </c>
      <c r="Y85" s="1">
        <f ca="1">IFERROR(__xludf.DUMMYFUNCTION("""COMPUTED_VALUE"""),0.741)</f>
        <v>0.74099999999999999</v>
      </c>
      <c r="Z85" s="1">
        <f ca="1">IFERROR(__xludf.DUMMYFUNCTION("""COMPUTED_VALUE"""),386)</f>
        <v>386</v>
      </c>
      <c r="AA85" s="1">
        <f ca="1">IFERROR(__xludf.DUMMYFUNCTION("""COMPUTED_VALUE"""),1169)</f>
        <v>1169</v>
      </c>
      <c r="AB85" s="1">
        <f ca="1">IFERROR(__xludf.DUMMYFUNCTION("""COMPUTED_VALUE"""),462)</f>
        <v>462</v>
      </c>
      <c r="AC85" s="1">
        <f ca="1">IFERROR(__xludf.DUMMYFUNCTION("""COMPUTED_VALUE"""),173)</f>
        <v>173</v>
      </c>
      <c r="AD85" s="1">
        <f ca="1">IFERROR(__xludf.DUMMYFUNCTION("""COMPUTED_VALUE"""),118)</f>
        <v>118</v>
      </c>
      <c r="AE85" s="1">
        <f ca="1">IFERROR(__xludf.DUMMYFUNCTION("""COMPUTED_VALUE"""),419)</f>
        <v>419</v>
      </c>
      <c r="AF85" s="1">
        <f ca="1">IFERROR(__xludf.DUMMYFUNCTION("""COMPUTED_VALUE"""),646)</f>
        <v>646</v>
      </c>
    </row>
    <row r="86" spans="1:32" ht="12.5" x14ac:dyDescent="0.25">
      <c r="A86" s="1" t="str">
        <f ca="1">IFERROR(__xludf.DUMMYFUNCTION("""COMPUTED_VALUE"""),"DukeNCAA")</f>
        <v>DukeNCAA</v>
      </c>
      <c r="B86" s="1">
        <f ca="1">IFERROR(__xludf.DUMMYFUNCTION("""COMPUTED_VALUE"""),34)</f>
        <v>34</v>
      </c>
      <c r="C86" s="1">
        <f ca="1">IFERROR(__xludf.DUMMYFUNCTION("""COMPUTED_VALUE"""),27)</f>
        <v>27</v>
      </c>
      <c r="D86" s="1">
        <f ca="1">IFERROR(__xludf.DUMMYFUNCTION("""COMPUTED_VALUE"""),7)</f>
        <v>7</v>
      </c>
      <c r="E86" s="1">
        <f ca="1">IFERROR(__xludf.DUMMYFUNCTION("""COMPUTED_VALUE"""),0.794)</f>
        <v>0.79400000000000004</v>
      </c>
      <c r="F86" s="1">
        <f ca="1">IFERROR(__xludf.DUMMYFUNCTION("""COMPUTED_VALUE"""),17.05)</f>
        <v>17.05</v>
      </c>
      <c r="G86" s="1">
        <f ca="1">IFERROR(__xludf.DUMMYFUNCTION("""COMPUTED_VALUE"""),8.4)</f>
        <v>8.4</v>
      </c>
      <c r="H86" s="1">
        <f ca="1">IFERROR(__xludf.DUMMYFUNCTION("""COMPUTED_VALUE"""),13)</f>
        <v>13</v>
      </c>
      <c r="I86" s="1">
        <f ca="1">IFERROR(__xludf.DUMMYFUNCTION("""COMPUTED_VALUE"""),3)</f>
        <v>3</v>
      </c>
      <c r="J86" s="1">
        <f ca="1">IFERROR(__xludf.DUMMYFUNCTION("""COMPUTED_VALUE"""),13)</f>
        <v>13</v>
      </c>
      <c r="K86" s="1">
        <f ca="1">IFERROR(__xludf.DUMMYFUNCTION("""COMPUTED_VALUE"""),3)</f>
        <v>3</v>
      </c>
      <c r="L86" s="1">
        <f ca="1">IFERROR(__xludf.DUMMYFUNCTION("""COMPUTED_VALUE"""),8)</f>
        <v>8</v>
      </c>
      <c r="M86" s="1">
        <f ca="1">IFERROR(__xludf.DUMMYFUNCTION("""COMPUTED_VALUE"""),1)</f>
        <v>1</v>
      </c>
      <c r="N86" s="1">
        <f ca="1">IFERROR(__xludf.DUMMYFUNCTION("""COMPUTED_VALUE"""),2628)</f>
        <v>2628</v>
      </c>
      <c r="O86" s="1">
        <f ca="1">IFERROR(__xludf.DUMMYFUNCTION("""COMPUTED_VALUE"""),2334)</f>
        <v>2334</v>
      </c>
      <c r="P86" s="1">
        <f ca="1">IFERROR(__xludf.DUMMYFUNCTION("""COMPUTED_VALUE"""),1370)</f>
        <v>1370</v>
      </c>
      <c r="Q86" s="1">
        <f ca="1">IFERROR(__xludf.DUMMYFUNCTION("""COMPUTED_VALUE"""),874)</f>
        <v>874</v>
      </c>
      <c r="R86" s="1">
        <f ca="1">IFERROR(__xludf.DUMMYFUNCTION("""COMPUTED_VALUE"""),1915)</f>
        <v>1915</v>
      </c>
      <c r="S86" s="1">
        <f ca="1">IFERROR(__xludf.DUMMYFUNCTION("""COMPUTED_VALUE"""),0.456)</f>
        <v>0.45600000000000002</v>
      </c>
      <c r="T86" s="1">
        <f ca="1">IFERROR(__xludf.DUMMYFUNCTION("""COMPUTED_VALUE"""),274)</f>
        <v>274</v>
      </c>
      <c r="U86" s="1">
        <f ca="1">IFERROR(__xludf.DUMMYFUNCTION("""COMPUTED_VALUE"""),739)</f>
        <v>739</v>
      </c>
      <c r="V86" s="1">
        <f ca="1">IFERROR(__xludf.DUMMYFUNCTION("""COMPUTED_VALUE"""),0.371)</f>
        <v>0.371</v>
      </c>
      <c r="W86" s="1">
        <f ca="1">IFERROR(__xludf.DUMMYFUNCTION("""COMPUTED_VALUE"""),606)</f>
        <v>606</v>
      </c>
      <c r="X86" s="1">
        <f ca="1">IFERROR(__xludf.DUMMYFUNCTION("""COMPUTED_VALUE"""),864)</f>
        <v>864</v>
      </c>
      <c r="Y86" s="1">
        <f ca="1">IFERROR(__xludf.DUMMYFUNCTION("""COMPUTED_VALUE"""),0.701)</f>
        <v>0.70099999999999996</v>
      </c>
      <c r="Z86" s="1">
        <f ca="1">IFERROR(__xludf.DUMMYFUNCTION("""COMPUTED_VALUE"""),406)</f>
        <v>406</v>
      </c>
      <c r="AA86" s="1">
        <f ca="1">IFERROR(__xludf.DUMMYFUNCTION("""COMPUTED_VALUE"""),1152)</f>
        <v>1152</v>
      </c>
      <c r="AB86" s="1">
        <f ca="1">IFERROR(__xludf.DUMMYFUNCTION("""COMPUTED_VALUE"""),423)</f>
        <v>423</v>
      </c>
      <c r="AC86" s="1">
        <f ca="1">IFERROR(__xludf.DUMMYFUNCTION("""COMPUTED_VALUE"""),210)</f>
        <v>210</v>
      </c>
      <c r="AD86" s="1">
        <f ca="1">IFERROR(__xludf.DUMMYFUNCTION("""COMPUTED_VALUE"""),136)</f>
        <v>136</v>
      </c>
      <c r="AE86" s="1">
        <f ca="1">IFERROR(__xludf.DUMMYFUNCTION("""COMPUTED_VALUE"""),415)</f>
        <v>415</v>
      </c>
      <c r="AF86" s="1">
        <f ca="1">IFERROR(__xludf.DUMMYFUNCTION("""COMPUTED_VALUE"""),626)</f>
        <v>626</v>
      </c>
    </row>
    <row r="87" spans="1:32" ht="12.5" x14ac:dyDescent="0.25">
      <c r="A87" s="1" t="str">
        <f ca="1">IFERROR(__xludf.DUMMYFUNCTION("""COMPUTED_VALUE"""),"Duquesne")</f>
        <v>Duquesne</v>
      </c>
      <c r="B87" s="1">
        <f ca="1">IFERROR(__xludf.DUMMYFUNCTION("""COMPUTED_VALUE"""),31)</f>
        <v>31</v>
      </c>
      <c r="C87" s="1">
        <f ca="1">IFERROR(__xludf.DUMMYFUNCTION("""COMPUTED_VALUE"""),16)</f>
        <v>16</v>
      </c>
      <c r="D87" s="1">
        <f ca="1">IFERROR(__xludf.DUMMYFUNCTION("""COMPUTED_VALUE"""),15)</f>
        <v>15</v>
      </c>
      <c r="E87" s="1">
        <f ca="1">IFERROR(__xludf.DUMMYFUNCTION("""COMPUTED_VALUE"""),0.516)</f>
        <v>0.51600000000000001</v>
      </c>
      <c r="F87" s="1">
        <f ca="1">IFERROR(__xludf.DUMMYFUNCTION("""COMPUTED_VALUE"""),4.09)</f>
        <v>4.09</v>
      </c>
      <c r="G87" s="1">
        <f ca="1">IFERROR(__xludf.DUMMYFUNCTION("""COMPUTED_VALUE"""),3.96)</f>
        <v>3.96</v>
      </c>
      <c r="H87" s="1">
        <f ca="1">IFERROR(__xludf.DUMMYFUNCTION("""COMPUTED_VALUE"""),7)</f>
        <v>7</v>
      </c>
      <c r="I87" s="1">
        <f ca="1">IFERROR(__xludf.DUMMYFUNCTION("""COMPUTED_VALUE"""),9)</f>
        <v>9</v>
      </c>
      <c r="J87" s="1">
        <f ca="1">IFERROR(__xludf.DUMMYFUNCTION("""COMPUTED_VALUE"""),9)</f>
        <v>9</v>
      </c>
      <c r="K87" s="1">
        <f ca="1">IFERROR(__xludf.DUMMYFUNCTION("""COMPUTED_VALUE"""),5)</f>
        <v>5</v>
      </c>
      <c r="L87" s="1">
        <f ca="1">IFERROR(__xludf.DUMMYFUNCTION("""COMPUTED_VALUE"""),4)</f>
        <v>4</v>
      </c>
      <c r="M87" s="1">
        <f ca="1">IFERROR(__xludf.DUMMYFUNCTION("""COMPUTED_VALUE"""),9)</f>
        <v>9</v>
      </c>
      <c r="N87" s="1">
        <f ca="1">IFERROR(__xludf.DUMMYFUNCTION("""COMPUTED_VALUE"""),2252)</f>
        <v>2252</v>
      </c>
      <c r="O87" s="1">
        <f ca="1">IFERROR(__xludf.DUMMYFUNCTION("""COMPUTED_VALUE"""),2232)</f>
        <v>2232</v>
      </c>
      <c r="P87" s="1">
        <f ca="1">IFERROR(__xludf.DUMMYFUNCTION("""COMPUTED_VALUE"""),1245)</f>
        <v>1245</v>
      </c>
      <c r="Q87" s="1">
        <f ca="1">IFERROR(__xludf.DUMMYFUNCTION("""COMPUTED_VALUE"""),806)</f>
        <v>806</v>
      </c>
      <c r="R87" s="1">
        <f ca="1">IFERROR(__xludf.DUMMYFUNCTION("""COMPUTED_VALUE"""),1786)</f>
        <v>1786</v>
      </c>
      <c r="S87" s="1">
        <f ca="1">IFERROR(__xludf.DUMMYFUNCTION("""COMPUTED_VALUE"""),0.451)</f>
        <v>0.45100000000000001</v>
      </c>
      <c r="T87" s="1">
        <f ca="1">IFERROR(__xludf.DUMMYFUNCTION("""COMPUTED_VALUE"""),199)</f>
        <v>199</v>
      </c>
      <c r="U87" s="1">
        <f ca="1">IFERROR(__xludf.DUMMYFUNCTION("""COMPUTED_VALUE"""),594)</f>
        <v>594</v>
      </c>
      <c r="V87" s="1">
        <f ca="1">IFERROR(__xludf.DUMMYFUNCTION("""COMPUTED_VALUE"""),0.335)</f>
        <v>0.33500000000000002</v>
      </c>
      <c r="W87" s="1">
        <f ca="1">IFERROR(__xludf.DUMMYFUNCTION("""COMPUTED_VALUE"""),441)</f>
        <v>441</v>
      </c>
      <c r="X87" s="1">
        <f ca="1">IFERROR(__xludf.DUMMYFUNCTION("""COMPUTED_VALUE"""),660)</f>
        <v>660</v>
      </c>
      <c r="Y87" s="1">
        <f ca="1">IFERROR(__xludf.DUMMYFUNCTION("""COMPUTED_VALUE"""),0.668)</f>
        <v>0.66800000000000004</v>
      </c>
      <c r="Z87" s="1">
        <f ca="1">IFERROR(__xludf.DUMMYFUNCTION("""COMPUTED_VALUE"""),325)</f>
        <v>325</v>
      </c>
      <c r="AA87" s="1">
        <f ca="1">IFERROR(__xludf.DUMMYFUNCTION("""COMPUTED_VALUE"""),848)</f>
        <v>848</v>
      </c>
      <c r="AB87" s="1">
        <f ca="1">IFERROR(__xludf.DUMMYFUNCTION("""COMPUTED_VALUE"""),473)</f>
        <v>473</v>
      </c>
      <c r="AC87" s="1">
        <f ca="1">IFERROR(__xludf.DUMMYFUNCTION("""COMPUTED_VALUE"""),240)</f>
        <v>240</v>
      </c>
      <c r="AD87" s="1">
        <f ca="1">IFERROR(__xludf.DUMMYFUNCTION("""COMPUTED_VALUE"""),113)</f>
        <v>113</v>
      </c>
      <c r="AE87" s="1">
        <f ca="1">IFERROR(__xludf.DUMMYFUNCTION("""COMPUTED_VALUE"""),374)</f>
        <v>374</v>
      </c>
      <c r="AF87" s="1">
        <f ca="1">IFERROR(__xludf.DUMMYFUNCTION("""COMPUTED_VALUE"""),541)</f>
        <v>541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IFERROR(__xludf.DUMMYFUNCTION("""COMPUTED_VALUE"""),"East Carolina")</f>
        <v>East Carolina</v>
      </c>
      <c r="B90" s="1">
        <f ca="1">IFERROR(__xludf.DUMMYFUNCTION("""COMPUTED_VALUE"""),31)</f>
        <v>31</v>
      </c>
      <c r="C90" s="1">
        <f ca="1">IFERROR(__xludf.DUMMYFUNCTION("""COMPUTED_VALUE"""),15)</f>
        <v>15</v>
      </c>
      <c r="D90" s="1">
        <f ca="1">IFERROR(__xludf.DUMMYFUNCTION("""COMPUTED_VALUE"""),16)</f>
        <v>16</v>
      </c>
      <c r="E90" s="1">
        <f ca="1">IFERROR(__xludf.DUMMYFUNCTION("""COMPUTED_VALUE"""),0.484)</f>
        <v>0.48399999999999999</v>
      </c>
      <c r="F90" s="1">
        <f ca="1">IFERROR(__xludf.DUMMYFUNCTION("""COMPUTED_VALUE"""),2.42)</f>
        <v>2.42</v>
      </c>
      <c r="G90" s="1">
        <f ca="1">IFERROR(__xludf.DUMMYFUNCTION("""COMPUTED_VALUE"""),2.53)</f>
        <v>2.5299999999999998</v>
      </c>
      <c r="H90" s="1">
        <f ca="1">IFERROR(__xludf.DUMMYFUNCTION("""COMPUTED_VALUE"""),5)</f>
        <v>5</v>
      </c>
      <c r="I90" s="1">
        <f ca="1">IFERROR(__xludf.DUMMYFUNCTION("""COMPUTED_VALUE"""),11)</f>
        <v>11</v>
      </c>
      <c r="J90" s="1">
        <f ca="1">IFERROR(__xludf.DUMMYFUNCTION("""COMPUTED_VALUE"""),10)</f>
        <v>10</v>
      </c>
      <c r="K90" s="1">
        <f ca="1">IFERROR(__xludf.DUMMYFUNCTION("""COMPUTED_VALUE"""),7)</f>
        <v>7</v>
      </c>
      <c r="L90" s="1">
        <f ca="1">IFERROR(__xludf.DUMMYFUNCTION("""COMPUTED_VALUE"""),3)</f>
        <v>3</v>
      </c>
      <c r="M90" s="1">
        <f ca="1">IFERROR(__xludf.DUMMYFUNCTION("""COMPUTED_VALUE"""),8)</f>
        <v>8</v>
      </c>
      <c r="N90" s="1">
        <f ca="1">IFERROR(__xludf.DUMMYFUNCTION("""COMPUTED_VALUE"""),2136)</f>
        <v>2136</v>
      </c>
      <c r="O90" s="1">
        <f ca="1">IFERROR(__xludf.DUMMYFUNCTION("""COMPUTED_VALUE"""),2019)</f>
        <v>2019</v>
      </c>
      <c r="P90" s="1">
        <f ca="1">IFERROR(__xludf.DUMMYFUNCTION("""COMPUTED_VALUE"""),1250)</f>
        <v>1250</v>
      </c>
      <c r="Q90" s="1">
        <f ca="1">IFERROR(__xludf.DUMMYFUNCTION("""COMPUTED_VALUE"""),747)</f>
        <v>747</v>
      </c>
      <c r="R90" s="1">
        <f ca="1">IFERROR(__xludf.DUMMYFUNCTION("""COMPUTED_VALUE"""),1714)</f>
        <v>1714</v>
      </c>
      <c r="S90" s="1">
        <f ca="1">IFERROR(__xludf.DUMMYFUNCTION("""COMPUTED_VALUE"""),0.436)</f>
        <v>0.436</v>
      </c>
      <c r="T90" s="1">
        <f ca="1">IFERROR(__xludf.DUMMYFUNCTION("""COMPUTED_VALUE"""),236)</f>
        <v>236</v>
      </c>
      <c r="U90" s="1">
        <f ca="1">IFERROR(__xludf.DUMMYFUNCTION("""COMPUTED_VALUE"""),676)</f>
        <v>676</v>
      </c>
      <c r="V90" s="1">
        <f ca="1">IFERROR(__xludf.DUMMYFUNCTION("""COMPUTED_VALUE"""),0.349)</f>
        <v>0.34899999999999998</v>
      </c>
      <c r="W90" s="1">
        <f ca="1">IFERROR(__xludf.DUMMYFUNCTION("""COMPUTED_VALUE"""),406)</f>
        <v>406</v>
      </c>
      <c r="X90" s="1">
        <f ca="1">IFERROR(__xludf.DUMMYFUNCTION("""COMPUTED_VALUE"""),593)</f>
        <v>593</v>
      </c>
      <c r="Y90" s="1">
        <f ca="1">IFERROR(__xludf.DUMMYFUNCTION("""COMPUTED_VALUE"""),0.685)</f>
        <v>0.68500000000000005</v>
      </c>
      <c r="Z90" s="1">
        <f ca="1">IFERROR(__xludf.DUMMYFUNCTION("""COMPUTED_VALUE"""),337)</f>
        <v>337</v>
      </c>
      <c r="AA90" s="1">
        <f ca="1">IFERROR(__xludf.DUMMYFUNCTION("""COMPUTED_VALUE"""),980)</f>
        <v>980</v>
      </c>
      <c r="AB90" s="1">
        <f ca="1">IFERROR(__xludf.DUMMYFUNCTION("""COMPUTED_VALUE"""),452)</f>
        <v>452</v>
      </c>
      <c r="AC90" s="1">
        <f ca="1">IFERROR(__xludf.DUMMYFUNCTION("""COMPUTED_VALUE"""),241)</f>
        <v>241</v>
      </c>
      <c r="AD90" s="1">
        <f ca="1">IFERROR(__xludf.DUMMYFUNCTION("""COMPUTED_VALUE"""),131)</f>
        <v>131</v>
      </c>
      <c r="AE90" s="1">
        <f ca="1">IFERROR(__xludf.DUMMYFUNCTION("""COMPUTED_VALUE"""),426)</f>
        <v>426</v>
      </c>
      <c r="AF90" s="1">
        <f ca="1">IFERROR(__xludf.DUMMYFUNCTION("""COMPUTED_VALUE"""),558)</f>
        <v>558</v>
      </c>
    </row>
    <row r="91" spans="1:32" ht="12.5" x14ac:dyDescent="0.25">
      <c r="A91" s="1" t="str">
        <f ca="1">IFERROR(__xludf.DUMMYFUNCTION("""COMPUTED_VALUE"""),"East Tennessee State")</f>
        <v>East Tennessee State</v>
      </c>
      <c r="B91" s="1">
        <f ca="1">IFERROR(__xludf.DUMMYFUNCTION("""COMPUTED_VALUE"""),31)</f>
        <v>31</v>
      </c>
      <c r="C91" s="1">
        <f ca="1">IFERROR(__xludf.DUMMYFUNCTION("""COMPUTED_VALUE"""),17)</f>
        <v>17</v>
      </c>
      <c r="D91" s="1">
        <f ca="1">IFERROR(__xludf.DUMMYFUNCTION("""COMPUTED_VALUE"""),14)</f>
        <v>14</v>
      </c>
      <c r="E91" s="1">
        <f ca="1">IFERROR(__xludf.DUMMYFUNCTION("""COMPUTED_VALUE"""),0.548)</f>
        <v>0.54800000000000004</v>
      </c>
      <c r="F91" s="1">
        <f ca="1">IFERROR(__xludf.DUMMYFUNCTION("""COMPUTED_VALUE"""),-0.41)</f>
        <v>-0.41</v>
      </c>
      <c r="G91" s="1">
        <f ca="1">IFERROR(__xludf.DUMMYFUNCTION("""COMPUTED_VALUE"""),-1.78)</f>
        <v>-1.78</v>
      </c>
      <c r="H91" s="1">
        <f ca="1">IFERROR(__xludf.DUMMYFUNCTION("""COMPUTED_VALUE"""),10)</f>
        <v>10</v>
      </c>
      <c r="I91" s="1">
        <f ca="1">IFERROR(__xludf.DUMMYFUNCTION("""COMPUTED_VALUE"""),8)</f>
        <v>8</v>
      </c>
      <c r="J91" s="1">
        <f ca="1">IFERROR(__xludf.DUMMYFUNCTION("""COMPUTED_VALUE"""),10)</f>
        <v>10</v>
      </c>
      <c r="K91" s="1">
        <f ca="1">IFERROR(__xludf.DUMMYFUNCTION("""COMPUTED_VALUE"""),3)</f>
        <v>3</v>
      </c>
      <c r="L91" s="1">
        <f ca="1">IFERROR(__xludf.DUMMYFUNCTION("""COMPUTED_VALUE"""),6)</f>
        <v>6</v>
      </c>
      <c r="M91" s="1">
        <f ca="1">IFERROR(__xludf.DUMMYFUNCTION("""COMPUTED_VALUE"""),10)</f>
        <v>10</v>
      </c>
      <c r="N91" s="1">
        <f ca="1">IFERROR(__xludf.DUMMYFUNCTION("""COMPUTED_VALUE"""),2098)</f>
        <v>2098</v>
      </c>
      <c r="O91" s="1">
        <f ca="1">IFERROR(__xludf.DUMMYFUNCTION("""COMPUTED_VALUE"""),2017)</f>
        <v>2017</v>
      </c>
      <c r="P91" s="1">
        <f ca="1">IFERROR(__xludf.DUMMYFUNCTION("""COMPUTED_VALUE"""),1240)</f>
        <v>1240</v>
      </c>
      <c r="Q91" s="1">
        <f ca="1">IFERROR(__xludf.DUMMYFUNCTION("""COMPUTED_VALUE"""),768)</f>
        <v>768</v>
      </c>
      <c r="R91" s="1">
        <f ca="1">IFERROR(__xludf.DUMMYFUNCTION("""COMPUTED_VALUE"""),1743)</f>
        <v>1743</v>
      </c>
      <c r="S91" s="1">
        <f ca="1">IFERROR(__xludf.DUMMYFUNCTION("""COMPUTED_VALUE"""),0.441)</f>
        <v>0.441</v>
      </c>
      <c r="T91" s="1">
        <f ca="1">IFERROR(__xludf.DUMMYFUNCTION("""COMPUTED_VALUE"""),128)</f>
        <v>128</v>
      </c>
      <c r="U91" s="1">
        <f ca="1">IFERROR(__xludf.DUMMYFUNCTION("""COMPUTED_VALUE"""),411)</f>
        <v>411</v>
      </c>
      <c r="V91" s="1">
        <f ca="1">IFERROR(__xludf.DUMMYFUNCTION("""COMPUTED_VALUE"""),0.311)</f>
        <v>0.311</v>
      </c>
      <c r="W91" s="1">
        <f ca="1">IFERROR(__xludf.DUMMYFUNCTION("""COMPUTED_VALUE"""),434)</f>
        <v>434</v>
      </c>
      <c r="X91" s="1">
        <f ca="1">IFERROR(__xludf.DUMMYFUNCTION("""COMPUTED_VALUE"""),684)</f>
        <v>684</v>
      </c>
      <c r="Y91" s="1">
        <f ca="1">IFERROR(__xludf.DUMMYFUNCTION("""COMPUTED_VALUE"""),0.635)</f>
        <v>0.63500000000000001</v>
      </c>
      <c r="Z91" s="1">
        <f ca="1">IFERROR(__xludf.DUMMYFUNCTION("""COMPUTED_VALUE"""),407)</f>
        <v>407</v>
      </c>
      <c r="AA91" s="1">
        <f ca="1">IFERROR(__xludf.DUMMYFUNCTION("""COMPUTED_VALUE"""),974)</f>
        <v>974</v>
      </c>
      <c r="AB91" s="1">
        <f ca="1">IFERROR(__xludf.DUMMYFUNCTION("""COMPUTED_VALUE"""),323)</f>
        <v>323</v>
      </c>
      <c r="AC91" s="1">
        <f ca="1">IFERROR(__xludf.DUMMYFUNCTION("""COMPUTED_VALUE"""),316)</f>
        <v>316</v>
      </c>
      <c r="AD91" s="1">
        <f ca="1">IFERROR(__xludf.DUMMYFUNCTION("""COMPUTED_VALUE"""),91)</f>
        <v>91</v>
      </c>
      <c r="AE91" s="1">
        <f ca="1">IFERROR(__xludf.DUMMYFUNCTION("""COMPUTED_VALUE"""),419)</f>
        <v>419</v>
      </c>
      <c r="AF91" s="1">
        <f ca="1">IFERROR(__xludf.DUMMYFUNCTION("""COMPUTED_VALUE"""),521)</f>
        <v>521</v>
      </c>
    </row>
    <row r="92" spans="1:32" ht="12.5" x14ac:dyDescent="0.25">
      <c r="A92" s="1" t="str">
        <f ca="1">IFERROR(__xludf.DUMMYFUNCTION("""COMPUTED_VALUE"""),"Eastern Illinois")</f>
        <v>Eastern Illinois</v>
      </c>
      <c r="B92" s="1">
        <f ca="1">IFERROR(__xludf.DUMMYFUNCTION("""COMPUTED_VALUE"""),29)</f>
        <v>29</v>
      </c>
      <c r="C92" s="1">
        <f ca="1">IFERROR(__xludf.DUMMYFUNCTION("""COMPUTED_VALUE"""),12)</f>
        <v>12</v>
      </c>
      <c r="D92" s="1">
        <f ca="1">IFERROR(__xludf.DUMMYFUNCTION("""COMPUTED_VALUE"""),17)</f>
        <v>17</v>
      </c>
      <c r="E92" s="1">
        <f ca="1">IFERROR(__xludf.DUMMYFUNCTION("""COMPUTED_VALUE"""),0.414)</f>
        <v>0.41399999999999998</v>
      </c>
      <c r="F92" s="1">
        <f ca="1">IFERROR(__xludf.DUMMYFUNCTION("""COMPUTED_VALUE"""),-11.48)</f>
        <v>-11.48</v>
      </c>
      <c r="G92" s="1">
        <f ca="1">IFERROR(__xludf.DUMMYFUNCTION("""COMPUTED_VALUE"""),-6.48)</f>
        <v>-6.48</v>
      </c>
      <c r="H92" s="1">
        <f ca="1">IFERROR(__xludf.DUMMYFUNCTION("""COMPUTED_VALUE"""),5)</f>
        <v>5</v>
      </c>
      <c r="I92" s="1">
        <f ca="1">IFERROR(__xludf.DUMMYFUNCTION("""COMPUTED_VALUE"""),11)</f>
        <v>11</v>
      </c>
      <c r="J92" s="1">
        <f ca="1">IFERROR(__xludf.DUMMYFUNCTION("""COMPUTED_VALUE"""),7)</f>
        <v>7</v>
      </c>
      <c r="K92" s="1">
        <f ca="1">IFERROR(__xludf.DUMMYFUNCTION("""COMPUTED_VALUE"""),7)</f>
        <v>7</v>
      </c>
      <c r="L92" s="1">
        <f ca="1">IFERROR(__xludf.DUMMYFUNCTION("""COMPUTED_VALUE"""),5)</f>
        <v>5</v>
      </c>
      <c r="M92" s="1">
        <f ca="1">IFERROR(__xludf.DUMMYFUNCTION("""COMPUTED_VALUE"""),10)</f>
        <v>10</v>
      </c>
      <c r="N92" s="1">
        <f ca="1">IFERROR(__xludf.DUMMYFUNCTION("""COMPUTED_VALUE"""),1896)</f>
        <v>1896</v>
      </c>
      <c r="O92" s="1">
        <f ca="1">IFERROR(__xludf.DUMMYFUNCTION("""COMPUTED_VALUE"""),1984)</f>
        <v>1984</v>
      </c>
      <c r="P92" s="1">
        <f ca="1">IFERROR(__xludf.DUMMYFUNCTION("""COMPUTED_VALUE"""),1175)</f>
        <v>1175</v>
      </c>
      <c r="Q92" s="1">
        <f ca="1">IFERROR(__xludf.DUMMYFUNCTION("""COMPUTED_VALUE"""),688)</f>
        <v>688</v>
      </c>
      <c r="R92" s="1">
        <f ca="1">IFERROR(__xludf.DUMMYFUNCTION("""COMPUTED_VALUE"""),1579)</f>
        <v>1579</v>
      </c>
      <c r="S92" s="1">
        <f ca="1">IFERROR(__xludf.DUMMYFUNCTION("""COMPUTED_VALUE"""),0.436)</f>
        <v>0.436</v>
      </c>
      <c r="T92" s="1">
        <f ca="1">IFERROR(__xludf.DUMMYFUNCTION("""COMPUTED_VALUE"""),147)</f>
        <v>147</v>
      </c>
      <c r="U92" s="1">
        <f ca="1">IFERROR(__xludf.DUMMYFUNCTION("""COMPUTED_VALUE"""),430)</f>
        <v>430</v>
      </c>
      <c r="V92" s="1">
        <f ca="1">IFERROR(__xludf.DUMMYFUNCTION("""COMPUTED_VALUE"""),0.342)</f>
        <v>0.34200000000000003</v>
      </c>
      <c r="W92" s="1">
        <f ca="1">IFERROR(__xludf.DUMMYFUNCTION("""COMPUTED_VALUE"""),373)</f>
        <v>373</v>
      </c>
      <c r="X92" s="1">
        <f ca="1">IFERROR(__xludf.DUMMYFUNCTION("""COMPUTED_VALUE"""),493)</f>
        <v>493</v>
      </c>
      <c r="Y92" s="1">
        <f ca="1">IFERROR(__xludf.DUMMYFUNCTION("""COMPUTED_VALUE"""),0.757)</f>
        <v>0.75700000000000001</v>
      </c>
      <c r="Z92" s="1">
        <f ca="1">IFERROR(__xludf.DUMMYFUNCTION("""COMPUTED_VALUE"""),304)</f>
        <v>304</v>
      </c>
      <c r="AA92" s="1">
        <f ca="1">IFERROR(__xludf.DUMMYFUNCTION("""COMPUTED_VALUE"""),833)</f>
        <v>833</v>
      </c>
      <c r="AB92" s="1">
        <f ca="1">IFERROR(__xludf.DUMMYFUNCTION("""COMPUTED_VALUE"""),383)</f>
        <v>383</v>
      </c>
      <c r="AC92" s="1">
        <f ca="1">IFERROR(__xludf.DUMMYFUNCTION("""COMPUTED_VALUE"""),165)</f>
        <v>165</v>
      </c>
      <c r="AD92" s="1">
        <f ca="1">IFERROR(__xludf.DUMMYFUNCTION("""COMPUTED_VALUE"""),67)</f>
        <v>67</v>
      </c>
      <c r="AE92" s="1">
        <f ca="1">IFERROR(__xludf.DUMMYFUNCTION("""COMPUTED_VALUE"""),380)</f>
        <v>380</v>
      </c>
      <c r="AF92" s="1">
        <f ca="1">IFERROR(__xludf.DUMMYFUNCTION("""COMPUTED_VALUE"""),500)</f>
        <v>500</v>
      </c>
    </row>
    <row r="93" spans="1:32" ht="12.5" x14ac:dyDescent="0.25">
      <c r="A93" s="1" t="str">
        <f ca="1">IFERROR(__xludf.DUMMYFUNCTION("""COMPUTED_VALUE"""),"Eastern Kentucky")</f>
        <v>Eastern Kentucky</v>
      </c>
      <c r="B93" s="1">
        <f ca="1">IFERROR(__xludf.DUMMYFUNCTION("""COMPUTED_VALUE"""),32)</f>
        <v>32</v>
      </c>
      <c r="C93" s="1">
        <f ca="1">IFERROR(__xludf.DUMMYFUNCTION("""COMPUTED_VALUE"""),16)</f>
        <v>16</v>
      </c>
      <c r="D93" s="1">
        <f ca="1">IFERROR(__xludf.DUMMYFUNCTION("""COMPUTED_VALUE"""),16)</f>
        <v>16</v>
      </c>
      <c r="E93" s="1">
        <f ca="1">IFERROR(__xludf.DUMMYFUNCTION("""COMPUTED_VALUE"""),0.5)</f>
        <v>0.5</v>
      </c>
      <c r="F93" s="1">
        <f ca="1">IFERROR(__xludf.DUMMYFUNCTION("""COMPUTED_VALUE"""),-8.47)</f>
        <v>-8.4700000000000006</v>
      </c>
      <c r="G93" s="1">
        <f ca="1">IFERROR(__xludf.DUMMYFUNCTION("""COMPUTED_VALUE"""),-5.93)</f>
        <v>-5.93</v>
      </c>
      <c r="H93" s="1">
        <f ca="1">IFERROR(__xludf.DUMMYFUNCTION("""COMPUTED_VALUE"""),7)</f>
        <v>7</v>
      </c>
      <c r="I93" s="1">
        <f ca="1">IFERROR(__xludf.DUMMYFUNCTION("""COMPUTED_VALUE"""),9)</f>
        <v>9</v>
      </c>
      <c r="J93" s="1">
        <f ca="1">IFERROR(__xludf.DUMMYFUNCTION("""COMPUTED_VALUE"""),11)</f>
        <v>11</v>
      </c>
      <c r="K93" s="1">
        <f ca="1">IFERROR(__xludf.DUMMYFUNCTION("""COMPUTED_VALUE"""),3)</f>
        <v>3</v>
      </c>
      <c r="L93" s="1">
        <f ca="1">IFERROR(__xludf.DUMMYFUNCTION("""COMPUTED_VALUE"""),4)</f>
        <v>4</v>
      </c>
      <c r="M93" s="1">
        <f ca="1">IFERROR(__xludf.DUMMYFUNCTION("""COMPUTED_VALUE"""),11)</f>
        <v>11</v>
      </c>
      <c r="N93" s="1">
        <f ca="1">IFERROR(__xludf.DUMMYFUNCTION("""COMPUTED_VALUE"""),2123)</f>
        <v>2123</v>
      </c>
      <c r="O93" s="1">
        <f ca="1">IFERROR(__xludf.DUMMYFUNCTION("""COMPUTED_VALUE"""),2117)</f>
        <v>2117</v>
      </c>
      <c r="P93" s="1">
        <f ca="1">IFERROR(__xludf.DUMMYFUNCTION("""COMPUTED_VALUE"""),1300)</f>
        <v>1300</v>
      </c>
      <c r="Q93" s="1">
        <f ca="1">IFERROR(__xludf.DUMMYFUNCTION("""COMPUTED_VALUE"""),744)</f>
        <v>744</v>
      </c>
      <c r="R93" s="1">
        <f ca="1">IFERROR(__xludf.DUMMYFUNCTION("""COMPUTED_VALUE"""),1715)</f>
        <v>1715</v>
      </c>
      <c r="S93" s="1">
        <f ca="1">IFERROR(__xludf.DUMMYFUNCTION("""COMPUTED_VALUE"""),0.434)</f>
        <v>0.434</v>
      </c>
      <c r="T93" s="1">
        <f ca="1">IFERROR(__xludf.DUMMYFUNCTION("""COMPUTED_VALUE"""),231)</f>
        <v>231</v>
      </c>
      <c r="U93" s="1">
        <f ca="1">IFERROR(__xludf.DUMMYFUNCTION("""COMPUTED_VALUE"""),681)</f>
        <v>681</v>
      </c>
      <c r="V93" s="1">
        <f ca="1">IFERROR(__xludf.DUMMYFUNCTION("""COMPUTED_VALUE"""),0.339)</f>
        <v>0.33900000000000002</v>
      </c>
      <c r="W93" s="1">
        <f ca="1">IFERROR(__xludf.DUMMYFUNCTION("""COMPUTED_VALUE"""),404)</f>
        <v>404</v>
      </c>
      <c r="X93" s="1">
        <f ca="1">IFERROR(__xludf.DUMMYFUNCTION("""COMPUTED_VALUE"""),551)</f>
        <v>551</v>
      </c>
      <c r="Y93" s="1">
        <f ca="1">IFERROR(__xludf.DUMMYFUNCTION("""COMPUTED_VALUE"""),0.733)</f>
        <v>0.73299999999999998</v>
      </c>
      <c r="Z93" s="1">
        <f ca="1">IFERROR(__xludf.DUMMYFUNCTION("""COMPUTED_VALUE"""),289)</f>
        <v>289</v>
      </c>
      <c r="AA93" s="1">
        <f ca="1">IFERROR(__xludf.DUMMYFUNCTION("""COMPUTED_VALUE"""),845)</f>
        <v>845</v>
      </c>
      <c r="AB93" s="1">
        <f ca="1">IFERROR(__xludf.DUMMYFUNCTION("""COMPUTED_VALUE"""),378)</f>
        <v>378</v>
      </c>
      <c r="AC93" s="1">
        <f ca="1">IFERROR(__xludf.DUMMYFUNCTION("""COMPUTED_VALUE"""),239)</f>
        <v>239</v>
      </c>
      <c r="AD93" s="1">
        <f ca="1">IFERROR(__xludf.DUMMYFUNCTION("""COMPUTED_VALUE"""),59)</f>
        <v>59</v>
      </c>
      <c r="AE93" s="1">
        <f ca="1">IFERROR(__xludf.DUMMYFUNCTION("""COMPUTED_VALUE"""),346)</f>
        <v>346</v>
      </c>
      <c r="AF93" s="1">
        <f ca="1">IFERROR(__xludf.DUMMYFUNCTION("""COMPUTED_VALUE"""),629)</f>
        <v>629</v>
      </c>
    </row>
    <row r="94" spans="1:32" ht="12.5" x14ac:dyDescent="0.25">
      <c r="A94" s="1" t="str">
        <f ca="1">IFERROR(__xludf.DUMMYFUNCTION("""COMPUTED_VALUE"""),"Eastern Michigan")</f>
        <v>Eastern Michigan</v>
      </c>
      <c r="B94" s="1">
        <f ca="1">IFERROR(__xludf.DUMMYFUNCTION("""COMPUTED_VALUE"""),32)</f>
        <v>32</v>
      </c>
      <c r="C94" s="1">
        <f ca="1">IFERROR(__xludf.DUMMYFUNCTION("""COMPUTED_VALUE"""),14)</f>
        <v>14</v>
      </c>
      <c r="D94" s="1">
        <f ca="1">IFERROR(__xludf.DUMMYFUNCTION("""COMPUTED_VALUE"""),18)</f>
        <v>18</v>
      </c>
      <c r="E94" s="1">
        <f ca="1">IFERROR(__xludf.DUMMYFUNCTION("""COMPUTED_VALUE"""),0.438)</f>
        <v>0.438</v>
      </c>
      <c r="F94" s="1">
        <f ca="1">IFERROR(__xludf.DUMMYFUNCTION("""COMPUTED_VALUE"""),-7.9)</f>
        <v>-7.9</v>
      </c>
      <c r="G94" s="1">
        <f ca="1">IFERROR(__xludf.DUMMYFUNCTION("""COMPUTED_VALUE"""),-1.68)</f>
        <v>-1.68</v>
      </c>
      <c r="H94" s="1">
        <f ca="1">IFERROR(__xludf.DUMMYFUNCTION("""COMPUTED_VALUE"""),9)</f>
        <v>9</v>
      </c>
      <c r="I94" s="1">
        <f ca="1">IFERROR(__xludf.DUMMYFUNCTION("""COMPUTED_VALUE"""),7)</f>
        <v>7</v>
      </c>
      <c r="J94" s="1">
        <f ca="1">IFERROR(__xludf.DUMMYFUNCTION("""COMPUTED_VALUE"""),9)</f>
        <v>9</v>
      </c>
      <c r="K94" s="1">
        <f ca="1">IFERROR(__xludf.DUMMYFUNCTION("""COMPUTED_VALUE"""),4)</f>
        <v>4</v>
      </c>
      <c r="L94" s="1">
        <f ca="1">IFERROR(__xludf.DUMMYFUNCTION("""COMPUTED_VALUE"""),5)</f>
        <v>5</v>
      </c>
      <c r="M94" s="1">
        <f ca="1">IFERROR(__xludf.DUMMYFUNCTION("""COMPUTED_VALUE"""),13)</f>
        <v>13</v>
      </c>
      <c r="N94" s="1">
        <f ca="1">IFERROR(__xludf.DUMMYFUNCTION("""COMPUTED_VALUE"""),1704)</f>
        <v>1704</v>
      </c>
      <c r="O94" s="1">
        <f ca="1">IFERROR(__xludf.DUMMYFUNCTION("""COMPUTED_VALUE"""),1878)</f>
        <v>1878</v>
      </c>
      <c r="P94" s="1">
        <f ca="1">IFERROR(__xludf.DUMMYFUNCTION("""COMPUTED_VALUE"""),1290)</f>
        <v>1290</v>
      </c>
      <c r="Q94" s="1">
        <f ca="1">IFERROR(__xludf.DUMMYFUNCTION("""COMPUTED_VALUE"""),583)</f>
        <v>583</v>
      </c>
      <c r="R94" s="1">
        <f ca="1">IFERROR(__xludf.DUMMYFUNCTION("""COMPUTED_VALUE"""),1555)</f>
        <v>1555</v>
      </c>
      <c r="S94" s="1">
        <f ca="1">IFERROR(__xludf.DUMMYFUNCTION("""COMPUTED_VALUE"""),0.375)</f>
        <v>0.375</v>
      </c>
      <c r="T94" s="1">
        <f ca="1">IFERROR(__xludf.DUMMYFUNCTION("""COMPUTED_VALUE"""),153)</f>
        <v>153</v>
      </c>
      <c r="U94" s="1">
        <f ca="1">IFERROR(__xludf.DUMMYFUNCTION("""COMPUTED_VALUE"""),500)</f>
        <v>500</v>
      </c>
      <c r="V94" s="1">
        <f ca="1">IFERROR(__xludf.DUMMYFUNCTION("""COMPUTED_VALUE"""),0.306)</f>
        <v>0.30599999999999999</v>
      </c>
      <c r="W94" s="1">
        <f ca="1">IFERROR(__xludf.DUMMYFUNCTION("""COMPUTED_VALUE"""),385)</f>
        <v>385</v>
      </c>
      <c r="X94" s="1">
        <f ca="1">IFERROR(__xludf.DUMMYFUNCTION("""COMPUTED_VALUE"""),556)</f>
        <v>556</v>
      </c>
      <c r="Y94" s="1">
        <f ca="1">IFERROR(__xludf.DUMMYFUNCTION("""COMPUTED_VALUE"""),0.692)</f>
        <v>0.69199999999999995</v>
      </c>
      <c r="Z94" s="1">
        <f ca="1">IFERROR(__xludf.DUMMYFUNCTION("""COMPUTED_VALUE"""),339)</f>
        <v>339</v>
      </c>
      <c r="AA94" s="1">
        <f ca="1">IFERROR(__xludf.DUMMYFUNCTION("""COMPUTED_VALUE"""),879)</f>
        <v>879</v>
      </c>
      <c r="AB94" s="1">
        <f ca="1">IFERROR(__xludf.DUMMYFUNCTION("""COMPUTED_VALUE"""),310)</f>
        <v>310</v>
      </c>
      <c r="AC94" s="1">
        <f ca="1">IFERROR(__xludf.DUMMYFUNCTION("""COMPUTED_VALUE"""),227)</f>
        <v>227</v>
      </c>
      <c r="AD94" s="1">
        <f ca="1">IFERROR(__xludf.DUMMYFUNCTION("""COMPUTED_VALUE"""),98)</f>
        <v>98</v>
      </c>
      <c r="AE94" s="1">
        <f ca="1">IFERROR(__xludf.DUMMYFUNCTION("""COMPUTED_VALUE"""),438)</f>
        <v>438</v>
      </c>
      <c r="AF94" s="1">
        <f ca="1">IFERROR(__xludf.DUMMYFUNCTION("""COMPUTED_VALUE"""),549)</f>
        <v>549</v>
      </c>
    </row>
    <row r="95" spans="1:32" ht="12.5" x14ac:dyDescent="0.25">
      <c r="A95" s="1" t="str">
        <f ca="1">IFERROR(__xludf.DUMMYFUNCTION("""COMPUTED_VALUE"""),"Eastern Washington")</f>
        <v>Eastern Washington</v>
      </c>
      <c r="B95" s="1">
        <f ca="1">IFERROR(__xludf.DUMMYFUNCTION("""COMPUTED_VALUE"""),32)</f>
        <v>32</v>
      </c>
      <c r="C95" s="1">
        <f ca="1">IFERROR(__xludf.DUMMYFUNCTION("""COMPUTED_VALUE"""),15)</f>
        <v>15</v>
      </c>
      <c r="D95" s="1">
        <f ca="1">IFERROR(__xludf.DUMMYFUNCTION("""COMPUTED_VALUE"""),17)</f>
        <v>17</v>
      </c>
      <c r="E95" s="1">
        <f ca="1">IFERROR(__xludf.DUMMYFUNCTION("""COMPUTED_VALUE"""),0.469)</f>
        <v>0.46899999999999997</v>
      </c>
      <c r="F95" s="1">
        <f ca="1">IFERROR(__xludf.DUMMYFUNCTION("""COMPUTED_VALUE"""),-3.87)</f>
        <v>-3.87</v>
      </c>
      <c r="G95" s="1">
        <f ca="1">IFERROR(__xludf.DUMMYFUNCTION("""COMPUTED_VALUE"""),-3.23)</f>
        <v>-3.23</v>
      </c>
      <c r="H95" s="1">
        <f ca="1">IFERROR(__xludf.DUMMYFUNCTION("""COMPUTED_VALUE"""),8)</f>
        <v>8</v>
      </c>
      <c r="I95" s="1">
        <f ca="1">IFERROR(__xludf.DUMMYFUNCTION("""COMPUTED_VALUE"""),8)</f>
        <v>8</v>
      </c>
      <c r="J95" s="1">
        <f ca="1">IFERROR(__xludf.DUMMYFUNCTION("""COMPUTED_VALUE"""),9)</f>
        <v>9</v>
      </c>
      <c r="K95" s="1">
        <f ca="1">IFERROR(__xludf.DUMMYFUNCTION("""COMPUTED_VALUE"""),4)</f>
        <v>4</v>
      </c>
      <c r="L95" s="1">
        <f ca="1">IFERROR(__xludf.DUMMYFUNCTION("""COMPUTED_VALUE"""),6)</f>
        <v>6</v>
      </c>
      <c r="M95" s="1">
        <f ca="1">IFERROR(__xludf.DUMMYFUNCTION("""COMPUTED_VALUE"""),13)</f>
        <v>13</v>
      </c>
      <c r="N95" s="1">
        <f ca="1">IFERROR(__xludf.DUMMYFUNCTION("""COMPUTED_VALUE"""),2326)</f>
        <v>2326</v>
      </c>
      <c r="O95" s="1">
        <f ca="1">IFERROR(__xludf.DUMMYFUNCTION("""COMPUTED_VALUE"""),2284)</f>
        <v>2284</v>
      </c>
      <c r="P95" s="1">
        <f ca="1">IFERROR(__xludf.DUMMYFUNCTION("""COMPUTED_VALUE"""),1285)</f>
        <v>1285</v>
      </c>
      <c r="Q95" s="1">
        <f ca="1">IFERROR(__xludf.DUMMYFUNCTION("""COMPUTED_VALUE"""),788)</f>
        <v>788</v>
      </c>
      <c r="R95" s="1">
        <f ca="1">IFERROR(__xludf.DUMMYFUNCTION("""COMPUTED_VALUE"""),1914)</f>
        <v>1914</v>
      </c>
      <c r="S95" s="1">
        <f ca="1">IFERROR(__xludf.DUMMYFUNCTION("""COMPUTED_VALUE"""),0.412)</f>
        <v>0.41199999999999998</v>
      </c>
      <c r="T95" s="1">
        <f ca="1">IFERROR(__xludf.DUMMYFUNCTION("""COMPUTED_VALUE"""),283)</f>
        <v>283</v>
      </c>
      <c r="U95" s="1">
        <f ca="1">IFERROR(__xludf.DUMMYFUNCTION("""COMPUTED_VALUE"""),793)</f>
        <v>793</v>
      </c>
      <c r="V95" s="1">
        <f ca="1">IFERROR(__xludf.DUMMYFUNCTION("""COMPUTED_VALUE"""),0.357)</f>
        <v>0.35699999999999998</v>
      </c>
      <c r="W95" s="1">
        <f ca="1">IFERROR(__xludf.DUMMYFUNCTION("""COMPUTED_VALUE"""),467)</f>
        <v>467</v>
      </c>
      <c r="X95" s="1">
        <f ca="1">IFERROR(__xludf.DUMMYFUNCTION("""COMPUTED_VALUE"""),659)</f>
        <v>659</v>
      </c>
      <c r="Y95" s="1">
        <f ca="1">IFERROR(__xludf.DUMMYFUNCTION("""COMPUTED_VALUE"""),0.709)</f>
        <v>0.70899999999999996</v>
      </c>
      <c r="Z95" s="1">
        <f ca="1">IFERROR(__xludf.DUMMYFUNCTION("""COMPUTED_VALUE"""),383)</f>
        <v>383</v>
      </c>
      <c r="AA95" s="1">
        <f ca="1">IFERROR(__xludf.DUMMYFUNCTION("""COMPUTED_VALUE"""),992)</f>
        <v>992</v>
      </c>
      <c r="AB95" s="1">
        <f ca="1">IFERROR(__xludf.DUMMYFUNCTION("""COMPUTED_VALUE"""),390)</f>
        <v>390</v>
      </c>
      <c r="AC95" s="1">
        <f ca="1">IFERROR(__xludf.DUMMYFUNCTION("""COMPUTED_VALUE"""),228)</f>
        <v>228</v>
      </c>
      <c r="AD95" s="1">
        <f ca="1">IFERROR(__xludf.DUMMYFUNCTION("""COMPUTED_VALUE"""),114)</f>
        <v>114</v>
      </c>
      <c r="AE95" s="1">
        <f ca="1">IFERROR(__xludf.DUMMYFUNCTION("""COMPUTED_VALUE"""),377)</f>
        <v>377</v>
      </c>
      <c r="AF95" s="1">
        <f ca="1">IFERROR(__xludf.DUMMYFUNCTION("""COMPUTED_VALUE"""),723)</f>
        <v>723</v>
      </c>
    </row>
    <row r="96" spans="1:32" ht="12.5" x14ac:dyDescent="0.25">
      <c r="A96" s="1" t="str">
        <f ca="1">IFERROR(__xludf.DUMMYFUNCTION("""COMPUTED_VALUE"""),"Elon")</f>
        <v>Elon</v>
      </c>
      <c r="B96" s="1">
        <f ca="1">IFERROR(__xludf.DUMMYFUNCTION("""COMPUTED_VALUE"""),31)</f>
        <v>31</v>
      </c>
      <c r="C96" s="1">
        <f ca="1">IFERROR(__xludf.DUMMYFUNCTION("""COMPUTED_VALUE"""),15)</f>
        <v>15</v>
      </c>
      <c r="D96" s="1">
        <f ca="1">IFERROR(__xludf.DUMMYFUNCTION("""COMPUTED_VALUE"""),16)</f>
        <v>16</v>
      </c>
      <c r="E96" s="1">
        <f ca="1">IFERROR(__xludf.DUMMYFUNCTION("""COMPUTED_VALUE"""),0.484)</f>
        <v>0.48399999999999999</v>
      </c>
      <c r="F96" s="1">
        <f ca="1">IFERROR(__xludf.DUMMYFUNCTION("""COMPUTED_VALUE"""),-7.41)</f>
        <v>-7.41</v>
      </c>
      <c r="G96" s="1">
        <f ca="1">IFERROR(__xludf.DUMMYFUNCTION("""COMPUTED_VALUE"""),-3.03)</f>
        <v>-3.03</v>
      </c>
      <c r="H96" s="1">
        <f ca="1">IFERROR(__xludf.DUMMYFUNCTION("""COMPUTED_VALUE"""),9)</f>
        <v>9</v>
      </c>
      <c r="I96" s="1">
        <f ca="1">IFERROR(__xludf.DUMMYFUNCTION("""COMPUTED_VALUE"""),9)</f>
        <v>9</v>
      </c>
      <c r="J96" s="1">
        <f ca="1">IFERROR(__xludf.DUMMYFUNCTION("""COMPUTED_VALUE"""),10)</f>
        <v>10</v>
      </c>
      <c r="K96" s="1">
        <f ca="1">IFERROR(__xludf.DUMMYFUNCTION("""COMPUTED_VALUE"""),4)</f>
        <v>4</v>
      </c>
      <c r="L96" s="1">
        <f ca="1">IFERROR(__xludf.DUMMYFUNCTION("""COMPUTED_VALUE"""),4)</f>
        <v>4</v>
      </c>
      <c r="M96" s="1">
        <f ca="1">IFERROR(__xludf.DUMMYFUNCTION("""COMPUTED_VALUE"""),11)</f>
        <v>11</v>
      </c>
      <c r="N96" s="1">
        <f ca="1">IFERROR(__xludf.DUMMYFUNCTION("""COMPUTED_VALUE"""),2175)</f>
        <v>2175</v>
      </c>
      <c r="O96" s="1">
        <f ca="1">IFERROR(__xludf.DUMMYFUNCTION("""COMPUTED_VALUE"""),2226)</f>
        <v>2226</v>
      </c>
      <c r="P96" s="1">
        <f ca="1">IFERROR(__xludf.DUMMYFUNCTION("""COMPUTED_VALUE"""),1255)</f>
        <v>1255</v>
      </c>
      <c r="Q96" s="1">
        <f ca="1">IFERROR(__xludf.DUMMYFUNCTION("""COMPUTED_VALUE"""),770)</f>
        <v>770</v>
      </c>
      <c r="R96" s="1">
        <f ca="1">IFERROR(__xludf.DUMMYFUNCTION("""COMPUTED_VALUE"""),1831)</f>
        <v>1831</v>
      </c>
      <c r="S96" s="1">
        <f ca="1">IFERROR(__xludf.DUMMYFUNCTION("""COMPUTED_VALUE"""),0.421)</f>
        <v>0.42099999999999999</v>
      </c>
      <c r="T96" s="1">
        <f ca="1">IFERROR(__xludf.DUMMYFUNCTION("""COMPUTED_VALUE"""),238)</f>
        <v>238</v>
      </c>
      <c r="U96" s="1">
        <f ca="1">IFERROR(__xludf.DUMMYFUNCTION("""COMPUTED_VALUE"""),671)</f>
        <v>671</v>
      </c>
      <c r="V96" s="1">
        <f ca="1">IFERROR(__xludf.DUMMYFUNCTION("""COMPUTED_VALUE"""),0.355)</f>
        <v>0.35499999999999998</v>
      </c>
      <c r="W96" s="1">
        <f ca="1">IFERROR(__xludf.DUMMYFUNCTION("""COMPUTED_VALUE"""),397)</f>
        <v>397</v>
      </c>
      <c r="X96" s="1">
        <f ca="1">IFERROR(__xludf.DUMMYFUNCTION("""COMPUTED_VALUE"""),589)</f>
        <v>589</v>
      </c>
      <c r="Y96" s="1">
        <f ca="1">IFERROR(__xludf.DUMMYFUNCTION("""COMPUTED_VALUE"""),0.674)</f>
        <v>0.67400000000000004</v>
      </c>
      <c r="Z96" s="1">
        <f ca="1">IFERROR(__xludf.DUMMYFUNCTION("""COMPUTED_VALUE"""),326)</f>
        <v>326</v>
      </c>
      <c r="AA96" s="1">
        <f ca="1">IFERROR(__xludf.DUMMYFUNCTION("""COMPUTED_VALUE"""),1032)</f>
        <v>1032</v>
      </c>
      <c r="AB96" s="1">
        <f ca="1">IFERROR(__xludf.DUMMYFUNCTION("""COMPUTED_VALUE"""),407)</f>
        <v>407</v>
      </c>
      <c r="AC96" s="1">
        <f ca="1">IFERROR(__xludf.DUMMYFUNCTION("""COMPUTED_VALUE"""),149)</f>
        <v>149</v>
      </c>
      <c r="AD96" s="1">
        <f ca="1">IFERROR(__xludf.DUMMYFUNCTION("""COMPUTED_VALUE"""),83)</f>
        <v>83</v>
      </c>
      <c r="AE96" s="1">
        <f ca="1">IFERROR(__xludf.DUMMYFUNCTION("""COMPUTED_VALUE"""),429)</f>
        <v>429</v>
      </c>
      <c r="AF96" s="1">
        <f ca="1">IFERROR(__xludf.DUMMYFUNCTION("""COMPUTED_VALUE"""),570)</f>
        <v>570</v>
      </c>
    </row>
    <row r="97" spans="1:32" ht="12.5" x14ac:dyDescent="0.25">
      <c r="A97" s="1" t="str">
        <f ca="1">IFERROR(__xludf.DUMMYFUNCTION("""COMPUTED_VALUE"""),"Evansville")</f>
        <v>Evansville</v>
      </c>
      <c r="B97" s="1">
        <f ca="1">IFERROR(__xludf.DUMMYFUNCTION("""COMPUTED_VALUE"""),32)</f>
        <v>32</v>
      </c>
      <c r="C97" s="1">
        <f ca="1">IFERROR(__xludf.DUMMYFUNCTION("""COMPUTED_VALUE"""),16)</f>
        <v>16</v>
      </c>
      <c r="D97" s="1">
        <f ca="1">IFERROR(__xludf.DUMMYFUNCTION("""COMPUTED_VALUE"""),16)</f>
        <v>16</v>
      </c>
      <c r="E97" s="1">
        <f ca="1">IFERROR(__xludf.DUMMYFUNCTION("""COMPUTED_VALUE"""),0.5)</f>
        <v>0.5</v>
      </c>
      <c r="F97" s="1">
        <f ca="1">IFERROR(__xludf.DUMMYFUNCTION("""COMPUTED_VALUE"""),3.46)</f>
        <v>3.46</v>
      </c>
      <c r="G97" s="1">
        <f ca="1">IFERROR(__xludf.DUMMYFUNCTION("""COMPUTED_VALUE"""),3.56)</f>
        <v>3.56</v>
      </c>
      <c r="H97" s="1">
        <f ca="1">IFERROR(__xludf.DUMMYFUNCTION("""COMPUTED_VALUE"""),9)</f>
        <v>9</v>
      </c>
      <c r="I97" s="1">
        <f ca="1">IFERROR(__xludf.DUMMYFUNCTION("""COMPUTED_VALUE"""),9)</f>
        <v>9</v>
      </c>
      <c r="J97" s="1">
        <f ca="1">IFERROR(__xludf.DUMMYFUNCTION("""COMPUTED_VALUE"""),11)</f>
        <v>11</v>
      </c>
      <c r="K97" s="1">
        <f ca="1">IFERROR(__xludf.DUMMYFUNCTION("""COMPUTED_VALUE"""),7)</f>
        <v>7</v>
      </c>
      <c r="L97" s="1">
        <f ca="1">IFERROR(__xludf.DUMMYFUNCTION("""COMPUTED_VALUE"""),4)</f>
        <v>4</v>
      </c>
      <c r="M97" s="1">
        <f ca="1">IFERROR(__xludf.DUMMYFUNCTION("""COMPUTED_VALUE"""),8)</f>
        <v>8</v>
      </c>
      <c r="N97" s="1">
        <f ca="1">IFERROR(__xludf.DUMMYFUNCTION("""COMPUTED_VALUE"""),2351)</f>
        <v>2351</v>
      </c>
      <c r="O97" s="1">
        <f ca="1">IFERROR(__xludf.DUMMYFUNCTION("""COMPUTED_VALUE"""),2327)</f>
        <v>2327</v>
      </c>
      <c r="P97" s="1">
        <f ca="1">IFERROR(__xludf.DUMMYFUNCTION("""COMPUTED_VALUE"""),1315)</f>
        <v>1315</v>
      </c>
      <c r="Q97" s="1">
        <f ca="1">IFERROR(__xludf.DUMMYFUNCTION("""COMPUTED_VALUE"""),801)</f>
        <v>801</v>
      </c>
      <c r="R97" s="1">
        <f ca="1">IFERROR(__xludf.DUMMYFUNCTION("""COMPUTED_VALUE"""),1738)</f>
        <v>1738</v>
      </c>
      <c r="S97" s="1">
        <f ca="1">IFERROR(__xludf.DUMMYFUNCTION("""COMPUTED_VALUE"""),0.461)</f>
        <v>0.46100000000000002</v>
      </c>
      <c r="T97" s="1">
        <f ca="1">IFERROR(__xludf.DUMMYFUNCTION("""COMPUTED_VALUE"""),177)</f>
        <v>177</v>
      </c>
      <c r="U97" s="1">
        <f ca="1">IFERROR(__xludf.DUMMYFUNCTION("""COMPUTED_VALUE"""),453)</f>
        <v>453</v>
      </c>
      <c r="V97" s="1">
        <f ca="1">IFERROR(__xludf.DUMMYFUNCTION("""COMPUTED_VALUE"""),0.391)</f>
        <v>0.39100000000000001</v>
      </c>
      <c r="W97" s="1">
        <f ca="1">IFERROR(__xludf.DUMMYFUNCTION("""COMPUTED_VALUE"""),572)</f>
        <v>572</v>
      </c>
      <c r="X97" s="1">
        <f ca="1">IFERROR(__xludf.DUMMYFUNCTION("""COMPUTED_VALUE"""),749)</f>
        <v>749</v>
      </c>
      <c r="Y97" s="1">
        <f ca="1">IFERROR(__xludf.DUMMYFUNCTION("""COMPUTED_VALUE"""),0.764)</f>
        <v>0.76400000000000001</v>
      </c>
      <c r="Z97" s="1">
        <f ca="1">IFERROR(__xludf.DUMMYFUNCTION("""COMPUTED_VALUE"""),279)</f>
        <v>279</v>
      </c>
      <c r="AA97" s="1">
        <f ca="1">IFERROR(__xludf.DUMMYFUNCTION("""COMPUTED_VALUE"""),832)</f>
        <v>832</v>
      </c>
      <c r="AB97" s="1">
        <f ca="1">IFERROR(__xludf.DUMMYFUNCTION("""COMPUTED_VALUE"""),509)</f>
        <v>509</v>
      </c>
      <c r="AC97" s="1">
        <f ca="1">IFERROR(__xludf.DUMMYFUNCTION("""COMPUTED_VALUE"""),243)</f>
        <v>243</v>
      </c>
      <c r="AD97" s="1">
        <f ca="1">IFERROR(__xludf.DUMMYFUNCTION("""COMPUTED_VALUE"""),54)</f>
        <v>54</v>
      </c>
      <c r="AE97" s="1">
        <f ca="1">IFERROR(__xludf.DUMMYFUNCTION("""COMPUTED_VALUE"""),404)</f>
        <v>404</v>
      </c>
      <c r="AF97" s="1">
        <f ca="1">IFERROR(__xludf.DUMMYFUNCTION("""COMPUTED_VALUE"""),680)</f>
        <v>680</v>
      </c>
    </row>
    <row r="98" spans="1:32" ht="12.5" x14ac:dyDescent="0.25">
      <c r="A98" s="1" t="str">
        <f ca="1">IFERROR(__xludf.DUMMYFUNCTION("""COMPUTED_VALUE"""),"Fairfield")</f>
        <v>Fairfield</v>
      </c>
      <c r="B98" s="1">
        <f ca="1">IFERROR(__xludf.DUMMYFUNCTION("""COMPUTED_VALUE"""),37)</f>
        <v>37</v>
      </c>
      <c r="C98" s="1">
        <f ca="1">IFERROR(__xludf.DUMMYFUNCTION("""COMPUTED_VALUE"""),22)</f>
        <v>22</v>
      </c>
      <c r="D98" s="1">
        <f ca="1">IFERROR(__xludf.DUMMYFUNCTION("""COMPUTED_VALUE"""),15)</f>
        <v>15</v>
      </c>
      <c r="E98" s="1">
        <f ca="1">IFERROR(__xludf.DUMMYFUNCTION("""COMPUTED_VALUE"""),0.595)</f>
        <v>0.59499999999999997</v>
      </c>
      <c r="F98" s="1">
        <f ca="1">IFERROR(__xludf.DUMMYFUNCTION("""COMPUTED_VALUE"""),2.94)</f>
        <v>2.94</v>
      </c>
      <c r="G98" s="1">
        <f ca="1">IFERROR(__xludf.DUMMYFUNCTION("""COMPUTED_VALUE"""),-1.34)</f>
        <v>-1.34</v>
      </c>
      <c r="H98" s="1">
        <f ca="1">IFERROR(__xludf.DUMMYFUNCTION("""COMPUTED_VALUE"""),12)</f>
        <v>12</v>
      </c>
      <c r="I98" s="1">
        <f ca="1">IFERROR(__xludf.DUMMYFUNCTION("""COMPUTED_VALUE"""),6)</f>
        <v>6</v>
      </c>
      <c r="J98" s="1">
        <f ca="1">IFERROR(__xludf.DUMMYFUNCTION("""COMPUTED_VALUE"""),12)</f>
        <v>12</v>
      </c>
      <c r="K98" s="1">
        <f ca="1">IFERROR(__xludf.DUMMYFUNCTION("""COMPUTED_VALUE"""),4)</f>
        <v>4</v>
      </c>
      <c r="L98" s="1">
        <f ca="1">IFERROR(__xludf.DUMMYFUNCTION("""COMPUTED_VALUE"""),5)</f>
        <v>5</v>
      </c>
      <c r="M98" s="1">
        <f ca="1">IFERROR(__xludf.DUMMYFUNCTION("""COMPUTED_VALUE"""),8)</f>
        <v>8</v>
      </c>
      <c r="N98" s="1">
        <f ca="1">IFERROR(__xludf.DUMMYFUNCTION("""COMPUTED_VALUE"""),2417)</f>
        <v>2417</v>
      </c>
      <c r="O98" s="1">
        <f ca="1">IFERROR(__xludf.DUMMYFUNCTION("""COMPUTED_VALUE"""),2259)</f>
        <v>2259</v>
      </c>
      <c r="P98" s="1">
        <f ca="1">IFERROR(__xludf.DUMMYFUNCTION("""COMPUTED_VALUE"""),1480)</f>
        <v>1480</v>
      </c>
      <c r="Q98" s="1">
        <f ca="1">IFERROR(__xludf.DUMMYFUNCTION("""COMPUTED_VALUE"""),884)</f>
        <v>884</v>
      </c>
      <c r="R98" s="1">
        <f ca="1">IFERROR(__xludf.DUMMYFUNCTION("""COMPUTED_VALUE"""),1973)</f>
        <v>1973</v>
      </c>
      <c r="S98" s="1">
        <f ca="1">IFERROR(__xludf.DUMMYFUNCTION("""COMPUTED_VALUE"""),0.448)</f>
        <v>0.44800000000000001</v>
      </c>
      <c r="T98" s="1">
        <f ca="1">IFERROR(__xludf.DUMMYFUNCTION("""COMPUTED_VALUE"""),229)</f>
        <v>229</v>
      </c>
      <c r="U98" s="1">
        <f ca="1">IFERROR(__xludf.DUMMYFUNCTION("""COMPUTED_VALUE"""),662)</f>
        <v>662</v>
      </c>
      <c r="V98" s="1">
        <f ca="1">IFERROR(__xludf.DUMMYFUNCTION("""COMPUTED_VALUE"""),0.346)</f>
        <v>0.34599999999999997</v>
      </c>
      <c r="W98" s="1">
        <f ca="1">IFERROR(__xludf.DUMMYFUNCTION("""COMPUTED_VALUE"""),420)</f>
        <v>420</v>
      </c>
      <c r="X98" s="1">
        <f ca="1">IFERROR(__xludf.DUMMYFUNCTION("""COMPUTED_VALUE"""),645)</f>
        <v>645</v>
      </c>
      <c r="Y98" s="1">
        <f ca="1">IFERROR(__xludf.DUMMYFUNCTION("""COMPUTED_VALUE"""),0.651)</f>
        <v>0.65100000000000002</v>
      </c>
      <c r="Z98" s="1">
        <f ca="1">IFERROR(__xludf.DUMMYFUNCTION("""COMPUTED_VALUE"""),416)</f>
        <v>416</v>
      </c>
      <c r="AA98" s="1">
        <f ca="1">IFERROR(__xludf.DUMMYFUNCTION("""COMPUTED_VALUE"""),1126)</f>
        <v>1126</v>
      </c>
      <c r="AB98" s="1">
        <f ca="1">IFERROR(__xludf.DUMMYFUNCTION("""COMPUTED_VALUE"""),553)</f>
        <v>553</v>
      </c>
      <c r="AC98" s="1">
        <f ca="1">IFERROR(__xludf.DUMMYFUNCTION("""COMPUTED_VALUE"""),309)</f>
        <v>309</v>
      </c>
      <c r="AD98" s="1">
        <f ca="1">IFERROR(__xludf.DUMMYFUNCTION("""COMPUTED_VALUE"""),151)</f>
        <v>151</v>
      </c>
      <c r="AE98" s="1">
        <f ca="1">IFERROR(__xludf.DUMMYFUNCTION("""COMPUTED_VALUE"""),540)</f>
        <v>540</v>
      </c>
      <c r="AF98" s="1">
        <f ca="1">IFERROR(__xludf.DUMMYFUNCTION("""COMPUTED_VALUE"""),677)</f>
        <v>677</v>
      </c>
    </row>
    <row r="99" spans="1:32" ht="12.5" x14ac:dyDescent="0.25">
      <c r="A99" s="1" t="str">
        <f ca="1">IFERROR(__xludf.DUMMYFUNCTION("""COMPUTED_VALUE"""),"Fairleigh Dickinson")</f>
        <v>Fairleigh Dickinson</v>
      </c>
      <c r="B99" s="1">
        <f ca="1">IFERROR(__xludf.DUMMYFUNCTION("""COMPUTED_VALUE"""),29)</f>
        <v>29</v>
      </c>
      <c r="C99" s="1">
        <f ca="1">IFERROR(__xludf.DUMMYFUNCTION("""COMPUTED_VALUE"""),3)</f>
        <v>3</v>
      </c>
      <c r="D99" s="1">
        <f ca="1">IFERROR(__xludf.DUMMYFUNCTION("""COMPUTED_VALUE"""),26)</f>
        <v>26</v>
      </c>
      <c r="E99" s="1">
        <f ca="1">IFERROR(__xludf.DUMMYFUNCTION("""COMPUTED_VALUE"""),0.103)</f>
        <v>0.10299999999999999</v>
      </c>
      <c r="F99" s="1">
        <f ca="1">IFERROR(__xludf.DUMMYFUNCTION("""COMPUTED_VALUE"""),-16.99)</f>
        <v>-16.989999999999998</v>
      </c>
      <c r="G99" s="1">
        <f ca="1">IFERROR(__xludf.DUMMYFUNCTION("""COMPUTED_VALUE"""),-5.06)</f>
        <v>-5.0599999999999996</v>
      </c>
      <c r="H99" s="1">
        <f ca="1">IFERROR(__xludf.DUMMYFUNCTION("""COMPUTED_VALUE"""),2)</f>
        <v>2</v>
      </c>
      <c r="I99" s="1">
        <f ca="1">IFERROR(__xludf.DUMMYFUNCTION("""COMPUTED_VALUE"""),16)</f>
        <v>16</v>
      </c>
      <c r="J99" s="1">
        <f ca="1">IFERROR(__xludf.DUMMYFUNCTION("""COMPUTED_VALUE"""),2)</f>
        <v>2</v>
      </c>
      <c r="K99" s="1">
        <f ca="1">IFERROR(__xludf.DUMMYFUNCTION("""COMPUTED_VALUE"""),11)</f>
        <v>11</v>
      </c>
      <c r="L99" s="1">
        <f ca="1">IFERROR(__xludf.DUMMYFUNCTION("""COMPUTED_VALUE"""),1)</f>
        <v>1</v>
      </c>
      <c r="M99" s="1">
        <f ca="1">IFERROR(__xludf.DUMMYFUNCTION("""COMPUTED_VALUE"""),15)</f>
        <v>15</v>
      </c>
      <c r="N99" s="1">
        <f ca="1">IFERROR(__xludf.DUMMYFUNCTION("""COMPUTED_VALUE"""),1762)</f>
        <v>1762</v>
      </c>
      <c r="O99" s="1">
        <f ca="1">IFERROR(__xludf.DUMMYFUNCTION("""COMPUTED_VALUE"""),2108)</f>
        <v>2108</v>
      </c>
      <c r="P99" s="1">
        <f ca="1">IFERROR(__xludf.DUMMYFUNCTION("""COMPUTED_VALUE"""),1160)</f>
        <v>1160</v>
      </c>
      <c r="Q99" s="1">
        <f ca="1">IFERROR(__xludf.DUMMYFUNCTION("""COMPUTED_VALUE"""),655)</f>
        <v>655</v>
      </c>
      <c r="R99" s="1">
        <f ca="1">IFERROR(__xludf.DUMMYFUNCTION("""COMPUTED_VALUE"""),1589)</f>
        <v>1589</v>
      </c>
      <c r="S99" s="1">
        <f ca="1">IFERROR(__xludf.DUMMYFUNCTION("""COMPUTED_VALUE"""),0.412)</f>
        <v>0.41199999999999998</v>
      </c>
      <c r="T99" s="1">
        <f ca="1">IFERROR(__xludf.DUMMYFUNCTION("""COMPUTED_VALUE"""),109)</f>
        <v>109</v>
      </c>
      <c r="U99" s="1">
        <f ca="1">IFERROR(__xludf.DUMMYFUNCTION("""COMPUTED_VALUE"""),393)</f>
        <v>393</v>
      </c>
      <c r="V99" s="1">
        <f ca="1">IFERROR(__xludf.DUMMYFUNCTION("""COMPUTED_VALUE"""),0.277)</f>
        <v>0.27700000000000002</v>
      </c>
      <c r="W99" s="1">
        <f ca="1">IFERROR(__xludf.DUMMYFUNCTION("""COMPUTED_VALUE"""),343)</f>
        <v>343</v>
      </c>
      <c r="X99" s="1">
        <f ca="1">IFERROR(__xludf.DUMMYFUNCTION("""COMPUTED_VALUE"""),520)</f>
        <v>520</v>
      </c>
      <c r="Y99" s="1">
        <f ca="1">IFERROR(__xludf.DUMMYFUNCTION("""COMPUTED_VALUE"""),0.66)</f>
        <v>0.66</v>
      </c>
      <c r="Z99" s="1">
        <f ca="1">IFERROR(__xludf.DUMMYFUNCTION("""COMPUTED_VALUE"""),302)</f>
        <v>302</v>
      </c>
      <c r="AA99" s="1">
        <f ca="1">IFERROR(__xludf.DUMMYFUNCTION("""COMPUTED_VALUE"""),874)</f>
        <v>874</v>
      </c>
      <c r="AB99" s="1">
        <f ca="1">IFERROR(__xludf.DUMMYFUNCTION("""COMPUTED_VALUE"""),322)</f>
        <v>322</v>
      </c>
      <c r="AC99" s="1">
        <f ca="1">IFERROR(__xludf.DUMMYFUNCTION("""COMPUTED_VALUE"""),167)</f>
        <v>167</v>
      </c>
      <c r="AD99" s="1">
        <f ca="1">IFERROR(__xludf.DUMMYFUNCTION("""COMPUTED_VALUE"""),110)</f>
        <v>110</v>
      </c>
      <c r="AE99" s="1">
        <f ca="1">IFERROR(__xludf.DUMMYFUNCTION("""COMPUTED_VALUE"""),440)</f>
        <v>440</v>
      </c>
      <c r="AF99" s="1">
        <f ca="1">IFERROR(__xludf.DUMMYFUNCTION("""COMPUTED_VALUE"""),544)</f>
        <v>544</v>
      </c>
    </row>
    <row r="100" spans="1:32" ht="12.5" x14ac:dyDescent="0.25">
      <c r="A100" s="1" t="str">
        <f ca="1">IFERROR(__xludf.DUMMYFUNCTION("""COMPUTED_VALUE"""),"Florida A&amp;M")</f>
        <v>Florida A&amp;M</v>
      </c>
      <c r="B100" s="1">
        <f ca="1">IFERROR(__xludf.DUMMYFUNCTION("""COMPUTED_VALUE"""),33)</f>
        <v>33</v>
      </c>
      <c r="C100" s="1">
        <f ca="1">IFERROR(__xludf.DUMMYFUNCTION("""COMPUTED_VALUE"""),10)</f>
        <v>10</v>
      </c>
      <c r="D100" s="1">
        <f ca="1">IFERROR(__xludf.DUMMYFUNCTION("""COMPUTED_VALUE"""),23)</f>
        <v>23</v>
      </c>
      <c r="E100" s="1">
        <f ca="1">IFERROR(__xludf.DUMMYFUNCTION("""COMPUTED_VALUE"""),0.303)</f>
        <v>0.30299999999999999</v>
      </c>
      <c r="F100" s="1">
        <f ca="1">IFERROR(__xludf.DUMMYFUNCTION("""COMPUTED_VALUE"""),-15.58)</f>
        <v>-15.58</v>
      </c>
      <c r="G100" s="1">
        <f ca="1">IFERROR(__xludf.DUMMYFUNCTION("""COMPUTED_VALUE"""),-6.29)</f>
        <v>-6.29</v>
      </c>
      <c r="H100" s="1">
        <f ca="1">IFERROR(__xludf.DUMMYFUNCTION("""COMPUTED_VALUE"""),6)</f>
        <v>6</v>
      </c>
      <c r="I100" s="1">
        <f ca="1">IFERROR(__xludf.DUMMYFUNCTION("""COMPUTED_VALUE"""),10)</f>
        <v>10</v>
      </c>
      <c r="J100" s="1">
        <f ca="1">IFERROR(__xludf.DUMMYFUNCTION("""COMPUTED_VALUE"""),5)</f>
        <v>5</v>
      </c>
      <c r="K100" s="1">
        <f ca="1">IFERROR(__xludf.DUMMYFUNCTION("""COMPUTED_VALUE"""),8)</f>
        <v>8</v>
      </c>
      <c r="L100" s="1">
        <f ca="1">IFERROR(__xludf.DUMMYFUNCTION("""COMPUTED_VALUE"""),3)</f>
        <v>3</v>
      </c>
      <c r="M100" s="1">
        <f ca="1">IFERROR(__xludf.DUMMYFUNCTION("""COMPUTED_VALUE"""),12)</f>
        <v>12</v>
      </c>
      <c r="N100" s="1">
        <f ca="1">IFERROR(__xludf.DUMMYFUNCTION("""COMPUTED_VALUE"""),2175)</f>
        <v>2175</v>
      </c>
      <c r="O100" s="1">
        <f ca="1">IFERROR(__xludf.DUMMYFUNCTION("""COMPUTED_VALUE"""),2416)</f>
        <v>2416</v>
      </c>
      <c r="P100" s="1">
        <f ca="1">IFERROR(__xludf.DUMMYFUNCTION("""COMPUTED_VALUE"""),1330)</f>
        <v>1330</v>
      </c>
      <c r="Q100" s="1">
        <f ca="1">IFERROR(__xludf.DUMMYFUNCTION("""COMPUTED_VALUE"""),820)</f>
        <v>820</v>
      </c>
      <c r="R100" s="1">
        <f ca="1">IFERROR(__xludf.DUMMYFUNCTION("""COMPUTED_VALUE"""),2019)</f>
        <v>2019</v>
      </c>
      <c r="S100" s="1">
        <f ca="1">IFERROR(__xludf.DUMMYFUNCTION("""COMPUTED_VALUE"""),0.406)</f>
        <v>0.40600000000000003</v>
      </c>
      <c r="T100" s="1">
        <f ca="1">IFERROR(__xludf.DUMMYFUNCTION("""COMPUTED_VALUE"""),183)</f>
        <v>183</v>
      </c>
      <c r="U100" s="1">
        <f ca="1">IFERROR(__xludf.DUMMYFUNCTION("""COMPUTED_VALUE"""),569)</f>
        <v>569</v>
      </c>
      <c r="V100" s="1">
        <f ca="1">IFERROR(__xludf.DUMMYFUNCTION("""COMPUTED_VALUE"""),0.322)</f>
        <v>0.32200000000000001</v>
      </c>
      <c r="W100" s="1">
        <f ca="1">IFERROR(__xludf.DUMMYFUNCTION("""COMPUTED_VALUE"""),352)</f>
        <v>352</v>
      </c>
      <c r="X100" s="1">
        <f ca="1">IFERROR(__xludf.DUMMYFUNCTION("""COMPUTED_VALUE"""),572)</f>
        <v>572</v>
      </c>
      <c r="Y100" s="1">
        <f ca="1">IFERROR(__xludf.DUMMYFUNCTION("""COMPUTED_VALUE"""),0.615)</f>
        <v>0.61499999999999999</v>
      </c>
      <c r="Z100" s="1">
        <f ca="1">IFERROR(__xludf.DUMMYFUNCTION("""COMPUTED_VALUE"""),479)</f>
        <v>479</v>
      </c>
      <c r="AA100" s="1">
        <f ca="1">IFERROR(__xludf.DUMMYFUNCTION("""COMPUTED_VALUE"""),1072)</f>
        <v>1072</v>
      </c>
      <c r="AB100" s="1">
        <f ca="1">IFERROR(__xludf.DUMMYFUNCTION("""COMPUTED_VALUE"""),344)</f>
        <v>344</v>
      </c>
      <c r="AC100" s="1">
        <f ca="1">IFERROR(__xludf.DUMMYFUNCTION("""COMPUTED_VALUE"""),269)</f>
        <v>269</v>
      </c>
      <c r="AD100" s="1">
        <f ca="1">IFERROR(__xludf.DUMMYFUNCTION("""COMPUTED_VALUE"""),145)</f>
        <v>145</v>
      </c>
      <c r="AE100" s="1">
        <f ca="1">IFERROR(__xludf.DUMMYFUNCTION("""COMPUTED_VALUE"""),520)</f>
        <v>520</v>
      </c>
      <c r="AF100" s="1">
        <f ca="1">IFERROR(__xludf.DUMMYFUNCTION("""COMPUTED_VALUE"""),671)</f>
        <v>671</v>
      </c>
    </row>
    <row r="101" spans="1:32" ht="12.5" x14ac:dyDescent="0.25">
      <c r="A101" s="1" t="str">
        <f ca="1">IFERROR(__xludf.DUMMYFUNCTION("""COMPUTED_VALUE"""),"Florida Atlantic")</f>
        <v>Florida Atlantic</v>
      </c>
      <c r="B101" s="1">
        <f ca="1">IFERROR(__xludf.DUMMYFUNCTION("""COMPUTED_VALUE"""),30)</f>
        <v>30</v>
      </c>
      <c r="C101" s="1">
        <f ca="1">IFERROR(__xludf.DUMMYFUNCTION("""COMPUTED_VALUE"""),11)</f>
        <v>11</v>
      </c>
      <c r="D101" s="1">
        <f ca="1">IFERROR(__xludf.DUMMYFUNCTION("""COMPUTED_VALUE"""),19)</f>
        <v>19</v>
      </c>
      <c r="E101" s="1">
        <f ca="1">IFERROR(__xludf.DUMMYFUNCTION("""COMPUTED_VALUE"""),0.367)</f>
        <v>0.36699999999999999</v>
      </c>
      <c r="F101" s="1">
        <f ca="1">IFERROR(__xludf.DUMMYFUNCTION("""COMPUTED_VALUE"""),-2.58)</f>
        <v>-2.58</v>
      </c>
      <c r="G101" s="1">
        <f ca="1">IFERROR(__xludf.DUMMYFUNCTION("""COMPUTED_VALUE"""),0.77)</f>
        <v>0.77</v>
      </c>
      <c r="H101" s="1">
        <f ca="1">IFERROR(__xludf.DUMMYFUNCTION("""COMPUTED_VALUE"""),7)</f>
        <v>7</v>
      </c>
      <c r="I101" s="1">
        <f ca="1">IFERROR(__xludf.DUMMYFUNCTION("""COMPUTED_VALUE"""),9)</f>
        <v>9</v>
      </c>
      <c r="J101" s="1">
        <f ca="1">IFERROR(__xludf.DUMMYFUNCTION("""COMPUTED_VALUE"""),6)</f>
        <v>6</v>
      </c>
      <c r="K101" s="1">
        <f ca="1">IFERROR(__xludf.DUMMYFUNCTION("""COMPUTED_VALUE"""),5)</f>
        <v>5</v>
      </c>
      <c r="L101" s="1">
        <f ca="1">IFERROR(__xludf.DUMMYFUNCTION("""COMPUTED_VALUE"""),4)</f>
        <v>4</v>
      </c>
      <c r="M101" s="1">
        <f ca="1">IFERROR(__xludf.DUMMYFUNCTION("""COMPUTED_VALUE"""),11)</f>
        <v>11</v>
      </c>
      <c r="N101" s="1">
        <f ca="1">IFERROR(__xludf.DUMMYFUNCTION("""COMPUTED_VALUE"""),1977)</f>
        <v>1977</v>
      </c>
      <c r="O101" s="1">
        <f ca="1">IFERROR(__xludf.DUMMYFUNCTION("""COMPUTED_VALUE"""),2046)</f>
        <v>2046</v>
      </c>
      <c r="P101" s="1">
        <f ca="1">IFERROR(__xludf.DUMMYFUNCTION("""COMPUTED_VALUE"""),1230)</f>
        <v>1230</v>
      </c>
      <c r="Q101" s="1">
        <f ca="1">IFERROR(__xludf.DUMMYFUNCTION("""COMPUTED_VALUE"""),718)</f>
        <v>718</v>
      </c>
      <c r="R101" s="1">
        <f ca="1">IFERROR(__xludf.DUMMYFUNCTION("""COMPUTED_VALUE"""),1738)</f>
        <v>1738</v>
      </c>
      <c r="S101" s="1">
        <f ca="1">IFERROR(__xludf.DUMMYFUNCTION("""COMPUTED_VALUE"""),0.413)</f>
        <v>0.41299999999999998</v>
      </c>
      <c r="T101" s="1">
        <f ca="1">IFERROR(__xludf.DUMMYFUNCTION("""COMPUTED_VALUE"""),208)</f>
        <v>208</v>
      </c>
      <c r="U101" s="1">
        <f ca="1">IFERROR(__xludf.DUMMYFUNCTION("""COMPUTED_VALUE"""),613)</f>
        <v>613</v>
      </c>
      <c r="V101" s="1">
        <f ca="1">IFERROR(__xludf.DUMMYFUNCTION("""COMPUTED_VALUE"""),0.339)</f>
        <v>0.33900000000000002</v>
      </c>
      <c r="W101" s="1">
        <f ca="1">IFERROR(__xludf.DUMMYFUNCTION("""COMPUTED_VALUE"""),333)</f>
        <v>333</v>
      </c>
      <c r="X101" s="1">
        <f ca="1">IFERROR(__xludf.DUMMYFUNCTION("""COMPUTED_VALUE"""),502)</f>
        <v>502</v>
      </c>
      <c r="Y101" s="1">
        <f ca="1">IFERROR(__xludf.DUMMYFUNCTION("""COMPUTED_VALUE"""),0.663)</f>
        <v>0.66300000000000003</v>
      </c>
      <c r="Z101" s="1">
        <f ca="1">IFERROR(__xludf.DUMMYFUNCTION("""COMPUTED_VALUE"""),358)</f>
        <v>358</v>
      </c>
      <c r="AA101" s="1">
        <f ca="1">IFERROR(__xludf.DUMMYFUNCTION("""COMPUTED_VALUE"""),901)</f>
        <v>901</v>
      </c>
      <c r="AB101" s="1">
        <f ca="1">IFERROR(__xludf.DUMMYFUNCTION("""COMPUTED_VALUE"""),382)</f>
        <v>382</v>
      </c>
      <c r="AC101" s="1">
        <f ca="1">IFERROR(__xludf.DUMMYFUNCTION("""COMPUTED_VALUE"""),201)</f>
        <v>201</v>
      </c>
      <c r="AD101" s="1">
        <f ca="1">IFERROR(__xludf.DUMMYFUNCTION("""COMPUTED_VALUE"""),128)</f>
        <v>128</v>
      </c>
      <c r="AE101" s="1">
        <f ca="1">IFERROR(__xludf.DUMMYFUNCTION("""COMPUTED_VALUE"""),366)</f>
        <v>366</v>
      </c>
      <c r="AF101" s="1">
        <f ca="1">IFERROR(__xludf.DUMMYFUNCTION("""COMPUTED_VALUE"""),574)</f>
        <v>574</v>
      </c>
    </row>
    <row r="102" spans="1:32" ht="12.5" x14ac:dyDescent="0.25">
      <c r="A102" s="1" t="str">
        <f ca="1">IFERROR(__xludf.DUMMYFUNCTION("""COMPUTED_VALUE"""),"Florida Gulf Coast")</f>
        <v>Florida Gulf Coast</v>
      </c>
      <c r="B102" s="1">
        <f ca="1">IFERROR(__xludf.DUMMYFUNCTION("""COMPUTED_VALUE"""),32)</f>
        <v>32</v>
      </c>
      <c r="C102" s="1">
        <f ca="1">IFERROR(__xludf.DUMMYFUNCTION("""COMPUTED_VALUE"""),15)</f>
        <v>15</v>
      </c>
      <c r="D102" s="1">
        <f ca="1">IFERROR(__xludf.DUMMYFUNCTION("""COMPUTED_VALUE"""),17)</f>
        <v>17</v>
      </c>
      <c r="E102" s="1">
        <f ca="1">IFERROR(__xludf.DUMMYFUNCTION("""COMPUTED_VALUE"""),0.469)</f>
        <v>0.46899999999999997</v>
      </c>
      <c r="F102" s="1">
        <f ca="1">IFERROR(__xludf.DUMMYFUNCTION("""COMPUTED_VALUE"""),-2.41)</f>
        <v>-2.41</v>
      </c>
      <c r="G102" s="1">
        <f ca="1">IFERROR(__xludf.DUMMYFUNCTION("""COMPUTED_VALUE"""),-1.96)</f>
        <v>-1.96</v>
      </c>
      <c r="H102" s="1">
        <f ca="1">IFERROR(__xludf.DUMMYFUNCTION("""COMPUTED_VALUE"""),8)</f>
        <v>8</v>
      </c>
      <c r="I102" s="1">
        <f ca="1">IFERROR(__xludf.DUMMYFUNCTION("""COMPUTED_VALUE"""),10)</f>
        <v>10</v>
      </c>
      <c r="J102" s="1">
        <f ca="1">IFERROR(__xludf.DUMMYFUNCTION("""COMPUTED_VALUE"""),9)</f>
        <v>9</v>
      </c>
      <c r="K102" s="1">
        <f ca="1">IFERROR(__xludf.DUMMYFUNCTION("""COMPUTED_VALUE"""),5)</f>
        <v>5</v>
      </c>
      <c r="L102" s="1">
        <f ca="1">IFERROR(__xludf.DUMMYFUNCTION("""COMPUTED_VALUE"""),5)</f>
        <v>5</v>
      </c>
      <c r="M102" s="1">
        <f ca="1">IFERROR(__xludf.DUMMYFUNCTION("""COMPUTED_VALUE"""),11)</f>
        <v>11</v>
      </c>
      <c r="N102" s="1">
        <f ca="1">IFERROR(__xludf.DUMMYFUNCTION("""COMPUTED_VALUE"""),2306)</f>
        <v>2306</v>
      </c>
      <c r="O102" s="1">
        <f ca="1">IFERROR(__xludf.DUMMYFUNCTION("""COMPUTED_VALUE"""),2306)</f>
        <v>2306</v>
      </c>
      <c r="P102" s="1">
        <f ca="1">IFERROR(__xludf.DUMMYFUNCTION("""COMPUTED_VALUE"""),1290)</f>
        <v>1290</v>
      </c>
      <c r="Q102" s="1">
        <f ca="1">IFERROR(__xludf.DUMMYFUNCTION("""COMPUTED_VALUE"""),823)</f>
        <v>823</v>
      </c>
      <c r="R102" s="1">
        <f ca="1">IFERROR(__xludf.DUMMYFUNCTION("""COMPUTED_VALUE"""),1806)</f>
        <v>1806</v>
      </c>
      <c r="S102" s="1">
        <f ca="1">IFERROR(__xludf.DUMMYFUNCTION("""COMPUTED_VALUE"""),0.456)</f>
        <v>0.45600000000000002</v>
      </c>
      <c r="T102" s="1">
        <f ca="1">IFERROR(__xludf.DUMMYFUNCTION("""COMPUTED_VALUE"""),251)</f>
        <v>251</v>
      </c>
      <c r="U102" s="1">
        <f ca="1">IFERROR(__xludf.DUMMYFUNCTION("""COMPUTED_VALUE"""),672)</f>
        <v>672</v>
      </c>
      <c r="V102" s="1">
        <f ca="1">IFERROR(__xludf.DUMMYFUNCTION("""COMPUTED_VALUE"""),0.374)</f>
        <v>0.374</v>
      </c>
      <c r="W102" s="1">
        <f ca="1">IFERROR(__xludf.DUMMYFUNCTION("""COMPUTED_VALUE"""),409)</f>
        <v>409</v>
      </c>
      <c r="X102" s="1">
        <f ca="1">IFERROR(__xludf.DUMMYFUNCTION("""COMPUTED_VALUE"""),608)</f>
        <v>608</v>
      </c>
      <c r="Y102" s="1">
        <f ca="1">IFERROR(__xludf.DUMMYFUNCTION("""COMPUTED_VALUE"""),0.673)</f>
        <v>0.67300000000000004</v>
      </c>
      <c r="Z102" s="1">
        <f ca="1">IFERROR(__xludf.DUMMYFUNCTION("""COMPUTED_VALUE"""),366)</f>
        <v>366</v>
      </c>
      <c r="AA102" s="1">
        <f ca="1">IFERROR(__xludf.DUMMYFUNCTION("""COMPUTED_VALUE"""),1038)</f>
        <v>1038</v>
      </c>
      <c r="AB102" s="1">
        <f ca="1">IFERROR(__xludf.DUMMYFUNCTION("""COMPUTED_VALUE"""),428)</f>
        <v>428</v>
      </c>
      <c r="AC102" s="1">
        <f ca="1">IFERROR(__xludf.DUMMYFUNCTION("""COMPUTED_VALUE"""),261)</f>
        <v>261</v>
      </c>
      <c r="AD102" s="1">
        <f ca="1">IFERROR(__xludf.DUMMYFUNCTION("""COMPUTED_VALUE"""),125)</f>
        <v>125</v>
      </c>
      <c r="AE102" s="1">
        <f ca="1">IFERROR(__xludf.DUMMYFUNCTION("""COMPUTED_VALUE"""),477)</f>
        <v>477</v>
      </c>
      <c r="AF102" s="1">
        <f ca="1">IFERROR(__xludf.DUMMYFUNCTION("""COMPUTED_VALUE"""),612)</f>
        <v>612</v>
      </c>
    </row>
    <row r="103" spans="1:32" ht="12.5" x14ac:dyDescent="0.25">
      <c r="A103" s="1" t="str">
        <f ca="1">IFERROR(__xludf.DUMMYFUNCTION("""COMPUTED_VALUE"""),"Florida International")</f>
        <v>Florida International</v>
      </c>
      <c r="B103" s="1">
        <f ca="1">IFERROR(__xludf.DUMMYFUNCTION("""COMPUTED_VALUE"""),29)</f>
        <v>29</v>
      </c>
      <c r="C103" s="1">
        <f ca="1">IFERROR(__xludf.DUMMYFUNCTION("""COMPUTED_VALUE"""),8)</f>
        <v>8</v>
      </c>
      <c r="D103" s="1">
        <f ca="1">IFERROR(__xludf.DUMMYFUNCTION("""COMPUTED_VALUE"""),21)</f>
        <v>21</v>
      </c>
      <c r="E103" s="1">
        <f ca="1">IFERROR(__xludf.DUMMYFUNCTION("""COMPUTED_VALUE"""),0.276)</f>
        <v>0.27600000000000002</v>
      </c>
      <c r="F103" s="1">
        <f ca="1">IFERROR(__xludf.DUMMYFUNCTION("""COMPUTED_VALUE"""),-5.07)</f>
        <v>-5.07</v>
      </c>
      <c r="G103" s="1">
        <f ca="1">IFERROR(__xludf.DUMMYFUNCTION("""COMPUTED_VALUE"""),-1.1)</f>
        <v>-1.1000000000000001</v>
      </c>
      <c r="H103" s="1">
        <f ca="1">IFERROR(__xludf.DUMMYFUNCTION("""COMPUTED_VALUE"""),5)</f>
        <v>5</v>
      </c>
      <c r="I103" s="1">
        <f ca="1">IFERROR(__xludf.DUMMYFUNCTION("""COMPUTED_VALUE"""),11)</f>
        <v>11</v>
      </c>
      <c r="J103" s="1">
        <f ca="1">IFERROR(__xludf.DUMMYFUNCTION("""COMPUTED_VALUE"""),2)</f>
        <v>2</v>
      </c>
      <c r="K103" s="1">
        <f ca="1">IFERROR(__xludf.DUMMYFUNCTION("""COMPUTED_VALUE"""),9)</f>
        <v>9</v>
      </c>
      <c r="L103" s="1">
        <f ca="1">IFERROR(__xludf.DUMMYFUNCTION("""COMPUTED_VALUE"""),5)</f>
        <v>5</v>
      </c>
      <c r="M103" s="1">
        <f ca="1">IFERROR(__xludf.DUMMYFUNCTION("""COMPUTED_VALUE"""),9)</f>
        <v>9</v>
      </c>
      <c r="N103" s="1">
        <f ca="1">IFERROR(__xludf.DUMMYFUNCTION("""COMPUTED_VALUE"""),1836)</f>
        <v>1836</v>
      </c>
      <c r="O103" s="1">
        <f ca="1">IFERROR(__xludf.DUMMYFUNCTION("""COMPUTED_VALUE"""),1951)</f>
        <v>1951</v>
      </c>
      <c r="P103" s="1">
        <f ca="1">IFERROR(__xludf.DUMMYFUNCTION("""COMPUTED_VALUE"""),1175)</f>
        <v>1175</v>
      </c>
      <c r="Q103" s="1">
        <f ca="1">IFERROR(__xludf.DUMMYFUNCTION("""COMPUTED_VALUE"""),630)</f>
        <v>630</v>
      </c>
      <c r="R103" s="1">
        <f ca="1">IFERROR(__xludf.DUMMYFUNCTION("""COMPUTED_VALUE"""),1514)</f>
        <v>1514</v>
      </c>
      <c r="S103" s="1">
        <f ca="1">IFERROR(__xludf.DUMMYFUNCTION("""COMPUTED_VALUE"""),0.416)</f>
        <v>0.41599999999999998</v>
      </c>
      <c r="T103" s="1">
        <f ca="1">IFERROR(__xludf.DUMMYFUNCTION("""COMPUTED_VALUE"""),150)</f>
        <v>150</v>
      </c>
      <c r="U103" s="1">
        <f ca="1">IFERROR(__xludf.DUMMYFUNCTION("""COMPUTED_VALUE"""),447)</f>
        <v>447</v>
      </c>
      <c r="V103" s="1">
        <f ca="1">IFERROR(__xludf.DUMMYFUNCTION("""COMPUTED_VALUE"""),0.336)</f>
        <v>0.33600000000000002</v>
      </c>
      <c r="W103" s="1">
        <f ca="1">IFERROR(__xludf.DUMMYFUNCTION("""COMPUTED_VALUE"""),426)</f>
        <v>426</v>
      </c>
      <c r="X103" s="1">
        <f ca="1">IFERROR(__xludf.DUMMYFUNCTION("""COMPUTED_VALUE"""),588)</f>
        <v>588</v>
      </c>
      <c r="Y103" s="1">
        <f ca="1">IFERROR(__xludf.DUMMYFUNCTION("""COMPUTED_VALUE"""),0.724)</f>
        <v>0.72399999999999998</v>
      </c>
      <c r="Z103" s="1">
        <f ca="1">IFERROR(__xludf.DUMMYFUNCTION("""COMPUTED_VALUE"""),317)</f>
        <v>317</v>
      </c>
      <c r="AA103" s="1">
        <f ca="1">IFERROR(__xludf.DUMMYFUNCTION("""COMPUTED_VALUE"""),841)</f>
        <v>841</v>
      </c>
      <c r="AB103" s="1">
        <f ca="1">IFERROR(__xludf.DUMMYFUNCTION("""COMPUTED_VALUE"""),271)</f>
        <v>271</v>
      </c>
      <c r="AC103" s="1">
        <f ca="1">IFERROR(__xludf.DUMMYFUNCTION("""COMPUTED_VALUE"""),216)</f>
        <v>216</v>
      </c>
      <c r="AD103" s="1">
        <f ca="1">IFERROR(__xludf.DUMMYFUNCTION("""COMPUTED_VALUE"""),110)</f>
        <v>110</v>
      </c>
      <c r="AE103" s="1">
        <f ca="1">IFERROR(__xludf.DUMMYFUNCTION("""COMPUTED_VALUE"""),424)</f>
        <v>424</v>
      </c>
      <c r="AF103" s="1">
        <f ca="1">IFERROR(__xludf.DUMMYFUNCTION("""COMPUTED_VALUE"""),586)</f>
        <v>586</v>
      </c>
    </row>
    <row r="104" spans="1:32" ht="12.5" x14ac:dyDescent="0.25">
      <c r="A104" s="1" t="str">
        <f ca="1">IFERROR(__xludf.DUMMYFUNCTION("""COMPUTED_VALUE"""),"Florida StateNCAA")</f>
        <v>Florida StateNCAA</v>
      </c>
      <c r="B104" s="1">
        <f ca="1">IFERROR(__xludf.DUMMYFUNCTION("""COMPUTED_VALUE"""),35)</f>
        <v>35</v>
      </c>
      <c r="C104" s="1">
        <f ca="1">IFERROR(__xludf.DUMMYFUNCTION("""COMPUTED_VALUE"""),25)</f>
        <v>25</v>
      </c>
      <c r="D104" s="1">
        <f ca="1">IFERROR(__xludf.DUMMYFUNCTION("""COMPUTED_VALUE"""),10)</f>
        <v>10</v>
      </c>
      <c r="E104" s="1">
        <f ca="1">IFERROR(__xludf.DUMMYFUNCTION("""COMPUTED_VALUE"""),0.714)</f>
        <v>0.71399999999999997</v>
      </c>
      <c r="F104" s="1">
        <f ca="1">IFERROR(__xludf.DUMMYFUNCTION("""COMPUTED_VALUE"""),14.53)</f>
        <v>14.53</v>
      </c>
      <c r="G104" s="1">
        <f ca="1">IFERROR(__xludf.DUMMYFUNCTION("""COMPUTED_VALUE"""),7.62)</f>
        <v>7.62</v>
      </c>
      <c r="H104" s="1">
        <f ca="1">IFERROR(__xludf.DUMMYFUNCTION("""COMPUTED_VALUE"""),12)</f>
        <v>12</v>
      </c>
      <c r="I104" s="1">
        <f ca="1">IFERROR(__xludf.DUMMYFUNCTION("""COMPUTED_VALUE"""),4)</f>
        <v>4</v>
      </c>
      <c r="J104" s="1">
        <f ca="1">IFERROR(__xludf.DUMMYFUNCTION("""COMPUTED_VALUE"""),15)</f>
        <v>15</v>
      </c>
      <c r="K104" s="1">
        <f ca="1">IFERROR(__xludf.DUMMYFUNCTION("""COMPUTED_VALUE"""),2)</f>
        <v>2</v>
      </c>
      <c r="L104" s="1">
        <f ca="1">IFERROR(__xludf.DUMMYFUNCTION("""COMPUTED_VALUE"""),5)</f>
        <v>5</v>
      </c>
      <c r="M104" s="1">
        <f ca="1">IFERROR(__xludf.DUMMYFUNCTION("""COMPUTED_VALUE"""),5)</f>
        <v>5</v>
      </c>
      <c r="N104" s="1">
        <f ca="1">IFERROR(__xludf.DUMMYFUNCTION("""COMPUTED_VALUE"""),2443)</f>
        <v>2443</v>
      </c>
      <c r="O104" s="1">
        <f ca="1">IFERROR(__xludf.DUMMYFUNCTION("""COMPUTED_VALUE"""),2201)</f>
        <v>2201</v>
      </c>
      <c r="P104" s="1">
        <f ca="1">IFERROR(__xludf.DUMMYFUNCTION("""COMPUTED_VALUE"""),1420)</f>
        <v>1420</v>
      </c>
      <c r="Q104" s="1">
        <f ca="1">IFERROR(__xludf.DUMMYFUNCTION("""COMPUTED_VALUE"""),877)</f>
        <v>877</v>
      </c>
      <c r="R104" s="1">
        <f ca="1">IFERROR(__xludf.DUMMYFUNCTION("""COMPUTED_VALUE"""),1923)</f>
        <v>1923</v>
      </c>
      <c r="S104" s="1">
        <f ca="1">IFERROR(__xludf.DUMMYFUNCTION("""COMPUTED_VALUE"""),0.456)</f>
        <v>0.45600000000000002</v>
      </c>
      <c r="T104" s="1">
        <f ca="1">IFERROR(__xludf.DUMMYFUNCTION("""COMPUTED_VALUE"""),216)</f>
        <v>216</v>
      </c>
      <c r="U104" s="1">
        <f ca="1">IFERROR(__xludf.DUMMYFUNCTION("""COMPUTED_VALUE"""),611)</f>
        <v>611</v>
      </c>
      <c r="V104" s="1">
        <f ca="1">IFERROR(__xludf.DUMMYFUNCTION("""COMPUTED_VALUE"""),0.354)</f>
        <v>0.35399999999999998</v>
      </c>
      <c r="W104" s="1">
        <f ca="1">IFERROR(__xludf.DUMMYFUNCTION("""COMPUTED_VALUE"""),473)</f>
        <v>473</v>
      </c>
      <c r="X104" s="1">
        <f ca="1">IFERROR(__xludf.DUMMYFUNCTION("""COMPUTED_VALUE"""),669)</f>
        <v>669</v>
      </c>
      <c r="Y104" s="1">
        <f ca="1">IFERROR(__xludf.DUMMYFUNCTION("""COMPUTED_VALUE"""),0.707)</f>
        <v>0.70699999999999996</v>
      </c>
      <c r="Z104" s="1">
        <f ca="1">IFERROR(__xludf.DUMMYFUNCTION("""COMPUTED_VALUE"""),398)</f>
        <v>398</v>
      </c>
      <c r="AA104" s="1">
        <f ca="1">IFERROR(__xludf.DUMMYFUNCTION("""COMPUTED_VALUE"""),1169)</f>
        <v>1169</v>
      </c>
      <c r="AB104" s="1">
        <f ca="1">IFERROR(__xludf.DUMMYFUNCTION("""COMPUTED_VALUE"""),427)</f>
        <v>427</v>
      </c>
      <c r="AC104" s="1">
        <f ca="1">IFERROR(__xludf.DUMMYFUNCTION("""COMPUTED_VALUE"""),265)</f>
        <v>265</v>
      </c>
      <c r="AD104" s="1">
        <f ca="1">IFERROR(__xludf.DUMMYFUNCTION("""COMPUTED_VALUE"""),213)</f>
        <v>213</v>
      </c>
      <c r="AE104" s="1">
        <f ca="1">IFERROR(__xludf.DUMMYFUNCTION("""COMPUTED_VALUE"""),550)</f>
        <v>550</v>
      </c>
      <c r="AF104" s="1">
        <f ca="1">IFERROR(__xludf.DUMMYFUNCTION("""COMPUTED_VALUE"""),653)</f>
        <v>653</v>
      </c>
    </row>
    <row r="105" spans="1:32" ht="12.5" x14ac:dyDescent="0.25">
      <c r="A105" s="1" t="str">
        <f ca="1">IFERROR(__xludf.DUMMYFUNCTION("""COMPUTED_VALUE"""),"FloridaNCAA")</f>
        <v>FloridaNCAA</v>
      </c>
      <c r="B105" s="1">
        <f ca="1">IFERROR(__xludf.DUMMYFUNCTION("""COMPUTED_VALUE"""),37)</f>
        <v>37</v>
      </c>
      <c r="C105" s="1">
        <f ca="1">IFERROR(__xludf.DUMMYFUNCTION("""COMPUTED_VALUE"""),26)</f>
        <v>26</v>
      </c>
      <c r="D105" s="1">
        <f ca="1">IFERROR(__xludf.DUMMYFUNCTION("""COMPUTED_VALUE"""),11)</f>
        <v>11</v>
      </c>
      <c r="E105" s="1">
        <f ca="1">IFERROR(__xludf.DUMMYFUNCTION("""COMPUTED_VALUE"""),0.703)</f>
        <v>0.70299999999999996</v>
      </c>
      <c r="F105" s="1">
        <f ca="1">IFERROR(__xludf.DUMMYFUNCTION("""COMPUTED_VALUE"""),18.25)</f>
        <v>18.25</v>
      </c>
      <c r="G105" s="1">
        <f ca="1">IFERROR(__xludf.DUMMYFUNCTION("""COMPUTED_VALUE"""),7.33)</f>
        <v>7.33</v>
      </c>
      <c r="H105" s="1">
        <f ca="1">IFERROR(__xludf.DUMMYFUNCTION("""COMPUTED_VALUE"""),10)</f>
        <v>10</v>
      </c>
      <c r="I105" s="1">
        <f ca="1">IFERROR(__xludf.DUMMYFUNCTION("""COMPUTED_VALUE"""),6)</f>
        <v>6</v>
      </c>
      <c r="J105" s="1">
        <f ca="1">IFERROR(__xludf.DUMMYFUNCTION("""COMPUTED_VALUE"""),14)</f>
        <v>14</v>
      </c>
      <c r="K105" s="1">
        <f ca="1">IFERROR(__xludf.DUMMYFUNCTION("""COMPUTED_VALUE"""),2)</f>
        <v>2</v>
      </c>
      <c r="L105" s="1">
        <f ca="1">IFERROR(__xludf.DUMMYFUNCTION("""COMPUTED_VALUE"""),4)</f>
        <v>4</v>
      </c>
      <c r="M105" s="1">
        <f ca="1">IFERROR(__xludf.DUMMYFUNCTION("""COMPUTED_VALUE"""),7)</f>
        <v>7</v>
      </c>
      <c r="N105" s="1">
        <f ca="1">IFERROR(__xludf.DUMMYFUNCTION("""COMPUTED_VALUE"""),2808)</f>
        <v>2808</v>
      </c>
      <c r="O105" s="1">
        <f ca="1">IFERROR(__xludf.DUMMYFUNCTION("""COMPUTED_VALUE"""),2404)</f>
        <v>2404</v>
      </c>
      <c r="P105" s="1">
        <f ca="1">IFERROR(__xludf.DUMMYFUNCTION("""COMPUTED_VALUE"""),1495)</f>
        <v>1495</v>
      </c>
      <c r="Q105" s="1">
        <f ca="1">IFERROR(__xludf.DUMMYFUNCTION("""COMPUTED_VALUE"""),976)</f>
        <v>976</v>
      </c>
      <c r="R105" s="1">
        <f ca="1">IFERROR(__xludf.DUMMYFUNCTION("""COMPUTED_VALUE"""),2106)</f>
        <v>2106</v>
      </c>
      <c r="S105" s="1">
        <f ca="1">IFERROR(__xludf.DUMMYFUNCTION("""COMPUTED_VALUE"""),0.463)</f>
        <v>0.46300000000000002</v>
      </c>
      <c r="T105" s="1">
        <f ca="1">IFERROR(__xludf.DUMMYFUNCTION("""COMPUTED_VALUE"""),357)</f>
        <v>357</v>
      </c>
      <c r="U105" s="1">
        <f ca="1">IFERROR(__xludf.DUMMYFUNCTION("""COMPUTED_VALUE"""),939)</f>
        <v>939</v>
      </c>
      <c r="V105" s="1">
        <f ca="1">IFERROR(__xludf.DUMMYFUNCTION("""COMPUTED_VALUE"""),0.38)</f>
        <v>0.38</v>
      </c>
      <c r="W105" s="1">
        <f ca="1">IFERROR(__xludf.DUMMYFUNCTION("""COMPUTED_VALUE"""),499)</f>
        <v>499</v>
      </c>
      <c r="X105" s="1">
        <f ca="1">IFERROR(__xludf.DUMMYFUNCTION("""COMPUTED_VALUE"""),700)</f>
        <v>700</v>
      </c>
      <c r="Y105" s="1">
        <f ca="1">IFERROR(__xludf.DUMMYFUNCTION("""COMPUTED_VALUE"""),0.713)</f>
        <v>0.71299999999999997</v>
      </c>
      <c r="Z105" s="1">
        <f ca="1">IFERROR(__xludf.DUMMYFUNCTION("""COMPUTED_VALUE"""),416)</f>
        <v>416</v>
      </c>
      <c r="AA105" s="1">
        <f ca="1">IFERROR(__xludf.DUMMYFUNCTION("""COMPUTED_VALUE"""),1180)</f>
        <v>1180</v>
      </c>
      <c r="AB105" s="1">
        <f ca="1">IFERROR(__xludf.DUMMYFUNCTION("""COMPUTED_VALUE"""),551)</f>
        <v>551</v>
      </c>
      <c r="AC105" s="1">
        <f ca="1">IFERROR(__xludf.DUMMYFUNCTION("""COMPUTED_VALUE"""),233)</f>
        <v>233</v>
      </c>
      <c r="AD105" s="1">
        <f ca="1">IFERROR(__xludf.DUMMYFUNCTION("""COMPUTED_VALUE"""),124)</f>
        <v>124</v>
      </c>
      <c r="AE105" s="1">
        <f ca="1">IFERROR(__xludf.DUMMYFUNCTION("""COMPUTED_VALUE"""),410)</f>
        <v>410</v>
      </c>
      <c r="AF105" s="1">
        <f ca="1">IFERROR(__xludf.DUMMYFUNCTION("""COMPUTED_VALUE"""),575)</f>
        <v>575</v>
      </c>
    </row>
    <row r="106" spans="1:32" ht="12.5" x14ac:dyDescent="0.25">
      <c r="A106" s="1" t="str">
        <f ca="1">IFERROR(__xludf.DUMMYFUNCTION("""COMPUTED_VALUE"""),"Fordham")</f>
        <v>Fordham</v>
      </c>
      <c r="B106" s="1">
        <f ca="1">IFERROR(__xludf.DUMMYFUNCTION("""COMPUTED_VALUE"""),29)</f>
        <v>29</v>
      </c>
      <c r="C106" s="1">
        <f ca="1">IFERROR(__xludf.DUMMYFUNCTION("""COMPUTED_VALUE"""),10)</f>
        <v>10</v>
      </c>
      <c r="D106" s="1">
        <f ca="1">IFERROR(__xludf.DUMMYFUNCTION("""COMPUTED_VALUE"""),19)</f>
        <v>19</v>
      </c>
      <c r="E106" s="1">
        <f ca="1">IFERROR(__xludf.DUMMYFUNCTION("""COMPUTED_VALUE"""),0.345)</f>
        <v>0.34499999999999997</v>
      </c>
      <c r="F106" s="1">
        <f ca="1">IFERROR(__xludf.DUMMYFUNCTION("""COMPUTED_VALUE"""),-7.63)</f>
        <v>-7.63</v>
      </c>
      <c r="G106" s="1">
        <f ca="1">IFERROR(__xludf.DUMMYFUNCTION("""COMPUTED_VALUE"""),1.92)</f>
        <v>1.92</v>
      </c>
      <c r="H106" s="1">
        <f ca="1">IFERROR(__xludf.DUMMYFUNCTION("""COMPUTED_VALUE"""),3)</f>
        <v>3</v>
      </c>
      <c r="I106" s="1">
        <f ca="1">IFERROR(__xludf.DUMMYFUNCTION("""COMPUTED_VALUE"""),13)</f>
        <v>13</v>
      </c>
      <c r="J106" s="1">
        <f ca="1">IFERROR(__xludf.DUMMYFUNCTION("""COMPUTED_VALUE"""),9)</f>
        <v>9</v>
      </c>
      <c r="K106" s="1">
        <f ca="1">IFERROR(__xludf.DUMMYFUNCTION("""COMPUTED_VALUE"""),6)</f>
        <v>6</v>
      </c>
      <c r="L106" s="1">
        <f ca="1">IFERROR(__xludf.DUMMYFUNCTION("""COMPUTED_VALUE"""),1)</f>
        <v>1</v>
      </c>
      <c r="M106" s="1">
        <f ca="1">IFERROR(__xludf.DUMMYFUNCTION("""COMPUTED_VALUE"""),13)</f>
        <v>13</v>
      </c>
      <c r="N106" s="1">
        <f ca="1">IFERROR(__xludf.DUMMYFUNCTION("""COMPUTED_VALUE"""),1797)</f>
        <v>1797</v>
      </c>
      <c r="O106" s="1">
        <f ca="1">IFERROR(__xludf.DUMMYFUNCTION("""COMPUTED_VALUE"""),2074)</f>
        <v>2074</v>
      </c>
      <c r="P106" s="1">
        <f ca="1">IFERROR(__xludf.DUMMYFUNCTION("""COMPUTED_VALUE"""),1165)</f>
        <v>1165</v>
      </c>
      <c r="Q106" s="1">
        <f ca="1">IFERROR(__xludf.DUMMYFUNCTION("""COMPUTED_VALUE"""),663)</f>
        <v>663</v>
      </c>
      <c r="R106" s="1">
        <f ca="1">IFERROR(__xludf.DUMMYFUNCTION("""COMPUTED_VALUE"""),1729)</f>
        <v>1729</v>
      </c>
      <c r="S106" s="1">
        <f ca="1">IFERROR(__xludf.DUMMYFUNCTION("""COMPUTED_VALUE"""),0.383)</f>
        <v>0.38300000000000001</v>
      </c>
      <c r="T106" s="1">
        <f ca="1">IFERROR(__xludf.DUMMYFUNCTION("""COMPUTED_VALUE"""),138)</f>
        <v>138</v>
      </c>
      <c r="U106" s="1">
        <f ca="1">IFERROR(__xludf.DUMMYFUNCTION("""COMPUTED_VALUE"""),502)</f>
        <v>502</v>
      </c>
      <c r="V106" s="1">
        <f ca="1">IFERROR(__xludf.DUMMYFUNCTION("""COMPUTED_VALUE"""),0.275)</f>
        <v>0.27500000000000002</v>
      </c>
      <c r="W106" s="1">
        <f ca="1">IFERROR(__xludf.DUMMYFUNCTION("""COMPUTED_VALUE"""),333)</f>
        <v>333</v>
      </c>
      <c r="X106" s="1">
        <f ca="1">IFERROR(__xludf.DUMMYFUNCTION("""COMPUTED_VALUE"""),546)</f>
        <v>546</v>
      </c>
      <c r="Y106" s="1">
        <f ca="1">IFERROR(__xludf.DUMMYFUNCTION("""COMPUTED_VALUE"""),0.61)</f>
        <v>0.61</v>
      </c>
      <c r="Z106" s="1">
        <f ca="1">IFERROR(__xludf.DUMMYFUNCTION("""COMPUTED_VALUE"""),423)</f>
        <v>423</v>
      </c>
      <c r="AA106" s="1">
        <f ca="1">IFERROR(__xludf.DUMMYFUNCTION("""COMPUTED_VALUE"""),991)</f>
        <v>991</v>
      </c>
      <c r="AB106" s="1">
        <f ca="1">IFERROR(__xludf.DUMMYFUNCTION("""COMPUTED_VALUE"""),347)</f>
        <v>347</v>
      </c>
      <c r="AC106" s="1">
        <f ca="1">IFERROR(__xludf.DUMMYFUNCTION("""COMPUTED_VALUE"""),189)</f>
        <v>189</v>
      </c>
      <c r="AD106" s="1">
        <f ca="1">IFERROR(__xludf.DUMMYFUNCTION("""COMPUTED_VALUE"""),163)</f>
        <v>163</v>
      </c>
      <c r="AE106" s="1">
        <f ca="1">IFERROR(__xludf.DUMMYFUNCTION("""COMPUTED_VALUE"""),399)</f>
        <v>399</v>
      </c>
      <c r="AF106" s="1">
        <f ca="1">IFERROR(__xludf.DUMMYFUNCTION("""COMPUTED_VALUE"""),516)</f>
        <v>516</v>
      </c>
    </row>
    <row r="107" spans="1:32" ht="12.5" x14ac:dyDescent="0.25">
      <c r="A107" s="1" t="str">
        <f ca="1">IFERROR(__xludf.DUMMYFUNCTION("""COMPUTED_VALUE"""),"Fresno State")</f>
        <v>Fresno State</v>
      </c>
      <c r="B107" s="1">
        <f ca="1">IFERROR(__xludf.DUMMYFUNCTION("""COMPUTED_VALUE"""),33)</f>
        <v>33</v>
      </c>
      <c r="C107" s="1">
        <f ca="1">IFERROR(__xludf.DUMMYFUNCTION("""COMPUTED_VALUE"""),13)</f>
        <v>13</v>
      </c>
      <c r="D107" s="1">
        <f ca="1">IFERROR(__xludf.DUMMYFUNCTION("""COMPUTED_VALUE"""),20)</f>
        <v>20</v>
      </c>
      <c r="E107" s="1">
        <f ca="1">IFERROR(__xludf.DUMMYFUNCTION("""COMPUTED_VALUE"""),0.394)</f>
        <v>0.39400000000000002</v>
      </c>
      <c r="F107" s="1">
        <f ca="1">IFERROR(__xludf.DUMMYFUNCTION("""COMPUTED_VALUE"""),-0.91)</f>
        <v>-0.91</v>
      </c>
      <c r="G107" s="1">
        <f ca="1">IFERROR(__xludf.DUMMYFUNCTION("""COMPUTED_VALUE"""),0.77)</f>
        <v>0.77</v>
      </c>
      <c r="H107" s="1">
        <f ca="1">IFERROR(__xludf.DUMMYFUNCTION("""COMPUTED_VALUE"""),3)</f>
        <v>3</v>
      </c>
      <c r="I107" s="1">
        <f ca="1">IFERROR(__xludf.DUMMYFUNCTION("""COMPUTED_VALUE"""),11)</f>
        <v>11</v>
      </c>
      <c r="J107" s="1">
        <f ca="1">IFERROR(__xludf.DUMMYFUNCTION("""COMPUTED_VALUE"""),9)</f>
        <v>9</v>
      </c>
      <c r="K107" s="1">
        <f ca="1">IFERROR(__xludf.DUMMYFUNCTION("""COMPUTED_VALUE"""),5)</f>
        <v>5</v>
      </c>
      <c r="L107" s="1">
        <f ca="1">IFERROR(__xludf.DUMMYFUNCTION("""COMPUTED_VALUE"""),3)</f>
        <v>3</v>
      </c>
      <c r="M107" s="1">
        <f ca="1">IFERROR(__xludf.DUMMYFUNCTION("""COMPUTED_VALUE"""),12)</f>
        <v>12</v>
      </c>
      <c r="N107" s="1">
        <f ca="1">IFERROR(__xludf.DUMMYFUNCTION("""COMPUTED_VALUE"""),2170)</f>
        <v>2170</v>
      </c>
      <c r="O107" s="1">
        <f ca="1">IFERROR(__xludf.DUMMYFUNCTION("""COMPUTED_VALUE"""),2181)</f>
        <v>2181</v>
      </c>
      <c r="P107" s="1">
        <f ca="1">IFERROR(__xludf.DUMMYFUNCTION("""COMPUTED_VALUE"""),1355)</f>
        <v>1355</v>
      </c>
      <c r="Q107" s="1">
        <f ca="1">IFERROR(__xludf.DUMMYFUNCTION("""COMPUTED_VALUE"""),745)</f>
        <v>745</v>
      </c>
      <c r="R107" s="1">
        <f ca="1">IFERROR(__xludf.DUMMYFUNCTION("""COMPUTED_VALUE"""),1820)</f>
        <v>1820</v>
      </c>
      <c r="S107" s="1">
        <f ca="1">IFERROR(__xludf.DUMMYFUNCTION("""COMPUTED_VALUE"""),0.409)</f>
        <v>0.40899999999999997</v>
      </c>
      <c r="T107" s="1">
        <f ca="1">IFERROR(__xludf.DUMMYFUNCTION("""COMPUTED_VALUE"""),194)</f>
        <v>194</v>
      </c>
      <c r="U107" s="1">
        <f ca="1">IFERROR(__xludf.DUMMYFUNCTION("""COMPUTED_VALUE"""),617)</f>
        <v>617</v>
      </c>
      <c r="V107" s="1">
        <f ca="1">IFERROR(__xludf.DUMMYFUNCTION("""COMPUTED_VALUE"""),0.314)</f>
        <v>0.314</v>
      </c>
      <c r="W107" s="1">
        <f ca="1">IFERROR(__xludf.DUMMYFUNCTION("""COMPUTED_VALUE"""),486)</f>
        <v>486</v>
      </c>
      <c r="X107" s="1">
        <f ca="1">IFERROR(__xludf.DUMMYFUNCTION("""COMPUTED_VALUE"""),674)</f>
        <v>674</v>
      </c>
      <c r="Y107" s="1">
        <f ca="1">IFERROR(__xludf.DUMMYFUNCTION("""COMPUTED_VALUE"""),0.721)</f>
        <v>0.72099999999999997</v>
      </c>
      <c r="Z107" s="1">
        <f ca="1">IFERROR(__xludf.DUMMYFUNCTION("""COMPUTED_VALUE"""),353)</f>
        <v>353</v>
      </c>
      <c r="AA107" s="1">
        <f ca="1">IFERROR(__xludf.DUMMYFUNCTION("""COMPUTED_VALUE"""),953)</f>
        <v>953</v>
      </c>
      <c r="AB107" s="1">
        <f ca="1">IFERROR(__xludf.DUMMYFUNCTION("""COMPUTED_VALUE"""),373)</f>
        <v>373</v>
      </c>
      <c r="AC107" s="1">
        <f ca="1">IFERROR(__xludf.DUMMYFUNCTION("""COMPUTED_VALUE"""),235)</f>
        <v>235</v>
      </c>
      <c r="AD107" s="1">
        <f ca="1">IFERROR(__xludf.DUMMYFUNCTION("""COMPUTED_VALUE"""),103)</f>
        <v>103</v>
      </c>
      <c r="AE107" s="1">
        <f ca="1">IFERROR(__xludf.DUMMYFUNCTION("""COMPUTED_VALUE"""),352)</f>
        <v>352</v>
      </c>
      <c r="AF107" s="1">
        <f ca="1">IFERROR(__xludf.DUMMYFUNCTION("""COMPUTED_VALUE"""),637)</f>
        <v>637</v>
      </c>
    </row>
    <row r="108" spans="1:32" ht="12.5" x14ac:dyDescent="0.25">
      <c r="A108" s="1" t="str">
        <f ca="1">IFERROR(__xludf.DUMMYFUNCTION("""COMPUTED_VALUE"""),"Furman")</f>
        <v>Furman</v>
      </c>
      <c r="B108" s="1">
        <f ca="1">IFERROR(__xludf.DUMMYFUNCTION("""COMPUTED_VALUE"""),31)</f>
        <v>31</v>
      </c>
      <c r="C108" s="1">
        <f ca="1">IFERROR(__xludf.DUMMYFUNCTION("""COMPUTED_VALUE"""),15)</f>
        <v>15</v>
      </c>
      <c r="D108" s="1">
        <f ca="1">IFERROR(__xludf.DUMMYFUNCTION("""COMPUTED_VALUE"""),16)</f>
        <v>16</v>
      </c>
      <c r="E108" s="1">
        <f ca="1">IFERROR(__xludf.DUMMYFUNCTION("""COMPUTED_VALUE"""),0.484)</f>
        <v>0.48399999999999999</v>
      </c>
      <c r="F108" s="1">
        <f ca="1">IFERROR(__xludf.DUMMYFUNCTION("""COMPUTED_VALUE"""),-6.04)</f>
        <v>-6.04</v>
      </c>
      <c r="G108" s="1">
        <f ca="1">IFERROR(__xludf.DUMMYFUNCTION("""COMPUTED_VALUE"""),-3.9)</f>
        <v>-3.9</v>
      </c>
      <c r="H108" s="1">
        <f ca="1">IFERROR(__xludf.DUMMYFUNCTION("""COMPUTED_VALUE"""),8)</f>
        <v>8</v>
      </c>
      <c r="I108" s="1">
        <f ca="1">IFERROR(__xludf.DUMMYFUNCTION("""COMPUTED_VALUE"""),10)</f>
        <v>10</v>
      </c>
      <c r="J108" s="1">
        <f ca="1">IFERROR(__xludf.DUMMYFUNCTION("""COMPUTED_VALUE"""),9)</f>
        <v>9</v>
      </c>
      <c r="K108" s="1">
        <f ca="1">IFERROR(__xludf.DUMMYFUNCTION("""COMPUTED_VALUE"""),5)</f>
        <v>5</v>
      </c>
      <c r="L108" s="1">
        <f ca="1">IFERROR(__xludf.DUMMYFUNCTION("""COMPUTED_VALUE"""),5)</f>
        <v>5</v>
      </c>
      <c r="M108" s="1">
        <f ca="1">IFERROR(__xludf.DUMMYFUNCTION("""COMPUTED_VALUE"""),10)</f>
        <v>10</v>
      </c>
      <c r="N108" s="1">
        <f ca="1">IFERROR(__xludf.DUMMYFUNCTION("""COMPUTED_VALUE"""),2006)</f>
        <v>2006</v>
      </c>
      <c r="O108" s="1">
        <f ca="1">IFERROR(__xludf.DUMMYFUNCTION("""COMPUTED_VALUE"""),2022)</f>
        <v>2022</v>
      </c>
      <c r="P108" s="1">
        <f ca="1">IFERROR(__xludf.DUMMYFUNCTION("""COMPUTED_VALUE"""),1240)</f>
        <v>1240</v>
      </c>
      <c r="Q108" s="1">
        <f ca="1">IFERROR(__xludf.DUMMYFUNCTION("""COMPUTED_VALUE"""),681)</f>
        <v>681</v>
      </c>
      <c r="R108" s="1">
        <f ca="1">IFERROR(__xludf.DUMMYFUNCTION("""COMPUTED_VALUE"""),1646)</f>
        <v>1646</v>
      </c>
      <c r="S108" s="1">
        <f ca="1">IFERROR(__xludf.DUMMYFUNCTION("""COMPUTED_VALUE"""),0.414)</f>
        <v>0.41399999999999998</v>
      </c>
      <c r="T108" s="1">
        <f ca="1">IFERROR(__xludf.DUMMYFUNCTION("""COMPUTED_VALUE"""),210)</f>
        <v>210</v>
      </c>
      <c r="U108" s="1">
        <f ca="1">IFERROR(__xludf.DUMMYFUNCTION("""COMPUTED_VALUE"""),623)</f>
        <v>623</v>
      </c>
      <c r="V108" s="1">
        <f ca="1">IFERROR(__xludf.DUMMYFUNCTION("""COMPUTED_VALUE"""),0.337)</f>
        <v>0.33700000000000002</v>
      </c>
      <c r="W108" s="1">
        <f ca="1">IFERROR(__xludf.DUMMYFUNCTION("""COMPUTED_VALUE"""),434)</f>
        <v>434</v>
      </c>
      <c r="X108" s="1">
        <f ca="1">IFERROR(__xludf.DUMMYFUNCTION("""COMPUTED_VALUE"""),608)</f>
        <v>608</v>
      </c>
      <c r="Y108" s="1">
        <f ca="1">IFERROR(__xludf.DUMMYFUNCTION("""COMPUTED_VALUE"""),0.714)</f>
        <v>0.71399999999999997</v>
      </c>
      <c r="Z108" s="1">
        <f ca="1">IFERROR(__xludf.DUMMYFUNCTION("""COMPUTED_VALUE"""),365)</f>
        <v>365</v>
      </c>
      <c r="AA108" s="1">
        <f ca="1">IFERROR(__xludf.DUMMYFUNCTION("""COMPUTED_VALUE"""),971)</f>
        <v>971</v>
      </c>
      <c r="AB108" s="1">
        <f ca="1">IFERROR(__xludf.DUMMYFUNCTION("""COMPUTED_VALUE"""),338)</f>
        <v>338</v>
      </c>
      <c r="AC108" s="1">
        <f ca="1">IFERROR(__xludf.DUMMYFUNCTION("""COMPUTED_VALUE"""),160)</f>
        <v>160</v>
      </c>
      <c r="AD108" s="1">
        <f ca="1">IFERROR(__xludf.DUMMYFUNCTION("""COMPUTED_VALUE"""),104)</f>
        <v>104</v>
      </c>
      <c r="AE108" s="1">
        <f ca="1">IFERROR(__xludf.DUMMYFUNCTION("""COMPUTED_VALUE"""),431)</f>
        <v>431</v>
      </c>
      <c r="AF108" s="1">
        <f ca="1">IFERROR(__xludf.DUMMYFUNCTION("""COMPUTED_VALUE"""),591)</f>
        <v>591</v>
      </c>
    </row>
    <row r="109" spans="1:32" ht="12.5" x14ac:dyDescent="0.25">
      <c r="A109" s="1" t="str">
        <f ca="1">IFERROR(__xludf.DUMMYFUNCTION("""COMPUTED_VALUE"""),"Gardner-Webb")</f>
        <v>Gardner-Webb</v>
      </c>
      <c r="B109" s="1">
        <f ca="1">IFERROR(__xludf.DUMMYFUNCTION("""COMPUTED_VALUE"""),32)</f>
        <v>32</v>
      </c>
      <c r="C109" s="1">
        <f ca="1">IFERROR(__xludf.DUMMYFUNCTION("""COMPUTED_VALUE"""),12)</f>
        <v>12</v>
      </c>
      <c r="D109" s="1">
        <f ca="1">IFERROR(__xludf.DUMMYFUNCTION("""COMPUTED_VALUE"""),20)</f>
        <v>20</v>
      </c>
      <c r="E109" s="1">
        <f ca="1">IFERROR(__xludf.DUMMYFUNCTION("""COMPUTED_VALUE"""),0.375)</f>
        <v>0.375</v>
      </c>
      <c r="F109" s="1">
        <f ca="1">IFERROR(__xludf.DUMMYFUNCTION("""COMPUTED_VALUE"""),-7.99)</f>
        <v>-7.99</v>
      </c>
      <c r="G109" s="1">
        <f ca="1">IFERROR(__xludf.DUMMYFUNCTION("""COMPUTED_VALUE"""),-4.82)</f>
        <v>-4.82</v>
      </c>
      <c r="H109" s="1">
        <f ca="1">IFERROR(__xludf.DUMMYFUNCTION("""COMPUTED_VALUE"""),6)</f>
        <v>6</v>
      </c>
      <c r="I109" s="1">
        <f ca="1">IFERROR(__xludf.DUMMYFUNCTION("""COMPUTED_VALUE"""),12)</f>
        <v>12</v>
      </c>
      <c r="J109" s="1">
        <f ca="1">IFERROR(__xludf.DUMMYFUNCTION("""COMPUTED_VALUE"""),9)</f>
        <v>9</v>
      </c>
      <c r="K109" s="1">
        <f ca="1">IFERROR(__xludf.DUMMYFUNCTION("""COMPUTED_VALUE"""),4)</f>
        <v>4</v>
      </c>
      <c r="L109" s="1">
        <f ca="1">IFERROR(__xludf.DUMMYFUNCTION("""COMPUTED_VALUE"""),3)</f>
        <v>3</v>
      </c>
      <c r="M109" s="1">
        <f ca="1">IFERROR(__xludf.DUMMYFUNCTION("""COMPUTED_VALUE"""),15)</f>
        <v>15</v>
      </c>
      <c r="N109" s="1">
        <f ca="1">IFERROR(__xludf.DUMMYFUNCTION("""COMPUTED_VALUE"""),2103)</f>
        <v>2103</v>
      </c>
      <c r="O109" s="1">
        <f ca="1">IFERROR(__xludf.DUMMYFUNCTION("""COMPUTED_VALUE"""),2138)</f>
        <v>2138</v>
      </c>
      <c r="P109" s="1">
        <f ca="1">IFERROR(__xludf.DUMMYFUNCTION("""COMPUTED_VALUE"""),1295)</f>
        <v>1295</v>
      </c>
      <c r="Q109" s="1">
        <f ca="1">IFERROR(__xludf.DUMMYFUNCTION("""COMPUTED_VALUE"""),749)</f>
        <v>749</v>
      </c>
      <c r="R109" s="1">
        <f ca="1">IFERROR(__xludf.DUMMYFUNCTION("""COMPUTED_VALUE"""),1804)</f>
        <v>1804</v>
      </c>
      <c r="S109" s="1">
        <f ca="1">IFERROR(__xludf.DUMMYFUNCTION("""COMPUTED_VALUE"""),0.415)</f>
        <v>0.41499999999999998</v>
      </c>
      <c r="T109" s="1">
        <f ca="1">IFERROR(__xludf.DUMMYFUNCTION("""COMPUTED_VALUE"""),191)</f>
        <v>191</v>
      </c>
      <c r="U109" s="1">
        <f ca="1">IFERROR(__xludf.DUMMYFUNCTION("""COMPUTED_VALUE"""),614)</f>
        <v>614</v>
      </c>
      <c r="V109" s="1">
        <f ca="1">IFERROR(__xludf.DUMMYFUNCTION("""COMPUTED_VALUE"""),0.311)</f>
        <v>0.311</v>
      </c>
      <c r="W109" s="1">
        <f ca="1">IFERROR(__xludf.DUMMYFUNCTION("""COMPUTED_VALUE"""),414)</f>
        <v>414</v>
      </c>
      <c r="X109" s="1">
        <f ca="1">IFERROR(__xludf.DUMMYFUNCTION("""COMPUTED_VALUE"""),620)</f>
        <v>620</v>
      </c>
      <c r="Y109" s="1">
        <f ca="1">IFERROR(__xludf.DUMMYFUNCTION("""COMPUTED_VALUE"""),0.668)</f>
        <v>0.66800000000000004</v>
      </c>
      <c r="Z109" s="1">
        <f ca="1">IFERROR(__xludf.DUMMYFUNCTION("""COMPUTED_VALUE"""),407)</f>
        <v>407</v>
      </c>
      <c r="AA109" s="1">
        <f ca="1">IFERROR(__xludf.DUMMYFUNCTION("""COMPUTED_VALUE"""),1055)</f>
        <v>1055</v>
      </c>
      <c r="AB109" s="1">
        <f ca="1">IFERROR(__xludf.DUMMYFUNCTION("""COMPUTED_VALUE"""),376)</f>
        <v>376</v>
      </c>
      <c r="AC109" s="1">
        <f ca="1">IFERROR(__xludf.DUMMYFUNCTION("""COMPUTED_VALUE"""),222)</f>
        <v>222</v>
      </c>
      <c r="AD109" s="1">
        <f ca="1">IFERROR(__xludf.DUMMYFUNCTION("""COMPUTED_VALUE"""),84)</f>
        <v>84</v>
      </c>
      <c r="AE109" s="1">
        <f ca="1">IFERROR(__xludf.DUMMYFUNCTION("""COMPUTED_VALUE"""),447)</f>
        <v>447</v>
      </c>
      <c r="AF109" s="1">
        <f ca="1">IFERROR(__xludf.DUMMYFUNCTION("""COMPUTED_VALUE"""),619)</f>
        <v>619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IFERROR(__xludf.DUMMYFUNCTION("""COMPUTED_VALUE"""),"George Mason")</f>
        <v>George Mason</v>
      </c>
      <c r="B112" s="1">
        <f ca="1">IFERROR(__xludf.DUMMYFUNCTION("""COMPUTED_VALUE"""),33)</f>
        <v>33</v>
      </c>
      <c r="C112" s="1">
        <f ca="1">IFERROR(__xludf.DUMMYFUNCTION("""COMPUTED_VALUE"""),24)</f>
        <v>24</v>
      </c>
      <c r="D112" s="1">
        <f ca="1">IFERROR(__xludf.DUMMYFUNCTION("""COMPUTED_VALUE"""),9)</f>
        <v>9</v>
      </c>
      <c r="E112" s="1">
        <f ca="1">IFERROR(__xludf.DUMMYFUNCTION("""COMPUTED_VALUE"""),0.727)</f>
        <v>0.72699999999999998</v>
      </c>
      <c r="F112" s="1">
        <f ca="1">IFERROR(__xludf.DUMMYFUNCTION("""COMPUTED_VALUE"""),3.81)</f>
        <v>3.81</v>
      </c>
      <c r="G112" s="1">
        <f ca="1">IFERROR(__xludf.DUMMYFUNCTION("""COMPUTED_VALUE"""),-1.67)</f>
        <v>-1.67</v>
      </c>
      <c r="H112" s="1">
        <f ca="1">IFERROR(__xludf.DUMMYFUNCTION("""COMPUTED_VALUE"""),14)</f>
        <v>14</v>
      </c>
      <c r="I112" s="1">
        <f ca="1">IFERROR(__xludf.DUMMYFUNCTION("""COMPUTED_VALUE"""),4)</f>
        <v>4</v>
      </c>
      <c r="J112" s="1">
        <f ca="1">IFERROR(__xludf.DUMMYFUNCTION("""COMPUTED_VALUE"""),15)</f>
        <v>15</v>
      </c>
      <c r="K112" s="1">
        <f ca="1">IFERROR(__xludf.DUMMYFUNCTION("""COMPUTED_VALUE"""),1)</f>
        <v>1</v>
      </c>
      <c r="L112" s="1">
        <f ca="1">IFERROR(__xludf.DUMMYFUNCTION("""COMPUTED_VALUE"""),7)</f>
        <v>7</v>
      </c>
      <c r="M112" s="1">
        <f ca="1">IFERROR(__xludf.DUMMYFUNCTION("""COMPUTED_VALUE"""),6)</f>
        <v>6</v>
      </c>
      <c r="N112" s="1">
        <f ca="1">IFERROR(__xludf.DUMMYFUNCTION("""COMPUTED_VALUE"""),2323)</f>
        <v>2323</v>
      </c>
      <c r="O112" s="1">
        <f ca="1">IFERROR(__xludf.DUMMYFUNCTION("""COMPUTED_VALUE"""),2142)</f>
        <v>2142</v>
      </c>
      <c r="P112" s="1">
        <f ca="1">IFERROR(__xludf.DUMMYFUNCTION("""COMPUTED_VALUE"""),1340)</f>
        <v>1340</v>
      </c>
      <c r="Q112" s="1">
        <f ca="1">IFERROR(__xludf.DUMMYFUNCTION("""COMPUTED_VALUE"""),828)</f>
        <v>828</v>
      </c>
      <c r="R112" s="1">
        <f ca="1">IFERROR(__xludf.DUMMYFUNCTION("""COMPUTED_VALUE"""),1788)</f>
        <v>1788</v>
      </c>
      <c r="S112" s="1">
        <f ca="1">IFERROR(__xludf.DUMMYFUNCTION("""COMPUTED_VALUE"""),0.463)</f>
        <v>0.46300000000000002</v>
      </c>
      <c r="T112" s="1">
        <f ca="1">IFERROR(__xludf.DUMMYFUNCTION("""COMPUTED_VALUE"""),156)</f>
        <v>156</v>
      </c>
      <c r="U112" s="1">
        <f ca="1">IFERROR(__xludf.DUMMYFUNCTION("""COMPUTED_VALUE"""),470)</f>
        <v>470</v>
      </c>
      <c r="V112" s="1">
        <f ca="1">IFERROR(__xludf.DUMMYFUNCTION("""COMPUTED_VALUE"""),0.332)</f>
        <v>0.33200000000000002</v>
      </c>
      <c r="W112" s="1">
        <f ca="1">IFERROR(__xludf.DUMMYFUNCTION("""COMPUTED_VALUE"""),511)</f>
        <v>511</v>
      </c>
      <c r="X112" s="1">
        <f ca="1">IFERROR(__xludf.DUMMYFUNCTION("""COMPUTED_VALUE"""),732)</f>
        <v>732</v>
      </c>
      <c r="Y112" s="1">
        <f ca="1">IFERROR(__xludf.DUMMYFUNCTION("""COMPUTED_VALUE"""),0.698)</f>
        <v>0.69799999999999995</v>
      </c>
      <c r="Z112" s="1">
        <f ca="1">IFERROR(__xludf.DUMMYFUNCTION("""COMPUTED_VALUE"""),368)</f>
        <v>368</v>
      </c>
      <c r="AA112" s="1">
        <f ca="1">IFERROR(__xludf.DUMMYFUNCTION("""COMPUTED_VALUE"""),1102)</f>
        <v>1102</v>
      </c>
      <c r="AB112" s="1">
        <f ca="1">IFERROR(__xludf.DUMMYFUNCTION("""COMPUTED_VALUE"""),427)</f>
        <v>427</v>
      </c>
      <c r="AC112" s="1">
        <f ca="1">IFERROR(__xludf.DUMMYFUNCTION("""COMPUTED_VALUE"""),224)</f>
        <v>224</v>
      </c>
      <c r="AD112" s="1">
        <f ca="1">IFERROR(__xludf.DUMMYFUNCTION("""COMPUTED_VALUE"""),163)</f>
        <v>163</v>
      </c>
      <c r="AE112" s="1">
        <f ca="1">IFERROR(__xludf.DUMMYFUNCTION("""COMPUTED_VALUE"""),503)</f>
        <v>503</v>
      </c>
      <c r="AF112" s="1">
        <f ca="1">IFERROR(__xludf.DUMMYFUNCTION("""COMPUTED_VALUE"""),650)</f>
        <v>650</v>
      </c>
    </row>
    <row r="113" spans="1:32" ht="12.5" x14ac:dyDescent="0.25">
      <c r="A113" s="1" t="str">
        <f ca="1">IFERROR(__xludf.DUMMYFUNCTION("""COMPUTED_VALUE"""),"George Washington")</f>
        <v>George Washington</v>
      </c>
      <c r="B113" s="1">
        <f ca="1">IFERROR(__xludf.DUMMYFUNCTION("""COMPUTED_VALUE"""),31)</f>
        <v>31</v>
      </c>
      <c r="C113" s="1">
        <f ca="1">IFERROR(__xludf.DUMMYFUNCTION("""COMPUTED_VALUE"""),10)</f>
        <v>10</v>
      </c>
      <c r="D113" s="1">
        <f ca="1">IFERROR(__xludf.DUMMYFUNCTION("""COMPUTED_VALUE"""),21)</f>
        <v>21</v>
      </c>
      <c r="E113" s="1">
        <f ca="1">IFERROR(__xludf.DUMMYFUNCTION("""COMPUTED_VALUE"""),0.323)</f>
        <v>0.32300000000000001</v>
      </c>
      <c r="F113" s="1">
        <f ca="1">IFERROR(__xludf.DUMMYFUNCTION("""COMPUTED_VALUE"""),-0.63)</f>
        <v>-0.63</v>
      </c>
      <c r="G113" s="1">
        <f ca="1">IFERROR(__xludf.DUMMYFUNCTION("""COMPUTED_VALUE"""),4.15)</f>
        <v>4.1500000000000004</v>
      </c>
      <c r="H113" s="1">
        <f ca="1">IFERROR(__xludf.DUMMYFUNCTION("""COMPUTED_VALUE"""),5)</f>
        <v>5</v>
      </c>
      <c r="I113" s="1">
        <f ca="1">IFERROR(__xludf.DUMMYFUNCTION("""COMPUTED_VALUE"""),11)</f>
        <v>11</v>
      </c>
      <c r="J113" s="1">
        <f ca="1">IFERROR(__xludf.DUMMYFUNCTION("""COMPUTED_VALUE"""),6)</f>
        <v>6</v>
      </c>
      <c r="K113" s="1">
        <f ca="1">IFERROR(__xludf.DUMMYFUNCTION("""COMPUTED_VALUE"""),8)</f>
        <v>8</v>
      </c>
      <c r="L113" s="1">
        <f ca="1">IFERROR(__xludf.DUMMYFUNCTION("""COMPUTED_VALUE"""),2)</f>
        <v>2</v>
      </c>
      <c r="M113" s="1">
        <f ca="1">IFERROR(__xludf.DUMMYFUNCTION("""COMPUTED_VALUE"""),12)</f>
        <v>12</v>
      </c>
      <c r="N113" s="1">
        <f ca="1">IFERROR(__xludf.DUMMYFUNCTION("""COMPUTED_VALUE"""),1921)</f>
        <v>1921</v>
      </c>
      <c r="O113" s="1">
        <f ca="1">IFERROR(__xludf.DUMMYFUNCTION("""COMPUTED_VALUE"""),2069)</f>
        <v>2069</v>
      </c>
      <c r="P113" s="1">
        <f ca="1">IFERROR(__xludf.DUMMYFUNCTION("""COMPUTED_VALUE"""),1240)</f>
        <v>1240</v>
      </c>
      <c r="Q113" s="1">
        <f ca="1">IFERROR(__xludf.DUMMYFUNCTION("""COMPUTED_VALUE"""),733)</f>
        <v>733</v>
      </c>
      <c r="R113" s="1">
        <f ca="1">IFERROR(__xludf.DUMMYFUNCTION("""COMPUTED_VALUE"""),1725)</f>
        <v>1725</v>
      </c>
      <c r="S113" s="1">
        <f ca="1">IFERROR(__xludf.DUMMYFUNCTION("""COMPUTED_VALUE"""),0.425)</f>
        <v>0.42499999999999999</v>
      </c>
      <c r="T113" s="1">
        <f ca="1">IFERROR(__xludf.DUMMYFUNCTION("""COMPUTED_VALUE"""),129)</f>
        <v>129</v>
      </c>
      <c r="U113" s="1">
        <f ca="1">IFERROR(__xludf.DUMMYFUNCTION("""COMPUTED_VALUE"""),396)</f>
        <v>396</v>
      </c>
      <c r="V113" s="1">
        <f ca="1">IFERROR(__xludf.DUMMYFUNCTION("""COMPUTED_VALUE"""),0.326)</f>
        <v>0.32600000000000001</v>
      </c>
      <c r="W113" s="1">
        <f ca="1">IFERROR(__xludf.DUMMYFUNCTION("""COMPUTED_VALUE"""),326)</f>
        <v>326</v>
      </c>
      <c r="X113" s="1">
        <f ca="1">IFERROR(__xludf.DUMMYFUNCTION("""COMPUTED_VALUE"""),491)</f>
        <v>491</v>
      </c>
      <c r="Y113" s="1">
        <f ca="1">IFERROR(__xludf.DUMMYFUNCTION("""COMPUTED_VALUE"""),0.664)</f>
        <v>0.66400000000000003</v>
      </c>
      <c r="Z113" s="1">
        <f ca="1">IFERROR(__xludf.DUMMYFUNCTION("""COMPUTED_VALUE"""),385)</f>
        <v>385</v>
      </c>
      <c r="AA113" s="1">
        <f ca="1">IFERROR(__xludf.DUMMYFUNCTION("""COMPUTED_VALUE"""),929)</f>
        <v>929</v>
      </c>
      <c r="AB113" s="1">
        <f ca="1">IFERROR(__xludf.DUMMYFUNCTION("""COMPUTED_VALUE"""),382)</f>
        <v>382</v>
      </c>
      <c r="AC113" s="1">
        <f ca="1">IFERROR(__xludf.DUMMYFUNCTION("""COMPUTED_VALUE"""),205)</f>
        <v>205</v>
      </c>
      <c r="AD113" s="1">
        <f ca="1">IFERROR(__xludf.DUMMYFUNCTION("""COMPUTED_VALUE"""),115)</f>
        <v>115</v>
      </c>
      <c r="AE113" s="1">
        <f ca="1">IFERROR(__xludf.DUMMYFUNCTION("""COMPUTED_VALUE"""),408)</f>
        <v>408</v>
      </c>
      <c r="AF113" s="1">
        <f ca="1">IFERROR(__xludf.DUMMYFUNCTION("""COMPUTED_VALUE"""),550)</f>
        <v>550</v>
      </c>
    </row>
    <row r="114" spans="1:32" ht="12.5" x14ac:dyDescent="0.25">
      <c r="A114" s="1" t="str">
        <f ca="1">IFERROR(__xludf.DUMMYFUNCTION("""COMPUTED_VALUE"""),"GeorgetownNCAA")</f>
        <v>GeorgetownNCAA</v>
      </c>
      <c r="B114" s="1">
        <f ca="1">IFERROR(__xludf.DUMMYFUNCTION("""COMPUTED_VALUE"""),33)</f>
        <v>33</v>
      </c>
      <c r="C114" s="1">
        <f ca="1">IFERROR(__xludf.DUMMYFUNCTION("""COMPUTED_VALUE"""),24)</f>
        <v>24</v>
      </c>
      <c r="D114" s="1">
        <f ca="1">IFERROR(__xludf.DUMMYFUNCTION("""COMPUTED_VALUE"""),9)</f>
        <v>9</v>
      </c>
      <c r="E114" s="1">
        <f ca="1">IFERROR(__xludf.DUMMYFUNCTION("""COMPUTED_VALUE"""),0.727)</f>
        <v>0.72699999999999998</v>
      </c>
      <c r="F114" s="1">
        <f ca="1">IFERROR(__xludf.DUMMYFUNCTION("""COMPUTED_VALUE"""),16.81)</f>
        <v>16.809999999999999</v>
      </c>
      <c r="G114" s="1">
        <f ca="1">IFERROR(__xludf.DUMMYFUNCTION("""COMPUTED_VALUE"""),7.69)</f>
        <v>7.69</v>
      </c>
      <c r="H114" s="1">
        <f ca="1">IFERROR(__xludf.DUMMYFUNCTION("""COMPUTED_VALUE"""),12)</f>
        <v>12</v>
      </c>
      <c r="I114" s="1">
        <f ca="1">IFERROR(__xludf.DUMMYFUNCTION("""COMPUTED_VALUE"""),6)</f>
        <v>6</v>
      </c>
      <c r="J114" s="1">
        <f ca="1">IFERROR(__xludf.DUMMYFUNCTION("""COMPUTED_VALUE"""),15)</f>
        <v>15</v>
      </c>
      <c r="K114" s="1">
        <f ca="1">IFERROR(__xludf.DUMMYFUNCTION("""COMPUTED_VALUE"""),1)</f>
        <v>1</v>
      </c>
      <c r="L114" s="1">
        <f ca="1">IFERROR(__xludf.DUMMYFUNCTION("""COMPUTED_VALUE"""),6)</f>
        <v>6</v>
      </c>
      <c r="M114" s="1">
        <f ca="1">IFERROR(__xludf.DUMMYFUNCTION("""COMPUTED_VALUE"""),5)</f>
        <v>5</v>
      </c>
      <c r="N114" s="1">
        <f ca="1">IFERROR(__xludf.DUMMYFUNCTION("""COMPUTED_VALUE"""),2278)</f>
        <v>2278</v>
      </c>
      <c r="O114" s="1">
        <f ca="1">IFERROR(__xludf.DUMMYFUNCTION("""COMPUTED_VALUE"""),1959)</f>
        <v>1959</v>
      </c>
      <c r="P114" s="1">
        <f ca="1">IFERROR(__xludf.DUMMYFUNCTION("""COMPUTED_VALUE"""),1340)</f>
        <v>1340</v>
      </c>
      <c r="Q114" s="1">
        <f ca="1">IFERROR(__xludf.DUMMYFUNCTION("""COMPUTED_VALUE"""),811)</f>
        <v>811</v>
      </c>
      <c r="R114" s="1">
        <f ca="1">IFERROR(__xludf.DUMMYFUNCTION("""COMPUTED_VALUE"""),1743)</f>
        <v>1743</v>
      </c>
      <c r="S114" s="1">
        <f ca="1">IFERROR(__xludf.DUMMYFUNCTION("""COMPUTED_VALUE"""),0.465)</f>
        <v>0.46500000000000002</v>
      </c>
      <c r="T114" s="1">
        <f ca="1">IFERROR(__xludf.DUMMYFUNCTION("""COMPUTED_VALUE"""),186)</f>
        <v>186</v>
      </c>
      <c r="U114" s="1">
        <f ca="1">IFERROR(__xludf.DUMMYFUNCTION("""COMPUTED_VALUE"""),536)</f>
        <v>536</v>
      </c>
      <c r="V114" s="1">
        <f ca="1">IFERROR(__xludf.DUMMYFUNCTION("""COMPUTED_VALUE"""),0.347)</f>
        <v>0.34699999999999998</v>
      </c>
      <c r="W114" s="1">
        <f ca="1">IFERROR(__xludf.DUMMYFUNCTION("""COMPUTED_VALUE"""),470)</f>
        <v>470</v>
      </c>
      <c r="X114" s="1">
        <f ca="1">IFERROR(__xludf.DUMMYFUNCTION("""COMPUTED_VALUE"""),673)</f>
        <v>673</v>
      </c>
      <c r="Y114" s="1">
        <f ca="1">IFERROR(__xludf.DUMMYFUNCTION("""COMPUTED_VALUE"""),0.698)</f>
        <v>0.69799999999999995</v>
      </c>
      <c r="Z114" s="1">
        <f ca="1">IFERROR(__xludf.DUMMYFUNCTION("""COMPUTED_VALUE"""),367)</f>
        <v>367</v>
      </c>
      <c r="AA114" s="1">
        <f ca="1">IFERROR(__xludf.DUMMYFUNCTION("""COMPUTED_VALUE"""),1108)</f>
        <v>1108</v>
      </c>
      <c r="AB114" s="1">
        <f ca="1">IFERROR(__xludf.DUMMYFUNCTION("""COMPUTED_VALUE"""),451)</f>
        <v>451</v>
      </c>
      <c r="AC114" s="1">
        <f ca="1">IFERROR(__xludf.DUMMYFUNCTION("""COMPUTED_VALUE"""),200)</f>
        <v>200</v>
      </c>
      <c r="AD114" s="1">
        <f ca="1">IFERROR(__xludf.DUMMYFUNCTION("""COMPUTED_VALUE"""),156)</f>
        <v>156</v>
      </c>
      <c r="AE114" s="1">
        <f ca="1">IFERROR(__xludf.DUMMYFUNCTION("""COMPUTED_VALUE"""),417)</f>
        <v>417</v>
      </c>
      <c r="AF114" s="1">
        <f ca="1">IFERROR(__xludf.DUMMYFUNCTION("""COMPUTED_VALUE"""),578)</f>
        <v>578</v>
      </c>
    </row>
    <row r="115" spans="1:32" ht="12.5" x14ac:dyDescent="0.25">
      <c r="A115" s="1" t="str">
        <f ca="1">IFERROR(__xludf.DUMMYFUNCTION("""COMPUTED_VALUE"""),"Georgia Southern")</f>
        <v>Georgia Southern</v>
      </c>
      <c r="B115" s="1">
        <f ca="1">IFERROR(__xludf.DUMMYFUNCTION("""COMPUTED_VALUE"""),30)</f>
        <v>30</v>
      </c>
      <c r="C115" s="1">
        <f ca="1">IFERROR(__xludf.DUMMYFUNCTION("""COMPUTED_VALUE"""),15)</f>
        <v>15</v>
      </c>
      <c r="D115" s="1">
        <f ca="1">IFERROR(__xludf.DUMMYFUNCTION("""COMPUTED_VALUE"""),15)</f>
        <v>15</v>
      </c>
      <c r="E115" s="1">
        <f ca="1">IFERROR(__xludf.DUMMYFUNCTION("""COMPUTED_VALUE"""),0.5)</f>
        <v>0.5</v>
      </c>
      <c r="F115" s="1">
        <f ca="1">IFERROR(__xludf.DUMMYFUNCTION("""COMPUTED_VALUE"""),-6.7)</f>
        <v>-6.7</v>
      </c>
      <c r="G115" s="1">
        <f ca="1">IFERROR(__xludf.DUMMYFUNCTION("""COMPUTED_VALUE"""),-3.78)</f>
        <v>-3.78</v>
      </c>
      <c r="H115" s="1">
        <f ca="1">IFERROR(__xludf.DUMMYFUNCTION("""COMPUTED_VALUE"""),12)</f>
        <v>12</v>
      </c>
      <c r="I115" s="1">
        <f ca="1">IFERROR(__xludf.DUMMYFUNCTION("""COMPUTED_VALUE"""),6)</f>
        <v>6</v>
      </c>
      <c r="J115" s="1">
        <f ca="1">IFERROR(__xludf.DUMMYFUNCTION("""COMPUTED_VALUE"""),10)</f>
        <v>10</v>
      </c>
      <c r="K115" s="1">
        <f ca="1">IFERROR(__xludf.DUMMYFUNCTION("""COMPUTED_VALUE"""),2)</f>
        <v>2</v>
      </c>
      <c r="L115" s="1">
        <f ca="1">IFERROR(__xludf.DUMMYFUNCTION("""COMPUTED_VALUE"""),4)</f>
        <v>4</v>
      </c>
      <c r="M115" s="1">
        <f ca="1">IFERROR(__xludf.DUMMYFUNCTION("""COMPUTED_VALUE"""),12)</f>
        <v>12</v>
      </c>
      <c r="N115" s="1">
        <f ca="1">IFERROR(__xludf.DUMMYFUNCTION("""COMPUTED_VALUE"""),2002)</f>
        <v>2002</v>
      </c>
      <c r="O115" s="1">
        <f ca="1">IFERROR(__xludf.DUMMYFUNCTION("""COMPUTED_VALUE"""),2033)</f>
        <v>2033</v>
      </c>
      <c r="P115" s="1">
        <f ca="1">IFERROR(__xludf.DUMMYFUNCTION("""COMPUTED_VALUE"""),1215)</f>
        <v>1215</v>
      </c>
      <c r="Q115" s="1">
        <f ca="1">IFERROR(__xludf.DUMMYFUNCTION("""COMPUTED_VALUE"""),749)</f>
        <v>749</v>
      </c>
      <c r="R115" s="1">
        <f ca="1">IFERROR(__xludf.DUMMYFUNCTION("""COMPUTED_VALUE"""),1608)</f>
        <v>1608</v>
      </c>
      <c r="S115" s="1">
        <f ca="1">IFERROR(__xludf.DUMMYFUNCTION("""COMPUTED_VALUE"""),0.466)</f>
        <v>0.46600000000000003</v>
      </c>
      <c r="T115" s="1">
        <f ca="1">IFERROR(__xludf.DUMMYFUNCTION("""COMPUTED_VALUE"""),163)</f>
        <v>163</v>
      </c>
      <c r="U115" s="1">
        <f ca="1">IFERROR(__xludf.DUMMYFUNCTION("""COMPUTED_VALUE"""),464)</f>
        <v>464</v>
      </c>
      <c r="V115" s="1">
        <f ca="1">IFERROR(__xludf.DUMMYFUNCTION("""COMPUTED_VALUE"""),0.351)</f>
        <v>0.35099999999999998</v>
      </c>
      <c r="W115" s="1">
        <f ca="1">IFERROR(__xludf.DUMMYFUNCTION("""COMPUTED_VALUE"""),341)</f>
        <v>341</v>
      </c>
      <c r="X115" s="1">
        <f ca="1">IFERROR(__xludf.DUMMYFUNCTION("""COMPUTED_VALUE"""),513)</f>
        <v>513</v>
      </c>
      <c r="Y115" s="1">
        <f ca="1">IFERROR(__xludf.DUMMYFUNCTION("""COMPUTED_VALUE"""),0.665)</f>
        <v>0.66500000000000004</v>
      </c>
      <c r="Z115" s="1">
        <f ca="1">IFERROR(__xludf.DUMMYFUNCTION("""COMPUTED_VALUE"""),278)</f>
        <v>278</v>
      </c>
      <c r="AA115" s="1">
        <f ca="1">IFERROR(__xludf.DUMMYFUNCTION("""COMPUTED_VALUE"""),864)</f>
        <v>864</v>
      </c>
      <c r="AB115" s="1">
        <f ca="1">IFERROR(__xludf.DUMMYFUNCTION("""COMPUTED_VALUE"""),371)</f>
        <v>371</v>
      </c>
      <c r="AC115" s="1">
        <f ca="1">IFERROR(__xludf.DUMMYFUNCTION("""COMPUTED_VALUE"""),228)</f>
        <v>228</v>
      </c>
      <c r="AD115" s="1">
        <f ca="1">IFERROR(__xludf.DUMMYFUNCTION("""COMPUTED_VALUE"""),69)</f>
        <v>69</v>
      </c>
      <c r="AE115" s="1">
        <f ca="1">IFERROR(__xludf.DUMMYFUNCTION("""COMPUTED_VALUE"""),454)</f>
        <v>454</v>
      </c>
      <c r="AF115" s="1">
        <f ca="1">IFERROR(__xludf.DUMMYFUNCTION("""COMPUTED_VALUE"""),581)</f>
        <v>581</v>
      </c>
    </row>
    <row r="116" spans="1:32" ht="12.5" x14ac:dyDescent="0.25">
      <c r="A116" s="1" t="str">
        <f ca="1">IFERROR(__xludf.DUMMYFUNCTION("""COMPUTED_VALUE"""),"Georgia State")</f>
        <v>Georgia State</v>
      </c>
      <c r="B116" s="1">
        <f ca="1">IFERROR(__xludf.DUMMYFUNCTION("""COMPUTED_VALUE"""),34)</f>
        <v>34</v>
      </c>
      <c r="C116" s="1">
        <f ca="1">IFERROR(__xludf.DUMMYFUNCTION("""COMPUTED_VALUE"""),22)</f>
        <v>22</v>
      </c>
      <c r="D116" s="1">
        <f ca="1">IFERROR(__xludf.DUMMYFUNCTION("""COMPUTED_VALUE"""),12)</f>
        <v>12</v>
      </c>
      <c r="E116" s="1">
        <f ca="1">IFERROR(__xludf.DUMMYFUNCTION("""COMPUTED_VALUE"""),0.647)</f>
        <v>0.64700000000000002</v>
      </c>
      <c r="F116" s="1">
        <f ca="1">IFERROR(__xludf.DUMMYFUNCTION("""COMPUTED_VALUE"""),5.69)</f>
        <v>5.69</v>
      </c>
      <c r="G116" s="1">
        <f ca="1">IFERROR(__xludf.DUMMYFUNCTION("""COMPUTED_VALUE"""),-2.99)</f>
        <v>-2.99</v>
      </c>
      <c r="H116" s="1">
        <f ca="1">IFERROR(__xludf.DUMMYFUNCTION("""COMPUTED_VALUE"""),11)</f>
        <v>11</v>
      </c>
      <c r="I116" s="1">
        <f ca="1">IFERROR(__xludf.DUMMYFUNCTION("""COMPUTED_VALUE"""),7)</f>
        <v>7</v>
      </c>
      <c r="J116" s="1">
        <f ca="1">IFERROR(__xludf.DUMMYFUNCTION("""COMPUTED_VALUE"""),13)</f>
        <v>13</v>
      </c>
      <c r="K116" s="1">
        <f ca="1">IFERROR(__xludf.DUMMYFUNCTION("""COMPUTED_VALUE"""),3)</f>
        <v>3</v>
      </c>
      <c r="L116" s="1">
        <f ca="1">IFERROR(__xludf.DUMMYFUNCTION("""COMPUTED_VALUE"""),8)</f>
        <v>8</v>
      </c>
      <c r="M116" s="1">
        <f ca="1">IFERROR(__xludf.DUMMYFUNCTION("""COMPUTED_VALUE"""),6)</f>
        <v>6</v>
      </c>
      <c r="N116" s="1">
        <f ca="1">IFERROR(__xludf.DUMMYFUNCTION("""COMPUTED_VALUE"""),2298)</f>
        <v>2298</v>
      </c>
      <c r="O116" s="1">
        <f ca="1">IFERROR(__xludf.DUMMYFUNCTION("""COMPUTED_VALUE"""),2003)</f>
        <v>2003</v>
      </c>
      <c r="P116" s="1">
        <f ca="1">IFERROR(__xludf.DUMMYFUNCTION("""COMPUTED_VALUE"""),1380)</f>
        <v>1380</v>
      </c>
      <c r="Q116" s="1">
        <f ca="1">IFERROR(__xludf.DUMMYFUNCTION("""COMPUTED_VALUE"""),842)</f>
        <v>842</v>
      </c>
      <c r="R116" s="1">
        <f ca="1">IFERROR(__xludf.DUMMYFUNCTION("""COMPUTED_VALUE"""),1936)</f>
        <v>1936</v>
      </c>
      <c r="S116" s="1">
        <f ca="1">IFERROR(__xludf.DUMMYFUNCTION("""COMPUTED_VALUE"""),0.435)</f>
        <v>0.435</v>
      </c>
      <c r="T116" s="1">
        <f ca="1">IFERROR(__xludf.DUMMYFUNCTION("""COMPUTED_VALUE"""),178)</f>
        <v>178</v>
      </c>
      <c r="U116" s="1">
        <f ca="1">IFERROR(__xludf.DUMMYFUNCTION("""COMPUTED_VALUE"""),562)</f>
        <v>562</v>
      </c>
      <c r="V116" s="1">
        <f ca="1">IFERROR(__xludf.DUMMYFUNCTION("""COMPUTED_VALUE"""),0.317)</f>
        <v>0.317</v>
      </c>
      <c r="W116" s="1">
        <f ca="1">IFERROR(__xludf.DUMMYFUNCTION("""COMPUTED_VALUE"""),436)</f>
        <v>436</v>
      </c>
      <c r="X116" s="1">
        <f ca="1">IFERROR(__xludf.DUMMYFUNCTION("""COMPUTED_VALUE"""),665)</f>
        <v>665</v>
      </c>
      <c r="Y116" s="1">
        <f ca="1">IFERROR(__xludf.DUMMYFUNCTION("""COMPUTED_VALUE"""),0.656)</f>
        <v>0.65600000000000003</v>
      </c>
      <c r="Z116" s="1">
        <f ca="1">IFERROR(__xludf.DUMMYFUNCTION("""COMPUTED_VALUE"""),390)</f>
        <v>390</v>
      </c>
      <c r="AA116" s="1">
        <f ca="1">IFERROR(__xludf.DUMMYFUNCTION("""COMPUTED_VALUE"""),1126)</f>
        <v>1126</v>
      </c>
      <c r="AB116" s="1">
        <f ca="1">IFERROR(__xludf.DUMMYFUNCTION("""COMPUTED_VALUE"""),427)</f>
        <v>427</v>
      </c>
      <c r="AC116" s="1">
        <f ca="1">IFERROR(__xludf.DUMMYFUNCTION("""COMPUTED_VALUE"""),315)</f>
        <v>315</v>
      </c>
      <c r="AD116" s="1">
        <f ca="1">IFERROR(__xludf.DUMMYFUNCTION("""COMPUTED_VALUE"""),183)</f>
        <v>183</v>
      </c>
      <c r="AE116" s="1">
        <f ca="1">IFERROR(__xludf.DUMMYFUNCTION("""COMPUTED_VALUE"""),396)</f>
        <v>396</v>
      </c>
      <c r="AF116" s="1">
        <f ca="1">IFERROR(__xludf.DUMMYFUNCTION("""COMPUTED_VALUE"""),546)</f>
        <v>546</v>
      </c>
    </row>
    <row r="117" spans="1:32" ht="12.5" x14ac:dyDescent="0.25">
      <c r="A117" s="1" t="str">
        <f ca="1">IFERROR(__xludf.DUMMYFUNCTION("""COMPUTED_VALUE"""),"Georgia Tech")</f>
        <v>Georgia Tech</v>
      </c>
      <c r="B117" s="1">
        <f ca="1">IFERROR(__xludf.DUMMYFUNCTION("""COMPUTED_VALUE"""),31)</f>
        <v>31</v>
      </c>
      <c r="C117" s="1">
        <f ca="1">IFERROR(__xludf.DUMMYFUNCTION("""COMPUTED_VALUE"""),11)</f>
        <v>11</v>
      </c>
      <c r="D117" s="1">
        <f ca="1">IFERROR(__xludf.DUMMYFUNCTION("""COMPUTED_VALUE"""),20)</f>
        <v>20</v>
      </c>
      <c r="E117" s="1">
        <f ca="1">IFERROR(__xludf.DUMMYFUNCTION("""COMPUTED_VALUE"""),0.355)</f>
        <v>0.35499999999999998</v>
      </c>
      <c r="F117" s="1">
        <f ca="1">IFERROR(__xludf.DUMMYFUNCTION("""COMPUTED_VALUE"""),1.74)</f>
        <v>1.74</v>
      </c>
      <c r="G117" s="1">
        <f ca="1">IFERROR(__xludf.DUMMYFUNCTION("""COMPUTED_VALUE"""),4.13)</f>
        <v>4.13</v>
      </c>
      <c r="H117" s="1">
        <f ca="1">IFERROR(__xludf.DUMMYFUNCTION("""COMPUTED_VALUE"""),4)</f>
        <v>4</v>
      </c>
      <c r="I117" s="1">
        <f ca="1">IFERROR(__xludf.DUMMYFUNCTION("""COMPUTED_VALUE"""),12)</f>
        <v>12</v>
      </c>
      <c r="J117" s="1">
        <f ca="1">IFERROR(__xludf.DUMMYFUNCTION("""COMPUTED_VALUE"""),7)</f>
        <v>7</v>
      </c>
      <c r="K117" s="1">
        <f ca="1">IFERROR(__xludf.DUMMYFUNCTION("""COMPUTED_VALUE"""),8)</f>
        <v>8</v>
      </c>
      <c r="L117" s="1">
        <f ca="1">IFERROR(__xludf.DUMMYFUNCTION("""COMPUTED_VALUE"""),3)</f>
        <v>3</v>
      </c>
      <c r="M117" s="1">
        <f ca="1">IFERROR(__xludf.DUMMYFUNCTION("""COMPUTED_VALUE"""),9)</f>
        <v>9</v>
      </c>
      <c r="N117" s="1">
        <f ca="1">IFERROR(__xludf.DUMMYFUNCTION("""COMPUTED_VALUE"""),1866)</f>
        <v>1866</v>
      </c>
      <c r="O117" s="1">
        <f ca="1">IFERROR(__xludf.DUMMYFUNCTION("""COMPUTED_VALUE"""),1940)</f>
        <v>1940</v>
      </c>
      <c r="P117" s="1">
        <f ca="1">IFERROR(__xludf.DUMMYFUNCTION("""COMPUTED_VALUE"""),1245)</f>
        <v>1245</v>
      </c>
      <c r="Q117" s="1">
        <f ca="1">IFERROR(__xludf.DUMMYFUNCTION("""COMPUTED_VALUE"""),700)</f>
        <v>700</v>
      </c>
      <c r="R117" s="1">
        <f ca="1">IFERROR(__xludf.DUMMYFUNCTION("""COMPUTED_VALUE"""),1639)</f>
        <v>1639</v>
      </c>
      <c r="S117" s="1">
        <f ca="1">IFERROR(__xludf.DUMMYFUNCTION("""COMPUTED_VALUE"""),0.427)</f>
        <v>0.42699999999999999</v>
      </c>
      <c r="T117" s="1">
        <f ca="1">IFERROR(__xludf.DUMMYFUNCTION("""COMPUTED_VALUE"""),158)</f>
        <v>158</v>
      </c>
      <c r="U117" s="1">
        <f ca="1">IFERROR(__xludf.DUMMYFUNCTION("""COMPUTED_VALUE"""),507)</f>
        <v>507</v>
      </c>
      <c r="V117" s="1">
        <f ca="1">IFERROR(__xludf.DUMMYFUNCTION("""COMPUTED_VALUE"""),0.312)</f>
        <v>0.312</v>
      </c>
      <c r="W117" s="1">
        <f ca="1">IFERROR(__xludf.DUMMYFUNCTION("""COMPUTED_VALUE"""),308)</f>
        <v>308</v>
      </c>
      <c r="X117" s="1">
        <f ca="1">IFERROR(__xludf.DUMMYFUNCTION("""COMPUTED_VALUE"""),471)</f>
        <v>471</v>
      </c>
      <c r="Y117" s="1">
        <f ca="1">IFERROR(__xludf.DUMMYFUNCTION("""COMPUTED_VALUE"""),0.654)</f>
        <v>0.65400000000000003</v>
      </c>
      <c r="Z117" s="1">
        <f ca="1">IFERROR(__xludf.DUMMYFUNCTION("""COMPUTED_VALUE"""),340)</f>
        <v>340</v>
      </c>
      <c r="AA117" s="1">
        <f ca="1">IFERROR(__xludf.DUMMYFUNCTION("""COMPUTED_VALUE"""),994)</f>
        <v>994</v>
      </c>
      <c r="AB117" s="1">
        <f ca="1">IFERROR(__xludf.DUMMYFUNCTION("""COMPUTED_VALUE"""),340)</f>
        <v>340</v>
      </c>
      <c r="AC117" s="1">
        <f ca="1">IFERROR(__xludf.DUMMYFUNCTION("""COMPUTED_VALUE"""),161)</f>
        <v>161</v>
      </c>
      <c r="AD117" s="1">
        <f ca="1">IFERROR(__xludf.DUMMYFUNCTION("""COMPUTED_VALUE"""),152)</f>
        <v>152</v>
      </c>
      <c r="AE117" s="1">
        <f ca="1">IFERROR(__xludf.DUMMYFUNCTION("""COMPUTED_VALUE"""),448)</f>
        <v>448</v>
      </c>
      <c r="AF117" s="1">
        <f ca="1">IFERROR(__xludf.DUMMYFUNCTION("""COMPUTED_VALUE"""),513)</f>
        <v>513</v>
      </c>
    </row>
    <row r="118" spans="1:32" ht="12.5" x14ac:dyDescent="0.25">
      <c r="A118" s="1" t="str">
        <f ca="1">IFERROR(__xludf.DUMMYFUNCTION("""COMPUTED_VALUE"""),"Georgia")</f>
        <v>Georgia</v>
      </c>
      <c r="B118" s="1">
        <f ca="1">IFERROR(__xludf.DUMMYFUNCTION("""COMPUTED_VALUE"""),32)</f>
        <v>32</v>
      </c>
      <c r="C118" s="1">
        <f ca="1">IFERROR(__xludf.DUMMYFUNCTION("""COMPUTED_VALUE"""),15)</f>
        <v>15</v>
      </c>
      <c r="D118" s="1">
        <f ca="1">IFERROR(__xludf.DUMMYFUNCTION("""COMPUTED_VALUE"""),17)</f>
        <v>17</v>
      </c>
      <c r="E118" s="1">
        <f ca="1">IFERROR(__xludf.DUMMYFUNCTION("""COMPUTED_VALUE"""),0.469)</f>
        <v>0.46899999999999997</v>
      </c>
      <c r="F118" s="1">
        <f ca="1">IFERROR(__xludf.DUMMYFUNCTION("""COMPUTED_VALUE"""),5.92)</f>
        <v>5.92</v>
      </c>
      <c r="G118" s="1">
        <f ca="1">IFERROR(__xludf.DUMMYFUNCTION("""COMPUTED_VALUE"""),7.95)</f>
        <v>7.95</v>
      </c>
      <c r="H118" s="1">
        <f ca="1">IFERROR(__xludf.DUMMYFUNCTION("""COMPUTED_VALUE"""),5)</f>
        <v>5</v>
      </c>
      <c r="I118" s="1">
        <f ca="1">IFERROR(__xludf.DUMMYFUNCTION("""COMPUTED_VALUE"""),11)</f>
        <v>11</v>
      </c>
      <c r="J118" s="1">
        <f ca="1">IFERROR(__xludf.DUMMYFUNCTION("""COMPUTED_VALUE"""),11)</f>
        <v>11</v>
      </c>
      <c r="K118" s="1">
        <f ca="1">IFERROR(__xludf.DUMMYFUNCTION("""COMPUTED_VALUE"""),6)</f>
        <v>6</v>
      </c>
      <c r="L118" s="1">
        <f ca="1">IFERROR(__xludf.DUMMYFUNCTION("""COMPUTED_VALUE"""),2)</f>
        <v>2</v>
      </c>
      <c r="M118" s="1">
        <f ca="1">IFERROR(__xludf.DUMMYFUNCTION("""COMPUTED_VALUE"""),9)</f>
        <v>9</v>
      </c>
      <c r="N118" s="1">
        <f ca="1">IFERROR(__xludf.DUMMYFUNCTION("""COMPUTED_VALUE"""),1950)</f>
        <v>1950</v>
      </c>
      <c r="O118" s="1">
        <f ca="1">IFERROR(__xludf.DUMMYFUNCTION("""COMPUTED_VALUE"""),2015)</f>
        <v>2015</v>
      </c>
      <c r="P118" s="1">
        <f ca="1">IFERROR(__xludf.DUMMYFUNCTION("""COMPUTED_VALUE"""),1295)</f>
        <v>1295</v>
      </c>
      <c r="Q118" s="1">
        <f ca="1">IFERROR(__xludf.DUMMYFUNCTION("""COMPUTED_VALUE"""),692)</f>
        <v>692</v>
      </c>
      <c r="R118" s="1">
        <f ca="1">IFERROR(__xludf.DUMMYFUNCTION("""COMPUTED_VALUE"""),1751)</f>
        <v>1751</v>
      </c>
      <c r="S118" s="1">
        <f ca="1">IFERROR(__xludf.DUMMYFUNCTION("""COMPUTED_VALUE"""),0.395)</f>
        <v>0.39500000000000002</v>
      </c>
      <c r="T118" s="1">
        <f ca="1">IFERROR(__xludf.DUMMYFUNCTION("""COMPUTED_VALUE"""),202)</f>
        <v>202</v>
      </c>
      <c r="U118" s="1">
        <f ca="1">IFERROR(__xludf.DUMMYFUNCTION("""COMPUTED_VALUE"""),647)</f>
        <v>647</v>
      </c>
      <c r="V118" s="1">
        <f ca="1">IFERROR(__xludf.DUMMYFUNCTION("""COMPUTED_VALUE"""),0.312)</f>
        <v>0.312</v>
      </c>
      <c r="W118" s="1">
        <f ca="1">IFERROR(__xludf.DUMMYFUNCTION("""COMPUTED_VALUE"""),364)</f>
        <v>364</v>
      </c>
      <c r="X118" s="1">
        <f ca="1">IFERROR(__xludf.DUMMYFUNCTION("""COMPUTED_VALUE"""),530)</f>
        <v>530</v>
      </c>
      <c r="Y118" s="1">
        <f ca="1">IFERROR(__xludf.DUMMYFUNCTION("""COMPUTED_VALUE"""),0.687)</f>
        <v>0.68700000000000006</v>
      </c>
      <c r="Z118" s="1">
        <f ca="1">IFERROR(__xludf.DUMMYFUNCTION("""COMPUTED_VALUE"""),348)</f>
        <v>348</v>
      </c>
      <c r="AA118" s="1">
        <f ca="1">IFERROR(__xludf.DUMMYFUNCTION("""COMPUTED_VALUE"""),966)</f>
        <v>966</v>
      </c>
      <c r="AB118" s="1">
        <f ca="1">IFERROR(__xludf.DUMMYFUNCTION("""COMPUTED_VALUE"""),349)</f>
        <v>349</v>
      </c>
      <c r="AC118" s="1">
        <f ca="1">IFERROR(__xludf.DUMMYFUNCTION("""COMPUTED_VALUE"""),199)</f>
        <v>199</v>
      </c>
      <c r="AD118" s="1">
        <f ca="1">IFERROR(__xludf.DUMMYFUNCTION("""COMPUTED_VALUE"""),118)</f>
        <v>118</v>
      </c>
      <c r="AE118" s="1">
        <f ca="1">IFERROR(__xludf.DUMMYFUNCTION("""COMPUTED_VALUE"""),332)</f>
        <v>332</v>
      </c>
      <c r="AF118" s="1">
        <f ca="1">IFERROR(__xludf.DUMMYFUNCTION("""COMPUTED_VALUE"""),554)</f>
        <v>554</v>
      </c>
    </row>
    <row r="119" spans="1:32" ht="12.5" x14ac:dyDescent="0.25">
      <c r="A119" s="1" t="str">
        <f ca="1">IFERROR(__xludf.DUMMYFUNCTION("""COMPUTED_VALUE"""),"GonzagaNCAA")</f>
        <v>GonzagaNCAA</v>
      </c>
      <c r="B119" s="1">
        <f ca="1">IFERROR(__xludf.DUMMYFUNCTION("""COMPUTED_VALUE"""),33)</f>
        <v>33</v>
      </c>
      <c r="C119" s="1">
        <f ca="1">IFERROR(__xludf.DUMMYFUNCTION("""COMPUTED_VALUE"""),26)</f>
        <v>26</v>
      </c>
      <c r="D119" s="1">
        <f ca="1">IFERROR(__xludf.DUMMYFUNCTION("""COMPUTED_VALUE"""),7)</f>
        <v>7</v>
      </c>
      <c r="E119" s="1">
        <f ca="1">IFERROR(__xludf.DUMMYFUNCTION("""COMPUTED_VALUE"""),0.788)</f>
        <v>0.78800000000000003</v>
      </c>
      <c r="F119" s="1">
        <f ca="1">IFERROR(__xludf.DUMMYFUNCTION("""COMPUTED_VALUE"""),13.86)</f>
        <v>13.86</v>
      </c>
      <c r="G119" s="1">
        <f ca="1">IFERROR(__xludf.DUMMYFUNCTION("""COMPUTED_VALUE"""),3.25)</f>
        <v>3.25</v>
      </c>
      <c r="H119" s="1">
        <f ca="1">IFERROR(__xludf.DUMMYFUNCTION("""COMPUTED_VALUE"""),13)</f>
        <v>13</v>
      </c>
      <c r="I119" s="1">
        <f ca="1">IFERROR(__xludf.DUMMYFUNCTION("""COMPUTED_VALUE"""),3)</f>
        <v>3</v>
      </c>
      <c r="J119" s="1">
        <f ca="1">IFERROR(__xludf.DUMMYFUNCTION("""COMPUTED_VALUE"""),15)</f>
        <v>15</v>
      </c>
      <c r="K119" s="1">
        <f ca="1">IFERROR(__xludf.DUMMYFUNCTION("""COMPUTED_VALUE"""),1)</f>
        <v>1</v>
      </c>
      <c r="L119" s="1">
        <f ca="1">IFERROR(__xludf.DUMMYFUNCTION("""COMPUTED_VALUE"""),6)</f>
        <v>6</v>
      </c>
      <c r="M119" s="1">
        <f ca="1">IFERROR(__xludf.DUMMYFUNCTION("""COMPUTED_VALUE"""),4)</f>
        <v>4</v>
      </c>
      <c r="N119" s="1">
        <f ca="1">IFERROR(__xludf.DUMMYFUNCTION("""COMPUTED_VALUE"""),2436)</f>
        <v>2436</v>
      </c>
      <c r="O119" s="1">
        <f ca="1">IFERROR(__xludf.DUMMYFUNCTION("""COMPUTED_VALUE"""),2086)</f>
        <v>2086</v>
      </c>
      <c r="P119" s="1">
        <f ca="1">IFERROR(__xludf.DUMMYFUNCTION("""COMPUTED_VALUE"""),1325)</f>
        <v>1325</v>
      </c>
      <c r="Q119" s="1">
        <f ca="1">IFERROR(__xludf.DUMMYFUNCTION("""COMPUTED_VALUE"""),823)</f>
        <v>823</v>
      </c>
      <c r="R119" s="1">
        <f ca="1">IFERROR(__xludf.DUMMYFUNCTION("""COMPUTED_VALUE"""),1740)</f>
        <v>1740</v>
      </c>
      <c r="S119" s="1">
        <f ca="1">IFERROR(__xludf.DUMMYFUNCTION("""COMPUTED_VALUE"""),0.473)</f>
        <v>0.47299999999999998</v>
      </c>
      <c r="T119" s="1">
        <f ca="1">IFERROR(__xludf.DUMMYFUNCTION("""COMPUTED_VALUE"""),215)</f>
        <v>215</v>
      </c>
      <c r="U119" s="1">
        <f ca="1">IFERROR(__xludf.DUMMYFUNCTION("""COMPUTED_VALUE"""),567)</f>
        <v>567</v>
      </c>
      <c r="V119" s="1">
        <f ca="1">IFERROR(__xludf.DUMMYFUNCTION("""COMPUTED_VALUE"""),0.379)</f>
        <v>0.379</v>
      </c>
      <c r="W119" s="1">
        <f ca="1">IFERROR(__xludf.DUMMYFUNCTION("""COMPUTED_VALUE"""),575)</f>
        <v>575</v>
      </c>
      <c r="X119" s="1">
        <f ca="1">IFERROR(__xludf.DUMMYFUNCTION("""COMPUTED_VALUE"""),803)</f>
        <v>803</v>
      </c>
      <c r="Y119" s="1">
        <f ca="1">IFERROR(__xludf.DUMMYFUNCTION("""COMPUTED_VALUE"""),0.716)</f>
        <v>0.71599999999999997</v>
      </c>
      <c r="Z119" s="1">
        <f ca="1">IFERROR(__xludf.DUMMYFUNCTION("""COMPUTED_VALUE"""),359)</f>
        <v>359</v>
      </c>
      <c r="AA119" s="1">
        <f ca="1">IFERROR(__xludf.DUMMYFUNCTION("""COMPUTED_VALUE"""),1095)</f>
        <v>1095</v>
      </c>
      <c r="AB119" s="1">
        <f ca="1">IFERROR(__xludf.DUMMYFUNCTION("""COMPUTED_VALUE"""),455)</f>
        <v>455</v>
      </c>
      <c r="AC119" s="1">
        <f ca="1">IFERROR(__xludf.DUMMYFUNCTION("""COMPUTED_VALUE"""),223)</f>
        <v>223</v>
      </c>
      <c r="AD119" s="1">
        <f ca="1">IFERROR(__xludf.DUMMYFUNCTION("""COMPUTED_VALUE"""),105)</f>
        <v>105</v>
      </c>
      <c r="AE119" s="1">
        <f ca="1">IFERROR(__xludf.DUMMYFUNCTION("""COMPUTED_VALUE"""),433)</f>
        <v>433</v>
      </c>
      <c r="AF119" s="1">
        <f ca="1">IFERROR(__xludf.DUMMYFUNCTION("""COMPUTED_VALUE"""),514)</f>
        <v>514</v>
      </c>
    </row>
    <row r="120" spans="1:32" ht="12.5" x14ac:dyDescent="0.25">
      <c r="A120" s="1" t="str">
        <f ca="1">IFERROR(__xludf.DUMMYFUNCTION("""COMPUTED_VALUE"""),"Grambling")</f>
        <v>Grambling</v>
      </c>
      <c r="B120" s="1">
        <f ca="1">IFERROR(__xludf.DUMMYFUNCTION("""COMPUTED_VALUE"""),28)</f>
        <v>28</v>
      </c>
      <c r="C120" s="1">
        <f ca="1">IFERROR(__xludf.DUMMYFUNCTION("""COMPUTED_VALUE"""),4)</f>
        <v>4</v>
      </c>
      <c r="D120" s="1">
        <f ca="1">IFERROR(__xludf.DUMMYFUNCTION("""COMPUTED_VALUE"""),24)</f>
        <v>24</v>
      </c>
      <c r="E120" s="1">
        <f ca="1">IFERROR(__xludf.DUMMYFUNCTION("""COMPUTED_VALUE"""),0.143)</f>
        <v>0.14299999999999999</v>
      </c>
      <c r="F120" s="1">
        <f ca="1">IFERROR(__xludf.DUMMYFUNCTION("""COMPUTED_VALUE"""),-26.82)</f>
        <v>-26.82</v>
      </c>
      <c r="G120" s="1">
        <f ca="1">IFERROR(__xludf.DUMMYFUNCTION("""COMPUTED_VALUE"""),-9.39)</f>
        <v>-9.39</v>
      </c>
      <c r="H120" s="1">
        <f ca="1">IFERROR(__xludf.DUMMYFUNCTION("""COMPUTED_VALUE"""),4)</f>
        <v>4</v>
      </c>
      <c r="I120" s="1">
        <f ca="1">IFERROR(__xludf.DUMMYFUNCTION("""COMPUTED_VALUE"""),14)</f>
        <v>14</v>
      </c>
      <c r="J120" s="1">
        <f ca="1">IFERROR(__xludf.DUMMYFUNCTION("""COMPUTED_VALUE"""),1)</f>
        <v>1</v>
      </c>
      <c r="K120" s="1">
        <f ca="1">IFERROR(__xludf.DUMMYFUNCTION("""COMPUTED_VALUE"""),9)</f>
        <v>9</v>
      </c>
      <c r="L120" s="1">
        <f ca="1">IFERROR(__xludf.DUMMYFUNCTION("""COMPUTED_VALUE"""),3)</f>
        <v>3</v>
      </c>
      <c r="M120" s="1">
        <f ca="1">IFERROR(__xludf.DUMMYFUNCTION("""COMPUTED_VALUE"""),15)</f>
        <v>15</v>
      </c>
      <c r="N120" s="1">
        <f ca="1">IFERROR(__xludf.DUMMYFUNCTION("""COMPUTED_VALUE"""),1513)</f>
        <v>1513</v>
      </c>
      <c r="O120" s="1">
        <f ca="1">IFERROR(__xludf.DUMMYFUNCTION("""COMPUTED_VALUE"""),2001)</f>
        <v>2001</v>
      </c>
      <c r="P120" s="1">
        <f ca="1">IFERROR(__xludf.DUMMYFUNCTION("""COMPUTED_VALUE"""),1125)</f>
        <v>1125</v>
      </c>
      <c r="Q120" s="1">
        <f ca="1">IFERROR(__xludf.DUMMYFUNCTION("""COMPUTED_VALUE"""),520)</f>
        <v>520</v>
      </c>
      <c r="R120" s="1">
        <f ca="1">IFERROR(__xludf.DUMMYFUNCTION("""COMPUTED_VALUE"""),1452)</f>
        <v>1452</v>
      </c>
      <c r="S120" s="1">
        <f ca="1">IFERROR(__xludf.DUMMYFUNCTION("""COMPUTED_VALUE"""),0.358)</f>
        <v>0.35799999999999998</v>
      </c>
      <c r="T120" s="1">
        <f ca="1">IFERROR(__xludf.DUMMYFUNCTION("""COMPUTED_VALUE"""),115)</f>
        <v>115</v>
      </c>
      <c r="U120" s="1">
        <f ca="1">IFERROR(__xludf.DUMMYFUNCTION("""COMPUTED_VALUE"""),417)</f>
        <v>417</v>
      </c>
      <c r="V120" s="1">
        <f ca="1">IFERROR(__xludf.DUMMYFUNCTION("""COMPUTED_VALUE"""),0.276)</f>
        <v>0.27600000000000002</v>
      </c>
      <c r="W120" s="1">
        <f ca="1">IFERROR(__xludf.DUMMYFUNCTION("""COMPUTED_VALUE"""),358)</f>
        <v>358</v>
      </c>
      <c r="X120" s="1">
        <f ca="1">IFERROR(__xludf.DUMMYFUNCTION("""COMPUTED_VALUE"""),519)</f>
        <v>519</v>
      </c>
      <c r="Y120" s="1">
        <f ca="1">IFERROR(__xludf.DUMMYFUNCTION("""COMPUTED_VALUE"""),0.69)</f>
        <v>0.69</v>
      </c>
      <c r="Z120" s="1">
        <f ca="1">IFERROR(__xludf.DUMMYFUNCTION("""COMPUTED_VALUE"""),277)</f>
        <v>277</v>
      </c>
      <c r="AA120" s="1">
        <f ca="1">IFERROR(__xludf.DUMMYFUNCTION("""COMPUTED_VALUE"""),796)</f>
        <v>796</v>
      </c>
      <c r="AB120" s="1">
        <f ca="1">IFERROR(__xludf.DUMMYFUNCTION("""COMPUTED_VALUE"""),241)</f>
        <v>241</v>
      </c>
      <c r="AC120" s="1">
        <f ca="1">IFERROR(__xludf.DUMMYFUNCTION("""COMPUTED_VALUE"""),135)</f>
        <v>135</v>
      </c>
      <c r="AD120" s="1">
        <f ca="1">IFERROR(__xludf.DUMMYFUNCTION("""COMPUTED_VALUE"""),101)</f>
        <v>101</v>
      </c>
      <c r="AE120" s="1">
        <f ca="1">IFERROR(__xludf.DUMMYFUNCTION("""COMPUTED_VALUE"""),458)</f>
        <v>458</v>
      </c>
      <c r="AF120" s="1">
        <f ca="1">IFERROR(__xludf.DUMMYFUNCTION("""COMPUTED_VALUE"""),461)</f>
        <v>461</v>
      </c>
    </row>
    <row r="121" spans="1:32" ht="12.5" x14ac:dyDescent="0.25">
      <c r="A121" s="1" t="str">
        <f ca="1">IFERROR(__xludf.DUMMYFUNCTION("""COMPUTED_VALUE"""),"Green Bay")</f>
        <v>Green Bay</v>
      </c>
      <c r="B121" s="1">
        <f ca="1">IFERROR(__xludf.DUMMYFUNCTION("""COMPUTED_VALUE"""),30)</f>
        <v>30</v>
      </c>
      <c r="C121" s="1">
        <f ca="1">IFERROR(__xludf.DUMMYFUNCTION("""COMPUTED_VALUE"""),15)</f>
        <v>15</v>
      </c>
      <c r="D121" s="1">
        <f ca="1">IFERROR(__xludf.DUMMYFUNCTION("""COMPUTED_VALUE"""),15)</f>
        <v>15</v>
      </c>
      <c r="E121" s="1">
        <f ca="1">IFERROR(__xludf.DUMMYFUNCTION("""COMPUTED_VALUE"""),0.5)</f>
        <v>0.5</v>
      </c>
      <c r="F121" s="1">
        <f ca="1">IFERROR(__xludf.DUMMYFUNCTION("""COMPUTED_VALUE"""),-2.32)</f>
        <v>-2.3199999999999998</v>
      </c>
      <c r="G121" s="1">
        <f ca="1">IFERROR(__xludf.DUMMYFUNCTION("""COMPUTED_VALUE"""),1.04)</f>
        <v>1.04</v>
      </c>
      <c r="H121" s="1">
        <f ca="1">IFERROR(__xludf.DUMMYFUNCTION("""COMPUTED_VALUE"""),10)</f>
        <v>10</v>
      </c>
      <c r="I121" s="1">
        <f ca="1">IFERROR(__xludf.DUMMYFUNCTION("""COMPUTED_VALUE"""),8)</f>
        <v>8</v>
      </c>
      <c r="J121" s="1">
        <f ca="1">IFERROR(__xludf.DUMMYFUNCTION("""COMPUTED_VALUE"""),12)</f>
        <v>12</v>
      </c>
      <c r="K121" s="1">
        <f ca="1">IFERROR(__xludf.DUMMYFUNCTION("""COMPUTED_VALUE"""),2)</f>
        <v>2</v>
      </c>
      <c r="L121" s="1">
        <f ca="1">IFERROR(__xludf.DUMMYFUNCTION("""COMPUTED_VALUE"""),3)</f>
        <v>3</v>
      </c>
      <c r="M121" s="1">
        <f ca="1">IFERROR(__xludf.DUMMYFUNCTION("""COMPUTED_VALUE"""),13)</f>
        <v>13</v>
      </c>
      <c r="N121" s="1">
        <f ca="1">IFERROR(__xludf.DUMMYFUNCTION("""COMPUTED_VALUE"""),1935)</f>
        <v>1935</v>
      </c>
      <c r="O121" s="1">
        <f ca="1">IFERROR(__xludf.DUMMYFUNCTION("""COMPUTED_VALUE"""),1982)</f>
        <v>1982</v>
      </c>
      <c r="P121" s="1">
        <f ca="1">IFERROR(__xludf.DUMMYFUNCTION("""COMPUTED_VALUE"""),1205)</f>
        <v>1205</v>
      </c>
      <c r="Q121" s="1">
        <f ca="1">IFERROR(__xludf.DUMMYFUNCTION("""COMPUTED_VALUE"""),693)</f>
        <v>693</v>
      </c>
      <c r="R121" s="1">
        <f ca="1">IFERROR(__xludf.DUMMYFUNCTION("""COMPUTED_VALUE"""),1638)</f>
        <v>1638</v>
      </c>
      <c r="S121" s="1">
        <f ca="1">IFERROR(__xludf.DUMMYFUNCTION("""COMPUTED_VALUE"""),0.423)</f>
        <v>0.42299999999999999</v>
      </c>
      <c r="T121" s="1">
        <f ca="1">IFERROR(__xludf.DUMMYFUNCTION("""COMPUTED_VALUE"""),165)</f>
        <v>165</v>
      </c>
      <c r="U121" s="1">
        <f ca="1">IFERROR(__xludf.DUMMYFUNCTION("""COMPUTED_VALUE"""),461)</f>
        <v>461</v>
      </c>
      <c r="V121" s="1">
        <f ca="1">IFERROR(__xludf.DUMMYFUNCTION("""COMPUTED_VALUE"""),0.358)</f>
        <v>0.35799999999999998</v>
      </c>
      <c r="W121" s="1">
        <f ca="1">IFERROR(__xludf.DUMMYFUNCTION("""COMPUTED_VALUE"""),384)</f>
        <v>384</v>
      </c>
      <c r="X121" s="1">
        <f ca="1">IFERROR(__xludf.DUMMYFUNCTION("""COMPUTED_VALUE"""),544)</f>
        <v>544</v>
      </c>
      <c r="Y121" s="1">
        <f ca="1">IFERROR(__xludf.DUMMYFUNCTION("""COMPUTED_VALUE"""),0.706)</f>
        <v>0.70599999999999996</v>
      </c>
      <c r="Z121" s="1">
        <f ca="1">IFERROR(__xludf.DUMMYFUNCTION("""COMPUTED_VALUE"""),349)</f>
        <v>349</v>
      </c>
      <c r="AA121" s="1">
        <f ca="1">IFERROR(__xludf.DUMMYFUNCTION("""COMPUTED_VALUE"""),950)</f>
        <v>950</v>
      </c>
      <c r="AB121" s="1">
        <f ca="1">IFERROR(__xludf.DUMMYFUNCTION("""COMPUTED_VALUE"""),369)</f>
        <v>369</v>
      </c>
      <c r="AC121" s="1">
        <f ca="1">IFERROR(__xludf.DUMMYFUNCTION("""COMPUTED_VALUE"""),181)</f>
        <v>181</v>
      </c>
      <c r="AD121" s="1">
        <f ca="1">IFERROR(__xludf.DUMMYFUNCTION("""COMPUTED_VALUE"""),142)</f>
        <v>142</v>
      </c>
      <c r="AE121" s="1">
        <f ca="1">IFERROR(__xludf.DUMMYFUNCTION("""COMPUTED_VALUE"""),424)</f>
        <v>424</v>
      </c>
      <c r="AF121" s="1">
        <f ca="1">IFERROR(__xludf.DUMMYFUNCTION("""COMPUTED_VALUE"""),536)</f>
        <v>536</v>
      </c>
    </row>
    <row r="122" spans="1:32" ht="12.5" x14ac:dyDescent="0.25">
      <c r="A122" s="1" t="str">
        <f ca="1">IFERROR(__xludf.DUMMYFUNCTION("""COMPUTED_VALUE"""),"Hampton")</f>
        <v>Hampton</v>
      </c>
      <c r="B122" s="1">
        <f ca="1">IFERROR(__xludf.DUMMYFUNCTION("""COMPUTED_VALUE"""),33)</f>
        <v>33</v>
      </c>
      <c r="C122" s="1">
        <f ca="1">IFERROR(__xludf.DUMMYFUNCTION("""COMPUTED_VALUE"""),12)</f>
        <v>12</v>
      </c>
      <c r="D122" s="1">
        <f ca="1">IFERROR(__xludf.DUMMYFUNCTION("""COMPUTED_VALUE"""),21)</f>
        <v>21</v>
      </c>
      <c r="E122" s="1">
        <f ca="1">IFERROR(__xludf.DUMMYFUNCTION("""COMPUTED_VALUE"""),0.364)</f>
        <v>0.36399999999999999</v>
      </c>
      <c r="F122" s="1">
        <f ca="1">IFERROR(__xludf.DUMMYFUNCTION("""COMPUTED_VALUE"""),-10.08)</f>
        <v>-10.08</v>
      </c>
      <c r="G122" s="1">
        <f ca="1">IFERROR(__xludf.DUMMYFUNCTION("""COMPUTED_VALUE"""),-7.93)</f>
        <v>-7.93</v>
      </c>
      <c r="H122" s="1">
        <f ca="1">IFERROR(__xludf.DUMMYFUNCTION("""COMPUTED_VALUE"""),6)</f>
        <v>6</v>
      </c>
      <c r="I122" s="1">
        <f ca="1">IFERROR(__xludf.DUMMYFUNCTION("""COMPUTED_VALUE"""),10)</f>
        <v>10</v>
      </c>
      <c r="J122" s="1">
        <f ca="1">IFERROR(__xludf.DUMMYFUNCTION("""COMPUTED_VALUE"""),6)</f>
        <v>6</v>
      </c>
      <c r="K122" s="1">
        <f ca="1">IFERROR(__xludf.DUMMYFUNCTION("""COMPUTED_VALUE"""),5)</f>
        <v>5</v>
      </c>
      <c r="L122" s="1">
        <f ca="1">IFERROR(__xludf.DUMMYFUNCTION("""COMPUTED_VALUE"""),1)</f>
        <v>1</v>
      </c>
      <c r="M122" s="1">
        <f ca="1">IFERROR(__xludf.DUMMYFUNCTION("""COMPUTED_VALUE"""),13)</f>
        <v>13</v>
      </c>
      <c r="N122" s="1">
        <f ca="1">IFERROR(__xludf.DUMMYFUNCTION("""COMPUTED_VALUE"""),2134)</f>
        <v>2134</v>
      </c>
      <c r="O122" s="1">
        <f ca="1">IFERROR(__xludf.DUMMYFUNCTION("""COMPUTED_VALUE"""),2205)</f>
        <v>2205</v>
      </c>
      <c r="P122" s="1">
        <f ca="1">IFERROR(__xludf.DUMMYFUNCTION("""COMPUTED_VALUE"""),1330)</f>
        <v>1330</v>
      </c>
      <c r="Q122" s="1">
        <f ca="1">IFERROR(__xludf.DUMMYFUNCTION("""COMPUTED_VALUE"""),746)</f>
        <v>746</v>
      </c>
      <c r="R122" s="1">
        <f ca="1">IFERROR(__xludf.DUMMYFUNCTION("""COMPUTED_VALUE"""),1853)</f>
        <v>1853</v>
      </c>
      <c r="S122" s="1">
        <f ca="1">IFERROR(__xludf.DUMMYFUNCTION("""COMPUTED_VALUE"""),0.403)</f>
        <v>0.40300000000000002</v>
      </c>
      <c r="T122" s="1">
        <f ca="1">IFERROR(__xludf.DUMMYFUNCTION("""COMPUTED_VALUE"""),183)</f>
        <v>183</v>
      </c>
      <c r="U122" s="1">
        <f ca="1">IFERROR(__xludf.DUMMYFUNCTION("""COMPUTED_VALUE"""),639)</f>
        <v>639</v>
      </c>
      <c r="V122" s="1">
        <f ca="1">IFERROR(__xludf.DUMMYFUNCTION("""COMPUTED_VALUE"""),0.286)</f>
        <v>0.28599999999999998</v>
      </c>
      <c r="W122" s="1">
        <f ca="1">IFERROR(__xludf.DUMMYFUNCTION("""COMPUTED_VALUE"""),459)</f>
        <v>459</v>
      </c>
      <c r="X122" s="1">
        <f ca="1">IFERROR(__xludf.DUMMYFUNCTION("""COMPUTED_VALUE"""),717)</f>
        <v>717</v>
      </c>
      <c r="Y122" s="1">
        <f ca="1">IFERROR(__xludf.DUMMYFUNCTION("""COMPUTED_VALUE"""),0.64)</f>
        <v>0.64</v>
      </c>
      <c r="Z122" s="1">
        <f ca="1">IFERROR(__xludf.DUMMYFUNCTION("""COMPUTED_VALUE"""),403)</f>
        <v>403</v>
      </c>
      <c r="AA122" s="1">
        <f ca="1">IFERROR(__xludf.DUMMYFUNCTION("""COMPUTED_VALUE"""),1101)</f>
        <v>1101</v>
      </c>
      <c r="AB122" s="1">
        <f ca="1">IFERROR(__xludf.DUMMYFUNCTION("""COMPUTED_VALUE"""),352)</f>
        <v>352</v>
      </c>
      <c r="AC122" s="1">
        <f ca="1">IFERROR(__xludf.DUMMYFUNCTION("""COMPUTED_VALUE"""),226)</f>
        <v>226</v>
      </c>
      <c r="AD122" s="1">
        <f ca="1">IFERROR(__xludf.DUMMYFUNCTION("""COMPUTED_VALUE"""),160)</f>
        <v>160</v>
      </c>
      <c r="AE122" s="1">
        <f ca="1">IFERROR(__xludf.DUMMYFUNCTION("""COMPUTED_VALUE"""),467)</f>
        <v>467</v>
      </c>
      <c r="AF122" s="1">
        <f ca="1">IFERROR(__xludf.DUMMYFUNCTION("""COMPUTED_VALUE"""),607)</f>
        <v>607</v>
      </c>
    </row>
    <row r="123" spans="1:32" ht="12.5" x14ac:dyDescent="0.25">
      <c r="A123" s="1" t="str">
        <f ca="1">IFERROR(__xludf.DUMMYFUNCTION("""COMPUTED_VALUE"""),"Hartford")</f>
        <v>Hartford</v>
      </c>
      <c r="B123" s="1">
        <f ca="1">IFERROR(__xludf.DUMMYFUNCTION("""COMPUTED_VALUE"""),31)</f>
        <v>31</v>
      </c>
      <c r="C123" s="1">
        <f ca="1">IFERROR(__xludf.DUMMYFUNCTION("""COMPUTED_VALUE"""),9)</f>
        <v>9</v>
      </c>
      <c r="D123" s="1">
        <f ca="1">IFERROR(__xludf.DUMMYFUNCTION("""COMPUTED_VALUE"""),22)</f>
        <v>22</v>
      </c>
      <c r="E123" s="1">
        <f ca="1">IFERROR(__xludf.DUMMYFUNCTION("""COMPUTED_VALUE"""),0.29)</f>
        <v>0.28999999999999998</v>
      </c>
      <c r="F123" s="1">
        <f ca="1">IFERROR(__xludf.DUMMYFUNCTION("""COMPUTED_VALUE"""),-13.41)</f>
        <v>-13.41</v>
      </c>
      <c r="G123" s="1">
        <f ca="1">IFERROR(__xludf.DUMMYFUNCTION("""COMPUTED_VALUE"""),-6.19)</f>
        <v>-6.19</v>
      </c>
      <c r="H123" s="1">
        <f ca="1">IFERROR(__xludf.DUMMYFUNCTION("""COMPUTED_VALUE"""),7)</f>
        <v>7</v>
      </c>
      <c r="I123" s="1">
        <f ca="1">IFERROR(__xludf.DUMMYFUNCTION("""COMPUTED_VALUE"""),9)</f>
        <v>9</v>
      </c>
      <c r="J123" s="1">
        <f ca="1">IFERROR(__xludf.DUMMYFUNCTION("""COMPUTED_VALUE"""),4)</f>
        <v>4</v>
      </c>
      <c r="K123" s="1">
        <f ca="1">IFERROR(__xludf.DUMMYFUNCTION("""COMPUTED_VALUE"""),8)</f>
        <v>8</v>
      </c>
      <c r="L123" s="1">
        <f ca="1">IFERROR(__xludf.DUMMYFUNCTION("""COMPUTED_VALUE"""),4)</f>
        <v>4</v>
      </c>
      <c r="M123" s="1">
        <f ca="1">IFERROR(__xludf.DUMMYFUNCTION("""COMPUTED_VALUE"""),12)</f>
        <v>12</v>
      </c>
      <c r="N123" s="1">
        <f ca="1">IFERROR(__xludf.DUMMYFUNCTION("""COMPUTED_VALUE"""),1860)</f>
        <v>1860</v>
      </c>
      <c r="O123" s="1">
        <f ca="1">IFERROR(__xludf.DUMMYFUNCTION("""COMPUTED_VALUE"""),2084)</f>
        <v>2084</v>
      </c>
      <c r="P123" s="1">
        <f ca="1">IFERROR(__xludf.DUMMYFUNCTION("""COMPUTED_VALUE"""),1260)</f>
        <v>1260</v>
      </c>
      <c r="Q123" s="1">
        <f ca="1">IFERROR(__xludf.DUMMYFUNCTION("""COMPUTED_VALUE"""),654)</f>
        <v>654</v>
      </c>
      <c r="R123" s="1">
        <f ca="1">IFERROR(__xludf.DUMMYFUNCTION("""COMPUTED_VALUE"""),1580)</f>
        <v>1580</v>
      </c>
      <c r="S123" s="1">
        <f ca="1">IFERROR(__xludf.DUMMYFUNCTION("""COMPUTED_VALUE"""),0.414)</f>
        <v>0.41399999999999998</v>
      </c>
      <c r="T123" s="1">
        <f ca="1">IFERROR(__xludf.DUMMYFUNCTION("""COMPUTED_VALUE"""),228)</f>
        <v>228</v>
      </c>
      <c r="U123" s="1">
        <f ca="1">IFERROR(__xludf.DUMMYFUNCTION("""COMPUTED_VALUE"""),736)</f>
        <v>736</v>
      </c>
      <c r="V123" s="1">
        <f ca="1">IFERROR(__xludf.DUMMYFUNCTION("""COMPUTED_VALUE"""),0.31)</f>
        <v>0.31</v>
      </c>
      <c r="W123" s="1">
        <f ca="1">IFERROR(__xludf.DUMMYFUNCTION("""COMPUTED_VALUE"""),324)</f>
        <v>324</v>
      </c>
      <c r="X123" s="1">
        <f ca="1">IFERROR(__xludf.DUMMYFUNCTION("""COMPUTED_VALUE"""),486)</f>
        <v>486</v>
      </c>
      <c r="Y123" s="1">
        <f ca="1">IFERROR(__xludf.DUMMYFUNCTION("""COMPUTED_VALUE"""),0.667)</f>
        <v>0.66700000000000004</v>
      </c>
      <c r="Z123" s="1">
        <f ca="1">IFERROR(__xludf.DUMMYFUNCTION("""COMPUTED_VALUE"""),222)</f>
        <v>222</v>
      </c>
      <c r="AA123" s="1">
        <f ca="1">IFERROR(__xludf.DUMMYFUNCTION("""COMPUTED_VALUE"""),796)</f>
        <v>796</v>
      </c>
      <c r="AB123" s="1">
        <f ca="1">IFERROR(__xludf.DUMMYFUNCTION("""COMPUTED_VALUE"""),406)</f>
        <v>406</v>
      </c>
      <c r="AC123" s="1">
        <f ca="1">IFERROR(__xludf.DUMMYFUNCTION("""COMPUTED_VALUE"""),205)</f>
        <v>205</v>
      </c>
      <c r="AD123" s="1">
        <f ca="1">IFERROR(__xludf.DUMMYFUNCTION("""COMPUTED_VALUE"""),64)</f>
        <v>64</v>
      </c>
      <c r="AE123" s="1">
        <f ca="1">IFERROR(__xludf.DUMMYFUNCTION("""COMPUTED_VALUE"""),478)</f>
        <v>478</v>
      </c>
      <c r="AF123" s="1">
        <f ca="1">IFERROR(__xludf.DUMMYFUNCTION("""COMPUTED_VALUE"""),614)</f>
        <v>614</v>
      </c>
    </row>
    <row r="124" spans="1:32" ht="12.5" x14ac:dyDescent="0.25">
      <c r="A124" s="1" t="str">
        <f ca="1">IFERROR(__xludf.DUMMYFUNCTION("""COMPUTED_VALUE"""),"HarvardNCAA")</f>
        <v>HarvardNCAA</v>
      </c>
      <c r="B124" s="1">
        <f ca="1">IFERROR(__xludf.DUMMYFUNCTION("""COMPUTED_VALUE"""),31)</f>
        <v>31</v>
      </c>
      <c r="C124" s="1">
        <f ca="1">IFERROR(__xludf.DUMMYFUNCTION("""COMPUTED_VALUE"""),26)</f>
        <v>26</v>
      </c>
      <c r="D124" s="1">
        <f ca="1">IFERROR(__xludf.DUMMYFUNCTION("""COMPUTED_VALUE"""),5)</f>
        <v>5</v>
      </c>
      <c r="E124" s="1">
        <f ca="1">IFERROR(__xludf.DUMMYFUNCTION("""COMPUTED_VALUE"""),0.839)</f>
        <v>0.83899999999999997</v>
      </c>
      <c r="F124" s="1">
        <f ca="1">IFERROR(__xludf.DUMMYFUNCTION("""COMPUTED_VALUE"""),7.84)</f>
        <v>7.84</v>
      </c>
      <c r="G124" s="1">
        <f ca="1">IFERROR(__xludf.DUMMYFUNCTION("""COMPUTED_VALUE"""),-1.56)</f>
        <v>-1.56</v>
      </c>
      <c r="H124" s="1">
        <f ca="1">IFERROR(__xludf.DUMMYFUNCTION("""COMPUTED_VALUE"""),12)</f>
        <v>12</v>
      </c>
      <c r="I124" s="1">
        <f ca="1">IFERROR(__xludf.DUMMYFUNCTION("""COMPUTED_VALUE"""),2)</f>
        <v>2</v>
      </c>
      <c r="J124" s="1">
        <f ca="1">IFERROR(__xludf.DUMMYFUNCTION("""COMPUTED_VALUE"""),11)</f>
        <v>11</v>
      </c>
      <c r="K124" s="1">
        <f ca="1">IFERROR(__xludf.DUMMYFUNCTION("""COMPUTED_VALUE"""),1)</f>
        <v>1</v>
      </c>
      <c r="L124" s="1">
        <f ca="1">IFERROR(__xludf.DUMMYFUNCTION("""COMPUTED_VALUE"""),12)</f>
        <v>12</v>
      </c>
      <c r="M124" s="1">
        <f ca="1">IFERROR(__xludf.DUMMYFUNCTION("""COMPUTED_VALUE"""),3)</f>
        <v>3</v>
      </c>
      <c r="N124" s="1">
        <f ca="1">IFERROR(__xludf.DUMMYFUNCTION("""COMPUTED_VALUE"""),2033)</f>
        <v>2033</v>
      </c>
      <c r="O124" s="1">
        <f ca="1">IFERROR(__xludf.DUMMYFUNCTION("""COMPUTED_VALUE"""),1724)</f>
        <v>1724</v>
      </c>
      <c r="P124" s="1">
        <f ca="1">IFERROR(__xludf.DUMMYFUNCTION("""COMPUTED_VALUE"""),1245)</f>
        <v>1245</v>
      </c>
      <c r="Q124" s="1">
        <f ca="1">IFERROR(__xludf.DUMMYFUNCTION("""COMPUTED_VALUE"""),695)</f>
        <v>695</v>
      </c>
      <c r="R124" s="1">
        <f ca="1">IFERROR(__xludf.DUMMYFUNCTION("""COMPUTED_VALUE"""),1490)</f>
        <v>1490</v>
      </c>
      <c r="S124" s="1">
        <f ca="1">IFERROR(__xludf.DUMMYFUNCTION("""COMPUTED_VALUE"""),0.466)</f>
        <v>0.46600000000000003</v>
      </c>
      <c r="T124" s="1">
        <f ca="1">IFERROR(__xludf.DUMMYFUNCTION("""COMPUTED_VALUE"""),185)</f>
        <v>185</v>
      </c>
      <c r="U124" s="1">
        <f ca="1">IFERROR(__xludf.DUMMYFUNCTION("""COMPUTED_VALUE"""),518)</f>
        <v>518</v>
      </c>
      <c r="V124" s="1">
        <f ca="1">IFERROR(__xludf.DUMMYFUNCTION("""COMPUTED_VALUE"""),0.357)</f>
        <v>0.35699999999999998</v>
      </c>
      <c r="W124" s="1">
        <f ca="1">IFERROR(__xludf.DUMMYFUNCTION("""COMPUTED_VALUE"""),458)</f>
        <v>458</v>
      </c>
      <c r="X124" s="1">
        <f ca="1">IFERROR(__xludf.DUMMYFUNCTION("""COMPUTED_VALUE"""),613)</f>
        <v>613</v>
      </c>
      <c r="Y124" s="1">
        <f ca="1">IFERROR(__xludf.DUMMYFUNCTION("""COMPUTED_VALUE"""),0.747)</f>
        <v>0.747</v>
      </c>
      <c r="Z124" s="1">
        <f ca="1">IFERROR(__xludf.DUMMYFUNCTION("""COMPUTED_VALUE"""),262)</f>
        <v>262</v>
      </c>
      <c r="AA124" s="1">
        <f ca="1">IFERROR(__xludf.DUMMYFUNCTION("""COMPUTED_VALUE"""),923)</f>
        <v>923</v>
      </c>
      <c r="AB124" s="1">
        <f ca="1">IFERROR(__xludf.DUMMYFUNCTION("""COMPUTED_VALUE"""),401)</f>
        <v>401</v>
      </c>
      <c r="AC124" s="1">
        <f ca="1">IFERROR(__xludf.DUMMYFUNCTION("""COMPUTED_VALUE"""),184)</f>
        <v>184</v>
      </c>
      <c r="AD124" s="1">
        <f ca="1">IFERROR(__xludf.DUMMYFUNCTION("""COMPUTED_VALUE"""),137)</f>
        <v>137</v>
      </c>
      <c r="AE124" s="1">
        <f ca="1">IFERROR(__xludf.DUMMYFUNCTION("""COMPUTED_VALUE"""),379)</f>
        <v>379</v>
      </c>
      <c r="AF124" s="1">
        <f ca="1">IFERROR(__xludf.DUMMYFUNCTION("""COMPUTED_VALUE"""),473)</f>
        <v>473</v>
      </c>
    </row>
    <row r="125" spans="1:32" ht="12.5" x14ac:dyDescent="0.25">
      <c r="A125" s="1" t="str">
        <f ca="1">IFERROR(__xludf.DUMMYFUNCTION("""COMPUTED_VALUE"""),"Hawaii")</f>
        <v>Hawaii</v>
      </c>
      <c r="B125" s="1">
        <f ca="1">IFERROR(__xludf.DUMMYFUNCTION("""COMPUTED_VALUE"""),32)</f>
        <v>32</v>
      </c>
      <c r="C125" s="1">
        <f ca="1">IFERROR(__xludf.DUMMYFUNCTION("""COMPUTED_VALUE"""),16)</f>
        <v>16</v>
      </c>
      <c r="D125" s="1">
        <f ca="1">IFERROR(__xludf.DUMMYFUNCTION("""COMPUTED_VALUE"""),16)</f>
        <v>16</v>
      </c>
      <c r="E125" s="1">
        <f ca="1">IFERROR(__xludf.DUMMYFUNCTION("""COMPUTED_VALUE"""),0.5)</f>
        <v>0.5</v>
      </c>
      <c r="F125" s="1">
        <f ca="1">IFERROR(__xludf.DUMMYFUNCTION("""COMPUTED_VALUE"""),-2.79)</f>
        <v>-2.79</v>
      </c>
      <c r="G125" s="1">
        <f ca="1">IFERROR(__xludf.DUMMYFUNCTION("""COMPUTED_VALUE"""),-0.52)</f>
        <v>-0.52</v>
      </c>
      <c r="H125" s="1">
        <f ca="1">IFERROR(__xludf.DUMMYFUNCTION("""COMPUTED_VALUE"""),6)</f>
        <v>6</v>
      </c>
      <c r="I125" s="1">
        <f ca="1">IFERROR(__xludf.DUMMYFUNCTION("""COMPUTED_VALUE"""),8)</f>
        <v>8</v>
      </c>
      <c r="J125" s="1">
        <f ca="1">IFERROR(__xludf.DUMMYFUNCTION("""COMPUTED_VALUE"""),8)</f>
        <v>8</v>
      </c>
      <c r="K125" s="1">
        <f ca="1">IFERROR(__xludf.DUMMYFUNCTION("""COMPUTED_VALUE"""),7)</f>
        <v>7</v>
      </c>
      <c r="L125" s="1">
        <f ca="1">IFERROR(__xludf.DUMMYFUNCTION("""COMPUTED_VALUE"""),3)</f>
        <v>3</v>
      </c>
      <c r="M125" s="1">
        <f ca="1">IFERROR(__xludf.DUMMYFUNCTION("""COMPUTED_VALUE"""),7)</f>
        <v>7</v>
      </c>
      <c r="N125" s="1">
        <f ca="1">IFERROR(__xludf.DUMMYFUNCTION("""COMPUTED_VALUE"""),2356)</f>
        <v>2356</v>
      </c>
      <c r="O125" s="1">
        <f ca="1">IFERROR(__xludf.DUMMYFUNCTION("""COMPUTED_VALUE"""),2387)</f>
        <v>2387</v>
      </c>
      <c r="P125" s="1">
        <f ca="1">IFERROR(__xludf.DUMMYFUNCTION("""COMPUTED_VALUE"""),1295)</f>
        <v>1295</v>
      </c>
      <c r="Q125" s="1">
        <f ca="1">IFERROR(__xludf.DUMMYFUNCTION("""COMPUTED_VALUE"""),835)</f>
        <v>835</v>
      </c>
      <c r="R125" s="1">
        <f ca="1">IFERROR(__xludf.DUMMYFUNCTION("""COMPUTED_VALUE"""),1811)</f>
        <v>1811</v>
      </c>
      <c r="S125" s="1">
        <f ca="1">IFERROR(__xludf.DUMMYFUNCTION("""COMPUTED_VALUE"""),0.461)</f>
        <v>0.46100000000000002</v>
      </c>
      <c r="T125" s="1">
        <f ca="1">IFERROR(__xludf.DUMMYFUNCTION("""COMPUTED_VALUE"""),162)</f>
        <v>162</v>
      </c>
      <c r="U125" s="1">
        <f ca="1">IFERROR(__xludf.DUMMYFUNCTION("""COMPUTED_VALUE"""),501)</f>
        <v>501</v>
      </c>
      <c r="V125" s="1">
        <f ca="1">IFERROR(__xludf.DUMMYFUNCTION("""COMPUTED_VALUE"""),0.323)</f>
        <v>0.32300000000000001</v>
      </c>
      <c r="W125" s="1">
        <f ca="1">IFERROR(__xludf.DUMMYFUNCTION("""COMPUTED_VALUE"""),524)</f>
        <v>524</v>
      </c>
      <c r="X125" s="1">
        <f ca="1">IFERROR(__xludf.DUMMYFUNCTION("""COMPUTED_VALUE"""),786)</f>
        <v>786</v>
      </c>
      <c r="Y125" s="1">
        <f ca="1">IFERROR(__xludf.DUMMYFUNCTION("""COMPUTED_VALUE"""),0.667)</f>
        <v>0.66700000000000004</v>
      </c>
      <c r="Z125" s="1">
        <f ca="1">IFERROR(__xludf.DUMMYFUNCTION("""COMPUTED_VALUE"""),379)</f>
        <v>379</v>
      </c>
      <c r="AA125" s="1">
        <f ca="1">IFERROR(__xludf.DUMMYFUNCTION("""COMPUTED_VALUE"""),1082)</f>
        <v>1082</v>
      </c>
      <c r="AB125" s="1">
        <f ca="1">IFERROR(__xludf.DUMMYFUNCTION("""COMPUTED_VALUE"""),475)</f>
        <v>475</v>
      </c>
      <c r="AC125" s="1">
        <f ca="1">IFERROR(__xludf.DUMMYFUNCTION("""COMPUTED_VALUE"""),182)</f>
        <v>182</v>
      </c>
      <c r="AD125" s="1">
        <f ca="1">IFERROR(__xludf.DUMMYFUNCTION("""COMPUTED_VALUE"""),104)</f>
        <v>104</v>
      </c>
      <c r="AE125" s="1">
        <f ca="1">IFERROR(__xludf.DUMMYFUNCTION("""COMPUTED_VALUE"""),487)</f>
        <v>487</v>
      </c>
      <c r="AF125" s="1">
        <f ca="1">IFERROR(__xludf.DUMMYFUNCTION("""COMPUTED_VALUE"""),617)</f>
        <v>617</v>
      </c>
    </row>
    <row r="126" spans="1:32" ht="12.5" x14ac:dyDescent="0.25">
      <c r="A126" s="1" t="str">
        <f ca="1">IFERROR(__xludf.DUMMYFUNCTION("""COMPUTED_VALUE"""),"High Point")</f>
        <v>High Point</v>
      </c>
      <c r="B126" s="1">
        <f ca="1">IFERROR(__xludf.DUMMYFUNCTION("""COMPUTED_VALUE"""),31)</f>
        <v>31</v>
      </c>
      <c r="C126" s="1">
        <f ca="1">IFERROR(__xludf.DUMMYFUNCTION("""COMPUTED_VALUE"""),13)</f>
        <v>13</v>
      </c>
      <c r="D126" s="1">
        <f ca="1">IFERROR(__xludf.DUMMYFUNCTION("""COMPUTED_VALUE"""),18)</f>
        <v>18</v>
      </c>
      <c r="E126" s="1">
        <f ca="1">IFERROR(__xludf.DUMMYFUNCTION("""COMPUTED_VALUE"""),0.419)</f>
        <v>0.41899999999999998</v>
      </c>
      <c r="F126" s="1">
        <f ca="1">IFERROR(__xludf.DUMMYFUNCTION("""COMPUTED_VALUE"""),-5.92)</f>
        <v>-5.92</v>
      </c>
      <c r="G126" s="1">
        <f ca="1">IFERROR(__xludf.DUMMYFUNCTION("""COMPUTED_VALUE"""),-4.13)</f>
        <v>-4.13</v>
      </c>
      <c r="H126" s="1">
        <f ca="1">IFERROR(__xludf.DUMMYFUNCTION("""COMPUTED_VALUE"""),8)</f>
        <v>8</v>
      </c>
      <c r="I126" s="1">
        <f ca="1">IFERROR(__xludf.DUMMYFUNCTION("""COMPUTED_VALUE"""),10)</f>
        <v>10</v>
      </c>
      <c r="J126" s="1">
        <f ca="1">IFERROR(__xludf.DUMMYFUNCTION("""COMPUTED_VALUE"""),10)</f>
        <v>10</v>
      </c>
      <c r="K126" s="1">
        <f ca="1">IFERROR(__xludf.DUMMYFUNCTION("""COMPUTED_VALUE"""),6)</f>
        <v>6</v>
      </c>
      <c r="L126" s="1">
        <f ca="1">IFERROR(__xludf.DUMMYFUNCTION("""COMPUTED_VALUE"""),3)</f>
        <v>3</v>
      </c>
      <c r="M126" s="1">
        <f ca="1">IFERROR(__xludf.DUMMYFUNCTION("""COMPUTED_VALUE"""),12)</f>
        <v>12</v>
      </c>
      <c r="N126" s="1">
        <f ca="1">IFERROR(__xludf.DUMMYFUNCTION("""COMPUTED_VALUE"""),2203)</f>
        <v>2203</v>
      </c>
      <c r="O126" s="1">
        <f ca="1">IFERROR(__xludf.DUMMYFUNCTION("""COMPUTED_VALUE"""),2176)</f>
        <v>2176</v>
      </c>
      <c r="P126" s="1">
        <f ca="1">IFERROR(__xludf.DUMMYFUNCTION("""COMPUTED_VALUE"""),1260)</f>
        <v>1260</v>
      </c>
      <c r="Q126" s="1">
        <f ca="1">IFERROR(__xludf.DUMMYFUNCTION("""COMPUTED_VALUE"""),746)</f>
        <v>746</v>
      </c>
      <c r="R126" s="1">
        <f ca="1">IFERROR(__xludf.DUMMYFUNCTION("""COMPUTED_VALUE"""),1698)</f>
        <v>1698</v>
      </c>
      <c r="S126" s="1">
        <f ca="1">IFERROR(__xludf.DUMMYFUNCTION("""COMPUTED_VALUE"""),0.439)</f>
        <v>0.439</v>
      </c>
      <c r="T126" s="1">
        <f ca="1">IFERROR(__xludf.DUMMYFUNCTION("""COMPUTED_VALUE"""),263)</f>
        <v>263</v>
      </c>
      <c r="U126" s="1">
        <f ca="1">IFERROR(__xludf.DUMMYFUNCTION("""COMPUTED_VALUE"""),656)</f>
        <v>656</v>
      </c>
      <c r="V126" s="1">
        <f ca="1">IFERROR(__xludf.DUMMYFUNCTION("""COMPUTED_VALUE"""),0.401)</f>
        <v>0.40100000000000002</v>
      </c>
      <c r="W126" s="1">
        <f ca="1">IFERROR(__xludf.DUMMYFUNCTION("""COMPUTED_VALUE"""),448)</f>
        <v>448</v>
      </c>
      <c r="X126" s="1">
        <f ca="1">IFERROR(__xludf.DUMMYFUNCTION("""COMPUTED_VALUE"""),654)</f>
        <v>654</v>
      </c>
      <c r="Y126" s="1">
        <f ca="1">IFERROR(__xludf.DUMMYFUNCTION("""COMPUTED_VALUE"""),0.685)</f>
        <v>0.68500000000000005</v>
      </c>
      <c r="Z126" s="1">
        <f ca="1">IFERROR(__xludf.DUMMYFUNCTION("""COMPUTED_VALUE"""),338)</f>
        <v>338</v>
      </c>
      <c r="AA126" s="1">
        <f ca="1">IFERROR(__xludf.DUMMYFUNCTION("""COMPUTED_VALUE"""),941)</f>
        <v>941</v>
      </c>
      <c r="AB126" s="1">
        <f ca="1">IFERROR(__xludf.DUMMYFUNCTION("""COMPUTED_VALUE"""),389)</f>
        <v>389</v>
      </c>
      <c r="AC126" s="1">
        <f ca="1">IFERROR(__xludf.DUMMYFUNCTION("""COMPUTED_VALUE"""),174)</f>
        <v>174</v>
      </c>
      <c r="AD126" s="1">
        <f ca="1">IFERROR(__xludf.DUMMYFUNCTION("""COMPUTED_VALUE"""),88)</f>
        <v>88</v>
      </c>
      <c r="AE126" s="1">
        <f ca="1">IFERROR(__xludf.DUMMYFUNCTION("""COMPUTED_VALUE"""),386)</f>
        <v>386</v>
      </c>
      <c r="AF126" s="1">
        <f ca="1">IFERROR(__xludf.DUMMYFUNCTION("""COMPUTED_VALUE"""),577)</f>
        <v>577</v>
      </c>
    </row>
    <row r="127" spans="1:32" ht="12.5" x14ac:dyDescent="0.25">
      <c r="A127" s="1" t="str">
        <f ca="1">IFERROR(__xludf.DUMMYFUNCTION("""COMPUTED_VALUE"""),"Hofstra")</f>
        <v>Hofstra</v>
      </c>
      <c r="B127" s="1">
        <f ca="1">IFERROR(__xludf.DUMMYFUNCTION("""COMPUTED_VALUE"""),32)</f>
        <v>32</v>
      </c>
      <c r="C127" s="1">
        <f ca="1">IFERROR(__xludf.DUMMYFUNCTION("""COMPUTED_VALUE"""),10)</f>
        <v>10</v>
      </c>
      <c r="D127" s="1">
        <f ca="1">IFERROR(__xludf.DUMMYFUNCTION("""COMPUTED_VALUE"""),22)</f>
        <v>22</v>
      </c>
      <c r="E127" s="1">
        <f ca="1">IFERROR(__xludf.DUMMYFUNCTION("""COMPUTED_VALUE"""),0.313)</f>
        <v>0.313</v>
      </c>
      <c r="F127" s="1">
        <f ca="1">IFERROR(__xludf.DUMMYFUNCTION("""COMPUTED_VALUE"""),-2.98)</f>
        <v>-2.98</v>
      </c>
      <c r="G127" s="1">
        <f ca="1">IFERROR(__xludf.DUMMYFUNCTION("""COMPUTED_VALUE"""),-1.1)</f>
        <v>-1.1000000000000001</v>
      </c>
      <c r="H127" s="1">
        <f ca="1">IFERROR(__xludf.DUMMYFUNCTION("""COMPUTED_VALUE"""),3)</f>
        <v>3</v>
      </c>
      <c r="I127" s="1">
        <f ca="1">IFERROR(__xludf.DUMMYFUNCTION("""COMPUTED_VALUE"""),15)</f>
        <v>15</v>
      </c>
      <c r="J127" s="1">
        <f ca="1">IFERROR(__xludf.DUMMYFUNCTION("""COMPUTED_VALUE"""),8)</f>
        <v>8</v>
      </c>
      <c r="K127" s="1">
        <f ca="1">IFERROR(__xludf.DUMMYFUNCTION("""COMPUTED_VALUE"""),9)</f>
        <v>9</v>
      </c>
      <c r="L127" s="1">
        <f ca="1">IFERROR(__xludf.DUMMYFUNCTION("""COMPUTED_VALUE"""),1)</f>
        <v>1</v>
      </c>
      <c r="M127" s="1">
        <f ca="1">IFERROR(__xludf.DUMMYFUNCTION("""COMPUTED_VALUE"""),11)</f>
        <v>11</v>
      </c>
      <c r="N127" s="1">
        <f ca="1">IFERROR(__xludf.DUMMYFUNCTION("""COMPUTED_VALUE"""),2091)</f>
        <v>2091</v>
      </c>
      <c r="O127" s="1">
        <f ca="1">IFERROR(__xludf.DUMMYFUNCTION("""COMPUTED_VALUE"""),2151)</f>
        <v>2151</v>
      </c>
      <c r="P127" s="1">
        <f ca="1">IFERROR(__xludf.DUMMYFUNCTION("""COMPUTED_VALUE"""),1280)</f>
        <v>1280</v>
      </c>
      <c r="Q127" s="1">
        <f ca="1">IFERROR(__xludf.DUMMYFUNCTION("""COMPUTED_VALUE"""),700)</f>
        <v>700</v>
      </c>
      <c r="R127" s="1">
        <f ca="1">IFERROR(__xludf.DUMMYFUNCTION("""COMPUTED_VALUE"""),1732)</f>
        <v>1732</v>
      </c>
      <c r="S127" s="1">
        <f ca="1">IFERROR(__xludf.DUMMYFUNCTION("""COMPUTED_VALUE"""),0.404)</f>
        <v>0.40400000000000003</v>
      </c>
      <c r="T127" s="1">
        <f ca="1">IFERROR(__xludf.DUMMYFUNCTION("""COMPUTED_VALUE"""),155)</f>
        <v>155</v>
      </c>
      <c r="U127" s="1">
        <f ca="1">IFERROR(__xludf.DUMMYFUNCTION("""COMPUTED_VALUE"""),466)</f>
        <v>466</v>
      </c>
      <c r="V127" s="1">
        <f ca="1">IFERROR(__xludf.DUMMYFUNCTION("""COMPUTED_VALUE"""),0.333)</f>
        <v>0.33300000000000002</v>
      </c>
      <c r="W127" s="1">
        <f ca="1">IFERROR(__xludf.DUMMYFUNCTION("""COMPUTED_VALUE"""),536)</f>
        <v>536</v>
      </c>
      <c r="X127" s="1">
        <f ca="1">IFERROR(__xludf.DUMMYFUNCTION("""COMPUTED_VALUE"""),747)</f>
        <v>747</v>
      </c>
      <c r="Y127" s="1">
        <f ca="1">IFERROR(__xludf.DUMMYFUNCTION("""COMPUTED_VALUE"""),0.718)</f>
        <v>0.71799999999999997</v>
      </c>
      <c r="Z127" s="1">
        <f ca="1">IFERROR(__xludf.DUMMYFUNCTION("""COMPUTED_VALUE"""),382)</f>
        <v>382</v>
      </c>
      <c r="AA127" s="1">
        <f ca="1">IFERROR(__xludf.DUMMYFUNCTION("""COMPUTED_VALUE"""),968)</f>
        <v>968</v>
      </c>
      <c r="AB127" s="1">
        <f ca="1">IFERROR(__xludf.DUMMYFUNCTION("""COMPUTED_VALUE"""),389)</f>
        <v>389</v>
      </c>
      <c r="AC127" s="1">
        <f ca="1">IFERROR(__xludf.DUMMYFUNCTION("""COMPUTED_VALUE"""),245)</f>
        <v>245</v>
      </c>
      <c r="AD127" s="1">
        <f ca="1">IFERROR(__xludf.DUMMYFUNCTION("""COMPUTED_VALUE"""),84)</f>
        <v>84</v>
      </c>
      <c r="AE127" s="1">
        <f ca="1">IFERROR(__xludf.DUMMYFUNCTION("""COMPUTED_VALUE"""),442)</f>
        <v>442</v>
      </c>
      <c r="AF127" s="1">
        <f ca="1">IFERROR(__xludf.DUMMYFUNCTION("""COMPUTED_VALUE"""),595)</f>
        <v>595</v>
      </c>
    </row>
    <row r="128" spans="1:32" ht="12.5" x14ac:dyDescent="0.25">
      <c r="A128" s="1" t="str">
        <f ca="1">IFERROR(__xludf.DUMMYFUNCTION("""COMPUTED_VALUE"""),"Holy Cross")</f>
        <v>Holy Cross</v>
      </c>
      <c r="B128" s="1">
        <f ca="1">IFERROR(__xludf.DUMMYFUNCTION("""COMPUTED_VALUE"""),29)</f>
        <v>29</v>
      </c>
      <c r="C128" s="1">
        <f ca="1">IFERROR(__xludf.DUMMYFUNCTION("""COMPUTED_VALUE"""),15)</f>
        <v>15</v>
      </c>
      <c r="D128" s="1">
        <f ca="1">IFERROR(__xludf.DUMMYFUNCTION("""COMPUTED_VALUE"""),14)</f>
        <v>14</v>
      </c>
      <c r="E128" s="1">
        <f ca="1">IFERROR(__xludf.DUMMYFUNCTION("""COMPUTED_VALUE"""),0.517)</f>
        <v>0.51700000000000002</v>
      </c>
      <c r="F128" s="1">
        <f ca="1">IFERROR(__xludf.DUMMYFUNCTION("""COMPUTED_VALUE"""),-6.02)</f>
        <v>-6.02</v>
      </c>
      <c r="G128" s="1">
        <f ca="1">IFERROR(__xludf.DUMMYFUNCTION("""COMPUTED_VALUE"""),-4.23)</f>
        <v>-4.2300000000000004</v>
      </c>
      <c r="H128" s="1">
        <f ca="1">IFERROR(__xludf.DUMMYFUNCTION("""COMPUTED_VALUE"""),9)</f>
        <v>9</v>
      </c>
      <c r="I128" s="1">
        <f ca="1">IFERROR(__xludf.DUMMYFUNCTION("""COMPUTED_VALUE"""),5)</f>
        <v>5</v>
      </c>
      <c r="J128" s="1">
        <f ca="1">IFERROR(__xludf.DUMMYFUNCTION("""COMPUTED_VALUE"""),11)</f>
        <v>11</v>
      </c>
      <c r="K128" s="1">
        <f ca="1">IFERROR(__xludf.DUMMYFUNCTION("""COMPUTED_VALUE"""),3)</f>
        <v>3</v>
      </c>
      <c r="L128" s="1">
        <f ca="1">IFERROR(__xludf.DUMMYFUNCTION("""COMPUTED_VALUE"""),4)</f>
        <v>4</v>
      </c>
      <c r="M128" s="1">
        <f ca="1">IFERROR(__xludf.DUMMYFUNCTION("""COMPUTED_VALUE"""),11)</f>
        <v>11</v>
      </c>
      <c r="N128" s="1">
        <f ca="1">IFERROR(__xludf.DUMMYFUNCTION("""COMPUTED_VALUE"""),1886)</f>
        <v>1886</v>
      </c>
      <c r="O128" s="1">
        <f ca="1">IFERROR(__xludf.DUMMYFUNCTION("""COMPUTED_VALUE"""),1938)</f>
        <v>1938</v>
      </c>
      <c r="P128" s="1">
        <f ca="1">IFERROR(__xludf.DUMMYFUNCTION("""COMPUTED_VALUE"""),1160)</f>
        <v>1160</v>
      </c>
      <c r="Q128" s="1">
        <f ca="1">IFERROR(__xludf.DUMMYFUNCTION("""COMPUTED_VALUE"""),673)</f>
        <v>673</v>
      </c>
      <c r="R128" s="1">
        <f ca="1">IFERROR(__xludf.DUMMYFUNCTION("""COMPUTED_VALUE"""),1565)</f>
        <v>1565</v>
      </c>
      <c r="S128" s="1">
        <f ca="1">IFERROR(__xludf.DUMMYFUNCTION("""COMPUTED_VALUE"""),0.43)</f>
        <v>0.43</v>
      </c>
      <c r="T128" s="1">
        <f ca="1">IFERROR(__xludf.DUMMYFUNCTION("""COMPUTED_VALUE"""),166)</f>
        <v>166</v>
      </c>
      <c r="U128" s="1">
        <f ca="1">IFERROR(__xludf.DUMMYFUNCTION("""COMPUTED_VALUE"""),489)</f>
        <v>489</v>
      </c>
      <c r="V128" s="1">
        <f ca="1">IFERROR(__xludf.DUMMYFUNCTION("""COMPUTED_VALUE"""),0.339)</f>
        <v>0.33900000000000002</v>
      </c>
      <c r="W128" s="1">
        <f ca="1">IFERROR(__xludf.DUMMYFUNCTION("""COMPUTED_VALUE"""),374)</f>
        <v>374</v>
      </c>
      <c r="X128" s="1">
        <f ca="1">IFERROR(__xludf.DUMMYFUNCTION("""COMPUTED_VALUE"""),519)</f>
        <v>519</v>
      </c>
      <c r="Y128" s="1">
        <f ca="1">IFERROR(__xludf.DUMMYFUNCTION("""COMPUTED_VALUE"""),0.721)</f>
        <v>0.72099999999999997</v>
      </c>
      <c r="Z128" s="1">
        <f ca="1">IFERROR(__xludf.DUMMYFUNCTION("""COMPUTED_VALUE"""),289)</f>
        <v>289</v>
      </c>
      <c r="AA128" s="1">
        <f ca="1">IFERROR(__xludf.DUMMYFUNCTION("""COMPUTED_VALUE"""),917)</f>
        <v>917</v>
      </c>
      <c r="AB128" s="1">
        <f ca="1">IFERROR(__xludf.DUMMYFUNCTION("""COMPUTED_VALUE"""),367)</f>
        <v>367</v>
      </c>
      <c r="AC128" s="1">
        <f ca="1">IFERROR(__xludf.DUMMYFUNCTION("""COMPUTED_VALUE"""),167)</f>
        <v>167</v>
      </c>
      <c r="AD128" s="1">
        <f ca="1">IFERROR(__xludf.DUMMYFUNCTION("""COMPUTED_VALUE"""),129)</f>
        <v>129</v>
      </c>
      <c r="AE128" s="1">
        <f ca="1">IFERROR(__xludf.DUMMYFUNCTION("""COMPUTED_VALUE"""),396)</f>
        <v>396</v>
      </c>
      <c r="AF128" s="1">
        <f ca="1">IFERROR(__xludf.DUMMYFUNCTION("""COMPUTED_VALUE"""),512)</f>
        <v>512</v>
      </c>
    </row>
    <row r="129" spans="1:32" ht="12.5" x14ac:dyDescent="0.25">
      <c r="A129" s="1" t="str">
        <f ca="1">IFERROR(__xludf.DUMMYFUNCTION("""COMPUTED_VALUE"""),"Houston Baptist")</f>
        <v>Houston Baptist</v>
      </c>
      <c r="B129" s="1">
        <f ca="1">IFERROR(__xludf.DUMMYFUNCTION("""COMPUTED_VALUE"""),30)</f>
        <v>30</v>
      </c>
      <c r="C129" s="1">
        <f ca="1">IFERROR(__xludf.DUMMYFUNCTION("""COMPUTED_VALUE"""),10)</f>
        <v>10</v>
      </c>
      <c r="D129" s="1">
        <f ca="1">IFERROR(__xludf.DUMMYFUNCTION("""COMPUTED_VALUE"""),20)</f>
        <v>20</v>
      </c>
      <c r="E129" s="1">
        <f ca="1">IFERROR(__xludf.DUMMYFUNCTION("""COMPUTED_VALUE"""),0.333)</f>
        <v>0.33300000000000002</v>
      </c>
      <c r="F129" s="1">
        <f ca="1">IFERROR(__xludf.DUMMYFUNCTION("""COMPUTED_VALUE"""),-16.07)</f>
        <v>-16.07</v>
      </c>
      <c r="G129" s="1">
        <f ca="1">IFERROR(__xludf.DUMMYFUNCTION("""COMPUTED_VALUE"""),-6.1)</f>
        <v>-6.1</v>
      </c>
      <c r="H129" s="1">
        <f ca="1">IFERROR(__xludf.DUMMYFUNCTION("""COMPUTED_VALUE"""),3)</f>
        <v>3</v>
      </c>
      <c r="I129" s="1">
        <f ca="1">IFERROR(__xludf.DUMMYFUNCTION("""COMPUTED_VALUE"""),7)</f>
        <v>7</v>
      </c>
      <c r="J129" s="1">
        <f ca="1">IFERROR(__xludf.DUMMYFUNCTION("""COMPUTED_VALUE"""),9)</f>
        <v>9</v>
      </c>
      <c r="K129" s="1">
        <f ca="1">IFERROR(__xludf.DUMMYFUNCTION("""COMPUTED_VALUE"""),5)</f>
        <v>5</v>
      </c>
      <c r="L129" s="1">
        <f ca="1">IFERROR(__xludf.DUMMYFUNCTION("""COMPUTED_VALUE"""),0)</f>
        <v>0</v>
      </c>
      <c r="M129" s="1">
        <f ca="1">IFERROR(__xludf.DUMMYFUNCTION("""COMPUTED_VALUE"""),13)</f>
        <v>13</v>
      </c>
      <c r="N129" s="1">
        <f ca="1">IFERROR(__xludf.DUMMYFUNCTION("""COMPUTED_VALUE"""),2208)</f>
        <v>2208</v>
      </c>
      <c r="O129" s="1">
        <f ca="1">IFERROR(__xludf.DUMMYFUNCTION("""COMPUTED_VALUE"""),2344)</f>
        <v>2344</v>
      </c>
      <c r="P129" s="1">
        <f ca="1">IFERROR(__xludf.DUMMYFUNCTION("""COMPUTED_VALUE"""),1210)</f>
        <v>1210</v>
      </c>
      <c r="Q129" s="1">
        <f ca="1">IFERROR(__xludf.DUMMYFUNCTION("""COMPUTED_VALUE"""),787)</f>
        <v>787</v>
      </c>
      <c r="R129" s="1">
        <f ca="1">IFERROR(__xludf.DUMMYFUNCTION("""COMPUTED_VALUE"""),1860)</f>
        <v>1860</v>
      </c>
      <c r="S129" s="1">
        <f ca="1">IFERROR(__xludf.DUMMYFUNCTION("""COMPUTED_VALUE"""),0.423)</f>
        <v>0.42299999999999999</v>
      </c>
      <c r="T129" s="1">
        <f ca="1">IFERROR(__xludf.DUMMYFUNCTION("""COMPUTED_VALUE"""),153)</f>
        <v>153</v>
      </c>
      <c r="U129" s="1">
        <f ca="1">IFERROR(__xludf.DUMMYFUNCTION("""COMPUTED_VALUE"""),479)</f>
        <v>479</v>
      </c>
      <c r="V129" s="1">
        <f ca="1">IFERROR(__xludf.DUMMYFUNCTION("""COMPUTED_VALUE"""),0.319)</f>
        <v>0.31900000000000001</v>
      </c>
      <c r="W129" s="1">
        <f ca="1">IFERROR(__xludf.DUMMYFUNCTION("""COMPUTED_VALUE"""),481)</f>
        <v>481</v>
      </c>
      <c r="X129" s="1">
        <f ca="1">IFERROR(__xludf.DUMMYFUNCTION("""COMPUTED_VALUE"""),704)</f>
        <v>704</v>
      </c>
      <c r="Y129" s="1">
        <f ca="1">IFERROR(__xludf.DUMMYFUNCTION("""COMPUTED_VALUE"""),0.683)</f>
        <v>0.68300000000000005</v>
      </c>
      <c r="Z129" s="1">
        <f ca="1">IFERROR(__xludf.DUMMYFUNCTION("""COMPUTED_VALUE"""),405)</f>
        <v>405</v>
      </c>
      <c r="AA129" s="1">
        <f ca="1">IFERROR(__xludf.DUMMYFUNCTION("""COMPUTED_VALUE"""),974)</f>
        <v>974</v>
      </c>
      <c r="AB129" s="1">
        <f ca="1">IFERROR(__xludf.DUMMYFUNCTION("""COMPUTED_VALUE"""),373)</f>
        <v>373</v>
      </c>
      <c r="AC129" s="1">
        <f ca="1">IFERROR(__xludf.DUMMYFUNCTION("""COMPUTED_VALUE"""),225)</f>
        <v>225</v>
      </c>
      <c r="AD129" s="1">
        <f ca="1">IFERROR(__xludf.DUMMYFUNCTION("""COMPUTED_VALUE"""),51)</f>
        <v>51</v>
      </c>
      <c r="AE129" s="1">
        <f ca="1">IFERROR(__xludf.DUMMYFUNCTION("""COMPUTED_VALUE"""),470)</f>
        <v>470</v>
      </c>
      <c r="AF129" s="1">
        <f ca="1">IFERROR(__xludf.DUMMYFUNCTION("""COMPUTED_VALUE"""),655)</f>
        <v>655</v>
      </c>
    </row>
    <row r="130" spans="1:32" ht="12.5" x14ac:dyDescent="0.25">
      <c r="A130" s="1" t="str">
        <f ca="1">IFERROR(__xludf.DUMMYFUNCTION("""COMPUTED_VALUE"""),"Houston")</f>
        <v>Houston</v>
      </c>
      <c r="B130" s="1">
        <f ca="1">IFERROR(__xludf.DUMMYFUNCTION("""COMPUTED_VALUE"""),30)</f>
        <v>30</v>
      </c>
      <c r="C130" s="1">
        <f ca="1">IFERROR(__xludf.DUMMYFUNCTION("""COMPUTED_VALUE"""),15)</f>
        <v>15</v>
      </c>
      <c r="D130" s="1">
        <f ca="1">IFERROR(__xludf.DUMMYFUNCTION("""COMPUTED_VALUE"""),15)</f>
        <v>15</v>
      </c>
      <c r="E130" s="1">
        <f ca="1">IFERROR(__xludf.DUMMYFUNCTION("""COMPUTED_VALUE"""),0.5)</f>
        <v>0.5</v>
      </c>
      <c r="F130" s="1">
        <f ca="1">IFERROR(__xludf.DUMMYFUNCTION("""COMPUTED_VALUE"""),0.04)</f>
        <v>0.04</v>
      </c>
      <c r="G130" s="1">
        <f ca="1">IFERROR(__xludf.DUMMYFUNCTION("""COMPUTED_VALUE"""),0.21)</f>
        <v>0.21</v>
      </c>
      <c r="H130" s="1">
        <f ca="1">IFERROR(__xludf.DUMMYFUNCTION("""COMPUTED_VALUE"""),7)</f>
        <v>7</v>
      </c>
      <c r="I130" s="1">
        <f ca="1">IFERROR(__xludf.DUMMYFUNCTION("""COMPUTED_VALUE"""),9)</f>
        <v>9</v>
      </c>
      <c r="J130" s="1">
        <f ca="1">IFERROR(__xludf.DUMMYFUNCTION("""COMPUTED_VALUE"""),13)</f>
        <v>13</v>
      </c>
      <c r="K130" s="1">
        <f ca="1">IFERROR(__xludf.DUMMYFUNCTION("""COMPUTED_VALUE"""),5)</f>
        <v>5</v>
      </c>
      <c r="L130" s="1">
        <f ca="1">IFERROR(__xludf.DUMMYFUNCTION("""COMPUTED_VALUE"""),1)</f>
        <v>1</v>
      </c>
      <c r="M130" s="1">
        <f ca="1">IFERROR(__xludf.DUMMYFUNCTION("""COMPUTED_VALUE"""),8)</f>
        <v>8</v>
      </c>
      <c r="N130" s="1">
        <f ca="1">IFERROR(__xludf.DUMMYFUNCTION("""COMPUTED_VALUE"""),2152)</f>
        <v>2152</v>
      </c>
      <c r="O130" s="1">
        <f ca="1">IFERROR(__xludf.DUMMYFUNCTION("""COMPUTED_VALUE"""),2147)</f>
        <v>2147</v>
      </c>
      <c r="P130" s="1">
        <f ca="1">IFERROR(__xludf.DUMMYFUNCTION("""COMPUTED_VALUE"""),1215)</f>
        <v>1215</v>
      </c>
      <c r="Q130" s="1">
        <f ca="1">IFERROR(__xludf.DUMMYFUNCTION("""COMPUTED_VALUE"""),795)</f>
        <v>795</v>
      </c>
      <c r="R130" s="1">
        <f ca="1">IFERROR(__xludf.DUMMYFUNCTION("""COMPUTED_VALUE"""),1714)</f>
        <v>1714</v>
      </c>
      <c r="S130" s="1">
        <f ca="1">IFERROR(__xludf.DUMMYFUNCTION("""COMPUTED_VALUE"""),0.464)</f>
        <v>0.46400000000000002</v>
      </c>
      <c r="T130" s="1">
        <f ca="1">IFERROR(__xludf.DUMMYFUNCTION("""COMPUTED_VALUE"""),164)</f>
        <v>164</v>
      </c>
      <c r="U130" s="1">
        <f ca="1">IFERROR(__xludf.DUMMYFUNCTION("""COMPUTED_VALUE"""),464)</f>
        <v>464</v>
      </c>
      <c r="V130" s="1">
        <f ca="1">IFERROR(__xludf.DUMMYFUNCTION("""COMPUTED_VALUE"""),0.353)</f>
        <v>0.35299999999999998</v>
      </c>
      <c r="W130" s="1">
        <f ca="1">IFERROR(__xludf.DUMMYFUNCTION("""COMPUTED_VALUE"""),398)</f>
        <v>398</v>
      </c>
      <c r="X130" s="1">
        <f ca="1">IFERROR(__xludf.DUMMYFUNCTION("""COMPUTED_VALUE"""),565)</f>
        <v>565</v>
      </c>
      <c r="Y130" s="1">
        <f ca="1">IFERROR(__xludf.DUMMYFUNCTION("""COMPUTED_VALUE"""),0.704)</f>
        <v>0.70399999999999996</v>
      </c>
      <c r="Z130" s="1">
        <f ca="1">IFERROR(__xludf.DUMMYFUNCTION("""COMPUTED_VALUE"""),355)</f>
        <v>355</v>
      </c>
      <c r="AA130" s="1">
        <f ca="1">IFERROR(__xludf.DUMMYFUNCTION("""COMPUTED_VALUE"""),1018)</f>
        <v>1018</v>
      </c>
      <c r="AB130" s="1">
        <f ca="1">IFERROR(__xludf.DUMMYFUNCTION("""COMPUTED_VALUE"""),398)</f>
        <v>398</v>
      </c>
      <c r="AC130" s="1">
        <f ca="1">IFERROR(__xludf.DUMMYFUNCTION("""COMPUTED_VALUE"""),156)</f>
        <v>156</v>
      </c>
      <c r="AD130" s="1">
        <f ca="1">IFERROR(__xludf.DUMMYFUNCTION("""COMPUTED_VALUE"""),149)</f>
        <v>149</v>
      </c>
      <c r="AE130" s="1">
        <f ca="1">IFERROR(__xludf.DUMMYFUNCTION("""COMPUTED_VALUE"""),435)</f>
        <v>435</v>
      </c>
      <c r="AF130" s="1">
        <f ca="1">IFERROR(__xludf.DUMMYFUNCTION("""COMPUTED_VALUE"""),502)</f>
        <v>502</v>
      </c>
    </row>
    <row r="131" spans="1:32" ht="12.5" x14ac:dyDescent="0.25">
      <c r="A131" s="1" t="str">
        <f ca="1">IFERROR(__xludf.DUMMYFUNCTION("""COMPUTED_VALUE"""),"Howard")</f>
        <v>Howard</v>
      </c>
      <c r="B131" s="1">
        <f ca="1">IFERROR(__xludf.DUMMYFUNCTION("""COMPUTED_VALUE"""),31)</f>
        <v>31</v>
      </c>
      <c r="C131" s="1">
        <f ca="1">IFERROR(__xludf.DUMMYFUNCTION("""COMPUTED_VALUE"""),10)</f>
        <v>10</v>
      </c>
      <c r="D131" s="1">
        <f ca="1">IFERROR(__xludf.DUMMYFUNCTION("""COMPUTED_VALUE"""),21)</f>
        <v>21</v>
      </c>
      <c r="E131" s="1">
        <f ca="1">IFERROR(__xludf.DUMMYFUNCTION("""COMPUTED_VALUE"""),0.323)</f>
        <v>0.32300000000000001</v>
      </c>
      <c r="F131" s="1">
        <f ca="1">IFERROR(__xludf.DUMMYFUNCTION("""COMPUTED_VALUE"""),-14.59)</f>
        <v>-14.59</v>
      </c>
      <c r="G131" s="1">
        <f ca="1">IFERROR(__xludf.DUMMYFUNCTION("""COMPUTED_VALUE"""),-4.16)</f>
        <v>-4.16</v>
      </c>
      <c r="H131" s="1">
        <f ca="1">IFERROR(__xludf.DUMMYFUNCTION("""COMPUTED_VALUE"""),6)</f>
        <v>6</v>
      </c>
      <c r="I131" s="1">
        <f ca="1">IFERROR(__xludf.DUMMYFUNCTION("""COMPUTED_VALUE"""),10)</f>
        <v>10</v>
      </c>
      <c r="J131" s="1">
        <f ca="1">IFERROR(__xludf.DUMMYFUNCTION("""COMPUTED_VALUE"""),6)</f>
        <v>6</v>
      </c>
      <c r="K131" s="1">
        <f ca="1">IFERROR(__xludf.DUMMYFUNCTION("""COMPUTED_VALUE"""),5)</f>
        <v>5</v>
      </c>
      <c r="L131" s="1">
        <f ca="1">IFERROR(__xludf.DUMMYFUNCTION("""COMPUTED_VALUE"""),3)</f>
        <v>3</v>
      </c>
      <c r="M131" s="1">
        <f ca="1">IFERROR(__xludf.DUMMYFUNCTION("""COMPUTED_VALUE"""),14)</f>
        <v>14</v>
      </c>
      <c r="N131" s="1">
        <f ca="1">IFERROR(__xludf.DUMMYFUNCTION("""COMPUTED_VALUE"""),1881)</f>
        <v>1881</v>
      </c>
      <c r="O131" s="1">
        <f ca="1">IFERROR(__xludf.DUMMYFUNCTION("""COMPUTED_VALUE"""),2174)</f>
        <v>2174</v>
      </c>
      <c r="P131" s="1">
        <f ca="1">IFERROR(__xludf.DUMMYFUNCTION("""COMPUTED_VALUE"""),1245)</f>
        <v>1245</v>
      </c>
      <c r="Q131" s="1">
        <f ca="1">IFERROR(__xludf.DUMMYFUNCTION("""COMPUTED_VALUE"""),618)</f>
        <v>618</v>
      </c>
      <c r="R131" s="1">
        <f ca="1">IFERROR(__xludf.DUMMYFUNCTION("""COMPUTED_VALUE"""),1613)</f>
        <v>1613</v>
      </c>
      <c r="S131" s="1">
        <f ca="1">IFERROR(__xludf.DUMMYFUNCTION("""COMPUTED_VALUE"""),0.383)</f>
        <v>0.38300000000000001</v>
      </c>
      <c r="T131" s="1">
        <f ca="1">IFERROR(__xludf.DUMMYFUNCTION("""COMPUTED_VALUE"""),140)</f>
        <v>140</v>
      </c>
      <c r="U131" s="1">
        <f ca="1">IFERROR(__xludf.DUMMYFUNCTION("""COMPUTED_VALUE"""),439)</f>
        <v>439</v>
      </c>
      <c r="V131" s="1">
        <f ca="1">IFERROR(__xludf.DUMMYFUNCTION("""COMPUTED_VALUE"""),0.319)</f>
        <v>0.31900000000000001</v>
      </c>
      <c r="W131" s="1">
        <f ca="1">IFERROR(__xludf.DUMMYFUNCTION("""COMPUTED_VALUE"""),505)</f>
        <v>505</v>
      </c>
      <c r="X131" s="1">
        <f ca="1">IFERROR(__xludf.DUMMYFUNCTION("""COMPUTED_VALUE"""),744)</f>
        <v>744</v>
      </c>
      <c r="Y131" s="1">
        <f ca="1">IFERROR(__xludf.DUMMYFUNCTION("""COMPUTED_VALUE"""),0.679)</f>
        <v>0.67900000000000005</v>
      </c>
      <c r="Z131" s="1">
        <f ca="1">IFERROR(__xludf.DUMMYFUNCTION("""COMPUTED_VALUE"""),388)</f>
        <v>388</v>
      </c>
      <c r="AA131" s="1">
        <f ca="1">IFERROR(__xludf.DUMMYFUNCTION("""COMPUTED_VALUE"""),965)</f>
        <v>965</v>
      </c>
      <c r="AB131" s="1">
        <f ca="1">IFERROR(__xludf.DUMMYFUNCTION("""COMPUTED_VALUE"""),283)</f>
        <v>283</v>
      </c>
      <c r="AC131" s="1">
        <f ca="1">IFERROR(__xludf.DUMMYFUNCTION("""COMPUTED_VALUE"""),189)</f>
        <v>189</v>
      </c>
      <c r="AD131" s="1">
        <f ca="1">IFERROR(__xludf.DUMMYFUNCTION("""COMPUTED_VALUE"""),94)</f>
        <v>94</v>
      </c>
      <c r="AE131" s="1">
        <f ca="1">IFERROR(__xludf.DUMMYFUNCTION("""COMPUTED_VALUE"""),533)</f>
        <v>533</v>
      </c>
      <c r="AF131" s="1">
        <f ca="1">IFERROR(__xludf.DUMMYFUNCTION("""COMPUTED_VALUE"""),691)</f>
        <v>691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IFERROR(__xludf.DUMMYFUNCTION("""COMPUTED_VALUE"""),"Idaho State")</f>
        <v>Idaho State</v>
      </c>
      <c r="B134" s="1">
        <f ca="1">IFERROR(__xludf.DUMMYFUNCTION("""COMPUTED_VALUE"""),30)</f>
        <v>30</v>
      </c>
      <c r="C134" s="1">
        <f ca="1">IFERROR(__xludf.DUMMYFUNCTION("""COMPUTED_VALUE"""),9)</f>
        <v>9</v>
      </c>
      <c r="D134" s="1">
        <f ca="1">IFERROR(__xludf.DUMMYFUNCTION("""COMPUTED_VALUE"""),21)</f>
        <v>21</v>
      </c>
      <c r="E134" s="1">
        <f ca="1">IFERROR(__xludf.DUMMYFUNCTION("""COMPUTED_VALUE"""),0.3)</f>
        <v>0.3</v>
      </c>
      <c r="F134" s="1">
        <f ca="1">IFERROR(__xludf.DUMMYFUNCTION("""COMPUTED_VALUE"""),-11.05)</f>
        <v>-11.05</v>
      </c>
      <c r="G134" s="1">
        <f ca="1">IFERROR(__xludf.DUMMYFUNCTION("""COMPUTED_VALUE"""),-2.77)</f>
        <v>-2.77</v>
      </c>
      <c r="H134" s="1">
        <f ca="1">IFERROR(__xludf.DUMMYFUNCTION("""COMPUTED_VALUE"""),7)</f>
        <v>7</v>
      </c>
      <c r="I134" s="1">
        <f ca="1">IFERROR(__xludf.DUMMYFUNCTION("""COMPUTED_VALUE"""),9)</f>
        <v>9</v>
      </c>
      <c r="J134" s="1">
        <f ca="1">IFERROR(__xludf.DUMMYFUNCTION("""COMPUTED_VALUE"""),5)</f>
        <v>5</v>
      </c>
      <c r="K134" s="1">
        <f ca="1">IFERROR(__xludf.DUMMYFUNCTION("""COMPUTED_VALUE"""),8)</f>
        <v>8</v>
      </c>
      <c r="L134" s="1">
        <f ca="1">IFERROR(__xludf.DUMMYFUNCTION("""COMPUTED_VALUE"""),4)</f>
        <v>4</v>
      </c>
      <c r="M134" s="1">
        <f ca="1">IFERROR(__xludf.DUMMYFUNCTION("""COMPUTED_VALUE"""),13)</f>
        <v>13</v>
      </c>
      <c r="N134" s="1">
        <f ca="1">IFERROR(__xludf.DUMMYFUNCTION("""COMPUTED_VALUE"""),1979)</f>
        <v>1979</v>
      </c>
      <c r="O134" s="1">
        <f ca="1">IFERROR(__xludf.DUMMYFUNCTION("""COMPUTED_VALUE"""),2192)</f>
        <v>2192</v>
      </c>
      <c r="P134" s="1">
        <f ca="1">IFERROR(__xludf.DUMMYFUNCTION("""COMPUTED_VALUE"""),1230)</f>
        <v>1230</v>
      </c>
      <c r="Q134" s="1">
        <f ca="1">IFERROR(__xludf.DUMMYFUNCTION("""COMPUTED_VALUE"""),695)</f>
        <v>695</v>
      </c>
      <c r="R134" s="1">
        <f ca="1">IFERROR(__xludf.DUMMYFUNCTION("""COMPUTED_VALUE"""),1652)</f>
        <v>1652</v>
      </c>
      <c r="S134" s="1">
        <f ca="1">IFERROR(__xludf.DUMMYFUNCTION("""COMPUTED_VALUE"""),0.421)</f>
        <v>0.42099999999999999</v>
      </c>
      <c r="T134" s="1">
        <f ca="1">IFERROR(__xludf.DUMMYFUNCTION("""COMPUTED_VALUE"""),193)</f>
        <v>193</v>
      </c>
      <c r="U134" s="1">
        <f ca="1">IFERROR(__xludf.DUMMYFUNCTION("""COMPUTED_VALUE"""),562)</f>
        <v>562</v>
      </c>
      <c r="V134" s="1">
        <f ca="1">IFERROR(__xludf.DUMMYFUNCTION("""COMPUTED_VALUE"""),0.343)</f>
        <v>0.34300000000000003</v>
      </c>
      <c r="W134" s="1">
        <f ca="1">IFERROR(__xludf.DUMMYFUNCTION("""COMPUTED_VALUE"""),396)</f>
        <v>396</v>
      </c>
      <c r="X134" s="1">
        <f ca="1">IFERROR(__xludf.DUMMYFUNCTION("""COMPUTED_VALUE"""),579)</f>
        <v>579</v>
      </c>
      <c r="Y134" s="1">
        <f ca="1">IFERROR(__xludf.DUMMYFUNCTION("""COMPUTED_VALUE"""),0.684)</f>
        <v>0.68400000000000005</v>
      </c>
      <c r="Z134" s="1">
        <f ca="1">IFERROR(__xludf.DUMMYFUNCTION("""COMPUTED_VALUE"""),325)</f>
        <v>325</v>
      </c>
      <c r="AA134" s="1">
        <f ca="1">IFERROR(__xludf.DUMMYFUNCTION("""COMPUTED_VALUE"""),795)</f>
        <v>795</v>
      </c>
      <c r="AB134" s="1">
        <f ca="1">IFERROR(__xludf.DUMMYFUNCTION("""COMPUTED_VALUE"""),359)</f>
        <v>359</v>
      </c>
      <c r="AC134" s="1">
        <f ca="1">IFERROR(__xludf.DUMMYFUNCTION("""COMPUTED_VALUE"""),211)</f>
        <v>211</v>
      </c>
      <c r="AD134" s="1">
        <f ca="1">IFERROR(__xludf.DUMMYFUNCTION("""COMPUTED_VALUE"""),68)</f>
        <v>68</v>
      </c>
      <c r="AE134" s="1">
        <f ca="1">IFERROR(__xludf.DUMMYFUNCTION("""COMPUTED_VALUE"""),421)</f>
        <v>421</v>
      </c>
      <c r="AF134" s="1">
        <f ca="1">IFERROR(__xludf.DUMMYFUNCTION("""COMPUTED_VALUE"""),594)</f>
        <v>594</v>
      </c>
    </row>
    <row r="135" spans="1:32" ht="12.5" x14ac:dyDescent="0.25">
      <c r="A135" s="1" t="str">
        <f ca="1">IFERROR(__xludf.DUMMYFUNCTION("""COMPUTED_VALUE"""),"Idaho")</f>
        <v>Idaho</v>
      </c>
      <c r="B135" s="1">
        <f ca="1">IFERROR(__xludf.DUMMYFUNCTION("""COMPUTED_VALUE"""),33)</f>
        <v>33</v>
      </c>
      <c r="C135" s="1">
        <f ca="1">IFERROR(__xludf.DUMMYFUNCTION("""COMPUTED_VALUE"""),19)</f>
        <v>19</v>
      </c>
      <c r="D135" s="1">
        <f ca="1">IFERROR(__xludf.DUMMYFUNCTION("""COMPUTED_VALUE"""),14)</f>
        <v>14</v>
      </c>
      <c r="E135" s="1">
        <f ca="1">IFERROR(__xludf.DUMMYFUNCTION("""COMPUTED_VALUE"""),0.576)</f>
        <v>0.57599999999999996</v>
      </c>
      <c r="F135" s="1">
        <f ca="1">IFERROR(__xludf.DUMMYFUNCTION("""COMPUTED_VALUE"""),0.77)</f>
        <v>0.77</v>
      </c>
      <c r="G135" s="1">
        <f ca="1">IFERROR(__xludf.DUMMYFUNCTION("""COMPUTED_VALUE"""),-0.43)</f>
        <v>-0.43</v>
      </c>
      <c r="H135" s="1">
        <f ca="1">IFERROR(__xludf.DUMMYFUNCTION("""COMPUTED_VALUE"""),9)</f>
        <v>9</v>
      </c>
      <c r="I135" s="1">
        <f ca="1">IFERROR(__xludf.DUMMYFUNCTION("""COMPUTED_VALUE"""),5)</f>
        <v>5</v>
      </c>
      <c r="J135" s="1">
        <f ca="1">IFERROR(__xludf.DUMMYFUNCTION("""COMPUTED_VALUE"""),11)</f>
        <v>11</v>
      </c>
      <c r="K135" s="1">
        <f ca="1">IFERROR(__xludf.DUMMYFUNCTION("""COMPUTED_VALUE"""),4)</f>
        <v>4</v>
      </c>
      <c r="L135" s="1">
        <f ca="1">IFERROR(__xludf.DUMMYFUNCTION("""COMPUTED_VALUE"""),8)</f>
        <v>8</v>
      </c>
      <c r="M135" s="1">
        <f ca="1">IFERROR(__xludf.DUMMYFUNCTION("""COMPUTED_VALUE"""),8)</f>
        <v>8</v>
      </c>
      <c r="N135" s="1">
        <f ca="1">IFERROR(__xludf.DUMMYFUNCTION("""COMPUTED_VALUE"""),2298)</f>
        <v>2298</v>
      </c>
      <c r="O135" s="1">
        <f ca="1">IFERROR(__xludf.DUMMYFUNCTION("""COMPUTED_VALUE"""),2240)</f>
        <v>2240</v>
      </c>
      <c r="P135" s="1">
        <f ca="1">IFERROR(__xludf.DUMMYFUNCTION("""COMPUTED_VALUE"""),1330)</f>
        <v>1330</v>
      </c>
      <c r="Q135" s="1">
        <f ca="1">IFERROR(__xludf.DUMMYFUNCTION("""COMPUTED_VALUE"""),807)</f>
        <v>807</v>
      </c>
      <c r="R135" s="1">
        <f ca="1">IFERROR(__xludf.DUMMYFUNCTION("""COMPUTED_VALUE"""),1692)</f>
        <v>1692</v>
      </c>
      <c r="S135" s="1">
        <f ca="1">IFERROR(__xludf.DUMMYFUNCTION("""COMPUTED_VALUE"""),0.477)</f>
        <v>0.47699999999999998</v>
      </c>
      <c r="T135" s="1">
        <f ca="1">IFERROR(__xludf.DUMMYFUNCTION("""COMPUTED_VALUE"""),215)</f>
        <v>215</v>
      </c>
      <c r="U135" s="1">
        <f ca="1">IFERROR(__xludf.DUMMYFUNCTION("""COMPUTED_VALUE"""),549)</f>
        <v>549</v>
      </c>
      <c r="V135" s="1">
        <f ca="1">IFERROR(__xludf.DUMMYFUNCTION("""COMPUTED_VALUE"""),0.392)</f>
        <v>0.39200000000000002</v>
      </c>
      <c r="W135" s="1">
        <f ca="1">IFERROR(__xludf.DUMMYFUNCTION("""COMPUTED_VALUE"""),469)</f>
        <v>469</v>
      </c>
      <c r="X135" s="1">
        <f ca="1">IFERROR(__xludf.DUMMYFUNCTION("""COMPUTED_VALUE"""),697)</f>
        <v>697</v>
      </c>
      <c r="Y135" s="1">
        <f ca="1">IFERROR(__xludf.DUMMYFUNCTION("""COMPUTED_VALUE"""),0.673)</f>
        <v>0.67300000000000004</v>
      </c>
      <c r="Z135" s="1">
        <f ca="1">IFERROR(__xludf.DUMMYFUNCTION("""COMPUTED_VALUE"""),328)</f>
        <v>328</v>
      </c>
      <c r="AA135" s="1">
        <f ca="1">IFERROR(__xludf.DUMMYFUNCTION("""COMPUTED_VALUE"""),1039)</f>
        <v>1039</v>
      </c>
      <c r="AB135" s="1">
        <f ca="1">IFERROR(__xludf.DUMMYFUNCTION("""COMPUTED_VALUE"""),486)</f>
        <v>486</v>
      </c>
      <c r="AC135" s="1">
        <f ca="1">IFERROR(__xludf.DUMMYFUNCTION("""COMPUTED_VALUE"""),155)</f>
        <v>155</v>
      </c>
      <c r="AD135" s="1">
        <f ca="1">IFERROR(__xludf.DUMMYFUNCTION("""COMPUTED_VALUE"""),135)</f>
        <v>135</v>
      </c>
      <c r="AE135" s="1">
        <f ca="1">IFERROR(__xludf.DUMMYFUNCTION("""COMPUTED_VALUE"""),441)</f>
        <v>441</v>
      </c>
      <c r="AF135" s="1">
        <f ca="1">IFERROR(__xludf.DUMMYFUNCTION("""COMPUTED_VALUE"""),566)</f>
        <v>566</v>
      </c>
    </row>
    <row r="136" spans="1:32" ht="12.5" x14ac:dyDescent="0.25">
      <c r="A136" s="1" t="str">
        <f ca="1">IFERROR(__xludf.DUMMYFUNCTION("""COMPUTED_VALUE"""),"Illinois-Chicago")</f>
        <v>Illinois-Chicago</v>
      </c>
      <c r="B136" s="1">
        <f ca="1">IFERROR(__xludf.DUMMYFUNCTION("""COMPUTED_VALUE"""),30)</f>
        <v>30</v>
      </c>
      <c r="C136" s="1">
        <f ca="1">IFERROR(__xludf.DUMMYFUNCTION("""COMPUTED_VALUE"""),8)</f>
        <v>8</v>
      </c>
      <c r="D136" s="1">
        <f ca="1">IFERROR(__xludf.DUMMYFUNCTION("""COMPUTED_VALUE"""),22)</f>
        <v>22</v>
      </c>
      <c r="E136" s="1">
        <f ca="1">IFERROR(__xludf.DUMMYFUNCTION("""COMPUTED_VALUE"""),0.267)</f>
        <v>0.26700000000000002</v>
      </c>
      <c r="F136" s="1">
        <f ca="1">IFERROR(__xludf.DUMMYFUNCTION("""COMPUTED_VALUE"""),-9.16)</f>
        <v>-9.16</v>
      </c>
      <c r="G136" s="1">
        <f ca="1">IFERROR(__xludf.DUMMYFUNCTION("""COMPUTED_VALUE"""),-1.3)</f>
        <v>-1.3</v>
      </c>
      <c r="H136" s="1">
        <f ca="1">IFERROR(__xludf.DUMMYFUNCTION("""COMPUTED_VALUE"""),3)</f>
        <v>3</v>
      </c>
      <c r="I136" s="1">
        <f ca="1">IFERROR(__xludf.DUMMYFUNCTION("""COMPUTED_VALUE"""),15)</f>
        <v>15</v>
      </c>
      <c r="J136" s="1">
        <f ca="1">IFERROR(__xludf.DUMMYFUNCTION("""COMPUTED_VALUE"""),7)</f>
        <v>7</v>
      </c>
      <c r="K136" s="1">
        <f ca="1">IFERROR(__xludf.DUMMYFUNCTION("""COMPUTED_VALUE"""),7)</f>
        <v>7</v>
      </c>
      <c r="L136" s="1">
        <f ca="1">IFERROR(__xludf.DUMMYFUNCTION("""COMPUTED_VALUE"""),1)</f>
        <v>1</v>
      </c>
      <c r="M136" s="1">
        <f ca="1">IFERROR(__xludf.DUMMYFUNCTION("""COMPUTED_VALUE"""),15)</f>
        <v>15</v>
      </c>
      <c r="N136" s="1">
        <f ca="1">IFERROR(__xludf.DUMMYFUNCTION("""COMPUTED_VALUE"""),1826)</f>
        <v>1826</v>
      </c>
      <c r="O136" s="1">
        <f ca="1">IFERROR(__xludf.DUMMYFUNCTION("""COMPUTED_VALUE"""),2033)</f>
        <v>2033</v>
      </c>
      <c r="P136" s="1">
        <f ca="1">IFERROR(__xludf.DUMMYFUNCTION("""COMPUTED_VALUE"""),1210)</f>
        <v>1210</v>
      </c>
      <c r="Q136" s="1">
        <f ca="1">IFERROR(__xludf.DUMMYFUNCTION("""COMPUTED_VALUE"""),636)</f>
        <v>636</v>
      </c>
      <c r="R136" s="1">
        <f ca="1">IFERROR(__xludf.DUMMYFUNCTION("""COMPUTED_VALUE"""),1611)</f>
        <v>1611</v>
      </c>
      <c r="S136" s="1">
        <f ca="1">IFERROR(__xludf.DUMMYFUNCTION("""COMPUTED_VALUE"""),0.395)</f>
        <v>0.39500000000000002</v>
      </c>
      <c r="T136" s="1">
        <f ca="1">IFERROR(__xludf.DUMMYFUNCTION("""COMPUTED_VALUE"""),193)</f>
        <v>193</v>
      </c>
      <c r="U136" s="1">
        <f ca="1">IFERROR(__xludf.DUMMYFUNCTION("""COMPUTED_VALUE"""),593)</f>
        <v>593</v>
      </c>
      <c r="V136" s="1">
        <f ca="1">IFERROR(__xludf.DUMMYFUNCTION("""COMPUTED_VALUE"""),0.325)</f>
        <v>0.32500000000000001</v>
      </c>
      <c r="W136" s="1">
        <f ca="1">IFERROR(__xludf.DUMMYFUNCTION("""COMPUTED_VALUE"""),361)</f>
        <v>361</v>
      </c>
      <c r="X136" s="1">
        <f ca="1">IFERROR(__xludf.DUMMYFUNCTION("""COMPUTED_VALUE"""),539)</f>
        <v>539</v>
      </c>
      <c r="Y136" s="1">
        <f ca="1">IFERROR(__xludf.DUMMYFUNCTION("""COMPUTED_VALUE"""),0.67)</f>
        <v>0.67</v>
      </c>
      <c r="Z136" s="1">
        <f ca="1">IFERROR(__xludf.DUMMYFUNCTION("""COMPUTED_VALUE"""),367)</f>
        <v>367</v>
      </c>
      <c r="AA136" s="1">
        <f ca="1">IFERROR(__xludf.DUMMYFUNCTION("""COMPUTED_VALUE"""),898)</f>
        <v>898</v>
      </c>
      <c r="AB136" s="1">
        <f ca="1">IFERROR(__xludf.DUMMYFUNCTION("""COMPUTED_VALUE"""),341)</f>
        <v>341</v>
      </c>
      <c r="AC136" s="1">
        <f ca="1">IFERROR(__xludf.DUMMYFUNCTION("""COMPUTED_VALUE"""),150)</f>
        <v>150</v>
      </c>
      <c r="AD136" s="1">
        <f ca="1">IFERROR(__xludf.DUMMYFUNCTION("""COMPUTED_VALUE"""),88)</f>
        <v>88</v>
      </c>
      <c r="AE136" s="1">
        <f ca="1">IFERROR(__xludf.DUMMYFUNCTION("""COMPUTED_VALUE"""),439)</f>
        <v>439</v>
      </c>
      <c r="AF136" s="1">
        <f ca="1">IFERROR(__xludf.DUMMYFUNCTION("""COMPUTED_VALUE"""),578)</f>
        <v>578</v>
      </c>
    </row>
    <row r="137" spans="1:32" ht="12.5" x14ac:dyDescent="0.25">
      <c r="A137" s="1" t="str">
        <f ca="1">IFERROR(__xludf.DUMMYFUNCTION("""COMPUTED_VALUE"""),"Illinois State")</f>
        <v>Illinois State</v>
      </c>
      <c r="B137" s="1">
        <f ca="1">IFERROR(__xludf.DUMMYFUNCTION("""COMPUTED_VALUE"""),35)</f>
        <v>35</v>
      </c>
      <c r="C137" s="1">
        <f ca="1">IFERROR(__xludf.DUMMYFUNCTION("""COMPUTED_VALUE"""),21)</f>
        <v>21</v>
      </c>
      <c r="D137" s="1">
        <f ca="1">IFERROR(__xludf.DUMMYFUNCTION("""COMPUTED_VALUE"""),14)</f>
        <v>14</v>
      </c>
      <c r="E137" s="1">
        <f ca="1">IFERROR(__xludf.DUMMYFUNCTION("""COMPUTED_VALUE"""),0.6)</f>
        <v>0.6</v>
      </c>
      <c r="F137" s="1">
        <f ca="1">IFERROR(__xludf.DUMMYFUNCTION("""COMPUTED_VALUE"""),6.33)</f>
        <v>6.33</v>
      </c>
      <c r="G137" s="1">
        <f ca="1">IFERROR(__xludf.DUMMYFUNCTION("""COMPUTED_VALUE"""),2.64)</f>
        <v>2.64</v>
      </c>
      <c r="H137" s="1">
        <f ca="1">IFERROR(__xludf.DUMMYFUNCTION("""COMPUTED_VALUE"""),9)</f>
        <v>9</v>
      </c>
      <c r="I137" s="1">
        <f ca="1">IFERROR(__xludf.DUMMYFUNCTION("""COMPUTED_VALUE"""),9)</f>
        <v>9</v>
      </c>
      <c r="J137" s="1">
        <f ca="1">IFERROR(__xludf.DUMMYFUNCTION("""COMPUTED_VALUE"""),14)</f>
        <v>14</v>
      </c>
      <c r="K137" s="1">
        <f ca="1">IFERROR(__xludf.DUMMYFUNCTION("""COMPUTED_VALUE"""),3)</f>
        <v>3</v>
      </c>
      <c r="L137" s="1">
        <f ca="1">IFERROR(__xludf.DUMMYFUNCTION("""COMPUTED_VALUE"""),4)</f>
        <v>4</v>
      </c>
      <c r="M137" s="1">
        <f ca="1">IFERROR(__xludf.DUMMYFUNCTION("""COMPUTED_VALUE"""),9)</f>
        <v>9</v>
      </c>
      <c r="N137" s="1">
        <f ca="1">IFERROR(__xludf.DUMMYFUNCTION("""COMPUTED_VALUE"""),2439)</f>
        <v>2439</v>
      </c>
      <c r="O137" s="1">
        <f ca="1">IFERROR(__xludf.DUMMYFUNCTION("""COMPUTED_VALUE"""),2310)</f>
        <v>2310</v>
      </c>
      <c r="P137" s="1">
        <f ca="1">IFERROR(__xludf.DUMMYFUNCTION("""COMPUTED_VALUE"""),1425)</f>
        <v>1425</v>
      </c>
      <c r="Q137" s="1">
        <f ca="1">IFERROR(__xludf.DUMMYFUNCTION("""COMPUTED_VALUE"""),804)</f>
        <v>804</v>
      </c>
      <c r="R137" s="1">
        <f ca="1">IFERROR(__xludf.DUMMYFUNCTION("""COMPUTED_VALUE"""),1832)</f>
        <v>1832</v>
      </c>
      <c r="S137" s="1">
        <f ca="1">IFERROR(__xludf.DUMMYFUNCTION("""COMPUTED_VALUE"""),0.439)</f>
        <v>0.439</v>
      </c>
      <c r="T137" s="1">
        <f ca="1">IFERROR(__xludf.DUMMYFUNCTION("""COMPUTED_VALUE"""),297)</f>
        <v>297</v>
      </c>
      <c r="U137" s="1">
        <f ca="1">IFERROR(__xludf.DUMMYFUNCTION("""COMPUTED_VALUE"""),783)</f>
        <v>783</v>
      </c>
      <c r="V137" s="1">
        <f ca="1">IFERROR(__xludf.DUMMYFUNCTION("""COMPUTED_VALUE"""),0.379)</f>
        <v>0.379</v>
      </c>
      <c r="W137" s="1">
        <f ca="1">IFERROR(__xludf.DUMMYFUNCTION("""COMPUTED_VALUE"""),534)</f>
        <v>534</v>
      </c>
      <c r="X137" s="1">
        <f ca="1">IFERROR(__xludf.DUMMYFUNCTION("""COMPUTED_VALUE"""),708)</f>
        <v>708</v>
      </c>
      <c r="Y137" s="1">
        <f ca="1">IFERROR(__xludf.DUMMYFUNCTION("""COMPUTED_VALUE"""),0.754)</f>
        <v>0.754</v>
      </c>
      <c r="Z137" s="1">
        <f ca="1">IFERROR(__xludf.DUMMYFUNCTION("""COMPUTED_VALUE"""),309)</f>
        <v>309</v>
      </c>
      <c r="AA137" s="1">
        <f ca="1">IFERROR(__xludf.DUMMYFUNCTION("""COMPUTED_VALUE"""),1117)</f>
        <v>1117</v>
      </c>
      <c r="AB137" s="1">
        <f ca="1">IFERROR(__xludf.DUMMYFUNCTION("""COMPUTED_VALUE"""),459)</f>
        <v>459</v>
      </c>
      <c r="AC137" s="1">
        <f ca="1">IFERROR(__xludf.DUMMYFUNCTION("""COMPUTED_VALUE"""),177)</f>
        <v>177</v>
      </c>
      <c r="AD137" s="1">
        <f ca="1">IFERROR(__xludf.DUMMYFUNCTION("""COMPUTED_VALUE"""),118)</f>
        <v>118</v>
      </c>
      <c r="AE137" s="1">
        <f ca="1">IFERROR(__xludf.DUMMYFUNCTION("""COMPUTED_VALUE"""),422)</f>
        <v>422</v>
      </c>
      <c r="AF137" s="1">
        <f ca="1">IFERROR(__xludf.DUMMYFUNCTION("""COMPUTED_VALUE"""),588)</f>
        <v>588</v>
      </c>
    </row>
    <row r="138" spans="1:32" ht="12.5" x14ac:dyDescent="0.25">
      <c r="A138" s="1" t="str">
        <f ca="1">IFERROR(__xludf.DUMMYFUNCTION("""COMPUTED_VALUE"""),"Illinois")</f>
        <v>Illinois</v>
      </c>
      <c r="B138" s="1">
        <f ca="1">IFERROR(__xludf.DUMMYFUNCTION("""COMPUTED_VALUE"""),32)</f>
        <v>32</v>
      </c>
      <c r="C138" s="1">
        <f ca="1">IFERROR(__xludf.DUMMYFUNCTION("""COMPUTED_VALUE"""),17)</f>
        <v>17</v>
      </c>
      <c r="D138" s="1">
        <f ca="1">IFERROR(__xludf.DUMMYFUNCTION("""COMPUTED_VALUE"""),15)</f>
        <v>15</v>
      </c>
      <c r="E138" s="1">
        <f ca="1">IFERROR(__xludf.DUMMYFUNCTION("""COMPUTED_VALUE"""),0.531)</f>
        <v>0.53100000000000003</v>
      </c>
      <c r="F138" s="1">
        <f ca="1">IFERROR(__xludf.DUMMYFUNCTION("""COMPUTED_VALUE"""),9.33)</f>
        <v>9.33</v>
      </c>
      <c r="G138" s="1">
        <f ca="1">IFERROR(__xludf.DUMMYFUNCTION("""COMPUTED_VALUE"""),7.99)</f>
        <v>7.99</v>
      </c>
      <c r="H138" s="1">
        <f ca="1">IFERROR(__xludf.DUMMYFUNCTION("""COMPUTED_VALUE"""),6)</f>
        <v>6</v>
      </c>
      <c r="I138" s="1">
        <f ca="1">IFERROR(__xludf.DUMMYFUNCTION("""COMPUTED_VALUE"""),12)</f>
        <v>12</v>
      </c>
      <c r="J138" s="1">
        <f ca="1">IFERROR(__xludf.DUMMYFUNCTION("""COMPUTED_VALUE"""),13)</f>
        <v>13</v>
      </c>
      <c r="K138" s="1">
        <f ca="1">IFERROR(__xludf.DUMMYFUNCTION("""COMPUTED_VALUE"""),4)</f>
        <v>4</v>
      </c>
      <c r="L138" s="1">
        <f ca="1">IFERROR(__xludf.DUMMYFUNCTION("""COMPUTED_VALUE"""),2)</f>
        <v>2</v>
      </c>
      <c r="M138" s="1">
        <f ca="1">IFERROR(__xludf.DUMMYFUNCTION("""COMPUTED_VALUE"""),8)</f>
        <v>8</v>
      </c>
      <c r="N138" s="1">
        <f ca="1">IFERROR(__xludf.DUMMYFUNCTION("""COMPUTED_VALUE"""),2098)</f>
        <v>2098</v>
      </c>
      <c r="O138" s="1">
        <f ca="1">IFERROR(__xludf.DUMMYFUNCTION("""COMPUTED_VALUE"""),2055)</f>
        <v>2055</v>
      </c>
      <c r="P138" s="1">
        <f ca="1">IFERROR(__xludf.DUMMYFUNCTION("""COMPUTED_VALUE"""),1295)</f>
        <v>1295</v>
      </c>
      <c r="Q138" s="1">
        <f ca="1">IFERROR(__xludf.DUMMYFUNCTION("""COMPUTED_VALUE"""),767)</f>
        <v>767</v>
      </c>
      <c r="R138" s="1">
        <f ca="1">IFERROR(__xludf.DUMMYFUNCTION("""COMPUTED_VALUE"""),1741)</f>
        <v>1741</v>
      </c>
      <c r="S138" s="1">
        <f ca="1">IFERROR(__xludf.DUMMYFUNCTION("""COMPUTED_VALUE"""),0.441)</f>
        <v>0.441</v>
      </c>
      <c r="T138" s="1">
        <f ca="1">IFERROR(__xludf.DUMMYFUNCTION("""COMPUTED_VALUE"""),186)</f>
        <v>186</v>
      </c>
      <c r="U138" s="1">
        <f ca="1">IFERROR(__xludf.DUMMYFUNCTION("""COMPUTED_VALUE"""),611)</f>
        <v>611</v>
      </c>
      <c r="V138" s="1">
        <f ca="1">IFERROR(__xludf.DUMMYFUNCTION("""COMPUTED_VALUE"""),0.304)</f>
        <v>0.30399999999999999</v>
      </c>
      <c r="W138" s="1">
        <f ca="1">IFERROR(__xludf.DUMMYFUNCTION("""COMPUTED_VALUE"""),378)</f>
        <v>378</v>
      </c>
      <c r="X138" s="1">
        <f ca="1">IFERROR(__xludf.DUMMYFUNCTION("""COMPUTED_VALUE"""),529)</f>
        <v>529</v>
      </c>
      <c r="Y138" s="1">
        <f ca="1">IFERROR(__xludf.DUMMYFUNCTION("""COMPUTED_VALUE"""),0.715)</f>
        <v>0.71499999999999997</v>
      </c>
      <c r="Z138" s="1">
        <f ca="1">IFERROR(__xludf.DUMMYFUNCTION("""COMPUTED_VALUE"""),320)</f>
        <v>320</v>
      </c>
      <c r="AA138" s="1">
        <f ca="1">IFERROR(__xludf.DUMMYFUNCTION("""COMPUTED_VALUE"""),950)</f>
        <v>950</v>
      </c>
      <c r="AB138" s="1">
        <f ca="1">IFERROR(__xludf.DUMMYFUNCTION("""COMPUTED_VALUE"""),400)</f>
        <v>400</v>
      </c>
      <c r="AC138" s="1">
        <f ca="1">IFERROR(__xludf.DUMMYFUNCTION("""COMPUTED_VALUE"""),162)</f>
        <v>162</v>
      </c>
      <c r="AD138" s="1">
        <f ca="1">IFERROR(__xludf.DUMMYFUNCTION("""COMPUTED_VALUE"""),132)</f>
        <v>132</v>
      </c>
      <c r="AE138" s="1">
        <f ca="1">IFERROR(__xludf.DUMMYFUNCTION("""COMPUTED_VALUE"""),430)</f>
        <v>430</v>
      </c>
      <c r="AF138" s="1">
        <f ca="1">IFERROR(__xludf.DUMMYFUNCTION("""COMPUTED_VALUE"""),565)</f>
        <v>565</v>
      </c>
    </row>
    <row r="139" spans="1:32" ht="12.5" x14ac:dyDescent="0.25">
      <c r="A139" s="1" t="str">
        <f ca="1">IFERROR(__xludf.DUMMYFUNCTION("""COMPUTED_VALUE"""),"Indiana State")</f>
        <v>Indiana State</v>
      </c>
      <c r="B139" s="1">
        <f ca="1">IFERROR(__xludf.DUMMYFUNCTION("""COMPUTED_VALUE"""),33)</f>
        <v>33</v>
      </c>
      <c r="C139" s="1">
        <f ca="1">IFERROR(__xludf.DUMMYFUNCTION("""COMPUTED_VALUE"""),18)</f>
        <v>18</v>
      </c>
      <c r="D139" s="1">
        <f ca="1">IFERROR(__xludf.DUMMYFUNCTION("""COMPUTED_VALUE"""),15)</f>
        <v>15</v>
      </c>
      <c r="E139" s="1">
        <f ca="1">IFERROR(__xludf.DUMMYFUNCTION("""COMPUTED_VALUE"""),0.545)</f>
        <v>0.54500000000000004</v>
      </c>
      <c r="F139" s="1">
        <f ca="1">IFERROR(__xludf.DUMMYFUNCTION("""COMPUTED_VALUE"""),2.08)</f>
        <v>2.08</v>
      </c>
      <c r="G139" s="1">
        <f ca="1">IFERROR(__xludf.DUMMYFUNCTION("""COMPUTED_VALUE"""),3.08)</f>
        <v>3.08</v>
      </c>
      <c r="H139" s="1">
        <f ca="1">IFERROR(__xludf.DUMMYFUNCTION("""COMPUTED_VALUE"""),8)</f>
        <v>8</v>
      </c>
      <c r="I139" s="1">
        <f ca="1">IFERROR(__xludf.DUMMYFUNCTION("""COMPUTED_VALUE"""),10)</f>
        <v>10</v>
      </c>
      <c r="J139" s="1">
        <f ca="1">IFERROR(__xludf.DUMMYFUNCTION("""COMPUTED_VALUE"""),11)</f>
        <v>11</v>
      </c>
      <c r="K139" s="1">
        <f ca="1">IFERROR(__xludf.DUMMYFUNCTION("""COMPUTED_VALUE"""),4)</f>
        <v>4</v>
      </c>
      <c r="L139" s="1">
        <f ca="1">IFERROR(__xludf.DUMMYFUNCTION("""COMPUTED_VALUE"""),4)</f>
        <v>4</v>
      </c>
      <c r="M139" s="1">
        <f ca="1">IFERROR(__xludf.DUMMYFUNCTION("""COMPUTED_VALUE"""),9)</f>
        <v>9</v>
      </c>
      <c r="N139" s="1">
        <f ca="1">IFERROR(__xludf.DUMMYFUNCTION("""COMPUTED_VALUE"""),2120)</f>
        <v>2120</v>
      </c>
      <c r="O139" s="1">
        <f ca="1">IFERROR(__xludf.DUMMYFUNCTION("""COMPUTED_VALUE"""),2141)</f>
        <v>2141</v>
      </c>
      <c r="P139" s="1">
        <f ca="1">IFERROR(__xludf.DUMMYFUNCTION("""COMPUTED_VALUE"""),1335)</f>
        <v>1335</v>
      </c>
      <c r="Q139" s="1">
        <f ca="1">IFERROR(__xludf.DUMMYFUNCTION("""COMPUTED_VALUE"""),722)</f>
        <v>722</v>
      </c>
      <c r="R139" s="1">
        <f ca="1">IFERROR(__xludf.DUMMYFUNCTION("""COMPUTED_VALUE"""),1719)</f>
        <v>1719</v>
      </c>
      <c r="S139" s="1">
        <f ca="1">IFERROR(__xludf.DUMMYFUNCTION("""COMPUTED_VALUE"""),0.42)</f>
        <v>0.42</v>
      </c>
      <c r="T139" s="1">
        <f ca="1">IFERROR(__xludf.DUMMYFUNCTION("""COMPUTED_VALUE"""),201)</f>
        <v>201</v>
      </c>
      <c r="U139" s="1">
        <f ca="1">IFERROR(__xludf.DUMMYFUNCTION("""COMPUTED_VALUE"""),588)</f>
        <v>588</v>
      </c>
      <c r="V139" s="1">
        <f ca="1">IFERROR(__xludf.DUMMYFUNCTION("""COMPUTED_VALUE"""),0.342)</f>
        <v>0.34200000000000003</v>
      </c>
      <c r="W139" s="1">
        <f ca="1">IFERROR(__xludf.DUMMYFUNCTION("""COMPUTED_VALUE"""),475)</f>
        <v>475</v>
      </c>
      <c r="X139" s="1">
        <f ca="1">IFERROR(__xludf.DUMMYFUNCTION("""COMPUTED_VALUE"""),659)</f>
        <v>659</v>
      </c>
      <c r="Y139" s="1">
        <f ca="1">IFERROR(__xludf.DUMMYFUNCTION("""COMPUTED_VALUE"""),0.721)</f>
        <v>0.72099999999999997</v>
      </c>
      <c r="Z139" s="1">
        <f ca="1">IFERROR(__xludf.DUMMYFUNCTION("""COMPUTED_VALUE"""),288)</f>
        <v>288</v>
      </c>
      <c r="AA139" s="1">
        <f ca="1">IFERROR(__xludf.DUMMYFUNCTION("""COMPUTED_VALUE"""),974)</f>
        <v>974</v>
      </c>
      <c r="AB139" s="1">
        <f ca="1">IFERROR(__xludf.DUMMYFUNCTION("""COMPUTED_VALUE"""),397)</f>
        <v>397</v>
      </c>
      <c r="AC139" s="1">
        <f ca="1">IFERROR(__xludf.DUMMYFUNCTION("""COMPUTED_VALUE"""),194)</f>
        <v>194</v>
      </c>
      <c r="AD139" s="1">
        <f ca="1">IFERROR(__xludf.DUMMYFUNCTION("""COMPUTED_VALUE"""),104)</f>
        <v>104</v>
      </c>
      <c r="AE139" s="1">
        <f ca="1">IFERROR(__xludf.DUMMYFUNCTION("""COMPUTED_VALUE"""),403)</f>
        <v>403</v>
      </c>
      <c r="AF139" s="1">
        <f ca="1">IFERROR(__xludf.DUMMYFUNCTION("""COMPUTED_VALUE"""),543)</f>
        <v>543</v>
      </c>
    </row>
    <row r="140" spans="1:32" ht="12.5" x14ac:dyDescent="0.25">
      <c r="A140" s="1" t="str">
        <f ca="1">IFERROR(__xludf.DUMMYFUNCTION("""COMPUTED_VALUE"""),"IndianaNCAA")</f>
        <v>IndianaNCAA</v>
      </c>
      <c r="B140" s="1">
        <f ca="1">IFERROR(__xludf.DUMMYFUNCTION("""COMPUTED_VALUE"""),36)</f>
        <v>36</v>
      </c>
      <c r="C140" s="1">
        <f ca="1">IFERROR(__xludf.DUMMYFUNCTION("""COMPUTED_VALUE"""),27)</f>
        <v>27</v>
      </c>
      <c r="D140" s="1">
        <f ca="1">IFERROR(__xludf.DUMMYFUNCTION("""COMPUTED_VALUE"""),9)</f>
        <v>9</v>
      </c>
      <c r="E140" s="1">
        <f ca="1">IFERROR(__xludf.DUMMYFUNCTION("""COMPUTED_VALUE"""),0.75)</f>
        <v>0.75</v>
      </c>
      <c r="F140" s="1">
        <f ca="1">IFERROR(__xludf.DUMMYFUNCTION("""COMPUTED_VALUE"""),18.63)</f>
        <v>18.63</v>
      </c>
      <c r="G140" s="1">
        <f ca="1">IFERROR(__xludf.DUMMYFUNCTION("""COMPUTED_VALUE"""),7.8)</f>
        <v>7.8</v>
      </c>
      <c r="H140" s="1">
        <f ca="1">IFERROR(__xludf.DUMMYFUNCTION("""COMPUTED_VALUE"""),11)</f>
        <v>11</v>
      </c>
      <c r="I140" s="1">
        <f ca="1">IFERROR(__xludf.DUMMYFUNCTION("""COMPUTED_VALUE"""),7)</f>
        <v>7</v>
      </c>
      <c r="J140" s="1">
        <f ca="1">IFERROR(__xludf.DUMMYFUNCTION("""COMPUTED_VALUE"""),18)</f>
        <v>18</v>
      </c>
      <c r="K140" s="1">
        <f ca="1">IFERROR(__xludf.DUMMYFUNCTION("""COMPUTED_VALUE"""),1)</f>
        <v>1</v>
      </c>
      <c r="L140" s="1">
        <f ca="1">IFERROR(__xludf.DUMMYFUNCTION("""COMPUTED_VALUE"""),5)</f>
        <v>5</v>
      </c>
      <c r="M140" s="1">
        <f ca="1">IFERROR(__xludf.DUMMYFUNCTION("""COMPUTED_VALUE"""),6)</f>
        <v>6</v>
      </c>
      <c r="N140" s="1">
        <f ca="1">IFERROR(__xludf.DUMMYFUNCTION("""COMPUTED_VALUE"""),2782)</f>
        <v>2782</v>
      </c>
      <c r="O140" s="1">
        <f ca="1">IFERROR(__xludf.DUMMYFUNCTION("""COMPUTED_VALUE"""),2392)</f>
        <v>2392</v>
      </c>
      <c r="P140" s="1">
        <f ca="1">IFERROR(__xludf.DUMMYFUNCTION("""COMPUTED_VALUE"""),1440)</f>
        <v>1440</v>
      </c>
      <c r="Q140" s="1">
        <f ca="1">IFERROR(__xludf.DUMMYFUNCTION("""COMPUTED_VALUE"""),949)</f>
        <v>949</v>
      </c>
      <c r="R140" s="1">
        <f ca="1">IFERROR(__xludf.DUMMYFUNCTION("""COMPUTED_VALUE"""),1928)</f>
        <v>1928</v>
      </c>
      <c r="S140" s="1">
        <f ca="1">IFERROR(__xludf.DUMMYFUNCTION("""COMPUTED_VALUE"""),0.492)</f>
        <v>0.49199999999999999</v>
      </c>
      <c r="T140" s="1">
        <f ca="1">IFERROR(__xludf.DUMMYFUNCTION("""COMPUTED_VALUE"""),229)</f>
        <v>229</v>
      </c>
      <c r="U140" s="1">
        <f ca="1">IFERROR(__xludf.DUMMYFUNCTION("""COMPUTED_VALUE"""),531)</f>
        <v>531</v>
      </c>
      <c r="V140" s="1">
        <f ca="1">IFERROR(__xludf.DUMMYFUNCTION("""COMPUTED_VALUE"""),0.431)</f>
        <v>0.43099999999999999</v>
      </c>
      <c r="W140" s="1">
        <f ca="1">IFERROR(__xludf.DUMMYFUNCTION("""COMPUTED_VALUE"""),655)</f>
        <v>655</v>
      </c>
      <c r="X140" s="1">
        <f ca="1">IFERROR(__xludf.DUMMYFUNCTION("""COMPUTED_VALUE"""),858)</f>
        <v>858</v>
      </c>
      <c r="Y140" s="1">
        <f ca="1">IFERROR(__xludf.DUMMYFUNCTION("""COMPUTED_VALUE"""),0.763)</f>
        <v>0.76300000000000001</v>
      </c>
      <c r="Z140" s="1">
        <f ca="1">IFERROR(__xludf.DUMMYFUNCTION("""COMPUTED_VALUE"""),383)</f>
        <v>383</v>
      </c>
      <c r="AA140" s="1">
        <f ca="1">IFERROR(__xludf.DUMMYFUNCTION("""COMPUTED_VALUE"""),1130)</f>
        <v>1130</v>
      </c>
      <c r="AB140" s="1">
        <f ca="1">IFERROR(__xludf.DUMMYFUNCTION("""COMPUTED_VALUE"""),487)</f>
        <v>487</v>
      </c>
      <c r="AC140" s="1">
        <f ca="1">IFERROR(__xludf.DUMMYFUNCTION("""COMPUTED_VALUE"""),233)</f>
        <v>233</v>
      </c>
      <c r="AD140" s="1">
        <f ca="1">IFERROR(__xludf.DUMMYFUNCTION("""COMPUTED_VALUE"""),115)</f>
        <v>115</v>
      </c>
      <c r="AE140" s="1">
        <f ca="1">IFERROR(__xludf.DUMMYFUNCTION("""COMPUTED_VALUE"""),463)</f>
        <v>463</v>
      </c>
      <c r="AF140" s="1">
        <f ca="1">IFERROR(__xludf.DUMMYFUNCTION("""COMPUTED_VALUE"""),632)</f>
        <v>632</v>
      </c>
    </row>
    <row r="141" spans="1:32" ht="12.5" x14ac:dyDescent="0.25">
      <c r="A141" s="1" t="str">
        <f ca="1">IFERROR(__xludf.DUMMYFUNCTION("""COMPUTED_VALUE"""),"IonaNCAA")</f>
        <v>IonaNCAA</v>
      </c>
      <c r="B141" s="1">
        <f ca="1">IFERROR(__xludf.DUMMYFUNCTION("""COMPUTED_VALUE"""),33)</f>
        <v>33</v>
      </c>
      <c r="C141" s="1">
        <f ca="1">IFERROR(__xludf.DUMMYFUNCTION("""COMPUTED_VALUE"""),25)</f>
        <v>25</v>
      </c>
      <c r="D141" s="1">
        <f ca="1">IFERROR(__xludf.DUMMYFUNCTION("""COMPUTED_VALUE"""),8)</f>
        <v>8</v>
      </c>
      <c r="E141" s="1">
        <f ca="1">IFERROR(__xludf.DUMMYFUNCTION("""COMPUTED_VALUE"""),0.758)</f>
        <v>0.75800000000000001</v>
      </c>
      <c r="F141" s="1">
        <f ca="1">IFERROR(__xludf.DUMMYFUNCTION("""COMPUTED_VALUE"""),8.36)</f>
        <v>8.36</v>
      </c>
      <c r="G141" s="1">
        <f ca="1">IFERROR(__xludf.DUMMYFUNCTION("""COMPUTED_VALUE"""),-1.82)</f>
        <v>-1.82</v>
      </c>
      <c r="H141" s="1">
        <f ca="1">IFERROR(__xludf.DUMMYFUNCTION("""COMPUTED_VALUE"""),15)</f>
        <v>15</v>
      </c>
      <c r="I141" s="1">
        <f ca="1">IFERROR(__xludf.DUMMYFUNCTION("""COMPUTED_VALUE"""),3)</f>
        <v>3</v>
      </c>
      <c r="J141" s="1">
        <f ca="1">IFERROR(__xludf.DUMMYFUNCTION("""COMPUTED_VALUE"""),10)</f>
        <v>10</v>
      </c>
      <c r="K141" s="1">
        <f ca="1">IFERROR(__xludf.DUMMYFUNCTION("""COMPUTED_VALUE"""),1)</f>
        <v>1</v>
      </c>
      <c r="L141" s="1">
        <f ca="1">IFERROR(__xludf.DUMMYFUNCTION("""COMPUTED_VALUE"""),11)</f>
        <v>11</v>
      </c>
      <c r="M141" s="1">
        <f ca="1">IFERROR(__xludf.DUMMYFUNCTION("""COMPUTED_VALUE"""),4)</f>
        <v>4</v>
      </c>
      <c r="N141" s="1">
        <f ca="1">IFERROR(__xludf.DUMMYFUNCTION("""COMPUTED_VALUE"""),2736)</f>
        <v>2736</v>
      </c>
      <c r="O141" s="1">
        <f ca="1">IFERROR(__xludf.DUMMYFUNCTION("""COMPUTED_VALUE"""),2400)</f>
        <v>2400</v>
      </c>
      <c r="P141" s="1">
        <f ca="1">IFERROR(__xludf.DUMMYFUNCTION("""COMPUTED_VALUE"""),1335)</f>
        <v>1335</v>
      </c>
      <c r="Q141" s="1">
        <f ca="1">IFERROR(__xludf.DUMMYFUNCTION("""COMPUTED_VALUE"""),1021)</f>
        <v>1021</v>
      </c>
      <c r="R141" s="1">
        <f ca="1">IFERROR(__xludf.DUMMYFUNCTION("""COMPUTED_VALUE"""),2033)</f>
        <v>2033</v>
      </c>
      <c r="S141" s="1">
        <f ca="1">IFERROR(__xludf.DUMMYFUNCTION("""COMPUTED_VALUE"""),0.502)</f>
        <v>0.502</v>
      </c>
      <c r="T141" s="1">
        <f ca="1">IFERROR(__xludf.DUMMYFUNCTION("""COMPUTED_VALUE"""),254)</f>
        <v>254</v>
      </c>
      <c r="U141" s="1">
        <f ca="1">IFERROR(__xludf.DUMMYFUNCTION("""COMPUTED_VALUE"""),656)</f>
        <v>656</v>
      </c>
      <c r="V141" s="1">
        <f ca="1">IFERROR(__xludf.DUMMYFUNCTION("""COMPUTED_VALUE"""),0.387)</f>
        <v>0.38700000000000001</v>
      </c>
      <c r="W141" s="1">
        <f ca="1">IFERROR(__xludf.DUMMYFUNCTION("""COMPUTED_VALUE"""),440)</f>
        <v>440</v>
      </c>
      <c r="X141" s="1">
        <f ca="1">IFERROR(__xludf.DUMMYFUNCTION("""COMPUTED_VALUE"""),617)</f>
        <v>617</v>
      </c>
      <c r="Y141" s="1">
        <f ca="1">IFERROR(__xludf.DUMMYFUNCTION("""COMPUTED_VALUE"""),0.713)</f>
        <v>0.71299999999999997</v>
      </c>
      <c r="Z141" s="1">
        <f ca="1">IFERROR(__xludf.DUMMYFUNCTION("""COMPUTED_VALUE"""),353)</f>
        <v>353</v>
      </c>
      <c r="AA141" s="1">
        <f ca="1">IFERROR(__xludf.DUMMYFUNCTION("""COMPUTED_VALUE"""),1042)</f>
        <v>1042</v>
      </c>
      <c r="AB141" s="1">
        <f ca="1">IFERROR(__xludf.DUMMYFUNCTION("""COMPUTED_VALUE"""),638)</f>
        <v>638</v>
      </c>
      <c r="AC141" s="1">
        <f ca="1">IFERROR(__xludf.DUMMYFUNCTION("""COMPUTED_VALUE"""),241)</f>
        <v>241</v>
      </c>
      <c r="AD141" s="1">
        <f ca="1">IFERROR(__xludf.DUMMYFUNCTION("""COMPUTED_VALUE"""),71)</f>
        <v>71</v>
      </c>
      <c r="AE141" s="1">
        <f ca="1">IFERROR(__xludf.DUMMYFUNCTION("""COMPUTED_VALUE"""),414)</f>
        <v>414</v>
      </c>
      <c r="AF141" s="1">
        <f ca="1">IFERROR(__xludf.DUMMYFUNCTION("""COMPUTED_VALUE"""),559)</f>
        <v>559</v>
      </c>
    </row>
    <row r="142" spans="1:32" ht="12.5" x14ac:dyDescent="0.25">
      <c r="A142" s="1" t="str">
        <f ca="1">IFERROR(__xludf.DUMMYFUNCTION("""COMPUTED_VALUE"""),"Iowa StateNCAA")</f>
        <v>Iowa StateNCAA</v>
      </c>
      <c r="B142" s="1">
        <f ca="1">IFERROR(__xludf.DUMMYFUNCTION("""COMPUTED_VALUE"""),34)</f>
        <v>34</v>
      </c>
      <c r="C142" s="1">
        <f ca="1">IFERROR(__xludf.DUMMYFUNCTION("""COMPUTED_VALUE"""),23)</f>
        <v>23</v>
      </c>
      <c r="D142" s="1">
        <f ca="1">IFERROR(__xludf.DUMMYFUNCTION("""COMPUTED_VALUE"""),11)</f>
        <v>11</v>
      </c>
      <c r="E142" s="1">
        <f ca="1">IFERROR(__xludf.DUMMYFUNCTION("""COMPUTED_VALUE"""),0.676)</f>
        <v>0.67600000000000005</v>
      </c>
      <c r="F142" s="1">
        <f ca="1">IFERROR(__xludf.DUMMYFUNCTION("""COMPUTED_VALUE"""),13.32)</f>
        <v>13.32</v>
      </c>
      <c r="G142" s="1">
        <f ca="1">IFERROR(__xludf.DUMMYFUNCTION("""COMPUTED_VALUE"""),7.32)</f>
        <v>7.32</v>
      </c>
      <c r="H142" s="1">
        <f ca="1">IFERROR(__xludf.DUMMYFUNCTION("""COMPUTED_VALUE"""),12)</f>
        <v>12</v>
      </c>
      <c r="I142" s="1">
        <f ca="1">IFERROR(__xludf.DUMMYFUNCTION("""COMPUTED_VALUE"""),6)</f>
        <v>6</v>
      </c>
      <c r="J142" s="1">
        <f ca="1">IFERROR(__xludf.DUMMYFUNCTION("""COMPUTED_VALUE"""),16)</f>
        <v>16</v>
      </c>
      <c r="K142" s="1">
        <f ca="1">IFERROR(__xludf.DUMMYFUNCTION("""COMPUTED_VALUE"""),2)</f>
        <v>2</v>
      </c>
      <c r="L142" s="1">
        <f ca="1">IFERROR(__xludf.DUMMYFUNCTION("""COMPUTED_VALUE"""),4)</f>
        <v>4</v>
      </c>
      <c r="M142" s="1">
        <f ca="1">IFERROR(__xludf.DUMMYFUNCTION("""COMPUTED_VALUE"""),7)</f>
        <v>7</v>
      </c>
      <c r="N142" s="1">
        <f ca="1">IFERROR(__xludf.DUMMYFUNCTION("""COMPUTED_VALUE"""),2490)</f>
        <v>2490</v>
      </c>
      <c r="O142" s="1">
        <f ca="1">IFERROR(__xludf.DUMMYFUNCTION("""COMPUTED_VALUE"""),2286)</f>
        <v>2286</v>
      </c>
      <c r="P142" s="1">
        <f ca="1">IFERROR(__xludf.DUMMYFUNCTION("""COMPUTED_VALUE"""),1360)</f>
        <v>1360</v>
      </c>
      <c r="Q142" s="1">
        <f ca="1">IFERROR(__xludf.DUMMYFUNCTION("""COMPUTED_VALUE"""),847)</f>
        <v>847</v>
      </c>
      <c r="R142" s="1">
        <f ca="1">IFERROR(__xludf.DUMMYFUNCTION("""COMPUTED_VALUE"""),1888)</f>
        <v>1888</v>
      </c>
      <c r="S142" s="1">
        <f ca="1">IFERROR(__xludf.DUMMYFUNCTION("""COMPUTED_VALUE"""),0.449)</f>
        <v>0.44900000000000001</v>
      </c>
      <c r="T142" s="1">
        <f ca="1">IFERROR(__xludf.DUMMYFUNCTION("""COMPUTED_VALUE"""),293)</f>
        <v>293</v>
      </c>
      <c r="U142" s="1">
        <f ca="1">IFERROR(__xludf.DUMMYFUNCTION("""COMPUTED_VALUE"""),786)</f>
        <v>786</v>
      </c>
      <c r="V142" s="1">
        <f ca="1">IFERROR(__xludf.DUMMYFUNCTION("""COMPUTED_VALUE"""),0.373)</f>
        <v>0.373</v>
      </c>
      <c r="W142" s="1">
        <f ca="1">IFERROR(__xludf.DUMMYFUNCTION("""COMPUTED_VALUE"""),503)</f>
        <v>503</v>
      </c>
      <c r="X142" s="1">
        <f ca="1">IFERROR(__xludf.DUMMYFUNCTION("""COMPUTED_VALUE"""),731)</f>
        <v>731</v>
      </c>
      <c r="Y142" s="1">
        <f ca="1">IFERROR(__xludf.DUMMYFUNCTION("""COMPUTED_VALUE"""),0.688)</f>
        <v>0.68799999999999994</v>
      </c>
      <c r="Z142" s="1">
        <f ca="1">IFERROR(__xludf.DUMMYFUNCTION("""COMPUTED_VALUE"""),371)</f>
        <v>371</v>
      </c>
      <c r="AA142" s="1">
        <f ca="1">IFERROR(__xludf.DUMMYFUNCTION("""COMPUTED_VALUE"""),1173)</f>
        <v>1173</v>
      </c>
      <c r="AB142" s="1">
        <f ca="1">IFERROR(__xludf.DUMMYFUNCTION("""COMPUTED_VALUE"""),484)</f>
        <v>484</v>
      </c>
      <c r="AC142" s="1">
        <f ca="1">IFERROR(__xludf.DUMMYFUNCTION("""COMPUTED_VALUE"""),196)</f>
        <v>196</v>
      </c>
      <c r="AD142" s="1">
        <f ca="1">IFERROR(__xludf.DUMMYFUNCTION("""COMPUTED_VALUE"""),96)</f>
        <v>96</v>
      </c>
      <c r="AE142" s="1">
        <f ca="1">IFERROR(__xludf.DUMMYFUNCTION("""COMPUTED_VALUE"""),419)</f>
        <v>419</v>
      </c>
      <c r="AF142" s="1">
        <f ca="1">IFERROR(__xludf.DUMMYFUNCTION("""COMPUTED_VALUE"""),547)</f>
        <v>547</v>
      </c>
    </row>
    <row r="143" spans="1:32" ht="12.5" x14ac:dyDescent="0.25">
      <c r="A143" s="1" t="str">
        <f ca="1">IFERROR(__xludf.DUMMYFUNCTION("""COMPUTED_VALUE"""),"Iowa")</f>
        <v>Iowa</v>
      </c>
      <c r="B143" s="1">
        <f ca="1">IFERROR(__xludf.DUMMYFUNCTION("""COMPUTED_VALUE"""),35)</f>
        <v>35</v>
      </c>
      <c r="C143" s="1">
        <f ca="1">IFERROR(__xludf.DUMMYFUNCTION("""COMPUTED_VALUE"""),18)</f>
        <v>18</v>
      </c>
      <c r="D143" s="1">
        <f ca="1">IFERROR(__xludf.DUMMYFUNCTION("""COMPUTED_VALUE"""),17)</f>
        <v>17</v>
      </c>
      <c r="E143" s="1">
        <f ca="1">IFERROR(__xludf.DUMMYFUNCTION("""COMPUTED_VALUE"""),0.514)</f>
        <v>0.51400000000000001</v>
      </c>
      <c r="F143" s="1">
        <f ca="1">IFERROR(__xludf.DUMMYFUNCTION("""COMPUTED_VALUE"""),7.04)</f>
        <v>7.04</v>
      </c>
      <c r="G143" s="1">
        <f ca="1">IFERROR(__xludf.DUMMYFUNCTION("""COMPUTED_VALUE"""),6.53)</f>
        <v>6.53</v>
      </c>
      <c r="H143" s="1">
        <f ca="1">IFERROR(__xludf.DUMMYFUNCTION("""COMPUTED_VALUE"""),8)</f>
        <v>8</v>
      </c>
      <c r="I143" s="1">
        <f ca="1">IFERROR(__xludf.DUMMYFUNCTION("""COMPUTED_VALUE"""),10)</f>
        <v>10</v>
      </c>
      <c r="J143" s="1">
        <f ca="1">IFERROR(__xludf.DUMMYFUNCTION("""COMPUTED_VALUE"""),14)</f>
        <v>14</v>
      </c>
      <c r="K143" s="1">
        <f ca="1">IFERROR(__xludf.DUMMYFUNCTION("""COMPUTED_VALUE"""),6)</f>
        <v>6</v>
      </c>
      <c r="L143" s="1">
        <f ca="1">IFERROR(__xludf.DUMMYFUNCTION("""COMPUTED_VALUE"""),3)</f>
        <v>3</v>
      </c>
      <c r="M143" s="1">
        <f ca="1">IFERROR(__xludf.DUMMYFUNCTION("""COMPUTED_VALUE"""),9)</f>
        <v>9</v>
      </c>
      <c r="N143" s="1">
        <f ca="1">IFERROR(__xludf.DUMMYFUNCTION("""COMPUTED_VALUE"""),2555)</f>
        <v>2555</v>
      </c>
      <c r="O143" s="1">
        <f ca="1">IFERROR(__xludf.DUMMYFUNCTION("""COMPUTED_VALUE"""),2537)</f>
        <v>2537</v>
      </c>
      <c r="P143" s="1">
        <f ca="1">IFERROR(__xludf.DUMMYFUNCTION("""COMPUTED_VALUE"""),1400)</f>
        <v>1400</v>
      </c>
      <c r="Q143" s="1">
        <f ca="1">IFERROR(__xludf.DUMMYFUNCTION("""COMPUTED_VALUE"""),902)</f>
        <v>902</v>
      </c>
      <c r="R143" s="1">
        <f ca="1">IFERROR(__xludf.DUMMYFUNCTION("""COMPUTED_VALUE"""),1984)</f>
        <v>1984</v>
      </c>
      <c r="S143" s="1">
        <f ca="1">IFERROR(__xludf.DUMMYFUNCTION("""COMPUTED_VALUE"""),0.455)</f>
        <v>0.45500000000000002</v>
      </c>
      <c r="T143" s="1">
        <f ca="1">IFERROR(__xludf.DUMMYFUNCTION("""COMPUTED_VALUE"""),201)</f>
        <v>201</v>
      </c>
      <c r="U143" s="1">
        <f ca="1">IFERROR(__xludf.DUMMYFUNCTION("""COMPUTED_VALUE"""),539)</f>
        <v>539</v>
      </c>
      <c r="V143" s="1">
        <f ca="1">IFERROR(__xludf.DUMMYFUNCTION("""COMPUTED_VALUE"""),0.373)</f>
        <v>0.373</v>
      </c>
      <c r="W143" s="1">
        <f ca="1">IFERROR(__xludf.DUMMYFUNCTION("""COMPUTED_VALUE"""),550)</f>
        <v>550</v>
      </c>
      <c r="X143" s="1">
        <f ca="1">IFERROR(__xludf.DUMMYFUNCTION("""COMPUTED_VALUE"""),763)</f>
        <v>763</v>
      </c>
      <c r="Y143" s="1">
        <f ca="1">IFERROR(__xludf.DUMMYFUNCTION("""COMPUTED_VALUE"""),0.721)</f>
        <v>0.72099999999999997</v>
      </c>
      <c r="Z143" s="1">
        <f ca="1">IFERROR(__xludf.DUMMYFUNCTION("""COMPUTED_VALUE"""),399)</f>
        <v>399</v>
      </c>
      <c r="AA143" s="1">
        <f ca="1">IFERROR(__xludf.DUMMYFUNCTION("""COMPUTED_VALUE"""),1106)</f>
        <v>1106</v>
      </c>
      <c r="AB143" s="1">
        <f ca="1">IFERROR(__xludf.DUMMYFUNCTION("""COMPUTED_VALUE"""),521)</f>
        <v>521</v>
      </c>
      <c r="AC143" s="1">
        <f ca="1">IFERROR(__xludf.DUMMYFUNCTION("""COMPUTED_VALUE"""),262)</f>
        <v>262</v>
      </c>
      <c r="AD143" s="1">
        <f ca="1">IFERROR(__xludf.DUMMYFUNCTION("""COMPUTED_VALUE"""),119)</f>
        <v>119</v>
      </c>
      <c r="AE143" s="1">
        <f ca="1">IFERROR(__xludf.DUMMYFUNCTION("""COMPUTED_VALUE"""),433)</f>
        <v>433</v>
      </c>
      <c r="AF143" s="1">
        <f ca="1">IFERROR(__xludf.DUMMYFUNCTION("""COMPUTED_VALUE"""),586)</f>
        <v>586</v>
      </c>
    </row>
    <row r="144" spans="1:32" ht="12.5" x14ac:dyDescent="0.25">
      <c r="A144" s="1" t="str">
        <f ca="1">IFERROR(__xludf.DUMMYFUNCTION("""COMPUTED_VALUE"""),"Purdue-Fort Wayne")</f>
        <v>Purdue-Fort Wayne</v>
      </c>
      <c r="B144" s="1">
        <f ca="1">IFERROR(__xludf.DUMMYFUNCTION("""COMPUTED_VALUE"""),30)</f>
        <v>30</v>
      </c>
      <c r="C144" s="1">
        <f ca="1">IFERROR(__xludf.DUMMYFUNCTION("""COMPUTED_VALUE"""),11)</f>
        <v>11</v>
      </c>
      <c r="D144" s="1">
        <f ca="1">IFERROR(__xludf.DUMMYFUNCTION("""COMPUTED_VALUE"""),19)</f>
        <v>19</v>
      </c>
      <c r="E144" s="1">
        <f ca="1">IFERROR(__xludf.DUMMYFUNCTION("""COMPUTED_VALUE"""),0.367)</f>
        <v>0.36699999999999999</v>
      </c>
      <c r="F144" s="1">
        <f ca="1">IFERROR(__xludf.DUMMYFUNCTION("""COMPUTED_VALUE"""),-8.79)</f>
        <v>-8.7899999999999991</v>
      </c>
      <c r="G144" s="1">
        <f ca="1">IFERROR(__xludf.DUMMYFUNCTION("""COMPUTED_VALUE"""),-2.05)</f>
        <v>-2.0499999999999998</v>
      </c>
      <c r="H144" s="1">
        <f ca="1">IFERROR(__xludf.DUMMYFUNCTION("""COMPUTED_VALUE"""),5)</f>
        <v>5</v>
      </c>
      <c r="I144" s="1">
        <f ca="1">IFERROR(__xludf.DUMMYFUNCTION("""COMPUTED_VALUE"""),13)</f>
        <v>13</v>
      </c>
      <c r="J144" s="1">
        <f ca="1">IFERROR(__xludf.DUMMYFUNCTION("""COMPUTED_VALUE"""),8)</f>
        <v>8</v>
      </c>
      <c r="K144" s="1">
        <f ca="1">IFERROR(__xludf.DUMMYFUNCTION("""COMPUTED_VALUE"""),5)</f>
        <v>5</v>
      </c>
      <c r="L144" s="1">
        <f ca="1">IFERROR(__xludf.DUMMYFUNCTION("""COMPUTED_VALUE"""),3)</f>
        <v>3</v>
      </c>
      <c r="M144" s="1">
        <f ca="1">IFERROR(__xludf.DUMMYFUNCTION("""COMPUTED_VALUE"""),13)</f>
        <v>13</v>
      </c>
      <c r="N144" s="1">
        <f ca="1">IFERROR(__xludf.DUMMYFUNCTION("""COMPUTED_VALUE"""),2100)</f>
        <v>2100</v>
      </c>
      <c r="O144" s="1">
        <f ca="1">IFERROR(__xludf.DUMMYFUNCTION("""COMPUTED_VALUE"""),2242)</f>
        <v>2242</v>
      </c>
      <c r="P144" s="1">
        <f ca="1">IFERROR(__xludf.DUMMYFUNCTION("""COMPUTED_VALUE"""),1205)</f>
        <v>1205</v>
      </c>
      <c r="Q144" s="1">
        <f ca="1">IFERROR(__xludf.DUMMYFUNCTION("""COMPUTED_VALUE"""),756)</f>
        <v>756</v>
      </c>
      <c r="R144" s="1">
        <f ca="1">IFERROR(__xludf.DUMMYFUNCTION("""COMPUTED_VALUE"""),1676)</f>
        <v>1676</v>
      </c>
      <c r="S144" s="1">
        <f ca="1">IFERROR(__xludf.DUMMYFUNCTION("""COMPUTED_VALUE"""),0.451)</f>
        <v>0.45100000000000001</v>
      </c>
      <c r="T144" s="1">
        <f ca="1">IFERROR(__xludf.DUMMYFUNCTION("""COMPUTED_VALUE"""),164)</f>
        <v>164</v>
      </c>
      <c r="U144" s="1">
        <f ca="1">IFERROR(__xludf.DUMMYFUNCTION("""COMPUTED_VALUE"""),497)</f>
        <v>497</v>
      </c>
      <c r="V144" s="1">
        <f ca="1">IFERROR(__xludf.DUMMYFUNCTION("""COMPUTED_VALUE"""),0.33)</f>
        <v>0.33</v>
      </c>
      <c r="W144" s="1">
        <f ca="1">IFERROR(__xludf.DUMMYFUNCTION("""COMPUTED_VALUE"""),424)</f>
        <v>424</v>
      </c>
      <c r="X144" s="1">
        <f ca="1">IFERROR(__xludf.DUMMYFUNCTION("""COMPUTED_VALUE"""),621)</f>
        <v>621</v>
      </c>
      <c r="Y144" s="1">
        <f ca="1">IFERROR(__xludf.DUMMYFUNCTION("""COMPUTED_VALUE"""),0.683)</f>
        <v>0.68300000000000005</v>
      </c>
      <c r="Z144" s="1">
        <f ca="1">IFERROR(__xludf.DUMMYFUNCTION("""COMPUTED_VALUE"""),316)</f>
        <v>316</v>
      </c>
      <c r="AA144" s="1">
        <f ca="1">IFERROR(__xludf.DUMMYFUNCTION("""COMPUTED_VALUE"""),916)</f>
        <v>916</v>
      </c>
      <c r="AB144" s="1">
        <f ca="1">IFERROR(__xludf.DUMMYFUNCTION("""COMPUTED_VALUE"""),410)</f>
        <v>410</v>
      </c>
      <c r="AC144" s="1">
        <f ca="1">IFERROR(__xludf.DUMMYFUNCTION("""COMPUTED_VALUE"""),188)</f>
        <v>188</v>
      </c>
      <c r="AD144" s="1">
        <f ca="1">IFERROR(__xludf.DUMMYFUNCTION("""COMPUTED_VALUE"""),73)</f>
        <v>73</v>
      </c>
      <c r="AE144" s="1">
        <f ca="1">IFERROR(__xludf.DUMMYFUNCTION("""COMPUTED_VALUE"""),434)</f>
        <v>434</v>
      </c>
      <c r="AF144" s="1">
        <f ca="1">IFERROR(__xludf.DUMMYFUNCTION("""COMPUTED_VALUE"""),593)</f>
        <v>593</v>
      </c>
    </row>
    <row r="145" spans="1:32" ht="12.5" x14ac:dyDescent="0.25">
      <c r="A145" s="1" t="str">
        <f ca="1">IFERROR(__xludf.DUMMYFUNCTION("""COMPUTED_VALUE"""),"IUPUI")</f>
        <v>IUPUI</v>
      </c>
      <c r="B145" s="1">
        <f ca="1">IFERROR(__xludf.DUMMYFUNCTION("""COMPUTED_VALUE"""),32)</f>
        <v>32</v>
      </c>
      <c r="C145" s="1">
        <f ca="1">IFERROR(__xludf.DUMMYFUNCTION("""COMPUTED_VALUE"""),14)</f>
        <v>14</v>
      </c>
      <c r="D145" s="1">
        <f ca="1">IFERROR(__xludf.DUMMYFUNCTION("""COMPUTED_VALUE"""),18)</f>
        <v>18</v>
      </c>
      <c r="E145" s="1">
        <f ca="1">IFERROR(__xludf.DUMMYFUNCTION("""COMPUTED_VALUE"""),0.438)</f>
        <v>0.438</v>
      </c>
      <c r="F145" s="1">
        <f ca="1">IFERROR(__xludf.DUMMYFUNCTION("""COMPUTED_VALUE"""),-3.85)</f>
        <v>-3.85</v>
      </c>
      <c r="G145" s="1">
        <f ca="1">IFERROR(__xludf.DUMMYFUNCTION("""COMPUTED_VALUE"""),-1.75)</f>
        <v>-1.75</v>
      </c>
      <c r="H145" s="1">
        <f ca="1">IFERROR(__xludf.DUMMYFUNCTION("""COMPUTED_VALUE"""),7)</f>
        <v>7</v>
      </c>
      <c r="I145" s="1">
        <f ca="1">IFERROR(__xludf.DUMMYFUNCTION("""COMPUTED_VALUE"""),11)</f>
        <v>11</v>
      </c>
      <c r="J145" s="1">
        <f ca="1">IFERROR(__xludf.DUMMYFUNCTION("""COMPUTED_VALUE"""),9)</f>
        <v>9</v>
      </c>
      <c r="K145" s="1">
        <f ca="1">IFERROR(__xludf.DUMMYFUNCTION("""COMPUTED_VALUE"""),5)</f>
        <v>5</v>
      </c>
      <c r="L145" s="1">
        <f ca="1">IFERROR(__xludf.DUMMYFUNCTION("""COMPUTED_VALUE"""),3)</f>
        <v>3</v>
      </c>
      <c r="M145" s="1">
        <f ca="1">IFERROR(__xludf.DUMMYFUNCTION("""COMPUTED_VALUE"""),12)</f>
        <v>12</v>
      </c>
      <c r="N145" s="1">
        <f ca="1">IFERROR(__xludf.DUMMYFUNCTION("""COMPUTED_VALUE"""),2319)</f>
        <v>2319</v>
      </c>
      <c r="O145" s="1">
        <f ca="1">IFERROR(__xludf.DUMMYFUNCTION("""COMPUTED_VALUE"""),2329)</f>
        <v>2329</v>
      </c>
      <c r="P145" s="1">
        <f ca="1">IFERROR(__xludf.DUMMYFUNCTION("""COMPUTED_VALUE"""),1295)</f>
        <v>1295</v>
      </c>
      <c r="Q145" s="1">
        <f ca="1">IFERROR(__xludf.DUMMYFUNCTION("""COMPUTED_VALUE"""),819)</f>
        <v>819</v>
      </c>
      <c r="R145" s="1">
        <f ca="1">IFERROR(__xludf.DUMMYFUNCTION("""COMPUTED_VALUE"""),1850)</f>
        <v>1850</v>
      </c>
      <c r="S145" s="1">
        <f ca="1">IFERROR(__xludf.DUMMYFUNCTION("""COMPUTED_VALUE"""),0.443)</f>
        <v>0.443</v>
      </c>
      <c r="T145" s="1">
        <f ca="1">IFERROR(__xludf.DUMMYFUNCTION("""COMPUTED_VALUE"""),186)</f>
        <v>186</v>
      </c>
      <c r="U145" s="1">
        <f ca="1">IFERROR(__xludf.DUMMYFUNCTION("""COMPUTED_VALUE"""),525)</f>
        <v>525</v>
      </c>
      <c r="V145" s="1">
        <f ca="1">IFERROR(__xludf.DUMMYFUNCTION("""COMPUTED_VALUE"""),0.354)</f>
        <v>0.35399999999999998</v>
      </c>
      <c r="W145" s="1">
        <f ca="1">IFERROR(__xludf.DUMMYFUNCTION("""COMPUTED_VALUE"""),495)</f>
        <v>495</v>
      </c>
      <c r="X145" s="1">
        <f ca="1">IFERROR(__xludf.DUMMYFUNCTION("""COMPUTED_VALUE"""),638)</f>
        <v>638</v>
      </c>
      <c r="Y145" s="1">
        <f ca="1">IFERROR(__xludf.DUMMYFUNCTION("""COMPUTED_VALUE"""),0.776)</f>
        <v>0.77600000000000002</v>
      </c>
      <c r="Z145" s="1">
        <f ca="1">IFERROR(__xludf.DUMMYFUNCTION("""COMPUTED_VALUE"""),385)</f>
        <v>385</v>
      </c>
      <c r="AA145" s="1">
        <f ca="1">IFERROR(__xludf.DUMMYFUNCTION("""COMPUTED_VALUE"""),957)</f>
        <v>957</v>
      </c>
      <c r="AB145" s="1">
        <f ca="1">IFERROR(__xludf.DUMMYFUNCTION("""COMPUTED_VALUE"""),375)</f>
        <v>375</v>
      </c>
      <c r="AC145" s="1">
        <f ca="1">IFERROR(__xludf.DUMMYFUNCTION("""COMPUTED_VALUE"""),218)</f>
        <v>218</v>
      </c>
      <c r="AD145" s="1">
        <f ca="1">IFERROR(__xludf.DUMMYFUNCTION("""COMPUTED_VALUE"""),96)</f>
        <v>96</v>
      </c>
      <c r="AE145" s="1">
        <f ca="1">IFERROR(__xludf.DUMMYFUNCTION("""COMPUTED_VALUE"""),379)</f>
        <v>379</v>
      </c>
      <c r="AF145" s="1">
        <f ca="1">IFERROR(__xludf.DUMMYFUNCTION("""COMPUTED_VALUE"""),556)</f>
        <v>556</v>
      </c>
    </row>
    <row r="146" spans="1:32" ht="12.5" x14ac:dyDescent="0.25">
      <c r="A146" s="1" t="str">
        <f ca="1">IFERROR(__xludf.DUMMYFUNCTION("""COMPUTED_VALUE"""),"Jackson State")</f>
        <v>Jackson State</v>
      </c>
      <c r="B146" s="1">
        <f ca="1">IFERROR(__xludf.DUMMYFUNCTION("""COMPUTED_VALUE"""),31)</f>
        <v>31</v>
      </c>
      <c r="C146" s="1">
        <f ca="1">IFERROR(__xludf.DUMMYFUNCTION("""COMPUTED_VALUE"""),7)</f>
        <v>7</v>
      </c>
      <c r="D146" s="1">
        <f ca="1">IFERROR(__xludf.DUMMYFUNCTION("""COMPUTED_VALUE"""),24)</f>
        <v>24</v>
      </c>
      <c r="E146" s="1">
        <f ca="1">IFERROR(__xludf.DUMMYFUNCTION("""COMPUTED_VALUE"""),0.226)</f>
        <v>0.22600000000000001</v>
      </c>
      <c r="F146" s="1">
        <f ca="1">IFERROR(__xludf.DUMMYFUNCTION("""COMPUTED_VALUE"""),-17.5)</f>
        <v>-17.5</v>
      </c>
      <c r="G146" s="1">
        <f ca="1">IFERROR(__xludf.DUMMYFUNCTION("""COMPUTED_VALUE"""),-7)</f>
        <v>-7</v>
      </c>
      <c r="H146" s="1">
        <f ca="1">IFERROR(__xludf.DUMMYFUNCTION("""COMPUTED_VALUE"""),5)</f>
        <v>5</v>
      </c>
      <c r="I146" s="1">
        <f ca="1">IFERROR(__xludf.DUMMYFUNCTION("""COMPUTED_VALUE"""),13)</f>
        <v>13</v>
      </c>
      <c r="J146" s="1">
        <f ca="1">IFERROR(__xludf.DUMMYFUNCTION("""COMPUTED_VALUE"""),4)</f>
        <v>4</v>
      </c>
      <c r="K146" s="1">
        <f ca="1">IFERROR(__xludf.DUMMYFUNCTION("""COMPUTED_VALUE"""),7)</f>
        <v>7</v>
      </c>
      <c r="L146" s="1">
        <f ca="1">IFERROR(__xludf.DUMMYFUNCTION("""COMPUTED_VALUE"""),2)</f>
        <v>2</v>
      </c>
      <c r="M146" s="1">
        <f ca="1">IFERROR(__xludf.DUMMYFUNCTION("""COMPUTED_VALUE"""),16)</f>
        <v>16</v>
      </c>
      <c r="N146" s="1">
        <f ca="1">IFERROR(__xludf.DUMMYFUNCTION("""COMPUTED_VALUE"""),1737)</f>
        <v>1737</v>
      </c>
      <c r="O146" s="1">
        <f ca="1">IFERROR(__xludf.DUMMYFUNCTION("""COMPUTED_VALUE"""),2042)</f>
        <v>2042</v>
      </c>
      <c r="P146" s="1">
        <f ca="1">IFERROR(__xludf.DUMMYFUNCTION("""COMPUTED_VALUE"""),1260)</f>
        <v>1260</v>
      </c>
      <c r="Q146" s="1">
        <f ca="1">IFERROR(__xludf.DUMMYFUNCTION("""COMPUTED_VALUE"""),618)</f>
        <v>618</v>
      </c>
      <c r="R146" s="1">
        <f ca="1">IFERROR(__xludf.DUMMYFUNCTION("""COMPUTED_VALUE"""),1621)</f>
        <v>1621</v>
      </c>
      <c r="S146" s="1">
        <f ca="1">IFERROR(__xludf.DUMMYFUNCTION("""COMPUTED_VALUE"""),0.381)</f>
        <v>0.38100000000000001</v>
      </c>
      <c r="T146" s="1">
        <f ca="1">IFERROR(__xludf.DUMMYFUNCTION("""COMPUTED_VALUE"""),133)</f>
        <v>133</v>
      </c>
      <c r="U146" s="1">
        <f ca="1">IFERROR(__xludf.DUMMYFUNCTION("""COMPUTED_VALUE"""),407)</f>
        <v>407</v>
      </c>
      <c r="V146" s="1">
        <f ca="1">IFERROR(__xludf.DUMMYFUNCTION("""COMPUTED_VALUE"""),0.327)</f>
        <v>0.32700000000000001</v>
      </c>
      <c r="W146" s="1">
        <f ca="1">IFERROR(__xludf.DUMMYFUNCTION("""COMPUTED_VALUE"""),368)</f>
        <v>368</v>
      </c>
      <c r="X146" s="1">
        <f ca="1">IFERROR(__xludf.DUMMYFUNCTION("""COMPUTED_VALUE"""),542)</f>
        <v>542</v>
      </c>
      <c r="Y146" s="1">
        <f ca="1">IFERROR(__xludf.DUMMYFUNCTION("""COMPUTED_VALUE"""),0.679)</f>
        <v>0.67900000000000005</v>
      </c>
      <c r="Z146" s="1">
        <f ca="1">IFERROR(__xludf.DUMMYFUNCTION("""COMPUTED_VALUE"""),364)</f>
        <v>364</v>
      </c>
      <c r="AA146" s="1">
        <f ca="1">IFERROR(__xludf.DUMMYFUNCTION("""COMPUTED_VALUE"""),922)</f>
        <v>922</v>
      </c>
      <c r="AB146" s="1">
        <f ca="1">IFERROR(__xludf.DUMMYFUNCTION("""COMPUTED_VALUE"""),258)</f>
        <v>258</v>
      </c>
      <c r="AC146" s="1">
        <f ca="1">IFERROR(__xludf.DUMMYFUNCTION("""COMPUTED_VALUE"""),224)</f>
        <v>224</v>
      </c>
      <c r="AD146" s="1">
        <f ca="1">IFERROR(__xludf.DUMMYFUNCTION("""COMPUTED_VALUE"""),103)</f>
        <v>103</v>
      </c>
      <c r="AE146" s="1">
        <f ca="1">IFERROR(__xludf.DUMMYFUNCTION("""COMPUTED_VALUE"""),475)</f>
        <v>475</v>
      </c>
      <c r="AF146" s="1">
        <f ca="1">IFERROR(__xludf.DUMMYFUNCTION("""COMPUTED_VALUE"""),598)</f>
        <v>598</v>
      </c>
    </row>
    <row r="147" spans="1:32" ht="12.5" x14ac:dyDescent="0.25">
      <c r="A147" s="1" t="str">
        <f ca="1">IFERROR(__xludf.DUMMYFUNCTION("""COMPUTED_VALUE"""),"Jacksonville State")</f>
        <v>Jacksonville State</v>
      </c>
      <c r="B147" s="1">
        <f ca="1">IFERROR(__xludf.DUMMYFUNCTION("""COMPUTED_VALUE"""),33)</f>
        <v>33</v>
      </c>
      <c r="C147" s="1">
        <f ca="1">IFERROR(__xludf.DUMMYFUNCTION("""COMPUTED_VALUE"""),15)</f>
        <v>15</v>
      </c>
      <c r="D147" s="1">
        <f ca="1">IFERROR(__xludf.DUMMYFUNCTION("""COMPUTED_VALUE"""),18)</f>
        <v>18</v>
      </c>
      <c r="E147" s="1">
        <f ca="1">IFERROR(__xludf.DUMMYFUNCTION("""COMPUTED_VALUE"""),0.455)</f>
        <v>0.45500000000000002</v>
      </c>
      <c r="F147" s="1">
        <f ca="1">IFERROR(__xludf.DUMMYFUNCTION("""COMPUTED_VALUE"""),-4.86)</f>
        <v>-4.8600000000000003</v>
      </c>
      <c r="G147" s="1">
        <f ca="1">IFERROR(__xludf.DUMMYFUNCTION("""COMPUTED_VALUE"""),-5.23)</f>
        <v>-5.23</v>
      </c>
      <c r="H147" s="1">
        <f ca="1">IFERROR(__xludf.DUMMYFUNCTION("""COMPUTED_VALUE"""),8)</f>
        <v>8</v>
      </c>
      <c r="I147" s="1">
        <f ca="1">IFERROR(__xludf.DUMMYFUNCTION("""COMPUTED_VALUE"""),8)</f>
        <v>8</v>
      </c>
      <c r="J147" s="1">
        <f ca="1">IFERROR(__xludf.DUMMYFUNCTION("""COMPUTED_VALUE"""),9)</f>
        <v>9</v>
      </c>
      <c r="K147" s="1">
        <f ca="1">IFERROR(__xludf.DUMMYFUNCTION("""COMPUTED_VALUE"""),4)</f>
        <v>4</v>
      </c>
      <c r="L147" s="1">
        <f ca="1">IFERROR(__xludf.DUMMYFUNCTION("""COMPUTED_VALUE"""),3)</f>
        <v>3</v>
      </c>
      <c r="M147" s="1">
        <f ca="1">IFERROR(__xludf.DUMMYFUNCTION("""COMPUTED_VALUE"""),10)</f>
        <v>10</v>
      </c>
      <c r="N147" s="1">
        <f ca="1">IFERROR(__xludf.DUMMYFUNCTION("""COMPUTED_VALUE"""),2143)</f>
        <v>2143</v>
      </c>
      <c r="O147" s="1">
        <f ca="1">IFERROR(__xludf.DUMMYFUNCTION("""COMPUTED_VALUE"""),2106)</f>
        <v>2106</v>
      </c>
      <c r="P147" s="1">
        <f ca="1">IFERROR(__xludf.DUMMYFUNCTION("""COMPUTED_VALUE"""),1330)</f>
        <v>1330</v>
      </c>
      <c r="Q147" s="1">
        <f ca="1">IFERROR(__xludf.DUMMYFUNCTION("""COMPUTED_VALUE"""),748)</f>
        <v>748</v>
      </c>
      <c r="R147" s="1">
        <f ca="1">IFERROR(__xludf.DUMMYFUNCTION("""COMPUTED_VALUE"""),1761)</f>
        <v>1761</v>
      </c>
      <c r="S147" s="1">
        <f ca="1">IFERROR(__xludf.DUMMYFUNCTION("""COMPUTED_VALUE"""),0.425)</f>
        <v>0.42499999999999999</v>
      </c>
      <c r="T147" s="1">
        <f ca="1">IFERROR(__xludf.DUMMYFUNCTION("""COMPUTED_VALUE"""),144)</f>
        <v>144</v>
      </c>
      <c r="U147" s="1">
        <f ca="1">IFERROR(__xludf.DUMMYFUNCTION("""COMPUTED_VALUE"""),533)</f>
        <v>533</v>
      </c>
      <c r="V147" s="1">
        <f ca="1">IFERROR(__xludf.DUMMYFUNCTION("""COMPUTED_VALUE"""),0.27)</f>
        <v>0.27</v>
      </c>
      <c r="W147" s="1">
        <f ca="1">IFERROR(__xludf.DUMMYFUNCTION("""COMPUTED_VALUE"""),503)</f>
        <v>503</v>
      </c>
      <c r="X147" s="1">
        <f ca="1">IFERROR(__xludf.DUMMYFUNCTION("""COMPUTED_VALUE"""),742)</f>
        <v>742</v>
      </c>
      <c r="Y147" s="1">
        <f ca="1">IFERROR(__xludf.DUMMYFUNCTION("""COMPUTED_VALUE"""),0.678)</f>
        <v>0.67800000000000005</v>
      </c>
      <c r="Z147" s="1">
        <f ca="1">IFERROR(__xludf.DUMMYFUNCTION("""COMPUTED_VALUE"""),387)</f>
        <v>387</v>
      </c>
      <c r="AA147" s="1">
        <f ca="1">IFERROR(__xludf.DUMMYFUNCTION("""COMPUTED_VALUE"""),969)</f>
        <v>969</v>
      </c>
      <c r="AB147" s="1">
        <f ca="1">IFERROR(__xludf.DUMMYFUNCTION("""COMPUTED_VALUE"""),399)</f>
        <v>399</v>
      </c>
      <c r="AC147" s="1">
        <f ca="1">IFERROR(__xludf.DUMMYFUNCTION("""COMPUTED_VALUE"""),243)</f>
        <v>243</v>
      </c>
      <c r="AD147" s="1">
        <f ca="1">IFERROR(__xludf.DUMMYFUNCTION("""COMPUTED_VALUE"""),125)</f>
        <v>125</v>
      </c>
      <c r="AE147" s="1">
        <f ca="1">IFERROR(__xludf.DUMMYFUNCTION("""COMPUTED_VALUE"""),443)</f>
        <v>443</v>
      </c>
      <c r="AF147" s="1">
        <f ca="1">IFERROR(__xludf.DUMMYFUNCTION("""COMPUTED_VALUE"""),636)</f>
        <v>636</v>
      </c>
    </row>
    <row r="148" spans="1:32" ht="12.5" x14ac:dyDescent="0.25">
      <c r="A148" s="1" t="str">
        <f ca="1">IFERROR(__xludf.DUMMYFUNCTION("""COMPUTED_VALUE"""),"Jacksonville")</f>
        <v>Jacksonville</v>
      </c>
      <c r="B148" s="1">
        <f ca="1">IFERROR(__xludf.DUMMYFUNCTION("""COMPUTED_VALUE"""),30)</f>
        <v>30</v>
      </c>
      <c r="C148" s="1">
        <f ca="1">IFERROR(__xludf.DUMMYFUNCTION("""COMPUTED_VALUE"""),8)</f>
        <v>8</v>
      </c>
      <c r="D148" s="1">
        <f ca="1">IFERROR(__xludf.DUMMYFUNCTION("""COMPUTED_VALUE"""),22)</f>
        <v>22</v>
      </c>
      <c r="E148" s="1">
        <f ca="1">IFERROR(__xludf.DUMMYFUNCTION("""COMPUTED_VALUE"""),0.267)</f>
        <v>0.26700000000000002</v>
      </c>
      <c r="F148" s="1">
        <f ca="1">IFERROR(__xludf.DUMMYFUNCTION("""COMPUTED_VALUE"""),-7.3)</f>
        <v>-7.3</v>
      </c>
      <c r="G148" s="1">
        <f ca="1">IFERROR(__xludf.DUMMYFUNCTION("""COMPUTED_VALUE"""),0.1)</f>
        <v>0.1</v>
      </c>
      <c r="H148" s="1">
        <f ca="1">IFERROR(__xludf.DUMMYFUNCTION("""COMPUTED_VALUE"""),6)</f>
        <v>6</v>
      </c>
      <c r="I148" s="1">
        <f ca="1">IFERROR(__xludf.DUMMYFUNCTION("""COMPUTED_VALUE"""),12)</f>
        <v>12</v>
      </c>
      <c r="J148" s="1">
        <f ca="1">IFERROR(__xludf.DUMMYFUNCTION("""COMPUTED_VALUE"""),5)</f>
        <v>5</v>
      </c>
      <c r="K148" s="1">
        <f ca="1">IFERROR(__xludf.DUMMYFUNCTION("""COMPUTED_VALUE"""),6)</f>
        <v>6</v>
      </c>
      <c r="L148" s="1">
        <f ca="1">IFERROR(__xludf.DUMMYFUNCTION("""COMPUTED_VALUE"""),3)</f>
        <v>3</v>
      </c>
      <c r="M148" s="1">
        <f ca="1">IFERROR(__xludf.DUMMYFUNCTION("""COMPUTED_VALUE"""),15)</f>
        <v>15</v>
      </c>
      <c r="N148" s="1">
        <f ca="1">IFERROR(__xludf.DUMMYFUNCTION("""COMPUTED_VALUE"""),1951)</f>
        <v>1951</v>
      </c>
      <c r="O148" s="1">
        <f ca="1">IFERROR(__xludf.DUMMYFUNCTION("""COMPUTED_VALUE"""),2173)</f>
        <v>2173</v>
      </c>
      <c r="P148" s="1">
        <f ca="1">IFERROR(__xludf.DUMMYFUNCTION("""COMPUTED_VALUE"""),1210)</f>
        <v>1210</v>
      </c>
      <c r="Q148" s="1">
        <f ca="1">IFERROR(__xludf.DUMMYFUNCTION("""COMPUTED_VALUE"""),706)</f>
        <v>706</v>
      </c>
      <c r="R148" s="1">
        <f ca="1">IFERROR(__xludf.DUMMYFUNCTION("""COMPUTED_VALUE"""),1688)</f>
        <v>1688</v>
      </c>
      <c r="S148" s="1">
        <f ca="1">IFERROR(__xludf.DUMMYFUNCTION("""COMPUTED_VALUE"""),0.418)</f>
        <v>0.41799999999999998</v>
      </c>
      <c r="T148" s="1">
        <f ca="1">IFERROR(__xludf.DUMMYFUNCTION("""COMPUTED_VALUE"""),151)</f>
        <v>151</v>
      </c>
      <c r="U148" s="1">
        <f ca="1">IFERROR(__xludf.DUMMYFUNCTION("""COMPUTED_VALUE"""),474)</f>
        <v>474</v>
      </c>
      <c r="V148" s="1">
        <f ca="1">IFERROR(__xludf.DUMMYFUNCTION("""COMPUTED_VALUE"""),0.319)</f>
        <v>0.31900000000000001</v>
      </c>
      <c r="W148" s="1">
        <f ca="1">IFERROR(__xludf.DUMMYFUNCTION("""COMPUTED_VALUE"""),388)</f>
        <v>388</v>
      </c>
      <c r="X148" s="1">
        <f ca="1">IFERROR(__xludf.DUMMYFUNCTION("""COMPUTED_VALUE"""),591)</f>
        <v>591</v>
      </c>
      <c r="Y148" s="1">
        <f ca="1">IFERROR(__xludf.DUMMYFUNCTION("""COMPUTED_VALUE"""),0.657)</f>
        <v>0.65700000000000003</v>
      </c>
      <c r="Z148" s="1">
        <f ca="1">IFERROR(__xludf.DUMMYFUNCTION("""COMPUTED_VALUE"""),396)</f>
        <v>396</v>
      </c>
      <c r="AA148" s="1">
        <f ca="1">IFERROR(__xludf.DUMMYFUNCTION("""COMPUTED_VALUE"""),941)</f>
        <v>941</v>
      </c>
      <c r="AB148" s="1">
        <f ca="1">IFERROR(__xludf.DUMMYFUNCTION("""COMPUTED_VALUE"""),363)</f>
        <v>363</v>
      </c>
      <c r="AC148" s="1">
        <f ca="1">IFERROR(__xludf.DUMMYFUNCTION("""COMPUTED_VALUE"""),220)</f>
        <v>220</v>
      </c>
      <c r="AD148" s="1">
        <f ca="1">IFERROR(__xludf.DUMMYFUNCTION("""COMPUTED_VALUE"""),105)</f>
        <v>105</v>
      </c>
      <c r="AE148" s="1">
        <f ca="1">IFERROR(__xludf.DUMMYFUNCTION("""COMPUTED_VALUE"""),449)</f>
        <v>449</v>
      </c>
      <c r="AF148" s="1">
        <f ca="1">IFERROR(__xludf.DUMMYFUNCTION("""COMPUTED_VALUE"""),664)</f>
        <v>664</v>
      </c>
    </row>
    <row r="149" spans="1:32" ht="12.5" x14ac:dyDescent="0.25">
      <c r="A149" s="1" t="str">
        <f ca="1">IFERROR(__xludf.DUMMYFUNCTION("""COMPUTED_VALUE"""),"James Madison")</f>
        <v>James Madison</v>
      </c>
      <c r="B149" s="1">
        <f ca="1">IFERROR(__xludf.DUMMYFUNCTION("""COMPUTED_VALUE"""),32)</f>
        <v>32</v>
      </c>
      <c r="C149" s="1">
        <f ca="1">IFERROR(__xludf.DUMMYFUNCTION("""COMPUTED_VALUE"""),12)</f>
        <v>12</v>
      </c>
      <c r="D149" s="1">
        <f ca="1">IFERROR(__xludf.DUMMYFUNCTION("""COMPUTED_VALUE"""),20)</f>
        <v>20</v>
      </c>
      <c r="E149" s="1">
        <f ca="1">IFERROR(__xludf.DUMMYFUNCTION("""COMPUTED_VALUE"""),0.375)</f>
        <v>0.375</v>
      </c>
      <c r="F149" s="1">
        <f ca="1">IFERROR(__xludf.DUMMYFUNCTION("""COMPUTED_VALUE"""),-5.86)</f>
        <v>-5.86</v>
      </c>
      <c r="G149" s="1">
        <f ca="1">IFERROR(__xludf.DUMMYFUNCTION("""COMPUTED_VALUE"""),-2.11)</f>
        <v>-2.11</v>
      </c>
      <c r="H149" s="1">
        <f ca="1">IFERROR(__xludf.DUMMYFUNCTION("""COMPUTED_VALUE"""),5)</f>
        <v>5</v>
      </c>
      <c r="I149" s="1">
        <f ca="1">IFERROR(__xludf.DUMMYFUNCTION("""COMPUTED_VALUE"""),13)</f>
        <v>13</v>
      </c>
      <c r="J149" s="1">
        <f ca="1">IFERROR(__xludf.DUMMYFUNCTION("""COMPUTED_VALUE"""),5)</f>
        <v>5</v>
      </c>
      <c r="K149" s="1">
        <f ca="1">IFERROR(__xludf.DUMMYFUNCTION("""COMPUTED_VALUE"""),9)</f>
        <v>9</v>
      </c>
      <c r="L149" s="1">
        <f ca="1">IFERROR(__xludf.DUMMYFUNCTION("""COMPUTED_VALUE"""),5)</f>
        <v>5</v>
      </c>
      <c r="M149" s="1">
        <f ca="1">IFERROR(__xludf.DUMMYFUNCTION("""COMPUTED_VALUE"""),9)</f>
        <v>9</v>
      </c>
      <c r="N149" s="1">
        <f ca="1">IFERROR(__xludf.DUMMYFUNCTION("""COMPUTED_VALUE"""),2115)</f>
        <v>2115</v>
      </c>
      <c r="O149" s="1">
        <f ca="1">IFERROR(__xludf.DUMMYFUNCTION("""COMPUTED_VALUE"""),2235)</f>
        <v>2235</v>
      </c>
      <c r="P149" s="1">
        <f ca="1">IFERROR(__xludf.DUMMYFUNCTION("""COMPUTED_VALUE"""),1290)</f>
        <v>1290</v>
      </c>
      <c r="Q149" s="1">
        <f ca="1">IFERROR(__xludf.DUMMYFUNCTION("""COMPUTED_VALUE"""),748)</f>
        <v>748</v>
      </c>
      <c r="R149" s="1">
        <f ca="1">IFERROR(__xludf.DUMMYFUNCTION("""COMPUTED_VALUE"""),1774)</f>
        <v>1774</v>
      </c>
      <c r="S149" s="1">
        <f ca="1">IFERROR(__xludf.DUMMYFUNCTION("""COMPUTED_VALUE"""),0.422)</f>
        <v>0.42199999999999999</v>
      </c>
      <c r="T149" s="1">
        <f ca="1">IFERROR(__xludf.DUMMYFUNCTION("""COMPUTED_VALUE"""),248)</f>
        <v>248</v>
      </c>
      <c r="U149" s="1">
        <f ca="1">IFERROR(__xludf.DUMMYFUNCTION("""COMPUTED_VALUE"""),676)</f>
        <v>676</v>
      </c>
      <c r="V149" s="1">
        <f ca="1">IFERROR(__xludf.DUMMYFUNCTION("""COMPUTED_VALUE"""),0.367)</f>
        <v>0.36699999999999999</v>
      </c>
      <c r="W149" s="1">
        <f ca="1">IFERROR(__xludf.DUMMYFUNCTION("""COMPUTED_VALUE"""),371)</f>
        <v>371</v>
      </c>
      <c r="X149" s="1">
        <f ca="1">IFERROR(__xludf.DUMMYFUNCTION("""COMPUTED_VALUE"""),557)</f>
        <v>557</v>
      </c>
      <c r="Y149" s="1">
        <f ca="1">IFERROR(__xludf.DUMMYFUNCTION("""COMPUTED_VALUE"""),0.666)</f>
        <v>0.66600000000000004</v>
      </c>
      <c r="Z149" s="1">
        <f ca="1">IFERROR(__xludf.DUMMYFUNCTION("""COMPUTED_VALUE"""),321)</f>
        <v>321</v>
      </c>
      <c r="AA149" s="1">
        <f ca="1">IFERROR(__xludf.DUMMYFUNCTION("""COMPUTED_VALUE"""),906)</f>
        <v>906</v>
      </c>
      <c r="AB149" s="1">
        <f ca="1">IFERROR(__xludf.DUMMYFUNCTION("""COMPUTED_VALUE"""),428)</f>
        <v>428</v>
      </c>
      <c r="AC149" s="1">
        <f ca="1">IFERROR(__xludf.DUMMYFUNCTION("""COMPUTED_VALUE"""),213)</f>
        <v>213</v>
      </c>
      <c r="AD149" s="1">
        <f ca="1">IFERROR(__xludf.DUMMYFUNCTION("""COMPUTED_VALUE"""),83)</f>
        <v>83</v>
      </c>
      <c r="AE149" s="1">
        <f ca="1">IFERROR(__xludf.DUMMYFUNCTION("""COMPUTED_VALUE"""),414)</f>
        <v>414</v>
      </c>
      <c r="AF149" s="1">
        <f ca="1">IFERROR(__xludf.DUMMYFUNCTION("""COMPUTED_VALUE"""),624)</f>
        <v>624</v>
      </c>
    </row>
    <row r="150" spans="1:32" ht="12.5" x14ac:dyDescent="0.25">
      <c r="A150" s="1" t="str">
        <f ca="1">IFERROR(__xludf.DUMMYFUNCTION("""COMPUTED_VALUE"""),"Kansas StateNCAA")</f>
        <v>Kansas StateNCAA</v>
      </c>
      <c r="B150" s="1">
        <f ca="1">IFERROR(__xludf.DUMMYFUNCTION("""COMPUTED_VALUE"""),33)</f>
        <v>33</v>
      </c>
      <c r="C150" s="1">
        <f ca="1">IFERROR(__xludf.DUMMYFUNCTION("""COMPUTED_VALUE"""),22)</f>
        <v>22</v>
      </c>
      <c r="D150" s="1">
        <f ca="1">IFERROR(__xludf.DUMMYFUNCTION("""COMPUTED_VALUE"""),11)</f>
        <v>11</v>
      </c>
      <c r="E150" s="1">
        <f ca="1">IFERROR(__xludf.DUMMYFUNCTION("""COMPUTED_VALUE"""),0.667)</f>
        <v>0.66700000000000004</v>
      </c>
      <c r="F150" s="1">
        <f ca="1">IFERROR(__xludf.DUMMYFUNCTION("""COMPUTED_VALUE"""),14.47)</f>
        <v>14.47</v>
      </c>
      <c r="G150" s="1">
        <f ca="1">IFERROR(__xludf.DUMMYFUNCTION("""COMPUTED_VALUE"""),7.53)</f>
        <v>7.53</v>
      </c>
      <c r="H150" s="1">
        <f ca="1">IFERROR(__xludf.DUMMYFUNCTION("""COMPUTED_VALUE"""),10)</f>
        <v>10</v>
      </c>
      <c r="I150" s="1">
        <f ca="1">IFERROR(__xludf.DUMMYFUNCTION("""COMPUTED_VALUE"""),8)</f>
        <v>8</v>
      </c>
      <c r="J150" s="1">
        <f ca="1">IFERROR(__xludf.DUMMYFUNCTION("""COMPUTED_VALUE"""),11)</f>
        <v>11</v>
      </c>
      <c r="K150" s="1">
        <f ca="1">IFERROR(__xludf.DUMMYFUNCTION("""COMPUTED_VALUE"""),4)</f>
        <v>4</v>
      </c>
      <c r="L150" s="1">
        <f ca="1">IFERROR(__xludf.DUMMYFUNCTION("""COMPUTED_VALUE"""),6)</f>
        <v>6</v>
      </c>
      <c r="M150" s="1">
        <f ca="1">IFERROR(__xludf.DUMMYFUNCTION("""COMPUTED_VALUE"""),4)</f>
        <v>4</v>
      </c>
      <c r="N150" s="1">
        <f ca="1">IFERROR(__xludf.DUMMYFUNCTION("""COMPUTED_VALUE"""),2343)</f>
        <v>2343</v>
      </c>
      <c r="O150" s="1">
        <f ca="1">IFERROR(__xludf.DUMMYFUNCTION("""COMPUTED_VALUE"""),2114)</f>
        <v>2114</v>
      </c>
      <c r="P150" s="1">
        <f ca="1">IFERROR(__xludf.DUMMYFUNCTION("""COMPUTED_VALUE"""),1335)</f>
        <v>1335</v>
      </c>
      <c r="Q150" s="1">
        <f ca="1">IFERROR(__xludf.DUMMYFUNCTION("""COMPUTED_VALUE"""),812)</f>
        <v>812</v>
      </c>
      <c r="R150" s="1">
        <f ca="1">IFERROR(__xludf.DUMMYFUNCTION("""COMPUTED_VALUE"""),1849)</f>
        <v>1849</v>
      </c>
      <c r="S150" s="1">
        <f ca="1">IFERROR(__xludf.DUMMYFUNCTION("""COMPUTED_VALUE"""),0.439)</f>
        <v>0.439</v>
      </c>
      <c r="T150" s="1">
        <f ca="1">IFERROR(__xludf.DUMMYFUNCTION("""COMPUTED_VALUE"""),183)</f>
        <v>183</v>
      </c>
      <c r="U150" s="1">
        <f ca="1">IFERROR(__xludf.DUMMYFUNCTION("""COMPUTED_VALUE"""),546)</f>
        <v>546</v>
      </c>
      <c r="V150" s="1">
        <f ca="1">IFERROR(__xludf.DUMMYFUNCTION("""COMPUTED_VALUE"""),0.335)</f>
        <v>0.33500000000000002</v>
      </c>
      <c r="W150" s="1">
        <f ca="1">IFERROR(__xludf.DUMMYFUNCTION("""COMPUTED_VALUE"""),536)</f>
        <v>536</v>
      </c>
      <c r="X150" s="1">
        <f ca="1">IFERROR(__xludf.DUMMYFUNCTION("""COMPUTED_VALUE"""),799)</f>
        <v>799</v>
      </c>
      <c r="Y150" s="1">
        <f ca="1">IFERROR(__xludf.DUMMYFUNCTION("""COMPUTED_VALUE"""),0.671)</f>
        <v>0.67100000000000004</v>
      </c>
      <c r="Z150" s="1">
        <f ca="1">IFERROR(__xludf.DUMMYFUNCTION("""COMPUTED_VALUE"""),471)</f>
        <v>471</v>
      </c>
      <c r="AA150" s="1">
        <f ca="1">IFERROR(__xludf.DUMMYFUNCTION("""COMPUTED_VALUE"""),1129)</f>
        <v>1129</v>
      </c>
      <c r="AB150" s="1">
        <f ca="1">IFERROR(__xludf.DUMMYFUNCTION("""COMPUTED_VALUE"""),468)</f>
        <v>468</v>
      </c>
      <c r="AC150" s="1">
        <f ca="1">IFERROR(__xludf.DUMMYFUNCTION("""COMPUTED_VALUE"""),200)</f>
        <v>200</v>
      </c>
      <c r="AD150" s="1">
        <f ca="1">IFERROR(__xludf.DUMMYFUNCTION("""COMPUTED_VALUE"""),156)</f>
        <v>156</v>
      </c>
      <c r="AE150" s="1">
        <f ca="1">IFERROR(__xludf.DUMMYFUNCTION("""COMPUTED_VALUE"""),474)</f>
        <v>474</v>
      </c>
      <c r="AF150" s="1">
        <f ca="1">IFERROR(__xludf.DUMMYFUNCTION("""COMPUTED_VALUE"""),662)</f>
        <v>662</v>
      </c>
    </row>
    <row r="151" spans="1:32" ht="12.5" x14ac:dyDescent="0.25">
      <c r="A151" s="1" t="str">
        <f ca="1">IFERROR(__xludf.DUMMYFUNCTION("""COMPUTED_VALUE"""),"KansasNCAA")</f>
        <v>KansasNCAA</v>
      </c>
      <c r="B151" s="1">
        <f ca="1">IFERROR(__xludf.DUMMYFUNCTION("""COMPUTED_VALUE"""),39)</f>
        <v>39</v>
      </c>
      <c r="C151" s="1">
        <f ca="1">IFERROR(__xludf.DUMMYFUNCTION("""COMPUTED_VALUE"""),32)</f>
        <v>32</v>
      </c>
      <c r="D151" s="1">
        <f ca="1">IFERROR(__xludf.DUMMYFUNCTION("""COMPUTED_VALUE"""),7)</f>
        <v>7</v>
      </c>
      <c r="E151" s="1">
        <f ca="1">IFERROR(__xludf.DUMMYFUNCTION("""COMPUTED_VALUE"""),0.821)</f>
        <v>0.82099999999999995</v>
      </c>
      <c r="F151" s="1">
        <f ca="1">IFERROR(__xludf.DUMMYFUNCTION("""COMPUTED_VALUE"""),21.72)</f>
        <v>21.72</v>
      </c>
      <c r="G151" s="1">
        <f ca="1">IFERROR(__xludf.DUMMYFUNCTION("""COMPUTED_VALUE"""),9.93)</f>
        <v>9.93</v>
      </c>
      <c r="H151" s="1">
        <f ca="1">IFERROR(__xludf.DUMMYFUNCTION("""COMPUTED_VALUE"""),16)</f>
        <v>16</v>
      </c>
      <c r="I151" s="1">
        <f ca="1">IFERROR(__xludf.DUMMYFUNCTION("""COMPUTED_VALUE"""),2)</f>
        <v>2</v>
      </c>
      <c r="J151" s="1">
        <f ca="1">IFERROR(__xludf.DUMMYFUNCTION("""COMPUTED_VALUE"""),16)</f>
        <v>16</v>
      </c>
      <c r="K151" s="1">
        <f ca="1">IFERROR(__xludf.DUMMYFUNCTION("""COMPUTED_VALUE"""),0)</f>
        <v>0</v>
      </c>
      <c r="L151" s="1">
        <f ca="1">IFERROR(__xludf.DUMMYFUNCTION("""COMPUTED_VALUE"""),8)</f>
        <v>8</v>
      </c>
      <c r="M151" s="1">
        <f ca="1">IFERROR(__xludf.DUMMYFUNCTION("""COMPUTED_VALUE"""),2)</f>
        <v>2</v>
      </c>
      <c r="N151" s="1">
        <f ca="1">IFERROR(__xludf.DUMMYFUNCTION("""COMPUTED_VALUE"""),2867)</f>
        <v>2867</v>
      </c>
      <c r="O151" s="1">
        <f ca="1">IFERROR(__xludf.DUMMYFUNCTION("""COMPUTED_VALUE"""),2407)</f>
        <v>2407</v>
      </c>
      <c r="P151" s="1">
        <f ca="1">IFERROR(__xludf.DUMMYFUNCTION("""COMPUTED_VALUE"""),1565)</f>
        <v>1565</v>
      </c>
      <c r="Q151" s="1">
        <f ca="1">IFERROR(__xludf.DUMMYFUNCTION("""COMPUTED_VALUE"""),1023)</f>
        <v>1023</v>
      </c>
      <c r="R151" s="1">
        <f ca="1">IFERROR(__xludf.DUMMYFUNCTION("""COMPUTED_VALUE"""),2169)</f>
        <v>2169</v>
      </c>
      <c r="S151" s="1">
        <f ca="1">IFERROR(__xludf.DUMMYFUNCTION("""COMPUTED_VALUE"""),0.472)</f>
        <v>0.47199999999999998</v>
      </c>
      <c r="T151" s="1">
        <f ca="1">IFERROR(__xludf.DUMMYFUNCTION("""COMPUTED_VALUE"""),222)</f>
        <v>222</v>
      </c>
      <c r="U151" s="1">
        <f ca="1">IFERROR(__xludf.DUMMYFUNCTION("""COMPUTED_VALUE"""),643)</f>
        <v>643</v>
      </c>
      <c r="V151" s="1">
        <f ca="1">IFERROR(__xludf.DUMMYFUNCTION("""COMPUTED_VALUE"""),0.345)</f>
        <v>0.34499999999999997</v>
      </c>
      <c r="W151" s="1">
        <f ca="1">IFERROR(__xludf.DUMMYFUNCTION("""COMPUTED_VALUE"""),597)</f>
        <v>597</v>
      </c>
      <c r="X151" s="1">
        <f ca="1">IFERROR(__xludf.DUMMYFUNCTION("""COMPUTED_VALUE"""),863)</f>
        <v>863</v>
      </c>
      <c r="Y151" s="1">
        <f ca="1">IFERROR(__xludf.DUMMYFUNCTION("""COMPUTED_VALUE"""),0.692)</f>
        <v>0.69199999999999995</v>
      </c>
      <c r="Z151" s="1">
        <f ca="1">IFERROR(__xludf.DUMMYFUNCTION("""COMPUTED_VALUE"""),449)</f>
        <v>449</v>
      </c>
      <c r="AA151" s="1">
        <f ca="1">IFERROR(__xludf.DUMMYFUNCTION("""COMPUTED_VALUE"""),1368)</f>
        <v>1368</v>
      </c>
      <c r="AB151" s="1">
        <f ca="1">IFERROR(__xludf.DUMMYFUNCTION("""COMPUTED_VALUE"""),587)</f>
        <v>587</v>
      </c>
      <c r="AC151" s="1">
        <f ca="1">IFERROR(__xludf.DUMMYFUNCTION("""COMPUTED_VALUE"""),285)</f>
        <v>285</v>
      </c>
      <c r="AD151" s="1">
        <f ca="1">IFERROR(__xludf.DUMMYFUNCTION("""COMPUTED_VALUE"""),222)</f>
        <v>222</v>
      </c>
      <c r="AE151" s="1">
        <f ca="1">IFERROR(__xludf.DUMMYFUNCTION("""COMPUTED_VALUE"""),506)</f>
        <v>506</v>
      </c>
      <c r="AF151" s="1">
        <f ca="1">IFERROR(__xludf.DUMMYFUNCTION("""COMPUTED_VALUE"""),678)</f>
        <v>678</v>
      </c>
    </row>
    <row r="152" spans="1:32" ht="12.5" x14ac:dyDescent="0.25">
      <c r="A152" s="1" t="str">
        <f ca="1">IFERROR(__xludf.DUMMYFUNCTION("""COMPUTED_VALUE"""),"Kennesaw State")</f>
        <v>Kennesaw State</v>
      </c>
      <c r="B152" s="1">
        <f ca="1">IFERROR(__xludf.DUMMYFUNCTION("""COMPUTED_VALUE"""),31)</f>
        <v>31</v>
      </c>
      <c r="C152" s="1">
        <f ca="1">IFERROR(__xludf.DUMMYFUNCTION("""COMPUTED_VALUE"""),3)</f>
        <v>3</v>
      </c>
      <c r="D152" s="1">
        <f ca="1">IFERROR(__xludf.DUMMYFUNCTION("""COMPUTED_VALUE"""),28)</f>
        <v>28</v>
      </c>
      <c r="E152" s="1">
        <f ca="1">IFERROR(__xludf.DUMMYFUNCTION("""COMPUTED_VALUE"""),0.097)</f>
        <v>9.7000000000000003E-2</v>
      </c>
      <c r="F152" s="1">
        <f ca="1">IFERROR(__xludf.DUMMYFUNCTION("""COMPUTED_VALUE"""),-15.02)</f>
        <v>-15.02</v>
      </c>
      <c r="G152" s="1">
        <f ca="1">IFERROR(__xludf.DUMMYFUNCTION("""COMPUTED_VALUE"""),-0.49)</f>
        <v>-0.49</v>
      </c>
      <c r="H152" s="1">
        <f ca="1">IFERROR(__xludf.DUMMYFUNCTION("""COMPUTED_VALUE"""),0)</f>
        <v>0</v>
      </c>
      <c r="I152" s="1">
        <f ca="1">IFERROR(__xludf.DUMMYFUNCTION("""COMPUTED_VALUE"""),18)</f>
        <v>18</v>
      </c>
      <c r="J152" s="1">
        <f ca="1">IFERROR(__xludf.DUMMYFUNCTION("""COMPUTED_VALUE"""),1)</f>
        <v>1</v>
      </c>
      <c r="K152" s="1">
        <f ca="1">IFERROR(__xludf.DUMMYFUNCTION("""COMPUTED_VALUE"""),11)</f>
        <v>11</v>
      </c>
      <c r="L152" s="1">
        <f ca="1">IFERROR(__xludf.DUMMYFUNCTION("""COMPUTED_VALUE"""),1)</f>
        <v>1</v>
      </c>
      <c r="M152" s="1">
        <f ca="1">IFERROR(__xludf.DUMMYFUNCTION("""COMPUTED_VALUE"""),16)</f>
        <v>16</v>
      </c>
      <c r="N152" s="1">
        <f ca="1">IFERROR(__xludf.DUMMYFUNCTION("""COMPUTED_VALUE"""),1920)</f>
        <v>1920</v>
      </c>
      <c r="O152" s="1">
        <f ca="1">IFERROR(__xludf.DUMMYFUNCTION("""COMPUTED_VALUE"""),2330)</f>
        <v>2330</v>
      </c>
      <c r="P152" s="1">
        <f ca="1">IFERROR(__xludf.DUMMYFUNCTION("""COMPUTED_VALUE"""),1265)</f>
        <v>1265</v>
      </c>
      <c r="Q152" s="1">
        <f ca="1">IFERROR(__xludf.DUMMYFUNCTION("""COMPUTED_VALUE"""),691)</f>
        <v>691</v>
      </c>
      <c r="R152" s="1">
        <f ca="1">IFERROR(__xludf.DUMMYFUNCTION("""COMPUTED_VALUE"""),1665)</f>
        <v>1665</v>
      </c>
      <c r="S152" s="1">
        <f ca="1">IFERROR(__xludf.DUMMYFUNCTION("""COMPUTED_VALUE"""),0.415)</f>
        <v>0.41499999999999998</v>
      </c>
      <c r="T152" s="1">
        <f ca="1">IFERROR(__xludf.DUMMYFUNCTION("""COMPUTED_VALUE"""),206)</f>
        <v>206</v>
      </c>
      <c r="U152" s="1">
        <f ca="1">IFERROR(__xludf.DUMMYFUNCTION("""COMPUTED_VALUE"""),604)</f>
        <v>604</v>
      </c>
      <c r="V152" s="1">
        <f ca="1">IFERROR(__xludf.DUMMYFUNCTION("""COMPUTED_VALUE"""),0.341)</f>
        <v>0.34100000000000003</v>
      </c>
      <c r="W152" s="1">
        <f ca="1">IFERROR(__xludf.DUMMYFUNCTION("""COMPUTED_VALUE"""),332)</f>
        <v>332</v>
      </c>
      <c r="X152" s="1">
        <f ca="1">IFERROR(__xludf.DUMMYFUNCTION("""COMPUTED_VALUE"""),531)</f>
        <v>531</v>
      </c>
      <c r="Y152" s="1">
        <f ca="1">IFERROR(__xludf.DUMMYFUNCTION("""COMPUTED_VALUE"""),0.625)</f>
        <v>0.625</v>
      </c>
      <c r="Z152" s="1">
        <f ca="1">IFERROR(__xludf.DUMMYFUNCTION("""COMPUTED_VALUE"""),309)</f>
        <v>309</v>
      </c>
      <c r="AA152" s="1">
        <f ca="1">IFERROR(__xludf.DUMMYFUNCTION("""COMPUTED_VALUE"""),830)</f>
        <v>830</v>
      </c>
      <c r="AB152" s="1">
        <f ca="1">IFERROR(__xludf.DUMMYFUNCTION("""COMPUTED_VALUE"""),374)</f>
        <v>374</v>
      </c>
      <c r="AC152" s="1">
        <f ca="1">IFERROR(__xludf.DUMMYFUNCTION("""COMPUTED_VALUE"""),192)</f>
        <v>192</v>
      </c>
      <c r="AD152" s="1">
        <f ca="1">IFERROR(__xludf.DUMMYFUNCTION("""COMPUTED_VALUE"""),57)</f>
        <v>57</v>
      </c>
      <c r="AE152" s="1">
        <f ca="1">IFERROR(__xludf.DUMMYFUNCTION("""COMPUTED_VALUE"""),429)</f>
        <v>429</v>
      </c>
      <c r="AF152" s="1">
        <f ca="1">IFERROR(__xludf.DUMMYFUNCTION("""COMPUTED_VALUE"""),533)</f>
        <v>533</v>
      </c>
    </row>
    <row r="153" spans="1:32" ht="12.5" x14ac:dyDescent="0.25">
      <c r="A153" s="1" t="str">
        <f ca="1">IFERROR(__xludf.DUMMYFUNCTION("""COMPUTED_VALUE"""),"Kent State")</f>
        <v>Kent State</v>
      </c>
      <c r="B153" s="1">
        <f ca="1">IFERROR(__xludf.DUMMYFUNCTION("""COMPUTED_VALUE"""),33)</f>
        <v>33</v>
      </c>
      <c r="C153" s="1">
        <f ca="1">IFERROR(__xludf.DUMMYFUNCTION("""COMPUTED_VALUE"""),21)</f>
        <v>21</v>
      </c>
      <c r="D153" s="1">
        <f ca="1">IFERROR(__xludf.DUMMYFUNCTION("""COMPUTED_VALUE"""),12)</f>
        <v>12</v>
      </c>
      <c r="E153" s="1">
        <f ca="1">IFERROR(__xludf.DUMMYFUNCTION("""COMPUTED_VALUE"""),0.636)</f>
        <v>0.63600000000000001</v>
      </c>
      <c r="F153" s="1">
        <f ca="1">IFERROR(__xludf.DUMMYFUNCTION("""COMPUTED_VALUE"""),2.77)</f>
        <v>2.77</v>
      </c>
      <c r="G153" s="1">
        <f ca="1">IFERROR(__xludf.DUMMYFUNCTION("""COMPUTED_VALUE"""),-0.95)</f>
        <v>-0.95</v>
      </c>
      <c r="H153" s="1">
        <f ca="1">IFERROR(__xludf.DUMMYFUNCTION("""COMPUTED_VALUE"""),10)</f>
        <v>10</v>
      </c>
      <c r="I153" s="1">
        <f ca="1">IFERROR(__xludf.DUMMYFUNCTION("""COMPUTED_VALUE"""),6)</f>
        <v>6</v>
      </c>
      <c r="J153" s="1">
        <f ca="1">IFERROR(__xludf.DUMMYFUNCTION("""COMPUTED_VALUE"""),12)</f>
        <v>12</v>
      </c>
      <c r="K153" s="1">
        <f ca="1">IFERROR(__xludf.DUMMYFUNCTION("""COMPUTED_VALUE"""),3)</f>
        <v>3</v>
      </c>
      <c r="L153" s="1">
        <f ca="1">IFERROR(__xludf.DUMMYFUNCTION("""COMPUTED_VALUE"""),7)</f>
        <v>7</v>
      </c>
      <c r="M153" s="1">
        <f ca="1">IFERROR(__xludf.DUMMYFUNCTION("""COMPUTED_VALUE"""),7)</f>
        <v>7</v>
      </c>
      <c r="N153" s="1">
        <f ca="1">IFERROR(__xludf.DUMMYFUNCTION("""COMPUTED_VALUE"""),2322)</f>
        <v>2322</v>
      </c>
      <c r="O153" s="1">
        <f ca="1">IFERROR(__xludf.DUMMYFUNCTION("""COMPUTED_VALUE"""),2178)</f>
        <v>2178</v>
      </c>
      <c r="P153" s="1">
        <f ca="1">IFERROR(__xludf.DUMMYFUNCTION("""COMPUTED_VALUE"""),1325)</f>
        <v>1325</v>
      </c>
      <c r="Q153" s="1">
        <f ca="1">IFERROR(__xludf.DUMMYFUNCTION("""COMPUTED_VALUE"""),830)</f>
        <v>830</v>
      </c>
      <c r="R153" s="1">
        <f ca="1">IFERROR(__xludf.DUMMYFUNCTION("""COMPUTED_VALUE"""),1836)</f>
        <v>1836</v>
      </c>
      <c r="S153" s="1">
        <f ca="1">IFERROR(__xludf.DUMMYFUNCTION("""COMPUTED_VALUE"""),0.452)</f>
        <v>0.45200000000000001</v>
      </c>
      <c r="T153" s="1">
        <f ca="1">IFERROR(__xludf.DUMMYFUNCTION("""COMPUTED_VALUE"""),200)</f>
        <v>200</v>
      </c>
      <c r="U153" s="1">
        <f ca="1">IFERROR(__xludf.DUMMYFUNCTION("""COMPUTED_VALUE"""),579)</f>
        <v>579</v>
      </c>
      <c r="V153" s="1">
        <f ca="1">IFERROR(__xludf.DUMMYFUNCTION("""COMPUTED_VALUE"""),0.345)</f>
        <v>0.34499999999999997</v>
      </c>
      <c r="W153" s="1">
        <f ca="1">IFERROR(__xludf.DUMMYFUNCTION("""COMPUTED_VALUE"""),462)</f>
        <v>462</v>
      </c>
      <c r="X153" s="1">
        <f ca="1">IFERROR(__xludf.DUMMYFUNCTION("""COMPUTED_VALUE"""),670)</f>
        <v>670</v>
      </c>
      <c r="Y153" s="1">
        <f ca="1">IFERROR(__xludf.DUMMYFUNCTION("""COMPUTED_VALUE"""),0.69)</f>
        <v>0.69</v>
      </c>
      <c r="Z153" s="1">
        <f ca="1">IFERROR(__xludf.DUMMYFUNCTION("""COMPUTED_VALUE"""),378)</f>
        <v>378</v>
      </c>
      <c r="AA153" s="1">
        <f ca="1">IFERROR(__xludf.DUMMYFUNCTION("""COMPUTED_VALUE"""),1025)</f>
        <v>1025</v>
      </c>
      <c r="AB153" s="1">
        <f ca="1">IFERROR(__xludf.DUMMYFUNCTION("""COMPUTED_VALUE"""),487)</f>
        <v>487</v>
      </c>
      <c r="AC153" s="1">
        <f ca="1">IFERROR(__xludf.DUMMYFUNCTION("""COMPUTED_VALUE"""),281)</f>
        <v>281</v>
      </c>
      <c r="AD153" s="1">
        <f ca="1">IFERROR(__xludf.DUMMYFUNCTION("""COMPUTED_VALUE"""),128)</f>
        <v>128</v>
      </c>
      <c r="AE153" s="1">
        <f ca="1">IFERROR(__xludf.DUMMYFUNCTION("""COMPUTED_VALUE"""),463)</f>
        <v>463</v>
      </c>
      <c r="AF153" s="1">
        <f ca="1">IFERROR(__xludf.DUMMYFUNCTION("""COMPUTED_VALUE"""),554)</f>
        <v>554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IFERROR(__xludf.DUMMYFUNCTION("""COMPUTED_VALUE"""),"KentuckyNCAA")</f>
        <v>KentuckyNCAA</v>
      </c>
      <c r="B156" s="1">
        <f ca="1">IFERROR(__xludf.DUMMYFUNCTION("""COMPUTED_VALUE"""),40)</f>
        <v>40</v>
      </c>
      <c r="C156" s="1">
        <f ca="1">IFERROR(__xludf.DUMMYFUNCTION("""COMPUTED_VALUE"""),38)</f>
        <v>38</v>
      </c>
      <c r="D156" s="1">
        <f ca="1">IFERROR(__xludf.DUMMYFUNCTION("""COMPUTED_VALUE"""),2)</f>
        <v>2</v>
      </c>
      <c r="E156" s="1">
        <f ca="1">IFERROR(__xludf.DUMMYFUNCTION("""COMPUTED_VALUE"""),0.95)</f>
        <v>0.95</v>
      </c>
      <c r="F156" s="1">
        <f ca="1">IFERROR(__xludf.DUMMYFUNCTION("""COMPUTED_VALUE"""),24.73)</f>
        <v>24.73</v>
      </c>
      <c r="G156" s="1">
        <f ca="1">IFERROR(__xludf.DUMMYFUNCTION("""COMPUTED_VALUE"""),7.93)</f>
        <v>7.93</v>
      </c>
      <c r="H156" s="1">
        <f ca="1">IFERROR(__xludf.DUMMYFUNCTION("""COMPUTED_VALUE"""),16)</f>
        <v>16</v>
      </c>
      <c r="I156" s="1">
        <f ca="1">IFERROR(__xludf.DUMMYFUNCTION("""COMPUTED_VALUE"""),0)</f>
        <v>0</v>
      </c>
      <c r="J156" s="1">
        <f ca="1">IFERROR(__xludf.DUMMYFUNCTION("""COMPUTED_VALUE"""),18)</f>
        <v>18</v>
      </c>
      <c r="K156" s="1">
        <f ca="1">IFERROR(__xludf.DUMMYFUNCTION("""COMPUTED_VALUE"""),0)</f>
        <v>0</v>
      </c>
      <c r="L156" s="1">
        <f ca="1">IFERROR(__xludf.DUMMYFUNCTION("""COMPUTED_VALUE"""),8)</f>
        <v>8</v>
      </c>
      <c r="M156" s="1">
        <f ca="1">IFERROR(__xludf.DUMMYFUNCTION("""COMPUTED_VALUE"""),1)</f>
        <v>1</v>
      </c>
      <c r="N156" s="1">
        <f ca="1">IFERROR(__xludf.DUMMYFUNCTION("""COMPUTED_VALUE"""),3095)</f>
        <v>3095</v>
      </c>
      <c r="O156" s="1">
        <f ca="1">IFERROR(__xludf.DUMMYFUNCTION("""COMPUTED_VALUE"""),2423)</f>
        <v>2423</v>
      </c>
      <c r="P156" s="1">
        <f ca="1">IFERROR(__xludf.DUMMYFUNCTION("""COMPUTED_VALUE"""),1600)</f>
        <v>1600</v>
      </c>
      <c r="Q156" s="1">
        <f ca="1">IFERROR(__xludf.DUMMYFUNCTION("""COMPUTED_VALUE"""),1096)</f>
        <v>1096</v>
      </c>
      <c r="R156" s="1">
        <f ca="1">IFERROR(__xludf.DUMMYFUNCTION("""COMPUTED_VALUE"""),2248)</f>
        <v>2248</v>
      </c>
      <c r="S156" s="1">
        <f ca="1">IFERROR(__xludf.DUMMYFUNCTION("""COMPUTED_VALUE"""),0.488)</f>
        <v>0.48799999999999999</v>
      </c>
      <c r="T156" s="1">
        <f ca="1">IFERROR(__xludf.DUMMYFUNCTION("""COMPUTED_VALUE"""),225)</f>
        <v>225</v>
      </c>
      <c r="U156" s="1">
        <f ca="1">IFERROR(__xludf.DUMMYFUNCTION("""COMPUTED_VALUE"""),595)</f>
        <v>595</v>
      </c>
      <c r="V156" s="1">
        <f ca="1">IFERROR(__xludf.DUMMYFUNCTION("""COMPUTED_VALUE"""),0.378)</f>
        <v>0.378</v>
      </c>
      <c r="W156" s="1">
        <f ca="1">IFERROR(__xludf.DUMMYFUNCTION("""COMPUTED_VALUE"""),678)</f>
        <v>678</v>
      </c>
      <c r="X156" s="1">
        <f ca="1">IFERROR(__xludf.DUMMYFUNCTION("""COMPUTED_VALUE"""),938)</f>
        <v>938</v>
      </c>
      <c r="Y156" s="1">
        <f ca="1">IFERROR(__xludf.DUMMYFUNCTION("""COMPUTED_VALUE"""),0.723)</f>
        <v>0.72299999999999998</v>
      </c>
      <c r="Z156" s="1">
        <f ca="1">IFERROR(__xludf.DUMMYFUNCTION("""COMPUTED_VALUE"""),472)</f>
        <v>472</v>
      </c>
      <c r="AA156" s="1">
        <f ca="1">IFERROR(__xludf.DUMMYFUNCTION("""COMPUTED_VALUE"""),1445)</f>
        <v>1445</v>
      </c>
      <c r="AB156" s="1">
        <f ca="1">IFERROR(__xludf.DUMMYFUNCTION("""COMPUTED_VALUE"""),531)</f>
        <v>531</v>
      </c>
      <c r="AC156" s="1">
        <f ca="1">IFERROR(__xludf.DUMMYFUNCTION("""COMPUTED_VALUE"""),242)</f>
        <v>242</v>
      </c>
      <c r="AD156" s="1">
        <f ca="1">IFERROR(__xludf.DUMMYFUNCTION("""COMPUTED_VALUE"""),344)</f>
        <v>344</v>
      </c>
      <c r="AE156" s="1">
        <f ca="1">IFERROR(__xludf.DUMMYFUNCTION("""COMPUTED_VALUE"""),445)</f>
        <v>445</v>
      </c>
      <c r="AF156" s="1">
        <f ca="1">IFERROR(__xludf.DUMMYFUNCTION("""COMPUTED_VALUE"""),593)</f>
        <v>593</v>
      </c>
    </row>
    <row r="157" spans="1:32" ht="12.5" x14ac:dyDescent="0.25">
      <c r="A157" s="1" t="str">
        <f ca="1">IFERROR(__xludf.DUMMYFUNCTION("""COMPUTED_VALUE"""),"La Salle")</f>
        <v>La Salle</v>
      </c>
      <c r="B157" s="1">
        <f ca="1">IFERROR(__xludf.DUMMYFUNCTION("""COMPUTED_VALUE"""),34)</f>
        <v>34</v>
      </c>
      <c r="C157" s="1">
        <f ca="1">IFERROR(__xludf.DUMMYFUNCTION("""COMPUTED_VALUE"""),21)</f>
        <v>21</v>
      </c>
      <c r="D157" s="1">
        <f ca="1">IFERROR(__xludf.DUMMYFUNCTION("""COMPUTED_VALUE"""),13)</f>
        <v>13</v>
      </c>
      <c r="E157" s="1">
        <f ca="1">IFERROR(__xludf.DUMMYFUNCTION("""COMPUTED_VALUE"""),0.618)</f>
        <v>0.61799999999999999</v>
      </c>
      <c r="F157" s="1">
        <f ca="1">IFERROR(__xludf.DUMMYFUNCTION("""COMPUTED_VALUE"""),8.56)</f>
        <v>8.56</v>
      </c>
      <c r="G157" s="1">
        <f ca="1">IFERROR(__xludf.DUMMYFUNCTION("""COMPUTED_VALUE"""),1.83)</f>
        <v>1.83</v>
      </c>
      <c r="H157" s="1">
        <f ca="1">IFERROR(__xludf.DUMMYFUNCTION("""COMPUTED_VALUE"""),9)</f>
        <v>9</v>
      </c>
      <c r="I157" s="1">
        <f ca="1">IFERROR(__xludf.DUMMYFUNCTION("""COMPUTED_VALUE"""),7)</f>
        <v>7</v>
      </c>
      <c r="J157" s="1">
        <f ca="1">IFERROR(__xludf.DUMMYFUNCTION("""COMPUTED_VALUE"""),14)</f>
        <v>14</v>
      </c>
      <c r="K157" s="1">
        <f ca="1">IFERROR(__xludf.DUMMYFUNCTION("""COMPUTED_VALUE"""),3)</f>
        <v>3</v>
      </c>
      <c r="L157" s="1">
        <f ca="1">IFERROR(__xludf.DUMMYFUNCTION("""COMPUTED_VALUE"""),6)</f>
        <v>6</v>
      </c>
      <c r="M157" s="1">
        <f ca="1">IFERROR(__xludf.DUMMYFUNCTION("""COMPUTED_VALUE"""),8)</f>
        <v>8</v>
      </c>
      <c r="N157" s="1">
        <f ca="1">IFERROR(__xludf.DUMMYFUNCTION("""COMPUTED_VALUE"""),2478)</f>
        <v>2478</v>
      </c>
      <c r="O157" s="1">
        <f ca="1">IFERROR(__xludf.DUMMYFUNCTION("""COMPUTED_VALUE"""),2249)</f>
        <v>2249</v>
      </c>
      <c r="P157" s="1">
        <f ca="1">IFERROR(__xludf.DUMMYFUNCTION("""COMPUTED_VALUE"""),1370)</f>
        <v>1370</v>
      </c>
      <c r="Q157" s="1">
        <f ca="1">IFERROR(__xludf.DUMMYFUNCTION("""COMPUTED_VALUE"""),898)</f>
        <v>898</v>
      </c>
      <c r="R157" s="1">
        <f ca="1">IFERROR(__xludf.DUMMYFUNCTION("""COMPUTED_VALUE"""),1937)</f>
        <v>1937</v>
      </c>
      <c r="S157" s="1">
        <f ca="1">IFERROR(__xludf.DUMMYFUNCTION("""COMPUTED_VALUE"""),0.464)</f>
        <v>0.46400000000000002</v>
      </c>
      <c r="T157" s="1">
        <f ca="1">IFERROR(__xludf.DUMMYFUNCTION("""COMPUTED_VALUE"""),265)</f>
        <v>265</v>
      </c>
      <c r="U157" s="1">
        <f ca="1">IFERROR(__xludf.DUMMYFUNCTION("""COMPUTED_VALUE"""),653)</f>
        <v>653</v>
      </c>
      <c r="V157" s="1">
        <f ca="1">IFERROR(__xludf.DUMMYFUNCTION("""COMPUTED_VALUE"""),0.406)</f>
        <v>0.40600000000000003</v>
      </c>
      <c r="W157" s="1">
        <f ca="1">IFERROR(__xludf.DUMMYFUNCTION("""COMPUTED_VALUE"""),417)</f>
        <v>417</v>
      </c>
      <c r="X157" s="1">
        <f ca="1">IFERROR(__xludf.DUMMYFUNCTION("""COMPUTED_VALUE"""),578)</f>
        <v>578</v>
      </c>
      <c r="Y157" s="1">
        <f ca="1">IFERROR(__xludf.DUMMYFUNCTION("""COMPUTED_VALUE"""),0.721)</f>
        <v>0.72099999999999997</v>
      </c>
      <c r="Z157" s="1">
        <f ca="1">IFERROR(__xludf.DUMMYFUNCTION("""COMPUTED_VALUE"""),307)</f>
        <v>307</v>
      </c>
      <c r="AA157" s="1">
        <f ca="1">IFERROR(__xludf.DUMMYFUNCTION("""COMPUTED_VALUE"""),986)</f>
        <v>986</v>
      </c>
      <c r="AB157" s="1">
        <f ca="1">IFERROR(__xludf.DUMMYFUNCTION("""COMPUTED_VALUE"""),496)</f>
        <v>496</v>
      </c>
      <c r="AC157" s="1">
        <f ca="1">IFERROR(__xludf.DUMMYFUNCTION("""COMPUTED_VALUE"""),275)</f>
        <v>275</v>
      </c>
      <c r="AD157" s="1">
        <f ca="1">IFERROR(__xludf.DUMMYFUNCTION("""COMPUTED_VALUE"""),114)</f>
        <v>114</v>
      </c>
      <c r="AE157" s="1">
        <f ca="1">IFERROR(__xludf.DUMMYFUNCTION("""COMPUTED_VALUE"""),443)</f>
        <v>443</v>
      </c>
      <c r="AF157" s="1">
        <f ca="1">IFERROR(__xludf.DUMMYFUNCTION("""COMPUTED_VALUE"""),591)</f>
        <v>591</v>
      </c>
    </row>
    <row r="158" spans="1:32" ht="12.5" x14ac:dyDescent="0.25">
      <c r="A158" s="1" t="str">
        <f ca="1">IFERROR(__xludf.DUMMYFUNCTION("""COMPUTED_VALUE"""),"Lafayette")</f>
        <v>Lafayette</v>
      </c>
      <c r="B158" s="1">
        <f ca="1">IFERROR(__xludf.DUMMYFUNCTION("""COMPUTED_VALUE"""),31)</f>
        <v>31</v>
      </c>
      <c r="C158" s="1">
        <f ca="1">IFERROR(__xludf.DUMMYFUNCTION("""COMPUTED_VALUE"""),13)</f>
        <v>13</v>
      </c>
      <c r="D158" s="1">
        <f ca="1">IFERROR(__xludf.DUMMYFUNCTION("""COMPUTED_VALUE"""),18)</f>
        <v>18</v>
      </c>
      <c r="E158" s="1">
        <f ca="1">IFERROR(__xludf.DUMMYFUNCTION("""COMPUTED_VALUE"""),0.419)</f>
        <v>0.41899999999999998</v>
      </c>
      <c r="F158" s="1">
        <f ca="1">IFERROR(__xludf.DUMMYFUNCTION("""COMPUTED_VALUE"""),-7.2)</f>
        <v>-7.2</v>
      </c>
      <c r="G158" s="1">
        <f ca="1">IFERROR(__xludf.DUMMYFUNCTION("""COMPUTED_VALUE"""),-4.01)</f>
        <v>-4.01</v>
      </c>
      <c r="H158" s="1">
        <f ca="1">IFERROR(__xludf.DUMMYFUNCTION("""COMPUTED_VALUE"""),7)</f>
        <v>7</v>
      </c>
      <c r="I158" s="1">
        <f ca="1">IFERROR(__xludf.DUMMYFUNCTION("""COMPUTED_VALUE"""),7)</f>
        <v>7</v>
      </c>
      <c r="J158" s="1">
        <f ca="1">IFERROR(__xludf.DUMMYFUNCTION("""COMPUTED_VALUE"""),6)</f>
        <v>6</v>
      </c>
      <c r="K158" s="1">
        <f ca="1">IFERROR(__xludf.DUMMYFUNCTION("""COMPUTED_VALUE"""),7)</f>
        <v>7</v>
      </c>
      <c r="L158" s="1">
        <f ca="1">IFERROR(__xludf.DUMMYFUNCTION("""COMPUTED_VALUE"""),7)</f>
        <v>7</v>
      </c>
      <c r="M158" s="1">
        <f ca="1">IFERROR(__xludf.DUMMYFUNCTION("""COMPUTED_VALUE"""),11)</f>
        <v>11</v>
      </c>
      <c r="N158" s="1">
        <f ca="1">IFERROR(__xludf.DUMMYFUNCTION("""COMPUTED_VALUE"""),2161)</f>
        <v>2161</v>
      </c>
      <c r="O158" s="1">
        <f ca="1">IFERROR(__xludf.DUMMYFUNCTION("""COMPUTED_VALUE"""),2260)</f>
        <v>2260</v>
      </c>
      <c r="P158" s="1">
        <f ca="1">IFERROR(__xludf.DUMMYFUNCTION("""COMPUTED_VALUE"""),1240)</f>
        <v>1240</v>
      </c>
      <c r="Q158" s="1">
        <f ca="1">IFERROR(__xludf.DUMMYFUNCTION("""COMPUTED_VALUE"""),723)</f>
        <v>723</v>
      </c>
      <c r="R158" s="1">
        <f ca="1">IFERROR(__xludf.DUMMYFUNCTION("""COMPUTED_VALUE"""),1650)</f>
        <v>1650</v>
      </c>
      <c r="S158" s="1">
        <f ca="1">IFERROR(__xludf.DUMMYFUNCTION("""COMPUTED_VALUE"""),0.438)</f>
        <v>0.438</v>
      </c>
      <c r="T158" s="1">
        <f ca="1">IFERROR(__xludf.DUMMYFUNCTION("""COMPUTED_VALUE"""),283)</f>
        <v>283</v>
      </c>
      <c r="U158" s="1">
        <f ca="1">IFERROR(__xludf.DUMMYFUNCTION("""COMPUTED_VALUE"""),735)</f>
        <v>735</v>
      </c>
      <c r="V158" s="1">
        <f ca="1">IFERROR(__xludf.DUMMYFUNCTION("""COMPUTED_VALUE"""),0.385)</f>
        <v>0.38500000000000001</v>
      </c>
      <c r="W158" s="1">
        <f ca="1">IFERROR(__xludf.DUMMYFUNCTION("""COMPUTED_VALUE"""),432)</f>
        <v>432</v>
      </c>
      <c r="X158" s="1">
        <f ca="1">IFERROR(__xludf.DUMMYFUNCTION("""COMPUTED_VALUE"""),566)</f>
        <v>566</v>
      </c>
      <c r="Y158" s="1">
        <f ca="1">IFERROR(__xludf.DUMMYFUNCTION("""COMPUTED_VALUE"""),0.763)</f>
        <v>0.76300000000000001</v>
      </c>
      <c r="Z158" s="1">
        <f ca="1">IFERROR(__xludf.DUMMYFUNCTION("""COMPUTED_VALUE"""),236)</f>
        <v>236</v>
      </c>
      <c r="AA158" s="1">
        <f ca="1">IFERROR(__xludf.DUMMYFUNCTION("""COMPUTED_VALUE"""),806)</f>
        <v>806</v>
      </c>
      <c r="AB158" s="1">
        <f ca="1">IFERROR(__xludf.DUMMYFUNCTION("""COMPUTED_VALUE"""),385)</f>
        <v>385</v>
      </c>
      <c r="AC158" s="1">
        <f ca="1">IFERROR(__xludf.DUMMYFUNCTION("""COMPUTED_VALUE"""),164)</f>
        <v>164</v>
      </c>
      <c r="AD158" s="1">
        <f ca="1">IFERROR(__xludf.DUMMYFUNCTION("""COMPUTED_VALUE"""),80)</f>
        <v>80</v>
      </c>
      <c r="AE158" s="1">
        <f ca="1">IFERROR(__xludf.DUMMYFUNCTION("""COMPUTED_VALUE"""),391)</f>
        <v>391</v>
      </c>
      <c r="AF158" s="1">
        <f ca="1">IFERROR(__xludf.DUMMYFUNCTION("""COMPUTED_VALUE"""),600)</f>
        <v>600</v>
      </c>
    </row>
    <row r="159" spans="1:32" ht="12.5" x14ac:dyDescent="0.25">
      <c r="A159" s="1" t="str">
        <f ca="1">IFERROR(__xludf.DUMMYFUNCTION("""COMPUTED_VALUE"""),"LamarNCAA")</f>
        <v>LamarNCAA</v>
      </c>
      <c r="B159" s="1">
        <f ca="1">IFERROR(__xludf.DUMMYFUNCTION("""COMPUTED_VALUE"""),35)</f>
        <v>35</v>
      </c>
      <c r="C159" s="1">
        <f ca="1">IFERROR(__xludf.DUMMYFUNCTION("""COMPUTED_VALUE"""),23)</f>
        <v>23</v>
      </c>
      <c r="D159" s="1">
        <f ca="1">IFERROR(__xludf.DUMMYFUNCTION("""COMPUTED_VALUE"""),12)</f>
        <v>12</v>
      </c>
      <c r="E159" s="1">
        <f ca="1">IFERROR(__xludf.DUMMYFUNCTION("""COMPUTED_VALUE"""),0.657)</f>
        <v>0.65700000000000003</v>
      </c>
      <c r="F159" s="1">
        <f ca="1">IFERROR(__xludf.DUMMYFUNCTION("""COMPUTED_VALUE"""),2.41)</f>
        <v>2.41</v>
      </c>
      <c r="G159" s="1">
        <f ca="1">IFERROR(__xludf.DUMMYFUNCTION("""COMPUTED_VALUE"""),-3.77)</f>
        <v>-3.77</v>
      </c>
      <c r="H159" s="1">
        <f ca="1">IFERROR(__xludf.DUMMYFUNCTION("""COMPUTED_VALUE"""),11)</f>
        <v>11</v>
      </c>
      <c r="I159" s="1">
        <f ca="1">IFERROR(__xludf.DUMMYFUNCTION("""COMPUTED_VALUE"""),5)</f>
        <v>5</v>
      </c>
      <c r="J159" s="1">
        <f ca="1">IFERROR(__xludf.DUMMYFUNCTION("""COMPUTED_VALUE"""),12)</f>
        <v>12</v>
      </c>
      <c r="K159" s="1">
        <f ca="1">IFERROR(__xludf.DUMMYFUNCTION("""COMPUTED_VALUE"""),2)</f>
        <v>2</v>
      </c>
      <c r="L159" s="1">
        <f ca="1">IFERROR(__xludf.DUMMYFUNCTION("""COMPUTED_VALUE"""),8)</f>
        <v>8</v>
      </c>
      <c r="M159" s="1">
        <f ca="1">IFERROR(__xludf.DUMMYFUNCTION("""COMPUTED_VALUE"""),9)</f>
        <v>9</v>
      </c>
      <c r="N159" s="1">
        <f ca="1">IFERROR(__xludf.DUMMYFUNCTION("""COMPUTED_VALUE"""),2573)</f>
        <v>2573</v>
      </c>
      <c r="O159" s="1">
        <f ca="1">IFERROR(__xludf.DUMMYFUNCTION("""COMPUTED_VALUE"""),2296)</f>
        <v>2296</v>
      </c>
      <c r="P159" s="1">
        <f ca="1">IFERROR(__xludf.DUMMYFUNCTION("""COMPUTED_VALUE"""),1405)</f>
        <v>1405</v>
      </c>
      <c r="Q159" s="1">
        <f ca="1">IFERROR(__xludf.DUMMYFUNCTION("""COMPUTED_VALUE"""),902)</f>
        <v>902</v>
      </c>
      <c r="R159" s="1">
        <f ca="1">IFERROR(__xludf.DUMMYFUNCTION("""COMPUTED_VALUE"""),2087)</f>
        <v>2087</v>
      </c>
      <c r="S159" s="1">
        <f ca="1">IFERROR(__xludf.DUMMYFUNCTION("""COMPUTED_VALUE"""),0.432)</f>
        <v>0.432</v>
      </c>
      <c r="T159" s="1">
        <f ca="1">IFERROR(__xludf.DUMMYFUNCTION("""COMPUTED_VALUE"""),153)</f>
        <v>153</v>
      </c>
      <c r="U159" s="1">
        <f ca="1">IFERROR(__xludf.DUMMYFUNCTION("""COMPUTED_VALUE"""),454)</f>
        <v>454</v>
      </c>
      <c r="V159" s="1">
        <f ca="1">IFERROR(__xludf.DUMMYFUNCTION("""COMPUTED_VALUE"""),0.337)</f>
        <v>0.33700000000000002</v>
      </c>
      <c r="W159" s="1">
        <f ca="1">IFERROR(__xludf.DUMMYFUNCTION("""COMPUTED_VALUE"""),616)</f>
        <v>616</v>
      </c>
      <c r="X159" s="1">
        <f ca="1">IFERROR(__xludf.DUMMYFUNCTION("""COMPUTED_VALUE"""),855)</f>
        <v>855</v>
      </c>
      <c r="Y159" s="1">
        <f ca="1">IFERROR(__xludf.DUMMYFUNCTION("""COMPUTED_VALUE"""),0.72)</f>
        <v>0.72</v>
      </c>
      <c r="Z159" s="1">
        <f ca="1">IFERROR(__xludf.DUMMYFUNCTION("""COMPUTED_VALUE"""),497)</f>
        <v>497</v>
      </c>
      <c r="AA159" s="1">
        <f ca="1">IFERROR(__xludf.DUMMYFUNCTION("""COMPUTED_VALUE"""),1288)</f>
        <v>1288</v>
      </c>
      <c r="AB159" s="1">
        <f ca="1">IFERROR(__xludf.DUMMYFUNCTION("""COMPUTED_VALUE"""),448)</f>
        <v>448</v>
      </c>
      <c r="AC159" s="1">
        <f ca="1">IFERROR(__xludf.DUMMYFUNCTION("""COMPUTED_VALUE"""),283)</f>
        <v>283</v>
      </c>
      <c r="AD159" s="1">
        <f ca="1">IFERROR(__xludf.DUMMYFUNCTION("""COMPUTED_VALUE"""),154)</f>
        <v>154</v>
      </c>
      <c r="AE159" s="1">
        <f ca="1">IFERROR(__xludf.DUMMYFUNCTION("""COMPUTED_VALUE"""),418)</f>
        <v>418</v>
      </c>
      <c r="AF159" s="1">
        <f ca="1">IFERROR(__xludf.DUMMYFUNCTION("""COMPUTED_VALUE"""),604)</f>
        <v>604</v>
      </c>
    </row>
    <row r="160" spans="1:32" ht="12.5" x14ac:dyDescent="0.25">
      <c r="A160" s="1" t="str">
        <f ca="1">IFERROR(__xludf.DUMMYFUNCTION("""COMPUTED_VALUE"""),"LehighNCAA")</f>
        <v>LehighNCAA</v>
      </c>
      <c r="B160" s="1">
        <f ca="1">IFERROR(__xludf.DUMMYFUNCTION("""COMPUTED_VALUE"""),35)</f>
        <v>35</v>
      </c>
      <c r="C160" s="1">
        <f ca="1">IFERROR(__xludf.DUMMYFUNCTION("""COMPUTED_VALUE"""),27)</f>
        <v>27</v>
      </c>
      <c r="D160" s="1">
        <f ca="1">IFERROR(__xludf.DUMMYFUNCTION("""COMPUTED_VALUE"""),8)</f>
        <v>8</v>
      </c>
      <c r="E160" s="1">
        <f ca="1">IFERROR(__xludf.DUMMYFUNCTION("""COMPUTED_VALUE"""),0.771)</f>
        <v>0.77100000000000002</v>
      </c>
      <c r="F160" s="1">
        <f ca="1">IFERROR(__xludf.DUMMYFUNCTION("""COMPUTED_VALUE"""),4.27)</f>
        <v>4.2699999999999996</v>
      </c>
      <c r="G160" s="1">
        <f ca="1">IFERROR(__xludf.DUMMYFUNCTION("""COMPUTED_VALUE"""),-5.14)</f>
        <v>-5.14</v>
      </c>
      <c r="H160" s="1">
        <f ca="1">IFERROR(__xludf.DUMMYFUNCTION("""COMPUTED_VALUE"""),11)</f>
        <v>11</v>
      </c>
      <c r="I160" s="1">
        <f ca="1">IFERROR(__xludf.DUMMYFUNCTION("""COMPUTED_VALUE"""),3)</f>
        <v>3</v>
      </c>
      <c r="J160" s="1">
        <f ca="1">IFERROR(__xludf.DUMMYFUNCTION("""COMPUTED_VALUE"""),12)</f>
        <v>12</v>
      </c>
      <c r="K160" s="1">
        <f ca="1">IFERROR(__xludf.DUMMYFUNCTION("""COMPUTED_VALUE"""),1)</f>
        <v>1</v>
      </c>
      <c r="L160" s="1">
        <f ca="1">IFERROR(__xludf.DUMMYFUNCTION("""COMPUTED_VALUE"""),12)</f>
        <v>12</v>
      </c>
      <c r="M160" s="1">
        <f ca="1">IFERROR(__xludf.DUMMYFUNCTION("""COMPUTED_VALUE"""),6)</f>
        <v>6</v>
      </c>
      <c r="N160" s="1">
        <f ca="1">IFERROR(__xludf.DUMMYFUNCTION("""COMPUTED_VALUE"""),2648)</f>
        <v>2648</v>
      </c>
      <c r="O160" s="1">
        <f ca="1">IFERROR(__xludf.DUMMYFUNCTION("""COMPUTED_VALUE"""),2288)</f>
        <v>2288</v>
      </c>
      <c r="P160" s="1">
        <f ca="1">IFERROR(__xludf.DUMMYFUNCTION("""COMPUTED_VALUE"""),1410)</f>
        <v>1410</v>
      </c>
      <c r="Q160" s="1">
        <f ca="1">IFERROR(__xludf.DUMMYFUNCTION("""COMPUTED_VALUE"""),902)</f>
        <v>902</v>
      </c>
      <c r="R160" s="1">
        <f ca="1">IFERROR(__xludf.DUMMYFUNCTION("""COMPUTED_VALUE"""),2030)</f>
        <v>2030</v>
      </c>
      <c r="S160" s="1">
        <f ca="1">IFERROR(__xludf.DUMMYFUNCTION("""COMPUTED_VALUE"""),0.444)</f>
        <v>0.44400000000000001</v>
      </c>
      <c r="T160" s="1">
        <f ca="1">IFERROR(__xludf.DUMMYFUNCTION("""COMPUTED_VALUE"""),254)</f>
        <v>254</v>
      </c>
      <c r="U160" s="1">
        <f ca="1">IFERROR(__xludf.DUMMYFUNCTION("""COMPUTED_VALUE"""),726)</f>
        <v>726</v>
      </c>
      <c r="V160" s="1">
        <f ca="1">IFERROR(__xludf.DUMMYFUNCTION("""COMPUTED_VALUE"""),0.35)</f>
        <v>0.35</v>
      </c>
      <c r="W160" s="1">
        <f ca="1">IFERROR(__xludf.DUMMYFUNCTION("""COMPUTED_VALUE"""),590)</f>
        <v>590</v>
      </c>
      <c r="X160" s="1">
        <f ca="1">IFERROR(__xludf.DUMMYFUNCTION("""COMPUTED_VALUE"""),768)</f>
        <v>768</v>
      </c>
      <c r="Y160" s="1">
        <f ca="1">IFERROR(__xludf.DUMMYFUNCTION("""COMPUTED_VALUE"""),0.768)</f>
        <v>0.76800000000000002</v>
      </c>
      <c r="Z160" s="1">
        <f ca="1">IFERROR(__xludf.DUMMYFUNCTION("""COMPUTED_VALUE"""),386)</f>
        <v>386</v>
      </c>
      <c r="AA160" s="1">
        <f ca="1">IFERROR(__xludf.DUMMYFUNCTION("""COMPUTED_VALUE"""),1104)</f>
        <v>1104</v>
      </c>
      <c r="AB160" s="1">
        <f ca="1">IFERROR(__xludf.DUMMYFUNCTION("""COMPUTED_VALUE"""),456)</f>
        <v>456</v>
      </c>
      <c r="AC160" s="1">
        <f ca="1">IFERROR(__xludf.DUMMYFUNCTION("""COMPUTED_VALUE"""),269)</f>
        <v>269</v>
      </c>
      <c r="AD160" s="1">
        <f ca="1">IFERROR(__xludf.DUMMYFUNCTION("""COMPUTED_VALUE"""),106)</f>
        <v>106</v>
      </c>
      <c r="AE160" s="1">
        <f ca="1">IFERROR(__xludf.DUMMYFUNCTION("""COMPUTED_VALUE"""),391)</f>
        <v>391</v>
      </c>
      <c r="AF160" s="1">
        <f ca="1">IFERROR(__xludf.DUMMYFUNCTION("""COMPUTED_VALUE"""),629)</f>
        <v>629</v>
      </c>
    </row>
    <row r="161" spans="1:32" ht="12.5" x14ac:dyDescent="0.25">
      <c r="A161" s="1" t="str">
        <f ca="1">IFERROR(__xludf.DUMMYFUNCTION("""COMPUTED_VALUE"""),"Liberty")</f>
        <v>Liberty</v>
      </c>
      <c r="B161" s="1">
        <f ca="1">IFERROR(__xludf.DUMMYFUNCTION("""COMPUTED_VALUE"""),32)</f>
        <v>32</v>
      </c>
      <c r="C161" s="1">
        <f ca="1">IFERROR(__xludf.DUMMYFUNCTION("""COMPUTED_VALUE"""),14)</f>
        <v>14</v>
      </c>
      <c r="D161" s="1">
        <f ca="1">IFERROR(__xludf.DUMMYFUNCTION("""COMPUTED_VALUE"""),18)</f>
        <v>18</v>
      </c>
      <c r="E161" s="1">
        <f ca="1">IFERROR(__xludf.DUMMYFUNCTION("""COMPUTED_VALUE"""),0.438)</f>
        <v>0.438</v>
      </c>
      <c r="F161" s="1">
        <f ca="1">IFERROR(__xludf.DUMMYFUNCTION("""COMPUTED_VALUE"""),-9.67)</f>
        <v>-9.67</v>
      </c>
      <c r="G161" s="1">
        <f ca="1">IFERROR(__xludf.DUMMYFUNCTION("""COMPUTED_VALUE"""),-4.81)</f>
        <v>-4.8099999999999996</v>
      </c>
      <c r="H161" s="1">
        <f ca="1">IFERROR(__xludf.DUMMYFUNCTION("""COMPUTED_VALUE"""),9)</f>
        <v>9</v>
      </c>
      <c r="I161" s="1">
        <f ca="1">IFERROR(__xludf.DUMMYFUNCTION("""COMPUTED_VALUE"""),9)</f>
        <v>9</v>
      </c>
      <c r="J161" s="1">
        <f ca="1">IFERROR(__xludf.DUMMYFUNCTION("""COMPUTED_VALUE"""),9)</f>
        <v>9</v>
      </c>
      <c r="K161" s="1">
        <f ca="1">IFERROR(__xludf.DUMMYFUNCTION("""COMPUTED_VALUE"""),7)</f>
        <v>7</v>
      </c>
      <c r="L161" s="1">
        <f ca="1">IFERROR(__xludf.DUMMYFUNCTION("""COMPUTED_VALUE"""),5)</f>
        <v>5</v>
      </c>
      <c r="M161" s="1">
        <f ca="1">IFERROR(__xludf.DUMMYFUNCTION("""COMPUTED_VALUE"""),9)</f>
        <v>9</v>
      </c>
      <c r="N161" s="1">
        <f ca="1">IFERROR(__xludf.DUMMYFUNCTION("""COMPUTED_VALUE"""),2201)</f>
        <v>2201</v>
      </c>
      <c r="O161" s="1">
        <f ca="1">IFERROR(__xludf.DUMMYFUNCTION("""COMPUTED_VALUE"""),2283)</f>
        <v>2283</v>
      </c>
      <c r="P161" s="1">
        <f ca="1">IFERROR(__xludf.DUMMYFUNCTION("""COMPUTED_VALUE"""),1285)</f>
        <v>1285</v>
      </c>
      <c r="Q161" s="1">
        <f ca="1">IFERROR(__xludf.DUMMYFUNCTION("""COMPUTED_VALUE"""),811)</f>
        <v>811</v>
      </c>
      <c r="R161" s="1">
        <f ca="1">IFERROR(__xludf.DUMMYFUNCTION("""COMPUTED_VALUE"""),1790)</f>
        <v>1790</v>
      </c>
      <c r="S161" s="1">
        <f ca="1">IFERROR(__xludf.DUMMYFUNCTION("""COMPUTED_VALUE"""),0.453)</f>
        <v>0.45300000000000001</v>
      </c>
      <c r="T161" s="1">
        <f ca="1">IFERROR(__xludf.DUMMYFUNCTION("""COMPUTED_VALUE"""),125)</f>
        <v>125</v>
      </c>
      <c r="U161" s="1">
        <f ca="1">IFERROR(__xludf.DUMMYFUNCTION("""COMPUTED_VALUE"""),395)</f>
        <v>395</v>
      </c>
      <c r="V161" s="1">
        <f ca="1">IFERROR(__xludf.DUMMYFUNCTION("""COMPUTED_VALUE"""),0.316)</f>
        <v>0.316</v>
      </c>
      <c r="W161" s="1">
        <f ca="1">IFERROR(__xludf.DUMMYFUNCTION("""COMPUTED_VALUE"""),454)</f>
        <v>454</v>
      </c>
      <c r="X161" s="1">
        <f ca="1">IFERROR(__xludf.DUMMYFUNCTION("""COMPUTED_VALUE"""),637)</f>
        <v>637</v>
      </c>
      <c r="Y161" s="1">
        <f ca="1">IFERROR(__xludf.DUMMYFUNCTION("""COMPUTED_VALUE"""),0.713)</f>
        <v>0.71299999999999997</v>
      </c>
      <c r="Z161" s="1">
        <f ca="1">IFERROR(__xludf.DUMMYFUNCTION("""COMPUTED_VALUE"""),351)</f>
        <v>351</v>
      </c>
      <c r="AA161" s="1">
        <f ca="1">IFERROR(__xludf.DUMMYFUNCTION("""COMPUTED_VALUE"""),997)</f>
        <v>997</v>
      </c>
      <c r="AB161" s="1">
        <f ca="1">IFERROR(__xludf.DUMMYFUNCTION("""COMPUTED_VALUE"""),439)</f>
        <v>439</v>
      </c>
      <c r="AC161" s="1">
        <f ca="1">IFERROR(__xludf.DUMMYFUNCTION("""COMPUTED_VALUE"""),169)</f>
        <v>169</v>
      </c>
      <c r="AD161" s="1">
        <f ca="1">IFERROR(__xludf.DUMMYFUNCTION("""COMPUTED_VALUE"""),77)</f>
        <v>77</v>
      </c>
      <c r="AE161" s="1">
        <f ca="1">IFERROR(__xludf.DUMMYFUNCTION("""COMPUTED_VALUE"""),386)</f>
        <v>386</v>
      </c>
      <c r="AF161" s="1">
        <f ca="1">IFERROR(__xludf.DUMMYFUNCTION("""COMPUTED_VALUE"""),555)</f>
        <v>555</v>
      </c>
    </row>
    <row r="162" spans="1:32" ht="12.5" x14ac:dyDescent="0.25">
      <c r="A162" s="1" t="str">
        <f ca="1">IFERROR(__xludf.DUMMYFUNCTION("""COMPUTED_VALUE"""),"Lipscomb")</f>
        <v>Lipscomb</v>
      </c>
      <c r="B162" s="1">
        <f ca="1">IFERROR(__xludf.DUMMYFUNCTION("""COMPUTED_VALUE"""),31)</f>
        <v>31</v>
      </c>
      <c r="C162" s="1">
        <f ca="1">IFERROR(__xludf.DUMMYFUNCTION("""COMPUTED_VALUE"""),13)</f>
        <v>13</v>
      </c>
      <c r="D162" s="1">
        <f ca="1">IFERROR(__xludf.DUMMYFUNCTION("""COMPUTED_VALUE"""),18)</f>
        <v>18</v>
      </c>
      <c r="E162" s="1">
        <f ca="1">IFERROR(__xludf.DUMMYFUNCTION("""COMPUTED_VALUE"""),0.419)</f>
        <v>0.41899999999999998</v>
      </c>
      <c r="F162" s="1">
        <f ca="1">IFERROR(__xludf.DUMMYFUNCTION("""COMPUTED_VALUE"""),-4.7)</f>
        <v>-4.7</v>
      </c>
      <c r="G162" s="1">
        <f ca="1">IFERROR(__xludf.DUMMYFUNCTION("""COMPUTED_VALUE"""),-1.23)</f>
        <v>-1.23</v>
      </c>
      <c r="H162" s="1">
        <f ca="1">IFERROR(__xludf.DUMMYFUNCTION("""COMPUTED_VALUE"""),8)</f>
        <v>8</v>
      </c>
      <c r="I162" s="1">
        <f ca="1">IFERROR(__xludf.DUMMYFUNCTION("""COMPUTED_VALUE"""),10)</f>
        <v>10</v>
      </c>
      <c r="J162" s="1">
        <f ca="1">IFERROR(__xludf.DUMMYFUNCTION("""COMPUTED_VALUE"""),6)</f>
        <v>6</v>
      </c>
      <c r="K162" s="1">
        <f ca="1">IFERROR(__xludf.DUMMYFUNCTION("""COMPUTED_VALUE"""),7)</f>
        <v>7</v>
      </c>
      <c r="L162" s="1">
        <f ca="1">IFERROR(__xludf.DUMMYFUNCTION("""COMPUTED_VALUE"""),5)</f>
        <v>5</v>
      </c>
      <c r="M162" s="1">
        <f ca="1">IFERROR(__xludf.DUMMYFUNCTION("""COMPUTED_VALUE"""),11)</f>
        <v>11</v>
      </c>
      <c r="N162" s="1">
        <f ca="1">IFERROR(__xludf.DUMMYFUNCTION("""COMPUTED_VALUE"""),2242)</f>
        <v>2242</v>
      </c>
      <c r="O162" s="1">
        <f ca="1">IFERROR(__xludf.DUMMYFUNCTION("""COMPUTED_VALUE"""),2303)</f>
        <v>2303</v>
      </c>
      <c r="P162" s="1">
        <f ca="1">IFERROR(__xludf.DUMMYFUNCTION("""COMPUTED_VALUE"""),1260)</f>
        <v>1260</v>
      </c>
      <c r="Q162" s="1">
        <f ca="1">IFERROR(__xludf.DUMMYFUNCTION("""COMPUTED_VALUE"""),802)</f>
        <v>802</v>
      </c>
      <c r="R162" s="1">
        <f ca="1">IFERROR(__xludf.DUMMYFUNCTION("""COMPUTED_VALUE"""),1852)</f>
        <v>1852</v>
      </c>
      <c r="S162" s="1">
        <f ca="1">IFERROR(__xludf.DUMMYFUNCTION("""COMPUTED_VALUE"""),0.433)</f>
        <v>0.433</v>
      </c>
      <c r="T162" s="1">
        <f ca="1">IFERROR(__xludf.DUMMYFUNCTION("""COMPUTED_VALUE"""),235)</f>
        <v>235</v>
      </c>
      <c r="U162" s="1">
        <f ca="1">IFERROR(__xludf.DUMMYFUNCTION("""COMPUTED_VALUE"""),637)</f>
        <v>637</v>
      </c>
      <c r="V162" s="1">
        <f ca="1">IFERROR(__xludf.DUMMYFUNCTION("""COMPUTED_VALUE"""),0.369)</f>
        <v>0.36899999999999999</v>
      </c>
      <c r="W162" s="1">
        <f ca="1">IFERROR(__xludf.DUMMYFUNCTION("""COMPUTED_VALUE"""),403)</f>
        <v>403</v>
      </c>
      <c r="X162" s="1">
        <f ca="1">IFERROR(__xludf.DUMMYFUNCTION("""COMPUTED_VALUE"""),634)</f>
        <v>634</v>
      </c>
      <c r="Y162" s="1">
        <f ca="1">IFERROR(__xludf.DUMMYFUNCTION("""COMPUTED_VALUE"""),0.636)</f>
        <v>0.63600000000000001</v>
      </c>
      <c r="Z162" s="1">
        <f ca="1">IFERROR(__xludf.DUMMYFUNCTION("""COMPUTED_VALUE"""),367)</f>
        <v>367</v>
      </c>
      <c r="AA162" s="1">
        <f ca="1">IFERROR(__xludf.DUMMYFUNCTION("""COMPUTED_VALUE"""),997)</f>
        <v>997</v>
      </c>
      <c r="AB162" s="1">
        <f ca="1">IFERROR(__xludf.DUMMYFUNCTION("""COMPUTED_VALUE"""),438)</f>
        <v>438</v>
      </c>
      <c r="AC162" s="1">
        <f ca="1">IFERROR(__xludf.DUMMYFUNCTION("""COMPUTED_VALUE"""),225)</f>
        <v>225</v>
      </c>
      <c r="AD162" s="1">
        <f ca="1">IFERROR(__xludf.DUMMYFUNCTION("""COMPUTED_VALUE"""),83)</f>
        <v>83</v>
      </c>
      <c r="AE162" s="1">
        <f ca="1">IFERROR(__xludf.DUMMYFUNCTION("""COMPUTED_VALUE"""),467)</f>
        <v>467</v>
      </c>
      <c r="AF162" s="1">
        <f ca="1">IFERROR(__xludf.DUMMYFUNCTION("""COMPUTED_VALUE"""),536)</f>
        <v>536</v>
      </c>
    </row>
    <row r="163" spans="1:32" ht="12.5" x14ac:dyDescent="0.25">
      <c r="A163" s="1" t="str">
        <f ca="1">IFERROR(__xludf.DUMMYFUNCTION("""COMPUTED_VALUE"""),"Cal State Long BeachNCAA")</f>
        <v>Cal State Long BeachNCAA</v>
      </c>
      <c r="B163" s="1">
        <f ca="1">IFERROR(__xludf.DUMMYFUNCTION("""COMPUTED_VALUE"""),34)</f>
        <v>34</v>
      </c>
      <c r="C163" s="1">
        <f ca="1">IFERROR(__xludf.DUMMYFUNCTION("""COMPUTED_VALUE"""),25)</f>
        <v>25</v>
      </c>
      <c r="D163" s="1">
        <f ca="1">IFERROR(__xludf.DUMMYFUNCTION("""COMPUTED_VALUE"""),9)</f>
        <v>9</v>
      </c>
      <c r="E163" s="1">
        <f ca="1">IFERROR(__xludf.DUMMYFUNCTION("""COMPUTED_VALUE"""),0.735)</f>
        <v>0.73499999999999999</v>
      </c>
      <c r="F163" s="1">
        <f ca="1">IFERROR(__xludf.DUMMYFUNCTION("""COMPUTED_VALUE"""),9.52)</f>
        <v>9.52</v>
      </c>
      <c r="G163" s="1">
        <f ca="1">IFERROR(__xludf.DUMMYFUNCTION("""COMPUTED_VALUE"""),0.87)</f>
        <v>0.87</v>
      </c>
      <c r="H163" s="1">
        <f ca="1">IFERROR(__xludf.DUMMYFUNCTION("""COMPUTED_VALUE"""),15)</f>
        <v>15</v>
      </c>
      <c r="I163" s="1">
        <f ca="1">IFERROR(__xludf.DUMMYFUNCTION("""COMPUTED_VALUE"""),1)</f>
        <v>1</v>
      </c>
      <c r="J163" s="1">
        <f ca="1">IFERROR(__xludf.DUMMYFUNCTION("""COMPUTED_VALUE"""),12)</f>
        <v>12</v>
      </c>
      <c r="K163" s="1">
        <f ca="1">IFERROR(__xludf.DUMMYFUNCTION("""COMPUTED_VALUE"""),0)</f>
        <v>0</v>
      </c>
      <c r="L163" s="1">
        <f ca="1">IFERROR(__xludf.DUMMYFUNCTION("""COMPUTED_VALUE"""),8)</f>
        <v>8</v>
      </c>
      <c r="M163" s="1">
        <f ca="1">IFERROR(__xludf.DUMMYFUNCTION("""COMPUTED_VALUE"""),7)</f>
        <v>7</v>
      </c>
      <c r="N163" s="1">
        <f ca="1">IFERROR(__xludf.DUMMYFUNCTION("""COMPUTED_VALUE"""),2510)</f>
        <v>2510</v>
      </c>
      <c r="O163" s="1">
        <f ca="1">IFERROR(__xludf.DUMMYFUNCTION("""COMPUTED_VALUE"""),2175)</f>
        <v>2175</v>
      </c>
      <c r="P163" s="1">
        <f ca="1">IFERROR(__xludf.DUMMYFUNCTION("""COMPUTED_VALUE"""),1370)</f>
        <v>1370</v>
      </c>
      <c r="Q163" s="1">
        <f ca="1">IFERROR(__xludf.DUMMYFUNCTION("""COMPUTED_VALUE"""),880)</f>
        <v>880</v>
      </c>
      <c r="R163" s="1">
        <f ca="1">IFERROR(__xludf.DUMMYFUNCTION("""COMPUTED_VALUE"""),1880)</f>
        <v>1880</v>
      </c>
      <c r="S163" s="1">
        <f ca="1">IFERROR(__xludf.DUMMYFUNCTION("""COMPUTED_VALUE"""),0.468)</f>
        <v>0.46800000000000003</v>
      </c>
      <c r="T163" s="1">
        <f ca="1">IFERROR(__xludf.DUMMYFUNCTION("""COMPUTED_VALUE"""),221)</f>
        <v>221</v>
      </c>
      <c r="U163" s="1">
        <f ca="1">IFERROR(__xludf.DUMMYFUNCTION("""COMPUTED_VALUE"""),618)</f>
        <v>618</v>
      </c>
      <c r="V163" s="1">
        <f ca="1">IFERROR(__xludf.DUMMYFUNCTION("""COMPUTED_VALUE"""),0.358)</f>
        <v>0.35799999999999998</v>
      </c>
      <c r="W163" s="1">
        <f ca="1">IFERROR(__xludf.DUMMYFUNCTION("""COMPUTED_VALUE"""),529)</f>
        <v>529</v>
      </c>
      <c r="X163" s="1">
        <f ca="1">IFERROR(__xludf.DUMMYFUNCTION("""COMPUTED_VALUE"""),790)</f>
        <v>790</v>
      </c>
      <c r="Y163" s="1">
        <f ca="1">IFERROR(__xludf.DUMMYFUNCTION("""COMPUTED_VALUE"""),0.67)</f>
        <v>0.67</v>
      </c>
      <c r="Z163" s="1">
        <f ca="1">IFERROR(__xludf.DUMMYFUNCTION("""COMPUTED_VALUE"""),391)</f>
        <v>391</v>
      </c>
      <c r="AA163" s="1">
        <f ca="1">IFERROR(__xludf.DUMMYFUNCTION("""COMPUTED_VALUE"""),1141)</f>
        <v>1141</v>
      </c>
      <c r="AB163" s="1">
        <f ca="1">IFERROR(__xludf.DUMMYFUNCTION("""COMPUTED_VALUE"""),476)</f>
        <v>476</v>
      </c>
      <c r="AC163" s="1">
        <f ca="1">IFERROR(__xludf.DUMMYFUNCTION("""COMPUTED_VALUE"""),242)</f>
        <v>242</v>
      </c>
      <c r="AD163" s="1">
        <f ca="1">IFERROR(__xludf.DUMMYFUNCTION("""COMPUTED_VALUE"""),92)</f>
        <v>92</v>
      </c>
      <c r="AE163" s="1">
        <f ca="1">IFERROR(__xludf.DUMMYFUNCTION("""COMPUTED_VALUE"""),440)</f>
        <v>440</v>
      </c>
      <c r="AF163" s="1">
        <f ca="1">IFERROR(__xludf.DUMMYFUNCTION("""COMPUTED_VALUE"""),527)</f>
        <v>527</v>
      </c>
    </row>
    <row r="164" spans="1:32" ht="12.5" x14ac:dyDescent="0.25">
      <c r="A164" s="1" t="str">
        <f ca="1">IFERROR(__xludf.DUMMYFUNCTION("""COMPUTED_VALUE"""),"Long Island UniversityNCAA")</f>
        <v>Long Island UniversityNCAA</v>
      </c>
      <c r="B164" s="1">
        <f ca="1">IFERROR(__xludf.DUMMYFUNCTION("""COMPUTED_VALUE"""),34)</f>
        <v>34</v>
      </c>
      <c r="C164" s="1">
        <f ca="1">IFERROR(__xludf.DUMMYFUNCTION("""COMPUTED_VALUE"""),25)</f>
        <v>25</v>
      </c>
      <c r="D164" s="1">
        <f ca="1">IFERROR(__xludf.DUMMYFUNCTION("""COMPUTED_VALUE"""),9)</f>
        <v>9</v>
      </c>
      <c r="E164" s="1">
        <f ca="1">IFERROR(__xludf.DUMMYFUNCTION("""COMPUTED_VALUE"""),0.735)</f>
        <v>0.73499999999999999</v>
      </c>
      <c r="F164" s="1">
        <f ca="1">IFERROR(__xludf.DUMMYFUNCTION("""COMPUTED_VALUE"""),-1.34)</f>
        <v>-1.34</v>
      </c>
      <c r="G164" s="1">
        <f ca="1">IFERROR(__xludf.DUMMYFUNCTION("""COMPUTED_VALUE"""),-5.1)</f>
        <v>-5.0999999999999996</v>
      </c>
      <c r="H164" s="1">
        <f ca="1">IFERROR(__xludf.DUMMYFUNCTION("""COMPUTED_VALUE"""),16)</f>
        <v>16</v>
      </c>
      <c r="I164" s="1">
        <f ca="1">IFERROR(__xludf.DUMMYFUNCTION("""COMPUTED_VALUE"""),2)</f>
        <v>2</v>
      </c>
      <c r="J164" s="1">
        <f ca="1">IFERROR(__xludf.DUMMYFUNCTION("""COMPUTED_VALUE"""),15)</f>
        <v>15</v>
      </c>
      <c r="K164" s="1">
        <f ca="1">IFERROR(__xludf.DUMMYFUNCTION("""COMPUTED_VALUE"""),0)</f>
        <v>0</v>
      </c>
      <c r="L164" s="1">
        <f ca="1">IFERROR(__xludf.DUMMYFUNCTION("""COMPUTED_VALUE"""),7)</f>
        <v>7</v>
      </c>
      <c r="M164" s="1">
        <f ca="1">IFERROR(__xludf.DUMMYFUNCTION("""COMPUTED_VALUE"""),8)</f>
        <v>8</v>
      </c>
      <c r="N164" s="1">
        <f ca="1">IFERROR(__xludf.DUMMYFUNCTION("""COMPUTED_VALUE"""),2769)</f>
        <v>2769</v>
      </c>
      <c r="O164" s="1">
        <f ca="1">IFERROR(__xludf.DUMMYFUNCTION("""COMPUTED_VALUE"""),2641)</f>
        <v>2641</v>
      </c>
      <c r="P164" s="1">
        <f ca="1">IFERROR(__xludf.DUMMYFUNCTION("""COMPUTED_VALUE"""),1365)</f>
        <v>1365</v>
      </c>
      <c r="Q164" s="1">
        <f ca="1">IFERROR(__xludf.DUMMYFUNCTION("""COMPUTED_VALUE"""),920)</f>
        <v>920</v>
      </c>
      <c r="R164" s="1">
        <f ca="1">IFERROR(__xludf.DUMMYFUNCTION("""COMPUTED_VALUE"""),1940)</f>
        <v>1940</v>
      </c>
      <c r="S164" s="1">
        <f ca="1">IFERROR(__xludf.DUMMYFUNCTION("""COMPUTED_VALUE"""),0.474)</f>
        <v>0.47399999999999998</v>
      </c>
      <c r="T164" s="1">
        <f ca="1">IFERROR(__xludf.DUMMYFUNCTION("""COMPUTED_VALUE"""),225)</f>
        <v>225</v>
      </c>
      <c r="U164" s="1">
        <f ca="1">IFERROR(__xludf.DUMMYFUNCTION("""COMPUTED_VALUE"""),606)</f>
        <v>606</v>
      </c>
      <c r="V164" s="1">
        <f ca="1">IFERROR(__xludf.DUMMYFUNCTION("""COMPUTED_VALUE"""),0.371)</f>
        <v>0.371</v>
      </c>
      <c r="W164" s="1">
        <f ca="1">IFERROR(__xludf.DUMMYFUNCTION("""COMPUTED_VALUE"""),704)</f>
        <v>704</v>
      </c>
      <c r="X164" s="1">
        <f ca="1">IFERROR(__xludf.DUMMYFUNCTION("""COMPUTED_VALUE"""),965)</f>
        <v>965</v>
      </c>
      <c r="Y164" s="1">
        <f ca="1">IFERROR(__xludf.DUMMYFUNCTION("""COMPUTED_VALUE"""),0.73)</f>
        <v>0.73</v>
      </c>
      <c r="Z164" s="1">
        <f ca="1">IFERROR(__xludf.DUMMYFUNCTION("""COMPUTED_VALUE"""),396)</f>
        <v>396</v>
      </c>
      <c r="AA164" s="1">
        <f ca="1">IFERROR(__xludf.DUMMYFUNCTION("""COMPUTED_VALUE"""),1167)</f>
        <v>1167</v>
      </c>
      <c r="AB164" s="1">
        <f ca="1">IFERROR(__xludf.DUMMYFUNCTION("""COMPUTED_VALUE"""),500)</f>
        <v>500</v>
      </c>
      <c r="AC164" s="1">
        <f ca="1">IFERROR(__xludf.DUMMYFUNCTION("""COMPUTED_VALUE"""),206)</f>
        <v>206</v>
      </c>
      <c r="AD164" s="1">
        <f ca="1">IFERROR(__xludf.DUMMYFUNCTION("""COMPUTED_VALUE"""),113)</f>
        <v>113</v>
      </c>
      <c r="AE164" s="1">
        <f ca="1">IFERROR(__xludf.DUMMYFUNCTION("""COMPUTED_VALUE"""),546)</f>
        <v>546</v>
      </c>
      <c r="AF164" s="1">
        <f ca="1">IFERROR(__xludf.DUMMYFUNCTION("""COMPUTED_VALUE"""),531)</f>
        <v>531</v>
      </c>
    </row>
    <row r="165" spans="1:32" ht="12.5" x14ac:dyDescent="0.25">
      <c r="A165" s="1" t="str">
        <f ca="1">IFERROR(__xludf.DUMMYFUNCTION("""COMPUTED_VALUE"""),"Longwood")</f>
        <v>Longwood</v>
      </c>
      <c r="B165" s="1">
        <f ca="1">IFERROR(__xludf.DUMMYFUNCTION("""COMPUTED_VALUE"""),31)</f>
        <v>31</v>
      </c>
      <c r="C165" s="1">
        <f ca="1">IFERROR(__xludf.DUMMYFUNCTION("""COMPUTED_VALUE"""),10)</f>
        <v>10</v>
      </c>
      <c r="D165" s="1">
        <f ca="1">IFERROR(__xludf.DUMMYFUNCTION("""COMPUTED_VALUE"""),21)</f>
        <v>21</v>
      </c>
      <c r="E165" s="1">
        <f ca="1">IFERROR(__xludf.DUMMYFUNCTION("""COMPUTED_VALUE"""),0.323)</f>
        <v>0.32300000000000001</v>
      </c>
      <c r="F165" s="1">
        <f ca="1">IFERROR(__xludf.DUMMYFUNCTION("""COMPUTED_VALUE"""),-20.47)</f>
        <v>-20.47</v>
      </c>
      <c r="G165" s="1">
        <f ca="1">IFERROR(__xludf.DUMMYFUNCTION("""COMPUTED_VALUE"""),-5.99)</f>
        <v>-5.99</v>
      </c>
      <c r="H165" s="1">
        <f ca="1">IFERROR(__xludf.DUMMYFUNCTION("""COMPUTED_VALUE"""),0)</f>
        <v>0</v>
      </c>
      <c r="I165" s="1">
        <f ca="1">IFERROR(__xludf.DUMMYFUNCTION("""COMPUTED_VALUE"""),0)</f>
        <v>0</v>
      </c>
      <c r="J165" s="1">
        <f ca="1">IFERROR(__xludf.DUMMYFUNCTION("""COMPUTED_VALUE"""),7)</f>
        <v>7</v>
      </c>
      <c r="K165" s="1">
        <f ca="1">IFERROR(__xludf.DUMMYFUNCTION("""COMPUTED_VALUE"""),5)</f>
        <v>5</v>
      </c>
      <c r="L165" s="1">
        <f ca="1">IFERROR(__xludf.DUMMYFUNCTION("""COMPUTED_VALUE"""),2)</f>
        <v>2</v>
      </c>
      <c r="M165" s="1">
        <f ca="1">IFERROR(__xludf.DUMMYFUNCTION("""COMPUTED_VALUE"""),14)</f>
        <v>14</v>
      </c>
      <c r="N165" s="1">
        <f ca="1">IFERROR(__xludf.DUMMYFUNCTION("""COMPUTED_VALUE"""),2276)</f>
        <v>2276</v>
      </c>
      <c r="O165" s="1">
        <f ca="1">IFERROR(__xludf.DUMMYFUNCTION("""COMPUTED_VALUE"""),2617)</f>
        <v>2617</v>
      </c>
      <c r="P165" s="1">
        <f ca="1">IFERROR(__xludf.DUMMYFUNCTION("""COMPUTED_VALUE"""),1245)</f>
        <v>1245</v>
      </c>
      <c r="Q165" s="1">
        <f ca="1">IFERROR(__xludf.DUMMYFUNCTION("""COMPUTED_VALUE"""),826)</f>
        <v>826</v>
      </c>
      <c r="R165" s="1">
        <f ca="1">IFERROR(__xludf.DUMMYFUNCTION("""COMPUTED_VALUE"""),1905)</f>
        <v>1905</v>
      </c>
      <c r="S165" s="1">
        <f ca="1">IFERROR(__xludf.DUMMYFUNCTION("""COMPUTED_VALUE"""),0.434)</f>
        <v>0.434</v>
      </c>
      <c r="T165" s="1">
        <f ca="1">IFERROR(__xludf.DUMMYFUNCTION("""COMPUTED_VALUE"""),265)</f>
        <v>265</v>
      </c>
      <c r="U165" s="1">
        <f ca="1">IFERROR(__xludf.DUMMYFUNCTION("""COMPUTED_VALUE"""),759)</f>
        <v>759</v>
      </c>
      <c r="V165" s="1">
        <f ca="1">IFERROR(__xludf.DUMMYFUNCTION("""COMPUTED_VALUE"""),0.349)</f>
        <v>0.34899999999999998</v>
      </c>
      <c r="W165" s="1">
        <f ca="1">IFERROR(__xludf.DUMMYFUNCTION("""COMPUTED_VALUE"""),359)</f>
        <v>359</v>
      </c>
      <c r="X165" s="1">
        <f ca="1">IFERROR(__xludf.DUMMYFUNCTION("""COMPUTED_VALUE"""),531)</f>
        <v>531</v>
      </c>
      <c r="Y165" s="1">
        <f ca="1">IFERROR(__xludf.DUMMYFUNCTION("""COMPUTED_VALUE"""),0.676)</f>
        <v>0.67600000000000005</v>
      </c>
      <c r="Z165" s="1">
        <f ca="1">IFERROR(__xludf.DUMMYFUNCTION("""COMPUTED_VALUE"""),292)</f>
        <v>292</v>
      </c>
      <c r="AA165" s="1">
        <f ca="1">IFERROR(__xludf.DUMMYFUNCTION("""COMPUTED_VALUE"""),960)</f>
        <v>960</v>
      </c>
      <c r="AB165" s="1">
        <f ca="1">IFERROR(__xludf.DUMMYFUNCTION("""COMPUTED_VALUE"""),481)</f>
        <v>481</v>
      </c>
      <c r="AC165" s="1">
        <f ca="1">IFERROR(__xludf.DUMMYFUNCTION("""COMPUTED_VALUE"""),163)</f>
        <v>163</v>
      </c>
      <c r="AD165" s="1">
        <f ca="1">IFERROR(__xludf.DUMMYFUNCTION("""COMPUTED_VALUE"""),68)</f>
        <v>68</v>
      </c>
      <c r="AE165" s="1">
        <f ca="1">IFERROR(__xludf.DUMMYFUNCTION("""COMPUTED_VALUE"""),410)</f>
        <v>410</v>
      </c>
      <c r="AF165" s="1">
        <f ca="1">IFERROR(__xludf.DUMMYFUNCTION("""COMPUTED_VALUE"""),495)</f>
        <v>495</v>
      </c>
    </row>
    <row r="166" spans="1:32" ht="12.5" x14ac:dyDescent="0.25">
      <c r="A166" s="1" t="str">
        <f ca="1">IFERROR(__xludf.DUMMYFUNCTION("""COMPUTED_VALUE"""),"Louisiana")</f>
        <v>Louisiana</v>
      </c>
      <c r="B166" s="1">
        <f ca="1">IFERROR(__xludf.DUMMYFUNCTION("""COMPUTED_VALUE"""),32)</f>
        <v>32</v>
      </c>
      <c r="C166" s="1">
        <f ca="1">IFERROR(__xludf.DUMMYFUNCTION("""COMPUTED_VALUE"""),16)</f>
        <v>16</v>
      </c>
      <c r="D166" s="1">
        <f ca="1">IFERROR(__xludf.DUMMYFUNCTION("""COMPUTED_VALUE"""),16)</f>
        <v>16</v>
      </c>
      <c r="E166" s="1">
        <f ca="1">IFERROR(__xludf.DUMMYFUNCTION("""COMPUTED_VALUE"""),0.5)</f>
        <v>0.5</v>
      </c>
      <c r="F166" s="1">
        <f ca="1">IFERROR(__xludf.DUMMYFUNCTION("""COMPUTED_VALUE"""),-3.25)</f>
        <v>-3.25</v>
      </c>
      <c r="G166" s="1">
        <f ca="1">IFERROR(__xludf.DUMMYFUNCTION("""COMPUTED_VALUE"""),-2.28)</f>
        <v>-2.2799999999999998</v>
      </c>
      <c r="H166" s="1">
        <f ca="1">IFERROR(__xludf.DUMMYFUNCTION("""COMPUTED_VALUE"""),10)</f>
        <v>10</v>
      </c>
      <c r="I166" s="1">
        <f ca="1">IFERROR(__xludf.DUMMYFUNCTION("""COMPUTED_VALUE"""),6)</f>
        <v>6</v>
      </c>
      <c r="J166" s="1">
        <f ca="1">IFERROR(__xludf.DUMMYFUNCTION("""COMPUTED_VALUE"""),10)</f>
        <v>10</v>
      </c>
      <c r="K166" s="1">
        <f ca="1">IFERROR(__xludf.DUMMYFUNCTION("""COMPUTED_VALUE"""),5)</f>
        <v>5</v>
      </c>
      <c r="L166" s="1">
        <f ca="1">IFERROR(__xludf.DUMMYFUNCTION("""COMPUTED_VALUE"""),5)</f>
        <v>5</v>
      </c>
      <c r="M166" s="1">
        <f ca="1">IFERROR(__xludf.DUMMYFUNCTION("""COMPUTED_VALUE"""),9)</f>
        <v>9</v>
      </c>
      <c r="N166" s="1">
        <f ca="1">IFERROR(__xludf.DUMMYFUNCTION("""COMPUTED_VALUE"""),2189)</f>
        <v>2189</v>
      </c>
      <c r="O166" s="1">
        <f ca="1">IFERROR(__xludf.DUMMYFUNCTION("""COMPUTED_VALUE"""),2155)</f>
        <v>2155</v>
      </c>
      <c r="P166" s="1">
        <f ca="1">IFERROR(__xludf.DUMMYFUNCTION("""COMPUTED_VALUE"""),1305)</f>
        <v>1305</v>
      </c>
      <c r="Q166" s="1">
        <f ca="1">IFERROR(__xludf.DUMMYFUNCTION("""COMPUTED_VALUE"""),767)</f>
        <v>767</v>
      </c>
      <c r="R166" s="1">
        <f ca="1">IFERROR(__xludf.DUMMYFUNCTION("""COMPUTED_VALUE"""),1790)</f>
        <v>1790</v>
      </c>
      <c r="S166" s="1">
        <f ca="1">IFERROR(__xludf.DUMMYFUNCTION("""COMPUTED_VALUE"""),0.428)</f>
        <v>0.42799999999999999</v>
      </c>
      <c r="T166" s="1">
        <f ca="1">IFERROR(__xludf.DUMMYFUNCTION("""COMPUTED_VALUE"""),172)</f>
        <v>172</v>
      </c>
      <c r="U166" s="1">
        <f ca="1">IFERROR(__xludf.DUMMYFUNCTION("""COMPUTED_VALUE"""),525)</f>
        <v>525</v>
      </c>
      <c r="V166" s="1">
        <f ca="1">IFERROR(__xludf.DUMMYFUNCTION("""COMPUTED_VALUE"""),0.328)</f>
        <v>0.32800000000000001</v>
      </c>
      <c r="W166" s="1">
        <f ca="1">IFERROR(__xludf.DUMMYFUNCTION("""COMPUTED_VALUE"""),483)</f>
        <v>483</v>
      </c>
      <c r="X166" s="1">
        <f ca="1">IFERROR(__xludf.DUMMYFUNCTION("""COMPUTED_VALUE"""),766)</f>
        <v>766</v>
      </c>
      <c r="Y166" s="1">
        <f ca="1">IFERROR(__xludf.DUMMYFUNCTION("""COMPUTED_VALUE"""),0.631)</f>
        <v>0.63100000000000001</v>
      </c>
      <c r="Z166" s="1">
        <f ca="1">IFERROR(__xludf.DUMMYFUNCTION("""COMPUTED_VALUE"""),387)</f>
        <v>387</v>
      </c>
      <c r="AA166" s="1">
        <f ca="1">IFERROR(__xludf.DUMMYFUNCTION("""COMPUTED_VALUE"""),1134)</f>
        <v>1134</v>
      </c>
      <c r="AB166" s="1">
        <f ca="1">IFERROR(__xludf.DUMMYFUNCTION("""COMPUTED_VALUE"""),370)</f>
        <v>370</v>
      </c>
      <c r="AC166" s="1">
        <f ca="1">IFERROR(__xludf.DUMMYFUNCTION("""COMPUTED_VALUE"""),188)</f>
        <v>188</v>
      </c>
      <c r="AD166" s="1">
        <f ca="1">IFERROR(__xludf.DUMMYFUNCTION("""COMPUTED_VALUE"""),150)</f>
        <v>150</v>
      </c>
      <c r="AE166" s="1">
        <f ca="1">IFERROR(__xludf.DUMMYFUNCTION("""COMPUTED_VALUE"""),521)</f>
        <v>521</v>
      </c>
      <c r="AF166" s="1">
        <f ca="1">IFERROR(__xludf.DUMMYFUNCTION("""COMPUTED_VALUE"""),644)</f>
        <v>644</v>
      </c>
    </row>
    <row r="167" spans="1:32" ht="12.5" x14ac:dyDescent="0.25">
      <c r="A167" s="1" t="str">
        <f ca="1">IFERROR(__xludf.DUMMYFUNCTION("""COMPUTED_VALUE"""),"Louisiana-Monroe")</f>
        <v>Louisiana-Monroe</v>
      </c>
      <c r="B167" s="1">
        <f ca="1">IFERROR(__xludf.DUMMYFUNCTION("""COMPUTED_VALUE"""),29)</f>
        <v>29</v>
      </c>
      <c r="C167" s="1">
        <f ca="1">IFERROR(__xludf.DUMMYFUNCTION("""COMPUTED_VALUE"""),3)</f>
        <v>3</v>
      </c>
      <c r="D167" s="1">
        <f ca="1">IFERROR(__xludf.DUMMYFUNCTION("""COMPUTED_VALUE"""),26)</f>
        <v>26</v>
      </c>
      <c r="E167" s="1">
        <f ca="1">IFERROR(__xludf.DUMMYFUNCTION("""COMPUTED_VALUE"""),0.103)</f>
        <v>0.10299999999999999</v>
      </c>
      <c r="F167" s="1">
        <f ca="1">IFERROR(__xludf.DUMMYFUNCTION("""COMPUTED_VALUE"""),-12.56)</f>
        <v>-12.56</v>
      </c>
      <c r="G167" s="1">
        <f ca="1">IFERROR(__xludf.DUMMYFUNCTION("""COMPUTED_VALUE"""),-0.95)</f>
        <v>-0.95</v>
      </c>
      <c r="H167" s="1">
        <f ca="1">IFERROR(__xludf.DUMMYFUNCTION("""COMPUTED_VALUE"""),2)</f>
        <v>2</v>
      </c>
      <c r="I167" s="1">
        <f ca="1">IFERROR(__xludf.DUMMYFUNCTION("""COMPUTED_VALUE"""),14)</f>
        <v>14</v>
      </c>
      <c r="J167" s="1">
        <f ca="1">IFERROR(__xludf.DUMMYFUNCTION("""COMPUTED_VALUE"""),0)</f>
        <v>0</v>
      </c>
      <c r="K167" s="1">
        <f ca="1">IFERROR(__xludf.DUMMYFUNCTION("""COMPUTED_VALUE"""),13)</f>
        <v>13</v>
      </c>
      <c r="L167" s="1">
        <f ca="1">IFERROR(__xludf.DUMMYFUNCTION("""COMPUTED_VALUE"""),3)</f>
        <v>3</v>
      </c>
      <c r="M167" s="1">
        <f ca="1">IFERROR(__xludf.DUMMYFUNCTION("""COMPUTED_VALUE"""),13)</f>
        <v>13</v>
      </c>
      <c r="N167" s="1">
        <f ca="1">IFERROR(__xludf.DUMMYFUNCTION("""COMPUTED_VALUE"""),1750)</f>
        <v>1750</v>
      </c>
      <c r="O167" s="1">
        <f ca="1">IFERROR(__xludf.DUMMYFUNCTION("""COMPUTED_VALUE"""),2078)</f>
        <v>2078</v>
      </c>
      <c r="P167" s="1">
        <f ca="1">IFERROR(__xludf.DUMMYFUNCTION("""COMPUTED_VALUE"""),1165)</f>
        <v>1165</v>
      </c>
      <c r="Q167" s="1">
        <f ca="1">IFERROR(__xludf.DUMMYFUNCTION("""COMPUTED_VALUE"""),637)</f>
        <v>637</v>
      </c>
      <c r="R167" s="1">
        <f ca="1">IFERROR(__xludf.DUMMYFUNCTION("""COMPUTED_VALUE"""),1555)</f>
        <v>1555</v>
      </c>
      <c r="S167" s="1">
        <f ca="1">IFERROR(__xludf.DUMMYFUNCTION("""COMPUTED_VALUE"""),0.41)</f>
        <v>0.41</v>
      </c>
      <c r="T167" s="1">
        <f ca="1">IFERROR(__xludf.DUMMYFUNCTION("""COMPUTED_VALUE"""),188)</f>
        <v>188</v>
      </c>
      <c r="U167" s="1">
        <f ca="1">IFERROR(__xludf.DUMMYFUNCTION("""COMPUTED_VALUE"""),516)</f>
        <v>516</v>
      </c>
      <c r="V167" s="1">
        <f ca="1">IFERROR(__xludf.DUMMYFUNCTION("""COMPUTED_VALUE"""),0.364)</f>
        <v>0.36399999999999999</v>
      </c>
      <c r="W167" s="1">
        <f ca="1">IFERROR(__xludf.DUMMYFUNCTION("""COMPUTED_VALUE"""),288)</f>
        <v>288</v>
      </c>
      <c r="X167" s="1">
        <f ca="1">IFERROR(__xludf.DUMMYFUNCTION("""COMPUTED_VALUE"""),441)</f>
        <v>441</v>
      </c>
      <c r="Y167" s="1">
        <f ca="1">IFERROR(__xludf.DUMMYFUNCTION("""COMPUTED_VALUE"""),0.653)</f>
        <v>0.65300000000000002</v>
      </c>
      <c r="Z167" s="1">
        <f ca="1">IFERROR(__xludf.DUMMYFUNCTION("""COMPUTED_VALUE"""),261)</f>
        <v>261</v>
      </c>
      <c r="AA167" s="1">
        <f ca="1">IFERROR(__xludf.DUMMYFUNCTION("""COMPUTED_VALUE"""),797)</f>
        <v>797</v>
      </c>
      <c r="AB167" s="1">
        <f ca="1">IFERROR(__xludf.DUMMYFUNCTION("""COMPUTED_VALUE"""),331)</f>
        <v>331</v>
      </c>
      <c r="AC167" s="1">
        <f ca="1">IFERROR(__xludf.DUMMYFUNCTION("""COMPUTED_VALUE"""),157)</f>
        <v>157</v>
      </c>
      <c r="AD167" s="1">
        <f ca="1">IFERROR(__xludf.DUMMYFUNCTION("""COMPUTED_VALUE"""),66)</f>
        <v>66</v>
      </c>
      <c r="AE167" s="1">
        <f ca="1">IFERROR(__xludf.DUMMYFUNCTION("""COMPUTED_VALUE"""),378)</f>
        <v>378</v>
      </c>
      <c r="AF167" s="1">
        <f ca="1">IFERROR(__xludf.DUMMYFUNCTION("""COMPUTED_VALUE"""),512)</f>
        <v>512</v>
      </c>
    </row>
    <row r="168" spans="1:32" ht="12.5" x14ac:dyDescent="0.25">
      <c r="A168" s="1" t="str">
        <f ca="1">IFERROR(__xludf.DUMMYFUNCTION("""COMPUTED_VALUE"""),"Louisiana State")</f>
        <v>Louisiana State</v>
      </c>
      <c r="B168" s="1">
        <f ca="1">IFERROR(__xludf.DUMMYFUNCTION("""COMPUTED_VALUE"""),33)</f>
        <v>33</v>
      </c>
      <c r="C168" s="1">
        <f ca="1">IFERROR(__xludf.DUMMYFUNCTION("""COMPUTED_VALUE"""),18)</f>
        <v>18</v>
      </c>
      <c r="D168" s="1">
        <f ca="1">IFERROR(__xludf.DUMMYFUNCTION("""COMPUTED_VALUE"""),15)</f>
        <v>15</v>
      </c>
      <c r="E168" s="1">
        <f ca="1">IFERROR(__xludf.DUMMYFUNCTION("""COMPUTED_VALUE"""),0.545)</f>
        <v>0.54500000000000004</v>
      </c>
      <c r="F168" s="1">
        <f ca="1">IFERROR(__xludf.DUMMYFUNCTION("""COMPUTED_VALUE"""),6.66)</f>
        <v>6.66</v>
      </c>
      <c r="G168" s="1">
        <f ca="1">IFERROR(__xludf.DUMMYFUNCTION("""COMPUTED_VALUE"""),5.51)</f>
        <v>5.51</v>
      </c>
      <c r="H168" s="1">
        <f ca="1">IFERROR(__xludf.DUMMYFUNCTION("""COMPUTED_VALUE"""),7)</f>
        <v>7</v>
      </c>
      <c r="I168" s="1">
        <f ca="1">IFERROR(__xludf.DUMMYFUNCTION("""COMPUTED_VALUE"""),9)</f>
        <v>9</v>
      </c>
      <c r="J168" s="1">
        <f ca="1">IFERROR(__xludf.DUMMYFUNCTION("""COMPUTED_VALUE"""),11)</f>
        <v>11</v>
      </c>
      <c r="K168" s="1">
        <f ca="1">IFERROR(__xludf.DUMMYFUNCTION("""COMPUTED_VALUE"""),4)</f>
        <v>4</v>
      </c>
      <c r="L168" s="1">
        <f ca="1">IFERROR(__xludf.DUMMYFUNCTION("""COMPUTED_VALUE"""),4)</f>
        <v>4</v>
      </c>
      <c r="M168" s="1">
        <f ca="1">IFERROR(__xludf.DUMMYFUNCTION("""COMPUTED_VALUE"""),9)</f>
        <v>9</v>
      </c>
      <c r="N168" s="1">
        <f ca="1">IFERROR(__xludf.DUMMYFUNCTION("""COMPUTED_VALUE"""),2157)</f>
        <v>2157</v>
      </c>
      <c r="O168" s="1">
        <f ca="1">IFERROR(__xludf.DUMMYFUNCTION("""COMPUTED_VALUE"""),2119)</f>
        <v>2119</v>
      </c>
      <c r="P168" s="1">
        <f ca="1">IFERROR(__xludf.DUMMYFUNCTION("""COMPUTED_VALUE"""),1340)</f>
        <v>1340</v>
      </c>
      <c r="Q168" s="1">
        <f ca="1">IFERROR(__xludf.DUMMYFUNCTION("""COMPUTED_VALUE"""),791)</f>
        <v>791</v>
      </c>
      <c r="R168" s="1">
        <f ca="1">IFERROR(__xludf.DUMMYFUNCTION("""COMPUTED_VALUE"""),1947)</f>
        <v>1947</v>
      </c>
      <c r="S168" s="1">
        <f ca="1">IFERROR(__xludf.DUMMYFUNCTION("""COMPUTED_VALUE"""),0.406)</f>
        <v>0.40600000000000003</v>
      </c>
      <c r="T168" s="1">
        <f ca="1">IFERROR(__xludf.DUMMYFUNCTION("""COMPUTED_VALUE"""),173)</f>
        <v>173</v>
      </c>
      <c r="U168" s="1">
        <f ca="1">IFERROR(__xludf.DUMMYFUNCTION("""COMPUTED_VALUE"""),530)</f>
        <v>530</v>
      </c>
      <c r="V168" s="1">
        <f ca="1">IFERROR(__xludf.DUMMYFUNCTION("""COMPUTED_VALUE"""),0.326)</f>
        <v>0.32600000000000001</v>
      </c>
      <c r="W168" s="1">
        <f ca="1">IFERROR(__xludf.DUMMYFUNCTION("""COMPUTED_VALUE"""),402)</f>
        <v>402</v>
      </c>
      <c r="X168" s="1">
        <f ca="1">IFERROR(__xludf.DUMMYFUNCTION("""COMPUTED_VALUE"""),582)</f>
        <v>582</v>
      </c>
      <c r="Y168" s="1">
        <f ca="1">IFERROR(__xludf.DUMMYFUNCTION("""COMPUTED_VALUE"""),0.691)</f>
        <v>0.69099999999999995</v>
      </c>
      <c r="Z168" s="1">
        <f ca="1">IFERROR(__xludf.DUMMYFUNCTION("""COMPUTED_VALUE"""),434)</f>
        <v>434</v>
      </c>
      <c r="AA168" s="1">
        <f ca="1">IFERROR(__xludf.DUMMYFUNCTION("""COMPUTED_VALUE"""),1094)</f>
        <v>1094</v>
      </c>
      <c r="AB168" s="1">
        <f ca="1">IFERROR(__xludf.DUMMYFUNCTION("""COMPUTED_VALUE"""),415)</f>
        <v>415</v>
      </c>
      <c r="AC168" s="1">
        <f ca="1">IFERROR(__xludf.DUMMYFUNCTION("""COMPUTED_VALUE"""),232)</f>
        <v>232</v>
      </c>
      <c r="AD168" s="1">
        <f ca="1">IFERROR(__xludf.DUMMYFUNCTION("""COMPUTED_VALUE"""),128)</f>
        <v>128</v>
      </c>
      <c r="AE168" s="1">
        <f ca="1">IFERROR(__xludf.DUMMYFUNCTION("""COMPUTED_VALUE"""),429)</f>
        <v>429</v>
      </c>
      <c r="AF168" s="1">
        <f ca="1">IFERROR(__xludf.DUMMYFUNCTION("""COMPUTED_VALUE"""),592)</f>
        <v>592</v>
      </c>
    </row>
    <row r="169" spans="1:32" ht="12.5" x14ac:dyDescent="0.25">
      <c r="A169" s="1" t="str">
        <f ca="1">IFERROR(__xludf.DUMMYFUNCTION("""COMPUTED_VALUE"""),"Louisiana Tech")</f>
        <v>Louisiana Tech</v>
      </c>
      <c r="B169" s="1">
        <f ca="1">IFERROR(__xludf.DUMMYFUNCTION("""COMPUTED_VALUE"""),34)</f>
        <v>34</v>
      </c>
      <c r="C169" s="1">
        <f ca="1">IFERROR(__xludf.DUMMYFUNCTION("""COMPUTED_VALUE"""),18)</f>
        <v>18</v>
      </c>
      <c r="D169" s="1">
        <f ca="1">IFERROR(__xludf.DUMMYFUNCTION("""COMPUTED_VALUE"""),16)</f>
        <v>16</v>
      </c>
      <c r="E169" s="1">
        <f ca="1">IFERROR(__xludf.DUMMYFUNCTION("""COMPUTED_VALUE"""),0.529)</f>
        <v>0.52900000000000003</v>
      </c>
      <c r="F169" s="1">
        <f ca="1">IFERROR(__xludf.DUMMYFUNCTION("""COMPUTED_VALUE"""),-2.65)</f>
        <v>-2.65</v>
      </c>
      <c r="G169" s="1">
        <f ca="1">IFERROR(__xludf.DUMMYFUNCTION("""COMPUTED_VALUE"""),-1.19)</f>
        <v>-1.19</v>
      </c>
      <c r="H169" s="1">
        <f ca="1">IFERROR(__xludf.DUMMYFUNCTION("""COMPUTED_VALUE"""),6)</f>
        <v>6</v>
      </c>
      <c r="I169" s="1">
        <f ca="1">IFERROR(__xludf.DUMMYFUNCTION("""COMPUTED_VALUE"""),8)</f>
        <v>8</v>
      </c>
      <c r="J169" s="1">
        <f ca="1">IFERROR(__xludf.DUMMYFUNCTION("""COMPUTED_VALUE"""),11)</f>
        <v>11</v>
      </c>
      <c r="K169" s="1">
        <f ca="1">IFERROR(__xludf.DUMMYFUNCTION("""COMPUTED_VALUE"""),4)</f>
        <v>4</v>
      </c>
      <c r="L169" s="1">
        <f ca="1">IFERROR(__xludf.DUMMYFUNCTION("""COMPUTED_VALUE"""),4)</f>
        <v>4</v>
      </c>
      <c r="M169" s="1">
        <f ca="1">IFERROR(__xludf.DUMMYFUNCTION("""COMPUTED_VALUE"""),10)</f>
        <v>10</v>
      </c>
      <c r="N169" s="1">
        <f ca="1">IFERROR(__xludf.DUMMYFUNCTION("""COMPUTED_VALUE"""),2358)</f>
        <v>2358</v>
      </c>
      <c r="O169" s="1">
        <f ca="1">IFERROR(__xludf.DUMMYFUNCTION("""COMPUTED_VALUE"""),2355)</f>
        <v>2355</v>
      </c>
      <c r="P169" s="1">
        <f ca="1">IFERROR(__xludf.DUMMYFUNCTION("""COMPUTED_VALUE"""),1380)</f>
        <v>1380</v>
      </c>
      <c r="Q169" s="1">
        <f ca="1">IFERROR(__xludf.DUMMYFUNCTION("""COMPUTED_VALUE"""),849)</f>
        <v>849</v>
      </c>
      <c r="R169" s="1">
        <f ca="1">IFERROR(__xludf.DUMMYFUNCTION("""COMPUTED_VALUE"""),2013)</f>
        <v>2013</v>
      </c>
      <c r="S169" s="1">
        <f ca="1">IFERROR(__xludf.DUMMYFUNCTION("""COMPUTED_VALUE"""),0.422)</f>
        <v>0.42199999999999999</v>
      </c>
      <c r="T169" s="1">
        <f ca="1">IFERROR(__xludf.DUMMYFUNCTION("""COMPUTED_VALUE"""),258)</f>
        <v>258</v>
      </c>
      <c r="U169" s="1">
        <f ca="1">IFERROR(__xludf.DUMMYFUNCTION("""COMPUTED_VALUE"""),777)</f>
        <v>777</v>
      </c>
      <c r="V169" s="1">
        <f ca="1">IFERROR(__xludf.DUMMYFUNCTION("""COMPUTED_VALUE"""),0.332)</f>
        <v>0.33200000000000002</v>
      </c>
      <c r="W169" s="1">
        <f ca="1">IFERROR(__xludf.DUMMYFUNCTION("""COMPUTED_VALUE"""),402)</f>
        <v>402</v>
      </c>
      <c r="X169" s="1">
        <f ca="1">IFERROR(__xludf.DUMMYFUNCTION("""COMPUTED_VALUE"""),620)</f>
        <v>620</v>
      </c>
      <c r="Y169" s="1">
        <f ca="1">IFERROR(__xludf.DUMMYFUNCTION("""COMPUTED_VALUE"""),0.648)</f>
        <v>0.64800000000000002</v>
      </c>
      <c r="Z169" s="1">
        <f ca="1">IFERROR(__xludf.DUMMYFUNCTION("""COMPUTED_VALUE"""),396)</f>
        <v>396</v>
      </c>
      <c r="AA169" s="1">
        <f ca="1">IFERROR(__xludf.DUMMYFUNCTION("""COMPUTED_VALUE"""),1040)</f>
        <v>1040</v>
      </c>
      <c r="AB169" s="1">
        <f ca="1">IFERROR(__xludf.DUMMYFUNCTION("""COMPUTED_VALUE"""),441)</f>
        <v>441</v>
      </c>
      <c r="AC169" s="1">
        <f ca="1">IFERROR(__xludf.DUMMYFUNCTION("""COMPUTED_VALUE"""),230)</f>
        <v>230</v>
      </c>
      <c r="AD169" s="1">
        <f ca="1">IFERROR(__xludf.DUMMYFUNCTION("""COMPUTED_VALUE"""),125)</f>
        <v>125</v>
      </c>
      <c r="AE169" s="1">
        <f ca="1">IFERROR(__xludf.DUMMYFUNCTION("""COMPUTED_VALUE"""),442)</f>
        <v>442</v>
      </c>
      <c r="AF169" s="1">
        <f ca="1">IFERROR(__xludf.DUMMYFUNCTION("""COMPUTED_VALUE"""),677)</f>
        <v>677</v>
      </c>
    </row>
    <row r="170" spans="1:32" ht="12.5" x14ac:dyDescent="0.25">
      <c r="A170" s="1" t="str">
        <f ca="1">IFERROR(__xludf.DUMMYFUNCTION("""COMPUTED_VALUE"""),"LouisvilleNCAA")</f>
        <v>LouisvilleNCAA</v>
      </c>
      <c r="B170" s="1">
        <f ca="1">IFERROR(__xludf.DUMMYFUNCTION("""COMPUTED_VALUE"""),40)</f>
        <v>40</v>
      </c>
      <c r="C170" s="1">
        <f ca="1">IFERROR(__xludf.DUMMYFUNCTION("""COMPUTED_VALUE"""),30)</f>
        <v>30</v>
      </c>
      <c r="D170" s="1">
        <f ca="1">IFERROR(__xludf.DUMMYFUNCTION("""COMPUTED_VALUE"""),10)</f>
        <v>10</v>
      </c>
      <c r="E170" s="1">
        <f ca="1">IFERROR(__xludf.DUMMYFUNCTION("""COMPUTED_VALUE"""),0.75)</f>
        <v>0.75</v>
      </c>
      <c r="F170" s="1">
        <f ca="1">IFERROR(__xludf.DUMMYFUNCTION("""COMPUTED_VALUE"""),16.19)</f>
        <v>16.190000000000001</v>
      </c>
      <c r="G170" s="1">
        <f ca="1">IFERROR(__xludf.DUMMYFUNCTION("""COMPUTED_VALUE"""),9.02)</f>
        <v>9.02</v>
      </c>
      <c r="H170" s="1">
        <f ca="1">IFERROR(__xludf.DUMMYFUNCTION("""COMPUTED_VALUE"""),10)</f>
        <v>10</v>
      </c>
      <c r="I170" s="1">
        <f ca="1">IFERROR(__xludf.DUMMYFUNCTION("""COMPUTED_VALUE"""),8)</f>
        <v>8</v>
      </c>
      <c r="J170" s="1">
        <f ca="1">IFERROR(__xludf.DUMMYFUNCTION("""COMPUTED_VALUE"""),16)</f>
        <v>16</v>
      </c>
      <c r="K170" s="1">
        <f ca="1">IFERROR(__xludf.DUMMYFUNCTION("""COMPUTED_VALUE"""),4)</f>
        <v>4</v>
      </c>
      <c r="L170" s="1">
        <f ca="1">IFERROR(__xludf.DUMMYFUNCTION("""COMPUTED_VALUE"""),6)</f>
        <v>6</v>
      </c>
      <c r="M170" s="1">
        <f ca="1">IFERROR(__xludf.DUMMYFUNCTION("""COMPUTED_VALUE"""),5)</f>
        <v>5</v>
      </c>
      <c r="N170" s="1">
        <f ca="1">IFERROR(__xludf.DUMMYFUNCTION("""COMPUTED_VALUE"""),2727)</f>
        <v>2727</v>
      </c>
      <c r="O170" s="1">
        <f ca="1">IFERROR(__xludf.DUMMYFUNCTION("""COMPUTED_VALUE"""),2440)</f>
        <v>2440</v>
      </c>
      <c r="P170" s="1">
        <f ca="1">IFERROR(__xludf.DUMMYFUNCTION("""COMPUTED_VALUE"""),1620)</f>
        <v>1620</v>
      </c>
      <c r="Q170" s="1">
        <f ca="1">IFERROR(__xludf.DUMMYFUNCTION("""COMPUTED_VALUE"""),963)</f>
        <v>963</v>
      </c>
      <c r="R170" s="1">
        <f ca="1">IFERROR(__xludf.DUMMYFUNCTION("""COMPUTED_VALUE"""),2281)</f>
        <v>2281</v>
      </c>
      <c r="S170" s="1">
        <f ca="1">IFERROR(__xludf.DUMMYFUNCTION("""COMPUTED_VALUE"""),0.422)</f>
        <v>0.42199999999999999</v>
      </c>
      <c r="T170" s="1">
        <f ca="1">IFERROR(__xludf.DUMMYFUNCTION("""COMPUTED_VALUE"""),233)</f>
        <v>233</v>
      </c>
      <c r="U170" s="1">
        <f ca="1">IFERROR(__xludf.DUMMYFUNCTION("""COMPUTED_VALUE"""),733)</f>
        <v>733</v>
      </c>
      <c r="V170" s="1">
        <f ca="1">IFERROR(__xludf.DUMMYFUNCTION("""COMPUTED_VALUE"""),0.318)</f>
        <v>0.318</v>
      </c>
      <c r="W170" s="1">
        <f ca="1">IFERROR(__xludf.DUMMYFUNCTION("""COMPUTED_VALUE"""),568)</f>
        <v>568</v>
      </c>
      <c r="X170" s="1">
        <f ca="1">IFERROR(__xludf.DUMMYFUNCTION("""COMPUTED_VALUE"""),826)</f>
        <v>826</v>
      </c>
      <c r="Y170" s="1">
        <f ca="1">IFERROR(__xludf.DUMMYFUNCTION("""COMPUTED_VALUE"""),0.688)</f>
        <v>0.68799999999999994</v>
      </c>
      <c r="Z170" s="1">
        <f ca="1">IFERROR(__xludf.DUMMYFUNCTION("""COMPUTED_VALUE"""),518)</f>
        <v>518</v>
      </c>
      <c r="AA170" s="1">
        <f ca="1">IFERROR(__xludf.DUMMYFUNCTION("""COMPUTED_VALUE"""),1423)</f>
        <v>1423</v>
      </c>
      <c r="AB170" s="1">
        <f ca="1">IFERROR(__xludf.DUMMYFUNCTION("""COMPUTED_VALUE"""),532)</f>
        <v>532</v>
      </c>
      <c r="AC170" s="1">
        <f ca="1">IFERROR(__xludf.DUMMYFUNCTION("""COMPUTED_VALUE"""),353)</f>
        <v>353</v>
      </c>
      <c r="AD170" s="1">
        <f ca="1">IFERROR(__xludf.DUMMYFUNCTION("""COMPUTED_VALUE"""),193)</f>
        <v>193</v>
      </c>
      <c r="AE170" s="1">
        <f ca="1">IFERROR(__xludf.DUMMYFUNCTION("""COMPUTED_VALUE"""),562)</f>
        <v>562</v>
      </c>
      <c r="AF170" s="1">
        <f ca="1">IFERROR(__xludf.DUMMYFUNCTION("""COMPUTED_VALUE"""),706)</f>
        <v>706</v>
      </c>
    </row>
    <row r="171" spans="1:32" ht="12.5" x14ac:dyDescent="0.25">
      <c r="A171" s="1" t="str">
        <f ca="1">IFERROR(__xludf.DUMMYFUNCTION("""COMPUTED_VALUE"""),"Loyola (IL)")</f>
        <v>Loyola (IL)</v>
      </c>
      <c r="B171" s="1">
        <f ca="1">IFERROR(__xludf.DUMMYFUNCTION("""COMPUTED_VALUE"""),30)</f>
        <v>30</v>
      </c>
      <c r="C171" s="1">
        <f ca="1">IFERROR(__xludf.DUMMYFUNCTION("""COMPUTED_VALUE"""),7)</f>
        <v>7</v>
      </c>
      <c r="D171" s="1">
        <f ca="1">IFERROR(__xludf.DUMMYFUNCTION("""COMPUTED_VALUE"""),23)</f>
        <v>23</v>
      </c>
      <c r="E171" s="1">
        <f ca="1">IFERROR(__xludf.DUMMYFUNCTION("""COMPUTED_VALUE"""),0.233)</f>
        <v>0.23300000000000001</v>
      </c>
      <c r="F171" s="1">
        <f ca="1">IFERROR(__xludf.DUMMYFUNCTION("""COMPUTED_VALUE"""),-8.43)</f>
        <v>-8.43</v>
      </c>
      <c r="G171" s="1">
        <f ca="1">IFERROR(__xludf.DUMMYFUNCTION("""COMPUTED_VALUE"""),-1.77)</f>
        <v>-1.77</v>
      </c>
      <c r="H171" s="1">
        <f ca="1">IFERROR(__xludf.DUMMYFUNCTION("""COMPUTED_VALUE"""),1)</f>
        <v>1</v>
      </c>
      <c r="I171" s="1">
        <f ca="1">IFERROR(__xludf.DUMMYFUNCTION("""COMPUTED_VALUE"""),17)</f>
        <v>17</v>
      </c>
      <c r="J171" s="1">
        <f ca="1">IFERROR(__xludf.DUMMYFUNCTION("""COMPUTED_VALUE"""),4)</f>
        <v>4</v>
      </c>
      <c r="K171" s="1">
        <f ca="1">IFERROR(__xludf.DUMMYFUNCTION("""COMPUTED_VALUE"""),9)</f>
        <v>9</v>
      </c>
      <c r="L171" s="1">
        <f ca="1">IFERROR(__xludf.DUMMYFUNCTION("""COMPUTED_VALUE"""),3)</f>
        <v>3</v>
      </c>
      <c r="M171" s="1">
        <f ca="1">IFERROR(__xludf.DUMMYFUNCTION("""COMPUTED_VALUE"""),14)</f>
        <v>14</v>
      </c>
      <c r="N171" s="1">
        <f ca="1">IFERROR(__xludf.DUMMYFUNCTION("""COMPUTED_VALUE"""),1717)</f>
        <v>1717</v>
      </c>
      <c r="O171" s="1">
        <f ca="1">IFERROR(__xludf.DUMMYFUNCTION("""COMPUTED_VALUE"""),1887)</f>
        <v>1887</v>
      </c>
      <c r="P171" s="1">
        <f ca="1">IFERROR(__xludf.DUMMYFUNCTION("""COMPUTED_VALUE"""),1215)</f>
        <v>1215</v>
      </c>
      <c r="Q171" s="1">
        <f ca="1">IFERROR(__xludf.DUMMYFUNCTION("""COMPUTED_VALUE"""),612)</f>
        <v>612</v>
      </c>
      <c r="R171" s="1">
        <f ca="1">IFERROR(__xludf.DUMMYFUNCTION("""COMPUTED_VALUE"""),1452)</f>
        <v>1452</v>
      </c>
      <c r="S171" s="1">
        <f ca="1">IFERROR(__xludf.DUMMYFUNCTION("""COMPUTED_VALUE"""),0.421)</f>
        <v>0.42099999999999999</v>
      </c>
      <c r="T171" s="1">
        <f ca="1">IFERROR(__xludf.DUMMYFUNCTION("""COMPUTED_VALUE"""),117)</f>
        <v>117</v>
      </c>
      <c r="U171" s="1">
        <f ca="1">IFERROR(__xludf.DUMMYFUNCTION("""COMPUTED_VALUE"""),377)</f>
        <v>377</v>
      </c>
      <c r="V171" s="1">
        <f ca="1">IFERROR(__xludf.DUMMYFUNCTION("""COMPUTED_VALUE"""),0.31)</f>
        <v>0.31</v>
      </c>
      <c r="W171" s="1">
        <f ca="1">IFERROR(__xludf.DUMMYFUNCTION("""COMPUTED_VALUE"""),376)</f>
        <v>376</v>
      </c>
      <c r="X171" s="1">
        <f ca="1">IFERROR(__xludf.DUMMYFUNCTION("""COMPUTED_VALUE"""),540)</f>
        <v>540</v>
      </c>
      <c r="Y171" s="1">
        <f ca="1">IFERROR(__xludf.DUMMYFUNCTION("""COMPUTED_VALUE"""),0.696)</f>
        <v>0.69599999999999995</v>
      </c>
      <c r="Z171" s="1">
        <f ca="1">IFERROR(__xludf.DUMMYFUNCTION("""COMPUTED_VALUE"""),301)</f>
        <v>301</v>
      </c>
      <c r="AA171" s="1">
        <f ca="1">IFERROR(__xludf.DUMMYFUNCTION("""COMPUTED_VALUE"""),825)</f>
        <v>825</v>
      </c>
      <c r="AB171" s="1">
        <f ca="1">IFERROR(__xludf.DUMMYFUNCTION("""COMPUTED_VALUE"""),368)</f>
        <v>368</v>
      </c>
      <c r="AC171" s="1">
        <f ca="1">IFERROR(__xludf.DUMMYFUNCTION("""COMPUTED_VALUE"""),136)</f>
        <v>136</v>
      </c>
      <c r="AD171" s="1">
        <f ca="1">IFERROR(__xludf.DUMMYFUNCTION("""COMPUTED_VALUE"""),42)</f>
        <v>42</v>
      </c>
      <c r="AE171" s="1">
        <f ca="1">IFERROR(__xludf.DUMMYFUNCTION("""COMPUTED_VALUE"""),432)</f>
        <v>432</v>
      </c>
      <c r="AF171" s="1">
        <f ca="1">IFERROR(__xludf.DUMMYFUNCTION("""COMPUTED_VALUE"""),491)</f>
        <v>491</v>
      </c>
    </row>
    <row r="172" spans="1:32" ht="12.5" x14ac:dyDescent="0.25">
      <c r="A172" s="1" t="str">
        <f ca="1">IFERROR(__xludf.DUMMYFUNCTION("""COMPUTED_VALUE"""),"Loyola Marymount")</f>
        <v>Loyola Marymount</v>
      </c>
      <c r="B172" s="1">
        <f ca="1">IFERROR(__xludf.DUMMYFUNCTION("""COMPUTED_VALUE"""),34)</f>
        <v>34</v>
      </c>
      <c r="C172" s="1">
        <f ca="1">IFERROR(__xludf.DUMMYFUNCTION("""COMPUTED_VALUE"""),21)</f>
        <v>21</v>
      </c>
      <c r="D172" s="1">
        <f ca="1">IFERROR(__xludf.DUMMYFUNCTION("""COMPUTED_VALUE"""),13)</f>
        <v>13</v>
      </c>
      <c r="E172" s="1">
        <f ca="1">IFERROR(__xludf.DUMMYFUNCTION("""COMPUTED_VALUE"""),0.618)</f>
        <v>0.61799999999999999</v>
      </c>
      <c r="F172" s="1">
        <f ca="1">IFERROR(__xludf.DUMMYFUNCTION("""COMPUTED_VALUE"""),2.2)</f>
        <v>2.2000000000000002</v>
      </c>
      <c r="G172" s="1">
        <f ca="1">IFERROR(__xludf.DUMMYFUNCTION("""COMPUTED_VALUE"""),1.17)</f>
        <v>1.17</v>
      </c>
      <c r="H172" s="1">
        <f ca="1">IFERROR(__xludf.DUMMYFUNCTION("""COMPUTED_VALUE"""),11)</f>
        <v>11</v>
      </c>
      <c r="I172" s="1">
        <f ca="1">IFERROR(__xludf.DUMMYFUNCTION("""COMPUTED_VALUE"""),5)</f>
        <v>5</v>
      </c>
      <c r="J172" s="1">
        <f ca="1">IFERROR(__xludf.DUMMYFUNCTION("""COMPUTED_VALUE"""),12)</f>
        <v>12</v>
      </c>
      <c r="K172" s="1">
        <f ca="1">IFERROR(__xludf.DUMMYFUNCTION("""COMPUTED_VALUE"""),8)</f>
        <v>8</v>
      </c>
      <c r="L172" s="1">
        <f ca="1">IFERROR(__xludf.DUMMYFUNCTION("""COMPUTED_VALUE"""),9)</f>
        <v>9</v>
      </c>
      <c r="M172" s="1">
        <f ca="1">IFERROR(__xludf.DUMMYFUNCTION("""COMPUTED_VALUE"""),4)</f>
        <v>4</v>
      </c>
      <c r="N172" s="1">
        <f ca="1">IFERROR(__xludf.DUMMYFUNCTION("""COMPUTED_VALUE"""),2402)</f>
        <v>2402</v>
      </c>
      <c r="O172" s="1">
        <f ca="1">IFERROR(__xludf.DUMMYFUNCTION("""COMPUTED_VALUE"""),2301)</f>
        <v>2301</v>
      </c>
      <c r="P172" s="1">
        <f ca="1">IFERROR(__xludf.DUMMYFUNCTION("""COMPUTED_VALUE"""),1380)</f>
        <v>1380</v>
      </c>
      <c r="Q172" s="1">
        <f ca="1">IFERROR(__xludf.DUMMYFUNCTION("""COMPUTED_VALUE"""),825)</f>
        <v>825</v>
      </c>
      <c r="R172" s="1">
        <f ca="1">IFERROR(__xludf.DUMMYFUNCTION("""COMPUTED_VALUE"""),1936)</f>
        <v>1936</v>
      </c>
      <c r="S172" s="1">
        <f ca="1">IFERROR(__xludf.DUMMYFUNCTION("""COMPUTED_VALUE"""),0.426)</f>
        <v>0.42599999999999999</v>
      </c>
      <c r="T172" s="1">
        <f ca="1">IFERROR(__xludf.DUMMYFUNCTION("""COMPUTED_VALUE"""),221)</f>
        <v>221</v>
      </c>
      <c r="U172" s="1">
        <f ca="1">IFERROR(__xludf.DUMMYFUNCTION("""COMPUTED_VALUE"""),639)</f>
        <v>639</v>
      </c>
      <c r="V172" s="1">
        <f ca="1">IFERROR(__xludf.DUMMYFUNCTION("""COMPUTED_VALUE"""),0.346)</f>
        <v>0.34599999999999997</v>
      </c>
      <c r="W172" s="1">
        <f ca="1">IFERROR(__xludf.DUMMYFUNCTION("""COMPUTED_VALUE"""),531)</f>
        <v>531</v>
      </c>
      <c r="X172" s="1">
        <f ca="1">IFERROR(__xludf.DUMMYFUNCTION("""COMPUTED_VALUE"""),720)</f>
        <v>720</v>
      </c>
      <c r="Y172" s="1">
        <f ca="1">IFERROR(__xludf.DUMMYFUNCTION("""COMPUTED_VALUE"""),0.738)</f>
        <v>0.73799999999999999</v>
      </c>
      <c r="Z172" s="1">
        <f ca="1">IFERROR(__xludf.DUMMYFUNCTION("""COMPUTED_VALUE"""),395)</f>
        <v>395</v>
      </c>
      <c r="AA172" s="1">
        <f ca="1">IFERROR(__xludf.DUMMYFUNCTION("""COMPUTED_VALUE"""),1104)</f>
        <v>1104</v>
      </c>
      <c r="AB172" s="1">
        <f ca="1">IFERROR(__xludf.DUMMYFUNCTION("""COMPUTED_VALUE"""),404)</f>
        <v>404</v>
      </c>
      <c r="AC172" s="1">
        <f ca="1">IFERROR(__xludf.DUMMYFUNCTION("""COMPUTED_VALUE"""),253)</f>
        <v>253</v>
      </c>
      <c r="AD172" s="1">
        <f ca="1">IFERROR(__xludf.DUMMYFUNCTION("""COMPUTED_VALUE"""),102)</f>
        <v>102</v>
      </c>
      <c r="AE172" s="1">
        <f ca="1">IFERROR(__xludf.DUMMYFUNCTION("""COMPUTED_VALUE"""),462)</f>
        <v>462</v>
      </c>
      <c r="AF172" s="1">
        <f ca="1">IFERROR(__xludf.DUMMYFUNCTION("""COMPUTED_VALUE"""),596)</f>
        <v>596</v>
      </c>
    </row>
    <row r="173" spans="1:32" ht="12.5" x14ac:dyDescent="0.25">
      <c r="A173" s="1" t="str">
        <f ca="1">IFERROR(__xludf.DUMMYFUNCTION("""COMPUTED_VALUE"""),"Loyola (MD)NCAA")</f>
        <v>Loyola (MD)NCAA</v>
      </c>
      <c r="B173" s="1">
        <f ca="1">IFERROR(__xludf.DUMMYFUNCTION("""COMPUTED_VALUE"""),33)</f>
        <v>33</v>
      </c>
      <c r="C173" s="1">
        <f ca="1">IFERROR(__xludf.DUMMYFUNCTION("""COMPUTED_VALUE"""),24)</f>
        <v>24</v>
      </c>
      <c r="D173" s="1">
        <f ca="1">IFERROR(__xludf.DUMMYFUNCTION("""COMPUTED_VALUE"""),9)</f>
        <v>9</v>
      </c>
      <c r="E173" s="1">
        <f ca="1">IFERROR(__xludf.DUMMYFUNCTION("""COMPUTED_VALUE"""),0.727)</f>
        <v>0.72699999999999998</v>
      </c>
      <c r="F173" s="1">
        <f ca="1">IFERROR(__xludf.DUMMYFUNCTION("""COMPUTED_VALUE"""),0.37)</f>
        <v>0.37</v>
      </c>
      <c r="G173" s="1">
        <f ca="1">IFERROR(__xludf.DUMMYFUNCTION("""COMPUTED_VALUE"""),-2.72)</f>
        <v>-2.72</v>
      </c>
      <c r="H173" s="1">
        <f ca="1">IFERROR(__xludf.DUMMYFUNCTION("""COMPUTED_VALUE"""),13)</f>
        <v>13</v>
      </c>
      <c r="I173" s="1">
        <f ca="1">IFERROR(__xludf.DUMMYFUNCTION("""COMPUTED_VALUE"""),5)</f>
        <v>5</v>
      </c>
      <c r="J173" s="1">
        <f ca="1">IFERROR(__xludf.DUMMYFUNCTION("""COMPUTED_VALUE"""),10)</f>
        <v>10</v>
      </c>
      <c r="K173" s="1">
        <f ca="1">IFERROR(__xludf.DUMMYFUNCTION("""COMPUTED_VALUE"""),2)</f>
        <v>2</v>
      </c>
      <c r="L173" s="1">
        <f ca="1">IFERROR(__xludf.DUMMYFUNCTION("""COMPUTED_VALUE"""),11)</f>
        <v>11</v>
      </c>
      <c r="M173" s="1">
        <f ca="1">IFERROR(__xludf.DUMMYFUNCTION("""COMPUTED_VALUE"""),6)</f>
        <v>6</v>
      </c>
      <c r="N173" s="1">
        <f ca="1">IFERROR(__xludf.DUMMYFUNCTION("""COMPUTED_VALUE"""),2222)</f>
        <v>2222</v>
      </c>
      <c r="O173" s="1">
        <f ca="1">IFERROR(__xludf.DUMMYFUNCTION("""COMPUTED_VALUE"""),2120)</f>
        <v>2120</v>
      </c>
      <c r="P173" s="1">
        <f ca="1">IFERROR(__xludf.DUMMYFUNCTION("""COMPUTED_VALUE"""),1320)</f>
        <v>1320</v>
      </c>
      <c r="Q173" s="1">
        <f ca="1">IFERROR(__xludf.DUMMYFUNCTION("""COMPUTED_VALUE"""),755)</f>
        <v>755</v>
      </c>
      <c r="R173" s="1">
        <f ca="1">IFERROR(__xludf.DUMMYFUNCTION("""COMPUTED_VALUE"""),1775)</f>
        <v>1775</v>
      </c>
      <c r="S173" s="1">
        <f ca="1">IFERROR(__xludf.DUMMYFUNCTION("""COMPUTED_VALUE"""),0.425)</f>
        <v>0.42499999999999999</v>
      </c>
      <c r="T173" s="1">
        <f ca="1">IFERROR(__xludf.DUMMYFUNCTION("""COMPUTED_VALUE"""),164)</f>
        <v>164</v>
      </c>
      <c r="U173" s="1">
        <f ca="1">IFERROR(__xludf.DUMMYFUNCTION("""COMPUTED_VALUE"""),484)</f>
        <v>484</v>
      </c>
      <c r="V173" s="1">
        <f ca="1">IFERROR(__xludf.DUMMYFUNCTION("""COMPUTED_VALUE"""),0.339)</f>
        <v>0.33900000000000002</v>
      </c>
      <c r="W173" s="1">
        <f ca="1">IFERROR(__xludf.DUMMYFUNCTION("""COMPUTED_VALUE"""),548)</f>
        <v>548</v>
      </c>
      <c r="X173" s="1">
        <f ca="1">IFERROR(__xludf.DUMMYFUNCTION("""COMPUTED_VALUE"""),762)</f>
        <v>762</v>
      </c>
      <c r="Y173" s="1">
        <f ca="1">IFERROR(__xludf.DUMMYFUNCTION("""COMPUTED_VALUE"""),0.719)</f>
        <v>0.71899999999999997</v>
      </c>
      <c r="Z173" s="1">
        <f ca="1">IFERROR(__xludf.DUMMYFUNCTION("""COMPUTED_VALUE"""),430)</f>
        <v>430</v>
      </c>
      <c r="AA173" s="1">
        <f ca="1">IFERROR(__xludf.DUMMYFUNCTION("""COMPUTED_VALUE"""),1044)</f>
        <v>1044</v>
      </c>
      <c r="AB173" s="1">
        <f ca="1">IFERROR(__xludf.DUMMYFUNCTION("""COMPUTED_VALUE"""),393)</f>
        <v>393</v>
      </c>
      <c r="AC173" s="1">
        <f ca="1">IFERROR(__xludf.DUMMYFUNCTION("""COMPUTED_VALUE"""),255)</f>
        <v>255</v>
      </c>
      <c r="AD173" s="1">
        <f ca="1">IFERROR(__xludf.DUMMYFUNCTION("""COMPUTED_VALUE"""),147)</f>
        <v>147</v>
      </c>
      <c r="AE173" s="1">
        <f ca="1">IFERROR(__xludf.DUMMYFUNCTION("""COMPUTED_VALUE"""),443)</f>
        <v>443</v>
      </c>
      <c r="AF173" s="1">
        <f ca="1">IFERROR(__xludf.DUMMYFUNCTION("""COMPUTED_VALUE"""),628)</f>
        <v>628</v>
      </c>
    </row>
    <row r="174" spans="1:32" ht="12.5" x14ac:dyDescent="0.25">
      <c r="A174" s="1" t="str">
        <f ca="1">IFERROR(__xludf.DUMMYFUNCTION("""COMPUTED_VALUE"""),"Maine")</f>
        <v>Maine</v>
      </c>
      <c r="B174" s="1">
        <f ca="1">IFERROR(__xludf.DUMMYFUNCTION("""COMPUTED_VALUE"""),29)</f>
        <v>29</v>
      </c>
      <c r="C174" s="1">
        <f ca="1">IFERROR(__xludf.DUMMYFUNCTION("""COMPUTED_VALUE"""),12)</f>
        <v>12</v>
      </c>
      <c r="D174" s="1">
        <f ca="1">IFERROR(__xludf.DUMMYFUNCTION("""COMPUTED_VALUE"""),17)</f>
        <v>17</v>
      </c>
      <c r="E174" s="1">
        <f ca="1">IFERROR(__xludf.DUMMYFUNCTION("""COMPUTED_VALUE"""),0.414)</f>
        <v>0.41399999999999998</v>
      </c>
      <c r="F174" s="1">
        <f ca="1">IFERROR(__xludf.DUMMYFUNCTION("""COMPUTED_VALUE"""),-8.57)</f>
        <v>-8.57</v>
      </c>
      <c r="G174" s="1">
        <f ca="1">IFERROR(__xludf.DUMMYFUNCTION("""COMPUTED_VALUE"""),-6.54)</f>
        <v>-6.54</v>
      </c>
      <c r="H174" s="1">
        <f ca="1">IFERROR(__xludf.DUMMYFUNCTION("""COMPUTED_VALUE"""),6)</f>
        <v>6</v>
      </c>
      <c r="I174" s="1">
        <f ca="1">IFERROR(__xludf.DUMMYFUNCTION("""COMPUTED_VALUE"""),10)</f>
        <v>10</v>
      </c>
      <c r="J174" s="1">
        <f ca="1">IFERROR(__xludf.DUMMYFUNCTION("""COMPUTED_VALUE"""),7)</f>
        <v>7</v>
      </c>
      <c r="K174" s="1">
        <f ca="1">IFERROR(__xludf.DUMMYFUNCTION("""COMPUTED_VALUE"""),6)</f>
        <v>6</v>
      </c>
      <c r="L174" s="1">
        <f ca="1">IFERROR(__xludf.DUMMYFUNCTION("""COMPUTED_VALUE"""),5)</f>
        <v>5</v>
      </c>
      <c r="M174" s="1">
        <f ca="1">IFERROR(__xludf.DUMMYFUNCTION("""COMPUTED_VALUE"""),10)</f>
        <v>10</v>
      </c>
      <c r="N174" s="1">
        <f ca="1">IFERROR(__xludf.DUMMYFUNCTION("""COMPUTED_VALUE"""),1989)</f>
        <v>1989</v>
      </c>
      <c r="O174" s="1">
        <f ca="1">IFERROR(__xludf.DUMMYFUNCTION("""COMPUTED_VALUE"""),1982)</f>
        <v>1982</v>
      </c>
      <c r="P174" s="1">
        <f ca="1">IFERROR(__xludf.DUMMYFUNCTION("""COMPUTED_VALUE"""),1175)</f>
        <v>1175</v>
      </c>
      <c r="Q174" s="1">
        <f ca="1">IFERROR(__xludf.DUMMYFUNCTION("""COMPUTED_VALUE"""),750)</f>
        <v>750</v>
      </c>
      <c r="R174" s="1">
        <f ca="1">IFERROR(__xludf.DUMMYFUNCTION("""COMPUTED_VALUE"""),1696)</f>
        <v>1696</v>
      </c>
      <c r="S174" s="1">
        <f ca="1">IFERROR(__xludf.DUMMYFUNCTION("""COMPUTED_VALUE"""),0.442)</f>
        <v>0.442</v>
      </c>
      <c r="T174" s="1">
        <f ca="1">IFERROR(__xludf.DUMMYFUNCTION("""COMPUTED_VALUE"""),169)</f>
        <v>169</v>
      </c>
      <c r="U174" s="1">
        <f ca="1">IFERROR(__xludf.DUMMYFUNCTION("""COMPUTED_VALUE"""),518)</f>
        <v>518</v>
      </c>
      <c r="V174" s="1">
        <f ca="1">IFERROR(__xludf.DUMMYFUNCTION("""COMPUTED_VALUE"""),0.326)</f>
        <v>0.32600000000000001</v>
      </c>
      <c r="W174" s="1">
        <f ca="1">IFERROR(__xludf.DUMMYFUNCTION("""COMPUTED_VALUE"""),320)</f>
        <v>320</v>
      </c>
      <c r="X174" s="1">
        <f ca="1">IFERROR(__xludf.DUMMYFUNCTION("""COMPUTED_VALUE"""),437)</f>
        <v>437</v>
      </c>
      <c r="Y174" s="1">
        <f ca="1">IFERROR(__xludf.DUMMYFUNCTION("""COMPUTED_VALUE"""),0.732)</f>
        <v>0.73199999999999998</v>
      </c>
      <c r="Z174" s="1">
        <f ca="1">IFERROR(__xludf.DUMMYFUNCTION("""COMPUTED_VALUE"""),317)</f>
        <v>317</v>
      </c>
      <c r="AA174" s="1">
        <f ca="1">IFERROR(__xludf.DUMMYFUNCTION("""COMPUTED_VALUE"""),925)</f>
        <v>925</v>
      </c>
      <c r="AB174" s="1">
        <f ca="1">IFERROR(__xludf.DUMMYFUNCTION("""COMPUTED_VALUE"""),408)</f>
        <v>408</v>
      </c>
      <c r="AC174" s="1">
        <f ca="1">IFERROR(__xludf.DUMMYFUNCTION("""COMPUTED_VALUE"""),178)</f>
        <v>178</v>
      </c>
      <c r="AD174" s="1">
        <f ca="1">IFERROR(__xludf.DUMMYFUNCTION("""COMPUTED_VALUE"""),125)</f>
        <v>125</v>
      </c>
      <c r="AE174" s="1">
        <f ca="1">IFERROR(__xludf.DUMMYFUNCTION("""COMPUTED_VALUE"""),380)</f>
        <v>380</v>
      </c>
      <c r="AF174" s="1">
        <f ca="1">IFERROR(__xludf.DUMMYFUNCTION("""COMPUTED_VALUE"""),539)</f>
        <v>539</v>
      </c>
    </row>
    <row r="175" spans="1:32" ht="12.5" x14ac:dyDescent="0.25">
      <c r="A175" s="1" t="str">
        <f ca="1">IFERROR(__xludf.DUMMYFUNCTION("""COMPUTED_VALUE"""),"Manhattan")</f>
        <v>Manhattan</v>
      </c>
      <c r="B175" s="1">
        <f ca="1">IFERROR(__xludf.DUMMYFUNCTION("""COMPUTED_VALUE"""),34)</f>
        <v>34</v>
      </c>
      <c r="C175" s="1">
        <f ca="1">IFERROR(__xludf.DUMMYFUNCTION("""COMPUTED_VALUE"""),21)</f>
        <v>21</v>
      </c>
      <c r="D175" s="1">
        <f ca="1">IFERROR(__xludf.DUMMYFUNCTION("""COMPUTED_VALUE"""),13)</f>
        <v>13</v>
      </c>
      <c r="E175" s="1">
        <f ca="1">IFERROR(__xludf.DUMMYFUNCTION("""COMPUTED_VALUE"""),0.618)</f>
        <v>0.61799999999999999</v>
      </c>
      <c r="F175" s="1">
        <f ca="1">IFERROR(__xludf.DUMMYFUNCTION("""COMPUTED_VALUE"""),1.46)</f>
        <v>1.46</v>
      </c>
      <c r="G175" s="1">
        <f ca="1">IFERROR(__xludf.DUMMYFUNCTION("""COMPUTED_VALUE"""),-4.13)</f>
        <v>-4.13</v>
      </c>
      <c r="H175" s="1">
        <f ca="1">IFERROR(__xludf.DUMMYFUNCTION("""COMPUTED_VALUE"""),12)</f>
        <v>12</v>
      </c>
      <c r="I175" s="1">
        <f ca="1">IFERROR(__xludf.DUMMYFUNCTION("""COMPUTED_VALUE"""),6)</f>
        <v>6</v>
      </c>
      <c r="J175" s="1">
        <f ca="1">IFERROR(__xludf.DUMMYFUNCTION("""COMPUTED_VALUE"""),9)</f>
        <v>9</v>
      </c>
      <c r="K175" s="1">
        <f ca="1">IFERROR(__xludf.DUMMYFUNCTION("""COMPUTED_VALUE"""),4)</f>
        <v>4</v>
      </c>
      <c r="L175" s="1">
        <f ca="1">IFERROR(__xludf.DUMMYFUNCTION("""COMPUTED_VALUE"""),10)</f>
        <v>10</v>
      </c>
      <c r="M175" s="1">
        <f ca="1">IFERROR(__xludf.DUMMYFUNCTION("""COMPUTED_VALUE"""),8)</f>
        <v>8</v>
      </c>
      <c r="N175" s="1">
        <f ca="1">IFERROR(__xludf.DUMMYFUNCTION("""COMPUTED_VALUE"""),2420)</f>
        <v>2420</v>
      </c>
      <c r="O175" s="1">
        <f ca="1">IFERROR(__xludf.DUMMYFUNCTION("""COMPUTED_VALUE"""),2230)</f>
        <v>2230</v>
      </c>
      <c r="P175" s="1">
        <f ca="1">IFERROR(__xludf.DUMMYFUNCTION("""COMPUTED_VALUE"""),1370)</f>
        <v>1370</v>
      </c>
      <c r="Q175" s="1">
        <f ca="1">IFERROR(__xludf.DUMMYFUNCTION("""COMPUTED_VALUE"""),815)</f>
        <v>815</v>
      </c>
      <c r="R175" s="1">
        <f ca="1">IFERROR(__xludf.DUMMYFUNCTION("""COMPUTED_VALUE"""),1865)</f>
        <v>1865</v>
      </c>
      <c r="S175" s="1">
        <f ca="1">IFERROR(__xludf.DUMMYFUNCTION("""COMPUTED_VALUE"""),0.437)</f>
        <v>0.437</v>
      </c>
      <c r="T175" s="1">
        <f ca="1">IFERROR(__xludf.DUMMYFUNCTION("""COMPUTED_VALUE"""),244)</f>
        <v>244</v>
      </c>
      <c r="U175" s="1">
        <f ca="1">IFERROR(__xludf.DUMMYFUNCTION("""COMPUTED_VALUE"""),676)</f>
        <v>676</v>
      </c>
      <c r="V175" s="1">
        <f ca="1">IFERROR(__xludf.DUMMYFUNCTION("""COMPUTED_VALUE"""),0.361)</f>
        <v>0.36099999999999999</v>
      </c>
      <c r="W175" s="1">
        <f ca="1">IFERROR(__xludf.DUMMYFUNCTION("""COMPUTED_VALUE"""),546)</f>
        <v>546</v>
      </c>
      <c r="X175" s="1">
        <f ca="1">IFERROR(__xludf.DUMMYFUNCTION("""COMPUTED_VALUE"""),750)</f>
        <v>750</v>
      </c>
      <c r="Y175" s="1">
        <f ca="1">IFERROR(__xludf.DUMMYFUNCTION("""COMPUTED_VALUE"""),0.728)</f>
        <v>0.72799999999999998</v>
      </c>
      <c r="Z175" s="1">
        <f ca="1">IFERROR(__xludf.DUMMYFUNCTION("""COMPUTED_VALUE"""),419)</f>
        <v>419</v>
      </c>
      <c r="AA175" s="1">
        <f ca="1">IFERROR(__xludf.DUMMYFUNCTION("""COMPUTED_VALUE"""),1116)</f>
        <v>1116</v>
      </c>
      <c r="AB175" s="1">
        <f ca="1">IFERROR(__xludf.DUMMYFUNCTION("""COMPUTED_VALUE"""),498)</f>
        <v>498</v>
      </c>
      <c r="AC175" s="1">
        <f ca="1">IFERROR(__xludf.DUMMYFUNCTION("""COMPUTED_VALUE"""),269)</f>
        <v>269</v>
      </c>
      <c r="AD175" s="1">
        <f ca="1">IFERROR(__xludf.DUMMYFUNCTION("""COMPUTED_VALUE"""),169)</f>
        <v>169</v>
      </c>
      <c r="AE175" s="1">
        <f ca="1">IFERROR(__xludf.DUMMYFUNCTION("""COMPUTED_VALUE"""),547)</f>
        <v>547</v>
      </c>
      <c r="AF175" s="1">
        <f ca="1">IFERROR(__xludf.DUMMYFUNCTION("""COMPUTED_VALUE"""),694)</f>
        <v>694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IFERROR(__xludf.DUMMYFUNCTION("""COMPUTED_VALUE"""),"Marist")</f>
        <v>Marist</v>
      </c>
      <c r="B178" s="1">
        <f ca="1">IFERROR(__xludf.DUMMYFUNCTION("""COMPUTED_VALUE"""),32)</f>
        <v>32</v>
      </c>
      <c r="C178" s="1">
        <f ca="1">IFERROR(__xludf.DUMMYFUNCTION("""COMPUTED_VALUE"""),14)</f>
        <v>14</v>
      </c>
      <c r="D178" s="1">
        <f ca="1">IFERROR(__xludf.DUMMYFUNCTION("""COMPUTED_VALUE"""),18)</f>
        <v>18</v>
      </c>
      <c r="E178" s="1">
        <f ca="1">IFERROR(__xludf.DUMMYFUNCTION("""COMPUTED_VALUE"""),0.438)</f>
        <v>0.438</v>
      </c>
      <c r="F178" s="1">
        <f ca="1">IFERROR(__xludf.DUMMYFUNCTION("""COMPUTED_VALUE"""),-8.2)</f>
        <v>-8.1999999999999993</v>
      </c>
      <c r="G178" s="1">
        <f ca="1">IFERROR(__xludf.DUMMYFUNCTION("""COMPUTED_VALUE"""),-3.29)</f>
        <v>-3.29</v>
      </c>
      <c r="H178" s="1">
        <f ca="1">IFERROR(__xludf.DUMMYFUNCTION("""COMPUTED_VALUE"""),7)</f>
        <v>7</v>
      </c>
      <c r="I178" s="1">
        <f ca="1">IFERROR(__xludf.DUMMYFUNCTION("""COMPUTED_VALUE"""),11)</f>
        <v>11</v>
      </c>
      <c r="J178" s="1">
        <f ca="1">IFERROR(__xludf.DUMMYFUNCTION("""COMPUTED_VALUE"""),10)</f>
        <v>10</v>
      </c>
      <c r="K178" s="1">
        <f ca="1">IFERROR(__xludf.DUMMYFUNCTION("""COMPUTED_VALUE"""),4)</f>
        <v>4</v>
      </c>
      <c r="L178" s="1">
        <f ca="1">IFERROR(__xludf.DUMMYFUNCTION("""COMPUTED_VALUE"""),2)</f>
        <v>2</v>
      </c>
      <c r="M178" s="1">
        <f ca="1">IFERROR(__xludf.DUMMYFUNCTION("""COMPUTED_VALUE"""),12)</f>
        <v>12</v>
      </c>
      <c r="N178" s="1">
        <f ca="1">IFERROR(__xludf.DUMMYFUNCTION("""COMPUTED_VALUE"""),2176)</f>
        <v>2176</v>
      </c>
      <c r="O178" s="1">
        <f ca="1">IFERROR(__xludf.DUMMYFUNCTION("""COMPUTED_VALUE"""),2333)</f>
        <v>2333</v>
      </c>
      <c r="P178" s="1">
        <f ca="1">IFERROR(__xludf.DUMMYFUNCTION("""COMPUTED_VALUE"""),1290)</f>
        <v>1290</v>
      </c>
      <c r="Q178" s="1">
        <f ca="1">IFERROR(__xludf.DUMMYFUNCTION("""COMPUTED_VALUE"""),721)</f>
        <v>721</v>
      </c>
      <c r="R178" s="1">
        <f ca="1">IFERROR(__xludf.DUMMYFUNCTION("""COMPUTED_VALUE"""),1733)</f>
        <v>1733</v>
      </c>
      <c r="S178" s="1">
        <f ca="1">IFERROR(__xludf.DUMMYFUNCTION("""COMPUTED_VALUE"""),0.416)</f>
        <v>0.41599999999999998</v>
      </c>
      <c r="T178" s="1">
        <f ca="1">IFERROR(__xludf.DUMMYFUNCTION("""COMPUTED_VALUE"""),203)</f>
        <v>203</v>
      </c>
      <c r="U178" s="1">
        <f ca="1">IFERROR(__xludf.DUMMYFUNCTION("""COMPUTED_VALUE"""),569)</f>
        <v>569</v>
      </c>
      <c r="V178" s="1">
        <f ca="1">IFERROR(__xludf.DUMMYFUNCTION("""COMPUTED_VALUE"""),0.357)</f>
        <v>0.35699999999999998</v>
      </c>
      <c r="W178" s="1">
        <f ca="1">IFERROR(__xludf.DUMMYFUNCTION("""COMPUTED_VALUE"""),531)</f>
        <v>531</v>
      </c>
      <c r="X178" s="1">
        <f ca="1">IFERROR(__xludf.DUMMYFUNCTION("""COMPUTED_VALUE"""),734)</f>
        <v>734</v>
      </c>
      <c r="Y178" s="1">
        <f ca="1">IFERROR(__xludf.DUMMYFUNCTION("""COMPUTED_VALUE"""),0.723)</f>
        <v>0.72299999999999998</v>
      </c>
      <c r="Z178" s="1">
        <f ca="1">IFERROR(__xludf.DUMMYFUNCTION("""COMPUTED_VALUE"""),347)</f>
        <v>347</v>
      </c>
      <c r="AA178" s="1">
        <f ca="1">IFERROR(__xludf.DUMMYFUNCTION("""COMPUTED_VALUE"""),964)</f>
        <v>964</v>
      </c>
      <c r="AB178" s="1">
        <f ca="1">IFERROR(__xludf.DUMMYFUNCTION("""COMPUTED_VALUE"""),385)</f>
        <v>385</v>
      </c>
      <c r="AC178" s="1">
        <f ca="1">IFERROR(__xludf.DUMMYFUNCTION("""COMPUTED_VALUE"""),187)</f>
        <v>187</v>
      </c>
      <c r="AD178" s="1">
        <f ca="1">IFERROR(__xludf.DUMMYFUNCTION("""COMPUTED_VALUE"""),140)</f>
        <v>140</v>
      </c>
      <c r="AE178" s="1">
        <f ca="1">IFERROR(__xludf.DUMMYFUNCTION("""COMPUTED_VALUE"""),481)</f>
        <v>481</v>
      </c>
      <c r="AF178" s="1">
        <f ca="1">IFERROR(__xludf.DUMMYFUNCTION("""COMPUTED_VALUE"""),520)</f>
        <v>520</v>
      </c>
    </row>
    <row r="179" spans="1:32" ht="12.5" x14ac:dyDescent="0.25">
      <c r="A179" s="1" t="str">
        <f ca="1">IFERROR(__xludf.DUMMYFUNCTION("""COMPUTED_VALUE"""),"MarquetteNCAA")</f>
        <v>MarquetteNCAA</v>
      </c>
      <c r="B179" s="1">
        <f ca="1">IFERROR(__xludf.DUMMYFUNCTION("""COMPUTED_VALUE"""),35)</f>
        <v>35</v>
      </c>
      <c r="C179" s="1">
        <f ca="1">IFERROR(__xludf.DUMMYFUNCTION("""COMPUTED_VALUE"""),27)</f>
        <v>27</v>
      </c>
      <c r="D179" s="1">
        <f ca="1">IFERROR(__xludf.DUMMYFUNCTION("""COMPUTED_VALUE"""),8)</f>
        <v>8</v>
      </c>
      <c r="E179" s="1">
        <f ca="1">IFERROR(__xludf.DUMMYFUNCTION("""COMPUTED_VALUE"""),0.771)</f>
        <v>0.77100000000000002</v>
      </c>
      <c r="F179" s="1">
        <f ca="1">IFERROR(__xludf.DUMMYFUNCTION("""COMPUTED_VALUE"""),16.92)</f>
        <v>16.920000000000002</v>
      </c>
      <c r="G179" s="1">
        <f ca="1">IFERROR(__xludf.DUMMYFUNCTION("""COMPUTED_VALUE"""),7.5)</f>
        <v>7.5</v>
      </c>
      <c r="H179" s="1">
        <f ca="1">IFERROR(__xludf.DUMMYFUNCTION("""COMPUTED_VALUE"""),14)</f>
        <v>14</v>
      </c>
      <c r="I179" s="1">
        <f ca="1">IFERROR(__xludf.DUMMYFUNCTION("""COMPUTED_VALUE"""),4)</f>
        <v>4</v>
      </c>
      <c r="J179" s="1">
        <f ca="1">IFERROR(__xludf.DUMMYFUNCTION("""COMPUTED_VALUE"""),15)</f>
        <v>15</v>
      </c>
      <c r="K179" s="1">
        <f ca="1">IFERROR(__xludf.DUMMYFUNCTION("""COMPUTED_VALUE"""),1)</f>
        <v>1</v>
      </c>
      <c r="L179" s="1">
        <f ca="1">IFERROR(__xludf.DUMMYFUNCTION("""COMPUTED_VALUE"""),6)</f>
        <v>6</v>
      </c>
      <c r="M179" s="1">
        <f ca="1">IFERROR(__xludf.DUMMYFUNCTION("""COMPUTED_VALUE"""),5)</f>
        <v>5</v>
      </c>
      <c r="N179" s="1">
        <f ca="1">IFERROR(__xludf.DUMMYFUNCTION("""COMPUTED_VALUE"""),2638)</f>
        <v>2638</v>
      </c>
      <c r="O179" s="1">
        <f ca="1">IFERROR(__xludf.DUMMYFUNCTION("""COMPUTED_VALUE"""),2308)</f>
        <v>2308</v>
      </c>
      <c r="P179" s="1">
        <f ca="1">IFERROR(__xludf.DUMMYFUNCTION("""COMPUTED_VALUE"""),1400)</f>
        <v>1400</v>
      </c>
      <c r="Q179" s="1">
        <f ca="1">IFERROR(__xludf.DUMMYFUNCTION("""COMPUTED_VALUE"""),919)</f>
        <v>919</v>
      </c>
      <c r="R179" s="1">
        <f ca="1">IFERROR(__xludf.DUMMYFUNCTION("""COMPUTED_VALUE"""),2033)</f>
        <v>2033</v>
      </c>
      <c r="S179" s="1">
        <f ca="1">IFERROR(__xludf.DUMMYFUNCTION("""COMPUTED_VALUE"""),0.452)</f>
        <v>0.45200000000000001</v>
      </c>
      <c r="T179" s="1">
        <f ca="1">IFERROR(__xludf.DUMMYFUNCTION("""COMPUTED_VALUE"""),201)</f>
        <v>201</v>
      </c>
      <c r="U179" s="1">
        <f ca="1">IFERROR(__xludf.DUMMYFUNCTION("""COMPUTED_VALUE"""),596)</f>
        <v>596</v>
      </c>
      <c r="V179" s="1">
        <f ca="1">IFERROR(__xludf.DUMMYFUNCTION("""COMPUTED_VALUE"""),0.337)</f>
        <v>0.33700000000000002</v>
      </c>
      <c r="W179" s="1">
        <f ca="1">IFERROR(__xludf.DUMMYFUNCTION("""COMPUTED_VALUE"""),599)</f>
        <v>599</v>
      </c>
      <c r="X179" s="1">
        <f ca="1">IFERROR(__xludf.DUMMYFUNCTION("""COMPUTED_VALUE"""),831)</f>
        <v>831</v>
      </c>
      <c r="Y179" s="1">
        <f ca="1">IFERROR(__xludf.DUMMYFUNCTION("""COMPUTED_VALUE"""),0.721)</f>
        <v>0.72099999999999997</v>
      </c>
      <c r="Z179" s="1">
        <f ca="1">IFERROR(__xludf.DUMMYFUNCTION("""COMPUTED_VALUE"""),414)</f>
        <v>414</v>
      </c>
      <c r="AA179" s="1">
        <f ca="1">IFERROR(__xludf.DUMMYFUNCTION("""COMPUTED_VALUE"""),1149)</f>
        <v>1149</v>
      </c>
      <c r="AB179" s="1">
        <f ca="1">IFERROR(__xludf.DUMMYFUNCTION("""COMPUTED_VALUE"""),580)</f>
        <v>580</v>
      </c>
      <c r="AC179" s="1">
        <f ca="1">IFERROR(__xludf.DUMMYFUNCTION("""COMPUTED_VALUE"""),304)</f>
        <v>304</v>
      </c>
      <c r="AD179" s="1">
        <f ca="1">IFERROR(__xludf.DUMMYFUNCTION("""COMPUTED_VALUE"""),122)</f>
        <v>122</v>
      </c>
      <c r="AE179" s="1">
        <f ca="1">IFERROR(__xludf.DUMMYFUNCTION("""COMPUTED_VALUE"""),461)</f>
        <v>461</v>
      </c>
      <c r="AF179" s="1">
        <f ca="1">IFERROR(__xludf.DUMMYFUNCTION("""COMPUTED_VALUE"""),620)</f>
        <v>620</v>
      </c>
    </row>
    <row r="180" spans="1:32" ht="12.5" x14ac:dyDescent="0.25">
      <c r="A180" s="1" t="str">
        <f ca="1">IFERROR(__xludf.DUMMYFUNCTION("""COMPUTED_VALUE"""),"Marshall")</f>
        <v>Marshall</v>
      </c>
      <c r="B180" s="1">
        <f ca="1">IFERROR(__xludf.DUMMYFUNCTION("""COMPUTED_VALUE"""),35)</f>
        <v>35</v>
      </c>
      <c r="C180" s="1">
        <f ca="1">IFERROR(__xludf.DUMMYFUNCTION("""COMPUTED_VALUE"""),21)</f>
        <v>21</v>
      </c>
      <c r="D180" s="1">
        <f ca="1">IFERROR(__xludf.DUMMYFUNCTION("""COMPUTED_VALUE"""),14)</f>
        <v>14</v>
      </c>
      <c r="E180" s="1">
        <f ca="1">IFERROR(__xludf.DUMMYFUNCTION("""COMPUTED_VALUE"""),0.6)</f>
        <v>0.6</v>
      </c>
      <c r="F180" s="1">
        <f ca="1">IFERROR(__xludf.DUMMYFUNCTION("""COMPUTED_VALUE"""),7)</f>
        <v>7</v>
      </c>
      <c r="G180" s="1">
        <f ca="1">IFERROR(__xludf.DUMMYFUNCTION("""COMPUTED_VALUE"""),4.94)</f>
        <v>4.9400000000000004</v>
      </c>
      <c r="H180" s="1">
        <f ca="1">IFERROR(__xludf.DUMMYFUNCTION("""COMPUTED_VALUE"""),9)</f>
        <v>9</v>
      </c>
      <c r="I180" s="1">
        <f ca="1">IFERROR(__xludf.DUMMYFUNCTION("""COMPUTED_VALUE"""),7)</f>
        <v>7</v>
      </c>
      <c r="J180" s="1">
        <f ca="1">IFERROR(__xludf.DUMMYFUNCTION("""COMPUTED_VALUE"""),13)</f>
        <v>13</v>
      </c>
      <c r="K180" s="1">
        <f ca="1">IFERROR(__xludf.DUMMYFUNCTION("""COMPUTED_VALUE"""),3)</f>
        <v>3</v>
      </c>
      <c r="L180" s="1">
        <f ca="1">IFERROR(__xludf.DUMMYFUNCTION("""COMPUTED_VALUE"""),5)</f>
        <v>5</v>
      </c>
      <c r="M180" s="1">
        <f ca="1">IFERROR(__xludf.DUMMYFUNCTION("""COMPUTED_VALUE"""),9)</f>
        <v>9</v>
      </c>
      <c r="N180" s="1">
        <f ca="1">IFERROR(__xludf.DUMMYFUNCTION("""COMPUTED_VALUE"""),2472)</f>
        <v>2472</v>
      </c>
      <c r="O180" s="1">
        <f ca="1">IFERROR(__xludf.DUMMYFUNCTION("""COMPUTED_VALUE"""),2383)</f>
        <v>2383</v>
      </c>
      <c r="P180" s="1">
        <f ca="1">IFERROR(__xludf.DUMMYFUNCTION("""COMPUTED_VALUE"""),1425)</f>
        <v>1425</v>
      </c>
      <c r="Q180" s="1">
        <f ca="1">IFERROR(__xludf.DUMMYFUNCTION("""COMPUTED_VALUE"""),895)</f>
        <v>895</v>
      </c>
      <c r="R180" s="1">
        <f ca="1">IFERROR(__xludf.DUMMYFUNCTION("""COMPUTED_VALUE"""),2052)</f>
        <v>2052</v>
      </c>
      <c r="S180" s="1">
        <f ca="1">IFERROR(__xludf.DUMMYFUNCTION("""COMPUTED_VALUE"""),0.436)</f>
        <v>0.436</v>
      </c>
      <c r="T180" s="1">
        <f ca="1">IFERROR(__xludf.DUMMYFUNCTION("""COMPUTED_VALUE"""),203)</f>
        <v>203</v>
      </c>
      <c r="U180" s="1">
        <f ca="1">IFERROR(__xludf.DUMMYFUNCTION("""COMPUTED_VALUE"""),649)</f>
        <v>649</v>
      </c>
      <c r="V180" s="1">
        <f ca="1">IFERROR(__xludf.DUMMYFUNCTION("""COMPUTED_VALUE"""),0.313)</f>
        <v>0.313</v>
      </c>
      <c r="W180" s="1">
        <f ca="1">IFERROR(__xludf.DUMMYFUNCTION("""COMPUTED_VALUE"""),479)</f>
        <v>479</v>
      </c>
      <c r="X180" s="1">
        <f ca="1">IFERROR(__xludf.DUMMYFUNCTION("""COMPUTED_VALUE"""),780)</f>
        <v>780</v>
      </c>
      <c r="Y180" s="1">
        <f ca="1">IFERROR(__xludf.DUMMYFUNCTION("""COMPUTED_VALUE"""),0.614)</f>
        <v>0.61399999999999999</v>
      </c>
      <c r="Z180" s="1">
        <f ca="1">IFERROR(__xludf.DUMMYFUNCTION("""COMPUTED_VALUE"""),542)</f>
        <v>542</v>
      </c>
      <c r="AA180" s="1">
        <f ca="1">IFERROR(__xludf.DUMMYFUNCTION("""COMPUTED_VALUE"""),1268)</f>
        <v>1268</v>
      </c>
      <c r="AB180" s="1">
        <f ca="1">IFERROR(__xludf.DUMMYFUNCTION("""COMPUTED_VALUE"""),444)</f>
        <v>444</v>
      </c>
      <c r="AC180" s="1">
        <f ca="1">IFERROR(__xludf.DUMMYFUNCTION("""COMPUTED_VALUE"""),213)</f>
        <v>213</v>
      </c>
      <c r="AD180" s="1">
        <f ca="1">IFERROR(__xludf.DUMMYFUNCTION("""COMPUTED_VALUE"""),132)</f>
        <v>132</v>
      </c>
      <c r="AE180" s="1">
        <f ca="1">IFERROR(__xludf.DUMMYFUNCTION("""COMPUTED_VALUE"""),458)</f>
        <v>458</v>
      </c>
      <c r="AF180" s="1">
        <f ca="1">IFERROR(__xludf.DUMMYFUNCTION("""COMPUTED_VALUE"""),708)</f>
        <v>708</v>
      </c>
    </row>
    <row r="181" spans="1:32" ht="12.5" x14ac:dyDescent="0.25">
      <c r="A181" s="1" t="str">
        <f ca="1">IFERROR(__xludf.DUMMYFUNCTION("""COMPUTED_VALUE"""),"Maryland-Baltimore County")</f>
        <v>Maryland-Baltimore County</v>
      </c>
      <c r="B181" s="1">
        <f ca="1">IFERROR(__xludf.DUMMYFUNCTION("""COMPUTED_VALUE"""),30)</f>
        <v>30</v>
      </c>
      <c r="C181" s="1">
        <f ca="1">IFERROR(__xludf.DUMMYFUNCTION("""COMPUTED_VALUE"""),4)</f>
        <v>4</v>
      </c>
      <c r="D181" s="1">
        <f ca="1">IFERROR(__xludf.DUMMYFUNCTION("""COMPUTED_VALUE"""),26)</f>
        <v>26</v>
      </c>
      <c r="E181" s="1">
        <f ca="1">IFERROR(__xludf.DUMMYFUNCTION("""COMPUTED_VALUE"""),0.133)</f>
        <v>0.13300000000000001</v>
      </c>
      <c r="F181" s="1">
        <f ca="1">IFERROR(__xludf.DUMMYFUNCTION("""COMPUTED_VALUE"""),-19.85)</f>
        <v>-19.850000000000001</v>
      </c>
      <c r="G181" s="1">
        <f ca="1">IFERROR(__xludf.DUMMYFUNCTION("""COMPUTED_VALUE"""),-6.02)</f>
        <v>-6.02</v>
      </c>
      <c r="H181" s="1">
        <f ca="1">IFERROR(__xludf.DUMMYFUNCTION("""COMPUTED_VALUE"""),3)</f>
        <v>3</v>
      </c>
      <c r="I181" s="1">
        <f ca="1">IFERROR(__xludf.DUMMYFUNCTION("""COMPUTED_VALUE"""),13)</f>
        <v>13</v>
      </c>
      <c r="J181" s="1">
        <f ca="1">IFERROR(__xludf.DUMMYFUNCTION("""COMPUTED_VALUE"""),1)</f>
        <v>1</v>
      </c>
      <c r="K181" s="1">
        <f ca="1">IFERROR(__xludf.DUMMYFUNCTION("""COMPUTED_VALUE"""),11)</f>
        <v>11</v>
      </c>
      <c r="L181" s="1">
        <f ca="1">IFERROR(__xludf.DUMMYFUNCTION("""COMPUTED_VALUE"""),3)</f>
        <v>3</v>
      </c>
      <c r="M181" s="1">
        <f ca="1">IFERROR(__xludf.DUMMYFUNCTION("""COMPUTED_VALUE"""),14)</f>
        <v>14</v>
      </c>
      <c r="N181" s="1">
        <f ca="1">IFERROR(__xludf.DUMMYFUNCTION("""COMPUTED_VALUE"""),1897)</f>
        <v>1897</v>
      </c>
      <c r="O181" s="1">
        <f ca="1">IFERROR(__xludf.DUMMYFUNCTION("""COMPUTED_VALUE"""),2312)</f>
        <v>2312</v>
      </c>
      <c r="P181" s="1">
        <f ca="1">IFERROR(__xludf.DUMMYFUNCTION("""COMPUTED_VALUE"""),1215)</f>
        <v>1215</v>
      </c>
      <c r="Q181" s="1">
        <f ca="1">IFERROR(__xludf.DUMMYFUNCTION("""COMPUTED_VALUE"""),686)</f>
        <v>686</v>
      </c>
      <c r="R181" s="1">
        <f ca="1">IFERROR(__xludf.DUMMYFUNCTION("""COMPUTED_VALUE"""),1753)</f>
        <v>1753</v>
      </c>
      <c r="S181" s="1">
        <f ca="1">IFERROR(__xludf.DUMMYFUNCTION("""COMPUTED_VALUE"""),0.391)</f>
        <v>0.39100000000000001</v>
      </c>
      <c r="T181" s="1">
        <f ca="1">IFERROR(__xludf.DUMMYFUNCTION("""COMPUTED_VALUE"""),152)</f>
        <v>152</v>
      </c>
      <c r="U181" s="1">
        <f ca="1">IFERROR(__xludf.DUMMYFUNCTION("""COMPUTED_VALUE"""),512)</f>
        <v>512</v>
      </c>
      <c r="V181" s="1">
        <f ca="1">IFERROR(__xludf.DUMMYFUNCTION("""COMPUTED_VALUE"""),0.297)</f>
        <v>0.29699999999999999</v>
      </c>
      <c r="W181" s="1">
        <f ca="1">IFERROR(__xludf.DUMMYFUNCTION("""COMPUTED_VALUE"""),373)</f>
        <v>373</v>
      </c>
      <c r="X181" s="1">
        <f ca="1">IFERROR(__xludf.DUMMYFUNCTION("""COMPUTED_VALUE"""),564)</f>
        <v>564</v>
      </c>
      <c r="Y181" s="1">
        <f ca="1">IFERROR(__xludf.DUMMYFUNCTION("""COMPUTED_VALUE"""),0.661)</f>
        <v>0.66100000000000003</v>
      </c>
      <c r="Z181" s="1">
        <f ca="1">IFERROR(__xludf.DUMMYFUNCTION("""COMPUTED_VALUE"""),367)</f>
        <v>367</v>
      </c>
      <c r="AA181" s="1">
        <f ca="1">IFERROR(__xludf.DUMMYFUNCTION("""COMPUTED_VALUE"""),919)</f>
        <v>919</v>
      </c>
      <c r="AB181" s="1">
        <f ca="1">IFERROR(__xludf.DUMMYFUNCTION("""COMPUTED_VALUE"""),309)</f>
        <v>309</v>
      </c>
      <c r="AC181" s="1">
        <f ca="1">IFERROR(__xludf.DUMMYFUNCTION("""COMPUTED_VALUE"""),175)</f>
        <v>175</v>
      </c>
      <c r="AD181" s="1">
        <f ca="1">IFERROR(__xludf.DUMMYFUNCTION("""COMPUTED_VALUE"""),54)</f>
        <v>54</v>
      </c>
      <c r="AE181" s="1">
        <f ca="1">IFERROR(__xludf.DUMMYFUNCTION("""COMPUTED_VALUE"""),439)</f>
        <v>439</v>
      </c>
      <c r="AF181" s="1">
        <f ca="1">IFERROR(__xludf.DUMMYFUNCTION("""COMPUTED_VALUE"""),630)</f>
        <v>630</v>
      </c>
    </row>
    <row r="182" spans="1:32" ht="12.5" x14ac:dyDescent="0.25">
      <c r="A182" s="1" t="str">
        <f ca="1">IFERROR(__xludf.DUMMYFUNCTION("""COMPUTED_VALUE"""),"Maryland-Eastern Shore")</f>
        <v>Maryland-Eastern Shore</v>
      </c>
      <c r="B182" s="1">
        <f ca="1">IFERROR(__xludf.DUMMYFUNCTION("""COMPUTED_VALUE"""),30)</f>
        <v>30</v>
      </c>
      <c r="C182" s="1">
        <f ca="1">IFERROR(__xludf.DUMMYFUNCTION("""COMPUTED_VALUE"""),7)</f>
        <v>7</v>
      </c>
      <c r="D182" s="1">
        <f ca="1">IFERROR(__xludf.DUMMYFUNCTION("""COMPUTED_VALUE"""),23)</f>
        <v>23</v>
      </c>
      <c r="E182" s="1">
        <f ca="1">IFERROR(__xludf.DUMMYFUNCTION("""COMPUTED_VALUE"""),0.233)</f>
        <v>0.23300000000000001</v>
      </c>
      <c r="F182" s="1">
        <f ca="1">IFERROR(__xludf.DUMMYFUNCTION("""COMPUTED_VALUE"""),-16.79)</f>
        <v>-16.79</v>
      </c>
      <c r="G182" s="1">
        <f ca="1">IFERROR(__xludf.DUMMYFUNCTION("""COMPUTED_VALUE"""),-4.72)</f>
        <v>-4.72</v>
      </c>
      <c r="H182" s="1">
        <f ca="1">IFERROR(__xludf.DUMMYFUNCTION("""COMPUTED_VALUE"""),4)</f>
        <v>4</v>
      </c>
      <c r="I182" s="1">
        <f ca="1">IFERROR(__xludf.DUMMYFUNCTION("""COMPUTED_VALUE"""),12)</f>
        <v>12</v>
      </c>
      <c r="J182" s="1">
        <f ca="1">IFERROR(__xludf.DUMMYFUNCTION("""COMPUTED_VALUE"""),5)</f>
        <v>5</v>
      </c>
      <c r="K182" s="1">
        <f ca="1">IFERROR(__xludf.DUMMYFUNCTION("""COMPUTED_VALUE"""),6)</f>
        <v>6</v>
      </c>
      <c r="L182" s="1">
        <f ca="1">IFERROR(__xludf.DUMMYFUNCTION("""COMPUTED_VALUE"""),2)</f>
        <v>2</v>
      </c>
      <c r="M182" s="1">
        <f ca="1">IFERROR(__xludf.DUMMYFUNCTION("""COMPUTED_VALUE"""),14)</f>
        <v>14</v>
      </c>
      <c r="N182" s="1">
        <f ca="1">IFERROR(__xludf.DUMMYFUNCTION("""COMPUTED_VALUE"""),1785)</f>
        <v>1785</v>
      </c>
      <c r="O182" s="1">
        <f ca="1">IFERROR(__xludf.DUMMYFUNCTION("""COMPUTED_VALUE"""),2109)</f>
        <v>2109</v>
      </c>
      <c r="P182" s="1">
        <f ca="1">IFERROR(__xludf.DUMMYFUNCTION("""COMPUTED_VALUE"""),1210)</f>
        <v>1210</v>
      </c>
      <c r="Q182" s="1">
        <f ca="1">IFERROR(__xludf.DUMMYFUNCTION("""COMPUTED_VALUE"""),644)</f>
        <v>644</v>
      </c>
      <c r="R182" s="1">
        <f ca="1">IFERROR(__xludf.DUMMYFUNCTION("""COMPUTED_VALUE"""),1695)</f>
        <v>1695</v>
      </c>
      <c r="S182" s="1">
        <f ca="1">IFERROR(__xludf.DUMMYFUNCTION("""COMPUTED_VALUE"""),0.38)</f>
        <v>0.38</v>
      </c>
      <c r="T182" s="1">
        <f ca="1">IFERROR(__xludf.DUMMYFUNCTION("""COMPUTED_VALUE"""),154)</f>
        <v>154</v>
      </c>
      <c r="U182" s="1">
        <f ca="1">IFERROR(__xludf.DUMMYFUNCTION("""COMPUTED_VALUE"""),555)</f>
        <v>555</v>
      </c>
      <c r="V182" s="1">
        <f ca="1">IFERROR(__xludf.DUMMYFUNCTION("""COMPUTED_VALUE"""),0.277)</f>
        <v>0.27700000000000002</v>
      </c>
      <c r="W182" s="1">
        <f ca="1">IFERROR(__xludf.DUMMYFUNCTION("""COMPUTED_VALUE"""),343)</f>
        <v>343</v>
      </c>
      <c r="X182" s="1">
        <f ca="1">IFERROR(__xludf.DUMMYFUNCTION("""COMPUTED_VALUE"""),538)</f>
        <v>538</v>
      </c>
      <c r="Y182" s="1">
        <f ca="1">IFERROR(__xludf.DUMMYFUNCTION("""COMPUTED_VALUE"""),0.638)</f>
        <v>0.63800000000000001</v>
      </c>
      <c r="Z182" s="1">
        <f ca="1">IFERROR(__xludf.DUMMYFUNCTION("""COMPUTED_VALUE"""),412)</f>
        <v>412</v>
      </c>
      <c r="AA182" s="1">
        <f ca="1">IFERROR(__xludf.DUMMYFUNCTION("""COMPUTED_VALUE"""),997)</f>
        <v>997</v>
      </c>
      <c r="AB182" s="1">
        <f ca="1">IFERROR(__xludf.DUMMYFUNCTION("""COMPUTED_VALUE"""),317)</f>
        <v>317</v>
      </c>
      <c r="AC182" s="1">
        <f ca="1">IFERROR(__xludf.DUMMYFUNCTION("""COMPUTED_VALUE"""),178)</f>
        <v>178</v>
      </c>
      <c r="AD182" s="1">
        <f ca="1">IFERROR(__xludf.DUMMYFUNCTION("""COMPUTED_VALUE"""),87)</f>
        <v>87</v>
      </c>
      <c r="AE182" s="1">
        <f ca="1">IFERROR(__xludf.DUMMYFUNCTION("""COMPUTED_VALUE"""),522)</f>
        <v>522</v>
      </c>
      <c r="AF182" s="1">
        <f ca="1">IFERROR(__xludf.DUMMYFUNCTION("""COMPUTED_VALUE"""),599)</f>
        <v>599</v>
      </c>
    </row>
    <row r="183" spans="1:32" ht="12.5" x14ac:dyDescent="0.25">
      <c r="A183" s="1" t="str">
        <f ca="1">IFERROR(__xludf.DUMMYFUNCTION("""COMPUTED_VALUE"""),"Maryland")</f>
        <v>Maryland</v>
      </c>
      <c r="B183" s="1">
        <f ca="1">IFERROR(__xludf.DUMMYFUNCTION("""COMPUTED_VALUE"""),32)</f>
        <v>32</v>
      </c>
      <c r="C183" s="1">
        <f ca="1">IFERROR(__xludf.DUMMYFUNCTION("""COMPUTED_VALUE"""),17)</f>
        <v>17</v>
      </c>
      <c r="D183" s="1">
        <f ca="1">IFERROR(__xludf.DUMMYFUNCTION("""COMPUTED_VALUE"""),15)</f>
        <v>15</v>
      </c>
      <c r="E183" s="1">
        <f ca="1">IFERROR(__xludf.DUMMYFUNCTION("""COMPUTED_VALUE"""),0.531)</f>
        <v>0.53100000000000003</v>
      </c>
      <c r="F183" s="1">
        <f ca="1">IFERROR(__xludf.DUMMYFUNCTION("""COMPUTED_VALUE"""),3.95)</f>
        <v>3.95</v>
      </c>
      <c r="G183" s="1">
        <f ca="1">IFERROR(__xludf.DUMMYFUNCTION("""COMPUTED_VALUE"""),5.98)</f>
        <v>5.98</v>
      </c>
      <c r="H183" s="1">
        <f ca="1">IFERROR(__xludf.DUMMYFUNCTION("""COMPUTED_VALUE"""),6)</f>
        <v>6</v>
      </c>
      <c r="I183" s="1">
        <f ca="1">IFERROR(__xludf.DUMMYFUNCTION("""COMPUTED_VALUE"""),10)</f>
        <v>10</v>
      </c>
      <c r="J183" s="1">
        <f ca="1">IFERROR(__xludf.DUMMYFUNCTION("""COMPUTED_VALUE"""),13)</f>
        <v>13</v>
      </c>
      <c r="K183" s="1">
        <f ca="1">IFERROR(__xludf.DUMMYFUNCTION("""COMPUTED_VALUE"""),4)</f>
        <v>4</v>
      </c>
      <c r="L183" s="1">
        <f ca="1">IFERROR(__xludf.DUMMYFUNCTION("""COMPUTED_VALUE"""),1)</f>
        <v>1</v>
      </c>
      <c r="M183" s="1">
        <f ca="1">IFERROR(__xludf.DUMMYFUNCTION("""COMPUTED_VALUE"""),7)</f>
        <v>7</v>
      </c>
      <c r="N183" s="1">
        <f ca="1">IFERROR(__xludf.DUMMYFUNCTION("""COMPUTED_VALUE"""),2198)</f>
        <v>2198</v>
      </c>
      <c r="O183" s="1">
        <f ca="1">IFERROR(__xludf.DUMMYFUNCTION("""COMPUTED_VALUE"""),2263)</f>
        <v>2263</v>
      </c>
      <c r="P183" s="1">
        <f ca="1">IFERROR(__xludf.DUMMYFUNCTION("""COMPUTED_VALUE"""),1295)</f>
        <v>1295</v>
      </c>
      <c r="Q183" s="1">
        <f ca="1">IFERROR(__xludf.DUMMYFUNCTION("""COMPUTED_VALUE"""),743)</f>
        <v>743</v>
      </c>
      <c r="R183" s="1">
        <f ca="1">IFERROR(__xludf.DUMMYFUNCTION("""COMPUTED_VALUE"""),1747)</f>
        <v>1747</v>
      </c>
      <c r="S183" s="1">
        <f ca="1">IFERROR(__xludf.DUMMYFUNCTION("""COMPUTED_VALUE"""),0.425)</f>
        <v>0.42499999999999999</v>
      </c>
      <c r="T183" s="1">
        <f ca="1">IFERROR(__xludf.DUMMYFUNCTION("""COMPUTED_VALUE"""),173)</f>
        <v>173</v>
      </c>
      <c r="U183" s="1">
        <f ca="1">IFERROR(__xludf.DUMMYFUNCTION("""COMPUTED_VALUE"""),510)</f>
        <v>510</v>
      </c>
      <c r="V183" s="1">
        <f ca="1">IFERROR(__xludf.DUMMYFUNCTION("""COMPUTED_VALUE"""),0.339)</f>
        <v>0.33900000000000002</v>
      </c>
      <c r="W183" s="1">
        <f ca="1">IFERROR(__xludf.DUMMYFUNCTION("""COMPUTED_VALUE"""),539)</f>
        <v>539</v>
      </c>
      <c r="X183" s="1">
        <f ca="1">IFERROR(__xludf.DUMMYFUNCTION("""COMPUTED_VALUE"""),812)</f>
        <v>812</v>
      </c>
      <c r="Y183" s="1">
        <f ca="1">IFERROR(__xludf.DUMMYFUNCTION("""COMPUTED_VALUE"""),0.664)</f>
        <v>0.66400000000000003</v>
      </c>
      <c r="Z183" s="1">
        <f ca="1">IFERROR(__xludf.DUMMYFUNCTION("""COMPUTED_VALUE"""),388)</f>
        <v>388</v>
      </c>
      <c r="AA183" s="1">
        <f ca="1">IFERROR(__xludf.DUMMYFUNCTION("""COMPUTED_VALUE"""),1081)</f>
        <v>1081</v>
      </c>
      <c r="AB183" s="1">
        <f ca="1">IFERROR(__xludf.DUMMYFUNCTION("""COMPUTED_VALUE"""),339)</f>
        <v>339</v>
      </c>
      <c r="AC183" s="1">
        <f ca="1">IFERROR(__xludf.DUMMYFUNCTION("""COMPUTED_VALUE"""),137)</f>
        <v>137</v>
      </c>
      <c r="AD183" s="1">
        <f ca="1">IFERROR(__xludf.DUMMYFUNCTION("""COMPUTED_VALUE"""),139)</f>
        <v>139</v>
      </c>
      <c r="AE183" s="1">
        <f ca="1">IFERROR(__xludf.DUMMYFUNCTION("""COMPUTED_VALUE"""),425)</f>
        <v>425</v>
      </c>
      <c r="AF183" s="1">
        <f ca="1">IFERROR(__xludf.DUMMYFUNCTION("""COMPUTED_VALUE"""),563)</f>
        <v>563</v>
      </c>
    </row>
    <row r="184" spans="1:32" ht="12.5" x14ac:dyDescent="0.25">
      <c r="A184" s="1" t="str">
        <f ca="1">IFERROR(__xludf.DUMMYFUNCTION("""COMPUTED_VALUE"""),"Massachusetts")</f>
        <v>Massachusetts</v>
      </c>
      <c r="B184" s="1">
        <f ca="1">IFERROR(__xludf.DUMMYFUNCTION("""COMPUTED_VALUE"""),37)</f>
        <v>37</v>
      </c>
      <c r="C184" s="1">
        <f ca="1">IFERROR(__xludf.DUMMYFUNCTION("""COMPUTED_VALUE"""),25)</f>
        <v>25</v>
      </c>
      <c r="D184" s="1">
        <f ca="1">IFERROR(__xludf.DUMMYFUNCTION("""COMPUTED_VALUE"""),12)</f>
        <v>12</v>
      </c>
      <c r="E184" s="1">
        <f ca="1">IFERROR(__xludf.DUMMYFUNCTION("""COMPUTED_VALUE"""),0.676)</f>
        <v>0.67600000000000005</v>
      </c>
      <c r="F184" s="1">
        <f ca="1">IFERROR(__xludf.DUMMYFUNCTION("""COMPUTED_VALUE"""),7.49)</f>
        <v>7.49</v>
      </c>
      <c r="G184" s="1">
        <f ca="1">IFERROR(__xludf.DUMMYFUNCTION("""COMPUTED_VALUE"""),2.97)</f>
        <v>2.97</v>
      </c>
      <c r="H184" s="1">
        <f ca="1">IFERROR(__xludf.DUMMYFUNCTION("""COMPUTED_VALUE"""),9)</f>
        <v>9</v>
      </c>
      <c r="I184" s="1">
        <f ca="1">IFERROR(__xludf.DUMMYFUNCTION("""COMPUTED_VALUE"""),7)</f>
        <v>7</v>
      </c>
      <c r="J184" s="1">
        <f ca="1">IFERROR(__xludf.DUMMYFUNCTION("""COMPUTED_VALUE"""),15)</f>
        <v>15</v>
      </c>
      <c r="K184" s="1">
        <f ca="1">IFERROR(__xludf.DUMMYFUNCTION("""COMPUTED_VALUE"""),1)</f>
        <v>1</v>
      </c>
      <c r="L184" s="1">
        <f ca="1">IFERROR(__xludf.DUMMYFUNCTION("""COMPUTED_VALUE"""),7)</f>
        <v>7</v>
      </c>
      <c r="M184" s="1">
        <f ca="1">IFERROR(__xludf.DUMMYFUNCTION("""COMPUTED_VALUE"""),7)</f>
        <v>7</v>
      </c>
      <c r="N184" s="1">
        <f ca="1">IFERROR(__xludf.DUMMYFUNCTION("""COMPUTED_VALUE"""),2847)</f>
        <v>2847</v>
      </c>
      <c r="O184" s="1">
        <f ca="1">IFERROR(__xludf.DUMMYFUNCTION("""COMPUTED_VALUE"""),2680)</f>
        <v>2680</v>
      </c>
      <c r="P184" s="1">
        <f ca="1">IFERROR(__xludf.DUMMYFUNCTION("""COMPUTED_VALUE"""),1500)</f>
        <v>1500</v>
      </c>
      <c r="Q184" s="1">
        <f ca="1">IFERROR(__xludf.DUMMYFUNCTION("""COMPUTED_VALUE"""),1016)</f>
        <v>1016</v>
      </c>
      <c r="R184" s="1">
        <f ca="1">IFERROR(__xludf.DUMMYFUNCTION("""COMPUTED_VALUE"""),2341)</f>
        <v>2341</v>
      </c>
      <c r="S184" s="1">
        <f ca="1">IFERROR(__xludf.DUMMYFUNCTION("""COMPUTED_VALUE"""),0.434)</f>
        <v>0.434</v>
      </c>
      <c r="T184" s="1">
        <f ca="1">IFERROR(__xludf.DUMMYFUNCTION("""COMPUTED_VALUE"""),288)</f>
        <v>288</v>
      </c>
      <c r="U184" s="1">
        <f ca="1">IFERROR(__xludf.DUMMYFUNCTION("""COMPUTED_VALUE"""),825)</f>
        <v>825</v>
      </c>
      <c r="V184" s="1">
        <f ca="1">IFERROR(__xludf.DUMMYFUNCTION("""COMPUTED_VALUE"""),0.349)</f>
        <v>0.34899999999999998</v>
      </c>
      <c r="W184" s="1">
        <f ca="1">IFERROR(__xludf.DUMMYFUNCTION("""COMPUTED_VALUE"""),527)</f>
        <v>527</v>
      </c>
      <c r="X184" s="1">
        <f ca="1">IFERROR(__xludf.DUMMYFUNCTION("""COMPUTED_VALUE"""),783)</f>
        <v>783</v>
      </c>
      <c r="Y184" s="1">
        <f ca="1">IFERROR(__xludf.DUMMYFUNCTION("""COMPUTED_VALUE"""),0.673)</f>
        <v>0.67300000000000004</v>
      </c>
      <c r="Z184" s="1">
        <f ca="1">IFERROR(__xludf.DUMMYFUNCTION("""COMPUTED_VALUE"""),499)</f>
        <v>499</v>
      </c>
      <c r="AA184" s="1">
        <f ca="1">IFERROR(__xludf.DUMMYFUNCTION("""COMPUTED_VALUE"""),1302)</f>
        <v>1302</v>
      </c>
      <c r="AB184" s="1">
        <f ca="1">IFERROR(__xludf.DUMMYFUNCTION("""COMPUTED_VALUE"""),565)</f>
        <v>565</v>
      </c>
      <c r="AC184" s="1">
        <f ca="1">IFERROR(__xludf.DUMMYFUNCTION("""COMPUTED_VALUE"""),326)</f>
        <v>326</v>
      </c>
      <c r="AD184" s="1">
        <f ca="1">IFERROR(__xludf.DUMMYFUNCTION("""COMPUTED_VALUE"""),176)</f>
        <v>176</v>
      </c>
      <c r="AE184" s="1">
        <f ca="1">IFERROR(__xludf.DUMMYFUNCTION("""COMPUTED_VALUE"""),548)</f>
        <v>548</v>
      </c>
      <c r="AF184" s="1">
        <f ca="1">IFERROR(__xludf.DUMMYFUNCTION("""COMPUTED_VALUE"""),759)</f>
        <v>759</v>
      </c>
    </row>
    <row r="185" spans="1:32" ht="12.5" x14ac:dyDescent="0.25">
      <c r="A185" s="1" t="str">
        <f ca="1">IFERROR(__xludf.DUMMYFUNCTION("""COMPUTED_VALUE"""),"McNeese State")</f>
        <v>McNeese State</v>
      </c>
      <c r="B185" s="1">
        <f ca="1">IFERROR(__xludf.DUMMYFUNCTION("""COMPUTED_VALUE"""),33)</f>
        <v>33</v>
      </c>
      <c r="C185" s="1">
        <f ca="1">IFERROR(__xludf.DUMMYFUNCTION("""COMPUTED_VALUE"""),17)</f>
        <v>17</v>
      </c>
      <c r="D185" s="1">
        <f ca="1">IFERROR(__xludf.DUMMYFUNCTION("""COMPUTED_VALUE"""),16)</f>
        <v>16</v>
      </c>
      <c r="E185" s="1">
        <f ca="1">IFERROR(__xludf.DUMMYFUNCTION("""COMPUTED_VALUE"""),0.515)</f>
        <v>0.51500000000000001</v>
      </c>
      <c r="F185" s="1">
        <f ca="1">IFERROR(__xludf.DUMMYFUNCTION("""COMPUTED_VALUE"""),-6.26)</f>
        <v>-6.26</v>
      </c>
      <c r="G185" s="1">
        <f ca="1">IFERROR(__xludf.DUMMYFUNCTION("""COMPUTED_VALUE"""),-3.76)</f>
        <v>-3.76</v>
      </c>
      <c r="H185" s="1">
        <f ca="1">IFERROR(__xludf.DUMMYFUNCTION("""COMPUTED_VALUE"""),10)</f>
        <v>10</v>
      </c>
      <c r="I185" s="1">
        <f ca="1">IFERROR(__xludf.DUMMYFUNCTION("""COMPUTED_VALUE"""),6)</f>
        <v>6</v>
      </c>
      <c r="J185" s="1">
        <f ca="1">IFERROR(__xludf.DUMMYFUNCTION("""COMPUTED_VALUE"""),9)</f>
        <v>9</v>
      </c>
      <c r="K185" s="1">
        <f ca="1">IFERROR(__xludf.DUMMYFUNCTION("""COMPUTED_VALUE"""),4)</f>
        <v>4</v>
      </c>
      <c r="L185" s="1">
        <f ca="1">IFERROR(__xludf.DUMMYFUNCTION("""COMPUTED_VALUE"""),6)</f>
        <v>6</v>
      </c>
      <c r="M185" s="1">
        <f ca="1">IFERROR(__xludf.DUMMYFUNCTION("""COMPUTED_VALUE"""),11)</f>
        <v>11</v>
      </c>
      <c r="N185" s="1">
        <f ca="1">IFERROR(__xludf.DUMMYFUNCTION("""COMPUTED_VALUE"""),2207)</f>
        <v>2207</v>
      </c>
      <c r="O185" s="1">
        <f ca="1">IFERROR(__xludf.DUMMYFUNCTION("""COMPUTED_VALUE"""),2185)</f>
        <v>2185</v>
      </c>
      <c r="P185" s="1">
        <f ca="1">IFERROR(__xludf.DUMMYFUNCTION("""COMPUTED_VALUE"""),1325)</f>
        <v>1325</v>
      </c>
      <c r="Q185" s="1">
        <f ca="1">IFERROR(__xludf.DUMMYFUNCTION("""COMPUTED_VALUE"""),804)</f>
        <v>804</v>
      </c>
      <c r="R185" s="1">
        <f ca="1">IFERROR(__xludf.DUMMYFUNCTION("""COMPUTED_VALUE"""),1904)</f>
        <v>1904</v>
      </c>
      <c r="S185" s="1">
        <f ca="1">IFERROR(__xludf.DUMMYFUNCTION("""COMPUTED_VALUE"""),0.422)</f>
        <v>0.42199999999999999</v>
      </c>
      <c r="T185" s="1">
        <f ca="1">IFERROR(__xludf.DUMMYFUNCTION("""COMPUTED_VALUE"""),173)</f>
        <v>173</v>
      </c>
      <c r="U185" s="1">
        <f ca="1">IFERROR(__xludf.DUMMYFUNCTION("""COMPUTED_VALUE"""),539)</f>
        <v>539</v>
      </c>
      <c r="V185" s="1">
        <f ca="1">IFERROR(__xludf.DUMMYFUNCTION("""COMPUTED_VALUE"""),0.321)</f>
        <v>0.32100000000000001</v>
      </c>
      <c r="W185" s="1">
        <f ca="1">IFERROR(__xludf.DUMMYFUNCTION("""COMPUTED_VALUE"""),426)</f>
        <v>426</v>
      </c>
      <c r="X185" s="1">
        <f ca="1">IFERROR(__xludf.DUMMYFUNCTION("""COMPUTED_VALUE"""),631)</f>
        <v>631</v>
      </c>
      <c r="Y185" s="1">
        <f ca="1">IFERROR(__xludf.DUMMYFUNCTION("""COMPUTED_VALUE"""),0.675)</f>
        <v>0.67500000000000004</v>
      </c>
      <c r="Z185" s="1">
        <f ca="1">IFERROR(__xludf.DUMMYFUNCTION("""COMPUTED_VALUE"""),412)</f>
        <v>412</v>
      </c>
      <c r="AA185" s="1">
        <f ca="1">IFERROR(__xludf.DUMMYFUNCTION("""COMPUTED_VALUE"""),1101)</f>
        <v>1101</v>
      </c>
      <c r="AB185" s="1">
        <f ca="1">IFERROR(__xludf.DUMMYFUNCTION("""COMPUTED_VALUE"""),349)</f>
        <v>349</v>
      </c>
      <c r="AC185" s="1">
        <f ca="1">IFERROR(__xludf.DUMMYFUNCTION("""COMPUTED_VALUE"""),222)</f>
        <v>222</v>
      </c>
      <c r="AD185" s="1">
        <f ca="1">IFERROR(__xludf.DUMMYFUNCTION("""COMPUTED_VALUE"""),120)</f>
        <v>120</v>
      </c>
      <c r="AE185" s="1">
        <f ca="1">IFERROR(__xludf.DUMMYFUNCTION("""COMPUTED_VALUE"""),402)</f>
        <v>402</v>
      </c>
      <c r="AF185" s="1">
        <f ca="1">IFERROR(__xludf.DUMMYFUNCTION("""COMPUTED_VALUE"""),585)</f>
        <v>585</v>
      </c>
    </row>
    <row r="186" spans="1:32" ht="12.5" x14ac:dyDescent="0.25">
      <c r="A186" s="1" t="str">
        <f ca="1">IFERROR(__xludf.DUMMYFUNCTION("""COMPUTED_VALUE"""),"MemphisNCAA")</f>
        <v>MemphisNCAA</v>
      </c>
      <c r="B186" s="1">
        <f ca="1">IFERROR(__xludf.DUMMYFUNCTION("""COMPUTED_VALUE"""),35)</f>
        <v>35</v>
      </c>
      <c r="C186" s="1">
        <f ca="1">IFERROR(__xludf.DUMMYFUNCTION("""COMPUTED_VALUE"""),26)</f>
        <v>26</v>
      </c>
      <c r="D186" s="1">
        <f ca="1">IFERROR(__xludf.DUMMYFUNCTION("""COMPUTED_VALUE"""),9)</f>
        <v>9</v>
      </c>
      <c r="E186" s="1">
        <f ca="1">IFERROR(__xludf.DUMMYFUNCTION("""COMPUTED_VALUE"""),0.743)</f>
        <v>0.74299999999999999</v>
      </c>
      <c r="F186" s="1">
        <f ca="1">IFERROR(__xludf.DUMMYFUNCTION("""COMPUTED_VALUE"""),16.86)</f>
        <v>16.86</v>
      </c>
      <c r="G186" s="1">
        <f ca="1">IFERROR(__xludf.DUMMYFUNCTION("""COMPUTED_VALUE"""),5.26)</f>
        <v>5.26</v>
      </c>
      <c r="H186" s="1">
        <f ca="1">IFERROR(__xludf.DUMMYFUNCTION("""COMPUTED_VALUE"""),13)</f>
        <v>13</v>
      </c>
      <c r="I186" s="1">
        <f ca="1">IFERROR(__xludf.DUMMYFUNCTION("""COMPUTED_VALUE"""),3)</f>
        <v>3</v>
      </c>
      <c r="J186" s="1">
        <f ca="1">IFERROR(__xludf.DUMMYFUNCTION("""COMPUTED_VALUE"""),18)</f>
        <v>18</v>
      </c>
      <c r="K186" s="1">
        <f ca="1">IFERROR(__xludf.DUMMYFUNCTION("""COMPUTED_VALUE"""),2)</f>
        <v>2</v>
      </c>
      <c r="L186" s="1">
        <f ca="1">IFERROR(__xludf.DUMMYFUNCTION("""COMPUTED_VALUE"""),7)</f>
        <v>7</v>
      </c>
      <c r="M186" s="1">
        <f ca="1">IFERROR(__xludf.DUMMYFUNCTION("""COMPUTED_VALUE"""),4)</f>
        <v>4</v>
      </c>
      <c r="N186" s="1">
        <f ca="1">IFERROR(__xludf.DUMMYFUNCTION("""COMPUTED_VALUE"""),2614)</f>
        <v>2614</v>
      </c>
      <c r="O186" s="1">
        <f ca="1">IFERROR(__xludf.DUMMYFUNCTION("""COMPUTED_VALUE"""),2208)</f>
        <v>2208</v>
      </c>
      <c r="P186" s="1">
        <f ca="1">IFERROR(__xludf.DUMMYFUNCTION("""COMPUTED_VALUE"""),1415)</f>
        <v>1415</v>
      </c>
      <c r="Q186" s="1">
        <f ca="1">IFERROR(__xludf.DUMMYFUNCTION("""COMPUTED_VALUE"""),933)</f>
        <v>933</v>
      </c>
      <c r="R186" s="1">
        <f ca="1">IFERROR(__xludf.DUMMYFUNCTION("""COMPUTED_VALUE"""),1899)</f>
        <v>1899</v>
      </c>
      <c r="S186" s="1">
        <f ca="1">IFERROR(__xludf.DUMMYFUNCTION("""COMPUTED_VALUE"""),0.491)</f>
        <v>0.49099999999999999</v>
      </c>
      <c r="T186" s="1">
        <f ca="1">IFERROR(__xludf.DUMMYFUNCTION("""COMPUTED_VALUE"""),185)</f>
        <v>185</v>
      </c>
      <c r="U186" s="1">
        <f ca="1">IFERROR(__xludf.DUMMYFUNCTION("""COMPUTED_VALUE"""),511)</f>
        <v>511</v>
      </c>
      <c r="V186" s="1">
        <f ca="1">IFERROR(__xludf.DUMMYFUNCTION("""COMPUTED_VALUE"""),0.362)</f>
        <v>0.36199999999999999</v>
      </c>
      <c r="W186" s="1">
        <f ca="1">IFERROR(__xludf.DUMMYFUNCTION("""COMPUTED_VALUE"""),563)</f>
        <v>563</v>
      </c>
      <c r="X186" s="1">
        <f ca="1">IFERROR(__xludf.DUMMYFUNCTION("""COMPUTED_VALUE"""),785)</f>
        <v>785</v>
      </c>
      <c r="Y186" s="1">
        <f ca="1">IFERROR(__xludf.DUMMYFUNCTION("""COMPUTED_VALUE"""),0.717)</f>
        <v>0.71699999999999997</v>
      </c>
      <c r="Z186" s="1">
        <f ca="1">IFERROR(__xludf.DUMMYFUNCTION("""COMPUTED_VALUE"""),332)</f>
        <v>332</v>
      </c>
      <c r="AA186" s="1">
        <f ca="1">IFERROR(__xludf.DUMMYFUNCTION("""COMPUTED_VALUE"""),1093)</f>
        <v>1093</v>
      </c>
      <c r="AB186" s="1">
        <f ca="1">IFERROR(__xludf.DUMMYFUNCTION("""COMPUTED_VALUE"""),505)</f>
        <v>505</v>
      </c>
      <c r="AC186" s="1">
        <f ca="1">IFERROR(__xludf.DUMMYFUNCTION("""COMPUTED_VALUE"""),278)</f>
        <v>278</v>
      </c>
      <c r="AD186" s="1">
        <f ca="1">IFERROR(__xludf.DUMMYFUNCTION("""COMPUTED_VALUE"""),196)</f>
        <v>196</v>
      </c>
      <c r="AE186" s="1">
        <f ca="1">IFERROR(__xludf.DUMMYFUNCTION("""COMPUTED_VALUE"""),444)</f>
        <v>444</v>
      </c>
      <c r="AF186" s="1">
        <f ca="1">IFERROR(__xludf.DUMMYFUNCTION("""COMPUTED_VALUE"""),665)</f>
        <v>665</v>
      </c>
    </row>
    <row r="187" spans="1:32" ht="12.5" x14ac:dyDescent="0.25">
      <c r="A187" s="1" t="str">
        <f ca="1">IFERROR(__xludf.DUMMYFUNCTION("""COMPUTED_VALUE"""),"Mercer")</f>
        <v>Mercer</v>
      </c>
      <c r="B187" s="1">
        <f ca="1">IFERROR(__xludf.DUMMYFUNCTION("""COMPUTED_VALUE"""),38)</f>
        <v>38</v>
      </c>
      <c r="C187" s="1">
        <f ca="1">IFERROR(__xludf.DUMMYFUNCTION("""COMPUTED_VALUE"""),27)</f>
        <v>27</v>
      </c>
      <c r="D187" s="1">
        <f ca="1">IFERROR(__xludf.DUMMYFUNCTION("""COMPUTED_VALUE"""),11)</f>
        <v>11</v>
      </c>
      <c r="E187" s="1">
        <f ca="1">IFERROR(__xludf.DUMMYFUNCTION("""COMPUTED_VALUE"""),0.711)</f>
        <v>0.71099999999999997</v>
      </c>
      <c r="F187" s="1">
        <f ca="1">IFERROR(__xludf.DUMMYFUNCTION("""COMPUTED_VALUE"""),3.75)</f>
        <v>3.75</v>
      </c>
      <c r="G187" s="1">
        <f ca="1">IFERROR(__xludf.DUMMYFUNCTION("""COMPUTED_VALUE"""),-1.44)</f>
        <v>-1.44</v>
      </c>
      <c r="H187" s="1">
        <f ca="1">IFERROR(__xludf.DUMMYFUNCTION("""COMPUTED_VALUE"""),13)</f>
        <v>13</v>
      </c>
      <c r="I187" s="1">
        <f ca="1">IFERROR(__xludf.DUMMYFUNCTION("""COMPUTED_VALUE"""),5)</f>
        <v>5</v>
      </c>
      <c r="J187" s="1">
        <f ca="1">IFERROR(__xludf.DUMMYFUNCTION("""COMPUTED_VALUE"""),15)</f>
        <v>15</v>
      </c>
      <c r="K187" s="1">
        <f ca="1">IFERROR(__xludf.DUMMYFUNCTION("""COMPUTED_VALUE"""),3)</f>
        <v>3</v>
      </c>
      <c r="L187" s="1">
        <f ca="1">IFERROR(__xludf.DUMMYFUNCTION("""COMPUTED_VALUE"""),12)</f>
        <v>12</v>
      </c>
      <c r="M187" s="1">
        <f ca="1">IFERROR(__xludf.DUMMYFUNCTION("""COMPUTED_VALUE"""),8)</f>
        <v>8</v>
      </c>
      <c r="N187" s="1">
        <f ca="1">IFERROR(__xludf.DUMMYFUNCTION("""COMPUTED_VALUE"""),2589)</f>
        <v>2589</v>
      </c>
      <c r="O187" s="1">
        <f ca="1">IFERROR(__xludf.DUMMYFUNCTION("""COMPUTED_VALUE"""),2388)</f>
        <v>2388</v>
      </c>
      <c r="P187" s="1">
        <f ca="1">IFERROR(__xludf.DUMMYFUNCTION("""COMPUTED_VALUE"""),1530)</f>
        <v>1530</v>
      </c>
      <c r="Q187" s="1">
        <f ca="1">IFERROR(__xludf.DUMMYFUNCTION("""COMPUTED_VALUE"""),899)</f>
        <v>899</v>
      </c>
      <c r="R187" s="1">
        <f ca="1">IFERROR(__xludf.DUMMYFUNCTION("""COMPUTED_VALUE"""),1968)</f>
        <v>1968</v>
      </c>
      <c r="S187" s="1">
        <f ca="1">IFERROR(__xludf.DUMMYFUNCTION("""COMPUTED_VALUE"""),0.457)</f>
        <v>0.45700000000000002</v>
      </c>
      <c r="T187" s="1">
        <f ca="1">IFERROR(__xludf.DUMMYFUNCTION("""COMPUTED_VALUE"""),264)</f>
        <v>264</v>
      </c>
      <c r="U187" s="1">
        <f ca="1">IFERROR(__xludf.DUMMYFUNCTION("""COMPUTED_VALUE"""),730)</f>
        <v>730</v>
      </c>
      <c r="V187" s="1">
        <f ca="1">IFERROR(__xludf.DUMMYFUNCTION("""COMPUTED_VALUE"""),0.362)</f>
        <v>0.36199999999999999</v>
      </c>
      <c r="W187" s="1">
        <f ca="1">IFERROR(__xludf.DUMMYFUNCTION("""COMPUTED_VALUE"""),527)</f>
        <v>527</v>
      </c>
      <c r="X187" s="1">
        <f ca="1">IFERROR(__xludf.DUMMYFUNCTION("""COMPUTED_VALUE"""),734)</f>
        <v>734</v>
      </c>
      <c r="Y187" s="1">
        <f ca="1">IFERROR(__xludf.DUMMYFUNCTION("""COMPUTED_VALUE"""),0.718)</f>
        <v>0.71799999999999997</v>
      </c>
      <c r="Z187" s="1">
        <f ca="1">IFERROR(__xludf.DUMMYFUNCTION("""COMPUTED_VALUE"""),389)</f>
        <v>389</v>
      </c>
      <c r="AA187" s="1">
        <f ca="1">IFERROR(__xludf.DUMMYFUNCTION("""COMPUTED_VALUE"""),1182)</f>
        <v>1182</v>
      </c>
      <c r="AB187" s="1">
        <f ca="1">IFERROR(__xludf.DUMMYFUNCTION("""COMPUTED_VALUE"""),519)</f>
        <v>519</v>
      </c>
      <c r="AC187" s="1">
        <f ca="1">IFERROR(__xludf.DUMMYFUNCTION("""COMPUTED_VALUE"""),259)</f>
        <v>259</v>
      </c>
      <c r="AD187" s="1">
        <f ca="1">IFERROR(__xludf.DUMMYFUNCTION("""COMPUTED_VALUE"""),181)</f>
        <v>181</v>
      </c>
      <c r="AE187" s="1">
        <f ca="1">IFERROR(__xludf.DUMMYFUNCTION("""COMPUTED_VALUE"""),566)</f>
        <v>566</v>
      </c>
      <c r="AF187" s="1">
        <f ca="1">IFERROR(__xludf.DUMMYFUNCTION("""COMPUTED_VALUE"""),722)</f>
        <v>722</v>
      </c>
    </row>
    <row r="188" spans="1:32" ht="12.5" x14ac:dyDescent="0.25">
      <c r="A188" s="1" t="str">
        <f ca="1">IFERROR(__xludf.DUMMYFUNCTION("""COMPUTED_VALUE"""),"Miami (FL)")</f>
        <v>Miami (FL)</v>
      </c>
      <c r="B188" s="1">
        <f ca="1">IFERROR(__xludf.DUMMYFUNCTION("""COMPUTED_VALUE"""),33)</f>
        <v>33</v>
      </c>
      <c r="C188" s="1">
        <f ca="1">IFERROR(__xludf.DUMMYFUNCTION("""COMPUTED_VALUE"""),20)</f>
        <v>20</v>
      </c>
      <c r="D188" s="1">
        <f ca="1">IFERROR(__xludf.DUMMYFUNCTION("""COMPUTED_VALUE"""),13)</f>
        <v>13</v>
      </c>
      <c r="E188" s="1">
        <f ca="1">IFERROR(__xludf.DUMMYFUNCTION("""COMPUTED_VALUE"""),0.606)</f>
        <v>0.60599999999999998</v>
      </c>
      <c r="F188" s="1">
        <f ca="1">IFERROR(__xludf.DUMMYFUNCTION("""COMPUTED_VALUE"""),10.75)</f>
        <v>10.75</v>
      </c>
      <c r="G188" s="1">
        <f ca="1">IFERROR(__xludf.DUMMYFUNCTION("""COMPUTED_VALUE"""),6.17)</f>
        <v>6.17</v>
      </c>
      <c r="H188" s="1">
        <f ca="1">IFERROR(__xludf.DUMMYFUNCTION("""COMPUTED_VALUE"""),9)</f>
        <v>9</v>
      </c>
      <c r="I188" s="1">
        <f ca="1">IFERROR(__xludf.DUMMYFUNCTION("""COMPUTED_VALUE"""),7)</f>
        <v>7</v>
      </c>
      <c r="J188" s="1">
        <f ca="1">IFERROR(__xludf.DUMMYFUNCTION("""COMPUTED_VALUE"""),14)</f>
        <v>14</v>
      </c>
      <c r="K188" s="1">
        <f ca="1">IFERROR(__xludf.DUMMYFUNCTION("""COMPUTED_VALUE"""),4)</f>
        <v>4</v>
      </c>
      <c r="L188" s="1">
        <f ca="1">IFERROR(__xludf.DUMMYFUNCTION("""COMPUTED_VALUE"""),4)</f>
        <v>4</v>
      </c>
      <c r="M188" s="1">
        <f ca="1">IFERROR(__xludf.DUMMYFUNCTION("""COMPUTED_VALUE"""),8)</f>
        <v>8</v>
      </c>
      <c r="N188" s="1">
        <f ca="1">IFERROR(__xludf.DUMMYFUNCTION("""COMPUTED_VALUE"""),2332)</f>
        <v>2332</v>
      </c>
      <c r="O188" s="1">
        <f ca="1">IFERROR(__xludf.DUMMYFUNCTION("""COMPUTED_VALUE"""),2181)</f>
        <v>2181</v>
      </c>
      <c r="P188" s="1">
        <f ca="1">IFERROR(__xludf.DUMMYFUNCTION("""COMPUTED_VALUE"""),1350)</f>
        <v>1350</v>
      </c>
      <c r="Q188" s="1">
        <f ca="1">IFERROR(__xludf.DUMMYFUNCTION("""COMPUTED_VALUE"""),814)</f>
        <v>814</v>
      </c>
      <c r="R188" s="1">
        <f ca="1">IFERROR(__xludf.DUMMYFUNCTION("""COMPUTED_VALUE"""),1890)</f>
        <v>1890</v>
      </c>
      <c r="S188" s="1">
        <f ca="1">IFERROR(__xludf.DUMMYFUNCTION("""COMPUTED_VALUE"""),0.431)</f>
        <v>0.43099999999999999</v>
      </c>
      <c r="T188" s="1">
        <f ca="1">IFERROR(__xludf.DUMMYFUNCTION("""COMPUTED_VALUE"""),250)</f>
        <v>250</v>
      </c>
      <c r="U188" s="1">
        <f ca="1">IFERROR(__xludf.DUMMYFUNCTION("""COMPUTED_VALUE"""),714)</f>
        <v>714</v>
      </c>
      <c r="V188" s="1">
        <f ca="1">IFERROR(__xludf.DUMMYFUNCTION("""COMPUTED_VALUE"""),0.35)</f>
        <v>0.35</v>
      </c>
      <c r="W188" s="1">
        <f ca="1">IFERROR(__xludf.DUMMYFUNCTION("""COMPUTED_VALUE"""),454)</f>
        <v>454</v>
      </c>
      <c r="X188" s="1">
        <f ca="1">IFERROR(__xludf.DUMMYFUNCTION("""COMPUTED_VALUE"""),630)</f>
        <v>630</v>
      </c>
      <c r="Y188" s="1">
        <f ca="1">IFERROR(__xludf.DUMMYFUNCTION("""COMPUTED_VALUE"""),0.721)</f>
        <v>0.72099999999999997</v>
      </c>
      <c r="Z188" s="1">
        <f ca="1">IFERROR(__xludf.DUMMYFUNCTION("""COMPUTED_VALUE"""),372)</f>
        <v>372</v>
      </c>
      <c r="AA188" s="1">
        <f ca="1">IFERROR(__xludf.DUMMYFUNCTION("""COMPUTED_VALUE"""),1043)</f>
        <v>1043</v>
      </c>
      <c r="AB188" s="1">
        <f ca="1">IFERROR(__xludf.DUMMYFUNCTION("""COMPUTED_VALUE"""),392)</f>
        <v>392</v>
      </c>
      <c r="AC188" s="1">
        <f ca="1">IFERROR(__xludf.DUMMYFUNCTION("""COMPUTED_VALUE"""),210)</f>
        <v>210</v>
      </c>
      <c r="AD188" s="1">
        <f ca="1">IFERROR(__xludf.DUMMYFUNCTION("""COMPUTED_VALUE"""),118)</f>
        <v>118</v>
      </c>
      <c r="AE188" s="1">
        <f ca="1">IFERROR(__xludf.DUMMYFUNCTION("""COMPUTED_VALUE"""),382)</f>
        <v>382</v>
      </c>
      <c r="AF188" s="1">
        <f ca="1">IFERROR(__xludf.DUMMYFUNCTION("""COMPUTED_VALUE"""),539)</f>
        <v>539</v>
      </c>
    </row>
    <row r="189" spans="1:32" ht="12.5" x14ac:dyDescent="0.25">
      <c r="A189" s="1" t="str">
        <f ca="1">IFERROR(__xludf.DUMMYFUNCTION("""COMPUTED_VALUE"""),"Miami (OH)")</f>
        <v>Miami (OH)</v>
      </c>
      <c r="B189" s="1">
        <f ca="1">IFERROR(__xludf.DUMMYFUNCTION("""COMPUTED_VALUE"""),30)</f>
        <v>30</v>
      </c>
      <c r="C189" s="1">
        <f ca="1">IFERROR(__xludf.DUMMYFUNCTION("""COMPUTED_VALUE"""),9)</f>
        <v>9</v>
      </c>
      <c r="D189" s="1">
        <f ca="1">IFERROR(__xludf.DUMMYFUNCTION("""COMPUTED_VALUE"""),21)</f>
        <v>21</v>
      </c>
      <c r="E189" s="1">
        <f ca="1">IFERROR(__xludf.DUMMYFUNCTION("""COMPUTED_VALUE"""),0.3)</f>
        <v>0.3</v>
      </c>
      <c r="F189" s="1">
        <f ca="1">IFERROR(__xludf.DUMMYFUNCTION("""COMPUTED_VALUE"""),-2.07)</f>
        <v>-2.0699999999999998</v>
      </c>
      <c r="G189" s="1">
        <f ca="1">IFERROR(__xludf.DUMMYFUNCTION("""COMPUTED_VALUE"""),1.93)</f>
        <v>1.93</v>
      </c>
      <c r="H189" s="1">
        <f ca="1">IFERROR(__xludf.DUMMYFUNCTION("""COMPUTED_VALUE"""),5)</f>
        <v>5</v>
      </c>
      <c r="I189" s="1">
        <f ca="1">IFERROR(__xludf.DUMMYFUNCTION("""COMPUTED_VALUE"""),11)</f>
        <v>11</v>
      </c>
      <c r="J189" s="1">
        <f ca="1">IFERROR(__xludf.DUMMYFUNCTION("""COMPUTED_VALUE"""),7)</f>
        <v>7</v>
      </c>
      <c r="K189" s="1">
        <f ca="1">IFERROR(__xludf.DUMMYFUNCTION("""COMPUTED_VALUE"""),7)</f>
        <v>7</v>
      </c>
      <c r="L189" s="1">
        <f ca="1">IFERROR(__xludf.DUMMYFUNCTION("""COMPUTED_VALUE"""),2)</f>
        <v>2</v>
      </c>
      <c r="M189" s="1">
        <f ca="1">IFERROR(__xludf.DUMMYFUNCTION("""COMPUTED_VALUE"""),13)</f>
        <v>13</v>
      </c>
      <c r="N189" s="1">
        <f ca="1">IFERROR(__xludf.DUMMYFUNCTION("""COMPUTED_VALUE"""),1821)</f>
        <v>1821</v>
      </c>
      <c r="O189" s="1">
        <f ca="1">IFERROR(__xludf.DUMMYFUNCTION("""COMPUTED_VALUE"""),1927)</f>
        <v>1927</v>
      </c>
      <c r="P189" s="1">
        <f ca="1">IFERROR(__xludf.DUMMYFUNCTION("""COMPUTED_VALUE"""),1210)</f>
        <v>1210</v>
      </c>
      <c r="Q189" s="1">
        <f ca="1">IFERROR(__xludf.DUMMYFUNCTION("""COMPUTED_VALUE"""),639)</f>
        <v>639</v>
      </c>
      <c r="R189" s="1">
        <f ca="1">IFERROR(__xludf.DUMMYFUNCTION("""COMPUTED_VALUE"""),1472)</f>
        <v>1472</v>
      </c>
      <c r="S189" s="1">
        <f ca="1">IFERROR(__xludf.DUMMYFUNCTION("""COMPUTED_VALUE"""),0.434)</f>
        <v>0.434</v>
      </c>
      <c r="T189" s="1">
        <f ca="1">IFERROR(__xludf.DUMMYFUNCTION("""COMPUTED_VALUE"""),220)</f>
        <v>220</v>
      </c>
      <c r="U189" s="1">
        <f ca="1">IFERROR(__xludf.DUMMYFUNCTION("""COMPUTED_VALUE"""),619)</f>
        <v>619</v>
      </c>
      <c r="V189" s="1">
        <f ca="1">IFERROR(__xludf.DUMMYFUNCTION("""COMPUTED_VALUE"""),0.355)</f>
        <v>0.35499999999999998</v>
      </c>
      <c r="W189" s="1">
        <f ca="1">IFERROR(__xludf.DUMMYFUNCTION("""COMPUTED_VALUE"""),323)</f>
        <v>323</v>
      </c>
      <c r="X189" s="1">
        <f ca="1">IFERROR(__xludf.DUMMYFUNCTION("""COMPUTED_VALUE"""),463)</f>
        <v>463</v>
      </c>
      <c r="Y189" s="1">
        <f ca="1">IFERROR(__xludf.DUMMYFUNCTION("""COMPUTED_VALUE"""),0.698)</f>
        <v>0.69799999999999995</v>
      </c>
      <c r="Z189" s="1">
        <f ca="1">IFERROR(__xludf.DUMMYFUNCTION("""COMPUTED_VALUE"""),251)</f>
        <v>251</v>
      </c>
      <c r="AA189" s="1">
        <f ca="1">IFERROR(__xludf.DUMMYFUNCTION("""COMPUTED_VALUE"""),813)</f>
        <v>813</v>
      </c>
      <c r="AB189" s="1">
        <f ca="1">IFERROR(__xludf.DUMMYFUNCTION("""COMPUTED_VALUE"""),351)</f>
        <v>351</v>
      </c>
      <c r="AC189" s="1">
        <f ca="1">IFERROR(__xludf.DUMMYFUNCTION("""COMPUTED_VALUE"""),165)</f>
        <v>165</v>
      </c>
      <c r="AD189" s="1">
        <f ca="1">IFERROR(__xludf.DUMMYFUNCTION("""COMPUTED_VALUE"""),72)</f>
        <v>72</v>
      </c>
      <c r="AE189" s="1">
        <f ca="1">IFERROR(__xludf.DUMMYFUNCTION("""COMPUTED_VALUE"""),406)</f>
        <v>406</v>
      </c>
      <c r="AF189" s="1">
        <f ca="1">IFERROR(__xludf.DUMMYFUNCTION("""COMPUTED_VALUE"""),504)</f>
        <v>504</v>
      </c>
    </row>
    <row r="190" spans="1:32" ht="12.5" x14ac:dyDescent="0.25">
      <c r="A190" s="1" t="str">
        <f ca="1">IFERROR(__xludf.DUMMYFUNCTION("""COMPUTED_VALUE"""),"Michigan StateNCAA")</f>
        <v>Michigan StateNCAA</v>
      </c>
      <c r="B190" s="1">
        <f ca="1">IFERROR(__xludf.DUMMYFUNCTION("""COMPUTED_VALUE"""),37)</f>
        <v>37</v>
      </c>
      <c r="C190" s="1">
        <f ca="1">IFERROR(__xludf.DUMMYFUNCTION("""COMPUTED_VALUE"""),29)</f>
        <v>29</v>
      </c>
      <c r="D190" s="1">
        <f ca="1">IFERROR(__xludf.DUMMYFUNCTION("""COMPUTED_VALUE"""),8)</f>
        <v>8</v>
      </c>
      <c r="E190" s="1">
        <f ca="1">IFERROR(__xludf.DUMMYFUNCTION("""COMPUTED_VALUE"""),0.784)</f>
        <v>0.78400000000000003</v>
      </c>
      <c r="F190" s="1">
        <f ca="1">IFERROR(__xludf.DUMMYFUNCTION("""COMPUTED_VALUE"""),21.32)</f>
        <v>21.32</v>
      </c>
      <c r="G190" s="1">
        <f ca="1">IFERROR(__xludf.DUMMYFUNCTION("""COMPUTED_VALUE"""),9.82)</f>
        <v>9.82</v>
      </c>
      <c r="H190" s="1">
        <f ca="1">IFERROR(__xludf.DUMMYFUNCTION("""COMPUTED_VALUE"""),13)</f>
        <v>13</v>
      </c>
      <c r="I190" s="1">
        <f ca="1">IFERROR(__xludf.DUMMYFUNCTION("""COMPUTED_VALUE"""),5)</f>
        <v>5</v>
      </c>
      <c r="J190" s="1">
        <f ca="1">IFERROR(__xludf.DUMMYFUNCTION("""COMPUTED_VALUE"""),17)</f>
        <v>17</v>
      </c>
      <c r="K190" s="1">
        <f ca="1">IFERROR(__xludf.DUMMYFUNCTION("""COMPUTED_VALUE"""),1)</f>
        <v>1</v>
      </c>
      <c r="L190" s="1">
        <f ca="1">IFERROR(__xludf.DUMMYFUNCTION("""COMPUTED_VALUE"""),7)</f>
        <v>7</v>
      </c>
      <c r="M190" s="1">
        <f ca="1">IFERROR(__xludf.DUMMYFUNCTION("""COMPUTED_VALUE"""),4)</f>
        <v>4</v>
      </c>
      <c r="N190" s="1">
        <f ca="1">IFERROR(__xludf.DUMMYFUNCTION("""COMPUTED_VALUE"""),2651)</f>
        <v>2651</v>
      </c>
      <c r="O190" s="1">
        <f ca="1">IFERROR(__xludf.DUMMYFUNCTION("""COMPUTED_VALUE"""),2195)</f>
        <v>2195</v>
      </c>
      <c r="P190" s="1">
        <f ca="1">IFERROR(__xludf.DUMMYFUNCTION("""COMPUTED_VALUE"""),1485)</f>
        <v>1485</v>
      </c>
      <c r="Q190" s="1">
        <f ca="1">IFERROR(__xludf.DUMMYFUNCTION("""COMPUTED_VALUE"""),960)</f>
        <v>960</v>
      </c>
      <c r="R190" s="1">
        <f ca="1">IFERROR(__xludf.DUMMYFUNCTION("""COMPUTED_VALUE"""),2012)</f>
        <v>2012</v>
      </c>
      <c r="S190" s="1">
        <f ca="1">IFERROR(__xludf.DUMMYFUNCTION("""COMPUTED_VALUE"""),0.477)</f>
        <v>0.47699999999999998</v>
      </c>
      <c r="T190" s="1">
        <f ca="1">IFERROR(__xludf.DUMMYFUNCTION("""COMPUTED_VALUE"""),200)</f>
        <v>200</v>
      </c>
      <c r="U190" s="1">
        <f ca="1">IFERROR(__xludf.DUMMYFUNCTION("""COMPUTED_VALUE"""),555)</f>
        <v>555</v>
      </c>
      <c r="V190" s="1">
        <f ca="1">IFERROR(__xludf.DUMMYFUNCTION("""COMPUTED_VALUE"""),0.36)</f>
        <v>0.36</v>
      </c>
      <c r="W190" s="1">
        <f ca="1">IFERROR(__xludf.DUMMYFUNCTION("""COMPUTED_VALUE"""),531)</f>
        <v>531</v>
      </c>
      <c r="X190" s="1">
        <f ca="1">IFERROR(__xludf.DUMMYFUNCTION("""COMPUTED_VALUE"""),759)</f>
        <v>759</v>
      </c>
      <c r="Y190" s="1">
        <f ca="1">IFERROR(__xludf.DUMMYFUNCTION("""COMPUTED_VALUE"""),0.7)</f>
        <v>0.7</v>
      </c>
      <c r="Z190" s="1">
        <f ca="1">IFERROR(__xludf.DUMMYFUNCTION("""COMPUTED_VALUE"""),420)</f>
        <v>420</v>
      </c>
      <c r="AA190" s="1">
        <f ca="1">IFERROR(__xludf.DUMMYFUNCTION("""COMPUTED_VALUE"""),1302)</f>
        <v>1302</v>
      </c>
      <c r="AB190" s="1">
        <f ca="1">IFERROR(__xludf.DUMMYFUNCTION("""COMPUTED_VALUE"""),566)</f>
        <v>566</v>
      </c>
      <c r="AC190" s="1">
        <f ca="1">IFERROR(__xludf.DUMMYFUNCTION("""COMPUTED_VALUE"""),265)</f>
        <v>265</v>
      </c>
      <c r="AD190" s="1">
        <f ca="1">IFERROR(__xludf.DUMMYFUNCTION("""COMPUTED_VALUE"""),157)</f>
        <v>157</v>
      </c>
      <c r="AE190" s="1">
        <f ca="1">IFERROR(__xludf.DUMMYFUNCTION("""COMPUTED_VALUE"""),474)</f>
        <v>474</v>
      </c>
      <c r="AF190" s="1">
        <f ca="1">IFERROR(__xludf.DUMMYFUNCTION("""COMPUTED_VALUE"""),650)</f>
        <v>650</v>
      </c>
    </row>
    <row r="191" spans="1:32" ht="12.5" x14ac:dyDescent="0.25">
      <c r="A191" s="1" t="str">
        <f ca="1">IFERROR(__xludf.DUMMYFUNCTION("""COMPUTED_VALUE"""),"MichiganNCAA")</f>
        <v>MichiganNCAA</v>
      </c>
      <c r="B191" s="1">
        <f ca="1">IFERROR(__xludf.DUMMYFUNCTION("""COMPUTED_VALUE"""),34)</f>
        <v>34</v>
      </c>
      <c r="C191" s="1">
        <f ca="1">IFERROR(__xludf.DUMMYFUNCTION("""COMPUTED_VALUE"""),24)</f>
        <v>24</v>
      </c>
      <c r="D191" s="1">
        <f ca="1">IFERROR(__xludf.DUMMYFUNCTION("""COMPUTED_VALUE"""),10)</f>
        <v>10</v>
      </c>
      <c r="E191" s="1">
        <f ca="1">IFERROR(__xludf.DUMMYFUNCTION("""COMPUTED_VALUE"""),0.706)</f>
        <v>0.70599999999999996</v>
      </c>
      <c r="F191" s="1">
        <f ca="1">IFERROR(__xludf.DUMMYFUNCTION("""COMPUTED_VALUE"""),13.19)</f>
        <v>13.19</v>
      </c>
      <c r="G191" s="1">
        <f ca="1">IFERROR(__xludf.DUMMYFUNCTION("""COMPUTED_VALUE"""),8.98)</f>
        <v>8.98</v>
      </c>
      <c r="H191" s="1">
        <f ca="1">IFERROR(__xludf.DUMMYFUNCTION("""COMPUTED_VALUE"""),13)</f>
        <v>13</v>
      </c>
      <c r="I191" s="1">
        <f ca="1">IFERROR(__xludf.DUMMYFUNCTION("""COMPUTED_VALUE"""),5)</f>
        <v>5</v>
      </c>
      <c r="J191" s="1">
        <f ca="1">IFERROR(__xludf.DUMMYFUNCTION("""COMPUTED_VALUE"""),15)</f>
        <v>15</v>
      </c>
      <c r="K191" s="1">
        <f ca="1">IFERROR(__xludf.DUMMYFUNCTION("""COMPUTED_VALUE"""),1)</f>
        <v>1</v>
      </c>
      <c r="L191" s="1">
        <f ca="1">IFERROR(__xludf.DUMMYFUNCTION("""COMPUTED_VALUE"""),5)</f>
        <v>5</v>
      </c>
      <c r="M191" s="1">
        <f ca="1">IFERROR(__xludf.DUMMYFUNCTION("""COMPUTED_VALUE"""),6)</f>
        <v>6</v>
      </c>
      <c r="N191" s="1">
        <f ca="1">IFERROR(__xludf.DUMMYFUNCTION("""COMPUTED_VALUE"""),2255)</f>
        <v>2255</v>
      </c>
      <c r="O191" s="1">
        <f ca="1">IFERROR(__xludf.DUMMYFUNCTION("""COMPUTED_VALUE"""),2090)</f>
        <v>2090</v>
      </c>
      <c r="P191" s="1">
        <f ca="1">IFERROR(__xludf.DUMMYFUNCTION("""COMPUTED_VALUE"""),1375)</f>
        <v>1375</v>
      </c>
      <c r="Q191" s="1">
        <f ca="1">IFERROR(__xludf.DUMMYFUNCTION("""COMPUTED_VALUE"""),808)</f>
        <v>808</v>
      </c>
      <c r="R191" s="1">
        <f ca="1">IFERROR(__xludf.DUMMYFUNCTION("""COMPUTED_VALUE"""),1777)</f>
        <v>1777</v>
      </c>
      <c r="S191" s="1">
        <f ca="1">IFERROR(__xludf.DUMMYFUNCTION("""COMPUTED_VALUE"""),0.455)</f>
        <v>0.45500000000000002</v>
      </c>
      <c r="T191" s="1">
        <f ca="1">IFERROR(__xludf.DUMMYFUNCTION("""COMPUTED_VALUE"""),276)</f>
        <v>276</v>
      </c>
      <c r="U191" s="1">
        <f ca="1">IFERROR(__xludf.DUMMYFUNCTION("""COMPUTED_VALUE"""),788)</f>
        <v>788</v>
      </c>
      <c r="V191" s="1">
        <f ca="1">IFERROR(__xludf.DUMMYFUNCTION("""COMPUTED_VALUE"""),0.35)</f>
        <v>0.35</v>
      </c>
      <c r="W191" s="1">
        <f ca="1">IFERROR(__xludf.DUMMYFUNCTION("""COMPUTED_VALUE"""),363)</f>
        <v>363</v>
      </c>
      <c r="X191" s="1">
        <f ca="1">IFERROR(__xludf.DUMMYFUNCTION("""COMPUTED_VALUE"""),503)</f>
        <v>503</v>
      </c>
      <c r="Y191" s="1">
        <f ca="1">IFERROR(__xludf.DUMMYFUNCTION("""COMPUTED_VALUE"""),0.722)</f>
        <v>0.72199999999999998</v>
      </c>
      <c r="Z191" s="1">
        <f ca="1">IFERROR(__xludf.DUMMYFUNCTION("""COMPUTED_VALUE"""),291)</f>
        <v>291</v>
      </c>
      <c r="AA191" s="1">
        <f ca="1">IFERROR(__xludf.DUMMYFUNCTION("""COMPUTED_VALUE"""),967)</f>
        <v>967</v>
      </c>
      <c r="AB191" s="1">
        <f ca="1">IFERROR(__xludf.DUMMYFUNCTION("""COMPUTED_VALUE"""),431)</f>
        <v>431</v>
      </c>
      <c r="AC191" s="1">
        <f ca="1">IFERROR(__xludf.DUMMYFUNCTION("""COMPUTED_VALUE"""),168)</f>
        <v>168</v>
      </c>
      <c r="AD191" s="1">
        <f ca="1">IFERROR(__xludf.DUMMYFUNCTION("""COMPUTED_VALUE"""),72)</f>
        <v>72</v>
      </c>
      <c r="AE191" s="1">
        <f ca="1">IFERROR(__xludf.DUMMYFUNCTION("""COMPUTED_VALUE"""),370)</f>
        <v>370</v>
      </c>
      <c r="AF191" s="1">
        <f ca="1">IFERROR(__xludf.DUMMYFUNCTION("""COMPUTED_VALUE"""),530)</f>
        <v>530</v>
      </c>
    </row>
    <row r="192" spans="1:32" ht="12.5" x14ac:dyDescent="0.25">
      <c r="A192" s="1" t="str">
        <f ca="1">IFERROR(__xludf.DUMMYFUNCTION("""COMPUTED_VALUE"""),"Middle Tennessee")</f>
        <v>Middle Tennessee</v>
      </c>
      <c r="B192" s="1">
        <f ca="1">IFERROR(__xludf.DUMMYFUNCTION("""COMPUTED_VALUE"""),34)</f>
        <v>34</v>
      </c>
      <c r="C192" s="1">
        <f ca="1">IFERROR(__xludf.DUMMYFUNCTION("""COMPUTED_VALUE"""),27)</f>
        <v>27</v>
      </c>
      <c r="D192" s="1">
        <f ca="1">IFERROR(__xludf.DUMMYFUNCTION("""COMPUTED_VALUE"""),7)</f>
        <v>7</v>
      </c>
      <c r="E192" s="1">
        <f ca="1">IFERROR(__xludf.DUMMYFUNCTION("""COMPUTED_VALUE"""),0.794)</f>
        <v>0.79400000000000004</v>
      </c>
      <c r="F192" s="1">
        <f ca="1">IFERROR(__xludf.DUMMYFUNCTION("""COMPUTED_VALUE"""),8.69)</f>
        <v>8.69</v>
      </c>
      <c r="G192" s="1">
        <f ca="1">IFERROR(__xludf.DUMMYFUNCTION("""COMPUTED_VALUE"""),-0.13)</f>
        <v>-0.13</v>
      </c>
      <c r="H192" s="1">
        <f ca="1">IFERROR(__xludf.DUMMYFUNCTION("""COMPUTED_VALUE"""),14)</f>
        <v>14</v>
      </c>
      <c r="I192" s="1">
        <f ca="1">IFERROR(__xludf.DUMMYFUNCTION("""COMPUTED_VALUE"""),2)</f>
        <v>2</v>
      </c>
      <c r="J192" s="1">
        <f ca="1">IFERROR(__xludf.DUMMYFUNCTION("""COMPUTED_VALUE"""),15)</f>
        <v>15</v>
      </c>
      <c r="K192" s="1">
        <f ca="1">IFERROR(__xludf.DUMMYFUNCTION("""COMPUTED_VALUE"""),2)</f>
        <v>2</v>
      </c>
      <c r="L192" s="1">
        <f ca="1">IFERROR(__xludf.DUMMYFUNCTION("""COMPUTED_VALUE"""),11)</f>
        <v>11</v>
      </c>
      <c r="M192" s="1">
        <f ca="1">IFERROR(__xludf.DUMMYFUNCTION("""COMPUTED_VALUE"""),4)</f>
        <v>4</v>
      </c>
      <c r="N192" s="1">
        <f ca="1">IFERROR(__xludf.DUMMYFUNCTION("""COMPUTED_VALUE"""),2459)</f>
        <v>2459</v>
      </c>
      <c r="O192" s="1">
        <f ca="1">IFERROR(__xludf.DUMMYFUNCTION("""COMPUTED_VALUE"""),2128)</f>
        <v>2128</v>
      </c>
      <c r="P192" s="1">
        <f ca="1">IFERROR(__xludf.DUMMYFUNCTION("""COMPUTED_VALUE"""),1370)</f>
        <v>1370</v>
      </c>
      <c r="Q192" s="1">
        <f ca="1">IFERROR(__xludf.DUMMYFUNCTION("""COMPUTED_VALUE"""),882)</f>
        <v>882</v>
      </c>
      <c r="R192" s="1">
        <f ca="1">IFERROR(__xludf.DUMMYFUNCTION("""COMPUTED_VALUE"""),1782)</f>
        <v>1782</v>
      </c>
      <c r="S192" s="1">
        <f ca="1">IFERROR(__xludf.DUMMYFUNCTION("""COMPUTED_VALUE"""),0.495)</f>
        <v>0.495</v>
      </c>
      <c r="T192" s="1">
        <f ca="1">IFERROR(__xludf.DUMMYFUNCTION("""COMPUTED_VALUE"""),163)</f>
        <v>163</v>
      </c>
      <c r="U192" s="1">
        <f ca="1">IFERROR(__xludf.DUMMYFUNCTION("""COMPUTED_VALUE"""),445)</f>
        <v>445</v>
      </c>
      <c r="V192" s="1">
        <f ca="1">IFERROR(__xludf.DUMMYFUNCTION("""COMPUTED_VALUE"""),0.366)</f>
        <v>0.36599999999999999</v>
      </c>
      <c r="W192" s="1">
        <f ca="1">IFERROR(__xludf.DUMMYFUNCTION("""COMPUTED_VALUE"""),532)</f>
        <v>532</v>
      </c>
      <c r="X192" s="1">
        <f ca="1">IFERROR(__xludf.DUMMYFUNCTION("""COMPUTED_VALUE"""),838)</f>
        <v>838</v>
      </c>
      <c r="Y192" s="1">
        <f ca="1">IFERROR(__xludf.DUMMYFUNCTION("""COMPUTED_VALUE"""),0.635)</f>
        <v>0.63500000000000001</v>
      </c>
      <c r="Z192" s="1">
        <f ca="1">IFERROR(__xludf.DUMMYFUNCTION("""COMPUTED_VALUE"""),376)</f>
        <v>376</v>
      </c>
      <c r="AA192" s="1">
        <f ca="1">IFERROR(__xludf.DUMMYFUNCTION("""COMPUTED_VALUE"""),1101)</f>
        <v>1101</v>
      </c>
      <c r="AB192" s="1">
        <f ca="1">IFERROR(__xludf.DUMMYFUNCTION("""COMPUTED_VALUE"""),525)</f>
        <v>525</v>
      </c>
      <c r="AC192" s="1">
        <f ca="1">IFERROR(__xludf.DUMMYFUNCTION("""COMPUTED_VALUE"""),238)</f>
        <v>238</v>
      </c>
      <c r="AD192" s="1">
        <f ca="1">IFERROR(__xludf.DUMMYFUNCTION("""COMPUTED_VALUE"""),150)</f>
        <v>150</v>
      </c>
      <c r="AE192" s="1">
        <f ca="1">IFERROR(__xludf.DUMMYFUNCTION("""COMPUTED_VALUE"""),473)</f>
        <v>473</v>
      </c>
      <c r="AF192" s="1">
        <f ca="1">IFERROR(__xludf.DUMMYFUNCTION("""COMPUTED_VALUE"""),670)</f>
        <v>670</v>
      </c>
    </row>
    <row r="193" spans="1:32" ht="12.5" x14ac:dyDescent="0.25">
      <c r="A193" s="1" t="str">
        <f ca="1">IFERROR(__xludf.DUMMYFUNCTION("""COMPUTED_VALUE"""),"Milwaukee")</f>
        <v>Milwaukee</v>
      </c>
      <c r="B193" s="1">
        <f ca="1">IFERROR(__xludf.DUMMYFUNCTION("""COMPUTED_VALUE"""),34)</f>
        <v>34</v>
      </c>
      <c r="C193" s="1">
        <f ca="1">IFERROR(__xludf.DUMMYFUNCTION("""COMPUTED_VALUE"""),20)</f>
        <v>20</v>
      </c>
      <c r="D193" s="1">
        <f ca="1">IFERROR(__xludf.DUMMYFUNCTION("""COMPUTED_VALUE"""),14)</f>
        <v>14</v>
      </c>
      <c r="E193" s="1">
        <f ca="1">IFERROR(__xludf.DUMMYFUNCTION("""COMPUTED_VALUE"""),0.588)</f>
        <v>0.58799999999999997</v>
      </c>
      <c r="F193" s="1">
        <f ca="1">IFERROR(__xludf.DUMMYFUNCTION("""COMPUTED_VALUE"""),0.53)</f>
        <v>0.53</v>
      </c>
      <c r="G193" s="1">
        <f ca="1">IFERROR(__xludf.DUMMYFUNCTION("""COMPUTED_VALUE"""),0.06)</f>
        <v>0.06</v>
      </c>
      <c r="H193" s="1">
        <f ca="1">IFERROR(__xludf.DUMMYFUNCTION("""COMPUTED_VALUE"""),11)</f>
        <v>11</v>
      </c>
      <c r="I193" s="1">
        <f ca="1">IFERROR(__xludf.DUMMYFUNCTION("""COMPUTED_VALUE"""),7)</f>
        <v>7</v>
      </c>
      <c r="J193" s="1">
        <f ca="1">IFERROR(__xludf.DUMMYFUNCTION("""COMPUTED_VALUE"""),13)</f>
        <v>13</v>
      </c>
      <c r="K193" s="1">
        <f ca="1">IFERROR(__xludf.DUMMYFUNCTION("""COMPUTED_VALUE"""),3)</f>
        <v>3</v>
      </c>
      <c r="L193" s="1">
        <f ca="1">IFERROR(__xludf.DUMMYFUNCTION("""COMPUTED_VALUE"""),7)</f>
        <v>7</v>
      </c>
      <c r="M193" s="1">
        <f ca="1">IFERROR(__xludf.DUMMYFUNCTION("""COMPUTED_VALUE"""),10)</f>
        <v>10</v>
      </c>
      <c r="N193" s="1">
        <f ca="1">IFERROR(__xludf.DUMMYFUNCTION("""COMPUTED_VALUE"""),2183)</f>
        <v>2183</v>
      </c>
      <c r="O193" s="1">
        <f ca="1">IFERROR(__xludf.DUMMYFUNCTION("""COMPUTED_VALUE"""),2126)</f>
        <v>2126</v>
      </c>
      <c r="P193" s="1">
        <f ca="1">IFERROR(__xludf.DUMMYFUNCTION("""COMPUTED_VALUE"""),1365)</f>
        <v>1365</v>
      </c>
      <c r="Q193" s="1">
        <f ca="1">IFERROR(__xludf.DUMMYFUNCTION("""COMPUTED_VALUE"""),748)</f>
        <v>748</v>
      </c>
      <c r="R193" s="1">
        <f ca="1">IFERROR(__xludf.DUMMYFUNCTION("""COMPUTED_VALUE"""),1792)</f>
        <v>1792</v>
      </c>
      <c r="S193" s="1">
        <f ca="1">IFERROR(__xludf.DUMMYFUNCTION("""COMPUTED_VALUE"""),0.417)</f>
        <v>0.41699999999999998</v>
      </c>
      <c r="T193" s="1">
        <f ca="1">IFERROR(__xludf.DUMMYFUNCTION("""COMPUTED_VALUE"""),264)</f>
        <v>264</v>
      </c>
      <c r="U193" s="1">
        <f ca="1">IFERROR(__xludf.DUMMYFUNCTION("""COMPUTED_VALUE"""),764)</f>
        <v>764</v>
      </c>
      <c r="V193" s="1">
        <f ca="1">IFERROR(__xludf.DUMMYFUNCTION("""COMPUTED_VALUE"""),0.346)</f>
        <v>0.34599999999999997</v>
      </c>
      <c r="W193" s="1">
        <f ca="1">IFERROR(__xludf.DUMMYFUNCTION("""COMPUTED_VALUE"""),423)</f>
        <v>423</v>
      </c>
      <c r="X193" s="1">
        <f ca="1">IFERROR(__xludf.DUMMYFUNCTION("""COMPUTED_VALUE"""),691)</f>
        <v>691</v>
      </c>
      <c r="Y193" s="1">
        <f ca="1">IFERROR(__xludf.DUMMYFUNCTION("""COMPUTED_VALUE"""),0.612)</f>
        <v>0.61199999999999999</v>
      </c>
      <c r="Z193" s="1">
        <f ca="1">IFERROR(__xludf.DUMMYFUNCTION("""COMPUTED_VALUE"""),377)</f>
        <v>377</v>
      </c>
      <c r="AA193" s="1">
        <f ca="1">IFERROR(__xludf.DUMMYFUNCTION("""COMPUTED_VALUE"""),1052)</f>
        <v>1052</v>
      </c>
      <c r="AB193" s="1">
        <f ca="1">IFERROR(__xludf.DUMMYFUNCTION("""COMPUTED_VALUE"""),426)</f>
        <v>426</v>
      </c>
      <c r="AC193" s="1">
        <f ca="1">IFERROR(__xludf.DUMMYFUNCTION("""COMPUTED_VALUE"""),209)</f>
        <v>209</v>
      </c>
      <c r="AD193" s="1">
        <f ca="1">IFERROR(__xludf.DUMMYFUNCTION("""COMPUTED_VALUE"""),87)</f>
        <v>87</v>
      </c>
      <c r="AE193" s="1">
        <f ca="1">IFERROR(__xludf.DUMMYFUNCTION("""COMPUTED_VALUE"""),467)</f>
        <v>467</v>
      </c>
      <c r="AF193" s="1">
        <f ca="1">IFERROR(__xludf.DUMMYFUNCTION("""COMPUTED_VALUE"""),582)</f>
        <v>582</v>
      </c>
    </row>
    <row r="194" spans="1:32" ht="12.5" x14ac:dyDescent="0.25">
      <c r="A194" s="1" t="str">
        <f ca="1">IFERROR(__xludf.DUMMYFUNCTION("""COMPUTED_VALUE"""),"Minnesota")</f>
        <v>Minnesota</v>
      </c>
      <c r="B194" s="1">
        <f ca="1">IFERROR(__xludf.DUMMYFUNCTION("""COMPUTED_VALUE"""),38)</f>
        <v>38</v>
      </c>
      <c r="C194" s="1">
        <f ca="1">IFERROR(__xludf.DUMMYFUNCTION("""COMPUTED_VALUE"""),23)</f>
        <v>23</v>
      </c>
      <c r="D194" s="1">
        <f ca="1">IFERROR(__xludf.DUMMYFUNCTION("""COMPUTED_VALUE"""),15)</f>
        <v>15</v>
      </c>
      <c r="E194" s="1">
        <f ca="1">IFERROR(__xludf.DUMMYFUNCTION("""COMPUTED_VALUE"""),0.605)</f>
        <v>0.60499999999999998</v>
      </c>
      <c r="F194" s="1">
        <f ca="1">IFERROR(__xludf.DUMMYFUNCTION("""COMPUTED_VALUE"""),10.7)</f>
        <v>10.7</v>
      </c>
      <c r="G194" s="1">
        <f ca="1">IFERROR(__xludf.DUMMYFUNCTION("""COMPUTED_VALUE"""),7.89)</f>
        <v>7.89</v>
      </c>
      <c r="H194" s="1">
        <f ca="1">IFERROR(__xludf.DUMMYFUNCTION("""COMPUTED_VALUE"""),6)</f>
        <v>6</v>
      </c>
      <c r="I194" s="1">
        <f ca="1">IFERROR(__xludf.DUMMYFUNCTION("""COMPUTED_VALUE"""),12)</f>
        <v>12</v>
      </c>
      <c r="J194" s="1">
        <f ca="1">IFERROR(__xludf.DUMMYFUNCTION("""COMPUTED_VALUE"""),13)</f>
        <v>13</v>
      </c>
      <c r="K194" s="1">
        <f ca="1">IFERROR(__xludf.DUMMYFUNCTION("""COMPUTED_VALUE"""),6)</f>
        <v>6</v>
      </c>
      <c r="L194" s="1">
        <f ca="1">IFERROR(__xludf.DUMMYFUNCTION("""COMPUTED_VALUE"""),6)</f>
        <v>6</v>
      </c>
      <c r="M194" s="1">
        <f ca="1">IFERROR(__xludf.DUMMYFUNCTION("""COMPUTED_VALUE"""),6)</f>
        <v>6</v>
      </c>
      <c r="N194" s="1">
        <f ca="1">IFERROR(__xludf.DUMMYFUNCTION("""COMPUTED_VALUE"""),2569)</f>
        <v>2569</v>
      </c>
      <c r="O194" s="1">
        <f ca="1">IFERROR(__xludf.DUMMYFUNCTION("""COMPUTED_VALUE"""),2462)</f>
        <v>2462</v>
      </c>
      <c r="P194" s="1">
        <f ca="1">IFERROR(__xludf.DUMMYFUNCTION("""COMPUTED_VALUE"""),1555)</f>
        <v>1555</v>
      </c>
      <c r="Q194" s="1">
        <f ca="1">IFERROR(__xludf.DUMMYFUNCTION("""COMPUTED_VALUE"""),915)</f>
        <v>915</v>
      </c>
      <c r="R194" s="1">
        <f ca="1">IFERROR(__xludf.DUMMYFUNCTION("""COMPUTED_VALUE"""),1979)</f>
        <v>1979</v>
      </c>
      <c r="S194" s="1">
        <f ca="1">IFERROR(__xludf.DUMMYFUNCTION("""COMPUTED_VALUE"""),0.462)</f>
        <v>0.46200000000000002</v>
      </c>
      <c r="T194" s="1">
        <f ca="1">IFERROR(__xludf.DUMMYFUNCTION("""COMPUTED_VALUE"""),203)</f>
        <v>203</v>
      </c>
      <c r="U194" s="1">
        <f ca="1">IFERROR(__xludf.DUMMYFUNCTION("""COMPUTED_VALUE"""),571)</f>
        <v>571</v>
      </c>
      <c r="V194" s="1">
        <f ca="1">IFERROR(__xludf.DUMMYFUNCTION("""COMPUTED_VALUE"""),0.356)</f>
        <v>0.35599999999999998</v>
      </c>
      <c r="W194" s="1">
        <f ca="1">IFERROR(__xludf.DUMMYFUNCTION("""COMPUTED_VALUE"""),536)</f>
        <v>536</v>
      </c>
      <c r="X194" s="1">
        <f ca="1">IFERROR(__xludf.DUMMYFUNCTION("""COMPUTED_VALUE"""),769)</f>
        <v>769</v>
      </c>
      <c r="Y194" s="1">
        <f ca="1">IFERROR(__xludf.DUMMYFUNCTION("""COMPUTED_VALUE"""),0.697)</f>
        <v>0.69699999999999995</v>
      </c>
      <c r="Z194" s="1">
        <f ca="1">IFERROR(__xludf.DUMMYFUNCTION("""COMPUTED_VALUE"""),435)</f>
        <v>435</v>
      </c>
      <c r="AA194" s="1">
        <f ca="1">IFERROR(__xludf.DUMMYFUNCTION("""COMPUTED_VALUE"""),1184)</f>
        <v>1184</v>
      </c>
      <c r="AB194" s="1">
        <f ca="1">IFERROR(__xludf.DUMMYFUNCTION("""COMPUTED_VALUE"""),573)</f>
        <v>573</v>
      </c>
      <c r="AC194" s="1">
        <f ca="1">IFERROR(__xludf.DUMMYFUNCTION("""COMPUTED_VALUE"""),269)</f>
        <v>269</v>
      </c>
      <c r="AD194" s="1">
        <f ca="1">IFERROR(__xludf.DUMMYFUNCTION("""COMPUTED_VALUE"""),186)</f>
        <v>186</v>
      </c>
      <c r="AE194" s="1">
        <f ca="1">IFERROR(__xludf.DUMMYFUNCTION("""COMPUTED_VALUE"""),558)</f>
        <v>558</v>
      </c>
      <c r="AF194" s="1">
        <f ca="1">IFERROR(__xludf.DUMMYFUNCTION("""COMPUTED_VALUE"""),703)</f>
        <v>703</v>
      </c>
    </row>
    <row r="195" spans="1:32" ht="12.5" x14ac:dyDescent="0.25">
      <c r="A195" s="1" t="str">
        <f ca="1">IFERROR(__xludf.DUMMYFUNCTION("""COMPUTED_VALUE"""),"Mississippi State")</f>
        <v>Mississippi State</v>
      </c>
      <c r="B195" s="1">
        <f ca="1">IFERROR(__xludf.DUMMYFUNCTION("""COMPUTED_VALUE"""),33)</f>
        <v>33</v>
      </c>
      <c r="C195" s="1">
        <f ca="1">IFERROR(__xludf.DUMMYFUNCTION("""COMPUTED_VALUE"""),21)</f>
        <v>21</v>
      </c>
      <c r="D195" s="1">
        <f ca="1">IFERROR(__xludf.DUMMYFUNCTION("""COMPUTED_VALUE"""),12)</f>
        <v>12</v>
      </c>
      <c r="E195" s="1">
        <f ca="1">IFERROR(__xludf.DUMMYFUNCTION("""COMPUTED_VALUE"""),0.636)</f>
        <v>0.63600000000000001</v>
      </c>
      <c r="F195" s="1">
        <f ca="1">IFERROR(__xludf.DUMMYFUNCTION("""COMPUTED_VALUE"""),9.13)</f>
        <v>9.1300000000000008</v>
      </c>
      <c r="G195" s="1">
        <f ca="1">IFERROR(__xludf.DUMMYFUNCTION("""COMPUTED_VALUE"""),4.86)</f>
        <v>4.8600000000000003</v>
      </c>
      <c r="H195" s="1">
        <f ca="1">IFERROR(__xludf.DUMMYFUNCTION("""COMPUTED_VALUE"""),8)</f>
        <v>8</v>
      </c>
      <c r="I195" s="1">
        <f ca="1">IFERROR(__xludf.DUMMYFUNCTION("""COMPUTED_VALUE"""),8)</f>
        <v>8</v>
      </c>
      <c r="J195" s="1">
        <f ca="1">IFERROR(__xludf.DUMMYFUNCTION("""COMPUTED_VALUE"""),15)</f>
        <v>15</v>
      </c>
      <c r="K195" s="1">
        <f ca="1">IFERROR(__xludf.DUMMYFUNCTION("""COMPUTED_VALUE"""),4)</f>
        <v>4</v>
      </c>
      <c r="L195" s="1">
        <f ca="1">IFERROR(__xludf.DUMMYFUNCTION("""COMPUTED_VALUE"""),3)</f>
        <v>3</v>
      </c>
      <c r="M195" s="1">
        <f ca="1">IFERROR(__xludf.DUMMYFUNCTION("""COMPUTED_VALUE"""),6)</f>
        <v>6</v>
      </c>
      <c r="N195" s="1">
        <f ca="1">IFERROR(__xludf.DUMMYFUNCTION("""COMPUTED_VALUE"""),2377)</f>
        <v>2377</v>
      </c>
      <c r="O195" s="1">
        <f ca="1">IFERROR(__xludf.DUMMYFUNCTION("""COMPUTED_VALUE"""),2236)</f>
        <v>2236</v>
      </c>
      <c r="P195" s="1">
        <f ca="1">IFERROR(__xludf.DUMMYFUNCTION("""COMPUTED_VALUE"""),1350)</f>
        <v>1350</v>
      </c>
      <c r="Q195" s="1">
        <f ca="1">IFERROR(__xludf.DUMMYFUNCTION("""COMPUTED_VALUE"""),854)</f>
        <v>854</v>
      </c>
      <c r="R195" s="1">
        <f ca="1">IFERROR(__xludf.DUMMYFUNCTION("""COMPUTED_VALUE"""),1880)</f>
        <v>1880</v>
      </c>
      <c r="S195" s="1">
        <f ca="1">IFERROR(__xludf.DUMMYFUNCTION("""COMPUTED_VALUE"""),0.454)</f>
        <v>0.45400000000000001</v>
      </c>
      <c r="T195" s="1">
        <f ca="1">IFERROR(__xludf.DUMMYFUNCTION("""COMPUTED_VALUE"""),233)</f>
        <v>233</v>
      </c>
      <c r="U195" s="1">
        <f ca="1">IFERROR(__xludf.DUMMYFUNCTION("""COMPUTED_VALUE"""),653)</f>
        <v>653</v>
      </c>
      <c r="V195" s="1">
        <f ca="1">IFERROR(__xludf.DUMMYFUNCTION("""COMPUTED_VALUE"""),0.357)</f>
        <v>0.35699999999999998</v>
      </c>
      <c r="W195" s="1">
        <f ca="1">IFERROR(__xludf.DUMMYFUNCTION("""COMPUTED_VALUE"""),436)</f>
        <v>436</v>
      </c>
      <c r="X195" s="1">
        <f ca="1">IFERROR(__xludf.DUMMYFUNCTION("""COMPUTED_VALUE"""),614)</f>
        <v>614</v>
      </c>
      <c r="Y195" s="1">
        <f ca="1">IFERROR(__xludf.DUMMYFUNCTION("""COMPUTED_VALUE"""),0.71)</f>
        <v>0.71</v>
      </c>
      <c r="Z195" s="1">
        <f ca="1">IFERROR(__xludf.DUMMYFUNCTION("""COMPUTED_VALUE"""),359)</f>
        <v>359</v>
      </c>
      <c r="AA195" s="1">
        <f ca="1">IFERROR(__xludf.DUMMYFUNCTION("""COMPUTED_VALUE"""),1118)</f>
        <v>1118</v>
      </c>
      <c r="AB195" s="1">
        <f ca="1">IFERROR(__xludf.DUMMYFUNCTION("""COMPUTED_VALUE"""),441)</f>
        <v>441</v>
      </c>
      <c r="AC195" s="1">
        <f ca="1">IFERROR(__xludf.DUMMYFUNCTION("""COMPUTED_VALUE"""),198)</f>
        <v>198</v>
      </c>
      <c r="AD195" s="1">
        <f ca="1">IFERROR(__xludf.DUMMYFUNCTION("""COMPUTED_VALUE"""),116)</f>
        <v>116</v>
      </c>
      <c r="AE195" s="1">
        <f ca="1">IFERROR(__xludf.DUMMYFUNCTION("""COMPUTED_VALUE"""),396)</f>
        <v>396</v>
      </c>
      <c r="AF195" s="1">
        <f ca="1">IFERROR(__xludf.DUMMYFUNCTION("""COMPUTED_VALUE"""),457)</f>
        <v>457</v>
      </c>
    </row>
    <row r="196" spans="1:32" ht="12.5" x14ac:dyDescent="0.25">
      <c r="A196" s="1" t="str">
        <f ca="1">IFERROR(__xludf.DUMMYFUNCTION("""COMPUTED_VALUE"""),"Mississippi Valley StateNCAA")</f>
        <v>Mississippi Valley StateNCAA</v>
      </c>
      <c r="B196" s="1">
        <f ca="1">IFERROR(__xludf.DUMMYFUNCTION("""COMPUTED_VALUE"""),34)</f>
        <v>34</v>
      </c>
      <c r="C196" s="1">
        <f ca="1">IFERROR(__xludf.DUMMYFUNCTION("""COMPUTED_VALUE"""),21)</f>
        <v>21</v>
      </c>
      <c r="D196" s="1">
        <f ca="1">IFERROR(__xludf.DUMMYFUNCTION("""COMPUTED_VALUE"""),13)</f>
        <v>13</v>
      </c>
      <c r="E196" s="1">
        <f ca="1">IFERROR(__xludf.DUMMYFUNCTION("""COMPUTED_VALUE"""),0.618)</f>
        <v>0.61799999999999999</v>
      </c>
      <c r="F196" s="1">
        <f ca="1">IFERROR(__xludf.DUMMYFUNCTION("""COMPUTED_VALUE"""),-8.03)</f>
        <v>-8.0299999999999994</v>
      </c>
      <c r="G196" s="1">
        <f ca="1">IFERROR(__xludf.DUMMYFUNCTION("""COMPUTED_VALUE"""),-7.65)</f>
        <v>-7.65</v>
      </c>
      <c r="H196" s="1">
        <f ca="1">IFERROR(__xludf.DUMMYFUNCTION("""COMPUTED_VALUE"""),17)</f>
        <v>17</v>
      </c>
      <c r="I196" s="1">
        <f ca="1">IFERROR(__xludf.DUMMYFUNCTION("""COMPUTED_VALUE"""),1)</f>
        <v>1</v>
      </c>
      <c r="J196" s="1">
        <f ca="1">IFERROR(__xludf.DUMMYFUNCTION("""COMPUTED_VALUE"""),9)</f>
        <v>9</v>
      </c>
      <c r="K196" s="1">
        <f ca="1">IFERROR(__xludf.DUMMYFUNCTION("""COMPUTED_VALUE"""),0)</f>
        <v>0</v>
      </c>
      <c r="L196" s="1">
        <f ca="1">IFERROR(__xludf.DUMMYFUNCTION("""COMPUTED_VALUE"""),8)</f>
        <v>8</v>
      </c>
      <c r="M196" s="1">
        <f ca="1">IFERROR(__xludf.DUMMYFUNCTION("""COMPUTED_VALUE"""),11)</f>
        <v>11</v>
      </c>
      <c r="N196" s="1">
        <f ca="1">IFERROR(__xludf.DUMMYFUNCTION("""COMPUTED_VALUE"""),2332)</f>
        <v>2332</v>
      </c>
      <c r="O196" s="1">
        <f ca="1">IFERROR(__xludf.DUMMYFUNCTION("""COMPUTED_VALUE"""),2345)</f>
        <v>2345</v>
      </c>
      <c r="P196" s="1">
        <f ca="1">IFERROR(__xludf.DUMMYFUNCTION("""COMPUTED_VALUE"""),1375)</f>
        <v>1375</v>
      </c>
      <c r="Q196" s="1">
        <f ca="1">IFERROR(__xludf.DUMMYFUNCTION("""COMPUTED_VALUE"""),812)</f>
        <v>812</v>
      </c>
      <c r="R196" s="1">
        <f ca="1">IFERROR(__xludf.DUMMYFUNCTION("""COMPUTED_VALUE"""),2025)</f>
        <v>2025</v>
      </c>
      <c r="S196" s="1">
        <f ca="1">IFERROR(__xludf.DUMMYFUNCTION("""COMPUTED_VALUE"""),0.401)</f>
        <v>0.40100000000000002</v>
      </c>
      <c r="T196" s="1">
        <f ca="1">IFERROR(__xludf.DUMMYFUNCTION("""COMPUTED_VALUE"""),252)</f>
        <v>252</v>
      </c>
      <c r="U196" s="1">
        <f ca="1">IFERROR(__xludf.DUMMYFUNCTION("""COMPUTED_VALUE"""),777)</f>
        <v>777</v>
      </c>
      <c r="V196" s="1">
        <f ca="1">IFERROR(__xludf.DUMMYFUNCTION("""COMPUTED_VALUE"""),0.324)</f>
        <v>0.32400000000000001</v>
      </c>
      <c r="W196" s="1">
        <f ca="1">IFERROR(__xludf.DUMMYFUNCTION("""COMPUTED_VALUE"""),456)</f>
        <v>456</v>
      </c>
      <c r="X196" s="1">
        <f ca="1">IFERROR(__xludf.DUMMYFUNCTION("""COMPUTED_VALUE"""),708)</f>
        <v>708</v>
      </c>
      <c r="Y196" s="1">
        <f ca="1">IFERROR(__xludf.DUMMYFUNCTION("""COMPUTED_VALUE"""),0.644)</f>
        <v>0.64400000000000002</v>
      </c>
      <c r="Z196" s="1">
        <f ca="1">IFERROR(__xludf.DUMMYFUNCTION("""COMPUTED_VALUE"""),460)</f>
        <v>460</v>
      </c>
      <c r="AA196" s="1">
        <f ca="1">IFERROR(__xludf.DUMMYFUNCTION("""COMPUTED_VALUE"""),1156)</f>
        <v>1156</v>
      </c>
      <c r="AB196" s="1">
        <f ca="1">IFERROR(__xludf.DUMMYFUNCTION("""COMPUTED_VALUE"""),451)</f>
        <v>451</v>
      </c>
      <c r="AC196" s="1">
        <f ca="1">IFERROR(__xludf.DUMMYFUNCTION("""COMPUTED_VALUE"""),300)</f>
        <v>300</v>
      </c>
      <c r="AD196" s="1">
        <f ca="1">IFERROR(__xludf.DUMMYFUNCTION("""COMPUTED_VALUE"""),87)</f>
        <v>87</v>
      </c>
      <c r="AE196" s="1">
        <f ca="1">IFERROR(__xludf.DUMMYFUNCTION("""COMPUTED_VALUE"""),511)</f>
        <v>511</v>
      </c>
      <c r="AF196" s="1">
        <f ca="1">IFERROR(__xludf.DUMMYFUNCTION("""COMPUTED_VALUE"""),698)</f>
        <v>698</v>
      </c>
    </row>
    <row r="197" spans="1:32" ht="12.5" x14ac:dyDescent="0.25">
      <c r="A197" s="1" t="str">
        <f ca="1">IFERROR(__xludf.DUMMYFUNCTION("""COMPUTED_VALUE"""),"Mississippi")</f>
        <v>Mississippi</v>
      </c>
      <c r="B197" s="1">
        <f ca="1">IFERROR(__xludf.DUMMYFUNCTION("""COMPUTED_VALUE"""),34)</f>
        <v>34</v>
      </c>
      <c r="C197" s="1">
        <f ca="1">IFERROR(__xludf.DUMMYFUNCTION("""COMPUTED_VALUE"""),20)</f>
        <v>20</v>
      </c>
      <c r="D197" s="1">
        <f ca="1">IFERROR(__xludf.DUMMYFUNCTION("""COMPUTED_VALUE"""),14)</f>
        <v>14</v>
      </c>
      <c r="E197" s="1">
        <f ca="1">IFERROR(__xludf.DUMMYFUNCTION("""COMPUTED_VALUE"""),0.588)</f>
        <v>0.58799999999999997</v>
      </c>
      <c r="F197" s="1">
        <f ca="1">IFERROR(__xludf.DUMMYFUNCTION("""COMPUTED_VALUE"""),6.53)</f>
        <v>6.53</v>
      </c>
      <c r="G197" s="1">
        <f ca="1">IFERROR(__xludf.DUMMYFUNCTION("""COMPUTED_VALUE"""),5.8)</f>
        <v>5.8</v>
      </c>
      <c r="H197" s="1">
        <f ca="1">IFERROR(__xludf.DUMMYFUNCTION("""COMPUTED_VALUE"""),8)</f>
        <v>8</v>
      </c>
      <c r="I197" s="1">
        <f ca="1">IFERROR(__xludf.DUMMYFUNCTION("""COMPUTED_VALUE"""),8)</f>
        <v>8</v>
      </c>
      <c r="J197" s="1">
        <f ca="1">IFERROR(__xludf.DUMMYFUNCTION("""COMPUTED_VALUE"""),12)</f>
        <v>12</v>
      </c>
      <c r="K197" s="1">
        <f ca="1">IFERROR(__xludf.DUMMYFUNCTION("""COMPUTED_VALUE"""),3)</f>
        <v>3</v>
      </c>
      <c r="L197" s="1">
        <f ca="1">IFERROR(__xludf.DUMMYFUNCTION("""COMPUTED_VALUE"""),4)</f>
        <v>4</v>
      </c>
      <c r="M197" s="1">
        <f ca="1">IFERROR(__xludf.DUMMYFUNCTION("""COMPUTED_VALUE"""),8)</f>
        <v>8</v>
      </c>
      <c r="N197" s="1">
        <f ca="1">IFERROR(__xludf.DUMMYFUNCTION("""COMPUTED_VALUE"""),2275)</f>
        <v>2275</v>
      </c>
      <c r="O197" s="1">
        <f ca="1">IFERROR(__xludf.DUMMYFUNCTION("""COMPUTED_VALUE"""),2250)</f>
        <v>2250</v>
      </c>
      <c r="P197" s="1">
        <f ca="1">IFERROR(__xludf.DUMMYFUNCTION("""COMPUTED_VALUE"""),1395)</f>
        <v>1395</v>
      </c>
      <c r="Q197" s="1">
        <f ca="1">IFERROR(__xludf.DUMMYFUNCTION("""COMPUTED_VALUE"""),820)</f>
        <v>820</v>
      </c>
      <c r="R197" s="1">
        <f ca="1">IFERROR(__xludf.DUMMYFUNCTION("""COMPUTED_VALUE"""),1896)</f>
        <v>1896</v>
      </c>
      <c r="S197" s="1">
        <f ca="1">IFERROR(__xludf.DUMMYFUNCTION("""COMPUTED_VALUE"""),0.432)</f>
        <v>0.432</v>
      </c>
      <c r="T197" s="1">
        <f ca="1">IFERROR(__xludf.DUMMYFUNCTION("""COMPUTED_VALUE"""),149)</f>
        <v>149</v>
      </c>
      <c r="U197" s="1">
        <f ca="1">IFERROR(__xludf.DUMMYFUNCTION("""COMPUTED_VALUE"""),471)</f>
        <v>471</v>
      </c>
      <c r="V197" s="1">
        <f ca="1">IFERROR(__xludf.DUMMYFUNCTION("""COMPUTED_VALUE"""),0.316)</f>
        <v>0.316</v>
      </c>
      <c r="W197" s="1">
        <f ca="1">IFERROR(__xludf.DUMMYFUNCTION("""COMPUTED_VALUE"""),486)</f>
        <v>486</v>
      </c>
      <c r="X197" s="1">
        <f ca="1">IFERROR(__xludf.DUMMYFUNCTION("""COMPUTED_VALUE"""),806)</f>
        <v>806</v>
      </c>
      <c r="Y197" s="1">
        <f ca="1">IFERROR(__xludf.DUMMYFUNCTION("""COMPUTED_VALUE"""),0.603)</f>
        <v>0.60299999999999998</v>
      </c>
      <c r="Z197" s="1">
        <f ca="1">IFERROR(__xludf.DUMMYFUNCTION("""COMPUTED_VALUE"""),444)</f>
        <v>444</v>
      </c>
      <c r="AA197" s="1">
        <f ca="1">IFERROR(__xludf.DUMMYFUNCTION("""COMPUTED_VALUE"""),1190)</f>
        <v>1190</v>
      </c>
      <c r="AB197" s="1">
        <f ca="1">IFERROR(__xludf.DUMMYFUNCTION("""COMPUTED_VALUE"""),380)</f>
        <v>380</v>
      </c>
      <c r="AC197" s="1">
        <f ca="1">IFERROR(__xludf.DUMMYFUNCTION("""COMPUTED_VALUE"""),225)</f>
        <v>225</v>
      </c>
      <c r="AD197" s="1">
        <f ca="1">IFERROR(__xludf.DUMMYFUNCTION("""COMPUTED_VALUE"""),178)</f>
        <v>178</v>
      </c>
      <c r="AE197" s="1">
        <f ca="1">IFERROR(__xludf.DUMMYFUNCTION("""COMPUTED_VALUE"""),485)</f>
        <v>485</v>
      </c>
      <c r="AF197" s="1">
        <f ca="1">IFERROR(__xludf.DUMMYFUNCTION("""COMPUTED_VALUE"""),612)</f>
        <v>612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IFERROR(__xludf.DUMMYFUNCTION("""COMPUTED_VALUE"""),"Missouri-Kansas City")</f>
        <v>Missouri-Kansas City</v>
      </c>
      <c r="B200" s="1">
        <f ca="1">IFERROR(__xludf.DUMMYFUNCTION("""COMPUTED_VALUE"""),31)</f>
        <v>31</v>
      </c>
      <c r="C200" s="1">
        <f ca="1">IFERROR(__xludf.DUMMYFUNCTION("""COMPUTED_VALUE"""),10)</f>
        <v>10</v>
      </c>
      <c r="D200" s="1">
        <f ca="1">IFERROR(__xludf.DUMMYFUNCTION("""COMPUTED_VALUE"""),21)</f>
        <v>21</v>
      </c>
      <c r="E200" s="1">
        <f ca="1">IFERROR(__xludf.DUMMYFUNCTION("""COMPUTED_VALUE"""),0.323)</f>
        <v>0.32300000000000001</v>
      </c>
      <c r="F200" s="1">
        <f ca="1">IFERROR(__xludf.DUMMYFUNCTION("""COMPUTED_VALUE"""),-8.82)</f>
        <v>-8.82</v>
      </c>
      <c r="G200" s="1">
        <f ca="1">IFERROR(__xludf.DUMMYFUNCTION("""COMPUTED_VALUE"""),-1.75)</f>
        <v>-1.75</v>
      </c>
      <c r="H200" s="1">
        <f ca="1">IFERROR(__xludf.DUMMYFUNCTION("""COMPUTED_VALUE"""),4)</f>
        <v>4</v>
      </c>
      <c r="I200" s="1">
        <f ca="1">IFERROR(__xludf.DUMMYFUNCTION("""COMPUTED_VALUE"""),14)</f>
        <v>14</v>
      </c>
      <c r="J200" s="1">
        <f ca="1">IFERROR(__xludf.DUMMYFUNCTION("""COMPUTED_VALUE"""),6)</f>
        <v>6</v>
      </c>
      <c r="K200" s="1">
        <f ca="1">IFERROR(__xludf.DUMMYFUNCTION("""COMPUTED_VALUE"""),8)</f>
        <v>8</v>
      </c>
      <c r="L200" s="1">
        <f ca="1">IFERROR(__xludf.DUMMYFUNCTION("""COMPUTED_VALUE"""),2)</f>
        <v>2</v>
      </c>
      <c r="M200" s="1">
        <f ca="1">IFERROR(__xludf.DUMMYFUNCTION("""COMPUTED_VALUE"""),13)</f>
        <v>13</v>
      </c>
      <c r="N200" s="1">
        <f ca="1">IFERROR(__xludf.DUMMYFUNCTION("""COMPUTED_VALUE"""),1998)</f>
        <v>1998</v>
      </c>
      <c r="O200" s="1">
        <f ca="1">IFERROR(__xludf.DUMMYFUNCTION("""COMPUTED_VALUE"""),2204)</f>
        <v>2204</v>
      </c>
      <c r="P200" s="1">
        <f ca="1">IFERROR(__xludf.DUMMYFUNCTION("""COMPUTED_VALUE"""),1250)</f>
        <v>1250</v>
      </c>
      <c r="Q200" s="1">
        <f ca="1">IFERROR(__xludf.DUMMYFUNCTION("""COMPUTED_VALUE"""),699)</f>
        <v>699</v>
      </c>
      <c r="R200" s="1">
        <f ca="1">IFERROR(__xludf.DUMMYFUNCTION("""COMPUTED_VALUE"""),1621)</f>
        <v>1621</v>
      </c>
      <c r="S200" s="1">
        <f ca="1">IFERROR(__xludf.DUMMYFUNCTION("""COMPUTED_VALUE"""),0.431)</f>
        <v>0.43099999999999999</v>
      </c>
      <c r="T200" s="1">
        <f ca="1">IFERROR(__xludf.DUMMYFUNCTION("""COMPUTED_VALUE"""),256)</f>
        <v>256</v>
      </c>
      <c r="U200" s="1">
        <f ca="1">IFERROR(__xludf.DUMMYFUNCTION("""COMPUTED_VALUE"""),679)</f>
        <v>679</v>
      </c>
      <c r="V200" s="1">
        <f ca="1">IFERROR(__xludf.DUMMYFUNCTION("""COMPUTED_VALUE"""),0.377)</f>
        <v>0.377</v>
      </c>
      <c r="W200" s="1">
        <f ca="1">IFERROR(__xludf.DUMMYFUNCTION("""COMPUTED_VALUE"""),344)</f>
        <v>344</v>
      </c>
      <c r="X200" s="1">
        <f ca="1">IFERROR(__xludf.DUMMYFUNCTION("""COMPUTED_VALUE"""),495)</f>
        <v>495</v>
      </c>
      <c r="Y200" s="1">
        <f ca="1">IFERROR(__xludf.DUMMYFUNCTION("""COMPUTED_VALUE"""),0.695)</f>
        <v>0.69499999999999995</v>
      </c>
      <c r="Z200" s="1">
        <f ca="1">IFERROR(__xludf.DUMMYFUNCTION("""COMPUTED_VALUE"""),258)</f>
        <v>258</v>
      </c>
      <c r="AA200" s="1">
        <f ca="1">IFERROR(__xludf.DUMMYFUNCTION("""COMPUTED_VALUE"""),774)</f>
        <v>774</v>
      </c>
      <c r="AB200" s="1">
        <f ca="1">IFERROR(__xludf.DUMMYFUNCTION("""COMPUTED_VALUE"""),380)</f>
        <v>380</v>
      </c>
      <c r="AC200" s="1">
        <f ca="1">IFERROR(__xludf.DUMMYFUNCTION("""COMPUTED_VALUE"""),190)</f>
        <v>190</v>
      </c>
      <c r="AD200" s="1">
        <f ca="1">IFERROR(__xludf.DUMMYFUNCTION("""COMPUTED_VALUE"""),74)</f>
        <v>74</v>
      </c>
      <c r="AE200" s="1">
        <f ca="1">IFERROR(__xludf.DUMMYFUNCTION("""COMPUTED_VALUE"""),412)</f>
        <v>412</v>
      </c>
      <c r="AF200" s="1">
        <f ca="1">IFERROR(__xludf.DUMMYFUNCTION("""COMPUTED_VALUE"""),589)</f>
        <v>589</v>
      </c>
    </row>
    <row r="201" spans="1:32" ht="12.5" x14ac:dyDescent="0.25">
      <c r="A201" s="1" t="str">
        <f ca="1">IFERROR(__xludf.DUMMYFUNCTION("""COMPUTED_VALUE"""),"Missouri State")</f>
        <v>Missouri State</v>
      </c>
      <c r="B201" s="1">
        <f ca="1">IFERROR(__xludf.DUMMYFUNCTION("""COMPUTED_VALUE"""),32)</f>
        <v>32</v>
      </c>
      <c r="C201" s="1">
        <f ca="1">IFERROR(__xludf.DUMMYFUNCTION("""COMPUTED_VALUE"""),16)</f>
        <v>16</v>
      </c>
      <c r="D201" s="1">
        <f ca="1">IFERROR(__xludf.DUMMYFUNCTION("""COMPUTED_VALUE"""),16)</f>
        <v>16</v>
      </c>
      <c r="E201" s="1">
        <f ca="1">IFERROR(__xludf.DUMMYFUNCTION("""COMPUTED_VALUE"""),0.5)</f>
        <v>0.5</v>
      </c>
      <c r="F201" s="1">
        <f ca="1">IFERROR(__xludf.DUMMYFUNCTION("""COMPUTED_VALUE"""),6.15)</f>
        <v>6.15</v>
      </c>
      <c r="G201" s="1">
        <f ca="1">IFERROR(__xludf.DUMMYFUNCTION("""COMPUTED_VALUE"""),3.92)</f>
        <v>3.92</v>
      </c>
      <c r="H201" s="1">
        <f ca="1">IFERROR(__xludf.DUMMYFUNCTION("""COMPUTED_VALUE"""),9)</f>
        <v>9</v>
      </c>
      <c r="I201" s="1">
        <f ca="1">IFERROR(__xludf.DUMMYFUNCTION("""COMPUTED_VALUE"""),9)</f>
        <v>9</v>
      </c>
      <c r="J201" s="1">
        <f ca="1">IFERROR(__xludf.DUMMYFUNCTION("""COMPUTED_VALUE"""),8)</f>
        <v>8</v>
      </c>
      <c r="K201" s="1">
        <f ca="1">IFERROR(__xludf.DUMMYFUNCTION("""COMPUTED_VALUE"""),7)</f>
        <v>7</v>
      </c>
      <c r="L201" s="1">
        <f ca="1">IFERROR(__xludf.DUMMYFUNCTION("""COMPUTED_VALUE"""),8)</f>
        <v>8</v>
      </c>
      <c r="M201" s="1">
        <f ca="1">IFERROR(__xludf.DUMMYFUNCTION("""COMPUTED_VALUE"""),6)</f>
        <v>6</v>
      </c>
      <c r="N201" s="1">
        <f ca="1">IFERROR(__xludf.DUMMYFUNCTION("""COMPUTED_VALUE"""),2110)</f>
        <v>2110</v>
      </c>
      <c r="O201" s="1">
        <f ca="1">IFERROR(__xludf.DUMMYFUNCTION("""COMPUTED_VALUE"""),2015)</f>
        <v>2015</v>
      </c>
      <c r="P201" s="1">
        <f ca="1">IFERROR(__xludf.DUMMYFUNCTION("""COMPUTED_VALUE"""),1305)</f>
        <v>1305</v>
      </c>
      <c r="Q201" s="1">
        <f ca="1">IFERROR(__xludf.DUMMYFUNCTION("""COMPUTED_VALUE"""),775)</f>
        <v>775</v>
      </c>
      <c r="R201" s="1">
        <f ca="1">IFERROR(__xludf.DUMMYFUNCTION("""COMPUTED_VALUE"""),1778)</f>
        <v>1778</v>
      </c>
      <c r="S201" s="1">
        <f ca="1">IFERROR(__xludf.DUMMYFUNCTION("""COMPUTED_VALUE"""),0.436)</f>
        <v>0.436</v>
      </c>
      <c r="T201" s="1">
        <f ca="1">IFERROR(__xludf.DUMMYFUNCTION("""COMPUTED_VALUE"""),186)</f>
        <v>186</v>
      </c>
      <c r="U201" s="1">
        <f ca="1">IFERROR(__xludf.DUMMYFUNCTION("""COMPUTED_VALUE"""),549)</f>
        <v>549</v>
      </c>
      <c r="V201" s="1">
        <f ca="1">IFERROR(__xludf.DUMMYFUNCTION("""COMPUTED_VALUE"""),0.339)</f>
        <v>0.33900000000000002</v>
      </c>
      <c r="W201" s="1">
        <f ca="1">IFERROR(__xludf.DUMMYFUNCTION("""COMPUTED_VALUE"""),372)</f>
        <v>372</v>
      </c>
      <c r="X201" s="1">
        <f ca="1">IFERROR(__xludf.DUMMYFUNCTION("""COMPUTED_VALUE"""),516)</f>
        <v>516</v>
      </c>
      <c r="Y201" s="1">
        <f ca="1">IFERROR(__xludf.DUMMYFUNCTION("""COMPUTED_VALUE"""),0.721)</f>
        <v>0.72099999999999997</v>
      </c>
      <c r="Z201" s="1">
        <f ca="1">IFERROR(__xludf.DUMMYFUNCTION("""COMPUTED_VALUE"""),294)</f>
        <v>294</v>
      </c>
      <c r="AA201" s="1">
        <f ca="1">IFERROR(__xludf.DUMMYFUNCTION("""COMPUTED_VALUE"""),1029)</f>
        <v>1029</v>
      </c>
      <c r="AB201" s="1">
        <f ca="1">IFERROR(__xludf.DUMMYFUNCTION("""COMPUTED_VALUE"""),433)</f>
        <v>433</v>
      </c>
      <c r="AC201" s="1">
        <f ca="1">IFERROR(__xludf.DUMMYFUNCTION("""COMPUTED_VALUE"""),148)</f>
        <v>148</v>
      </c>
      <c r="AD201" s="1">
        <f ca="1">IFERROR(__xludf.DUMMYFUNCTION("""COMPUTED_VALUE"""),66)</f>
        <v>66</v>
      </c>
      <c r="AE201" s="1">
        <f ca="1">IFERROR(__xludf.DUMMYFUNCTION("""COMPUTED_VALUE"""),338)</f>
        <v>338</v>
      </c>
      <c r="AF201" s="1">
        <f ca="1">IFERROR(__xludf.DUMMYFUNCTION("""COMPUTED_VALUE"""),592)</f>
        <v>592</v>
      </c>
    </row>
    <row r="202" spans="1:32" ht="12.5" x14ac:dyDescent="0.25">
      <c r="A202" s="1" t="str">
        <f ca="1">IFERROR(__xludf.DUMMYFUNCTION("""COMPUTED_VALUE"""),"MissouriNCAA")</f>
        <v>MissouriNCAA</v>
      </c>
      <c r="B202" s="1">
        <f ca="1">IFERROR(__xludf.DUMMYFUNCTION("""COMPUTED_VALUE"""),35)</f>
        <v>35</v>
      </c>
      <c r="C202" s="1">
        <f ca="1">IFERROR(__xludf.DUMMYFUNCTION("""COMPUTED_VALUE"""),30)</f>
        <v>30</v>
      </c>
      <c r="D202" s="1">
        <f ca="1">IFERROR(__xludf.DUMMYFUNCTION("""COMPUTED_VALUE"""),5)</f>
        <v>5</v>
      </c>
      <c r="E202" s="1">
        <f ca="1">IFERROR(__xludf.DUMMYFUNCTION("""COMPUTED_VALUE"""),0.857)</f>
        <v>0.85699999999999998</v>
      </c>
      <c r="F202" s="1">
        <f ca="1">IFERROR(__xludf.DUMMYFUNCTION("""COMPUTED_VALUE"""),19.77)</f>
        <v>19.77</v>
      </c>
      <c r="G202" s="1">
        <f ca="1">IFERROR(__xludf.DUMMYFUNCTION("""COMPUTED_VALUE"""),5.68)</f>
        <v>5.68</v>
      </c>
      <c r="H202" s="1">
        <f ca="1">IFERROR(__xludf.DUMMYFUNCTION("""COMPUTED_VALUE"""),14)</f>
        <v>14</v>
      </c>
      <c r="I202" s="1">
        <f ca="1">IFERROR(__xludf.DUMMYFUNCTION("""COMPUTED_VALUE"""),4)</f>
        <v>4</v>
      </c>
      <c r="J202" s="1">
        <f ca="1">IFERROR(__xludf.DUMMYFUNCTION("""COMPUTED_VALUE"""),16)</f>
        <v>16</v>
      </c>
      <c r="K202" s="1">
        <f ca="1">IFERROR(__xludf.DUMMYFUNCTION("""COMPUTED_VALUE"""),1)</f>
        <v>1</v>
      </c>
      <c r="L202" s="1">
        <f ca="1">IFERROR(__xludf.DUMMYFUNCTION("""COMPUTED_VALUE"""),7)</f>
        <v>7</v>
      </c>
      <c r="M202" s="1">
        <f ca="1">IFERROR(__xludf.DUMMYFUNCTION("""COMPUTED_VALUE"""),3)</f>
        <v>3</v>
      </c>
      <c r="N202" s="1">
        <f ca="1">IFERROR(__xludf.DUMMYFUNCTION("""COMPUTED_VALUE"""),2814)</f>
        <v>2814</v>
      </c>
      <c r="O202" s="1">
        <f ca="1">IFERROR(__xludf.DUMMYFUNCTION("""COMPUTED_VALUE"""),2321)</f>
        <v>2321</v>
      </c>
      <c r="P202" s="1">
        <f ca="1">IFERROR(__xludf.DUMMYFUNCTION("""COMPUTED_VALUE"""),1405)</f>
        <v>1405</v>
      </c>
      <c r="Q202" s="1">
        <f ca="1">IFERROR(__xludf.DUMMYFUNCTION("""COMPUTED_VALUE"""),981)</f>
        <v>981</v>
      </c>
      <c r="R202" s="1">
        <f ca="1">IFERROR(__xludf.DUMMYFUNCTION("""COMPUTED_VALUE"""),1945)</f>
        <v>1945</v>
      </c>
      <c r="S202" s="1">
        <f ca="1">IFERROR(__xludf.DUMMYFUNCTION("""COMPUTED_VALUE"""),0.504)</f>
        <v>0.504</v>
      </c>
      <c r="T202" s="1">
        <f ca="1">IFERROR(__xludf.DUMMYFUNCTION("""COMPUTED_VALUE"""),293)</f>
        <v>293</v>
      </c>
      <c r="U202" s="1">
        <f ca="1">IFERROR(__xludf.DUMMYFUNCTION("""COMPUTED_VALUE"""),737)</f>
        <v>737</v>
      </c>
      <c r="V202" s="1">
        <f ca="1">IFERROR(__xludf.DUMMYFUNCTION("""COMPUTED_VALUE"""),0.398)</f>
        <v>0.39800000000000002</v>
      </c>
      <c r="W202" s="1">
        <f ca="1">IFERROR(__xludf.DUMMYFUNCTION("""COMPUTED_VALUE"""),559)</f>
        <v>559</v>
      </c>
      <c r="X202" s="1">
        <f ca="1">IFERROR(__xludf.DUMMYFUNCTION("""COMPUTED_VALUE"""),730)</f>
        <v>730</v>
      </c>
      <c r="Y202" s="1">
        <f ca="1">IFERROR(__xludf.DUMMYFUNCTION("""COMPUTED_VALUE"""),0.766)</f>
        <v>0.76600000000000001</v>
      </c>
      <c r="Z202" s="1">
        <f ca="1">IFERROR(__xludf.DUMMYFUNCTION("""COMPUTED_VALUE"""),319)</f>
        <v>319</v>
      </c>
      <c r="AA202" s="1">
        <f ca="1">IFERROR(__xludf.DUMMYFUNCTION("""COMPUTED_VALUE"""),1025)</f>
        <v>1025</v>
      </c>
      <c r="AB202" s="1">
        <f ca="1">IFERROR(__xludf.DUMMYFUNCTION("""COMPUTED_VALUE"""),566)</f>
        <v>566</v>
      </c>
      <c r="AC202" s="1">
        <f ca="1">IFERROR(__xludf.DUMMYFUNCTION("""COMPUTED_VALUE"""),285)</f>
        <v>285</v>
      </c>
      <c r="AD202" s="1">
        <f ca="1">IFERROR(__xludf.DUMMYFUNCTION("""COMPUTED_VALUE"""),97)</f>
        <v>97</v>
      </c>
      <c r="AE202" s="1">
        <f ca="1">IFERROR(__xludf.DUMMYFUNCTION("""COMPUTED_VALUE"""),358)</f>
        <v>358</v>
      </c>
      <c r="AF202" s="1">
        <f ca="1">IFERROR(__xludf.DUMMYFUNCTION("""COMPUTED_VALUE"""),499)</f>
        <v>499</v>
      </c>
    </row>
    <row r="203" spans="1:32" ht="12.5" x14ac:dyDescent="0.25">
      <c r="A203" s="1" t="str">
        <f ca="1">IFERROR(__xludf.DUMMYFUNCTION("""COMPUTED_VALUE"""),"Monmouth")</f>
        <v>Monmouth</v>
      </c>
      <c r="B203" s="1">
        <f ca="1">IFERROR(__xludf.DUMMYFUNCTION("""COMPUTED_VALUE"""),32)</f>
        <v>32</v>
      </c>
      <c r="C203" s="1">
        <f ca="1">IFERROR(__xludf.DUMMYFUNCTION("""COMPUTED_VALUE"""),12)</f>
        <v>12</v>
      </c>
      <c r="D203" s="1">
        <f ca="1">IFERROR(__xludf.DUMMYFUNCTION("""COMPUTED_VALUE"""),20)</f>
        <v>20</v>
      </c>
      <c r="E203" s="1">
        <f ca="1">IFERROR(__xludf.DUMMYFUNCTION("""COMPUTED_VALUE"""),0.375)</f>
        <v>0.375</v>
      </c>
      <c r="F203" s="1">
        <f ca="1">IFERROR(__xludf.DUMMYFUNCTION("""COMPUTED_VALUE"""),-11.93)</f>
        <v>-11.93</v>
      </c>
      <c r="G203" s="1">
        <f ca="1">IFERROR(__xludf.DUMMYFUNCTION("""COMPUTED_VALUE"""),-3.18)</f>
        <v>-3.18</v>
      </c>
      <c r="H203" s="1">
        <f ca="1">IFERROR(__xludf.DUMMYFUNCTION("""COMPUTED_VALUE"""),10)</f>
        <v>10</v>
      </c>
      <c r="I203" s="1">
        <f ca="1">IFERROR(__xludf.DUMMYFUNCTION("""COMPUTED_VALUE"""),8)</f>
        <v>8</v>
      </c>
      <c r="J203" s="1">
        <f ca="1">IFERROR(__xludf.DUMMYFUNCTION("""COMPUTED_VALUE"""),7)</f>
        <v>7</v>
      </c>
      <c r="K203" s="1">
        <f ca="1">IFERROR(__xludf.DUMMYFUNCTION("""COMPUTED_VALUE"""),5)</f>
        <v>5</v>
      </c>
      <c r="L203" s="1">
        <f ca="1">IFERROR(__xludf.DUMMYFUNCTION("""COMPUTED_VALUE"""),5)</f>
        <v>5</v>
      </c>
      <c r="M203" s="1">
        <f ca="1">IFERROR(__xludf.DUMMYFUNCTION("""COMPUTED_VALUE"""),12)</f>
        <v>12</v>
      </c>
      <c r="N203" s="1">
        <f ca="1">IFERROR(__xludf.DUMMYFUNCTION("""COMPUTED_VALUE"""),2140)</f>
        <v>2140</v>
      </c>
      <c r="O203" s="1">
        <f ca="1">IFERROR(__xludf.DUMMYFUNCTION("""COMPUTED_VALUE"""),2420)</f>
        <v>2420</v>
      </c>
      <c r="P203" s="1">
        <f ca="1">IFERROR(__xludf.DUMMYFUNCTION("""COMPUTED_VALUE"""),1290)</f>
        <v>1290</v>
      </c>
      <c r="Q203" s="1">
        <f ca="1">IFERROR(__xludf.DUMMYFUNCTION("""COMPUTED_VALUE"""),777)</f>
        <v>777</v>
      </c>
      <c r="R203" s="1">
        <f ca="1">IFERROR(__xludf.DUMMYFUNCTION("""COMPUTED_VALUE"""),1855)</f>
        <v>1855</v>
      </c>
      <c r="S203" s="1">
        <f ca="1">IFERROR(__xludf.DUMMYFUNCTION("""COMPUTED_VALUE"""),0.419)</f>
        <v>0.41899999999999998</v>
      </c>
      <c r="T203" s="1">
        <f ca="1">IFERROR(__xludf.DUMMYFUNCTION("""COMPUTED_VALUE"""),194)</f>
        <v>194</v>
      </c>
      <c r="U203" s="1">
        <f ca="1">IFERROR(__xludf.DUMMYFUNCTION("""COMPUTED_VALUE"""),583)</f>
        <v>583</v>
      </c>
      <c r="V203" s="1">
        <f ca="1">IFERROR(__xludf.DUMMYFUNCTION("""COMPUTED_VALUE"""),0.333)</f>
        <v>0.33300000000000002</v>
      </c>
      <c r="W203" s="1">
        <f ca="1">IFERROR(__xludf.DUMMYFUNCTION("""COMPUTED_VALUE"""),392)</f>
        <v>392</v>
      </c>
      <c r="X203" s="1">
        <f ca="1">IFERROR(__xludf.DUMMYFUNCTION("""COMPUTED_VALUE"""),603)</f>
        <v>603</v>
      </c>
      <c r="Y203" s="1">
        <f ca="1">IFERROR(__xludf.DUMMYFUNCTION("""COMPUTED_VALUE"""),0.65)</f>
        <v>0.65</v>
      </c>
      <c r="Z203" s="1">
        <f ca="1">IFERROR(__xludf.DUMMYFUNCTION("""COMPUTED_VALUE"""),353)</f>
        <v>353</v>
      </c>
      <c r="AA203" s="1">
        <f ca="1">IFERROR(__xludf.DUMMYFUNCTION("""COMPUTED_VALUE"""),847)</f>
        <v>847</v>
      </c>
      <c r="AB203" s="1">
        <f ca="1">IFERROR(__xludf.DUMMYFUNCTION("""COMPUTED_VALUE"""),441)</f>
        <v>441</v>
      </c>
      <c r="AC203" s="1">
        <f ca="1">IFERROR(__xludf.DUMMYFUNCTION("""COMPUTED_VALUE"""),253)</f>
        <v>253</v>
      </c>
      <c r="AD203" s="1">
        <f ca="1">IFERROR(__xludf.DUMMYFUNCTION("""COMPUTED_VALUE"""),49)</f>
        <v>49</v>
      </c>
      <c r="AE203" s="1">
        <f ca="1">IFERROR(__xludf.DUMMYFUNCTION("""COMPUTED_VALUE"""),449)</f>
        <v>449</v>
      </c>
      <c r="AF203" s="1">
        <f ca="1">IFERROR(__xludf.DUMMYFUNCTION("""COMPUTED_VALUE"""),663)</f>
        <v>663</v>
      </c>
    </row>
    <row r="204" spans="1:32" ht="12.5" x14ac:dyDescent="0.25">
      <c r="A204" s="1" t="str">
        <f ca="1">IFERROR(__xludf.DUMMYFUNCTION("""COMPUTED_VALUE"""),"Montana State")</f>
        <v>Montana State</v>
      </c>
      <c r="B204" s="1">
        <f ca="1">IFERROR(__xludf.DUMMYFUNCTION("""COMPUTED_VALUE"""),29)</f>
        <v>29</v>
      </c>
      <c r="C204" s="1">
        <f ca="1">IFERROR(__xludf.DUMMYFUNCTION("""COMPUTED_VALUE"""),12)</f>
        <v>12</v>
      </c>
      <c r="D204" s="1">
        <f ca="1">IFERROR(__xludf.DUMMYFUNCTION("""COMPUTED_VALUE"""),17)</f>
        <v>17</v>
      </c>
      <c r="E204" s="1">
        <f ca="1">IFERROR(__xludf.DUMMYFUNCTION("""COMPUTED_VALUE"""),0.414)</f>
        <v>0.41399999999999998</v>
      </c>
      <c r="F204" s="1">
        <f ca="1">IFERROR(__xludf.DUMMYFUNCTION("""COMPUTED_VALUE"""),-10.29)</f>
        <v>-10.29</v>
      </c>
      <c r="G204" s="1">
        <f ca="1">IFERROR(__xludf.DUMMYFUNCTION("""COMPUTED_VALUE"""),-4.62)</f>
        <v>-4.62</v>
      </c>
      <c r="H204" s="1">
        <f ca="1">IFERROR(__xludf.DUMMYFUNCTION("""COMPUTED_VALUE"""),7)</f>
        <v>7</v>
      </c>
      <c r="I204" s="1">
        <f ca="1">IFERROR(__xludf.DUMMYFUNCTION("""COMPUTED_VALUE"""),9)</f>
        <v>9</v>
      </c>
      <c r="J204" s="1">
        <f ca="1">IFERROR(__xludf.DUMMYFUNCTION("""COMPUTED_VALUE"""),7)</f>
        <v>7</v>
      </c>
      <c r="K204" s="1">
        <f ca="1">IFERROR(__xludf.DUMMYFUNCTION("""COMPUTED_VALUE"""),6)</f>
        <v>6</v>
      </c>
      <c r="L204" s="1">
        <f ca="1">IFERROR(__xludf.DUMMYFUNCTION("""COMPUTED_VALUE"""),5)</f>
        <v>5</v>
      </c>
      <c r="M204" s="1">
        <f ca="1">IFERROR(__xludf.DUMMYFUNCTION("""COMPUTED_VALUE"""),11)</f>
        <v>11</v>
      </c>
      <c r="N204" s="1">
        <f ca="1">IFERROR(__xludf.DUMMYFUNCTION("""COMPUTED_VALUE"""),2030)</f>
        <v>2030</v>
      </c>
      <c r="O204" s="1">
        <f ca="1">IFERROR(__xludf.DUMMYFUNCTION("""COMPUTED_VALUE"""),2088)</f>
        <v>2088</v>
      </c>
      <c r="P204" s="1">
        <f ca="1">IFERROR(__xludf.DUMMYFUNCTION("""COMPUTED_VALUE"""),1170)</f>
        <v>1170</v>
      </c>
      <c r="Q204" s="1">
        <f ca="1">IFERROR(__xludf.DUMMYFUNCTION("""COMPUTED_VALUE"""),709)</f>
        <v>709</v>
      </c>
      <c r="R204" s="1">
        <f ca="1">IFERROR(__xludf.DUMMYFUNCTION("""COMPUTED_VALUE"""),1669)</f>
        <v>1669</v>
      </c>
      <c r="S204" s="1">
        <f ca="1">IFERROR(__xludf.DUMMYFUNCTION("""COMPUTED_VALUE"""),0.425)</f>
        <v>0.42499999999999999</v>
      </c>
      <c r="T204" s="1">
        <f ca="1">IFERROR(__xludf.DUMMYFUNCTION("""COMPUTED_VALUE"""),198)</f>
        <v>198</v>
      </c>
      <c r="U204" s="1">
        <f ca="1">IFERROR(__xludf.DUMMYFUNCTION("""COMPUTED_VALUE"""),565)</f>
        <v>565</v>
      </c>
      <c r="V204" s="1">
        <f ca="1">IFERROR(__xludf.DUMMYFUNCTION("""COMPUTED_VALUE"""),0.35)</f>
        <v>0.35</v>
      </c>
      <c r="W204" s="1">
        <f ca="1">IFERROR(__xludf.DUMMYFUNCTION("""COMPUTED_VALUE"""),414)</f>
        <v>414</v>
      </c>
      <c r="X204" s="1">
        <f ca="1">IFERROR(__xludf.DUMMYFUNCTION("""COMPUTED_VALUE"""),598)</f>
        <v>598</v>
      </c>
      <c r="Y204" s="1">
        <f ca="1">IFERROR(__xludf.DUMMYFUNCTION("""COMPUTED_VALUE"""),0.692)</f>
        <v>0.69199999999999995</v>
      </c>
      <c r="Z204" s="1">
        <f ca="1">IFERROR(__xludf.DUMMYFUNCTION("""COMPUTED_VALUE"""),340)</f>
        <v>340</v>
      </c>
      <c r="AA204" s="1">
        <f ca="1">IFERROR(__xludf.DUMMYFUNCTION("""COMPUTED_VALUE"""),888)</f>
        <v>888</v>
      </c>
      <c r="AB204" s="1">
        <f ca="1">IFERROR(__xludf.DUMMYFUNCTION("""COMPUTED_VALUE"""),378)</f>
        <v>378</v>
      </c>
      <c r="AC204" s="1">
        <f ca="1">IFERROR(__xludf.DUMMYFUNCTION("""COMPUTED_VALUE"""),193)</f>
        <v>193</v>
      </c>
      <c r="AD204" s="1">
        <f ca="1">IFERROR(__xludf.DUMMYFUNCTION("""COMPUTED_VALUE"""),108)</f>
        <v>108</v>
      </c>
      <c r="AE204" s="1">
        <f ca="1">IFERROR(__xludf.DUMMYFUNCTION("""COMPUTED_VALUE"""),396)</f>
        <v>396</v>
      </c>
      <c r="AF204" s="1">
        <f ca="1">IFERROR(__xludf.DUMMYFUNCTION("""COMPUTED_VALUE"""),569)</f>
        <v>569</v>
      </c>
    </row>
    <row r="205" spans="1:32" ht="12.5" x14ac:dyDescent="0.25">
      <c r="A205" s="1" t="str">
        <f ca="1">IFERROR(__xludf.DUMMYFUNCTION("""COMPUTED_VALUE"""),"MontanaNCAA")</f>
        <v>MontanaNCAA</v>
      </c>
      <c r="B205" s="1">
        <f ca="1">IFERROR(__xludf.DUMMYFUNCTION("""COMPUTED_VALUE"""),32)</f>
        <v>32</v>
      </c>
      <c r="C205" s="1">
        <f ca="1">IFERROR(__xludf.DUMMYFUNCTION("""COMPUTED_VALUE"""),25)</f>
        <v>25</v>
      </c>
      <c r="D205" s="1">
        <f ca="1">IFERROR(__xludf.DUMMYFUNCTION("""COMPUTED_VALUE"""),7)</f>
        <v>7</v>
      </c>
      <c r="E205" s="1">
        <f ca="1">IFERROR(__xludf.DUMMYFUNCTION("""COMPUTED_VALUE"""),0.781)</f>
        <v>0.78100000000000003</v>
      </c>
      <c r="F205" s="1">
        <f ca="1">IFERROR(__xludf.DUMMYFUNCTION("""COMPUTED_VALUE"""),4.55)</f>
        <v>4.55</v>
      </c>
      <c r="G205" s="1">
        <f ca="1">IFERROR(__xludf.DUMMYFUNCTION("""COMPUTED_VALUE"""),-3.39)</f>
        <v>-3.39</v>
      </c>
      <c r="H205" s="1">
        <f ca="1">IFERROR(__xludf.DUMMYFUNCTION("""COMPUTED_VALUE"""),15)</f>
        <v>15</v>
      </c>
      <c r="I205" s="1">
        <f ca="1">IFERROR(__xludf.DUMMYFUNCTION("""COMPUTED_VALUE"""),1)</f>
        <v>1</v>
      </c>
      <c r="J205" s="1">
        <f ca="1">IFERROR(__xludf.DUMMYFUNCTION("""COMPUTED_VALUE"""),16)</f>
        <v>16</v>
      </c>
      <c r="K205" s="1">
        <f ca="1">IFERROR(__xludf.DUMMYFUNCTION("""COMPUTED_VALUE"""),2)</f>
        <v>2</v>
      </c>
      <c r="L205" s="1">
        <f ca="1">IFERROR(__xludf.DUMMYFUNCTION("""COMPUTED_VALUE"""),9)</f>
        <v>9</v>
      </c>
      <c r="M205" s="1">
        <f ca="1">IFERROR(__xludf.DUMMYFUNCTION("""COMPUTED_VALUE"""),4)</f>
        <v>4</v>
      </c>
      <c r="N205" s="1">
        <f ca="1">IFERROR(__xludf.DUMMYFUNCTION("""COMPUTED_VALUE"""),2239)</f>
        <v>2239</v>
      </c>
      <c r="O205" s="1">
        <f ca="1">IFERROR(__xludf.DUMMYFUNCTION("""COMPUTED_VALUE"""),1985)</f>
        <v>1985</v>
      </c>
      <c r="P205" s="1">
        <f ca="1">IFERROR(__xludf.DUMMYFUNCTION("""COMPUTED_VALUE"""),1285)</f>
        <v>1285</v>
      </c>
      <c r="Q205" s="1">
        <f ca="1">IFERROR(__xludf.DUMMYFUNCTION("""COMPUTED_VALUE"""),781)</f>
        <v>781</v>
      </c>
      <c r="R205" s="1">
        <f ca="1">IFERROR(__xludf.DUMMYFUNCTION("""COMPUTED_VALUE"""),1689)</f>
        <v>1689</v>
      </c>
      <c r="S205" s="1">
        <f ca="1">IFERROR(__xludf.DUMMYFUNCTION("""COMPUTED_VALUE"""),0.462)</f>
        <v>0.46200000000000002</v>
      </c>
      <c r="T205" s="1">
        <f ca="1">IFERROR(__xludf.DUMMYFUNCTION("""COMPUTED_VALUE"""),195)</f>
        <v>195</v>
      </c>
      <c r="U205" s="1">
        <f ca="1">IFERROR(__xludf.DUMMYFUNCTION("""COMPUTED_VALUE"""),524)</f>
        <v>524</v>
      </c>
      <c r="V205" s="1">
        <f ca="1">IFERROR(__xludf.DUMMYFUNCTION("""COMPUTED_VALUE"""),0.372)</f>
        <v>0.372</v>
      </c>
      <c r="W205" s="1">
        <f ca="1">IFERROR(__xludf.DUMMYFUNCTION("""COMPUTED_VALUE"""),482)</f>
        <v>482</v>
      </c>
      <c r="X205" s="1">
        <f ca="1">IFERROR(__xludf.DUMMYFUNCTION("""COMPUTED_VALUE"""),672)</f>
        <v>672</v>
      </c>
      <c r="Y205" s="1">
        <f ca="1">IFERROR(__xludf.DUMMYFUNCTION("""COMPUTED_VALUE"""),0.717)</f>
        <v>0.71699999999999997</v>
      </c>
      <c r="Z205" s="1">
        <f ca="1">IFERROR(__xludf.DUMMYFUNCTION("""COMPUTED_VALUE"""),286)</f>
        <v>286</v>
      </c>
      <c r="AA205" s="1">
        <f ca="1">IFERROR(__xludf.DUMMYFUNCTION("""COMPUTED_VALUE"""),949)</f>
        <v>949</v>
      </c>
      <c r="AB205" s="1">
        <f ca="1">IFERROR(__xludf.DUMMYFUNCTION("""COMPUTED_VALUE"""),436)</f>
        <v>436</v>
      </c>
      <c r="AC205" s="1">
        <f ca="1">IFERROR(__xludf.DUMMYFUNCTION("""COMPUTED_VALUE"""),229)</f>
        <v>229</v>
      </c>
      <c r="AD205" s="1">
        <f ca="1">IFERROR(__xludf.DUMMYFUNCTION("""COMPUTED_VALUE"""),115)</f>
        <v>115</v>
      </c>
      <c r="AE205" s="1">
        <f ca="1">IFERROR(__xludf.DUMMYFUNCTION("""COMPUTED_VALUE"""),401)</f>
        <v>401</v>
      </c>
      <c r="AF205" s="1">
        <f ca="1">IFERROR(__xludf.DUMMYFUNCTION("""COMPUTED_VALUE"""),585)</f>
        <v>585</v>
      </c>
    </row>
    <row r="206" spans="1:32" ht="12.5" x14ac:dyDescent="0.25">
      <c r="A206" s="1" t="str">
        <f ca="1">IFERROR(__xludf.DUMMYFUNCTION("""COMPUTED_VALUE"""),"Morehead State")</f>
        <v>Morehead State</v>
      </c>
      <c r="B206" s="1">
        <f ca="1">IFERROR(__xludf.DUMMYFUNCTION("""COMPUTED_VALUE"""),33)</f>
        <v>33</v>
      </c>
      <c r="C206" s="1">
        <f ca="1">IFERROR(__xludf.DUMMYFUNCTION("""COMPUTED_VALUE"""),18)</f>
        <v>18</v>
      </c>
      <c r="D206" s="1">
        <f ca="1">IFERROR(__xludf.DUMMYFUNCTION("""COMPUTED_VALUE"""),15)</f>
        <v>15</v>
      </c>
      <c r="E206" s="1">
        <f ca="1">IFERROR(__xludf.DUMMYFUNCTION("""COMPUTED_VALUE"""),0.545)</f>
        <v>0.54500000000000004</v>
      </c>
      <c r="F206" s="1">
        <f ca="1">IFERROR(__xludf.DUMMYFUNCTION("""COMPUTED_VALUE"""),-4.99)</f>
        <v>-4.99</v>
      </c>
      <c r="G206" s="1">
        <f ca="1">IFERROR(__xludf.DUMMYFUNCTION("""COMPUTED_VALUE"""),-3.83)</f>
        <v>-3.83</v>
      </c>
      <c r="H206" s="1">
        <f ca="1">IFERROR(__xludf.DUMMYFUNCTION("""COMPUTED_VALUE"""),10)</f>
        <v>10</v>
      </c>
      <c r="I206" s="1">
        <f ca="1">IFERROR(__xludf.DUMMYFUNCTION("""COMPUTED_VALUE"""),6)</f>
        <v>6</v>
      </c>
      <c r="J206" s="1">
        <f ca="1">IFERROR(__xludf.DUMMYFUNCTION("""COMPUTED_VALUE"""),9)</f>
        <v>9</v>
      </c>
      <c r="K206" s="1">
        <f ca="1">IFERROR(__xludf.DUMMYFUNCTION("""COMPUTED_VALUE"""),4)</f>
        <v>4</v>
      </c>
      <c r="L206" s="1">
        <f ca="1">IFERROR(__xludf.DUMMYFUNCTION("""COMPUTED_VALUE"""),6)</f>
        <v>6</v>
      </c>
      <c r="M206" s="1">
        <f ca="1">IFERROR(__xludf.DUMMYFUNCTION("""COMPUTED_VALUE"""),9)</f>
        <v>9</v>
      </c>
      <c r="N206" s="1">
        <f ca="1">IFERROR(__xludf.DUMMYFUNCTION("""COMPUTED_VALUE"""),2070)</f>
        <v>2070</v>
      </c>
      <c r="O206" s="1">
        <f ca="1">IFERROR(__xludf.DUMMYFUNCTION("""COMPUTED_VALUE"""),2018)</f>
        <v>2018</v>
      </c>
      <c r="P206" s="1">
        <f ca="1">IFERROR(__xludf.DUMMYFUNCTION("""COMPUTED_VALUE"""),1320)</f>
        <v>1320</v>
      </c>
      <c r="Q206" s="1">
        <f ca="1">IFERROR(__xludf.DUMMYFUNCTION("""COMPUTED_VALUE"""),701)</f>
        <v>701</v>
      </c>
      <c r="R206" s="1">
        <f ca="1">IFERROR(__xludf.DUMMYFUNCTION("""COMPUTED_VALUE"""),1621)</f>
        <v>1621</v>
      </c>
      <c r="S206" s="1">
        <f ca="1">IFERROR(__xludf.DUMMYFUNCTION("""COMPUTED_VALUE"""),0.432)</f>
        <v>0.432</v>
      </c>
      <c r="T206" s="1">
        <f ca="1">IFERROR(__xludf.DUMMYFUNCTION("""COMPUTED_VALUE"""),215)</f>
        <v>215</v>
      </c>
      <c r="U206" s="1">
        <f ca="1">IFERROR(__xludf.DUMMYFUNCTION("""COMPUTED_VALUE"""),599)</f>
        <v>599</v>
      </c>
      <c r="V206" s="1">
        <f ca="1">IFERROR(__xludf.DUMMYFUNCTION("""COMPUTED_VALUE"""),0.359)</f>
        <v>0.35899999999999999</v>
      </c>
      <c r="W206" s="1">
        <f ca="1">IFERROR(__xludf.DUMMYFUNCTION("""COMPUTED_VALUE"""),453)</f>
        <v>453</v>
      </c>
      <c r="X206" s="1">
        <f ca="1">IFERROR(__xludf.DUMMYFUNCTION("""COMPUTED_VALUE"""),608)</f>
        <v>608</v>
      </c>
      <c r="Y206" s="1">
        <f ca="1">IFERROR(__xludf.DUMMYFUNCTION("""COMPUTED_VALUE"""),0.745)</f>
        <v>0.745</v>
      </c>
      <c r="Z206" s="1">
        <f ca="1">IFERROR(__xludf.DUMMYFUNCTION("""COMPUTED_VALUE"""),365)</f>
        <v>365</v>
      </c>
      <c r="AA206" s="1">
        <f ca="1">IFERROR(__xludf.DUMMYFUNCTION("""COMPUTED_VALUE"""),927)</f>
        <v>927</v>
      </c>
      <c r="AB206" s="1">
        <f ca="1">IFERROR(__xludf.DUMMYFUNCTION("""COMPUTED_VALUE"""),394)</f>
        <v>394</v>
      </c>
      <c r="AC206" s="1">
        <f ca="1">IFERROR(__xludf.DUMMYFUNCTION("""COMPUTED_VALUE"""),282)</f>
        <v>282</v>
      </c>
      <c r="AD206" s="1">
        <f ca="1">IFERROR(__xludf.DUMMYFUNCTION("""COMPUTED_VALUE"""),42)</f>
        <v>42</v>
      </c>
      <c r="AE206" s="1">
        <f ca="1">IFERROR(__xludf.DUMMYFUNCTION("""COMPUTED_VALUE"""),493)</f>
        <v>493</v>
      </c>
      <c r="AF206" s="1">
        <f ca="1">IFERROR(__xludf.DUMMYFUNCTION("""COMPUTED_VALUE"""),618)</f>
        <v>618</v>
      </c>
    </row>
    <row r="207" spans="1:32" ht="12.5" x14ac:dyDescent="0.25">
      <c r="A207" s="1" t="str">
        <f ca="1">IFERROR(__xludf.DUMMYFUNCTION("""COMPUTED_VALUE"""),"Morgan State")</f>
        <v>Morgan State</v>
      </c>
      <c r="B207" s="1">
        <f ca="1">IFERROR(__xludf.DUMMYFUNCTION("""COMPUTED_VALUE"""),29)</f>
        <v>29</v>
      </c>
      <c r="C207" s="1">
        <f ca="1">IFERROR(__xludf.DUMMYFUNCTION("""COMPUTED_VALUE"""),9)</f>
        <v>9</v>
      </c>
      <c r="D207" s="1">
        <f ca="1">IFERROR(__xludf.DUMMYFUNCTION("""COMPUTED_VALUE"""),20)</f>
        <v>20</v>
      </c>
      <c r="E207" s="1">
        <f ca="1">IFERROR(__xludf.DUMMYFUNCTION("""COMPUTED_VALUE"""),0.31)</f>
        <v>0.31</v>
      </c>
      <c r="F207" s="1">
        <f ca="1">IFERROR(__xludf.DUMMYFUNCTION("""COMPUTED_VALUE"""),-8.41)</f>
        <v>-8.41</v>
      </c>
      <c r="G207" s="1">
        <f ca="1">IFERROR(__xludf.DUMMYFUNCTION("""COMPUTED_VALUE"""),-5.54)</f>
        <v>-5.54</v>
      </c>
      <c r="H207" s="1">
        <f ca="1">IFERROR(__xludf.DUMMYFUNCTION("""COMPUTED_VALUE"""),6)</f>
        <v>6</v>
      </c>
      <c r="I207" s="1">
        <f ca="1">IFERROR(__xludf.DUMMYFUNCTION("""COMPUTED_VALUE"""),10)</f>
        <v>10</v>
      </c>
      <c r="J207" s="1">
        <f ca="1">IFERROR(__xludf.DUMMYFUNCTION("""COMPUTED_VALUE"""),4)</f>
        <v>4</v>
      </c>
      <c r="K207" s="1">
        <f ca="1">IFERROR(__xludf.DUMMYFUNCTION("""COMPUTED_VALUE"""),7)</f>
        <v>7</v>
      </c>
      <c r="L207" s="1">
        <f ca="1">IFERROR(__xludf.DUMMYFUNCTION("""COMPUTED_VALUE"""),5)</f>
        <v>5</v>
      </c>
      <c r="M207" s="1">
        <f ca="1">IFERROR(__xludf.DUMMYFUNCTION("""COMPUTED_VALUE"""),10)</f>
        <v>10</v>
      </c>
      <c r="N207" s="1">
        <f ca="1">IFERROR(__xludf.DUMMYFUNCTION("""COMPUTED_VALUE"""),1934)</f>
        <v>1934</v>
      </c>
      <c r="O207" s="1">
        <f ca="1">IFERROR(__xludf.DUMMYFUNCTION("""COMPUTED_VALUE"""),2017)</f>
        <v>2017</v>
      </c>
      <c r="P207" s="1">
        <f ca="1">IFERROR(__xludf.DUMMYFUNCTION("""COMPUTED_VALUE"""),1170)</f>
        <v>1170</v>
      </c>
      <c r="Q207" s="1">
        <f ca="1">IFERROR(__xludf.DUMMYFUNCTION("""COMPUTED_VALUE"""),676)</f>
        <v>676</v>
      </c>
      <c r="R207" s="1">
        <f ca="1">IFERROR(__xludf.DUMMYFUNCTION("""COMPUTED_VALUE"""),1574)</f>
        <v>1574</v>
      </c>
      <c r="S207" s="1">
        <f ca="1">IFERROR(__xludf.DUMMYFUNCTION("""COMPUTED_VALUE"""),0.429)</f>
        <v>0.42899999999999999</v>
      </c>
      <c r="T207" s="1">
        <f ca="1">IFERROR(__xludf.DUMMYFUNCTION("""COMPUTED_VALUE"""),145)</f>
        <v>145</v>
      </c>
      <c r="U207" s="1">
        <f ca="1">IFERROR(__xludf.DUMMYFUNCTION("""COMPUTED_VALUE"""),472)</f>
        <v>472</v>
      </c>
      <c r="V207" s="1">
        <f ca="1">IFERROR(__xludf.DUMMYFUNCTION("""COMPUTED_VALUE"""),0.307)</f>
        <v>0.307</v>
      </c>
      <c r="W207" s="1">
        <f ca="1">IFERROR(__xludf.DUMMYFUNCTION("""COMPUTED_VALUE"""),437)</f>
        <v>437</v>
      </c>
      <c r="X207" s="1">
        <f ca="1">IFERROR(__xludf.DUMMYFUNCTION("""COMPUTED_VALUE"""),646)</f>
        <v>646</v>
      </c>
      <c r="Y207" s="1">
        <f ca="1">IFERROR(__xludf.DUMMYFUNCTION("""COMPUTED_VALUE"""),0.676)</f>
        <v>0.67600000000000005</v>
      </c>
      <c r="Z207" s="1">
        <f ca="1">IFERROR(__xludf.DUMMYFUNCTION("""COMPUTED_VALUE"""),352)</f>
        <v>352</v>
      </c>
      <c r="AA207" s="1">
        <f ca="1">IFERROR(__xludf.DUMMYFUNCTION("""COMPUTED_VALUE"""),905)</f>
        <v>905</v>
      </c>
      <c r="AB207" s="1">
        <f ca="1">IFERROR(__xludf.DUMMYFUNCTION("""COMPUTED_VALUE"""),341)</f>
        <v>341</v>
      </c>
      <c r="AC207" s="1">
        <f ca="1">IFERROR(__xludf.DUMMYFUNCTION("""COMPUTED_VALUE"""),191)</f>
        <v>191</v>
      </c>
      <c r="AD207" s="1">
        <f ca="1">IFERROR(__xludf.DUMMYFUNCTION("""COMPUTED_VALUE"""),130)</f>
        <v>130</v>
      </c>
      <c r="AE207" s="1">
        <f ca="1">IFERROR(__xludf.DUMMYFUNCTION("""COMPUTED_VALUE"""),453)</f>
        <v>453</v>
      </c>
      <c r="AF207" s="1">
        <f ca="1">IFERROR(__xludf.DUMMYFUNCTION("""COMPUTED_VALUE"""),549)</f>
        <v>549</v>
      </c>
    </row>
    <row r="208" spans="1:32" ht="12.5" x14ac:dyDescent="0.25">
      <c r="A208" s="1" t="str">
        <f ca="1">IFERROR(__xludf.DUMMYFUNCTION("""COMPUTED_VALUE"""),"Mount St. Mary's")</f>
        <v>Mount St. Mary's</v>
      </c>
      <c r="B208" s="1">
        <f ca="1">IFERROR(__xludf.DUMMYFUNCTION("""COMPUTED_VALUE"""),29)</f>
        <v>29</v>
      </c>
      <c r="C208" s="1">
        <f ca="1">IFERROR(__xludf.DUMMYFUNCTION("""COMPUTED_VALUE"""),8)</f>
        <v>8</v>
      </c>
      <c r="D208" s="1">
        <f ca="1">IFERROR(__xludf.DUMMYFUNCTION("""COMPUTED_VALUE"""),21)</f>
        <v>21</v>
      </c>
      <c r="E208" s="1">
        <f ca="1">IFERROR(__xludf.DUMMYFUNCTION("""COMPUTED_VALUE"""),0.276)</f>
        <v>0.27600000000000002</v>
      </c>
      <c r="F208" s="1">
        <f ca="1">IFERROR(__xludf.DUMMYFUNCTION("""COMPUTED_VALUE"""),-11.72)</f>
        <v>-11.72</v>
      </c>
      <c r="G208" s="1">
        <f ca="1">IFERROR(__xludf.DUMMYFUNCTION("""COMPUTED_VALUE"""),-4.9)</f>
        <v>-4.9000000000000004</v>
      </c>
      <c r="H208" s="1">
        <f ca="1">IFERROR(__xludf.DUMMYFUNCTION("""COMPUTED_VALUE"""),6)</f>
        <v>6</v>
      </c>
      <c r="I208" s="1">
        <f ca="1">IFERROR(__xludf.DUMMYFUNCTION("""COMPUTED_VALUE"""),12)</f>
        <v>12</v>
      </c>
      <c r="J208" s="1">
        <f ca="1">IFERROR(__xludf.DUMMYFUNCTION("""COMPUTED_VALUE"""),4)</f>
        <v>4</v>
      </c>
      <c r="K208" s="1">
        <f ca="1">IFERROR(__xludf.DUMMYFUNCTION("""COMPUTED_VALUE"""),9)</f>
        <v>9</v>
      </c>
      <c r="L208" s="1">
        <f ca="1">IFERROR(__xludf.DUMMYFUNCTION("""COMPUTED_VALUE"""),4)</f>
        <v>4</v>
      </c>
      <c r="M208" s="1">
        <f ca="1">IFERROR(__xludf.DUMMYFUNCTION("""COMPUTED_VALUE"""),12)</f>
        <v>12</v>
      </c>
      <c r="N208" s="1">
        <f ca="1">IFERROR(__xludf.DUMMYFUNCTION("""COMPUTED_VALUE"""),1748)</f>
        <v>1748</v>
      </c>
      <c r="O208" s="1">
        <f ca="1">IFERROR(__xludf.DUMMYFUNCTION("""COMPUTED_VALUE"""),1946)</f>
        <v>1946</v>
      </c>
      <c r="P208" s="1">
        <f ca="1">IFERROR(__xludf.DUMMYFUNCTION("""COMPUTED_VALUE"""),1175)</f>
        <v>1175</v>
      </c>
      <c r="Q208" s="1">
        <f ca="1">IFERROR(__xludf.DUMMYFUNCTION("""COMPUTED_VALUE"""),647)</f>
        <v>647</v>
      </c>
      <c r="R208" s="1">
        <f ca="1">IFERROR(__xludf.DUMMYFUNCTION("""COMPUTED_VALUE"""),1525)</f>
        <v>1525</v>
      </c>
      <c r="S208" s="1">
        <f ca="1">IFERROR(__xludf.DUMMYFUNCTION("""COMPUTED_VALUE"""),0.424)</f>
        <v>0.42399999999999999</v>
      </c>
      <c r="T208" s="1">
        <f ca="1">IFERROR(__xludf.DUMMYFUNCTION("""COMPUTED_VALUE"""),159)</f>
        <v>159</v>
      </c>
      <c r="U208" s="1">
        <f ca="1">IFERROR(__xludf.DUMMYFUNCTION("""COMPUTED_VALUE"""),502)</f>
        <v>502</v>
      </c>
      <c r="V208" s="1">
        <f ca="1">IFERROR(__xludf.DUMMYFUNCTION("""COMPUTED_VALUE"""),0.317)</f>
        <v>0.317</v>
      </c>
      <c r="W208" s="1">
        <f ca="1">IFERROR(__xludf.DUMMYFUNCTION("""COMPUTED_VALUE"""),295)</f>
        <v>295</v>
      </c>
      <c r="X208" s="1">
        <f ca="1">IFERROR(__xludf.DUMMYFUNCTION("""COMPUTED_VALUE"""),458)</f>
        <v>458</v>
      </c>
      <c r="Y208" s="1">
        <f ca="1">IFERROR(__xludf.DUMMYFUNCTION("""COMPUTED_VALUE"""),0.644)</f>
        <v>0.64400000000000002</v>
      </c>
      <c r="Z208" s="1">
        <f ca="1">IFERROR(__xludf.DUMMYFUNCTION("""COMPUTED_VALUE"""),331)</f>
        <v>331</v>
      </c>
      <c r="AA208" s="1">
        <f ca="1">IFERROR(__xludf.DUMMYFUNCTION("""COMPUTED_VALUE"""),859)</f>
        <v>859</v>
      </c>
      <c r="AB208" s="1">
        <f ca="1">IFERROR(__xludf.DUMMYFUNCTION("""COMPUTED_VALUE"""),332)</f>
        <v>332</v>
      </c>
      <c r="AC208" s="1">
        <f ca="1">IFERROR(__xludf.DUMMYFUNCTION("""COMPUTED_VALUE"""),178)</f>
        <v>178</v>
      </c>
      <c r="AD208" s="1">
        <f ca="1">IFERROR(__xludf.DUMMYFUNCTION("""COMPUTED_VALUE"""),99)</f>
        <v>99</v>
      </c>
      <c r="AE208" s="1">
        <f ca="1">IFERROR(__xludf.DUMMYFUNCTION("""COMPUTED_VALUE"""),480)</f>
        <v>480</v>
      </c>
      <c r="AF208" s="1">
        <f ca="1">IFERROR(__xludf.DUMMYFUNCTION("""COMPUTED_VALUE"""),535)</f>
        <v>535</v>
      </c>
    </row>
    <row r="209" spans="1:32" ht="12.5" x14ac:dyDescent="0.25">
      <c r="A209" s="1" t="str">
        <f ca="1">IFERROR(__xludf.DUMMYFUNCTION("""COMPUTED_VALUE"""),"Murray StateNCAA")</f>
        <v>Murray StateNCAA</v>
      </c>
      <c r="B209" s="1">
        <f ca="1">IFERROR(__xludf.DUMMYFUNCTION("""COMPUTED_VALUE"""),33)</f>
        <v>33</v>
      </c>
      <c r="C209" s="1">
        <f ca="1">IFERROR(__xludf.DUMMYFUNCTION("""COMPUTED_VALUE"""),31)</f>
        <v>31</v>
      </c>
      <c r="D209" s="1">
        <f ca="1">IFERROR(__xludf.DUMMYFUNCTION("""COMPUTED_VALUE"""),2)</f>
        <v>2</v>
      </c>
      <c r="E209" s="1">
        <f ca="1">IFERROR(__xludf.DUMMYFUNCTION("""COMPUTED_VALUE"""),0.939)</f>
        <v>0.93899999999999995</v>
      </c>
      <c r="F209" s="1">
        <f ca="1">IFERROR(__xludf.DUMMYFUNCTION("""COMPUTED_VALUE"""),8.74)</f>
        <v>8.74</v>
      </c>
      <c r="G209" s="1">
        <f ca="1">IFERROR(__xludf.DUMMYFUNCTION("""COMPUTED_VALUE"""),-2.6)</f>
        <v>-2.6</v>
      </c>
      <c r="H209" s="1">
        <f ca="1">IFERROR(__xludf.DUMMYFUNCTION("""COMPUTED_VALUE"""),15)</f>
        <v>15</v>
      </c>
      <c r="I209" s="1">
        <f ca="1">IFERROR(__xludf.DUMMYFUNCTION("""COMPUTED_VALUE"""),1)</f>
        <v>1</v>
      </c>
      <c r="J209" s="1">
        <f ca="1">IFERROR(__xludf.DUMMYFUNCTION("""COMPUTED_VALUE"""),13)</f>
        <v>13</v>
      </c>
      <c r="K209" s="1">
        <f ca="1">IFERROR(__xludf.DUMMYFUNCTION("""COMPUTED_VALUE"""),1)</f>
        <v>1</v>
      </c>
      <c r="L209" s="1">
        <f ca="1">IFERROR(__xludf.DUMMYFUNCTION("""COMPUTED_VALUE"""),13)</f>
        <v>13</v>
      </c>
      <c r="M209" s="1">
        <f ca="1">IFERROR(__xludf.DUMMYFUNCTION("""COMPUTED_VALUE"""),0)</f>
        <v>0</v>
      </c>
      <c r="N209" s="1">
        <f ca="1">IFERROR(__xludf.DUMMYFUNCTION("""COMPUTED_VALUE"""),2412)</f>
        <v>2412</v>
      </c>
      <c r="O209" s="1">
        <f ca="1">IFERROR(__xludf.DUMMYFUNCTION("""COMPUTED_VALUE"""),2001)</f>
        <v>2001</v>
      </c>
      <c r="P209" s="1">
        <f ca="1">IFERROR(__xludf.DUMMYFUNCTION("""COMPUTED_VALUE"""),1330)</f>
        <v>1330</v>
      </c>
      <c r="Q209" s="1">
        <f ca="1">IFERROR(__xludf.DUMMYFUNCTION("""COMPUTED_VALUE"""),811)</f>
        <v>811</v>
      </c>
      <c r="R209" s="1">
        <f ca="1">IFERROR(__xludf.DUMMYFUNCTION("""COMPUTED_VALUE"""),1732)</f>
        <v>1732</v>
      </c>
      <c r="S209" s="1">
        <f ca="1">IFERROR(__xludf.DUMMYFUNCTION("""COMPUTED_VALUE"""),0.468)</f>
        <v>0.46800000000000003</v>
      </c>
      <c r="T209" s="1">
        <f ca="1">IFERROR(__xludf.DUMMYFUNCTION("""COMPUTED_VALUE"""),239)</f>
        <v>239</v>
      </c>
      <c r="U209" s="1">
        <f ca="1">IFERROR(__xludf.DUMMYFUNCTION("""COMPUTED_VALUE"""),604)</f>
        <v>604</v>
      </c>
      <c r="V209" s="1">
        <f ca="1">IFERROR(__xludf.DUMMYFUNCTION("""COMPUTED_VALUE"""),0.396)</f>
        <v>0.39600000000000002</v>
      </c>
      <c r="W209" s="1">
        <f ca="1">IFERROR(__xludf.DUMMYFUNCTION("""COMPUTED_VALUE"""),551)</f>
        <v>551</v>
      </c>
      <c r="X209" s="1">
        <f ca="1">IFERROR(__xludf.DUMMYFUNCTION("""COMPUTED_VALUE"""),761)</f>
        <v>761</v>
      </c>
      <c r="Y209" s="1">
        <f ca="1">IFERROR(__xludf.DUMMYFUNCTION("""COMPUTED_VALUE"""),0.724)</f>
        <v>0.72399999999999998</v>
      </c>
      <c r="Z209" s="1">
        <f ca="1">IFERROR(__xludf.DUMMYFUNCTION("""COMPUTED_VALUE"""),360)</f>
        <v>360</v>
      </c>
      <c r="AA209" s="1">
        <f ca="1">IFERROR(__xludf.DUMMYFUNCTION("""COMPUTED_VALUE"""),1019)</f>
        <v>1019</v>
      </c>
      <c r="AB209" s="1">
        <f ca="1">IFERROR(__xludf.DUMMYFUNCTION("""COMPUTED_VALUE"""),418)</f>
        <v>418</v>
      </c>
      <c r="AC209" s="1">
        <f ca="1">IFERROR(__xludf.DUMMYFUNCTION("""COMPUTED_VALUE"""),276)</f>
        <v>276</v>
      </c>
      <c r="AD209" s="1">
        <f ca="1">IFERROR(__xludf.DUMMYFUNCTION("""COMPUTED_VALUE"""),139)</f>
        <v>139</v>
      </c>
      <c r="AE209" s="1">
        <f ca="1">IFERROR(__xludf.DUMMYFUNCTION("""COMPUTED_VALUE"""),458)</f>
        <v>458</v>
      </c>
      <c r="AF209" s="1">
        <f ca="1">IFERROR(__xludf.DUMMYFUNCTION("""COMPUTED_VALUE"""),592)</f>
        <v>592</v>
      </c>
    </row>
    <row r="210" spans="1:32" ht="12.5" x14ac:dyDescent="0.25">
      <c r="A210" s="1" t="str">
        <f ca="1">IFERROR(__xludf.DUMMYFUNCTION("""COMPUTED_VALUE"""),"Navy")</f>
        <v>Navy</v>
      </c>
      <c r="B210" s="1">
        <f ca="1">IFERROR(__xludf.DUMMYFUNCTION("""COMPUTED_VALUE"""),29)</f>
        <v>29</v>
      </c>
      <c r="C210" s="1">
        <f ca="1">IFERROR(__xludf.DUMMYFUNCTION("""COMPUTED_VALUE"""),3)</f>
        <v>3</v>
      </c>
      <c r="D210" s="1">
        <f ca="1">IFERROR(__xludf.DUMMYFUNCTION("""COMPUTED_VALUE"""),26)</f>
        <v>26</v>
      </c>
      <c r="E210" s="1">
        <f ca="1">IFERROR(__xludf.DUMMYFUNCTION("""COMPUTED_VALUE"""),0.103)</f>
        <v>0.10299999999999999</v>
      </c>
      <c r="F210" s="1">
        <f ca="1">IFERROR(__xludf.DUMMYFUNCTION("""COMPUTED_VALUE"""),-14.6)</f>
        <v>-14.6</v>
      </c>
      <c r="G210" s="1">
        <f ca="1">IFERROR(__xludf.DUMMYFUNCTION("""COMPUTED_VALUE"""),-4.74)</f>
        <v>-4.74</v>
      </c>
      <c r="H210" s="1">
        <f ca="1">IFERROR(__xludf.DUMMYFUNCTION("""COMPUTED_VALUE"""),0)</f>
        <v>0</v>
      </c>
      <c r="I210" s="1">
        <f ca="1">IFERROR(__xludf.DUMMYFUNCTION("""COMPUTED_VALUE"""),14)</f>
        <v>14</v>
      </c>
      <c r="J210" s="1">
        <f ca="1">IFERROR(__xludf.DUMMYFUNCTION("""COMPUTED_VALUE"""),2)</f>
        <v>2</v>
      </c>
      <c r="K210" s="1">
        <f ca="1">IFERROR(__xludf.DUMMYFUNCTION("""COMPUTED_VALUE"""),11)</f>
        <v>11</v>
      </c>
      <c r="L210" s="1">
        <f ca="1">IFERROR(__xludf.DUMMYFUNCTION("""COMPUTED_VALUE"""),1)</f>
        <v>1</v>
      </c>
      <c r="M210" s="1">
        <f ca="1">IFERROR(__xludf.DUMMYFUNCTION("""COMPUTED_VALUE"""),15)</f>
        <v>15</v>
      </c>
      <c r="N210" s="1">
        <f ca="1">IFERROR(__xludf.DUMMYFUNCTION("""COMPUTED_VALUE"""),1678)</f>
        <v>1678</v>
      </c>
      <c r="O210" s="1">
        <f ca="1">IFERROR(__xludf.DUMMYFUNCTION("""COMPUTED_VALUE"""),1920)</f>
        <v>1920</v>
      </c>
      <c r="P210" s="1">
        <f ca="1">IFERROR(__xludf.DUMMYFUNCTION("""COMPUTED_VALUE"""),1176)</f>
        <v>1176</v>
      </c>
      <c r="Q210" s="1">
        <f ca="1">IFERROR(__xludf.DUMMYFUNCTION("""COMPUTED_VALUE"""),594)</f>
        <v>594</v>
      </c>
      <c r="R210" s="1">
        <f ca="1">IFERROR(__xludf.DUMMYFUNCTION("""COMPUTED_VALUE"""),1464)</f>
        <v>1464</v>
      </c>
      <c r="S210" s="1">
        <f ca="1">IFERROR(__xludf.DUMMYFUNCTION("""COMPUTED_VALUE"""),0.406)</f>
        <v>0.40600000000000003</v>
      </c>
      <c r="T210" s="1">
        <f ca="1">IFERROR(__xludf.DUMMYFUNCTION("""COMPUTED_VALUE"""),157)</f>
        <v>157</v>
      </c>
      <c r="U210" s="1">
        <f ca="1">IFERROR(__xludf.DUMMYFUNCTION("""COMPUTED_VALUE"""),559)</f>
        <v>559</v>
      </c>
      <c r="V210" s="1">
        <f ca="1">IFERROR(__xludf.DUMMYFUNCTION("""COMPUTED_VALUE"""),0.281)</f>
        <v>0.28100000000000003</v>
      </c>
      <c r="W210" s="1">
        <f ca="1">IFERROR(__xludf.DUMMYFUNCTION("""COMPUTED_VALUE"""),333)</f>
        <v>333</v>
      </c>
      <c r="X210" s="1">
        <f ca="1">IFERROR(__xludf.DUMMYFUNCTION("""COMPUTED_VALUE"""),487)</f>
        <v>487</v>
      </c>
      <c r="Y210" s="1">
        <f ca="1">IFERROR(__xludf.DUMMYFUNCTION("""COMPUTED_VALUE"""),0.684)</f>
        <v>0.68400000000000005</v>
      </c>
      <c r="Z210" s="1">
        <f ca="1">IFERROR(__xludf.DUMMYFUNCTION("""COMPUTED_VALUE"""),299)</f>
        <v>299</v>
      </c>
      <c r="AA210" s="1">
        <f ca="1">IFERROR(__xludf.DUMMYFUNCTION("""COMPUTED_VALUE"""),776)</f>
        <v>776</v>
      </c>
      <c r="AB210" s="1">
        <f ca="1">IFERROR(__xludf.DUMMYFUNCTION("""COMPUTED_VALUE"""),331)</f>
        <v>331</v>
      </c>
      <c r="AC210" s="1">
        <f ca="1">IFERROR(__xludf.DUMMYFUNCTION("""COMPUTED_VALUE"""),218)</f>
        <v>218</v>
      </c>
      <c r="AD210" s="1">
        <f ca="1">IFERROR(__xludf.DUMMYFUNCTION("""COMPUTED_VALUE"""),54)</f>
        <v>54</v>
      </c>
      <c r="AE210" s="1">
        <f ca="1">IFERROR(__xludf.DUMMYFUNCTION("""COMPUTED_VALUE"""),423)</f>
        <v>423</v>
      </c>
      <c r="AF210" s="1">
        <f ca="1">IFERROR(__xludf.DUMMYFUNCTION("""COMPUTED_VALUE"""),528)</f>
        <v>528</v>
      </c>
    </row>
    <row r="211" spans="1:32" ht="12.5" x14ac:dyDescent="0.25">
      <c r="A211" s="1" t="str">
        <f ca="1">IFERROR(__xludf.DUMMYFUNCTION("""COMPUTED_VALUE"""),"Nebraska")</f>
        <v>Nebraska</v>
      </c>
      <c r="B211" s="1">
        <f ca="1">IFERROR(__xludf.DUMMYFUNCTION("""COMPUTED_VALUE"""),30)</f>
        <v>30</v>
      </c>
      <c r="C211" s="1">
        <f ca="1">IFERROR(__xludf.DUMMYFUNCTION("""COMPUTED_VALUE"""),12)</f>
        <v>12</v>
      </c>
      <c r="D211" s="1">
        <f ca="1">IFERROR(__xludf.DUMMYFUNCTION("""COMPUTED_VALUE"""),18)</f>
        <v>18</v>
      </c>
      <c r="E211" s="1">
        <f ca="1">IFERROR(__xludf.DUMMYFUNCTION("""COMPUTED_VALUE"""),0.4)</f>
        <v>0.4</v>
      </c>
      <c r="F211" s="1">
        <f ca="1">IFERROR(__xludf.DUMMYFUNCTION("""COMPUTED_VALUE"""),3.52)</f>
        <v>3.52</v>
      </c>
      <c r="G211" s="1">
        <f ca="1">IFERROR(__xludf.DUMMYFUNCTION("""COMPUTED_VALUE"""),8.25)</f>
        <v>8.25</v>
      </c>
      <c r="H211" s="1">
        <f ca="1">IFERROR(__xludf.DUMMYFUNCTION("""COMPUTED_VALUE"""),4)</f>
        <v>4</v>
      </c>
      <c r="I211" s="1">
        <f ca="1">IFERROR(__xludf.DUMMYFUNCTION("""COMPUTED_VALUE"""),14)</f>
        <v>14</v>
      </c>
      <c r="J211" s="1">
        <f ca="1">IFERROR(__xludf.DUMMYFUNCTION("""COMPUTED_VALUE"""),9)</f>
        <v>9</v>
      </c>
      <c r="K211" s="1">
        <f ca="1">IFERROR(__xludf.DUMMYFUNCTION("""COMPUTED_VALUE"""),8)</f>
        <v>8</v>
      </c>
      <c r="L211" s="1">
        <f ca="1">IFERROR(__xludf.DUMMYFUNCTION("""COMPUTED_VALUE"""),3)</f>
        <v>3</v>
      </c>
      <c r="M211" s="1">
        <f ca="1">IFERROR(__xludf.DUMMYFUNCTION("""COMPUTED_VALUE"""),9)</f>
        <v>9</v>
      </c>
      <c r="N211" s="1">
        <f ca="1">IFERROR(__xludf.DUMMYFUNCTION("""COMPUTED_VALUE"""),1827)</f>
        <v>1827</v>
      </c>
      <c r="O211" s="1">
        <f ca="1">IFERROR(__xludf.DUMMYFUNCTION("""COMPUTED_VALUE"""),1969)</f>
        <v>1969</v>
      </c>
      <c r="P211" s="1">
        <f ca="1">IFERROR(__xludf.DUMMYFUNCTION("""COMPUTED_VALUE"""),1210)</f>
        <v>1210</v>
      </c>
      <c r="Q211" s="1">
        <f ca="1">IFERROR(__xludf.DUMMYFUNCTION("""COMPUTED_VALUE"""),649)</f>
        <v>649</v>
      </c>
      <c r="R211" s="1">
        <f ca="1">IFERROR(__xludf.DUMMYFUNCTION("""COMPUTED_VALUE"""),1521)</f>
        <v>1521</v>
      </c>
      <c r="S211" s="1">
        <f ca="1">IFERROR(__xludf.DUMMYFUNCTION("""COMPUTED_VALUE"""),0.427)</f>
        <v>0.42699999999999999</v>
      </c>
      <c r="T211" s="1">
        <f ca="1">IFERROR(__xludf.DUMMYFUNCTION("""COMPUTED_VALUE"""),194)</f>
        <v>194</v>
      </c>
      <c r="U211" s="1">
        <f ca="1">IFERROR(__xludf.DUMMYFUNCTION("""COMPUTED_VALUE"""),599)</f>
        <v>599</v>
      </c>
      <c r="V211" s="1">
        <f ca="1">IFERROR(__xludf.DUMMYFUNCTION("""COMPUTED_VALUE"""),0.324)</f>
        <v>0.32400000000000001</v>
      </c>
      <c r="W211" s="1">
        <f ca="1">IFERROR(__xludf.DUMMYFUNCTION("""COMPUTED_VALUE"""),335)</f>
        <v>335</v>
      </c>
      <c r="X211" s="1">
        <f ca="1">IFERROR(__xludf.DUMMYFUNCTION("""COMPUTED_VALUE"""),437)</f>
        <v>437</v>
      </c>
      <c r="Y211" s="1">
        <f ca="1">IFERROR(__xludf.DUMMYFUNCTION("""COMPUTED_VALUE"""),0.767)</f>
        <v>0.76700000000000002</v>
      </c>
      <c r="Z211" s="1">
        <f ca="1">IFERROR(__xludf.DUMMYFUNCTION("""COMPUTED_VALUE"""),254)</f>
        <v>254</v>
      </c>
      <c r="AA211" s="1">
        <f ca="1">IFERROR(__xludf.DUMMYFUNCTION("""COMPUTED_VALUE"""),814)</f>
        <v>814</v>
      </c>
      <c r="AB211" s="1">
        <f ca="1">IFERROR(__xludf.DUMMYFUNCTION("""COMPUTED_VALUE"""),381)</f>
        <v>381</v>
      </c>
      <c r="AC211" s="1">
        <f ca="1">IFERROR(__xludf.DUMMYFUNCTION("""COMPUTED_VALUE"""),198)</f>
        <v>198</v>
      </c>
      <c r="AD211" s="1">
        <f ca="1">IFERROR(__xludf.DUMMYFUNCTION("""COMPUTED_VALUE"""),78)</f>
        <v>78</v>
      </c>
      <c r="AE211" s="1">
        <f ca="1">IFERROR(__xludf.DUMMYFUNCTION("""COMPUTED_VALUE"""),398)</f>
        <v>398</v>
      </c>
      <c r="AF211" s="1">
        <f ca="1">IFERROR(__xludf.DUMMYFUNCTION("""COMPUTED_VALUE"""),496)</f>
        <v>496</v>
      </c>
    </row>
    <row r="212" spans="1:32" ht="12.5" x14ac:dyDescent="0.25">
      <c r="A212" s="1" t="str">
        <f ca="1">IFERROR(__xludf.DUMMYFUNCTION("""COMPUTED_VALUE"""),"Nevada-Las VegasNCAA")</f>
        <v>Nevada-Las VegasNCAA</v>
      </c>
      <c r="B212" s="1">
        <f ca="1">IFERROR(__xludf.DUMMYFUNCTION("""COMPUTED_VALUE"""),35)</f>
        <v>35</v>
      </c>
      <c r="C212" s="1">
        <f ca="1">IFERROR(__xludf.DUMMYFUNCTION("""COMPUTED_VALUE"""),26)</f>
        <v>26</v>
      </c>
      <c r="D212" s="1">
        <f ca="1">IFERROR(__xludf.DUMMYFUNCTION("""COMPUTED_VALUE"""),9)</f>
        <v>9</v>
      </c>
      <c r="E212" s="1">
        <f ca="1">IFERROR(__xludf.DUMMYFUNCTION("""COMPUTED_VALUE"""),0.743)</f>
        <v>0.74299999999999999</v>
      </c>
      <c r="F212" s="1">
        <f ca="1">IFERROR(__xludf.DUMMYFUNCTION("""COMPUTED_VALUE"""),13.55)</f>
        <v>13.55</v>
      </c>
      <c r="G212" s="1">
        <f ca="1">IFERROR(__xludf.DUMMYFUNCTION("""COMPUTED_VALUE"""),4.37)</f>
        <v>4.37</v>
      </c>
      <c r="H212" s="1">
        <f ca="1">IFERROR(__xludf.DUMMYFUNCTION("""COMPUTED_VALUE"""),9)</f>
        <v>9</v>
      </c>
      <c r="I212" s="1">
        <f ca="1">IFERROR(__xludf.DUMMYFUNCTION("""COMPUTED_VALUE"""),5)</f>
        <v>5</v>
      </c>
      <c r="J212" s="1">
        <f ca="1">IFERROR(__xludf.DUMMYFUNCTION("""COMPUTED_VALUE"""),17)</f>
        <v>17</v>
      </c>
      <c r="K212" s="1">
        <f ca="1">IFERROR(__xludf.DUMMYFUNCTION("""COMPUTED_VALUE"""),0)</f>
        <v>0</v>
      </c>
      <c r="L212" s="1">
        <f ca="1">IFERROR(__xludf.DUMMYFUNCTION("""COMPUTED_VALUE"""),5)</f>
        <v>5</v>
      </c>
      <c r="M212" s="1">
        <f ca="1">IFERROR(__xludf.DUMMYFUNCTION("""COMPUTED_VALUE"""),7)</f>
        <v>7</v>
      </c>
      <c r="N212" s="1">
        <f ca="1">IFERROR(__xludf.DUMMYFUNCTION("""COMPUTED_VALUE"""),2671)</f>
        <v>2671</v>
      </c>
      <c r="O212" s="1">
        <f ca="1">IFERROR(__xludf.DUMMYFUNCTION("""COMPUTED_VALUE"""),2307)</f>
        <v>2307</v>
      </c>
      <c r="P212" s="1">
        <f ca="1">IFERROR(__xludf.DUMMYFUNCTION("""COMPUTED_VALUE"""),1425)</f>
        <v>1425</v>
      </c>
      <c r="Q212" s="1">
        <f ca="1">IFERROR(__xludf.DUMMYFUNCTION("""COMPUTED_VALUE"""),942)</f>
        <v>942</v>
      </c>
      <c r="R212" s="1">
        <f ca="1">IFERROR(__xludf.DUMMYFUNCTION("""COMPUTED_VALUE"""),2062)</f>
        <v>2062</v>
      </c>
      <c r="S212" s="1">
        <f ca="1">IFERROR(__xludf.DUMMYFUNCTION("""COMPUTED_VALUE"""),0.457)</f>
        <v>0.45700000000000002</v>
      </c>
      <c r="T212" s="1">
        <f ca="1">IFERROR(__xludf.DUMMYFUNCTION("""COMPUTED_VALUE"""),291)</f>
        <v>291</v>
      </c>
      <c r="U212" s="1">
        <f ca="1">IFERROR(__xludf.DUMMYFUNCTION("""COMPUTED_VALUE"""),799)</f>
        <v>799</v>
      </c>
      <c r="V212" s="1">
        <f ca="1">IFERROR(__xludf.DUMMYFUNCTION("""COMPUTED_VALUE"""),0.364)</f>
        <v>0.36399999999999999</v>
      </c>
      <c r="W212" s="1">
        <f ca="1">IFERROR(__xludf.DUMMYFUNCTION("""COMPUTED_VALUE"""),496)</f>
        <v>496</v>
      </c>
      <c r="X212" s="1">
        <f ca="1">IFERROR(__xludf.DUMMYFUNCTION("""COMPUTED_VALUE"""),734)</f>
        <v>734</v>
      </c>
      <c r="Y212" s="1">
        <f ca="1">IFERROR(__xludf.DUMMYFUNCTION("""COMPUTED_VALUE"""),0.676)</f>
        <v>0.67600000000000005</v>
      </c>
      <c r="Z212" s="1">
        <f ca="1">IFERROR(__xludf.DUMMYFUNCTION("""COMPUTED_VALUE"""),408)</f>
        <v>408</v>
      </c>
      <c r="AA212" s="1">
        <f ca="1">IFERROR(__xludf.DUMMYFUNCTION("""COMPUTED_VALUE"""),1227)</f>
        <v>1227</v>
      </c>
      <c r="AB212" s="1">
        <f ca="1">IFERROR(__xludf.DUMMYFUNCTION("""COMPUTED_VALUE"""),616)</f>
        <v>616</v>
      </c>
      <c r="AC212" s="1">
        <f ca="1">IFERROR(__xludf.DUMMYFUNCTION("""COMPUTED_VALUE"""),299)</f>
        <v>299</v>
      </c>
      <c r="AD212" s="1">
        <f ca="1">IFERROR(__xludf.DUMMYFUNCTION("""COMPUTED_VALUE"""),169)</f>
        <v>169</v>
      </c>
      <c r="AE212" s="1">
        <f ca="1">IFERROR(__xludf.DUMMYFUNCTION("""COMPUTED_VALUE"""),466)</f>
        <v>466</v>
      </c>
      <c r="AF212" s="1">
        <f ca="1">IFERROR(__xludf.DUMMYFUNCTION("""COMPUTED_VALUE"""),604)</f>
        <v>604</v>
      </c>
    </row>
    <row r="213" spans="1:32" ht="12.5" x14ac:dyDescent="0.25">
      <c r="A213" s="1" t="str">
        <f ca="1">IFERROR(__xludf.DUMMYFUNCTION("""COMPUTED_VALUE"""),"Nevada")</f>
        <v>Nevada</v>
      </c>
      <c r="B213" s="1">
        <f ca="1">IFERROR(__xludf.DUMMYFUNCTION("""COMPUTED_VALUE"""),35)</f>
        <v>35</v>
      </c>
      <c r="C213" s="1">
        <f ca="1">IFERROR(__xludf.DUMMYFUNCTION("""COMPUTED_VALUE"""),28)</f>
        <v>28</v>
      </c>
      <c r="D213" s="1">
        <f ca="1">IFERROR(__xludf.DUMMYFUNCTION("""COMPUTED_VALUE"""),7)</f>
        <v>7</v>
      </c>
      <c r="E213" s="1">
        <f ca="1">IFERROR(__xludf.DUMMYFUNCTION("""COMPUTED_VALUE"""),0.8)</f>
        <v>0.8</v>
      </c>
      <c r="F213" s="1">
        <f ca="1">IFERROR(__xludf.DUMMYFUNCTION("""COMPUTED_VALUE"""),4.54)</f>
        <v>4.54</v>
      </c>
      <c r="G213" s="1">
        <f ca="1">IFERROR(__xludf.DUMMYFUNCTION("""COMPUTED_VALUE"""),-0.37)</f>
        <v>-0.37</v>
      </c>
      <c r="H213" s="1">
        <f ca="1">IFERROR(__xludf.DUMMYFUNCTION("""COMPUTED_VALUE"""),13)</f>
        <v>13</v>
      </c>
      <c r="I213" s="1">
        <f ca="1">IFERROR(__xludf.DUMMYFUNCTION("""COMPUTED_VALUE"""),1)</f>
        <v>1</v>
      </c>
      <c r="J213" s="1">
        <f ca="1">IFERROR(__xludf.DUMMYFUNCTION("""COMPUTED_VALUE"""),16)</f>
        <v>16</v>
      </c>
      <c r="K213" s="1">
        <f ca="1">IFERROR(__xludf.DUMMYFUNCTION("""COMPUTED_VALUE"""),2)</f>
        <v>2</v>
      </c>
      <c r="L213" s="1">
        <f ca="1">IFERROR(__xludf.DUMMYFUNCTION("""COMPUTED_VALUE"""),10)</f>
        <v>10</v>
      </c>
      <c r="M213" s="1">
        <f ca="1">IFERROR(__xludf.DUMMYFUNCTION("""COMPUTED_VALUE"""),3)</f>
        <v>3</v>
      </c>
      <c r="N213" s="1">
        <f ca="1">IFERROR(__xludf.DUMMYFUNCTION("""COMPUTED_VALUE"""),2461)</f>
        <v>2461</v>
      </c>
      <c r="O213" s="1">
        <f ca="1">IFERROR(__xludf.DUMMYFUNCTION("""COMPUTED_VALUE"""),2277)</f>
        <v>2277</v>
      </c>
      <c r="P213" s="1">
        <f ca="1">IFERROR(__xludf.DUMMYFUNCTION("""COMPUTED_VALUE"""),1420)</f>
        <v>1420</v>
      </c>
      <c r="Q213" s="1">
        <f ca="1">IFERROR(__xludf.DUMMYFUNCTION("""COMPUTED_VALUE"""),842)</f>
        <v>842</v>
      </c>
      <c r="R213" s="1">
        <f ca="1">IFERROR(__xludf.DUMMYFUNCTION("""COMPUTED_VALUE"""),1871)</f>
        <v>1871</v>
      </c>
      <c r="S213" s="1">
        <f ca="1">IFERROR(__xludf.DUMMYFUNCTION("""COMPUTED_VALUE"""),0.45)</f>
        <v>0.45</v>
      </c>
      <c r="T213" s="1">
        <f ca="1">IFERROR(__xludf.DUMMYFUNCTION("""COMPUTED_VALUE"""),236)</f>
        <v>236</v>
      </c>
      <c r="U213" s="1">
        <f ca="1">IFERROR(__xludf.DUMMYFUNCTION("""COMPUTED_VALUE"""),642)</f>
        <v>642</v>
      </c>
      <c r="V213" s="1">
        <f ca="1">IFERROR(__xludf.DUMMYFUNCTION("""COMPUTED_VALUE"""),0.368)</f>
        <v>0.36799999999999999</v>
      </c>
      <c r="W213" s="1">
        <f ca="1">IFERROR(__xludf.DUMMYFUNCTION("""COMPUTED_VALUE"""),541)</f>
        <v>541</v>
      </c>
      <c r="X213" s="1">
        <f ca="1">IFERROR(__xludf.DUMMYFUNCTION("""COMPUTED_VALUE"""),832)</f>
        <v>832</v>
      </c>
      <c r="Y213" s="1">
        <f ca="1">IFERROR(__xludf.DUMMYFUNCTION("""COMPUTED_VALUE"""),0.65)</f>
        <v>0.65</v>
      </c>
      <c r="Z213" s="1">
        <f ca="1">IFERROR(__xludf.DUMMYFUNCTION("""COMPUTED_VALUE"""),418)</f>
        <v>418</v>
      </c>
      <c r="AA213" s="1">
        <f ca="1">IFERROR(__xludf.DUMMYFUNCTION("""COMPUTED_VALUE"""),1173)</f>
        <v>1173</v>
      </c>
      <c r="AB213" s="1">
        <f ca="1">IFERROR(__xludf.DUMMYFUNCTION("""COMPUTED_VALUE"""),450)</f>
        <v>450</v>
      </c>
      <c r="AC213" s="1">
        <f ca="1">IFERROR(__xludf.DUMMYFUNCTION("""COMPUTED_VALUE"""),197)</f>
        <v>197</v>
      </c>
      <c r="AD213" s="1">
        <f ca="1">IFERROR(__xludf.DUMMYFUNCTION("""COMPUTED_VALUE"""),167)</f>
        <v>167</v>
      </c>
      <c r="AE213" s="1">
        <f ca="1">IFERROR(__xludf.DUMMYFUNCTION("""COMPUTED_VALUE"""),481)</f>
        <v>481</v>
      </c>
      <c r="AF213" s="1">
        <f ca="1">IFERROR(__xludf.DUMMYFUNCTION("""COMPUTED_VALUE"""),568)</f>
        <v>568</v>
      </c>
    </row>
    <row r="214" spans="1:32" ht="12.5" x14ac:dyDescent="0.25">
      <c r="A214" s="1" t="str">
        <f ca="1">IFERROR(__xludf.DUMMYFUNCTION("""COMPUTED_VALUE"""),"New Hampshire")</f>
        <v>New Hampshire</v>
      </c>
      <c r="B214" s="1">
        <f ca="1">IFERROR(__xludf.DUMMYFUNCTION("""COMPUTED_VALUE"""),29)</f>
        <v>29</v>
      </c>
      <c r="C214" s="1">
        <f ca="1">IFERROR(__xludf.DUMMYFUNCTION("""COMPUTED_VALUE"""),13)</f>
        <v>13</v>
      </c>
      <c r="D214" s="1">
        <f ca="1">IFERROR(__xludf.DUMMYFUNCTION("""COMPUTED_VALUE"""),16)</f>
        <v>16</v>
      </c>
      <c r="E214" s="1">
        <f ca="1">IFERROR(__xludf.DUMMYFUNCTION("""COMPUTED_VALUE"""),0.448)</f>
        <v>0.44800000000000001</v>
      </c>
      <c r="F214" s="1">
        <f ca="1">IFERROR(__xludf.DUMMYFUNCTION("""COMPUTED_VALUE"""),-10.09)</f>
        <v>-10.09</v>
      </c>
      <c r="G214" s="1">
        <f ca="1">IFERROR(__xludf.DUMMYFUNCTION("""COMPUTED_VALUE"""),-7.66)</f>
        <v>-7.66</v>
      </c>
      <c r="H214" s="1">
        <f ca="1">IFERROR(__xludf.DUMMYFUNCTION("""COMPUTED_VALUE"""),7)</f>
        <v>7</v>
      </c>
      <c r="I214" s="1">
        <f ca="1">IFERROR(__xludf.DUMMYFUNCTION("""COMPUTED_VALUE"""),9)</f>
        <v>9</v>
      </c>
      <c r="J214" s="1">
        <f ca="1">IFERROR(__xludf.DUMMYFUNCTION("""COMPUTED_VALUE"""),9)</f>
        <v>9</v>
      </c>
      <c r="K214" s="1">
        <f ca="1">IFERROR(__xludf.DUMMYFUNCTION("""COMPUTED_VALUE"""),6)</f>
        <v>6</v>
      </c>
      <c r="L214" s="1">
        <f ca="1">IFERROR(__xludf.DUMMYFUNCTION("""COMPUTED_VALUE"""),4)</f>
        <v>4</v>
      </c>
      <c r="M214" s="1">
        <f ca="1">IFERROR(__xludf.DUMMYFUNCTION("""COMPUTED_VALUE"""),9)</f>
        <v>9</v>
      </c>
      <c r="N214" s="1">
        <f ca="1">IFERROR(__xludf.DUMMYFUNCTION("""COMPUTED_VALUE"""),1774)</f>
        <v>1774</v>
      </c>
      <c r="O214" s="1">
        <f ca="1">IFERROR(__xludf.DUMMYFUNCTION("""COMPUTED_VALUE"""),1821)</f>
        <v>1821</v>
      </c>
      <c r="P214" s="1">
        <f ca="1">IFERROR(__xludf.DUMMYFUNCTION("""COMPUTED_VALUE"""),1160)</f>
        <v>1160</v>
      </c>
      <c r="Q214" s="1">
        <f ca="1">IFERROR(__xludf.DUMMYFUNCTION("""COMPUTED_VALUE"""),620)</f>
        <v>620</v>
      </c>
      <c r="R214" s="1">
        <f ca="1">IFERROR(__xludf.DUMMYFUNCTION("""COMPUTED_VALUE"""),1547)</f>
        <v>1547</v>
      </c>
      <c r="S214" s="1">
        <f ca="1">IFERROR(__xludf.DUMMYFUNCTION("""COMPUTED_VALUE"""),0.401)</f>
        <v>0.40100000000000002</v>
      </c>
      <c r="T214" s="1">
        <f ca="1">IFERROR(__xludf.DUMMYFUNCTION("""COMPUTED_VALUE"""),212)</f>
        <v>212</v>
      </c>
      <c r="U214" s="1">
        <f ca="1">IFERROR(__xludf.DUMMYFUNCTION("""COMPUTED_VALUE"""),617)</f>
        <v>617</v>
      </c>
      <c r="V214" s="1">
        <f ca="1">IFERROR(__xludf.DUMMYFUNCTION("""COMPUTED_VALUE"""),0.344)</f>
        <v>0.34399999999999997</v>
      </c>
      <c r="W214" s="1">
        <f ca="1">IFERROR(__xludf.DUMMYFUNCTION("""COMPUTED_VALUE"""),322)</f>
        <v>322</v>
      </c>
      <c r="X214" s="1">
        <f ca="1">IFERROR(__xludf.DUMMYFUNCTION("""COMPUTED_VALUE"""),529)</f>
        <v>529</v>
      </c>
      <c r="Y214" s="1">
        <f ca="1">IFERROR(__xludf.DUMMYFUNCTION("""COMPUTED_VALUE"""),0.609)</f>
        <v>0.60899999999999999</v>
      </c>
      <c r="Z214" s="1">
        <f ca="1">IFERROR(__xludf.DUMMYFUNCTION("""COMPUTED_VALUE"""),299)</f>
        <v>299</v>
      </c>
      <c r="AA214" s="1">
        <f ca="1">IFERROR(__xludf.DUMMYFUNCTION("""COMPUTED_VALUE"""),882)</f>
        <v>882</v>
      </c>
      <c r="AB214" s="1">
        <f ca="1">IFERROR(__xludf.DUMMYFUNCTION("""COMPUTED_VALUE"""),285)</f>
        <v>285</v>
      </c>
      <c r="AC214" s="1">
        <f ca="1">IFERROR(__xludf.DUMMYFUNCTION("""COMPUTED_VALUE"""),153)</f>
        <v>153</v>
      </c>
      <c r="AD214" s="1">
        <f ca="1">IFERROR(__xludf.DUMMYFUNCTION("""COMPUTED_VALUE"""),69)</f>
        <v>69</v>
      </c>
      <c r="AE214" s="1">
        <f ca="1">IFERROR(__xludf.DUMMYFUNCTION("""COMPUTED_VALUE"""),379)</f>
        <v>379</v>
      </c>
      <c r="AF214" s="1">
        <f ca="1">IFERROR(__xludf.DUMMYFUNCTION("""COMPUTED_VALUE"""),524)</f>
        <v>524</v>
      </c>
    </row>
    <row r="215" spans="1:32" ht="12.5" x14ac:dyDescent="0.25">
      <c r="A215" s="1" t="str">
        <f ca="1">IFERROR(__xludf.DUMMYFUNCTION("""COMPUTED_VALUE"""),"New Mexico StateNCAA")</f>
        <v>New Mexico StateNCAA</v>
      </c>
      <c r="B215" s="1">
        <f ca="1">IFERROR(__xludf.DUMMYFUNCTION("""COMPUTED_VALUE"""),36)</f>
        <v>36</v>
      </c>
      <c r="C215" s="1">
        <f ca="1">IFERROR(__xludf.DUMMYFUNCTION("""COMPUTED_VALUE"""),26)</f>
        <v>26</v>
      </c>
      <c r="D215" s="1">
        <f ca="1">IFERROR(__xludf.DUMMYFUNCTION("""COMPUTED_VALUE"""),10)</f>
        <v>10</v>
      </c>
      <c r="E215" s="1">
        <f ca="1">IFERROR(__xludf.DUMMYFUNCTION("""COMPUTED_VALUE"""),0.722)</f>
        <v>0.72199999999999998</v>
      </c>
      <c r="F215" s="1">
        <f ca="1">IFERROR(__xludf.DUMMYFUNCTION("""COMPUTED_VALUE"""),8.73)</f>
        <v>8.73</v>
      </c>
      <c r="G215" s="1">
        <f ca="1">IFERROR(__xludf.DUMMYFUNCTION("""COMPUTED_VALUE"""),0.08)</f>
        <v>0.08</v>
      </c>
      <c r="H215" s="1">
        <f ca="1">IFERROR(__xludf.DUMMYFUNCTION("""COMPUTED_VALUE"""),10)</f>
        <v>10</v>
      </c>
      <c r="I215" s="1">
        <f ca="1">IFERROR(__xludf.DUMMYFUNCTION("""COMPUTED_VALUE"""),4)</f>
        <v>4</v>
      </c>
      <c r="J215" s="1">
        <f ca="1">IFERROR(__xludf.DUMMYFUNCTION("""COMPUTED_VALUE"""),14)</f>
        <v>14</v>
      </c>
      <c r="K215" s="1">
        <f ca="1">IFERROR(__xludf.DUMMYFUNCTION("""COMPUTED_VALUE"""),3)</f>
        <v>3</v>
      </c>
      <c r="L215" s="1">
        <f ca="1">IFERROR(__xludf.DUMMYFUNCTION("""COMPUTED_VALUE"""),7)</f>
        <v>7</v>
      </c>
      <c r="M215" s="1">
        <f ca="1">IFERROR(__xludf.DUMMYFUNCTION("""COMPUTED_VALUE"""),5)</f>
        <v>5</v>
      </c>
      <c r="N215" s="1">
        <f ca="1">IFERROR(__xludf.DUMMYFUNCTION("""COMPUTED_VALUE"""),2812)</f>
        <v>2812</v>
      </c>
      <c r="O215" s="1">
        <f ca="1">IFERROR(__xludf.DUMMYFUNCTION("""COMPUTED_VALUE"""),2459)</f>
        <v>2459</v>
      </c>
      <c r="P215" s="1">
        <f ca="1">IFERROR(__xludf.DUMMYFUNCTION("""COMPUTED_VALUE"""),1445)</f>
        <v>1445</v>
      </c>
      <c r="Q215" s="1">
        <f ca="1">IFERROR(__xludf.DUMMYFUNCTION("""COMPUTED_VALUE"""),970)</f>
        <v>970</v>
      </c>
      <c r="R215" s="1">
        <f ca="1">IFERROR(__xludf.DUMMYFUNCTION("""COMPUTED_VALUE"""),2045)</f>
        <v>2045</v>
      </c>
      <c r="S215" s="1">
        <f ca="1">IFERROR(__xludf.DUMMYFUNCTION("""COMPUTED_VALUE"""),0.474)</f>
        <v>0.47399999999999998</v>
      </c>
      <c r="T215" s="1">
        <f ca="1">IFERROR(__xludf.DUMMYFUNCTION("""COMPUTED_VALUE"""),165)</f>
        <v>165</v>
      </c>
      <c r="U215" s="1">
        <f ca="1">IFERROR(__xludf.DUMMYFUNCTION("""COMPUTED_VALUE"""),505)</f>
        <v>505</v>
      </c>
      <c r="V215" s="1">
        <f ca="1">IFERROR(__xludf.DUMMYFUNCTION("""COMPUTED_VALUE"""),0.327)</f>
        <v>0.32700000000000001</v>
      </c>
      <c r="W215" s="1">
        <f ca="1">IFERROR(__xludf.DUMMYFUNCTION("""COMPUTED_VALUE"""),707)</f>
        <v>707</v>
      </c>
      <c r="X215" s="1">
        <f ca="1">IFERROR(__xludf.DUMMYFUNCTION("""COMPUTED_VALUE"""),1058)</f>
        <v>1058</v>
      </c>
      <c r="Y215" s="1">
        <f ca="1">IFERROR(__xludf.DUMMYFUNCTION("""COMPUTED_VALUE"""),0.668)</f>
        <v>0.66800000000000004</v>
      </c>
      <c r="Z215" s="1">
        <f ca="1">IFERROR(__xludf.DUMMYFUNCTION("""COMPUTED_VALUE"""),518)</f>
        <v>518</v>
      </c>
      <c r="AA215" s="1">
        <f ca="1">IFERROR(__xludf.DUMMYFUNCTION("""COMPUTED_VALUE"""),1352)</f>
        <v>1352</v>
      </c>
      <c r="AB215" s="1">
        <f ca="1">IFERROR(__xludf.DUMMYFUNCTION("""COMPUTED_VALUE"""),498)</f>
        <v>498</v>
      </c>
      <c r="AC215" s="1">
        <f ca="1">IFERROR(__xludf.DUMMYFUNCTION("""COMPUTED_VALUE"""),244)</f>
        <v>244</v>
      </c>
      <c r="AD215" s="1">
        <f ca="1">IFERROR(__xludf.DUMMYFUNCTION("""COMPUTED_VALUE"""),154)</f>
        <v>154</v>
      </c>
      <c r="AE215" s="1">
        <f ca="1">IFERROR(__xludf.DUMMYFUNCTION("""COMPUTED_VALUE"""),533)</f>
        <v>533</v>
      </c>
      <c r="AF215" s="1">
        <f ca="1">IFERROR(__xludf.DUMMYFUNCTION("""COMPUTED_VALUE"""),630)</f>
        <v>630</v>
      </c>
    </row>
    <row r="216" spans="1:32" ht="12.5" x14ac:dyDescent="0.25">
      <c r="A216" s="1" t="str">
        <f ca="1">IFERROR(__xludf.DUMMYFUNCTION("""COMPUTED_VALUE"""),"New MexicoNCAA")</f>
        <v>New MexicoNCAA</v>
      </c>
      <c r="B216" s="1">
        <f ca="1">IFERROR(__xludf.DUMMYFUNCTION("""COMPUTED_VALUE"""),35)</f>
        <v>35</v>
      </c>
      <c r="C216" s="1">
        <f ca="1">IFERROR(__xludf.DUMMYFUNCTION("""COMPUTED_VALUE"""),28)</f>
        <v>28</v>
      </c>
      <c r="D216" s="1">
        <f ca="1">IFERROR(__xludf.DUMMYFUNCTION("""COMPUTED_VALUE"""),7)</f>
        <v>7</v>
      </c>
      <c r="E216" s="1">
        <f ca="1">IFERROR(__xludf.DUMMYFUNCTION("""COMPUTED_VALUE"""),0.8)</f>
        <v>0.8</v>
      </c>
      <c r="F216" s="1">
        <f ca="1">IFERROR(__xludf.DUMMYFUNCTION("""COMPUTED_VALUE"""),15.6)</f>
        <v>15.6</v>
      </c>
      <c r="G216" s="1">
        <f ca="1">IFERROR(__xludf.DUMMYFUNCTION("""COMPUTED_VALUE"""),3.34)</f>
        <v>3.34</v>
      </c>
      <c r="H216" s="1">
        <f ca="1">IFERROR(__xludf.DUMMYFUNCTION("""COMPUTED_VALUE"""),10)</f>
        <v>10</v>
      </c>
      <c r="I216" s="1">
        <f ca="1">IFERROR(__xludf.DUMMYFUNCTION("""COMPUTED_VALUE"""),4)</f>
        <v>4</v>
      </c>
      <c r="J216" s="1">
        <f ca="1">IFERROR(__xludf.DUMMYFUNCTION("""COMPUTED_VALUE"""),14)</f>
        <v>14</v>
      </c>
      <c r="K216" s="1">
        <f ca="1">IFERROR(__xludf.DUMMYFUNCTION("""COMPUTED_VALUE"""),2)</f>
        <v>2</v>
      </c>
      <c r="L216" s="1">
        <f ca="1">IFERROR(__xludf.DUMMYFUNCTION("""COMPUTED_VALUE"""),7)</f>
        <v>7</v>
      </c>
      <c r="M216" s="1">
        <f ca="1">IFERROR(__xludf.DUMMYFUNCTION("""COMPUTED_VALUE"""),3)</f>
        <v>3</v>
      </c>
      <c r="N216" s="1">
        <f ca="1">IFERROR(__xludf.DUMMYFUNCTION("""COMPUTED_VALUE"""),2545)</f>
        <v>2545</v>
      </c>
      <c r="O216" s="1">
        <f ca="1">IFERROR(__xludf.DUMMYFUNCTION("""COMPUTED_VALUE"""),2076)</f>
        <v>2076</v>
      </c>
      <c r="P216" s="1">
        <f ca="1">IFERROR(__xludf.DUMMYFUNCTION("""COMPUTED_VALUE"""),1405)</f>
        <v>1405</v>
      </c>
      <c r="Q216" s="1">
        <f ca="1">IFERROR(__xludf.DUMMYFUNCTION("""COMPUTED_VALUE"""),876)</f>
        <v>876</v>
      </c>
      <c r="R216" s="1">
        <f ca="1">IFERROR(__xludf.DUMMYFUNCTION("""COMPUTED_VALUE"""),1898)</f>
        <v>1898</v>
      </c>
      <c r="S216" s="1">
        <f ca="1">IFERROR(__xludf.DUMMYFUNCTION("""COMPUTED_VALUE"""),0.462)</f>
        <v>0.46200000000000002</v>
      </c>
      <c r="T216" s="1">
        <f ca="1">IFERROR(__xludf.DUMMYFUNCTION("""COMPUTED_VALUE"""),264)</f>
        <v>264</v>
      </c>
      <c r="U216" s="1">
        <f ca="1">IFERROR(__xludf.DUMMYFUNCTION("""COMPUTED_VALUE"""),699)</f>
        <v>699</v>
      </c>
      <c r="V216" s="1">
        <f ca="1">IFERROR(__xludf.DUMMYFUNCTION("""COMPUTED_VALUE"""),0.378)</f>
        <v>0.378</v>
      </c>
      <c r="W216" s="1">
        <f ca="1">IFERROR(__xludf.DUMMYFUNCTION("""COMPUTED_VALUE"""),529)</f>
        <v>529</v>
      </c>
      <c r="X216" s="1">
        <f ca="1">IFERROR(__xludf.DUMMYFUNCTION("""COMPUTED_VALUE"""),748)</f>
        <v>748</v>
      </c>
      <c r="Y216" s="1">
        <f ca="1">IFERROR(__xludf.DUMMYFUNCTION("""COMPUTED_VALUE"""),0.707)</f>
        <v>0.70699999999999996</v>
      </c>
      <c r="Z216" s="1">
        <f ca="1">IFERROR(__xludf.DUMMYFUNCTION("""COMPUTED_VALUE"""),395)</f>
        <v>395</v>
      </c>
      <c r="AA216" s="1">
        <f ca="1">IFERROR(__xludf.DUMMYFUNCTION("""COMPUTED_VALUE"""),1216)</f>
        <v>1216</v>
      </c>
      <c r="AB216" s="1">
        <f ca="1">IFERROR(__xludf.DUMMYFUNCTION("""COMPUTED_VALUE"""),573)</f>
        <v>573</v>
      </c>
      <c r="AC216" s="1">
        <f ca="1">IFERROR(__xludf.DUMMYFUNCTION("""COMPUTED_VALUE"""),240)</f>
        <v>240</v>
      </c>
      <c r="AD216" s="1">
        <f ca="1">IFERROR(__xludf.DUMMYFUNCTION("""COMPUTED_VALUE"""),117)</f>
        <v>117</v>
      </c>
      <c r="AE216" s="1">
        <f ca="1">IFERROR(__xludf.DUMMYFUNCTION("""COMPUTED_VALUE"""),467)</f>
        <v>467</v>
      </c>
      <c r="AF216" s="1">
        <f ca="1">IFERROR(__xludf.DUMMYFUNCTION("""COMPUTED_VALUE"""),609)</f>
        <v>609</v>
      </c>
    </row>
    <row r="217" spans="1:32" ht="12.5" x14ac:dyDescent="0.25">
      <c r="A217" s="1" t="str">
        <f ca="1">IFERROR(__xludf.DUMMYFUNCTION("""COMPUTED_VALUE"""),"Niagara")</f>
        <v>Niagara</v>
      </c>
      <c r="B217" s="1">
        <f ca="1">IFERROR(__xludf.DUMMYFUNCTION("""COMPUTED_VALUE"""),33)</f>
        <v>33</v>
      </c>
      <c r="C217" s="1">
        <f ca="1">IFERROR(__xludf.DUMMYFUNCTION("""COMPUTED_VALUE"""),14)</f>
        <v>14</v>
      </c>
      <c r="D217" s="1">
        <f ca="1">IFERROR(__xludf.DUMMYFUNCTION("""COMPUTED_VALUE"""),19)</f>
        <v>19</v>
      </c>
      <c r="E217" s="1">
        <f ca="1">IFERROR(__xludf.DUMMYFUNCTION("""COMPUTED_VALUE"""),0.424)</f>
        <v>0.42399999999999999</v>
      </c>
      <c r="F217" s="1">
        <f ca="1">IFERROR(__xludf.DUMMYFUNCTION("""COMPUTED_VALUE"""),-6.67)</f>
        <v>-6.67</v>
      </c>
      <c r="G217" s="1">
        <f ca="1">IFERROR(__xludf.DUMMYFUNCTION("""COMPUTED_VALUE"""),-2.86)</f>
        <v>-2.86</v>
      </c>
      <c r="H217" s="1">
        <f ca="1">IFERROR(__xludf.DUMMYFUNCTION("""COMPUTED_VALUE"""),8)</f>
        <v>8</v>
      </c>
      <c r="I217" s="1">
        <f ca="1">IFERROR(__xludf.DUMMYFUNCTION("""COMPUTED_VALUE"""),10)</f>
        <v>10</v>
      </c>
      <c r="J217" s="1">
        <f ca="1">IFERROR(__xludf.DUMMYFUNCTION("""COMPUTED_VALUE"""),7)</f>
        <v>7</v>
      </c>
      <c r="K217" s="1">
        <f ca="1">IFERROR(__xludf.DUMMYFUNCTION("""COMPUTED_VALUE"""),7)</f>
        <v>7</v>
      </c>
      <c r="L217" s="1">
        <f ca="1">IFERROR(__xludf.DUMMYFUNCTION("""COMPUTED_VALUE"""),5)</f>
        <v>5</v>
      </c>
      <c r="M217" s="1">
        <f ca="1">IFERROR(__xludf.DUMMYFUNCTION("""COMPUTED_VALUE"""),10)</f>
        <v>10</v>
      </c>
      <c r="N217" s="1">
        <f ca="1">IFERROR(__xludf.DUMMYFUNCTION("""COMPUTED_VALUE"""),2322)</f>
        <v>2322</v>
      </c>
      <c r="O217" s="1">
        <f ca="1">IFERROR(__xludf.DUMMYFUNCTION("""COMPUTED_VALUE"""),2448)</f>
        <v>2448</v>
      </c>
      <c r="P217" s="1">
        <f ca="1">IFERROR(__xludf.DUMMYFUNCTION("""COMPUTED_VALUE"""),1330)</f>
        <v>1330</v>
      </c>
      <c r="Q217" s="1">
        <f ca="1">IFERROR(__xludf.DUMMYFUNCTION("""COMPUTED_VALUE"""),785)</f>
        <v>785</v>
      </c>
      <c r="R217" s="1">
        <f ca="1">IFERROR(__xludf.DUMMYFUNCTION("""COMPUTED_VALUE"""),1940)</f>
        <v>1940</v>
      </c>
      <c r="S217" s="1">
        <f ca="1">IFERROR(__xludf.DUMMYFUNCTION("""COMPUTED_VALUE"""),0.405)</f>
        <v>0.40500000000000003</v>
      </c>
      <c r="T217" s="1">
        <f ca="1">IFERROR(__xludf.DUMMYFUNCTION("""COMPUTED_VALUE"""),249)</f>
        <v>249</v>
      </c>
      <c r="U217" s="1">
        <f ca="1">IFERROR(__xludf.DUMMYFUNCTION("""COMPUTED_VALUE"""),763)</f>
        <v>763</v>
      </c>
      <c r="V217" s="1">
        <f ca="1">IFERROR(__xludf.DUMMYFUNCTION("""COMPUTED_VALUE"""),0.326)</f>
        <v>0.32600000000000001</v>
      </c>
      <c r="W217" s="1">
        <f ca="1">IFERROR(__xludf.DUMMYFUNCTION("""COMPUTED_VALUE"""),503)</f>
        <v>503</v>
      </c>
      <c r="X217" s="1">
        <f ca="1">IFERROR(__xludf.DUMMYFUNCTION("""COMPUTED_VALUE"""),718)</f>
        <v>718</v>
      </c>
      <c r="Y217" s="1">
        <f ca="1">IFERROR(__xludf.DUMMYFUNCTION("""COMPUTED_VALUE"""),0.701)</f>
        <v>0.70099999999999996</v>
      </c>
      <c r="Z217" s="1">
        <f ca="1">IFERROR(__xludf.DUMMYFUNCTION("""COMPUTED_VALUE"""),423)</f>
        <v>423</v>
      </c>
      <c r="AA217" s="1">
        <f ca="1">IFERROR(__xludf.DUMMYFUNCTION("""COMPUTED_VALUE"""),959)</f>
        <v>959</v>
      </c>
      <c r="AB217" s="1">
        <f ca="1">IFERROR(__xludf.DUMMYFUNCTION("""COMPUTED_VALUE"""),393)</f>
        <v>393</v>
      </c>
      <c r="AC217" s="1">
        <f ca="1">IFERROR(__xludf.DUMMYFUNCTION("""COMPUTED_VALUE"""),274)</f>
        <v>274</v>
      </c>
      <c r="AD217" s="1">
        <f ca="1">IFERROR(__xludf.DUMMYFUNCTION("""COMPUTED_VALUE"""),90)</f>
        <v>90</v>
      </c>
      <c r="AE217" s="1">
        <f ca="1">IFERROR(__xludf.DUMMYFUNCTION("""COMPUTED_VALUE"""),421)</f>
        <v>421</v>
      </c>
      <c r="AF217" s="1">
        <f ca="1">IFERROR(__xludf.DUMMYFUNCTION("""COMPUTED_VALUE"""),721)</f>
        <v>721</v>
      </c>
    </row>
    <row r="218" spans="1:32" ht="12.5" x14ac:dyDescent="0.25">
      <c r="A218" s="1" t="str">
        <f ca="1">IFERROR(__xludf.DUMMYFUNCTION("""COMPUTED_VALUE"""),"Nicholls State")</f>
        <v>Nicholls State</v>
      </c>
      <c r="B218" s="1">
        <f ca="1">IFERROR(__xludf.DUMMYFUNCTION("""COMPUTED_VALUE"""),30)</f>
        <v>30</v>
      </c>
      <c r="C218" s="1">
        <f ca="1">IFERROR(__xludf.DUMMYFUNCTION("""COMPUTED_VALUE"""),10)</f>
        <v>10</v>
      </c>
      <c r="D218" s="1">
        <f ca="1">IFERROR(__xludf.DUMMYFUNCTION("""COMPUTED_VALUE"""),20)</f>
        <v>20</v>
      </c>
      <c r="E218" s="1">
        <f ca="1">IFERROR(__xludf.DUMMYFUNCTION("""COMPUTED_VALUE"""),0.333)</f>
        <v>0.33300000000000002</v>
      </c>
      <c r="F218" s="1">
        <f ca="1">IFERROR(__xludf.DUMMYFUNCTION("""COMPUTED_VALUE"""),-18.55)</f>
        <v>-18.55</v>
      </c>
      <c r="G218" s="1">
        <f ca="1">IFERROR(__xludf.DUMMYFUNCTION("""COMPUTED_VALUE"""),-3.94)</f>
        <v>-3.94</v>
      </c>
      <c r="H218" s="1">
        <f ca="1">IFERROR(__xludf.DUMMYFUNCTION("""COMPUTED_VALUE"""),6)</f>
        <v>6</v>
      </c>
      <c r="I218" s="1">
        <f ca="1">IFERROR(__xludf.DUMMYFUNCTION("""COMPUTED_VALUE"""),10)</f>
        <v>10</v>
      </c>
      <c r="J218" s="1">
        <f ca="1">IFERROR(__xludf.DUMMYFUNCTION("""COMPUTED_VALUE"""),5)</f>
        <v>5</v>
      </c>
      <c r="K218" s="1">
        <f ca="1">IFERROR(__xludf.DUMMYFUNCTION("""COMPUTED_VALUE"""),6)</f>
        <v>6</v>
      </c>
      <c r="L218" s="1">
        <f ca="1">IFERROR(__xludf.DUMMYFUNCTION("""COMPUTED_VALUE"""),3)</f>
        <v>3</v>
      </c>
      <c r="M218" s="1">
        <f ca="1">IFERROR(__xludf.DUMMYFUNCTION("""COMPUTED_VALUE"""),12)</f>
        <v>12</v>
      </c>
      <c r="N218" s="1">
        <f ca="1">IFERROR(__xludf.DUMMYFUNCTION("""COMPUTED_VALUE"""),1989)</f>
        <v>1989</v>
      </c>
      <c r="O218" s="1">
        <f ca="1">IFERROR(__xludf.DUMMYFUNCTION("""COMPUTED_VALUE"""),2338)</f>
        <v>2338</v>
      </c>
      <c r="P218" s="1">
        <f ca="1">IFERROR(__xludf.DUMMYFUNCTION("""COMPUTED_VALUE"""),1205)</f>
        <v>1205</v>
      </c>
      <c r="Q218" s="1">
        <f ca="1">IFERROR(__xludf.DUMMYFUNCTION("""COMPUTED_VALUE"""),694)</f>
        <v>694</v>
      </c>
      <c r="R218" s="1">
        <f ca="1">IFERROR(__xludf.DUMMYFUNCTION("""COMPUTED_VALUE"""),1616)</f>
        <v>1616</v>
      </c>
      <c r="S218" s="1">
        <f ca="1">IFERROR(__xludf.DUMMYFUNCTION("""COMPUTED_VALUE"""),0.429)</f>
        <v>0.42899999999999999</v>
      </c>
      <c r="T218" s="1">
        <f ca="1">IFERROR(__xludf.DUMMYFUNCTION("""COMPUTED_VALUE"""),198)</f>
        <v>198</v>
      </c>
      <c r="U218" s="1">
        <f ca="1">IFERROR(__xludf.DUMMYFUNCTION("""COMPUTED_VALUE"""),625)</f>
        <v>625</v>
      </c>
      <c r="V218" s="1">
        <f ca="1">IFERROR(__xludf.DUMMYFUNCTION("""COMPUTED_VALUE"""),0.317)</f>
        <v>0.317</v>
      </c>
      <c r="W218" s="1">
        <f ca="1">IFERROR(__xludf.DUMMYFUNCTION("""COMPUTED_VALUE"""),403)</f>
        <v>403</v>
      </c>
      <c r="X218" s="1">
        <f ca="1">IFERROR(__xludf.DUMMYFUNCTION("""COMPUTED_VALUE"""),599)</f>
        <v>599</v>
      </c>
      <c r="Y218" s="1">
        <f ca="1">IFERROR(__xludf.DUMMYFUNCTION("""COMPUTED_VALUE"""),0.673)</f>
        <v>0.67300000000000004</v>
      </c>
      <c r="Z218" s="1">
        <f ca="1">IFERROR(__xludf.DUMMYFUNCTION("""COMPUTED_VALUE"""),278)</f>
        <v>278</v>
      </c>
      <c r="AA218" s="1">
        <f ca="1">IFERROR(__xludf.DUMMYFUNCTION("""COMPUTED_VALUE"""),789)</f>
        <v>789</v>
      </c>
      <c r="AB218" s="1">
        <f ca="1">IFERROR(__xludf.DUMMYFUNCTION("""COMPUTED_VALUE"""),365)</f>
        <v>365</v>
      </c>
      <c r="AC218" s="1">
        <f ca="1">IFERROR(__xludf.DUMMYFUNCTION("""COMPUTED_VALUE"""),161)</f>
        <v>161</v>
      </c>
      <c r="AD218" s="1">
        <f ca="1">IFERROR(__xludf.DUMMYFUNCTION("""COMPUTED_VALUE"""),55)</f>
        <v>55</v>
      </c>
      <c r="AE218" s="1">
        <f ca="1">IFERROR(__xludf.DUMMYFUNCTION("""COMPUTED_VALUE"""),453)</f>
        <v>453</v>
      </c>
      <c r="AF218" s="1">
        <f ca="1">IFERROR(__xludf.DUMMYFUNCTION("""COMPUTED_VALUE"""),587)</f>
        <v>587</v>
      </c>
    </row>
    <row r="219" spans="1:32" ht="12.5" x14ac:dyDescent="0.25">
      <c r="A219" s="1" t="str">
        <f ca="1">IFERROR(__xludf.DUMMYFUNCTION("""COMPUTED_VALUE"""),"NJIT")</f>
        <v>NJIT</v>
      </c>
      <c r="B219" s="1">
        <f ca="1">IFERROR(__xludf.DUMMYFUNCTION("""COMPUTED_VALUE"""),32)</f>
        <v>32</v>
      </c>
      <c r="C219" s="1">
        <f ca="1">IFERROR(__xludf.DUMMYFUNCTION("""COMPUTED_VALUE"""),15)</f>
        <v>15</v>
      </c>
      <c r="D219" s="1">
        <f ca="1">IFERROR(__xludf.DUMMYFUNCTION("""COMPUTED_VALUE"""),17)</f>
        <v>17</v>
      </c>
      <c r="E219" s="1">
        <f ca="1">IFERROR(__xludf.DUMMYFUNCTION("""COMPUTED_VALUE"""),0.469)</f>
        <v>0.46899999999999997</v>
      </c>
      <c r="F219" s="1">
        <f ca="1">IFERROR(__xludf.DUMMYFUNCTION("""COMPUTED_VALUE"""),-12.09)</f>
        <v>-12.09</v>
      </c>
      <c r="G219" s="1">
        <f ca="1">IFERROR(__xludf.DUMMYFUNCTION("""COMPUTED_VALUE"""),-8.27)</f>
        <v>-8.27</v>
      </c>
      <c r="H219" s="1">
        <f ca="1">IFERROR(__xludf.DUMMYFUNCTION("""COMPUTED_VALUE"""),5)</f>
        <v>5</v>
      </c>
      <c r="I219" s="1">
        <f ca="1">IFERROR(__xludf.DUMMYFUNCTION("""COMPUTED_VALUE"""),5)</f>
        <v>5</v>
      </c>
      <c r="J219" s="1">
        <f ca="1">IFERROR(__xludf.DUMMYFUNCTION("""COMPUTED_VALUE"""),11)</f>
        <v>11</v>
      </c>
      <c r="K219" s="1">
        <f ca="1">IFERROR(__xludf.DUMMYFUNCTION("""COMPUTED_VALUE"""),4)</f>
        <v>4</v>
      </c>
      <c r="L219" s="1">
        <f ca="1">IFERROR(__xludf.DUMMYFUNCTION("""COMPUTED_VALUE"""),2)</f>
        <v>2</v>
      </c>
      <c r="M219" s="1">
        <f ca="1">IFERROR(__xludf.DUMMYFUNCTION("""COMPUTED_VALUE"""),12)</f>
        <v>12</v>
      </c>
      <c r="N219" s="1">
        <f ca="1">IFERROR(__xludf.DUMMYFUNCTION("""COMPUTED_VALUE"""),2236)</f>
        <v>2236</v>
      </c>
      <c r="O219" s="1">
        <f ca="1">IFERROR(__xludf.DUMMYFUNCTION("""COMPUTED_VALUE"""),2175)</f>
        <v>2175</v>
      </c>
      <c r="P219" s="1">
        <f ca="1">IFERROR(__xludf.DUMMYFUNCTION("""COMPUTED_VALUE"""),1300)</f>
        <v>1300</v>
      </c>
      <c r="Q219" s="1">
        <f ca="1">IFERROR(__xludf.DUMMYFUNCTION("""COMPUTED_VALUE"""),787)</f>
        <v>787</v>
      </c>
      <c r="R219" s="1">
        <f ca="1">IFERROR(__xludf.DUMMYFUNCTION("""COMPUTED_VALUE"""),1861)</f>
        <v>1861</v>
      </c>
      <c r="S219" s="1">
        <f ca="1">IFERROR(__xludf.DUMMYFUNCTION("""COMPUTED_VALUE"""),0.423)</f>
        <v>0.42299999999999999</v>
      </c>
      <c r="T219" s="1">
        <f ca="1">IFERROR(__xludf.DUMMYFUNCTION("""COMPUTED_VALUE"""),258)</f>
        <v>258</v>
      </c>
      <c r="U219" s="1">
        <f ca="1">IFERROR(__xludf.DUMMYFUNCTION("""COMPUTED_VALUE"""),732)</f>
        <v>732</v>
      </c>
      <c r="V219" s="1">
        <f ca="1">IFERROR(__xludf.DUMMYFUNCTION("""COMPUTED_VALUE"""),0.352)</f>
        <v>0.35199999999999998</v>
      </c>
      <c r="W219" s="1">
        <f ca="1">IFERROR(__xludf.DUMMYFUNCTION("""COMPUTED_VALUE"""),404)</f>
        <v>404</v>
      </c>
      <c r="X219" s="1">
        <f ca="1">IFERROR(__xludf.DUMMYFUNCTION("""COMPUTED_VALUE"""),575)</f>
        <v>575</v>
      </c>
      <c r="Y219" s="1">
        <f ca="1">IFERROR(__xludf.DUMMYFUNCTION("""COMPUTED_VALUE"""),0.703)</f>
        <v>0.70299999999999996</v>
      </c>
      <c r="Z219" s="1">
        <f ca="1">IFERROR(__xludf.DUMMYFUNCTION("""COMPUTED_VALUE"""),339)</f>
        <v>339</v>
      </c>
      <c r="AA219" s="1">
        <f ca="1">IFERROR(__xludf.DUMMYFUNCTION("""COMPUTED_VALUE"""),1026)</f>
        <v>1026</v>
      </c>
      <c r="AB219" s="1">
        <f ca="1">IFERROR(__xludf.DUMMYFUNCTION("""COMPUTED_VALUE"""),413)</f>
        <v>413</v>
      </c>
      <c r="AC219" s="1">
        <f ca="1">IFERROR(__xludf.DUMMYFUNCTION("""COMPUTED_VALUE"""),232)</f>
        <v>232</v>
      </c>
      <c r="AD219" s="1">
        <f ca="1">IFERROR(__xludf.DUMMYFUNCTION("""COMPUTED_VALUE"""),97)</f>
        <v>97</v>
      </c>
      <c r="AE219" s="1">
        <f ca="1">IFERROR(__xludf.DUMMYFUNCTION("""COMPUTED_VALUE"""),403)</f>
        <v>403</v>
      </c>
      <c r="AF219" s="1">
        <f ca="1">IFERROR(__xludf.DUMMYFUNCTION("""COMPUTED_VALUE"""),646)</f>
        <v>646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IFERROR(__xludf.DUMMYFUNCTION("""COMPUTED_VALUE"""),"Norfolk StateNCAA")</f>
        <v>Norfolk StateNCAA</v>
      </c>
      <c r="B222" s="1">
        <f ca="1">IFERROR(__xludf.DUMMYFUNCTION("""COMPUTED_VALUE"""),36)</f>
        <v>36</v>
      </c>
      <c r="C222" s="1">
        <f ca="1">IFERROR(__xludf.DUMMYFUNCTION("""COMPUTED_VALUE"""),26)</f>
        <v>26</v>
      </c>
      <c r="D222" s="1">
        <f ca="1">IFERROR(__xludf.DUMMYFUNCTION("""COMPUTED_VALUE"""),10)</f>
        <v>10</v>
      </c>
      <c r="E222" s="1">
        <f ca="1">IFERROR(__xludf.DUMMYFUNCTION("""COMPUTED_VALUE"""),0.722)</f>
        <v>0.72199999999999998</v>
      </c>
      <c r="F222" s="1">
        <f ca="1">IFERROR(__xludf.DUMMYFUNCTION("""COMPUTED_VALUE"""),-3.68)</f>
        <v>-3.68</v>
      </c>
      <c r="G222" s="1">
        <f ca="1">IFERROR(__xludf.DUMMYFUNCTION("""COMPUTED_VALUE"""),-5.39)</f>
        <v>-5.39</v>
      </c>
      <c r="H222" s="1">
        <f ca="1">IFERROR(__xludf.DUMMYFUNCTION("""COMPUTED_VALUE"""),13)</f>
        <v>13</v>
      </c>
      <c r="I222" s="1">
        <f ca="1">IFERROR(__xludf.DUMMYFUNCTION("""COMPUTED_VALUE"""),3)</f>
        <v>3</v>
      </c>
      <c r="J222" s="1">
        <f ca="1">IFERROR(__xludf.DUMMYFUNCTION("""COMPUTED_VALUE"""),10)</f>
        <v>10</v>
      </c>
      <c r="K222" s="1">
        <f ca="1">IFERROR(__xludf.DUMMYFUNCTION("""COMPUTED_VALUE"""),4)</f>
        <v>4</v>
      </c>
      <c r="L222" s="1">
        <f ca="1">IFERROR(__xludf.DUMMYFUNCTION("""COMPUTED_VALUE"""),10)</f>
        <v>10</v>
      </c>
      <c r="M222" s="1">
        <f ca="1">IFERROR(__xludf.DUMMYFUNCTION("""COMPUTED_VALUE"""),4)</f>
        <v>4</v>
      </c>
      <c r="N222" s="1">
        <f ca="1">IFERROR(__xludf.DUMMYFUNCTION("""COMPUTED_VALUE"""),2482)</f>
        <v>2482</v>
      </c>
      <c r="O222" s="1">
        <f ca="1">IFERROR(__xludf.DUMMYFUNCTION("""COMPUTED_VALUE"""),2416)</f>
        <v>2416</v>
      </c>
      <c r="P222" s="1">
        <f ca="1">IFERROR(__xludf.DUMMYFUNCTION("""COMPUTED_VALUE"""),1455)</f>
        <v>1455</v>
      </c>
      <c r="Q222" s="1">
        <f ca="1">IFERROR(__xludf.DUMMYFUNCTION("""COMPUTED_VALUE"""),870)</f>
        <v>870</v>
      </c>
      <c r="R222" s="1">
        <f ca="1">IFERROR(__xludf.DUMMYFUNCTION("""COMPUTED_VALUE"""),1977)</f>
        <v>1977</v>
      </c>
      <c r="S222" s="1">
        <f ca="1">IFERROR(__xludf.DUMMYFUNCTION("""COMPUTED_VALUE"""),0.44)</f>
        <v>0.44</v>
      </c>
      <c r="T222" s="1">
        <f ca="1">IFERROR(__xludf.DUMMYFUNCTION("""COMPUTED_VALUE"""),198)</f>
        <v>198</v>
      </c>
      <c r="U222" s="1">
        <f ca="1">IFERROR(__xludf.DUMMYFUNCTION("""COMPUTED_VALUE"""),635)</f>
        <v>635</v>
      </c>
      <c r="V222" s="1">
        <f ca="1">IFERROR(__xludf.DUMMYFUNCTION("""COMPUTED_VALUE"""),0.312)</f>
        <v>0.312</v>
      </c>
      <c r="W222" s="1">
        <f ca="1">IFERROR(__xludf.DUMMYFUNCTION("""COMPUTED_VALUE"""),544)</f>
        <v>544</v>
      </c>
      <c r="X222" s="1">
        <f ca="1">IFERROR(__xludf.DUMMYFUNCTION("""COMPUTED_VALUE"""),829)</f>
        <v>829</v>
      </c>
      <c r="Y222" s="1">
        <f ca="1">IFERROR(__xludf.DUMMYFUNCTION("""COMPUTED_VALUE"""),0.656)</f>
        <v>0.65600000000000003</v>
      </c>
      <c r="Z222" s="1">
        <f ca="1">IFERROR(__xludf.DUMMYFUNCTION("""COMPUTED_VALUE"""),421)</f>
        <v>421</v>
      </c>
      <c r="AA222" s="1">
        <f ca="1">IFERROR(__xludf.DUMMYFUNCTION("""COMPUTED_VALUE"""),1186)</f>
        <v>1186</v>
      </c>
      <c r="AB222" s="1">
        <f ca="1">IFERROR(__xludf.DUMMYFUNCTION("""COMPUTED_VALUE"""),431)</f>
        <v>431</v>
      </c>
      <c r="AC222" s="1">
        <f ca="1">IFERROR(__xludf.DUMMYFUNCTION("""COMPUTED_VALUE"""),240)</f>
        <v>240</v>
      </c>
      <c r="AD222" s="1">
        <f ca="1">IFERROR(__xludf.DUMMYFUNCTION("""COMPUTED_VALUE"""),169)</f>
        <v>169</v>
      </c>
      <c r="AE222" s="1">
        <f ca="1">IFERROR(__xludf.DUMMYFUNCTION("""COMPUTED_VALUE"""),539)</f>
        <v>539</v>
      </c>
      <c r="AF222" s="1">
        <f ca="1">IFERROR(__xludf.DUMMYFUNCTION("""COMPUTED_VALUE"""),702)</f>
        <v>702</v>
      </c>
    </row>
    <row r="223" spans="1:32" ht="12.5" x14ac:dyDescent="0.25">
      <c r="A223" s="1" t="str">
        <f ca="1">IFERROR(__xludf.DUMMYFUNCTION("""COMPUTED_VALUE"""),"North Carolina-AshevilleNCAA")</f>
        <v>North Carolina-AshevilleNCAA</v>
      </c>
      <c r="B223" s="1">
        <f ca="1">IFERROR(__xludf.DUMMYFUNCTION("""COMPUTED_VALUE"""),34)</f>
        <v>34</v>
      </c>
      <c r="C223" s="1">
        <f ca="1">IFERROR(__xludf.DUMMYFUNCTION("""COMPUTED_VALUE"""),24)</f>
        <v>24</v>
      </c>
      <c r="D223" s="1">
        <f ca="1">IFERROR(__xludf.DUMMYFUNCTION("""COMPUTED_VALUE"""),10)</f>
        <v>10</v>
      </c>
      <c r="E223" s="1">
        <f ca="1">IFERROR(__xludf.DUMMYFUNCTION("""COMPUTED_VALUE"""),0.706)</f>
        <v>0.70599999999999996</v>
      </c>
      <c r="F223" s="1">
        <f ca="1">IFERROR(__xludf.DUMMYFUNCTION("""COMPUTED_VALUE"""),3.06)</f>
        <v>3.06</v>
      </c>
      <c r="G223" s="1">
        <f ca="1">IFERROR(__xludf.DUMMYFUNCTION("""COMPUTED_VALUE"""),-2.72)</f>
        <v>-2.72</v>
      </c>
      <c r="H223" s="1">
        <f ca="1">IFERROR(__xludf.DUMMYFUNCTION("""COMPUTED_VALUE"""),16)</f>
        <v>16</v>
      </c>
      <c r="I223" s="1">
        <f ca="1">IFERROR(__xludf.DUMMYFUNCTION("""COMPUTED_VALUE"""),2)</f>
        <v>2</v>
      </c>
      <c r="J223" s="1">
        <f ca="1">IFERROR(__xludf.DUMMYFUNCTION("""COMPUTED_VALUE"""),15)</f>
        <v>15</v>
      </c>
      <c r="K223" s="1">
        <f ca="1">IFERROR(__xludf.DUMMYFUNCTION("""COMPUTED_VALUE"""),2)</f>
        <v>2</v>
      </c>
      <c r="L223" s="1">
        <f ca="1">IFERROR(__xludf.DUMMYFUNCTION("""COMPUTED_VALUE"""),8)</f>
        <v>8</v>
      </c>
      <c r="M223" s="1">
        <f ca="1">IFERROR(__xludf.DUMMYFUNCTION("""COMPUTED_VALUE"""),5)</f>
        <v>5</v>
      </c>
      <c r="N223" s="1">
        <f ca="1">IFERROR(__xludf.DUMMYFUNCTION("""COMPUTED_VALUE"""),2745)</f>
        <v>2745</v>
      </c>
      <c r="O223" s="1">
        <f ca="1">IFERROR(__xludf.DUMMYFUNCTION("""COMPUTED_VALUE"""),2426)</f>
        <v>2426</v>
      </c>
      <c r="P223" s="1">
        <f ca="1">IFERROR(__xludf.DUMMYFUNCTION("""COMPUTED_VALUE"""),1365)</f>
        <v>1365</v>
      </c>
      <c r="Q223" s="1">
        <f ca="1">IFERROR(__xludf.DUMMYFUNCTION("""COMPUTED_VALUE"""),920)</f>
        <v>920</v>
      </c>
      <c r="R223" s="1">
        <f ca="1">IFERROR(__xludf.DUMMYFUNCTION("""COMPUTED_VALUE"""),1907)</f>
        <v>1907</v>
      </c>
      <c r="S223" s="1">
        <f ca="1">IFERROR(__xludf.DUMMYFUNCTION("""COMPUTED_VALUE"""),0.482)</f>
        <v>0.48199999999999998</v>
      </c>
      <c r="T223" s="1">
        <f ca="1">IFERROR(__xludf.DUMMYFUNCTION("""COMPUTED_VALUE"""),223)</f>
        <v>223</v>
      </c>
      <c r="U223" s="1">
        <f ca="1">IFERROR(__xludf.DUMMYFUNCTION("""COMPUTED_VALUE"""),629)</f>
        <v>629</v>
      </c>
      <c r="V223" s="1">
        <f ca="1">IFERROR(__xludf.DUMMYFUNCTION("""COMPUTED_VALUE"""),0.355)</f>
        <v>0.35499999999999998</v>
      </c>
      <c r="W223" s="1">
        <f ca="1">IFERROR(__xludf.DUMMYFUNCTION("""COMPUTED_VALUE"""),682)</f>
        <v>682</v>
      </c>
      <c r="X223" s="1">
        <f ca="1">IFERROR(__xludf.DUMMYFUNCTION("""COMPUTED_VALUE"""),893)</f>
        <v>893</v>
      </c>
      <c r="Y223" s="1">
        <f ca="1">IFERROR(__xludf.DUMMYFUNCTION("""COMPUTED_VALUE"""),0.764)</f>
        <v>0.76400000000000001</v>
      </c>
      <c r="Z223" s="1">
        <f ca="1">IFERROR(__xludf.DUMMYFUNCTION("""COMPUTED_VALUE"""),377)</f>
        <v>377</v>
      </c>
      <c r="AA223" s="1">
        <f ca="1">IFERROR(__xludf.DUMMYFUNCTION("""COMPUTED_VALUE"""),1093)</f>
        <v>1093</v>
      </c>
      <c r="AB223" s="1">
        <f ca="1">IFERROR(__xludf.DUMMYFUNCTION("""COMPUTED_VALUE"""),566)</f>
        <v>566</v>
      </c>
      <c r="AC223" s="1">
        <f ca="1">IFERROR(__xludf.DUMMYFUNCTION("""COMPUTED_VALUE"""),283)</f>
        <v>283</v>
      </c>
      <c r="AD223" s="1">
        <f ca="1">IFERROR(__xludf.DUMMYFUNCTION("""COMPUTED_VALUE"""),88)</f>
        <v>88</v>
      </c>
      <c r="AE223" s="1">
        <f ca="1">IFERROR(__xludf.DUMMYFUNCTION("""COMPUTED_VALUE"""),456)</f>
        <v>456</v>
      </c>
      <c r="AF223" s="1">
        <f ca="1">IFERROR(__xludf.DUMMYFUNCTION("""COMPUTED_VALUE"""),612)</f>
        <v>612</v>
      </c>
    </row>
    <row r="224" spans="1:32" ht="12.5" x14ac:dyDescent="0.25">
      <c r="A224" s="1" t="str">
        <f ca="1">IFERROR(__xludf.DUMMYFUNCTION("""COMPUTED_VALUE"""),"North Carolina A&amp;T")</f>
        <v>North Carolina A&amp;T</v>
      </c>
      <c r="B224" s="1">
        <f ca="1">IFERROR(__xludf.DUMMYFUNCTION("""COMPUTED_VALUE"""),32)</f>
        <v>32</v>
      </c>
      <c r="C224" s="1">
        <f ca="1">IFERROR(__xludf.DUMMYFUNCTION("""COMPUTED_VALUE"""),12)</f>
        <v>12</v>
      </c>
      <c r="D224" s="1">
        <f ca="1">IFERROR(__xludf.DUMMYFUNCTION("""COMPUTED_VALUE"""),20)</f>
        <v>20</v>
      </c>
      <c r="E224" s="1">
        <f ca="1">IFERROR(__xludf.DUMMYFUNCTION("""COMPUTED_VALUE"""),0.375)</f>
        <v>0.375</v>
      </c>
      <c r="F224" s="1">
        <f ca="1">IFERROR(__xludf.DUMMYFUNCTION("""COMPUTED_VALUE"""),-12.34)</f>
        <v>-12.34</v>
      </c>
      <c r="G224" s="1">
        <f ca="1">IFERROR(__xludf.DUMMYFUNCTION("""COMPUTED_VALUE"""),-5.89)</f>
        <v>-5.89</v>
      </c>
      <c r="H224" s="1">
        <f ca="1">IFERROR(__xludf.DUMMYFUNCTION("""COMPUTED_VALUE"""),7)</f>
        <v>7</v>
      </c>
      <c r="I224" s="1">
        <f ca="1">IFERROR(__xludf.DUMMYFUNCTION("""COMPUTED_VALUE"""),9)</f>
        <v>9</v>
      </c>
      <c r="J224" s="1">
        <f ca="1">IFERROR(__xludf.DUMMYFUNCTION("""COMPUTED_VALUE"""),8)</f>
        <v>8</v>
      </c>
      <c r="K224" s="1">
        <f ca="1">IFERROR(__xludf.DUMMYFUNCTION("""COMPUTED_VALUE"""),5)</f>
        <v>5</v>
      </c>
      <c r="L224" s="1">
        <f ca="1">IFERROR(__xludf.DUMMYFUNCTION("""COMPUTED_VALUE"""),4)</f>
        <v>4</v>
      </c>
      <c r="M224" s="1">
        <f ca="1">IFERROR(__xludf.DUMMYFUNCTION("""COMPUTED_VALUE"""),13)</f>
        <v>13</v>
      </c>
      <c r="N224" s="1">
        <f ca="1">IFERROR(__xludf.DUMMYFUNCTION("""COMPUTED_VALUE"""),2236)</f>
        <v>2236</v>
      </c>
      <c r="O224" s="1">
        <f ca="1">IFERROR(__xludf.DUMMYFUNCTION("""COMPUTED_VALUE"""),2326)</f>
        <v>2326</v>
      </c>
      <c r="P224" s="1">
        <f ca="1">IFERROR(__xludf.DUMMYFUNCTION("""COMPUTED_VALUE"""),1295)</f>
        <v>1295</v>
      </c>
      <c r="Q224" s="1">
        <f ca="1">IFERROR(__xludf.DUMMYFUNCTION("""COMPUTED_VALUE"""),778)</f>
        <v>778</v>
      </c>
      <c r="R224" s="1">
        <f ca="1">IFERROR(__xludf.DUMMYFUNCTION("""COMPUTED_VALUE"""),1852)</f>
        <v>1852</v>
      </c>
      <c r="S224" s="1">
        <f ca="1">IFERROR(__xludf.DUMMYFUNCTION("""COMPUTED_VALUE"""),0.42)</f>
        <v>0.42</v>
      </c>
      <c r="T224" s="1">
        <f ca="1">IFERROR(__xludf.DUMMYFUNCTION("""COMPUTED_VALUE"""),224)</f>
        <v>224</v>
      </c>
      <c r="U224" s="1">
        <f ca="1">IFERROR(__xludf.DUMMYFUNCTION("""COMPUTED_VALUE"""),667)</f>
        <v>667</v>
      </c>
      <c r="V224" s="1">
        <f ca="1">IFERROR(__xludf.DUMMYFUNCTION("""COMPUTED_VALUE"""),0.336)</f>
        <v>0.33600000000000002</v>
      </c>
      <c r="W224" s="1">
        <f ca="1">IFERROR(__xludf.DUMMYFUNCTION("""COMPUTED_VALUE"""),456)</f>
        <v>456</v>
      </c>
      <c r="X224" s="1">
        <f ca="1">IFERROR(__xludf.DUMMYFUNCTION("""COMPUTED_VALUE"""),698)</f>
        <v>698</v>
      </c>
      <c r="Y224" s="1">
        <f ca="1">IFERROR(__xludf.DUMMYFUNCTION("""COMPUTED_VALUE"""),0.653)</f>
        <v>0.65300000000000002</v>
      </c>
      <c r="Z224" s="1">
        <f ca="1">IFERROR(__xludf.DUMMYFUNCTION("""COMPUTED_VALUE"""),374)</f>
        <v>374</v>
      </c>
      <c r="AA224" s="1">
        <f ca="1">IFERROR(__xludf.DUMMYFUNCTION("""COMPUTED_VALUE"""),1031)</f>
        <v>1031</v>
      </c>
      <c r="AB224" s="1">
        <f ca="1">IFERROR(__xludf.DUMMYFUNCTION("""COMPUTED_VALUE"""),409)</f>
        <v>409</v>
      </c>
      <c r="AC224" s="1">
        <f ca="1">IFERROR(__xludf.DUMMYFUNCTION("""COMPUTED_VALUE"""),235)</f>
        <v>235</v>
      </c>
      <c r="AD224" s="1">
        <f ca="1">IFERROR(__xludf.DUMMYFUNCTION("""COMPUTED_VALUE"""),108)</f>
        <v>108</v>
      </c>
      <c r="AE224" s="1">
        <f ca="1">IFERROR(__xludf.DUMMYFUNCTION("""COMPUTED_VALUE"""),501)</f>
        <v>501</v>
      </c>
      <c r="AF224" s="1">
        <f ca="1">IFERROR(__xludf.DUMMYFUNCTION("""COMPUTED_VALUE"""),617)</f>
        <v>617</v>
      </c>
    </row>
    <row r="225" spans="1:32" ht="12.5" x14ac:dyDescent="0.25">
      <c r="A225" s="1" t="str">
        <f ca="1">IFERROR(__xludf.DUMMYFUNCTION("""COMPUTED_VALUE"""),"North Carolina Central")</f>
        <v>North Carolina Central</v>
      </c>
      <c r="B225" s="1">
        <f ca="1">IFERROR(__xludf.DUMMYFUNCTION("""COMPUTED_VALUE"""),32)</f>
        <v>32</v>
      </c>
      <c r="C225" s="1">
        <f ca="1">IFERROR(__xludf.DUMMYFUNCTION("""COMPUTED_VALUE"""),17)</f>
        <v>17</v>
      </c>
      <c r="D225" s="1">
        <f ca="1">IFERROR(__xludf.DUMMYFUNCTION("""COMPUTED_VALUE"""),15)</f>
        <v>15</v>
      </c>
      <c r="E225" s="1">
        <f ca="1">IFERROR(__xludf.DUMMYFUNCTION("""COMPUTED_VALUE"""),0.531)</f>
        <v>0.53100000000000003</v>
      </c>
      <c r="F225" s="1">
        <f ca="1">IFERROR(__xludf.DUMMYFUNCTION("""COMPUTED_VALUE"""),-6.12)</f>
        <v>-6.12</v>
      </c>
      <c r="G225" s="1">
        <f ca="1">IFERROR(__xludf.DUMMYFUNCTION("""COMPUTED_VALUE"""),-6.98)</f>
        <v>-6.98</v>
      </c>
      <c r="H225" s="1">
        <f ca="1">IFERROR(__xludf.DUMMYFUNCTION("""COMPUTED_VALUE"""),10)</f>
        <v>10</v>
      </c>
      <c r="I225" s="1">
        <f ca="1">IFERROR(__xludf.DUMMYFUNCTION("""COMPUTED_VALUE"""),6)</f>
        <v>6</v>
      </c>
      <c r="J225" s="1">
        <f ca="1">IFERROR(__xludf.DUMMYFUNCTION("""COMPUTED_VALUE"""),8)</f>
        <v>8</v>
      </c>
      <c r="K225" s="1">
        <f ca="1">IFERROR(__xludf.DUMMYFUNCTION("""COMPUTED_VALUE"""),3)</f>
        <v>3</v>
      </c>
      <c r="L225" s="1">
        <f ca="1">IFERROR(__xludf.DUMMYFUNCTION("""COMPUTED_VALUE"""),6)</f>
        <v>6</v>
      </c>
      <c r="M225" s="1">
        <f ca="1">IFERROR(__xludf.DUMMYFUNCTION("""COMPUTED_VALUE"""),11)</f>
        <v>11</v>
      </c>
      <c r="N225" s="1">
        <f ca="1">IFERROR(__xludf.DUMMYFUNCTION("""COMPUTED_VALUE"""),2263)</f>
        <v>2263</v>
      </c>
      <c r="O225" s="1">
        <f ca="1">IFERROR(__xludf.DUMMYFUNCTION("""COMPUTED_VALUE"""),2020)</f>
        <v>2020</v>
      </c>
      <c r="P225" s="1">
        <f ca="1">IFERROR(__xludf.DUMMYFUNCTION("""COMPUTED_VALUE"""),1280)</f>
        <v>1280</v>
      </c>
      <c r="Q225" s="1">
        <f ca="1">IFERROR(__xludf.DUMMYFUNCTION("""COMPUTED_VALUE"""),772)</f>
        <v>772</v>
      </c>
      <c r="R225" s="1">
        <f ca="1">IFERROR(__xludf.DUMMYFUNCTION("""COMPUTED_VALUE"""),1644)</f>
        <v>1644</v>
      </c>
      <c r="S225" s="1">
        <f ca="1">IFERROR(__xludf.DUMMYFUNCTION("""COMPUTED_VALUE"""),0.47)</f>
        <v>0.47</v>
      </c>
      <c r="T225" s="1">
        <f ca="1">IFERROR(__xludf.DUMMYFUNCTION("""COMPUTED_VALUE"""),192)</f>
        <v>192</v>
      </c>
      <c r="U225" s="1">
        <f ca="1">IFERROR(__xludf.DUMMYFUNCTION("""COMPUTED_VALUE"""),539)</f>
        <v>539</v>
      </c>
      <c r="V225" s="1">
        <f ca="1">IFERROR(__xludf.DUMMYFUNCTION("""COMPUTED_VALUE"""),0.356)</f>
        <v>0.35599999999999998</v>
      </c>
      <c r="W225" s="1">
        <f ca="1">IFERROR(__xludf.DUMMYFUNCTION("""COMPUTED_VALUE"""),527)</f>
        <v>527</v>
      </c>
      <c r="X225" s="1">
        <f ca="1">IFERROR(__xludf.DUMMYFUNCTION("""COMPUTED_VALUE"""),746)</f>
        <v>746</v>
      </c>
      <c r="Y225" s="1">
        <f ca="1">IFERROR(__xludf.DUMMYFUNCTION("""COMPUTED_VALUE"""),0.706)</f>
        <v>0.70599999999999996</v>
      </c>
      <c r="Z225" s="1">
        <f ca="1">IFERROR(__xludf.DUMMYFUNCTION("""COMPUTED_VALUE"""),309)</f>
        <v>309</v>
      </c>
      <c r="AA225" s="1">
        <f ca="1">IFERROR(__xludf.DUMMYFUNCTION("""COMPUTED_VALUE"""),940)</f>
        <v>940</v>
      </c>
      <c r="AB225" s="1">
        <f ca="1">IFERROR(__xludf.DUMMYFUNCTION("""COMPUTED_VALUE"""),450)</f>
        <v>450</v>
      </c>
      <c r="AC225" s="1">
        <f ca="1">IFERROR(__xludf.DUMMYFUNCTION("""COMPUTED_VALUE"""),263)</f>
        <v>263</v>
      </c>
      <c r="AD225" s="1">
        <f ca="1">IFERROR(__xludf.DUMMYFUNCTION("""COMPUTED_VALUE"""),123)</f>
        <v>123</v>
      </c>
      <c r="AE225" s="1">
        <f ca="1">IFERROR(__xludf.DUMMYFUNCTION("""COMPUTED_VALUE"""),487)</f>
        <v>487</v>
      </c>
      <c r="AF225" s="1">
        <f ca="1">IFERROR(__xludf.DUMMYFUNCTION("""COMPUTED_VALUE"""),590)</f>
        <v>590</v>
      </c>
    </row>
    <row r="226" spans="1:32" ht="12.5" x14ac:dyDescent="0.25">
      <c r="A226" s="1" t="str">
        <f ca="1">IFERROR(__xludf.DUMMYFUNCTION("""COMPUTED_VALUE"""),"North Carolina-Greensboro")</f>
        <v>North Carolina-Greensboro</v>
      </c>
      <c r="B226" s="1">
        <f ca="1">IFERROR(__xludf.DUMMYFUNCTION("""COMPUTED_VALUE"""),32)</f>
        <v>32</v>
      </c>
      <c r="C226" s="1">
        <f ca="1">IFERROR(__xludf.DUMMYFUNCTION("""COMPUTED_VALUE"""),13)</f>
        <v>13</v>
      </c>
      <c r="D226" s="1">
        <f ca="1">IFERROR(__xludf.DUMMYFUNCTION("""COMPUTED_VALUE"""),19)</f>
        <v>19</v>
      </c>
      <c r="E226" s="1">
        <f ca="1">IFERROR(__xludf.DUMMYFUNCTION("""COMPUTED_VALUE"""),0.406)</f>
        <v>0.40600000000000003</v>
      </c>
      <c r="F226" s="1">
        <f ca="1">IFERROR(__xludf.DUMMYFUNCTION("""COMPUTED_VALUE"""),-9.67)</f>
        <v>-9.67</v>
      </c>
      <c r="G226" s="1">
        <f ca="1">IFERROR(__xludf.DUMMYFUNCTION("""COMPUTED_VALUE"""),-1.96)</f>
        <v>-1.96</v>
      </c>
      <c r="H226" s="1">
        <f ca="1">IFERROR(__xludf.DUMMYFUNCTION("""COMPUTED_VALUE"""),10)</f>
        <v>10</v>
      </c>
      <c r="I226" s="1">
        <f ca="1">IFERROR(__xludf.DUMMYFUNCTION("""COMPUTED_VALUE"""),8)</f>
        <v>8</v>
      </c>
      <c r="J226" s="1">
        <f ca="1">IFERROR(__xludf.DUMMYFUNCTION("""COMPUTED_VALUE"""),7)</f>
        <v>7</v>
      </c>
      <c r="K226" s="1">
        <f ca="1">IFERROR(__xludf.DUMMYFUNCTION("""COMPUTED_VALUE"""),5)</f>
        <v>5</v>
      </c>
      <c r="L226" s="1">
        <f ca="1">IFERROR(__xludf.DUMMYFUNCTION("""COMPUTED_VALUE"""),4)</f>
        <v>4</v>
      </c>
      <c r="M226" s="1">
        <f ca="1">IFERROR(__xludf.DUMMYFUNCTION("""COMPUTED_VALUE"""),13)</f>
        <v>13</v>
      </c>
      <c r="N226" s="1">
        <f ca="1">IFERROR(__xludf.DUMMYFUNCTION("""COMPUTED_VALUE"""),2231)</f>
        <v>2231</v>
      </c>
      <c r="O226" s="1">
        <f ca="1">IFERROR(__xludf.DUMMYFUNCTION("""COMPUTED_VALUE"""),2457)</f>
        <v>2457</v>
      </c>
      <c r="P226" s="1">
        <f ca="1">IFERROR(__xludf.DUMMYFUNCTION("""COMPUTED_VALUE"""),1290)</f>
        <v>1290</v>
      </c>
      <c r="Q226" s="1">
        <f ca="1">IFERROR(__xludf.DUMMYFUNCTION("""COMPUTED_VALUE"""),791)</f>
        <v>791</v>
      </c>
      <c r="R226" s="1">
        <f ca="1">IFERROR(__xludf.DUMMYFUNCTION("""COMPUTED_VALUE"""),1961)</f>
        <v>1961</v>
      </c>
      <c r="S226" s="1">
        <f ca="1">IFERROR(__xludf.DUMMYFUNCTION("""COMPUTED_VALUE"""),0.403)</f>
        <v>0.40300000000000002</v>
      </c>
      <c r="T226" s="1">
        <f ca="1">IFERROR(__xludf.DUMMYFUNCTION("""COMPUTED_VALUE"""),222)</f>
        <v>222</v>
      </c>
      <c r="U226" s="1">
        <f ca="1">IFERROR(__xludf.DUMMYFUNCTION("""COMPUTED_VALUE"""),656)</f>
        <v>656</v>
      </c>
      <c r="V226" s="1">
        <f ca="1">IFERROR(__xludf.DUMMYFUNCTION("""COMPUTED_VALUE"""),0.338)</f>
        <v>0.33800000000000002</v>
      </c>
      <c r="W226" s="1">
        <f ca="1">IFERROR(__xludf.DUMMYFUNCTION("""COMPUTED_VALUE"""),427)</f>
        <v>427</v>
      </c>
      <c r="X226" s="1">
        <f ca="1">IFERROR(__xludf.DUMMYFUNCTION("""COMPUTED_VALUE"""),623)</f>
        <v>623</v>
      </c>
      <c r="Y226" s="1">
        <f ca="1">IFERROR(__xludf.DUMMYFUNCTION("""COMPUTED_VALUE"""),0.685)</f>
        <v>0.68500000000000005</v>
      </c>
      <c r="Z226" s="1">
        <f ca="1">IFERROR(__xludf.DUMMYFUNCTION("""COMPUTED_VALUE"""),442)</f>
        <v>442</v>
      </c>
      <c r="AA226" s="1">
        <f ca="1">IFERROR(__xludf.DUMMYFUNCTION("""COMPUTED_VALUE"""),1014)</f>
        <v>1014</v>
      </c>
      <c r="AB226" s="1">
        <f ca="1">IFERROR(__xludf.DUMMYFUNCTION("""COMPUTED_VALUE"""),371)</f>
        <v>371</v>
      </c>
      <c r="AC226" s="1">
        <f ca="1">IFERROR(__xludf.DUMMYFUNCTION("""COMPUTED_VALUE"""),240)</f>
        <v>240</v>
      </c>
      <c r="AD226" s="1">
        <f ca="1">IFERROR(__xludf.DUMMYFUNCTION("""COMPUTED_VALUE"""),85)</f>
        <v>85</v>
      </c>
      <c r="AE226" s="1">
        <f ca="1">IFERROR(__xludf.DUMMYFUNCTION("""COMPUTED_VALUE"""),486)</f>
        <v>486</v>
      </c>
      <c r="AF226" s="1">
        <f ca="1">IFERROR(__xludf.DUMMYFUNCTION("""COMPUTED_VALUE"""),675)</f>
        <v>675</v>
      </c>
    </row>
    <row r="227" spans="1:32" ht="12.5" x14ac:dyDescent="0.25">
      <c r="A227" s="1" t="str">
        <f ca="1">IFERROR(__xludf.DUMMYFUNCTION("""COMPUTED_VALUE"""),"North Carolina StateNCAA")</f>
        <v>North Carolina StateNCAA</v>
      </c>
      <c r="B227" s="1">
        <f ca="1">IFERROR(__xludf.DUMMYFUNCTION("""COMPUTED_VALUE"""),37)</f>
        <v>37</v>
      </c>
      <c r="C227" s="1">
        <f ca="1">IFERROR(__xludf.DUMMYFUNCTION("""COMPUTED_VALUE"""),24)</f>
        <v>24</v>
      </c>
      <c r="D227" s="1">
        <f ca="1">IFERROR(__xludf.DUMMYFUNCTION("""COMPUTED_VALUE"""),13)</f>
        <v>13</v>
      </c>
      <c r="E227" s="1">
        <f ca="1">IFERROR(__xludf.DUMMYFUNCTION("""COMPUTED_VALUE"""),0.649)</f>
        <v>0.64900000000000002</v>
      </c>
      <c r="F227" s="1">
        <f ca="1">IFERROR(__xludf.DUMMYFUNCTION("""COMPUTED_VALUE"""),12.1)</f>
        <v>12.1</v>
      </c>
      <c r="G227" s="1">
        <f ca="1">IFERROR(__xludf.DUMMYFUNCTION("""COMPUTED_VALUE"""),6.8)</f>
        <v>6.8</v>
      </c>
      <c r="H227" s="1">
        <f ca="1">IFERROR(__xludf.DUMMYFUNCTION("""COMPUTED_VALUE"""),9)</f>
        <v>9</v>
      </c>
      <c r="I227" s="1">
        <f ca="1">IFERROR(__xludf.DUMMYFUNCTION("""COMPUTED_VALUE"""),7)</f>
        <v>7</v>
      </c>
      <c r="J227" s="1">
        <f ca="1">IFERROR(__xludf.DUMMYFUNCTION("""COMPUTED_VALUE"""),13)</f>
        <v>13</v>
      </c>
      <c r="K227" s="1">
        <f ca="1">IFERROR(__xludf.DUMMYFUNCTION("""COMPUTED_VALUE"""),6)</f>
        <v>6</v>
      </c>
      <c r="L227" s="1">
        <f ca="1">IFERROR(__xludf.DUMMYFUNCTION("""COMPUTED_VALUE"""),5)</f>
        <v>5</v>
      </c>
      <c r="M227" s="1">
        <f ca="1">IFERROR(__xludf.DUMMYFUNCTION("""COMPUTED_VALUE"""),4)</f>
        <v>4</v>
      </c>
      <c r="N227" s="1">
        <f ca="1">IFERROR(__xludf.DUMMYFUNCTION("""COMPUTED_VALUE"""),2697)</f>
        <v>2697</v>
      </c>
      <c r="O227" s="1">
        <f ca="1">IFERROR(__xludf.DUMMYFUNCTION("""COMPUTED_VALUE"""),2501)</f>
        <v>2501</v>
      </c>
      <c r="P227" s="1">
        <f ca="1">IFERROR(__xludf.DUMMYFUNCTION("""COMPUTED_VALUE"""),1485)</f>
        <v>1485</v>
      </c>
      <c r="Q227" s="1">
        <f ca="1">IFERROR(__xludf.DUMMYFUNCTION("""COMPUTED_VALUE"""),977)</f>
        <v>977</v>
      </c>
      <c r="R227" s="1">
        <f ca="1">IFERROR(__xludf.DUMMYFUNCTION("""COMPUTED_VALUE"""),2134)</f>
        <v>2134</v>
      </c>
      <c r="S227" s="1">
        <f ca="1">IFERROR(__xludf.DUMMYFUNCTION("""COMPUTED_VALUE"""),0.458)</f>
        <v>0.45800000000000002</v>
      </c>
      <c r="T227" s="1">
        <f ca="1">IFERROR(__xludf.DUMMYFUNCTION("""COMPUTED_VALUE"""),198)</f>
        <v>198</v>
      </c>
      <c r="U227" s="1">
        <f ca="1">IFERROR(__xludf.DUMMYFUNCTION("""COMPUTED_VALUE"""),557)</f>
        <v>557</v>
      </c>
      <c r="V227" s="1">
        <f ca="1">IFERROR(__xludf.DUMMYFUNCTION("""COMPUTED_VALUE"""),0.355)</f>
        <v>0.35499999999999998</v>
      </c>
      <c r="W227" s="1">
        <f ca="1">IFERROR(__xludf.DUMMYFUNCTION("""COMPUTED_VALUE"""),545)</f>
        <v>545</v>
      </c>
      <c r="X227" s="1">
        <f ca="1">IFERROR(__xludf.DUMMYFUNCTION("""COMPUTED_VALUE"""),774)</f>
        <v>774</v>
      </c>
      <c r="Y227" s="1">
        <f ca="1">IFERROR(__xludf.DUMMYFUNCTION("""COMPUTED_VALUE"""),0.704)</f>
        <v>0.70399999999999996</v>
      </c>
      <c r="Z227" s="1">
        <f ca="1">IFERROR(__xludf.DUMMYFUNCTION("""COMPUTED_VALUE"""),456)</f>
        <v>456</v>
      </c>
      <c r="AA227" s="1">
        <f ca="1">IFERROR(__xludf.DUMMYFUNCTION("""COMPUTED_VALUE"""),1281)</f>
        <v>1281</v>
      </c>
      <c r="AB227" s="1">
        <f ca="1">IFERROR(__xludf.DUMMYFUNCTION("""COMPUTED_VALUE"""),577)</f>
        <v>577</v>
      </c>
      <c r="AC227" s="1">
        <f ca="1">IFERROR(__xludf.DUMMYFUNCTION("""COMPUTED_VALUE"""),249)</f>
        <v>249</v>
      </c>
      <c r="AD227" s="1">
        <f ca="1">IFERROR(__xludf.DUMMYFUNCTION("""COMPUTED_VALUE"""),150)</f>
        <v>150</v>
      </c>
      <c r="AE227" s="1">
        <f ca="1">IFERROR(__xludf.DUMMYFUNCTION("""COMPUTED_VALUE"""),470)</f>
        <v>470</v>
      </c>
      <c r="AF227" s="1">
        <f ca="1">IFERROR(__xludf.DUMMYFUNCTION("""COMPUTED_VALUE"""),623)</f>
        <v>623</v>
      </c>
    </row>
    <row r="228" spans="1:32" ht="12.5" x14ac:dyDescent="0.25">
      <c r="A228" s="1" t="str">
        <f ca="1">IFERROR(__xludf.DUMMYFUNCTION("""COMPUTED_VALUE"""),"North Carolina-Wilmington")</f>
        <v>North Carolina-Wilmington</v>
      </c>
      <c r="B228" s="1">
        <f ca="1">IFERROR(__xludf.DUMMYFUNCTION("""COMPUTED_VALUE"""),31)</f>
        <v>31</v>
      </c>
      <c r="C228" s="1">
        <f ca="1">IFERROR(__xludf.DUMMYFUNCTION("""COMPUTED_VALUE"""),10)</f>
        <v>10</v>
      </c>
      <c r="D228" s="1">
        <f ca="1">IFERROR(__xludf.DUMMYFUNCTION("""COMPUTED_VALUE"""),21)</f>
        <v>21</v>
      </c>
      <c r="E228" s="1">
        <f ca="1">IFERROR(__xludf.DUMMYFUNCTION("""COMPUTED_VALUE"""),0.323)</f>
        <v>0.32300000000000001</v>
      </c>
      <c r="F228" s="1">
        <f ca="1">IFERROR(__xludf.DUMMYFUNCTION("""COMPUTED_VALUE"""),-5.5)</f>
        <v>-5.5</v>
      </c>
      <c r="G228" s="1">
        <f ca="1">IFERROR(__xludf.DUMMYFUNCTION("""COMPUTED_VALUE"""),0.18)</f>
        <v>0.18</v>
      </c>
      <c r="H228" s="1">
        <f ca="1">IFERROR(__xludf.DUMMYFUNCTION("""COMPUTED_VALUE"""),5)</f>
        <v>5</v>
      </c>
      <c r="I228" s="1">
        <f ca="1">IFERROR(__xludf.DUMMYFUNCTION("""COMPUTED_VALUE"""),13)</f>
        <v>13</v>
      </c>
      <c r="J228" s="1">
        <f ca="1">IFERROR(__xludf.DUMMYFUNCTION("""COMPUTED_VALUE"""),5)</f>
        <v>5</v>
      </c>
      <c r="K228" s="1">
        <f ca="1">IFERROR(__xludf.DUMMYFUNCTION("""COMPUTED_VALUE"""),8)</f>
        <v>8</v>
      </c>
      <c r="L228" s="1">
        <f ca="1">IFERROR(__xludf.DUMMYFUNCTION("""COMPUTED_VALUE"""),4)</f>
        <v>4</v>
      </c>
      <c r="M228" s="1">
        <f ca="1">IFERROR(__xludf.DUMMYFUNCTION("""COMPUTED_VALUE"""),12)</f>
        <v>12</v>
      </c>
      <c r="N228" s="1">
        <f ca="1">IFERROR(__xludf.DUMMYFUNCTION("""COMPUTED_VALUE"""),2013)</f>
        <v>2013</v>
      </c>
      <c r="O228" s="1">
        <f ca="1">IFERROR(__xludf.DUMMYFUNCTION("""COMPUTED_VALUE"""),2189)</f>
        <v>2189</v>
      </c>
      <c r="P228" s="1">
        <f ca="1">IFERROR(__xludf.DUMMYFUNCTION("""COMPUTED_VALUE"""),1240)</f>
        <v>1240</v>
      </c>
      <c r="Q228" s="1">
        <f ca="1">IFERROR(__xludf.DUMMYFUNCTION("""COMPUTED_VALUE"""),723)</f>
        <v>723</v>
      </c>
      <c r="R228" s="1">
        <f ca="1">IFERROR(__xludf.DUMMYFUNCTION("""COMPUTED_VALUE"""),1740)</f>
        <v>1740</v>
      </c>
      <c r="S228" s="1">
        <f ca="1">IFERROR(__xludf.DUMMYFUNCTION("""COMPUTED_VALUE"""),0.416)</f>
        <v>0.41599999999999998</v>
      </c>
      <c r="T228" s="1">
        <f ca="1">IFERROR(__xludf.DUMMYFUNCTION("""COMPUTED_VALUE"""),173)</f>
        <v>173</v>
      </c>
      <c r="U228" s="1">
        <f ca="1">IFERROR(__xludf.DUMMYFUNCTION("""COMPUTED_VALUE"""),530)</f>
        <v>530</v>
      </c>
      <c r="V228" s="1">
        <f ca="1">IFERROR(__xludf.DUMMYFUNCTION("""COMPUTED_VALUE"""),0.326)</f>
        <v>0.32600000000000001</v>
      </c>
      <c r="W228" s="1">
        <f ca="1">IFERROR(__xludf.DUMMYFUNCTION("""COMPUTED_VALUE"""),394)</f>
        <v>394</v>
      </c>
      <c r="X228" s="1">
        <f ca="1">IFERROR(__xludf.DUMMYFUNCTION("""COMPUTED_VALUE"""),580)</f>
        <v>580</v>
      </c>
      <c r="Y228" s="1">
        <f ca="1">IFERROR(__xludf.DUMMYFUNCTION("""COMPUTED_VALUE"""),0.679)</f>
        <v>0.67900000000000005</v>
      </c>
      <c r="Z228" s="1">
        <f ca="1">IFERROR(__xludf.DUMMYFUNCTION("""COMPUTED_VALUE"""),378)</f>
        <v>378</v>
      </c>
      <c r="AA228" s="1">
        <f ca="1">IFERROR(__xludf.DUMMYFUNCTION("""COMPUTED_VALUE"""),1068)</f>
        <v>1068</v>
      </c>
      <c r="AB228" s="1">
        <f ca="1">IFERROR(__xludf.DUMMYFUNCTION("""COMPUTED_VALUE"""),370)</f>
        <v>370</v>
      </c>
      <c r="AC228" s="1">
        <f ca="1">IFERROR(__xludf.DUMMYFUNCTION("""COMPUTED_VALUE"""),173)</f>
        <v>173</v>
      </c>
      <c r="AD228" s="1">
        <f ca="1">IFERROR(__xludf.DUMMYFUNCTION("""COMPUTED_VALUE"""),122)</f>
        <v>122</v>
      </c>
      <c r="AE228" s="1">
        <f ca="1">IFERROR(__xludf.DUMMYFUNCTION("""COMPUTED_VALUE"""),428)</f>
        <v>428</v>
      </c>
      <c r="AF228" s="1">
        <f ca="1">IFERROR(__xludf.DUMMYFUNCTION("""COMPUTED_VALUE"""),552)</f>
        <v>552</v>
      </c>
    </row>
    <row r="229" spans="1:32" ht="12.5" x14ac:dyDescent="0.25">
      <c r="A229" s="1" t="str">
        <f ca="1">IFERROR(__xludf.DUMMYFUNCTION("""COMPUTED_VALUE"""),"North CarolinaNCAA")</f>
        <v>North CarolinaNCAA</v>
      </c>
      <c r="B229" s="1">
        <f ca="1">IFERROR(__xludf.DUMMYFUNCTION("""COMPUTED_VALUE"""),38)</f>
        <v>38</v>
      </c>
      <c r="C229" s="1">
        <f ca="1">IFERROR(__xludf.DUMMYFUNCTION("""COMPUTED_VALUE"""),32)</f>
        <v>32</v>
      </c>
      <c r="D229" s="1">
        <f ca="1">IFERROR(__xludf.DUMMYFUNCTION("""COMPUTED_VALUE"""),6)</f>
        <v>6</v>
      </c>
      <c r="E229" s="1">
        <f ca="1">IFERROR(__xludf.DUMMYFUNCTION("""COMPUTED_VALUE"""),0.842)</f>
        <v>0.84199999999999997</v>
      </c>
      <c r="F229" s="1">
        <f ca="1">IFERROR(__xludf.DUMMYFUNCTION("""COMPUTED_VALUE"""),21.34)</f>
        <v>21.34</v>
      </c>
      <c r="G229" s="1">
        <f ca="1">IFERROR(__xludf.DUMMYFUNCTION("""COMPUTED_VALUE"""),7.07)</f>
        <v>7.07</v>
      </c>
      <c r="H229" s="1">
        <f ca="1">IFERROR(__xludf.DUMMYFUNCTION("""COMPUTED_VALUE"""),14)</f>
        <v>14</v>
      </c>
      <c r="I229" s="1">
        <f ca="1">IFERROR(__xludf.DUMMYFUNCTION("""COMPUTED_VALUE"""),2)</f>
        <v>2</v>
      </c>
      <c r="J229" s="1">
        <f ca="1">IFERROR(__xludf.DUMMYFUNCTION("""COMPUTED_VALUE"""),17)</f>
        <v>17</v>
      </c>
      <c r="K229" s="1">
        <f ca="1">IFERROR(__xludf.DUMMYFUNCTION("""COMPUTED_VALUE"""),1)</f>
        <v>1</v>
      </c>
      <c r="L229" s="1">
        <f ca="1">IFERROR(__xludf.DUMMYFUNCTION("""COMPUTED_VALUE"""),8)</f>
        <v>8</v>
      </c>
      <c r="M229" s="1">
        <f ca="1">IFERROR(__xludf.DUMMYFUNCTION("""COMPUTED_VALUE"""),2)</f>
        <v>2</v>
      </c>
      <c r="N229" s="1">
        <f ca="1">IFERROR(__xludf.DUMMYFUNCTION("""COMPUTED_VALUE"""),3091)</f>
        <v>3091</v>
      </c>
      <c r="O229" s="1">
        <f ca="1">IFERROR(__xludf.DUMMYFUNCTION("""COMPUTED_VALUE"""),2549)</f>
        <v>2549</v>
      </c>
      <c r="P229" s="1">
        <f ca="1">IFERROR(__xludf.DUMMYFUNCTION("""COMPUTED_VALUE"""),1525)</f>
        <v>1525</v>
      </c>
      <c r="Q229" s="1">
        <f ca="1">IFERROR(__xludf.DUMMYFUNCTION("""COMPUTED_VALUE"""),1134)</f>
        <v>1134</v>
      </c>
      <c r="R229" s="1">
        <f ca="1">IFERROR(__xludf.DUMMYFUNCTION("""COMPUTED_VALUE"""),2473)</f>
        <v>2473</v>
      </c>
      <c r="S229" s="1">
        <f ca="1">IFERROR(__xludf.DUMMYFUNCTION("""COMPUTED_VALUE"""),0.459)</f>
        <v>0.45900000000000002</v>
      </c>
      <c r="T229" s="1">
        <f ca="1">IFERROR(__xludf.DUMMYFUNCTION("""COMPUTED_VALUE"""),194)</f>
        <v>194</v>
      </c>
      <c r="U229" s="1">
        <f ca="1">IFERROR(__xludf.DUMMYFUNCTION("""COMPUTED_VALUE"""),580)</f>
        <v>580</v>
      </c>
      <c r="V229" s="1">
        <f ca="1">IFERROR(__xludf.DUMMYFUNCTION("""COMPUTED_VALUE"""),0.334)</f>
        <v>0.33400000000000002</v>
      </c>
      <c r="W229" s="1">
        <f ca="1">IFERROR(__xludf.DUMMYFUNCTION("""COMPUTED_VALUE"""),629)</f>
        <v>629</v>
      </c>
      <c r="X229" s="1">
        <f ca="1">IFERROR(__xludf.DUMMYFUNCTION("""COMPUTED_VALUE"""),922)</f>
        <v>922</v>
      </c>
      <c r="Y229" s="1">
        <f ca="1">IFERROR(__xludf.DUMMYFUNCTION("""COMPUTED_VALUE"""),0.682)</f>
        <v>0.68200000000000005</v>
      </c>
      <c r="Z229" s="1">
        <f ca="1">IFERROR(__xludf.DUMMYFUNCTION("""COMPUTED_VALUE"""),570)</f>
        <v>570</v>
      </c>
      <c r="AA229" s="1">
        <f ca="1">IFERROR(__xludf.DUMMYFUNCTION("""COMPUTED_VALUE"""),1592)</f>
        <v>1592</v>
      </c>
      <c r="AB229" s="1">
        <f ca="1">IFERROR(__xludf.DUMMYFUNCTION("""COMPUTED_VALUE"""),659)</f>
        <v>659</v>
      </c>
      <c r="AC229" s="1">
        <f ca="1">IFERROR(__xludf.DUMMYFUNCTION("""COMPUTED_VALUE"""),259)</f>
        <v>259</v>
      </c>
      <c r="AD229" s="1">
        <f ca="1">IFERROR(__xludf.DUMMYFUNCTION("""COMPUTED_VALUE"""),219)</f>
        <v>219</v>
      </c>
      <c r="AE229" s="1">
        <f ca="1">IFERROR(__xludf.DUMMYFUNCTION("""COMPUTED_VALUE"""),447)</f>
        <v>447</v>
      </c>
      <c r="AF229" s="1">
        <f ca="1">IFERROR(__xludf.DUMMYFUNCTION("""COMPUTED_VALUE"""),551)</f>
        <v>551</v>
      </c>
    </row>
    <row r="230" spans="1:32" ht="12.5" x14ac:dyDescent="0.25">
      <c r="A230" s="1" t="str">
        <f ca="1">IFERROR(__xludf.DUMMYFUNCTION("""COMPUTED_VALUE"""),"North Dakota State")</f>
        <v>North Dakota State</v>
      </c>
      <c r="B230" s="1">
        <f ca="1">IFERROR(__xludf.DUMMYFUNCTION("""COMPUTED_VALUE"""),31)</f>
        <v>31</v>
      </c>
      <c r="C230" s="1">
        <f ca="1">IFERROR(__xludf.DUMMYFUNCTION("""COMPUTED_VALUE"""),17)</f>
        <v>17</v>
      </c>
      <c r="D230" s="1">
        <f ca="1">IFERROR(__xludf.DUMMYFUNCTION("""COMPUTED_VALUE"""),14)</f>
        <v>14</v>
      </c>
      <c r="E230" s="1">
        <f ca="1">IFERROR(__xludf.DUMMYFUNCTION("""COMPUTED_VALUE"""),0.548)</f>
        <v>0.54800000000000004</v>
      </c>
      <c r="F230" s="1">
        <f ca="1">IFERROR(__xludf.DUMMYFUNCTION("""COMPUTED_VALUE"""),0.01)</f>
        <v>0.01</v>
      </c>
      <c r="G230" s="1">
        <f ca="1">IFERROR(__xludf.DUMMYFUNCTION("""COMPUTED_VALUE"""),-2.5)</f>
        <v>-2.5</v>
      </c>
      <c r="H230" s="1">
        <f ca="1">IFERROR(__xludf.DUMMYFUNCTION("""COMPUTED_VALUE"""),9)</f>
        <v>9</v>
      </c>
      <c r="I230" s="1">
        <f ca="1">IFERROR(__xludf.DUMMYFUNCTION("""COMPUTED_VALUE"""),9)</f>
        <v>9</v>
      </c>
      <c r="J230" s="1">
        <f ca="1">IFERROR(__xludf.DUMMYFUNCTION("""COMPUTED_VALUE"""),10)</f>
        <v>10</v>
      </c>
      <c r="K230" s="1">
        <f ca="1">IFERROR(__xludf.DUMMYFUNCTION("""COMPUTED_VALUE"""),4)</f>
        <v>4</v>
      </c>
      <c r="L230" s="1">
        <f ca="1">IFERROR(__xludf.DUMMYFUNCTION("""COMPUTED_VALUE"""),5)</f>
        <v>5</v>
      </c>
      <c r="M230" s="1">
        <f ca="1">IFERROR(__xludf.DUMMYFUNCTION("""COMPUTED_VALUE"""),9)</f>
        <v>9</v>
      </c>
      <c r="N230" s="1">
        <f ca="1">IFERROR(__xludf.DUMMYFUNCTION("""COMPUTED_VALUE"""),2267)</f>
        <v>2267</v>
      </c>
      <c r="O230" s="1">
        <f ca="1">IFERROR(__xludf.DUMMYFUNCTION("""COMPUTED_VALUE"""),2119)</f>
        <v>2119</v>
      </c>
      <c r="P230" s="1">
        <f ca="1">IFERROR(__xludf.DUMMYFUNCTION("""COMPUTED_VALUE"""),1250)</f>
        <v>1250</v>
      </c>
      <c r="Q230" s="1">
        <f ca="1">IFERROR(__xludf.DUMMYFUNCTION("""COMPUTED_VALUE"""),805)</f>
        <v>805</v>
      </c>
      <c r="R230" s="1">
        <f ca="1">IFERROR(__xludf.DUMMYFUNCTION("""COMPUTED_VALUE"""),1649)</f>
        <v>1649</v>
      </c>
      <c r="S230" s="1">
        <f ca="1">IFERROR(__xludf.DUMMYFUNCTION("""COMPUTED_VALUE"""),0.488)</f>
        <v>0.48799999999999999</v>
      </c>
      <c r="T230" s="1">
        <f ca="1">IFERROR(__xludf.DUMMYFUNCTION("""COMPUTED_VALUE"""),199)</f>
        <v>199</v>
      </c>
      <c r="U230" s="1">
        <f ca="1">IFERROR(__xludf.DUMMYFUNCTION("""COMPUTED_VALUE"""),531)</f>
        <v>531</v>
      </c>
      <c r="V230" s="1">
        <f ca="1">IFERROR(__xludf.DUMMYFUNCTION("""COMPUTED_VALUE"""),0.375)</f>
        <v>0.375</v>
      </c>
      <c r="W230" s="1">
        <f ca="1">IFERROR(__xludf.DUMMYFUNCTION("""COMPUTED_VALUE"""),458)</f>
        <v>458</v>
      </c>
      <c r="X230" s="1">
        <f ca="1">IFERROR(__xludf.DUMMYFUNCTION("""COMPUTED_VALUE"""),635)</f>
        <v>635</v>
      </c>
      <c r="Y230" s="1">
        <f ca="1">IFERROR(__xludf.DUMMYFUNCTION("""COMPUTED_VALUE"""),0.721)</f>
        <v>0.72099999999999997</v>
      </c>
      <c r="Z230" s="1">
        <f ca="1">IFERROR(__xludf.DUMMYFUNCTION("""COMPUTED_VALUE"""),257)</f>
        <v>257</v>
      </c>
      <c r="AA230" s="1">
        <f ca="1">IFERROR(__xludf.DUMMYFUNCTION("""COMPUTED_VALUE"""),939)</f>
        <v>939</v>
      </c>
      <c r="AB230" s="1">
        <f ca="1">IFERROR(__xludf.DUMMYFUNCTION("""COMPUTED_VALUE"""),421)</f>
        <v>421</v>
      </c>
      <c r="AC230" s="1">
        <f ca="1">IFERROR(__xludf.DUMMYFUNCTION("""COMPUTED_VALUE"""),192)</f>
        <v>192</v>
      </c>
      <c r="AD230" s="1">
        <f ca="1">IFERROR(__xludf.DUMMYFUNCTION("""COMPUTED_VALUE"""),108)</f>
        <v>108</v>
      </c>
      <c r="AE230" s="1">
        <f ca="1">IFERROR(__xludf.DUMMYFUNCTION("""COMPUTED_VALUE"""),384)</f>
        <v>384</v>
      </c>
      <c r="AF230" s="1">
        <f ca="1">IFERROR(__xludf.DUMMYFUNCTION("""COMPUTED_VALUE"""),603)</f>
        <v>603</v>
      </c>
    </row>
    <row r="231" spans="1:32" ht="12.5" x14ac:dyDescent="0.25">
      <c r="A231" s="1" t="str">
        <f ca="1">IFERROR(__xludf.DUMMYFUNCTION("""COMPUTED_VALUE"""),"North Dakota")</f>
        <v>North Dakota</v>
      </c>
      <c r="B231" s="1">
        <f ca="1">IFERROR(__xludf.DUMMYFUNCTION("""COMPUTED_VALUE"""),32)</f>
        <v>32</v>
      </c>
      <c r="C231" s="1">
        <f ca="1">IFERROR(__xludf.DUMMYFUNCTION("""COMPUTED_VALUE"""),17)</f>
        <v>17</v>
      </c>
      <c r="D231" s="1">
        <f ca="1">IFERROR(__xludf.DUMMYFUNCTION("""COMPUTED_VALUE"""),15)</f>
        <v>15</v>
      </c>
      <c r="E231" s="1">
        <f ca="1">IFERROR(__xludf.DUMMYFUNCTION("""COMPUTED_VALUE"""),0.531)</f>
        <v>0.53100000000000003</v>
      </c>
      <c r="F231" s="1">
        <f ca="1">IFERROR(__xludf.DUMMYFUNCTION("""COMPUTED_VALUE"""),-8.76)</f>
        <v>-8.76</v>
      </c>
      <c r="G231" s="1">
        <f ca="1">IFERROR(__xludf.DUMMYFUNCTION("""COMPUTED_VALUE"""),-6.33)</f>
        <v>-6.33</v>
      </c>
      <c r="H231" s="1">
        <f ca="1">IFERROR(__xludf.DUMMYFUNCTION("""COMPUTED_VALUE"""),6)</f>
        <v>6</v>
      </c>
      <c r="I231" s="1">
        <f ca="1">IFERROR(__xludf.DUMMYFUNCTION("""COMPUTED_VALUE"""),4)</f>
        <v>4</v>
      </c>
      <c r="J231" s="1">
        <f ca="1">IFERROR(__xludf.DUMMYFUNCTION("""COMPUTED_VALUE"""),13)</f>
        <v>13</v>
      </c>
      <c r="K231" s="1">
        <f ca="1">IFERROR(__xludf.DUMMYFUNCTION("""COMPUTED_VALUE"""),1)</f>
        <v>1</v>
      </c>
      <c r="L231" s="1">
        <f ca="1">IFERROR(__xludf.DUMMYFUNCTION("""COMPUTED_VALUE"""),2)</f>
        <v>2</v>
      </c>
      <c r="M231" s="1">
        <f ca="1">IFERROR(__xludf.DUMMYFUNCTION("""COMPUTED_VALUE"""),14)</f>
        <v>14</v>
      </c>
      <c r="N231" s="1">
        <f ca="1">IFERROR(__xludf.DUMMYFUNCTION("""COMPUTED_VALUE"""),2153)</f>
        <v>2153</v>
      </c>
      <c r="O231" s="1">
        <f ca="1">IFERROR(__xludf.DUMMYFUNCTION("""COMPUTED_VALUE"""),2141)</f>
        <v>2141</v>
      </c>
      <c r="P231" s="1">
        <f ca="1">IFERROR(__xludf.DUMMYFUNCTION("""COMPUTED_VALUE"""),1285)</f>
        <v>1285</v>
      </c>
      <c r="Q231" s="1">
        <f ca="1">IFERROR(__xludf.DUMMYFUNCTION("""COMPUTED_VALUE"""),762)</f>
        <v>762</v>
      </c>
      <c r="R231" s="1">
        <f ca="1">IFERROR(__xludf.DUMMYFUNCTION("""COMPUTED_VALUE"""),1722)</f>
        <v>1722</v>
      </c>
      <c r="S231" s="1">
        <f ca="1">IFERROR(__xludf.DUMMYFUNCTION("""COMPUTED_VALUE"""),0.443)</f>
        <v>0.443</v>
      </c>
      <c r="T231" s="1">
        <f ca="1">IFERROR(__xludf.DUMMYFUNCTION("""COMPUTED_VALUE"""),201)</f>
        <v>201</v>
      </c>
      <c r="U231" s="1">
        <f ca="1">IFERROR(__xludf.DUMMYFUNCTION("""COMPUTED_VALUE"""),609)</f>
        <v>609</v>
      </c>
      <c r="V231" s="1">
        <f ca="1">IFERROR(__xludf.DUMMYFUNCTION("""COMPUTED_VALUE"""),0.33)</f>
        <v>0.33</v>
      </c>
      <c r="W231" s="1">
        <f ca="1">IFERROR(__xludf.DUMMYFUNCTION("""COMPUTED_VALUE"""),428)</f>
        <v>428</v>
      </c>
      <c r="X231" s="1">
        <f ca="1">IFERROR(__xludf.DUMMYFUNCTION("""COMPUTED_VALUE"""),679)</f>
        <v>679</v>
      </c>
      <c r="Y231" s="1">
        <f ca="1">IFERROR(__xludf.DUMMYFUNCTION("""COMPUTED_VALUE"""),0.63)</f>
        <v>0.63</v>
      </c>
      <c r="Z231" s="1">
        <f ca="1">IFERROR(__xludf.DUMMYFUNCTION("""COMPUTED_VALUE"""),317)</f>
        <v>317</v>
      </c>
      <c r="AA231" s="1">
        <f ca="1">IFERROR(__xludf.DUMMYFUNCTION("""COMPUTED_VALUE"""),1028)</f>
        <v>1028</v>
      </c>
      <c r="AB231" s="1">
        <f ca="1">IFERROR(__xludf.DUMMYFUNCTION("""COMPUTED_VALUE"""),401)</f>
        <v>401</v>
      </c>
      <c r="AC231" s="1">
        <f ca="1">IFERROR(__xludf.DUMMYFUNCTION("""COMPUTED_VALUE"""),207)</f>
        <v>207</v>
      </c>
      <c r="AD231" s="1">
        <f ca="1">IFERROR(__xludf.DUMMYFUNCTION("""COMPUTED_VALUE"""),139)</f>
        <v>139</v>
      </c>
      <c r="AE231" s="1">
        <f ca="1">IFERROR(__xludf.DUMMYFUNCTION("""COMPUTED_VALUE"""),465)</f>
        <v>465</v>
      </c>
      <c r="AF231" s="1">
        <f ca="1">IFERROR(__xludf.DUMMYFUNCTION("""COMPUTED_VALUE"""),562)</f>
        <v>562</v>
      </c>
    </row>
    <row r="232" spans="1:32" ht="12.5" x14ac:dyDescent="0.25">
      <c r="A232" s="1" t="str">
        <f ca="1">IFERROR(__xludf.DUMMYFUNCTION("""COMPUTED_VALUE"""),"North Florida")</f>
        <v>North Florida</v>
      </c>
      <c r="B232" s="1">
        <f ca="1">IFERROR(__xludf.DUMMYFUNCTION("""COMPUTED_VALUE"""),32)</f>
        <v>32</v>
      </c>
      <c r="C232" s="1">
        <f ca="1">IFERROR(__xludf.DUMMYFUNCTION("""COMPUTED_VALUE"""),16)</f>
        <v>16</v>
      </c>
      <c r="D232" s="1">
        <f ca="1">IFERROR(__xludf.DUMMYFUNCTION("""COMPUTED_VALUE"""),16)</f>
        <v>16</v>
      </c>
      <c r="E232" s="1">
        <f ca="1">IFERROR(__xludf.DUMMYFUNCTION("""COMPUTED_VALUE"""),0.5)</f>
        <v>0.5</v>
      </c>
      <c r="F232" s="1">
        <f ca="1">IFERROR(__xludf.DUMMYFUNCTION("""COMPUTED_VALUE"""),-3.44)</f>
        <v>-3.44</v>
      </c>
      <c r="G232" s="1">
        <f ca="1">IFERROR(__xludf.DUMMYFUNCTION("""COMPUTED_VALUE"""),-0.05)</f>
        <v>-0.05</v>
      </c>
      <c r="H232" s="1">
        <f ca="1">IFERROR(__xludf.DUMMYFUNCTION("""COMPUTED_VALUE"""),10)</f>
        <v>10</v>
      </c>
      <c r="I232" s="1">
        <f ca="1">IFERROR(__xludf.DUMMYFUNCTION("""COMPUTED_VALUE"""),8)</f>
        <v>8</v>
      </c>
      <c r="J232" s="1">
        <f ca="1">IFERROR(__xludf.DUMMYFUNCTION("""COMPUTED_VALUE"""),11)</f>
        <v>11</v>
      </c>
      <c r="K232" s="1">
        <f ca="1">IFERROR(__xludf.DUMMYFUNCTION("""COMPUTED_VALUE"""),3)</f>
        <v>3</v>
      </c>
      <c r="L232" s="1">
        <f ca="1">IFERROR(__xludf.DUMMYFUNCTION("""COMPUTED_VALUE"""),5)</f>
        <v>5</v>
      </c>
      <c r="M232" s="1">
        <f ca="1">IFERROR(__xludf.DUMMYFUNCTION("""COMPUTED_VALUE"""),12)</f>
        <v>12</v>
      </c>
      <c r="N232" s="1">
        <f ca="1">IFERROR(__xludf.DUMMYFUNCTION("""COMPUTED_VALUE"""),2168)</f>
        <v>2168</v>
      </c>
      <c r="O232" s="1">
        <f ca="1">IFERROR(__xludf.DUMMYFUNCTION("""COMPUTED_VALUE"""),2266)</f>
        <v>2266</v>
      </c>
      <c r="P232" s="1">
        <f ca="1">IFERROR(__xludf.DUMMYFUNCTION("""COMPUTED_VALUE"""),1300)</f>
        <v>1300</v>
      </c>
      <c r="Q232" s="1">
        <f ca="1">IFERROR(__xludf.DUMMYFUNCTION("""COMPUTED_VALUE"""),787)</f>
        <v>787</v>
      </c>
      <c r="R232" s="1">
        <f ca="1">IFERROR(__xludf.DUMMYFUNCTION("""COMPUTED_VALUE"""),1720)</f>
        <v>1720</v>
      </c>
      <c r="S232" s="1">
        <f ca="1">IFERROR(__xludf.DUMMYFUNCTION("""COMPUTED_VALUE"""),0.458)</f>
        <v>0.45800000000000002</v>
      </c>
      <c r="T232" s="1">
        <f ca="1">IFERROR(__xludf.DUMMYFUNCTION("""COMPUTED_VALUE"""),201)</f>
        <v>201</v>
      </c>
      <c r="U232" s="1">
        <f ca="1">IFERROR(__xludf.DUMMYFUNCTION("""COMPUTED_VALUE"""),561)</f>
        <v>561</v>
      </c>
      <c r="V232" s="1">
        <f ca="1">IFERROR(__xludf.DUMMYFUNCTION("""COMPUTED_VALUE"""),0.358)</f>
        <v>0.35799999999999998</v>
      </c>
      <c r="W232" s="1">
        <f ca="1">IFERROR(__xludf.DUMMYFUNCTION("""COMPUTED_VALUE"""),393)</f>
        <v>393</v>
      </c>
      <c r="X232" s="1">
        <f ca="1">IFERROR(__xludf.DUMMYFUNCTION("""COMPUTED_VALUE"""),645)</f>
        <v>645</v>
      </c>
      <c r="Y232" s="1">
        <f ca="1">IFERROR(__xludf.DUMMYFUNCTION("""COMPUTED_VALUE"""),0.609)</f>
        <v>0.60899999999999999</v>
      </c>
      <c r="Z232" s="1">
        <f ca="1">IFERROR(__xludf.DUMMYFUNCTION("""COMPUTED_VALUE"""),358)</f>
        <v>358</v>
      </c>
      <c r="AA232" s="1">
        <f ca="1">IFERROR(__xludf.DUMMYFUNCTION("""COMPUTED_VALUE"""),1016)</f>
        <v>1016</v>
      </c>
      <c r="AB232" s="1">
        <f ca="1">IFERROR(__xludf.DUMMYFUNCTION("""COMPUTED_VALUE"""),392)</f>
        <v>392</v>
      </c>
      <c r="AC232" s="1">
        <f ca="1">IFERROR(__xludf.DUMMYFUNCTION("""COMPUTED_VALUE"""),186)</f>
        <v>186</v>
      </c>
      <c r="AD232" s="1">
        <f ca="1">IFERROR(__xludf.DUMMYFUNCTION("""COMPUTED_VALUE"""),104)</f>
        <v>104</v>
      </c>
      <c r="AE232" s="1">
        <f ca="1">IFERROR(__xludf.DUMMYFUNCTION("""COMPUTED_VALUE"""),493)</f>
        <v>493</v>
      </c>
      <c r="AF232" s="1">
        <f ca="1">IFERROR(__xludf.DUMMYFUNCTION("""COMPUTED_VALUE"""),590)</f>
        <v>590</v>
      </c>
    </row>
    <row r="233" spans="1:32" ht="12.5" x14ac:dyDescent="0.25">
      <c r="A233" s="1" t="str">
        <f ca="1">IFERROR(__xludf.DUMMYFUNCTION("""COMPUTED_VALUE"""),"North Texas")</f>
        <v>North Texas</v>
      </c>
      <c r="B233" s="1">
        <f ca="1">IFERROR(__xludf.DUMMYFUNCTION("""COMPUTED_VALUE"""),32)</f>
        <v>32</v>
      </c>
      <c r="C233" s="1">
        <f ca="1">IFERROR(__xludf.DUMMYFUNCTION("""COMPUTED_VALUE"""),18)</f>
        <v>18</v>
      </c>
      <c r="D233" s="1">
        <f ca="1">IFERROR(__xludf.DUMMYFUNCTION("""COMPUTED_VALUE"""),14)</f>
        <v>14</v>
      </c>
      <c r="E233" s="1">
        <f ca="1">IFERROR(__xludf.DUMMYFUNCTION("""COMPUTED_VALUE"""),0.563)</f>
        <v>0.56299999999999994</v>
      </c>
      <c r="F233" s="1">
        <f ca="1">IFERROR(__xludf.DUMMYFUNCTION("""COMPUTED_VALUE"""),-0.39)</f>
        <v>-0.39</v>
      </c>
      <c r="G233" s="1">
        <f ca="1">IFERROR(__xludf.DUMMYFUNCTION("""COMPUTED_VALUE"""),-2.56)</f>
        <v>-2.56</v>
      </c>
      <c r="H233" s="1">
        <f ca="1">IFERROR(__xludf.DUMMYFUNCTION("""COMPUTED_VALUE"""),9)</f>
        <v>9</v>
      </c>
      <c r="I233" s="1">
        <f ca="1">IFERROR(__xludf.DUMMYFUNCTION("""COMPUTED_VALUE"""),7)</f>
        <v>7</v>
      </c>
      <c r="J233" s="1">
        <f ca="1">IFERROR(__xludf.DUMMYFUNCTION("""COMPUTED_VALUE"""),10)</f>
        <v>10</v>
      </c>
      <c r="K233" s="1">
        <f ca="1">IFERROR(__xludf.DUMMYFUNCTION("""COMPUTED_VALUE"""),4)</f>
        <v>4</v>
      </c>
      <c r="L233" s="1">
        <f ca="1">IFERROR(__xludf.DUMMYFUNCTION("""COMPUTED_VALUE"""),5)</f>
        <v>5</v>
      </c>
      <c r="M233" s="1">
        <f ca="1">IFERROR(__xludf.DUMMYFUNCTION("""COMPUTED_VALUE"""),8)</f>
        <v>8</v>
      </c>
      <c r="N233" s="1">
        <f ca="1">IFERROR(__xludf.DUMMYFUNCTION("""COMPUTED_VALUE"""),2250)</f>
        <v>2250</v>
      </c>
      <c r="O233" s="1">
        <f ca="1">IFERROR(__xludf.DUMMYFUNCTION("""COMPUTED_VALUE"""),2080)</f>
        <v>2080</v>
      </c>
      <c r="P233" s="1">
        <f ca="1">IFERROR(__xludf.DUMMYFUNCTION("""COMPUTED_VALUE"""),1305)</f>
        <v>1305</v>
      </c>
      <c r="Q233" s="1">
        <f ca="1">IFERROR(__xludf.DUMMYFUNCTION("""COMPUTED_VALUE"""),818)</f>
        <v>818</v>
      </c>
      <c r="R233" s="1">
        <f ca="1">IFERROR(__xludf.DUMMYFUNCTION("""COMPUTED_VALUE"""),1885)</f>
        <v>1885</v>
      </c>
      <c r="S233" s="1">
        <f ca="1">IFERROR(__xludf.DUMMYFUNCTION("""COMPUTED_VALUE"""),0.434)</f>
        <v>0.434</v>
      </c>
      <c r="T233" s="1">
        <f ca="1">IFERROR(__xludf.DUMMYFUNCTION("""COMPUTED_VALUE"""),159)</f>
        <v>159</v>
      </c>
      <c r="U233" s="1">
        <f ca="1">IFERROR(__xludf.DUMMYFUNCTION("""COMPUTED_VALUE"""),495)</f>
        <v>495</v>
      </c>
      <c r="V233" s="1">
        <f ca="1">IFERROR(__xludf.DUMMYFUNCTION("""COMPUTED_VALUE"""),0.321)</f>
        <v>0.32100000000000001</v>
      </c>
      <c r="W233" s="1">
        <f ca="1">IFERROR(__xludf.DUMMYFUNCTION("""COMPUTED_VALUE"""),455)</f>
        <v>455</v>
      </c>
      <c r="X233" s="1">
        <f ca="1">IFERROR(__xludf.DUMMYFUNCTION("""COMPUTED_VALUE"""),639)</f>
        <v>639</v>
      </c>
      <c r="Y233" s="1">
        <f ca="1">IFERROR(__xludf.DUMMYFUNCTION("""COMPUTED_VALUE"""),0.712)</f>
        <v>0.71199999999999997</v>
      </c>
      <c r="Z233" s="1">
        <f ca="1">IFERROR(__xludf.DUMMYFUNCTION("""COMPUTED_VALUE"""),401)</f>
        <v>401</v>
      </c>
      <c r="AA233" s="1">
        <f ca="1">IFERROR(__xludf.DUMMYFUNCTION("""COMPUTED_VALUE"""),1151)</f>
        <v>1151</v>
      </c>
      <c r="AB233" s="1">
        <f ca="1">IFERROR(__xludf.DUMMYFUNCTION("""COMPUTED_VALUE"""),385)</f>
        <v>385</v>
      </c>
      <c r="AC233" s="1">
        <f ca="1">IFERROR(__xludf.DUMMYFUNCTION("""COMPUTED_VALUE"""),200)</f>
        <v>200</v>
      </c>
      <c r="AD233" s="1">
        <f ca="1">IFERROR(__xludf.DUMMYFUNCTION("""COMPUTED_VALUE"""),130)</f>
        <v>130</v>
      </c>
      <c r="AE233" s="1">
        <f ca="1">IFERROR(__xludf.DUMMYFUNCTION("""COMPUTED_VALUE"""),464)</f>
        <v>464</v>
      </c>
      <c r="AF233" s="1">
        <f ca="1">IFERROR(__xludf.DUMMYFUNCTION("""COMPUTED_VALUE"""),561)</f>
        <v>561</v>
      </c>
    </row>
    <row r="234" spans="1:32" ht="12.5" x14ac:dyDescent="0.25">
      <c r="A234" s="1" t="str">
        <f ca="1">IFERROR(__xludf.DUMMYFUNCTION("""COMPUTED_VALUE"""),"Northeastern")</f>
        <v>Northeastern</v>
      </c>
      <c r="B234" s="1">
        <f ca="1">IFERROR(__xludf.DUMMYFUNCTION("""COMPUTED_VALUE"""),31)</f>
        <v>31</v>
      </c>
      <c r="C234" s="1">
        <f ca="1">IFERROR(__xludf.DUMMYFUNCTION("""COMPUTED_VALUE"""),14)</f>
        <v>14</v>
      </c>
      <c r="D234" s="1">
        <f ca="1">IFERROR(__xludf.DUMMYFUNCTION("""COMPUTED_VALUE"""),17)</f>
        <v>17</v>
      </c>
      <c r="E234" s="1">
        <f ca="1">IFERROR(__xludf.DUMMYFUNCTION("""COMPUTED_VALUE"""),0.452)</f>
        <v>0.45200000000000001</v>
      </c>
      <c r="F234" s="1">
        <f ca="1">IFERROR(__xludf.DUMMYFUNCTION("""COMPUTED_VALUE"""),-3.27)</f>
        <v>-3.27</v>
      </c>
      <c r="G234" s="1">
        <f ca="1">IFERROR(__xludf.DUMMYFUNCTION("""COMPUTED_VALUE"""),-0.4)</f>
        <v>-0.4</v>
      </c>
      <c r="H234" s="1">
        <f ca="1">IFERROR(__xludf.DUMMYFUNCTION("""COMPUTED_VALUE"""),9)</f>
        <v>9</v>
      </c>
      <c r="I234" s="1">
        <f ca="1">IFERROR(__xludf.DUMMYFUNCTION("""COMPUTED_VALUE"""),9)</f>
        <v>9</v>
      </c>
      <c r="J234" s="1">
        <f ca="1">IFERROR(__xludf.DUMMYFUNCTION("""COMPUTED_VALUE"""),7)</f>
        <v>7</v>
      </c>
      <c r="K234" s="1">
        <f ca="1">IFERROR(__xludf.DUMMYFUNCTION("""COMPUTED_VALUE"""),5)</f>
        <v>5</v>
      </c>
      <c r="L234" s="1">
        <f ca="1">IFERROR(__xludf.DUMMYFUNCTION("""COMPUTED_VALUE"""),6)</f>
        <v>6</v>
      </c>
      <c r="M234" s="1">
        <f ca="1">IFERROR(__xludf.DUMMYFUNCTION("""COMPUTED_VALUE"""),11)</f>
        <v>11</v>
      </c>
      <c r="N234" s="1">
        <f ca="1">IFERROR(__xludf.DUMMYFUNCTION("""COMPUTED_VALUE"""),1941)</f>
        <v>1941</v>
      </c>
      <c r="O234" s="1">
        <f ca="1">IFERROR(__xludf.DUMMYFUNCTION("""COMPUTED_VALUE"""),2030)</f>
        <v>2030</v>
      </c>
      <c r="P234" s="1">
        <f ca="1">IFERROR(__xludf.DUMMYFUNCTION("""COMPUTED_VALUE"""),1250)</f>
        <v>1250</v>
      </c>
      <c r="Q234" s="1">
        <f ca="1">IFERROR(__xludf.DUMMYFUNCTION("""COMPUTED_VALUE"""),676)</f>
        <v>676</v>
      </c>
      <c r="R234" s="1">
        <f ca="1">IFERROR(__xludf.DUMMYFUNCTION("""COMPUTED_VALUE"""),1579)</f>
        <v>1579</v>
      </c>
      <c r="S234" s="1">
        <f ca="1">IFERROR(__xludf.DUMMYFUNCTION("""COMPUTED_VALUE"""),0.428)</f>
        <v>0.42799999999999999</v>
      </c>
      <c r="T234" s="1">
        <f ca="1">IFERROR(__xludf.DUMMYFUNCTION("""COMPUTED_VALUE"""),169)</f>
        <v>169</v>
      </c>
      <c r="U234" s="1">
        <f ca="1">IFERROR(__xludf.DUMMYFUNCTION("""COMPUTED_VALUE"""),485)</f>
        <v>485</v>
      </c>
      <c r="V234" s="1">
        <f ca="1">IFERROR(__xludf.DUMMYFUNCTION("""COMPUTED_VALUE"""),0.348)</f>
        <v>0.34799999999999998</v>
      </c>
      <c r="W234" s="1">
        <f ca="1">IFERROR(__xludf.DUMMYFUNCTION("""COMPUTED_VALUE"""),420)</f>
        <v>420</v>
      </c>
      <c r="X234" s="1">
        <f ca="1">IFERROR(__xludf.DUMMYFUNCTION("""COMPUTED_VALUE"""),598)</f>
        <v>598</v>
      </c>
      <c r="Y234" s="1">
        <f ca="1">IFERROR(__xludf.DUMMYFUNCTION("""COMPUTED_VALUE"""),0.702)</f>
        <v>0.70199999999999996</v>
      </c>
      <c r="Z234" s="1">
        <f ca="1">IFERROR(__xludf.DUMMYFUNCTION("""COMPUTED_VALUE"""),343)</f>
        <v>343</v>
      </c>
      <c r="AA234" s="1">
        <f ca="1">IFERROR(__xludf.DUMMYFUNCTION("""COMPUTED_VALUE"""),900)</f>
        <v>900</v>
      </c>
      <c r="AB234" s="1">
        <f ca="1">IFERROR(__xludf.DUMMYFUNCTION("""COMPUTED_VALUE"""),369)</f>
        <v>369</v>
      </c>
      <c r="AC234" s="1">
        <f ca="1">IFERROR(__xludf.DUMMYFUNCTION("""COMPUTED_VALUE"""),246)</f>
        <v>246</v>
      </c>
      <c r="AD234" s="1">
        <f ca="1">IFERROR(__xludf.DUMMYFUNCTION("""COMPUTED_VALUE"""),119)</f>
        <v>119</v>
      </c>
      <c r="AE234" s="1">
        <f ca="1">IFERROR(__xludf.DUMMYFUNCTION("""COMPUTED_VALUE"""),484)</f>
        <v>484</v>
      </c>
      <c r="AF234" s="1">
        <f ca="1">IFERROR(__xludf.DUMMYFUNCTION("""COMPUTED_VALUE"""),578)</f>
        <v>578</v>
      </c>
    </row>
    <row r="235" spans="1:32" ht="12.5" x14ac:dyDescent="0.25">
      <c r="A235" s="1" t="str">
        <f ca="1">IFERROR(__xludf.DUMMYFUNCTION("""COMPUTED_VALUE"""),"Northern Arizona")</f>
        <v>Northern Arizona</v>
      </c>
      <c r="B235" s="1">
        <f ca="1">IFERROR(__xludf.DUMMYFUNCTION("""COMPUTED_VALUE"""),29)</f>
        <v>29</v>
      </c>
      <c r="C235" s="1">
        <f ca="1">IFERROR(__xludf.DUMMYFUNCTION("""COMPUTED_VALUE"""),5)</f>
        <v>5</v>
      </c>
      <c r="D235" s="1">
        <f ca="1">IFERROR(__xludf.DUMMYFUNCTION("""COMPUTED_VALUE"""),24)</f>
        <v>24</v>
      </c>
      <c r="E235" s="1">
        <f ca="1">IFERROR(__xludf.DUMMYFUNCTION("""COMPUTED_VALUE"""),0.172)</f>
        <v>0.17199999999999999</v>
      </c>
      <c r="F235" s="1">
        <f ca="1">IFERROR(__xludf.DUMMYFUNCTION("""COMPUTED_VALUE"""),-16.72)</f>
        <v>-16.72</v>
      </c>
      <c r="G235" s="1">
        <f ca="1">IFERROR(__xludf.DUMMYFUNCTION("""COMPUTED_VALUE"""),-3.53)</f>
        <v>-3.53</v>
      </c>
      <c r="H235" s="1">
        <f ca="1">IFERROR(__xludf.DUMMYFUNCTION("""COMPUTED_VALUE"""),1)</f>
        <v>1</v>
      </c>
      <c r="I235" s="1">
        <f ca="1">IFERROR(__xludf.DUMMYFUNCTION("""COMPUTED_VALUE"""),15)</f>
        <v>15</v>
      </c>
      <c r="J235" s="1">
        <f ca="1">IFERROR(__xludf.DUMMYFUNCTION("""COMPUTED_VALUE"""),4)</f>
        <v>4</v>
      </c>
      <c r="K235" s="1">
        <f ca="1">IFERROR(__xludf.DUMMYFUNCTION("""COMPUTED_VALUE"""),9)</f>
        <v>9</v>
      </c>
      <c r="L235" s="1">
        <f ca="1">IFERROR(__xludf.DUMMYFUNCTION("""COMPUTED_VALUE"""),1)</f>
        <v>1</v>
      </c>
      <c r="M235" s="1">
        <f ca="1">IFERROR(__xludf.DUMMYFUNCTION("""COMPUTED_VALUE"""),12)</f>
        <v>12</v>
      </c>
      <c r="N235" s="1">
        <f ca="1">IFERROR(__xludf.DUMMYFUNCTION("""COMPUTED_VALUE"""),1804)</f>
        <v>1804</v>
      </c>
      <c r="O235" s="1">
        <f ca="1">IFERROR(__xludf.DUMMYFUNCTION("""COMPUTED_VALUE"""),2068)</f>
        <v>2068</v>
      </c>
      <c r="P235" s="1">
        <f ca="1">IFERROR(__xludf.DUMMYFUNCTION("""COMPUTED_VALUE"""),1165)</f>
        <v>1165</v>
      </c>
      <c r="Q235" s="1">
        <f ca="1">IFERROR(__xludf.DUMMYFUNCTION("""COMPUTED_VALUE"""),661)</f>
        <v>661</v>
      </c>
      <c r="R235" s="1">
        <f ca="1">IFERROR(__xludf.DUMMYFUNCTION("""COMPUTED_VALUE"""),1620)</f>
        <v>1620</v>
      </c>
      <c r="S235" s="1">
        <f ca="1">IFERROR(__xludf.DUMMYFUNCTION("""COMPUTED_VALUE"""),0.408)</f>
        <v>0.40799999999999997</v>
      </c>
      <c r="T235" s="1">
        <f ca="1">IFERROR(__xludf.DUMMYFUNCTION("""COMPUTED_VALUE"""),157)</f>
        <v>157</v>
      </c>
      <c r="U235" s="1">
        <f ca="1">IFERROR(__xludf.DUMMYFUNCTION("""COMPUTED_VALUE"""),481)</f>
        <v>481</v>
      </c>
      <c r="V235" s="1">
        <f ca="1">IFERROR(__xludf.DUMMYFUNCTION("""COMPUTED_VALUE"""),0.326)</f>
        <v>0.32600000000000001</v>
      </c>
      <c r="W235" s="1">
        <f ca="1">IFERROR(__xludf.DUMMYFUNCTION("""COMPUTED_VALUE"""),325)</f>
        <v>325</v>
      </c>
      <c r="X235" s="1">
        <f ca="1">IFERROR(__xludf.DUMMYFUNCTION("""COMPUTED_VALUE"""),469)</f>
        <v>469</v>
      </c>
      <c r="Y235" s="1">
        <f ca="1">IFERROR(__xludf.DUMMYFUNCTION("""COMPUTED_VALUE"""),0.693)</f>
        <v>0.69299999999999995</v>
      </c>
      <c r="Z235" s="1">
        <f ca="1">IFERROR(__xludf.DUMMYFUNCTION("""COMPUTED_VALUE"""),338)</f>
        <v>338</v>
      </c>
      <c r="AA235" s="1">
        <f ca="1">IFERROR(__xludf.DUMMYFUNCTION("""COMPUTED_VALUE"""),847)</f>
        <v>847</v>
      </c>
      <c r="AB235" s="1">
        <f ca="1">IFERROR(__xludf.DUMMYFUNCTION("""COMPUTED_VALUE"""),407)</f>
        <v>407</v>
      </c>
      <c r="AC235" s="1">
        <f ca="1">IFERROR(__xludf.DUMMYFUNCTION("""COMPUTED_VALUE"""),190)</f>
        <v>190</v>
      </c>
      <c r="AD235" s="1">
        <f ca="1">IFERROR(__xludf.DUMMYFUNCTION("""COMPUTED_VALUE"""),62)</f>
        <v>62</v>
      </c>
      <c r="AE235" s="1">
        <f ca="1">IFERROR(__xludf.DUMMYFUNCTION("""COMPUTED_VALUE"""),430)</f>
        <v>430</v>
      </c>
      <c r="AF235" s="1">
        <f ca="1">IFERROR(__xludf.DUMMYFUNCTION("""COMPUTED_VALUE"""),467)</f>
        <v>467</v>
      </c>
    </row>
    <row r="236" spans="1:32" ht="12.5" x14ac:dyDescent="0.25">
      <c r="A236" s="1" t="str">
        <f ca="1">IFERROR(__xludf.DUMMYFUNCTION("""COMPUTED_VALUE"""),"Northern Colorado")</f>
        <v>Northern Colorado</v>
      </c>
      <c r="B236" s="1">
        <f ca="1">IFERROR(__xludf.DUMMYFUNCTION("""COMPUTED_VALUE"""),28)</f>
        <v>28</v>
      </c>
      <c r="C236" s="1">
        <f ca="1">IFERROR(__xludf.DUMMYFUNCTION("""COMPUTED_VALUE"""),9)</f>
        <v>9</v>
      </c>
      <c r="D236" s="1">
        <f ca="1">IFERROR(__xludf.DUMMYFUNCTION("""COMPUTED_VALUE"""),19)</f>
        <v>19</v>
      </c>
      <c r="E236" s="1">
        <f ca="1">IFERROR(__xludf.DUMMYFUNCTION("""COMPUTED_VALUE"""),0.321)</f>
        <v>0.32100000000000001</v>
      </c>
      <c r="F236" s="1">
        <f ca="1">IFERROR(__xludf.DUMMYFUNCTION("""COMPUTED_VALUE"""),-6.23)</f>
        <v>-6.23</v>
      </c>
      <c r="G236" s="1">
        <f ca="1">IFERROR(__xludf.DUMMYFUNCTION("""COMPUTED_VALUE"""),-2.19)</f>
        <v>-2.19</v>
      </c>
      <c r="H236" s="1">
        <f ca="1">IFERROR(__xludf.DUMMYFUNCTION("""COMPUTED_VALUE"""),5)</f>
        <v>5</v>
      </c>
      <c r="I236" s="1">
        <f ca="1">IFERROR(__xludf.DUMMYFUNCTION("""COMPUTED_VALUE"""),11)</f>
        <v>11</v>
      </c>
      <c r="J236" s="1">
        <f ca="1">IFERROR(__xludf.DUMMYFUNCTION("""COMPUTED_VALUE"""),5)</f>
        <v>5</v>
      </c>
      <c r="K236" s="1">
        <f ca="1">IFERROR(__xludf.DUMMYFUNCTION("""COMPUTED_VALUE"""),9)</f>
        <v>9</v>
      </c>
      <c r="L236" s="1">
        <f ca="1">IFERROR(__xludf.DUMMYFUNCTION("""COMPUTED_VALUE"""),2)</f>
        <v>2</v>
      </c>
      <c r="M236" s="1">
        <f ca="1">IFERROR(__xludf.DUMMYFUNCTION("""COMPUTED_VALUE"""),10)</f>
        <v>10</v>
      </c>
      <c r="N236" s="1">
        <f ca="1">IFERROR(__xludf.DUMMYFUNCTION("""COMPUTED_VALUE"""),2026)</f>
        <v>2026</v>
      </c>
      <c r="O236" s="1">
        <f ca="1">IFERROR(__xludf.DUMMYFUNCTION("""COMPUTED_VALUE"""),2112)</f>
        <v>2112</v>
      </c>
      <c r="P236" s="1">
        <f ca="1">IFERROR(__xludf.DUMMYFUNCTION("""COMPUTED_VALUE"""),1141)</f>
        <v>1141</v>
      </c>
      <c r="Q236" s="1">
        <f ca="1">IFERROR(__xludf.DUMMYFUNCTION("""COMPUTED_VALUE"""),699)</f>
        <v>699</v>
      </c>
      <c r="R236" s="1">
        <f ca="1">IFERROR(__xludf.DUMMYFUNCTION("""COMPUTED_VALUE"""),1454)</f>
        <v>1454</v>
      </c>
      <c r="S236" s="1">
        <f ca="1">IFERROR(__xludf.DUMMYFUNCTION("""COMPUTED_VALUE"""),0.481)</f>
        <v>0.48099999999999998</v>
      </c>
      <c r="T236" s="1">
        <f ca="1">IFERROR(__xludf.DUMMYFUNCTION("""COMPUTED_VALUE"""),199)</f>
        <v>199</v>
      </c>
      <c r="U236" s="1">
        <f ca="1">IFERROR(__xludf.DUMMYFUNCTION("""COMPUTED_VALUE"""),448)</f>
        <v>448</v>
      </c>
      <c r="V236" s="1">
        <f ca="1">IFERROR(__xludf.DUMMYFUNCTION("""COMPUTED_VALUE"""),0.444)</f>
        <v>0.44400000000000001</v>
      </c>
      <c r="W236" s="1">
        <f ca="1">IFERROR(__xludf.DUMMYFUNCTION("""COMPUTED_VALUE"""),429)</f>
        <v>429</v>
      </c>
      <c r="X236" s="1">
        <f ca="1">IFERROR(__xludf.DUMMYFUNCTION("""COMPUTED_VALUE"""),614)</f>
        <v>614</v>
      </c>
      <c r="Y236" s="1">
        <f ca="1">IFERROR(__xludf.DUMMYFUNCTION("""COMPUTED_VALUE"""),0.699)</f>
        <v>0.69899999999999995</v>
      </c>
      <c r="Z236" s="1">
        <f ca="1">IFERROR(__xludf.DUMMYFUNCTION("""COMPUTED_VALUE"""),292)</f>
        <v>292</v>
      </c>
      <c r="AA236" s="1">
        <f ca="1">IFERROR(__xludf.DUMMYFUNCTION("""COMPUTED_VALUE"""),852)</f>
        <v>852</v>
      </c>
      <c r="AB236" s="1">
        <f ca="1">IFERROR(__xludf.DUMMYFUNCTION("""COMPUTED_VALUE"""),349)</f>
        <v>349</v>
      </c>
      <c r="AC236" s="1">
        <f ca="1">IFERROR(__xludf.DUMMYFUNCTION("""COMPUTED_VALUE"""),155)</f>
        <v>155</v>
      </c>
      <c r="AD236" s="1">
        <f ca="1">IFERROR(__xludf.DUMMYFUNCTION("""COMPUTED_VALUE"""),66)</f>
        <v>66</v>
      </c>
      <c r="AE236" s="1">
        <f ca="1">IFERROR(__xludf.DUMMYFUNCTION("""COMPUTED_VALUE"""),456)</f>
        <v>456</v>
      </c>
      <c r="AF236" s="1">
        <f ca="1">IFERROR(__xludf.DUMMYFUNCTION("""COMPUTED_VALUE"""),556)</f>
        <v>556</v>
      </c>
    </row>
    <row r="237" spans="1:32" ht="12.5" x14ac:dyDescent="0.25">
      <c r="A237" s="1" t="str">
        <f ca="1">IFERROR(__xludf.DUMMYFUNCTION("""COMPUTED_VALUE"""),"Northern Illinois")</f>
        <v>Northern Illinois</v>
      </c>
      <c r="B237" s="1">
        <f ca="1">IFERROR(__xludf.DUMMYFUNCTION("""COMPUTED_VALUE"""),31)</f>
        <v>31</v>
      </c>
      <c r="C237" s="1">
        <f ca="1">IFERROR(__xludf.DUMMYFUNCTION("""COMPUTED_VALUE"""),5)</f>
        <v>5</v>
      </c>
      <c r="D237" s="1">
        <f ca="1">IFERROR(__xludf.DUMMYFUNCTION("""COMPUTED_VALUE"""),26)</f>
        <v>26</v>
      </c>
      <c r="E237" s="1">
        <f ca="1">IFERROR(__xludf.DUMMYFUNCTION("""COMPUTED_VALUE"""),0.161)</f>
        <v>0.161</v>
      </c>
      <c r="F237" s="1">
        <f ca="1">IFERROR(__xludf.DUMMYFUNCTION("""COMPUTED_VALUE"""),-15.62)</f>
        <v>-15.62</v>
      </c>
      <c r="G237" s="1">
        <f ca="1">IFERROR(__xludf.DUMMYFUNCTION("""COMPUTED_VALUE"""),-1.79)</f>
        <v>-1.79</v>
      </c>
      <c r="H237" s="1">
        <f ca="1">IFERROR(__xludf.DUMMYFUNCTION("""COMPUTED_VALUE"""),3)</f>
        <v>3</v>
      </c>
      <c r="I237" s="1">
        <f ca="1">IFERROR(__xludf.DUMMYFUNCTION("""COMPUTED_VALUE"""),13)</f>
        <v>13</v>
      </c>
      <c r="J237" s="1">
        <f ca="1">IFERROR(__xludf.DUMMYFUNCTION("""COMPUTED_VALUE"""),4)</f>
        <v>4</v>
      </c>
      <c r="K237" s="1">
        <f ca="1">IFERROR(__xludf.DUMMYFUNCTION("""COMPUTED_VALUE"""),11)</f>
        <v>11</v>
      </c>
      <c r="L237" s="1">
        <f ca="1">IFERROR(__xludf.DUMMYFUNCTION("""COMPUTED_VALUE"""),1)</f>
        <v>1</v>
      </c>
      <c r="M237" s="1">
        <f ca="1">IFERROR(__xludf.DUMMYFUNCTION("""COMPUTED_VALUE"""),14)</f>
        <v>14</v>
      </c>
      <c r="N237" s="1">
        <f ca="1">IFERROR(__xludf.DUMMYFUNCTION("""COMPUTED_VALUE"""),1716)</f>
        <v>1716</v>
      </c>
      <c r="O237" s="1">
        <f ca="1">IFERROR(__xludf.DUMMYFUNCTION("""COMPUTED_VALUE"""),2096)</f>
        <v>2096</v>
      </c>
      <c r="P237" s="1">
        <f ca="1">IFERROR(__xludf.DUMMYFUNCTION("""COMPUTED_VALUE"""),1240)</f>
        <v>1240</v>
      </c>
      <c r="Q237" s="1">
        <f ca="1">IFERROR(__xludf.DUMMYFUNCTION("""COMPUTED_VALUE"""),594)</f>
        <v>594</v>
      </c>
      <c r="R237" s="1">
        <f ca="1">IFERROR(__xludf.DUMMYFUNCTION("""COMPUTED_VALUE"""),1602)</f>
        <v>1602</v>
      </c>
      <c r="S237" s="1">
        <f ca="1">IFERROR(__xludf.DUMMYFUNCTION("""COMPUTED_VALUE"""),0.371)</f>
        <v>0.371</v>
      </c>
      <c r="T237" s="1">
        <f ca="1">IFERROR(__xludf.DUMMYFUNCTION("""COMPUTED_VALUE"""),185)</f>
        <v>185</v>
      </c>
      <c r="U237" s="1">
        <f ca="1">IFERROR(__xludf.DUMMYFUNCTION("""COMPUTED_VALUE"""),584)</f>
        <v>584</v>
      </c>
      <c r="V237" s="1">
        <f ca="1">IFERROR(__xludf.DUMMYFUNCTION("""COMPUTED_VALUE"""),0.317)</f>
        <v>0.317</v>
      </c>
      <c r="W237" s="1">
        <f ca="1">IFERROR(__xludf.DUMMYFUNCTION("""COMPUTED_VALUE"""),343)</f>
        <v>343</v>
      </c>
      <c r="X237" s="1">
        <f ca="1">IFERROR(__xludf.DUMMYFUNCTION("""COMPUTED_VALUE"""),511)</f>
        <v>511</v>
      </c>
      <c r="Y237" s="1">
        <f ca="1">IFERROR(__xludf.DUMMYFUNCTION("""COMPUTED_VALUE"""),0.671)</f>
        <v>0.67100000000000004</v>
      </c>
      <c r="Z237" s="1">
        <f ca="1">IFERROR(__xludf.DUMMYFUNCTION("""COMPUTED_VALUE"""),387)</f>
        <v>387</v>
      </c>
      <c r="AA237" s="1">
        <f ca="1">IFERROR(__xludf.DUMMYFUNCTION("""COMPUTED_VALUE"""),970)</f>
        <v>970</v>
      </c>
      <c r="AB237" s="1">
        <f ca="1">IFERROR(__xludf.DUMMYFUNCTION("""COMPUTED_VALUE"""),304)</f>
        <v>304</v>
      </c>
      <c r="AC237" s="1">
        <f ca="1">IFERROR(__xludf.DUMMYFUNCTION("""COMPUTED_VALUE"""),156)</f>
        <v>156</v>
      </c>
      <c r="AD237" s="1">
        <f ca="1">IFERROR(__xludf.DUMMYFUNCTION("""COMPUTED_VALUE"""),73)</f>
        <v>73</v>
      </c>
      <c r="AE237" s="1">
        <f ca="1">IFERROR(__xludf.DUMMYFUNCTION("""COMPUTED_VALUE"""),497)</f>
        <v>497</v>
      </c>
      <c r="AF237" s="1">
        <f ca="1">IFERROR(__xludf.DUMMYFUNCTION("""COMPUTED_VALUE"""),623)</f>
        <v>623</v>
      </c>
    </row>
    <row r="238" spans="1:32" ht="12.5" x14ac:dyDescent="0.25">
      <c r="A238" s="1" t="str">
        <f ca="1">IFERROR(__xludf.DUMMYFUNCTION("""COMPUTED_VALUE"""),"Northern Iowa")</f>
        <v>Northern Iowa</v>
      </c>
      <c r="B238" s="1">
        <f ca="1">IFERROR(__xludf.DUMMYFUNCTION("""COMPUTED_VALUE"""),34)</f>
        <v>34</v>
      </c>
      <c r="C238" s="1">
        <f ca="1">IFERROR(__xludf.DUMMYFUNCTION("""COMPUTED_VALUE"""),20)</f>
        <v>20</v>
      </c>
      <c r="D238" s="1">
        <f ca="1">IFERROR(__xludf.DUMMYFUNCTION("""COMPUTED_VALUE"""),14)</f>
        <v>14</v>
      </c>
      <c r="E238" s="1">
        <f ca="1">IFERROR(__xludf.DUMMYFUNCTION("""COMPUTED_VALUE"""),0.588)</f>
        <v>0.58799999999999997</v>
      </c>
      <c r="F238" s="1">
        <f ca="1">IFERROR(__xludf.DUMMYFUNCTION("""COMPUTED_VALUE"""),6.99)</f>
        <v>6.99</v>
      </c>
      <c r="G238" s="1">
        <f ca="1">IFERROR(__xludf.DUMMYFUNCTION("""COMPUTED_VALUE"""),4.74)</f>
        <v>4.74</v>
      </c>
      <c r="H238" s="1">
        <f ca="1">IFERROR(__xludf.DUMMYFUNCTION("""COMPUTED_VALUE"""),9)</f>
        <v>9</v>
      </c>
      <c r="I238" s="1">
        <f ca="1">IFERROR(__xludf.DUMMYFUNCTION("""COMPUTED_VALUE"""),9)</f>
        <v>9</v>
      </c>
      <c r="J238" s="1">
        <f ca="1">IFERROR(__xludf.DUMMYFUNCTION("""COMPUTED_VALUE"""),13)</f>
        <v>13</v>
      </c>
      <c r="K238" s="1">
        <f ca="1">IFERROR(__xludf.DUMMYFUNCTION("""COMPUTED_VALUE"""),3)</f>
        <v>3</v>
      </c>
      <c r="L238" s="1">
        <f ca="1">IFERROR(__xludf.DUMMYFUNCTION("""COMPUTED_VALUE"""),5)</f>
        <v>5</v>
      </c>
      <c r="M238" s="1">
        <f ca="1">IFERROR(__xludf.DUMMYFUNCTION("""COMPUTED_VALUE"""),10)</f>
        <v>10</v>
      </c>
      <c r="N238" s="1">
        <f ca="1">IFERROR(__xludf.DUMMYFUNCTION("""COMPUTED_VALUE"""),2216)</f>
        <v>2216</v>
      </c>
      <c r="O238" s="1">
        <f ca="1">IFERROR(__xludf.DUMMYFUNCTION("""COMPUTED_VALUE"""),2106)</f>
        <v>2106</v>
      </c>
      <c r="P238" s="1">
        <f ca="1">IFERROR(__xludf.DUMMYFUNCTION("""COMPUTED_VALUE"""),1360)</f>
        <v>1360</v>
      </c>
      <c r="Q238" s="1">
        <f ca="1">IFERROR(__xludf.DUMMYFUNCTION("""COMPUTED_VALUE"""),754)</f>
        <v>754</v>
      </c>
      <c r="R238" s="1">
        <f ca="1">IFERROR(__xludf.DUMMYFUNCTION("""COMPUTED_VALUE"""),1752)</f>
        <v>1752</v>
      </c>
      <c r="S238" s="1">
        <f ca="1">IFERROR(__xludf.DUMMYFUNCTION("""COMPUTED_VALUE"""),0.43)</f>
        <v>0.43</v>
      </c>
      <c r="T238" s="1">
        <f ca="1">IFERROR(__xludf.DUMMYFUNCTION("""COMPUTED_VALUE"""),267)</f>
        <v>267</v>
      </c>
      <c r="U238" s="1">
        <f ca="1">IFERROR(__xludf.DUMMYFUNCTION("""COMPUTED_VALUE"""),691)</f>
        <v>691</v>
      </c>
      <c r="V238" s="1">
        <f ca="1">IFERROR(__xludf.DUMMYFUNCTION("""COMPUTED_VALUE"""),0.386)</f>
        <v>0.38600000000000001</v>
      </c>
      <c r="W238" s="1">
        <f ca="1">IFERROR(__xludf.DUMMYFUNCTION("""COMPUTED_VALUE"""),441)</f>
        <v>441</v>
      </c>
      <c r="X238" s="1">
        <f ca="1">IFERROR(__xludf.DUMMYFUNCTION("""COMPUTED_VALUE"""),605)</f>
        <v>605</v>
      </c>
      <c r="Y238" s="1">
        <f ca="1">IFERROR(__xludf.DUMMYFUNCTION("""COMPUTED_VALUE"""),0.729)</f>
        <v>0.72899999999999998</v>
      </c>
      <c r="Z238" s="1">
        <f ca="1">IFERROR(__xludf.DUMMYFUNCTION("""COMPUTED_VALUE"""),270)</f>
        <v>270</v>
      </c>
      <c r="AA238" s="1">
        <f ca="1">IFERROR(__xludf.DUMMYFUNCTION("""COMPUTED_VALUE"""),999)</f>
        <v>999</v>
      </c>
      <c r="AB238" s="1">
        <f ca="1">IFERROR(__xludf.DUMMYFUNCTION("""COMPUTED_VALUE"""),384)</f>
        <v>384</v>
      </c>
      <c r="AC238" s="1">
        <f ca="1">IFERROR(__xludf.DUMMYFUNCTION("""COMPUTED_VALUE"""),203)</f>
        <v>203</v>
      </c>
      <c r="AD238" s="1">
        <f ca="1">IFERROR(__xludf.DUMMYFUNCTION("""COMPUTED_VALUE"""),63)</f>
        <v>63</v>
      </c>
      <c r="AE238" s="1">
        <f ca="1">IFERROR(__xludf.DUMMYFUNCTION("""COMPUTED_VALUE"""),369)</f>
        <v>369</v>
      </c>
      <c r="AF238" s="1">
        <f ca="1">IFERROR(__xludf.DUMMYFUNCTION("""COMPUTED_VALUE"""),534)</f>
        <v>534</v>
      </c>
    </row>
    <row r="239" spans="1:32" ht="12.5" x14ac:dyDescent="0.25">
      <c r="A239" s="1" t="str">
        <f ca="1">IFERROR(__xludf.DUMMYFUNCTION("""COMPUTED_VALUE"""),"Northwestern State")</f>
        <v>Northwestern State</v>
      </c>
      <c r="B239" s="1">
        <f ca="1">IFERROR(__xludf.DUMMYFUNCTION("""COMPUTED_VALUE"""),32)</f>
        <v>32</v>
      </c>
      <c r="C239" s="1">
        <f ca="1">IFERROR(__xludf.DUMMYFUNCTION("""COMPUTED_VALUE"""),16)</f>
        <v>16</v>
      </c>
      <c r="D239" s="1">
        <f ca="1">IFERROR(__xludf.DUMMYFUNCTION("""COMPUTED_VALUE"""),16)</f>
        <v>16</v>
      </c>
      <c r="E239" s="1">
        <f ca="1">IFERROR(__xludf.DUMMYFUNCTION("""COMPUTED_VALUE"""),0.5)</f>
        <v>0.5</v>
      </c>
      <c r="F239" s="1">
        <f ca="1">IFERROR(__xludf.DUMMYFUNCTION("""COMPUTED_VALUE"""),-6.29)</f>
        <v>-6.29</v>
      </c>
      <c r="G239" s="1">
        <f ca="1">IFERROR(__xludf.DUMMYFUNCTION("""COMPUTED_VALUE"""),-4.15)</f>
        <v>-4.1500000000000004</v>
      </c>
      <c r="H239" s="1">
        <f ca="1">IFERROR(__xludf.DUMMYFUNCTION("""COMPUTED_VALUE"""),8)</f>
        <v>8</v>
      </c>
      <c r="I239" s="1">
        <f ca="1">IFERROR(__xludf.DUMMYFUNCTION("""COMPUTED_VALUE"""),8)</f>
        <v>8</v>
      </c>
      <c r="J239" s="1">
        <f ca="1">IFERROR(__xludf.DUMMYFUNCTION("""COMPUTED_VALUE"""),11)</f>
        <v>11</v>
      </c>
      <c r="K239" s="1">
        <f ca="1">IFERROR(__xludf.DUMMYFUNCTION("""COMPUTED_VALUE"""),3)</f>
        <v>3</v>
      </c>
      <c r="L239" s="1">
        <f ca="1">IFERROR(__xludf.DUMMYFUNCTION("""COMPUTED_VALUE"""),5)</f>
        <v>5</v>
      </c>
      <c r="M239" s="1">
        <f ca="1">IFERROR(__xludf.DUMMYFUNCTION("""COMPUTED_VALUE"""),11)</f>
        <v>11</v>
      </c>
      <c r="N239" s="1">
        <f ca="1">IFERROR(__xludf.DUMMYFUNCTION("""COMPUTED_VALUE"""),2259)</f>
        <v>2259</v>
      </c>
      <c r="O239" s="1">
        <f ca="1">IFERROR(__xludf.DUMMYFUNCTION("""COMPUTED_VALUE"""),2239)</f>
        <v>2239</v>
      </c>
      <c r="P239" s="1">
        <f ca="1">IFERROR(__xludf.DUMMYFUNCTION("""COMPUTED_VALUE"""),1295)</f>
        <v>1295</v>
      </c>
      <c r="Q239" s="1">
        <f ca="1">IFERROR(__xludf.DUMMYFUNCTION("""COMPUTED_VALUE"""),789)</f>
        <v>789</v>
      </c>
      <c r="R239" s="1">
        <f ca="1">IFERROR(__xludf.DUMMYFUNCTION("""COMPUTED_VALUE"""),1852)</f>
        <v>1852</v>
      </c>
      <c r="S239" s="1">
        <f ca="1">IFERROR(__xludf.DUMMYFUNCTION("""COMPUTED_VALUE"""),0.426)</f>
        <v>0.42599999999999999</v>
      </c>
      <c r="T239" s="1">
        <f ca="1">IFERROR(__xludf.DUMMYFUNCTION("""COMPUTED_VALUE"""),193)</f>
        <v>193</v>
      </c>
      <c r="U239" s="1">
        <f ca="1">IFERROR(__xludf.DUMMYFUNCTION("""COMPUTED_VALUE"""),625)</f>
        <v>625</v>
      </c>
      <c r="V239" s="1">
        <f ca="1">IFERROR(__xludf.DUMMYFUNCTION("""COMPUTED_VALUE"""),0.309)</f>
        <v>0.309</v>
      </c>
      <c r="W239" s="1">
        <f ca="1">IFERROR(__xludf.DUMMYFUNCTION("""COMPUTED_VALUE"""),488)</f>
        <v>488</v>
      </c>
      <c r="X239" s="1">
        <f ca="1">IFERROR(__xludf.DUMMYFUNCTION("""COMPUTED_VALUE"""),799)</f>
        <v>799</v>
      </c>
      <c r="Y239" s="1">
        <f ca="1">IFERROR(__xludf.DUMMYFUNCTION("""COMPUTED_VALUE"""),0.611)</f>
        <v>0.61099999999999999</v>
      </c>
      <c r="Z239" s="1">
        <f ca="1">IFERROR(__xludf.DUMMYFUNCTION("""COMPUTED_VALUE"""),405)</f>
        <v>405</v>
      </c>
      <c r="AA239" s="1">
        <f ca="1">IFERROR(__xludf.DUMMYFUNCTION("""COMPUTED_VALUE"""),1071)</f>
        <v>1071</v>
      </c>
      <c r="AB239" s="1">
        <f ca="1">IFERROR(__xludf.DUMMYFUNCTION("""COMPUTED_VALUE"""),411)</f>
        <v>411</v>
      </c>
      <c r="AC239" s="1">
        <f ca="1">IFERROR(__xludf.DUMMYFUNCTION("""COMPUTED_VALUE"""),280)</f>
        <v>280</v>
      </c>
      <c r="AD239" s="1">
        <f ca="1">IFERROR(__xludf.DUMMYFUNCTION("""COMPUTED_VALUE"""),204)</f>
        <v>204</v>
      </c>
      <c r="AE239" s="1">
        <f ca="1">IFERROR(__xludf.DUMMYFUNCTION("""COMPUTED_VALUE"""),471)</f>
        <v>471</v>
      </c>
      <c r="AF239" s="1">
        <f ca="1">IFERROR(__xludf.DUMMYFUNCTION("""COMPUTED_VALUE"""),633)</f>
        <v>633</v>
      </c>
    </row>
    <row r="240" spans="1:32" ht="12.5" x14ac:dyDescent="0.25">
      <c r="A240" s="1" t="str">
        <f ca="1">IFERROR(__xludf.DUMMYFUNCTION("""COMPUTED_VALUE"""),"Northwestern")</f>
        <v>Northwestern</v>
      </c>
      <c r="B240" s="1">
        <f ca="1">IFERROR(__xludf.DUMMYFUNCTION("""COMPUTED_VALUE"""),33)</f>
        <v>33</v>
      </c>
      <c r="C240" s="1">
        <f ca="1">IFERROR(__xludf.DUMMYFUNCTION("""COMPUTED_VALUE"""),19)</f>
        <v>19</v>
      </c>
      <c r="D240" s="1">
        <f ca="1">IFERROR(__xludf.DUMMYFUNCTION("""COMPUTED_VALUE"""),14)</f>
        <v>14</v>
      </c>
      <c r="E240" s="1">
        <f ca="1">IFERROR(__xludf.DUMMYFUNCTION("""COMPUTED_VALUE"""),0.576)</f>
        <v>0.57599999999999996</v>
      </c>
      <c r="F240" s="1">
        <f ca="1">IFERROR(__xludf.DUMMYFUNCTION("""COMPUTED_VALUE"""),8.87)</f>
        <v>8.8699999999999992</v>
      </c>
      <c r="G240" s="1">
        <f ca="1">IFERROR(__xludf.DUMMYFUNCTION("""COMPUTED_VALUE"""),7.84)</f>
        <v>7.84</v>
      </c>
      <c r="H240" s="1">
        <f ca="1">IFERROR(__xludf.DUMMYFUNCTION("""COMPUTED_VALUE"""),8)</f>
        <v>8</v>
      </c>
      <c r="I240" s="1">
        <f ca="1">IFERROR(__xludf.DUMMYFUNCTION("""COMPUTED_VALUE"""),10)</f>
        <v>10</v>
      </c>
      <c r="J240" s="1">
        <f ca="1">IFERROR(__xludf.DUMMYFUNCTION("""COMPUTED_VALUE"""),12)</f>
        <v>12</v>
      </c>
      <c r="K240" s="1">
        <f ca="1">IFERROR(__xludf.DUMMYFUNCTION("""COMPUTED_VALUE"""),5)</f>
        <v>5</v>
      </c>
      <c r="L240" s="1">
        <f ca="1">IFERROR(__xludf.DUMMYFUNCTION("""COMPUTED_VALUE"""),4)</f>
        <v>4</v>
      </c>
      <c r="M240" s="1">
        <f ca="1">IFERROR(__xludf.DUMMYFUNCTION("""COMPUTED_VALUE"""),8)</f>
        <v>8</v>
      </c>
      <c r="N240" s="1">
        <f ca="1">IFERROR(__xludf.DUMMYFUNCTION("""COMPUTED_VALUE"""),2286)</f>
        <v>2286</v>
      </c>
      <c r="O240" s="1">
        <f ca="1">IFERROR(__xludf.DUMMYFUNCTION("""COMPUTED_VALUE"""),2252)</f>
        <v>2252</v>
      </c>
      <c r="P240" s="1">
        <f ca="1">IFERROR(__xludf.DUMMYFUNCTION("""COMPUTED_VALUE"""),1335)</f>
        <v>1335</v>
      </c>
      <c r="Q240" s="1">
        <f ca="1">IFERROR(__xludf.DUMMYFUNCTION("""COMPUTED_VALUE"""),790)</f>
        <v>790</v>
      </c>
      <c r="R240" s="1">
        <f ca="1">IFERROR(__xludf.DUMMYFUNCTION("""COMPUTED_VALUE"""),1754)</f>
        <v>1754</v>
      </c>
      <c r="S240" s="1">
        <f ca="1">IFERROR(__xludf.DUMMYFUNCTION("""COMPUTED_VALUE"""),0.45)</f>
        <v>0.45</v>
      </c>
      <c r="T240" s="1">
        <f ca="1">IFERROR(__xludf.DUMMYFUNCTION("""COMPUTED_VALUE"""),297)</f>
        <v>297</v>
      </c>
      <c r="U240" s="1">
        <f ca="1">IFERROR(__xludf.DUMMYFUNCTION("""COMPUTED_VALUE"""),771)</f>
        <v>771</v>
      </c>
      <c r="V240" s="1">
        <f ca="1">IFERROR(__xludf.DUMMYFUNCTION("""COMPUTED_VALUE"""),0.385)</f>
        <v>0.38500000000000001</v>
      </c>
      <c r="W240" s="1">
        <f ca="1">IFERROR(__xludf.DUMMYFUNCTION("""COMPUTED_VALUE"""),409)</f>
        <v>409</v>
      </c>
      <c r="X240" s="1">
        <f ca="1">IFERROR(__xludf.DUMMYFUNCTION("""COMPUTED_VALUE"""),592)</f>
        <v>592</v>
      </c>
      <c r="Y240" s="1">
        <f ca="1">IFERROR(__xludf.DUMMYFUNCTION("""COMPUTED_VALUE"""),0.691)</f>
        <v>0.69099999999999995</v>
      </c>
      <c r="Z240" s="1">
        <f ca="1">IFERROR(__xludf.DUMMYFUNCTION("""COMPUTED_VALUE"""),279)</f>
        <v>279</v>
      </c>
      <c r="AA240" s="1">
        <f ca="1">IFERROR(__xludf.DUMMYFUNCTION("""COMPUTED_VALUE"""),846)</f>
        <v>846</v>
      </c>
      <c r="AB240" s="1">
        <f ca="1">IFERROR(__xludf.DUMMYFUNCTION("""COMPUTED_VALUE"""),512)</f>
        <v>512</v>
      </c>
      <c r="AC240" s="1">
        <f ca="1">IFERROR(__xludf.DUMMYFUNCTION("""COMPUTED_VALUE"""),219)</f>
        <v>219</v>
      </c>
      <c r="AD240" s="1">
        <f ca="1">IFERROR(__xludf.DUMMYFUNCTION("""COMPUTED_VALUE"""),123)</f>
        <v>123</v>
      </c>
      <c r="AE240" s="1">
        <f ca="1">IFERROR(__xludf.DUMMYFUNCTION("""COMPUTED_VALUE"""),335)</f>
        <v>335</v>
      </c>
      <c r="AF240" s="1">
        <f ca="1">IFERROR(__xludf.DUMMYFUNCTION("""COMPUTED_VALUE"""),526)</f>
        <v>526</v>
      </c>
    </row>
    <row r="241" spans="1:32" ht="12.5" x14ac:dyDescent="0.25">
      <c r="A241" s="1" t="str">
        <f ca="1">IFERROR(__xludf.DUMMYFUNCTION("""COMPUTED_VALUE"""),"Notre DameNCAA")</f>
        <v>Notre DameNCAA</v>
      </c>
      <c r="B241" s="1">
        <f ca="1">IFERROR(__xludf.DUMMYFUNCTION("""COMPUTED_VALUE"""),34)</f>
        <v>34</v>
      </c>
      <c r="C241" s="1">
        <f ca="1">IFERROR(__xludf.DUMMYFUNCTION("""COMPUTED_VALUE"""),22)</f>
        <v>22</v>
      </c>
      <c r="D241" s="1">
        <f ca="1">IFERROR(__xludf.DUMMYFUNCTION("""COMPUTED_VALUE"""),12)</f>
        <v>12</v>
      </c>
      <c r="E241" s="1">
        <f ca="1">IFERROR(__xludf.DUMMYFUNCTION("""COMPUTED_VALUE"""),0.647)</f>
        <v>0.64700000000000002</v>
      </c>
      <c r="F241" s="1">
        <f ca="1">IFERROR(__xludf.DUMMYFUNCTION("""COMPUTED_VALUE"""),11.18)</f>
        <v>11.18</v>
      </c>
      <c r="G241" s="1">
        <f ca="1">IFERROR(__xludf.DUMMYFUNCTION("""COMPUTED_VALUE"""),6.47)</f>
        <v>6.47</v>
      </c>
      <c r="H241" s="1">
        <f ca="1">IFERROR(__xludf.DUMMYFUNCTION("""COMPUTED_VALUE"""),13)</f>
        <v>13</v>
      </c>
      <c r="I241" s="1">
        <f ca="1">IFERROR(__xludf.DUMMYFUNCTION("""COMPUTED_VALUE"""),5)</f>
        <v>5</v>
      </c>
      <c r="J241" s="1">
        <f ca="1">IFERROR(__xludf.DUMMYFUNCTION("""COMPUTED_VALUE"""),16)</f>
        <v>16</v>
      </c>
      <c r="K241" s="1">
        <f ca="1">IFERROR(__xludf.DUMMYFUNCTION("""COMPUTED_VALUE"""),1)</f>
        <v>1</v>
      </c>
      <c r="L241" s="1">
        <f ca="1">IFERROR(__xludf.DUMMYFUNCTION("""COMPUTED_VALUE"""),5)</f>
        <v>5</v>
      </c>
      <c r="M241" s="1">
        <f ca="1">IFERROR(__xludf.DUMMYFUNCTION("""COMPUTED_VALUE"""),5)</f>
        <v>5</v>
      </c>
      <c r="N241" s="1">
        <f ca="1">IFERROR(__xludf.DUMMYFUNCTION("""COMPUTED_VALUE"""),2257)</f>
        <v>2257</v>
      </c>
      <c r="O241" s="1">
        <f ca="1">IFERROR(__xludf.DUMMYFUNCTION("""COMPUTED_VALUE"""),2097)</f>
        <v>2097</v>
      </c>
      <c r="P241" s="1">
        <f ca="1">IFERROR(__xludf.DUMMYFUNCTION("""COMPUTED_VALUE"""),1380)</f>
        <v>1380</v>
      </c>
      <c r="Q241" s="1">
        <f ca="1">IFERROR(__xludf.DUMMYFUNCTION("""COMPUTED_VALUE"""),781)</f>
        <v>781</v>
      </c>
      <c r="R241" s="1">
        <f ca="1">IFERROR(__xludf.DUMMYFUNCTION("""COMPUTED_VALUE"""),1800)</f>
        <v>1800</v>
      </c>
      <c r="S241" s="1">
        <f ca="1">IFERROR(__xludf.DUMMYFUNCTION("""COMPUTED_VALUE"""),0.434)</f>
        <v>0.434</v>
      </c>
      <c r="T241" s="1">
        <f ca="1">IFERROR(__xludf.DUMMYFUNCTION("""COMPUTED_VALUE"""),221)</f>
        <v>221</v>
      </c>
      <c r="U241" s="1">
        <f ca="1">IFERROR(__xludf.DUMMYFUNCTION("""COMPUTED_VALUE"""),665)</f>
        <v>665</v>
      </c>
      <c r="V241" s="1">
        <f ca="1">IFERROR(__xludf.DUMMYFUNCTION("""COMPUTED_VALUE"""),0.332)</f>
        <v>0.33200000000000002</v>
      </c>
      <c r="W241" s="1">
        <f ca="1">IFERROR(__xludf.DUMMYFUNCTION("""COMPUTED_VALUE"""),474)</f>
        <v>474</v>
      </c>
      <c r="X241" s="1">
        <f ca="1">IFERROR(__xludf.DUMMYFUNCTION("""COMPUTED_VALUE"""),673)</f>
        <v>673</v>
      </c>
      <c r="Y241" s="1">
        <f ca="1">IFERROR(__xludf.DUMMYFUNCTION("""COMPUTED_VALUE"""),0.704)</f>
        <v>0.70399999999999996</v>
      </c>
      <c r="Z241" s="1">
        <f ca="1">IFERROR(__xludf.DUMMYFUNCTION("""COMPUTED_VALUE"""),345)</f>
        <v>345</v>
      </c>
      <c r="AA241" s="1">
        <f ca="1">IFERROR(__xludf.DUMMYFUNCTION("""COMPUTED_VALUE"""),1050)</f>
        <v>1050</v>
      </c>
      <c r="AB241" s="1">
        <f ca="1">IFERROR(__xludf.DUMMYFUNCTION("""COMPUTED_VALUE"""),497)</f>
        <v>497</v>
      </c>
      <c r="AC241" s="1">
        <f ca="1">IFERROR(__xludf.DUMMYFUNCTION("""COMPUTED_VALUE"""),177)</f>
        <v>177</v>
      </c>
      <c r="AD241" s="1">
        <f ca="1">IFERROR(__xludf.DUMMYFUNCTION("""COMPUTED_VALUE"""),114)</f>
        <v>114</v>
      </c>
      <c r="AE241" s="1">
        <f ca="1">IFERROR(__xludf.DUMMYFUNCTION("""COMPUTED_VALUE"""),342)</f>
        <v>342</v>
      </c>
      <c r="AF241" s="1">
        <f ca="1">IFERROR(__xludf.DUMMYFUNCTION("""COMPUTED_VALUE"""),470)</f>
        <v>470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IFERROR(__xludf.DUMMYFUNCTION("""COMPUTED_VALUE"""),"Oakland")</f>
        <v>Oakland</v>
      </c>
      <c r="B244" s="1">
        <f ca="1">IFERROR(__xludf.DUMMYFUNCTION("""COMPUTED_VALUE"""),36)</f>
        <v>36</v>
      </c>
      <c r="C244" s="1">
        <f ca="1">IFERROR(__xludf.DUMMYFUNCTION("""COMPUTED_VALUE"""),20)</f>
        <v>20</v>
      </c>
      <c r="D244" s="1">
        <f ca="1">IFERROR(__xludf.DUMMYFUNCTION("""COMPUTED_VALUE"""),16)</f>
        <v>16</v>
      </c>
      <c r="E244" s="1">
        <f ca="1">IFERROR(__xludf.DUMMYFUNCTION("""COMPUTED_VALUE"""),0.556)</f>
        <v>0.55600000000000005</v>
      </c>
      <c r="F244" s="1">
        <f ca="1">IFERROR(__xludf.DUMMYFUNCTION("""COMPUTED_VALUE"""),0.29)</f>
        <v>0.28999999999999998</v>
      </c>
      <c r="G244" s="1">
        <f ca="1">IFERROR(__xludf.DUMMYFUNCTION("""COMPUTED_VALUE"""),-0.54)</f>
        <v>-0.54</v>
      </c>
      <c r="H244" s="1">
        <f ca="1">IFERROR(__xludf.DUMMYFUNCTION("""COMPUTED_VALUE"""),11)</f>
        <v>11</v>
      </c>
      <c r="I244" s="1">
        <f ca="1">IFERROR(__xludf.DUMMYFUNCTION("""COMPUTED_VALUE"""),7)</f>
        <v>7</v>
      </c>
      <c r="J244" s="1">
        <f ca="1">IFERROR(__xludf.DUMMYFUNCTION("""COMPUTED_VALUE"""),12)</f>
        <v>12</v>
      </c>
      <c r="K244" s="1">
        <f ca="1">IFERROR(__xludf.DUMMYFUNCTION("""COMPUTED_VALUE"""),5)</f>
        <v>5</v>
      </c>
      <c r="L244" s="1">
        <f ca="1">IFERROR(__xludf.DUMMYFUNCTION("""COMPUTED_VALUE"""),8)</f>
        <v>8</v>
      </c>
      <c r="M244" s="1">
        <f ca="1">IFERROR(__xludf.DUMMYFUNCTION("""COMPUTED_VALUE"""),9)</f>
        <v>9</v>
      </c>
      <c r="N244" s="1">
        <f ca="1">IFERROR(__xludf.DUMMYFUNCTION("""COMPUTED_VALUE"""),2875)</f>
        <v>2875</v>
      </c>
      <c r="O244" s="1">
        <f ca="1">IFERROR(__xludf.DUMMYFUNCTION("""COMPUTED_VALUE"""),2831)</f>
        <v>2831</v>
      </c>
      <c r="P244" s="1">
        <f ca="1">IFERROR(__xludf.DUMMYFUNCTION("""COMPUTED_VALUE"""),1455)</f>
        <v>1455</v>
      </c>
      <c r="Q244" s="1">
        <f ca="1">IFERROR(__xludf.DUMMYFUNCTION("""COMPUTED_VALUE"""),947)</f>
        <v>947</v>
      </c>
      <c r="R244" s="1">
        <f ca="1">IFERROR(__xludf.DUMMYFUNCTION("""COMPUTED_VALUE"""),2104)</f>
        <v>2104</v>
      </c>
      <c r="S244" s="1">
        <f ca="1">IFERROR(__xludf.DUMMYFUNCTION("""COMPUTED_VALUE"""),0.45)</f>
        <v>0.45</v>
      </c>
      <c r="T244" s="1">
        <f ca="1">IFERROR(__xludf.DUMMYFUNCTION("""COMPUTED_VALUE"""),335)</f>
        <v>335</v>
      </c>
      <c r="U244" s="1">
        <f ca="1">IFERROR(__xludf.DUMMYFUNCTION("""COMPUTED_VALUE"""),895)</f>
        <v>895</v>
      </c>
      <c r="V244" s="1">
        <f ca="1">IFERROR(__xludf.DUMMYFUNCTION("""COMPUTED_VALUE"""),0.374)</f>
        <v>0.374</v>
      </c>
      <c r="W244" s="1">
        <f ca="1">IFERROR(__xludf.DUMMYFUNCTION("""COMPUTED_VALUE"""),646)</f>
        <v>646</v>
      </c>
      <c r="X244" s="1">
        <f ca="1">IFERROR(__xludf.DUMMYFUNCTION("""COMPUTED_VALUE"""),877)</f>
        <v>877</v>
      </c>
      <c r="Y244" s="1">
        <f ca="1">IFERROR(__xludf.DUMMYFUNCTION("""COMPUTED_VALUE"""),0.737)</f>
        <v>0.73699999999999999</v>
      </c>
      <c r="Z244" s="1">
        <f ca="1">IFERROR(__xludf.DUMMYFUNCTION("""COMPUTED_VALUE"""),397)</f>
        <v>397</v>
      </c>
      <c r="AA244" s="1">
        <f ca="1">IFERROR(__xludf.DUMMYFUNCTION("""COMPUTED_VALUE"""),1103)</f>
        <v>1103</v>
      </c>
      <c r="AB244" s="1">
        <f ca="1">IFERROR(__xludf.DUMMYFUNCTION("""COMPUTED_VALUE"""),476)</f>
        <v>476</v>
      </c>
      <c r="AC244" s="1">
        <f ca="1">IFERROR(__xludf.DUMMYFUNCTION("""COMPUTED_VALUE"""),232)</f>
        <v>232</v>
      </c>
      <c r="AD244" s="1">
        <f ca="1">IFERROR(__xludf.DUMMYFUNCTION("""COMPUTED_VALUE"""),75)</f>
        <v>75</v>
      </c>
      <c r="AE244" s="1">
        <f ca="1">IFERROR(__xludf.DUMMYFUNCTION("""COMPUTED_VALUE"""),430)</f>
        <v>430</v>
      </c>
      <c r="AF244" s="1">
        <f ca="1">IFERROR(__xludf.DUMMYFUNCTION("""COMPUTED_VALUE"""),656)</f>
        <v>656</v>
      </c>
    </row>
    <row r="245" spans="1:32" ht="12.5" x14ac:dyDescent="0.25">
      <c r="A245" s="1" t="str">
        <f ca="1">IFERROR(__xludf.DUMMYFUNCTION("""COMPUTED_VALUE"""),"Ohio StateNCAA")</f>
        <v>Ohio StateNCAA</v>
      </c>
      <c r="B245" s="1">
        <f ca="1">IFERROR(__xludf.DUMMYFUNCTION("""COMPUTED_VALUE"""),39)</f>
        <v>39</v>
      </c>
      <c r="C245" s="1">
        <f ca="1">IFERROR(__xludf.DUMMYFUNCTION("""COMPUTED_VALUE"""),31)</f>
        <v>31</v>
      </c>
      <c r="D245" s="1">
        <f ca="1">IFERROR(__xludf.DUMMYFUNCTION("""COMPUTED_VALUE"""),8)</f>
        <v>8</v>
      </c>
      <c r="E245" s="1">
        <f ca="1">IFERROR(__xludf.DUMMYFUNCTION("""COMPUTED_VALUE"""),0.795)</f>
        <v>0.79500000000000004</v>
      </c>
      <c r="F245" s="1">
        <f ca="1">IFERROR(__xludf.DUMMYFUNCTION("""COMPUTED_VALUE"""),23.95)</f>
        <v>23.95</v>
      </c>
      <c r="G245" s="1">
        <f ca="1">IFERROR(__xludf.DUMMYFUNCTION("""COMPUTED_VALUE"""),9.07)</f>
        <v>9.07</v>
      </c>
      <c r="H245" s="1">
        <f ca="1">IFERROR(__xludf.DUMMYFUNCTION("""COMPUTED_VALUE"""),13)</f>
        <v>13</v>
      </c>
      <c r="I245" s="1">
        <f ca="1">IFERROR(__xludf.DUMMYFUNCTION("""COMPUTED_VALUE"""),5)</f>
        <v>5</v>
      </c>
      <c r="J245" s="1">
        <f ca="1">IFERROR(__xludf.DUMMYFUNCTION("""COMPUTED_VALUE"""),17)</f>
        <v>17</v>
      </c>
      <c r="K245" s="1">
        <f ca="1">IFERROR(__xludf.DUMMYFUNCTION("""COMPUTED_VALUE"""),2)</f>
        <v>2</v>
      </c>
      <c r="L245" s="1">
        <f ca="1">IFERROR(__xludf.DUMMYFUNCTION("""COMPUTED_VALUE"""),7)</f>
        <v>7</v>
      </c>
      <c r="M245" s="1">
        <f ca="1">IFERROR(__xludf.DUMMYFUNCTION("""COMPUTED_VALUE"""),4)</f>
        <v>4</v>
      </c>
      <c r="N245" s="1">
        <f ca="1">IFERROR(__xludf.DUMMYFUNCTION("""COMPUTED_VALUE"""),2913)</f>
        <v>2913</v>
      </c>
      <c r="O245" s="1">
        <f ca="1">IFERROR(__xludf.DUMMYFUNCTION("""COMPUTED_VALUE"""),2333)</f>
        <v>2333</v>
      </c>
      <c r="P245" s="1">
        <f ca="1">IFERROR(__xludf.DUMMYFUNCTION("""COMPUTED_VALUE"""),1560)</f>
        <v>1560</v>
      </c>
      <c r="Q245" s="1">
        <f ca="1">IFERROR(__xludf.DUMMYFUNCTION("""COMPUTED_VALUE"""),1057)</f>
        <v>1057</v>
      </c>
      <c r="R245" s="1">
        <f ca="1">IFERROR(__xludf.DUMMYFUNCTION("""COMPUTED_VALUE"""),2219)</f>
        <v>2219</v>
      </c>
      <c r="S245" s="1">
        <f ca="1">IFERROR(__xludf.DUMMYFUNCTION("""COMPUTED_VALUE"""),0.476)</f>
        <v>0.47599999999999998</v>
      </c>
      <c r="T245" s="1">
        <f ca="1">IFERROR(__xludf.DUMMYFUNCTION("""COMPUTED_VALUE"""),199)</f>
        <v>199</v>
      </c>
      <c r="U245" s="1">
        <f ca="1">IFERROR(__xludf.DUMMYFUNCTION("""COMPUTED_VALUE"""),596)</f>
        <v>596</v>
      </c>
      <c r="V245" s="1">
        <f ca="1">IFERROR(__xludf.DUMMYFUNCTION("""COMPUTED_VALUE"""),0.334)</f>
        <v>0.33400000000000002</v>
      </c>
      <c r="W245" s="1">
        <f ca="1">IFERROR(__xludf.DUMMYFUNCTION("""COMPUTED_VALUE"""),600)</f>
        <v>600</v>
      </c>
      <c r="X245" s="1">
        <f ca="1">IFERROR(__xludf.DUMMYFUNCTION("""COMPUTED_VALUE"""),846)</f>
        <v>846</v>
      </c>
      <c r="Y245" s="1">
        <f ca="1">IFERROR(__xludf.DUMMYFUNCTION("""COMPUTED_VALUE"""),0.709)</f>
        <v>0.70899999999999996</v>
      </c>
      <c r="Z245" s="1">
        <f ca="1">IFERROR(__xludf.DUMMYFUNCTION("""COMPUTED_VALUE"""),447)</f>
        <v>447</v>
      </c>
      <c r="AA245" s="1">
        <f ca="1">IFERROR(__xludf.DUMMYFUNCTION("""COMPUTED_VALUE"""),1345)</f>
        <v>1345</v>
      </c>
      <c r="AB245" s="1">
        <f ca="1">IFERROR(__xludf.DUMMYFUNCTION("""COMPUTED_VALUE"""),568)</f>
        <v>568</v>
      </c>
      <c r="AC245" s="1">
        <f ca="1">IFERROR(__xludf.DUMMYFUNCTION("""COMPUTED_VALUE"""),281)</f>
        <v>281</v>
      </c>
      <c r="AD245" s="1">
        <f ca="1">IFERROR(__xludf.DUMMYFUNCTION("""COMPUTED_VALUE"""),125)</f>
        <v>125</v>
      </c>
      <c r="AE245" s="1">
        <f ca="1">IFERROR(__xludf.DUMMYFUNCTION("""COMPUTED_VALUE"""),449)</f>
        <v>449</v>
      </c>
      <c r="AF245" s="1">
        <f ca="1">IFERROR(__xludf.DUMMYFUNCTION("""COMPUTED_VALUE"""),630)</f>
        <v>630</v>
      </c>
    </row>
    <row r="246" spans="1:32" ht="12.5" x14ac:dyDescent="0.25">
      <c r="A246" s="1" t="str">
        <f ca="1">IFERROR(__xludf.DUMMYFUNCTION("""COMPUTED_VALUE"""),"OhioNCAA")</f>
        <v>OhioNCAA</v>
      </c>
      <c r="B246" s="1">
        <f ca="1">IFERROR(__xludf.DUMMYFUNCTION("""COMPUTED_VALUE"""),37)</f>
        <v>37</v>
      </c>
      <c r="C246" s="1">
        <f ca="1">IFERROR(__xludf.DUMMYFUNCTION("""COMPUTED_VALUE"""),29)</f>
        <v>29</v>
      </c>
      <c r="D246" s="1">
        <f ca="1">IFERROR(__xludf.DUMMYFUNCTION("""COMPUTED_VALUE"""),8)</f>
        <v>8</v>
      </c>
      <c r="E246" s="1">
        <f ca="1">IFERROR(__xludf.DUMMYFUNCTION("""COMPUTED_VALUE"""),0.784)</f>
        <v>0.78400000000000003</v>
      </c>
      <c r="F246" s="1">
        <f ca="1">IFERROR(__xludf.DUMMYFUNCTION("""COMPUTED_VALUE"""),7.17)</f>
        <v>7.17</v>
      </c>
      <c r="G246" s="1">
        <f ca="1">IFERROR(__xludf.DUMMYFUNCTION("""COMPUTED_VALUE"""),0.17)</f>
        <v>0.17</v>
      </c>
      <c r="H246" s="1">
        <f ca="1">IFERROR(__xludf.DUMMYFUNCTION("""COMPUTED_VALUE"""),11)</f>
        <v>11</v>
      </c>
      <c r="I246" s="1">
        <f ca="1">IFERROR(__xludf.DUMMYFUNCTION("""COMPUTED_VALUE"""),5)</f>
        <v>5</v>
      </c>
      <c r="J246" s="1">
        <f ca="1">IFERROR(__xludf.DUMMYFUNCTION("""COMPUTED_VALUE"""),16)</f>
        <v>16</v>
      </c>
      <c r="K246" s="1">
        <f ca="1">IFERROR(__xludf.DUMMYFUNCTION("""COMPUTED_VALUE"""),1)</f>
        <v>1</v>
      </c>
      <c r="L246" s="1">
        <f ca="1">IFERROR(__xludf.DUMMYFUNCTION("""COMPUTED_VALUE"""),8)</f>
        <v>8</v>
      </c>
      <c r="M246" s="1">
        <f ca="1">IFERROR(__xludf.DUMMYFUNCTION("""COMPUTED_VALUE"""),6)</f>
        <v>6</v>
      </c>
      <c r="N246" s="1">
        <f ca="1">IFERROR(__xludf.DUMMYFUNCTION("""COMPUTED_VALUE"""),2597)</f>
        <v>2597</v>
      </c>
      <c r="O246" s="1">
        <f ca="1">IFERROR(__xludf.DUMMYFUNCTION("""COMPUTED_VALUE"""),2311)</f>
        <v>2311</v>
      </c>
      <c r="P246" s="1">
        <f ca="1">IFERROR(__xludf.DUMMYFUNCTION("""COMPUTED_VALUE"""),1490)</f>
        <v>1490</v>
      </c>
      <c r="Q246" s="1">
        <f ca="1">IFERROR(__xludf.DUMMYFUNCTION("""COMPUTED_VALUE"""),901)</f>
        <v>901</v>
      </c>
      <c r="R246" s="1">
        <f ca="1">IFERROR(__xludf.DUMMYFUNCTION("""COMPUTED_VALUE"""),2107)</f>
        <v>2107</v>
      </c>
      <c r="S246" s="1">
        <f ca="1">IFERROR(__xludf.DUMMYFUNCTION("""COMPUTED_VALUE"""),0.428)</f>
        <v>0.42799999999999999</v>
      </c>
      <c r="T246" s="1">
        <f ca="1">IFERROR(__xludf.DUMMYFUNCTION("""COMPUTED_VALUE"""),278)</f>
        <v>278</v>
      </c>
      <c r="U246" s="1">
        <f ca="1">IFERROR(__xludf.DUMMYFUNCTION("""COMPUTED_VALUE"""),809)</f>
        <v>809</v>
      </c>
      <c r="V246" s="1">
        <f ca="1">IFERROR(__xludf.DUMMYFUNCTION("""COMPUTED_VALUE"""),0.344)</f>
        <v>0.34399999999999997</v>
      </c>
      <c r="W246" s="1">
        <f ca="1">IFERROR(__xludf.DUMMYFUNCTION("""COMPUTED_VALUE"""),517)</f>
        <v>517</v>
      </c>
      <c r="X246" s="1">
        <f ca="1">IFERROR(__xludf.DUMMYFUNCTION("""COMPUTED_VALUE"""),749)</f>
        <v>749</v>
      </c>
      <c r="Y246" s="1">
        <f ca="1">IFERROR(__xludf.DUMMYFUNCTION("""COMPUTED_VALUE"""),0.69)</f>
        <v>0.69</v>
      </c>
      <c r="Z246" s="1">
        <f ca="1">IFERROR(__xludf.DUMMYFUNCTION("""COMPUTED_VALUE"""),451)</f>
        <v>451</v>
      </c>
      <c r="AA246" s="1">
        <f ca="1">IFERROR(__xludf.DUMMYFUNCTION("""COMPUTED_VALUE"""),1136)</f>
        <v>1136</v>
      </c>
      <c r="AB246" s="1">
        <f ca="1">IFERROR(__xludf.DUMMYFUNCTION("""COMPUTED_VALUE"""),488)</f>
        <v>488</v>
      </c>
      <c r="AC246" s="1">
        <f ca="1">IFERROR(__xludf.DUMMYFUNCTION("""COMPUTED_VALUE"""),347)</f>
        <v>347</v>
      </c>
      <c r="AD246" s="1">
        <f ca="1">IFERROR(__xludf.DUMMYFUNCTION("""COMPUTED_VALUE"""),103)</f>
        <v>103</v>
      </c>
      <c r="AE246" s="1">
        <f ca="1">IFERROR(__xludf.DUMMYFUNCTION("""COMPUTED_VALUE"""),481)</f>
        <v>481</v>
      </c>
      <c r="AF246" s="1">
        <f ca="1">IFERROR(__xludf.DUMMYFUNCTION("""COMPUTED_VALUE"""),723)</f>
        <v>723</v>
      </c>
    </row>
    <row r="247" spans="1:32" ht="12.5" x14ac:dyDescent="0.25">
      <c r="A247" s="1" t="str">
        <f ca="1">IFERROR(__xludf.DUMMYFUNCTION("""COMPUTED_VALUE"""),"Oklahoma State")</f>
        <v>Oklahoma State</v>
      </c>
      <c r="B247" s="1">
        <f ca="1">IFERROR(__xludf.DUMMYFUNCTION("""COMPUTED_VALUE"""),33)</f>
        <v>33</v>
      </c>
      <c r="C247" s="1">
        <f ca="1">IFERROR(__xludf.DUMMYFUNCTION("""COMPUTED_VALUE"""),15)</f>
        <v>15</v>
      </c>
      <c r="D247" s="1">
        <f ca="1">IFERROR(__xludf.DUMMYFUNCTION("""COMPUTED_VALUE"""),18)</f>
        <v>18</v>
      </c>
      <c r="E247" s="1">
        <f ca="1">IFERROR(__xludf.DUMMYFUNCTION("""COMPUTED_VALUE"""),0.455)</f>
        <v>0.45500000000000002</v>
      </c>
      <c r="F247" s="1">
        <f ca="1">IFERROR(__xludf.DUMMYFUNCTION("""COMPUTED_VALUE"""),7.02)</f>
        <v>7.02</v>
      </c>
      <c r="G247" s="1">
        <f ca="1">IFERROR(__xludf.DUMMYFUNCTION("""COMPUTED_VALUE"""),8.95)</f>
        <v>8.9499999999999993</v>
      </c>
      <c r="H247" s="1">
        <f ca="1">IFERROR(__xludf.DUMMYFUNCTION("""COMPUTED_VALUE"""),7)</f>
        <v>7</v>
      </c>
      <c r="I247" s="1">
        <f ca="1">IFERROR(__xludf.DUMMYFUNCTION("""COMPUTED_VALUE"""),11)</f>
        <v>11</v>
      </c>
      <c r="J247" s="1">
        <f ca="1">IFERROR(__xludf.DUMMYFUNCTION("""COMPUTED_VALUE"""),11)</f>
        <v>11</v>
      </c>
      <c r="K247" s="1">
        <f ca="1">IFERROR(__xludf.DUMMYFUNCTION("""COMPUTED_VALUE"""),4)</f>
        <v>4</v>
      </c>
      <c r="L247" s="1">
        <f ca="1">IFERROR(__xludf.DUMMYFUNCTION("""COMPUTED_VALUE"""),2)</f>
        <v>2</v>
      </c>
      <c r="M247" s="1">
        <f ca="1">IFERROR(__xludf.DUMMYFUNCTION("""COMPUTED_VALUE"""),8)</f>
        <v>8</v>
      </c>
      <c r="N247" s="1">
        <f ca="1">IFERROR(__xludf.DUMMYFUNCTION("""COMPUTED_VALUE"""),2209)</f>
        <v>2209</v>
      </c>
      <c r="O247" s="1">
        <f ca="1">IFERROR(__xludf.DUMMYFUNCTION("""COMPUTED_VALUE"""),2249)</f>
        <v>2249</v>
      </c>
      <c r="P247" s="1">
        <f ca="1">IFERROR(__xludf.DUMMYFUNCTION("""COMPUTED_VALUE"""),1335)</f>
        <v>1335</v>
      </c>
      <c r="Q247" s="1">
        <f ca="1">IFERROR(__xludf.DUMMYFUNCTION("""COMPUTED_VALUE"""),746)</f>
        <v>746</v>
      </c>
      <c r="R247" s="1">
        <f ca="1">IFERROR(__xludf.DUMMYFUNCTION("""COMPUTED_VALUE"""),1756)</f>
        <v>1756</v>
      </c>
      <c r="S247" s="1">
        <f ca="1">IFERROR(__xludf.DUMMYFUNCTION("""COMPUTED_VALUE"""),0.425)</f>
        <v>0.42499999999999999</v>
      </c>
      <c r="T247" s="1">
        <f ca="1">IFERROR(__xludf.DUMMYFUNCTION("""COMPUTED_VALUE"""),211)</f>
        <v>211</v>
      </c>
      <c r="U247" s="1">
        <f ca="1">IFERROR(__xludf.DUMMYFUNCTION("""COMPUTED_VALUE"""),633)</f>
        <v>633</v>
      </c>
      <c r="V247" s="1">
        <f ca="1">IFERROR(__xludf.DUMMYFUNCTION("""COMPUTED_VALUE"""),0.333)</f>
        <v>0.33300000000000002</v>
      </c>
      <c r="W247" s="1">
        <f ca="1">IFERROR(__xludf.DUMMYFUNCTION("""COMPUTED_VALUE"""),506)</f>
        <v>506</v>
      </c>
      <c r="X247" s="1">
        <f ca="1">IFERROR(__xludf.DUMMYFUNCTION("""COMPUTED_VALUE"""),685)</f>
        <v>685</v>
      </c>
      <c r="Y247" s="1">
        <f ca="1">IFERROR(__xludf.DUMMYFUNCTION("""COMPUTED_VALUE"""),0.739)</f>
        <v>0.73899999999999999</v>
      </c>
      <c r="Z247" s="1">
        <f ca="1">IFERROR(__xludf.DUMMYFUNCTION("""COMPUTED_VALUE"""),265)</f>
        <v>265</v>
      </c>
      <c r="AA247" s="1">
        <f ca="1">IFERROR(__xludf.DUMMYFUNCTION("""COMPUTED_VALUE"""),964)</f>
        <v>964</v>
      </c>
      <c r="AB247" s="1">
        <f ca="1">IFERROR(__xludf.DUMMYFUNCTION("""COMPUTED_VALUE"""),376)</f>
        <v>376</v>
      </c>
      <c r="AC247" s="1">
        <f ca="1">IFERROR(__xludf.DUMMYFUNCTION("""COMPUTED_VALUE"""),214)</f>
        <v>214</v>
      </c>
      <c r="AD247" s="1">
        <f ca="1">IFERROR(__xludf.DUMMYFUNCTION("""COMPUTED_VALUE"""),140)</f>
        <v>140</v>
      </c>
      <c r="AE247" s="1">
        <f ca="1">IFERROR(__xludf.DUMMYFUNCTION("""COMPUTED_VALUE"""),395)</f>
        <v>395</v>
      </c>
      <c r="AF247" s="1">
        <f ca="1">IFERROR(__xludf.DUMMYFUNCTION("""COMPUTED_VALUE"""),629)</f>
        <v>629</v>
      </c>
    </row>
    <row r="248" spans="1:32" ht="12.5" x14ac:dyDescent="0.25">
      <c r="A248" s="1" t="str">
        <f ca="1">IFERROR(__xludf.DUMMYFUNCTION("""COMPUTED_VALUE"""),"Oklahoma")</f>
        <v>Oklahoma</v>
      </c>
      <c r="B248" s="1">
        <f ca="1">IFERROR(__xludf.DUMMYFUNCTION("""COMPUTED_VALUE"""),31)</f>
        <v>31</v>
      </c>
      <c r="C248" s="1">
        <f ca="1">IFERROR(__xludf.DUMMYFUNCTION("""COMPUTED_VALUE"""),15)</f>
        <v>15</v>
      </c>
      <c r="D248" s="1">
        <f ca="1">IFERROR(__xludf.DUMMYFUNCTION("""COMPUTED_VALUE"""),16)</f>
        <v>16</v>
      </c>
      <c r="E248" s="1">
        <f ca="1">IFERROR(__xludf.DUMMYFUNCTION("""COMPUTED_VALUE"""),0.484)</f>
        <v>0.48399999999999999</v>
      </c>
      <c r="F248" s="1">
        <f ca="1">IFERROR(__xludf.DUMMYFUNCTION("""COMPUTED_VALUE"""),7.28)</f>
        <v>7.28</v>
      </c>
      <c r="G248" s="1">
        <f ca="1">IFERROR(__xludf.DUMMYFUNCTION("""COMPUTED_VALUE"""),6.67)</f>
        <v>6.67</v>
      </c>
      <c r="H248" s="1">
        <f ca="1">IFERROR(__xludf.DUMMYFUNCTION("""COMPUTED_VALUE"""),5)</f>
        <v>5</v>
      </c>
      <c r="I248" s="1">
        <f ca="1">IFERROR(__xludf.DUMMYFUNCTION("""COMPUTED_VALUE"""),13)</f>
        <v>13</v>
      </c>
      <c r="J248" s="1">
        <f ca="1">IFERROR(__xludf.DUMMYFUNCTION("""COMPUTED_VALUE"""),11)</f>
        <v>11</v>
      </c>
      <c r="K248" s="1">
        <f ca="1">IFERROR(__xludf.DUMMYFUNCTION("""COMPUTED_VALUE"""),5)</f>
        <v>5</v>
      </c>
      <c r="L248" s="1">
        <f ca="1">IFERROR(__xludf.DUMMYFUNCTION("""COMPUTED_VALUE"""),1)</f>
        <v>1</v>
      </c>
      <c r="M248" s="1">
        <f ca="1">IFERROR(__xludf.DUMMYFUNCTION("""COMPUTED_VALUE"""),8)</f>
        <v>8</v>
      </c>
      <c r="N248" s="1">
        <f ca="1">IFERROR(__xludf.DUMMYFUNCTION("""COMPUTED_VALUE"""),2142)</f>
        <v>2142</v>
      </c>
      <c r="O248" s="1">
        <f ca="1">IFERROR(__xludf.DUMMYFUNCTION("""COMPUTED_VALUE"""),2123)</f>
        <v>2123</v>
      </c>
      <c r="P248" s="1">
        <f ca="1">IFERROR(__xludf.DUMMYFUNCTION("""COMPUTED_VALUE"""),1245)</f>
        <v>1245</v>
      </c>
      <c r="Q248" s="1">
        <f ca="1">IFERROR(__xludf.DUMMYFUNCTION("""COMPUTED_VALUE"""),794)</f>
        <v>794</v>
      </c>
      <c r="R248" s="1">
        <f ca="1">IFERROR(__xludf.DUMMYFUNCTION("""COMPUTED_VALUE"""),1827)</f>
        <v>1827</v>
      </c>
      <c r="S248" s="1">
        <f ca="1">IFERROR(__xludf.DUMMYFUNCTION("""COMPUTED_VALUE"""),0.435)</f>
        <v>0.435</v>
      </c>
      <c r="T248" s="1">
        <f ca="1">IFERROR(__xludf.DUMMYFUNCTION("""COMPUTED_VALUE"""),141)</f>
        <v>141</v>
      </c>
      <c r="U248" s="1">
        <f ca="1">IFERROR(__xludf.DUMMYFUNCTION("""COMPUTED_VALUE"""),401)</f>
        <v>401</v>
      </c>
      <c r="V248" s="1">
        <f ca="1">IFERROR(__xludf.DUMMYFUNCTION("""COMPUTED_VALUE"""),0.352)</f>
        <v>0.35199999999999998</v>
      </c>
      <c r="W248" s="1">
        <f ca="1">IFERROR(__xludf.DUMMYFUNCTION("""COMPUTED_VALUE"""),413)</f>
        <v>413</v>
      </c>
      <c r="X248" s="1">
        <f ca="1">IFERROR(__xludf.DUMMYFUNCTION("""COMPUTED_VALUE"""),568)</f>
        <v>568</v>
      </c>
      <c r="Y248" s="1">
        <f ca="1">IFERROR(__xludf.DUMMYFUNCTION("""COMPUTED_VALUE"""),0.727)</f>
        <v>0.72699999999999998</v>
      </c>
      <c r="Z248" s="1">
        <f ca="1">IFERROR(__xludf.DUMMYFUNCTION("""COMPUTED_VALUE"""),403)</f>
        <v>403</v>
      </c>
      <c r="AA248" s="1">
        <f ca="1">IFERROR(__xludf.DUMMYFUNCTION("""COMPUTED_VALUE"""),1055)</f>
        <v>1055</v>
      </c>
      <c r="AB248" s="1">
        <f ca="1">IFERROR(__xludf.DUMMYFUNCTION("""COMPUTED_VALUE"""),431)</f>
        <v>431</v>
      </c>
      <c r="AC248" s="1">
        <f ca="1">IFERROR(__xludf.DUMMYFUNCTION("""COMPUTED_VALUE"""),194)</f>
        <v>194</v>
      </c>
      <c r="AD248" s="1">
        <f ca="1">IFERROR(__xludf.DUMMYFUNCTION("""COMPUTED_VALUE"""),96)</f>
        <v>96</v>
      </c>
      <c r="AE248" s="1">
        <f ca="1">IFERROR(__xludf.DUMMYFUNCTION("""COMPUTED_VALUE"""),396)</f>
        <v>396</v>
      </c>
      <c r="AF248" s="1">
        <f ca="1">IFERROR(__xludf.DUMMYFUNCTION("""COMPUTED_VALUE"""),538)</f>
        <v>538</v>
      </c>
    </row>
    <row r="249" spans="1:32" ht="12.5" x14ac:dyDescent="0.25">
      <c r="A249" s="1" t="str">
        <f ca="1">IFERROR(__xludf.DUMMYFUNCTION("""COMPUTED_VALUE"""),"Old Dominion")</f>
        <v>Old Dominion</v>
      </c>
      <c r="B249" s="1">
        <f ca="1">IFERROR(__xludf.DUMMYFUNCTION("""COMPUTED_VALUE"""),36)</f>
        <v>36</v>
      </c>
      <c r="C249" s="1">
        <f ca="1">IFERROR(__xludf.DUMMYFUNCTION("""COMPUTED_VALUE"""),22)</f>
        <v>22</v>
      </c>
      <c r="D249" s="1">
        <f ca="1">IFERROR(__xludf.DUMMYFUNCTION("""COMPUTED_VALUE"""),14)</f>
        <v>14</v>
      </c>
      <c r="E249" s="1">
        <f ca="1">IFERROR(__xludf.DUMMYFUNCTION("""COMPUTED_VALUE"""),0.611)</f>
        <v>0.61099999999999999</v>
      </c>
      <c r="F249" s="1">
        <f ca="1">IFERROR(__xludf.DUMMYFUNCTION("""COMPUTED_VALUE"""),4.08)</f>
        <v>4.08</v>
      </c>
      <c r="G249" s="1">
        <f ca="1">IFERROR(__xludf.DUMMYFUNCTION("""COMPUTED_VALUE"""),0.36)</f>
        <v>0.36</v>
      </c>
      <c r="H249" s="1">
        <f ca="1">IFERROR(__xludf.DUMMYFUNCTION("""COMPUTED_VALUE"""),13)</f>
        <v>13</v>
      </c>
      <c r="I249" s="1">
        <f ca="1">IFERROR(__xludf.DUMMYFUNCTION("""COMPUTED_VALUE"""),5)</f>
        <v>5</v>
      </c>
      <c r="J249" s="1">
        <f ca="1">IFERROR(__xludf.DUMMYFUNCTION("""COMPUTED_VALUE"""),12)</f>
        <v>12</v>
      </c>
      <c r="K249" s="1">
        <f ca="1">IFERROR(__xludf.DUMMYFUNCTION("""COMPUTED_VALUE"""),7)</f>
        <v>7</v>
      </c>
      <c r="L249" s="1">
        <f ca="1">IFERROR(__xludf.DUMMYFUNCTION("""COMPUTED_VALUE"""),8)</f>
        <v>8</v>
      </c>
      <c r="M249" s="1">
        <f ca="1">IFERROR(__xludf.DUMMYFUNCTION("""COMPUTED_VALUE"""),4)</f>
        <v>4</v>
      </c>
      <c r="N249" s="1">
        <f ca="1">IFERROR(__xludf.DUMMYFUNCTION("""COMPUTED_VALUE"""),2368)</f>
        <v>2368</v>
      </c>
      <c r="O249" s="1">
        <f ca="1">IFERROR(__xludf.DUMMYFUNCTION("""COMPUTED_VALUE"""),2234)</f>
        <v>2234</v>
      </c>
      <c r="P249" s="1">
        <f ca="1">IFERROR(__xludf.DUMMYFUNCTION("""COMPUTED_VALUE"""),1470)</f>
        <v>1470</v>
      </c>
      <c r="Q249" s="1">
        <f ca="1">IFERROR(__xludf.DUMMYFUNCTION("""COMPUTED_VALUE"""),844)</f>
        <v>844</v>
      </c>
      <c r="R249" s="1">
        <f ca="1">IFERROR(__xludf.DUMMYFUNCTION("""COMPUTED_VALUE"""),2082)</f>
        <v>2082</v>
      </c>
      <c r="S249" s="1">
        <f ca="1">IFERROR(__xludf.DUMMYFUNCTION("""COMPUTED_VALUE"""),0.405)</f>
        <v>0.40500000000000003</v>
      </c>
      <c r="T249" s="1">
        <f ca="1">IFERROR(__xludf.DUMMYFUNCTION("""COMPUTED_VALUE"""),207)</f>
        <v>207</v>
      </c>
      <c r="U249" s="1">
        <f ca="1">IFERROR(__xludf.DUMMYFUNCTION("""COMPUTED_VALUE"""),647)</f>
        <v>647</v>
      </c>
      <c r="V249" s="1">
        <f ca="1">IFERROR(__xludf.DUMMYFUNCTION("""COMPUTED_VALUE"""),0.32)</f>
        <v>0.32</v>
      </c>
      <c r="W249" s="1">
        <f ca="1">IFERROR(__xludf.DUMMYFUNCTION("""COMPUTED_VALUE"""),473)</f>
        <v>473</v>
      </c>
      <c r="X249" s="1">
        <f ca="1">IFERROR(__xludf.DUMMYFUNCTION("""COMPUTED_VALUE"""),766)</f>
        <v>766</v>
      </c>
      <c r="Y249" s="1">
        <f ca="1">IFERROR(__xludf.DUMMYFUNCTION("""COMPUTED_VALUE"""),0.617)</f>
        <v>0.61699999999999999</v>
      </c>
      <c r="Z249" s="1">
        <f ca="1">IFERROR(__xludf.DUMMYFUNCTION("""COMPUTED_VALUE"""),562)</f>
        <v>562</v>
      </c>
      <c r="AA249" s="1">
        <f ca="1">IFERROR(__xludf.DUMMYFUNCTION("""COMPUTED_VALUE"""),1333)</f>
        <v>1333</v>
      </c>
      <c r="AB249" s="1">
        <f ca="1">IFERROR(__xludf.DUMMYFUNCTION("""COMPUTED_VALUE"""),456)</f>
        <v>456</v>
      </c>
      <c r="AC249" s="1">
        <f ca="1">IFERROR(__xludf.DUMMYFUNCTION("""COMPUTED_VALUE"""),316)</f>
        <v>316</v>
      </c>
      <c r="AD249" s="1">
        <f ca="1">IFERROR(__xludf.DUMMYFUNCTION("""COMPUTED_VALUE"""),165)</f>
        <v>165</v>
      </c>
      <c r="AE249" s="1">
        <f ca="1">IFERROR(__xludf.DUMMYFUNCTION("""COMPUTED_VALUE"""),495)</f>
        <v>495</v>
      </c>
      <c r="AF249" s="1">
        <f ca="1">IFERROR(__xludf.DUMMYFUNCTION("""COMPUTED_VALUE"""),661)</f>
        <v>661</v>
      </c>
    </row>
    <row r="250" spans="1:32" ht="12.5" x14ac:dyDescent="0.25">
      <c r="A250" s="1" t="str">
        <f ca="1">IFERROR(__xludf.DUMMYFUNCTION("""COMPUTED_VALUE"""),"Oral Roberts")</f>
        <v>Oral Roberts</v>
      </c>
      <c r="B250" s="1">
        <f ca="1">IFERROR(__xludf.DUMMYFUNCTION("""COMPUTED_VALUE"""),34)</f>
        <v>34</v>
      </c>
      <c r="C250" s="1">
        <f ca="1">IFERROR(__xludf.DUMMYFUNCTION("""COMPUTED_VALUE"""),27)</f>
        <v>27</v>
      </c>
      <c r="D250" s="1">
        <f ca="1">IFERROR(__xludf.DUMMYFUNCTION("""COMPUTED_VALUE"""),7)</f>
        <v>7</v>
      </c>
      <c r="E250" s="1">
        <f ca="1">IFERROR(__xludf.DUMMYFUNCTION("""COMPUTED_VALUE"""),0.794)</f>
        <v>0.79400000000000004</v>
      </c>
      <c r="F250" s="1">
        <f ca="1">IFERROR(__xludf.DUMMYFUNCTION("""COMPUTED_VALUE"""),5.24)</f>
        <v>5.24</v>
      </c>
      <c r="G250" s="1">
        <f ca="1">IFERROR(__xludf.DUMMYFUNCTION("""COMPUTED_VALUE"""),-1.5)</f>
        <v>-1.5</v>
      </c>
      <c r="H250" s="1">
        <f ca="1">IFERROR(__xludf.DUMMYFUNCTION("""COMPUTED_VALUE"""),17)</f>
        <v>17</v>
      </c>
      <c r="I250" s="1">
        <f ca="1">IFERROR(__xludf.DUMMYFUNCTION("""COMPUTED_VALUE"""),1)</f>
        <v>1</v>
      </c>
      <c r="J250" s="1">
        <f ca="1">IFERROR(__xludf.DUMMYFUNCTION("""COMPUTED_VALUE"""),15)</f>
        <v>15</v>
      </c>
      <c r="K250" s="1">
        <f ca="1">IFERROR(__xludf.DUMMYFUNCTION("""COMPUTED_VALUE"""),1)</f>
        <v>1</v>
      </c>
      <c r="L250" s="1">
        <f ca="1">IFERROR(__xludf.DUMMYFUNCTION("""COMPUTED_VALUE"""),10)</f>
        <v>10</v>
      </c>
      <c r="M250" s="1">
        <f ca="1">IFERROR(__xludf.DUMMYFUNCTION("""COMPUTED_VALUE"""),4)</f>
        <v>4</v>
      </c>
      <c r="N250" s="1">
        <f ca="1">IFERROR(__xludf.DUMMYFUNCTION("""COMPUTED_VALUE"""),2467)</f>
        <v>2467</v>
      </c>
      <c r="O250" s="1">
        <f ca="1">IFERROR(__xludf.DUMMYFUNCTION("""COMPUTED_VALUE"""),2238)</f>
        <v>2238</v>
      </c>
      <c r="P250" s="1">
        <f ca="1">IFERROR(__xludf.DUMMYFUNCTION("""COMPUTED_VALUE"""),1375)</f>
        <v>1375</v>
      </c>
      <c r="Q250" s="1">
        <f ca="1">IFERROR(__xludf.DUMMYFUNCTION("""COMPUTED_VALUE"""),864)</f>
        <v>864</v>
      </c>
      <c r="R250" s="1">
        <f ca="1">IFERROR(__xludf.DUMMYFUNCTION("""COMPUTED_VALUE"""),1786)</f>
        <v>1786</v>
      </c>
      <c r="S250" s="1">
        <f ca="1">IFERROR(__xludf.DUMMYFUNCTION("""COMPUTED_VALUE"""),0.484)</f>
        <v>0.48399999999999999</v>
      </c>
      <c r="T250" s="1">
        <f ca="1">IFERROR(__xludf.DUMMYFUNCTION("""COMPUTED_VALUE"""),182)</f>
        <v>182</v>
      </c>
      <c r="U250" s="1">
        <f ca="1">IFERROR(__xludf.DUMMYFUNCTION("""COMPUTED_VALUE"""),507)</f>
        <v>507</v>
      </c>
      <c r="V250" s="1">
        <f ca="1">IFERROR(__xludf.DUMMYFUNCTION("""COMPUTED_VALUE"""),0.359)</f>
        <v>0.35899999999999999</v>
      </c>
      <c r="W250" s="1">
        <f ca="1">IFERROR(__xludf.DUMMYFUNCTION("""COMPUTED_VALUE"""),557)</f>
        <v>557</v>
      </c>
      <c r="X250" s="1">
        <f ca="1">IFERROR(__xludf.DUMMYFUNCTION("""COMPUTED_VALUE"""),747)</f>
        <v>747</v>
      </c>
      <c r="Y250" s="1">
        <f ca="1">IFERROR(__xludf.DUMMYFUNCTION("""COMPUTED_VALUE"""),0.746)</f>
        <v>0.746</v>
      </c>
      <c r="Z250" s="1">
        <f ca="1">IFERROR(__xludf.DUMMYFUNCTION("""COMPUTED_VALUE"""),363)</f>
        <v>363</v>
      </c>
      <c r="AA250" s="1">
        <f ca="1">IFERROR(__xludf.DUMMYFUNCTION("""COMPUTED_VALUE"""),979)</f>
        <v>979</v>
      </c>
      <c r="AB250" s="1">
        <f ca="1">IFERROR(__xludf.DUMMYFUNCTION("""COMPUTED_VALUE"""),459)</f>
        <v>459</v>
      </c>
      <c r="AC250" s="1">
        <f ca="1">IFERROR(__xludf.DUMMYFUNCTION("""COMPUTED_VALUE"""),222)</f>
        <v>222</v>
      </c>
      <c r="AD250" s="1">
        <f ca="1">IFERROR(__xludf.DUMMYFUNCTION("""COMPUTED_VALUE"""),90)</f>
        <v>90</v>
      </c>
      <c r="AE250" s="1">
        <f ca="1">IFERROR(__xludf.DUMMYFUNCTION("""COMPUTED_VALUE"""),436)</f>
        <v>436</v>
      </c>
      <c r="AF250" s="1">
        <f ca="1">IFERROR(__xludf.DUMMYFUNCTION("""COMPUTED_VALUE"""),572)</f>
        <v>572</v>
      </c>
    </row>
    <row r="251" spans="1:32" ht="12.5" x14ac:dyDescent="0.25">
      <c r="A251" s="1" t="str">
        <f ca="1">IFERROR(__xludf.DUMMYFUNCTION("""COMPUTED_VALUE"""),"Oregon State")</f>
        <v>Oregon State</v>
      </c>
      <c r="B251" s="1">
        <f ca="1">IFERROR(__xludf.DUMMYFUNCTION("""COMPUTED_VALUE"""),36)</f>
        <v>36</v>
      </c>
      <c r="C251" s="1">
        <f ca="1">IFERROR(__xludf.DUMMYFUNCTION("""COMPUTED_VALUE"""),21)</f>
        <v>21</v>
      </c>
      <c r="D251" s="1">
        <f ca="1">IFERROR(__xludf.DUMMYFUNCTION("""COMPUTED_VALUE"""),15)</f>
        <v>15</v>
      </c>
      <c r="E251" s="1">
        <f ca="1">IFERROR(__xludf.DUMMYFUNCTION("""COMPUTED_VALUE"""),0.583)</f>
        <v>0.58299999999999996</v>
      </c>
      <c r="F251" s="1">
        <f ca="1">IFERROR(__xludf.DUMMYFUNCTION("""COMPUTED_VALUE"""),8.84)</f>
        <v>8.84</v>
      </c>
      <c r="G251" s="1">
        <f ca="1">IFERROR(__xludf.DUMMYFUNCTION("""COMPUTED_VALUE"""),3.38)</f>
        <v>3.38</v>
      </c>
      <c r="H251" s="1">
        <f ca="1">IFERROR(__xludf.DUMMYFUNCTION("""COMPUTED_VALUE"""),7)</f>
        <v>7</v>
      </c>
      <c r="I251" s="1">
        <f ca="1">IFERROR(__xludf.DUMMYFUNCTION("""COMPUTED_VALUE"""),11)</f>
        <v>11</v>
      </c>
      <c r="J251" s="1">
        <f ca="1">IFERROR(__xludf.DUMMYFUNCTION("""COMPUTED_VALUE"""),14)</f>
        <v>14</v>
      </c>
      <c r="K251" s="1">
        <f ca="1">IFERROR(__xludf.DUMMYFUNCTION("""COMPUTED_VALUE"""),6)</f>
        <v>6</v>
      </c>
      <c r="L251" s="1">
        <f ca="1">IFERROR(__xludf.DUMMYFUNCTION("""COMPUTED_VALUE"""),4)</f>
        <v>4</v>
      </c>
      <c r="M251" s="1">
        <f ca="1">IFERROR(__xludf.DUMMYFUNCTION("""COMPUTED_VALUE"""),7)</f>
        <v>7</v>
      </c>
      <c r="N251" s="1">
        <f ca="1">IFERROR(__xludf.DUMMYFUNCTION("""COMPUTED_VALUE"""),2841)</f>
        <v>2841</v>
      </c>
      <c r="O251" s="1">
        <f ca="1">IFERROR(__xludf.DUMMYFUNCTION("""COMPUTED_VALUE"""),2617)</f>
        <v>2617</v>
      </c>
      <c r="P251" s="1">
        <f ca="1">IFERROR(__xludf.DUMMYFUNCTION("""COMPUTED_VALUE"""),1470)</f>
        <v>1470</v>
      </c>
      <c r="Q251" s="1">
        <f ca="1">IFERROR(__xludf.DUMMYFUNCTION("""COMPUTED_VALUE"""),995)</f>
        <v>995</v>
      </c>
      <c r="R251" s="1">
        <f ca="1">IFERROR(__xludf.DUMMYFUNCTION("""COMPUTED_VALUE"""),2093)</f>
        <v>2093</v>
      </c>
      <c r="S251" s="1">
        <f ca="1">IFERROR(__xludf.DUMMYFUNCTION("""COMPUTED_VALUE"""),0.475)</f>
        <v>0.47499999999999998</v>
      </c>
      <c r="T251" s="1">
        <f ca="1">IFERROR(__xludf.DUMMYFUNCTION("""COMPUTED_VALUE"""),221)</f>
        <v>221</v>
      </c>
      <c r="U251" s="1">
        <f ca="1">IFERROR(__xludf.DUMMYFUNCTION("""COMPUTED_VALUE"""),616)</f>
        <v>616</v>
      </c>
      <c r="V251" s="1">
        <f ca="1">IFERROR(__xludf.DUMMYFUNCTION("""COMPUTED_VALUE"""),0.359)</f>
        <v>0.35899999999999999</v>
      </c>
      <c r="W251" s="1">
        <f ca="1">IFERROR(__xludf.DUMMYFUNCTION("""COMPUTED_VALUE"""),630)</f>
        <v>630</v>
      </c>
      <c r="X251" s="1">
        <f ca="1">IFERROR(__xludf.DUMMYFUNCTION("""COMPUTED_VALUE"""),931)</f>
        <v>931</v>
      </c>
      <c r="Y251" s="1">
        <f ca="1">IFERROR(__xludf.DUMMYFUNCTION("""COMPUTED_VALUE"""),0.677)</f>
        <v>0.67700000000000005</v>
      </c>
      <c r="Z251" s="1">
        <f ca="1">IFERROR(__xludf.DUMMYFUNCTION("""COMPUTED_VALUE"""),421)</f>
        <v>421</v>
      </c>
      <c r="AA251" s="1">
        <f ca="1">IFERROR(__xludf.DUMMYFUNCTION("""COMPUTED_VALUE"""),1160)</f>
        <v>1160</v>
      </c>
      <c r="AB251" s="1">
        <f ca="1">IFERROR(__xludf.DUMMYFUNCTION("""COMPUTED_VALUE"""),567)</f>
        <v>567</v>
      </c>
      <c r="AC251" s="1">
        <f ca="1">IFERROR(__xludf.DUMMYFUNCTION("""COMPUTED_VALUE"""),328)</f>
        <v>328</v>
      </c>
      <c r="AD251" s="1">
        <f ca="1">IFERROR(__xludf.DUMMYFUNCTION("""COMPUTED_VALUE"""),166)</f>
        <v>166</v>
      </c>
      <c r="AE251" s="1">
        <f ca="1">IFERROR(__xludf.DUMMYFUNCTION("""COMPUTED_VALUE"""),507)</f>
        <v>507</v>
      </c>
      <c r="AF251" s="1">
        <f ca="1">IFERROR(__xludf.DUMMYFUNCTION("""COMPUTED_VALUE"""),672)</f>
        <v>672</v>
      </c>
    </row>
    <row r="252" spans="1:32" ht="12.5" x14ac:dyDescent="0.25">
      <c r="A252" s="1" t="str">
        <f ca="1">IFERROR(__xludf.DUMMYFUNCTION("""COMPUTED_VALUE"""),"Oregon")</f>
        <v>Oregon</v>
      </c>
      <c r="B252" s="1">
        <f ca="1">IFERROR(__xludf.DUMMYFUNCTION("""COMPUTED_VALUE"""),34)</f>
        <v>34</v>
      </c>
      <c r="C252" s="1">
        <f ca="1">IFERROR(__xludf.DUMMYFUNCTION("""COMPUTED_VALUE"""),24)</f>
        <v>24</v>
      </c>
      <c r="D252" s="1">
        <f ca="1">IFERROR(__xludf.DUMMYFUNCTION("""COMPUTED_VALUE"""),10)</f>
        <v>10</v>
      </c>
      <c r="E252" s="1">
        <f ca="1">IFERROR(__xludf.DUMMYFUNCTION("""COMPUTED_VALUE"""),0.706)</f>
        <v>0.70599999999999996</v>
      </c>
      <c r="F252" s="1">
        <f ca="1">IFERROR(__xludf.DUMMYFUNCTION("""COMPUTED_VALUE"""),10.19)</f>
        <v>10.19</v>
      </c>
      <c r="G252" s="1">
        <f ca="1">IFERROR(__xludf.DUMMYFUNCTION("""COMPUTED_VALUE"""),4.72)</f>
        <v>4.72</v>
      </c>
      <c r="H252" s="1">
        <f ca="1">IFERROR(__xludf.DUMMYFUNCTION("""COMPUTED_VALUE"""),13)</f>
        <v>13</v>
      </c>
      <c r="I252" s="1">
        <f ca="1">IFERROR(__xludf.DUMMYFUNCTION("""COMPUTED_VALUE"""),5)</f>
        <v>5</v>
      </c>
      <c r="J252" s="1">
        <f ca="1">IFERROR(__xludf.DUMMYFUNCTION("""COMPUTED_VALUE"""),17)</f>
        <v>17</v>
      </c>
      <c r="K252" s="1">
        <f ca="1">IFERROR(__xludf.DUMMYFUNCTION("""COMPUTED_VALUE"""),3)</f>
        <v>3</v>
      </c>
      <c r="L252" s="1">
        <f ca="1">IFERROR(__xludf.DUMMYFUNCTION("""COMPUTED_VALUE"""),7)</f>
        <v>7</v>
      </c>
      <c r="M252" s="1">
        <f ca="1">IFERROR(__xludf.DUMMYFUNCTION("""COMPUTED_VALUE"""),5)</f>
        <v>5</v>
      </c>
      <c r="N252" s="1">
        <f ca="1">IFERROR(__xludf.DUMMYFUNCTION("""COMPUTED_VALUE"""),2527)</f>
        <v>2527</v>
      </c>
      <c r="O252" s="1">
        <f ca="1">IFERROR(__xludf.DUMMYFUNCTION("""COMPUTED_VALUE"""),2341)</f>
        <v>2341</v>
      </c>
      <c r="P252" s="1">
        <f ca="1">IFERROR(__xludf.DUMMYFUNCTION("""COMPUTED_VALUE"""),1360)</f>
        <v>1360</v>
      </c>
      <c r="Q252" s="1">
        <f ca="1">IFERROR(__xludf.DUMMYFUNCTION("""COMPUTED_VALUE"""),883)</f>
        <v>883</v>
      </c>
      <c r="R252" s="1">
        <f ca="1">IFERROR(__xludf.DUMMYFUNCTION("""COMPUTED_VALUE"""),1884)</f>
        <v>1884</v>
      </c>
      <c r="S252" s="1">
        <f ca="1">IFERROR(__xludf.DUMMYFUNCTION("""COMPUTED_VALUE"""),0.469)</f>
        <v>0.46899999999999997</v>
      </c>
      <c r="T252" s="1">
        <f ca="1">IFERROR(__xludf.DUMMYFUNCTION("""COMPUTED_VALUE"""),246)</f>
        <v>246</v>
      </c>
      <c r="U252" s="1">
        <f ca="1">IFERROR(__xludf.DUMMYFUNCTION("""COMPUTED_VALUE"""),658)</f>
        <v>658</v>
      </c>
      <c r="V252" s="1">
        <f ca="1">IFERROR(__xludf.DUMMYFUNCTION("""COMPUTED_VALUE"""),0.374)</f>
        <v>0.374</v>
      </c>
      <c r="W252" s="1">
        <f ca="1">IFERROR(__xludf.DUMMYFUNCTION("""COMPUTED_VALUE"""),515)</f>
        <v>515</v>
      </c>
      <c r="X252" s="1">
        <f ca="1">IFERROR(__xludf.DUMMYFUNCTION("""COMPUTED_VALUE"""),726)</f>
        <v>726</v>
      </c>
      <c r="Y252" s="1">
        <f ca="1">IFERROR(__xludf.DUMMYFUNCTION("""COMPUTED_VALUE"""),0.709)</f>
        <v>0.70899999999999996</v>
      </c>
      <c r="Z252" s="1">
        <f ca="1">IFERROR(__xludf.DUMMYFUNCTION("""COMPUTED_VALUE"""),360)</f>
        <v>360</v>
      </c>
      <c r="AA252" s="1">
        <f ca="1">IFERROR(__xludf.DUMMYFUNCTION("""COMPUTED_VALUE"""),1066)</f>
        <v>1066</v>
      </c>
      <c r="AB252" s="1">
        <f ca="1">IFERROR(__xludf.DUMMYFUNCTION("""COMPUTED_VALUE"""),485)</f>
        <v>485</v>
      </c>
      <c r="AC252" s="1">
        <f ca="1">IFERROR(__xludf.DUMMYFUNCTION("""COMPUTED_VALUE"""),204)</f>
        <v>204</v>
      </c>
      <c r="AD252" s="1">
        <f ca="1">IFERROR(__xludf.DUMMYFUNCTION("""COMPUTED_VALUE"""),121)</f>
        <v>121</v>
      </c>
      <c r="AE252" s="1">
        <f ca="1">IFERROR(__xludf.DUMMYFUNCTION("""COMPUTED_VALUE"""),438)</f>
        <v>438</v>
      </c>
      <c r="AF252" s="1">
        <f ca="1">IFERROR(__xludf.DUMMYFUNCTION("""COMPUTED_VALUE"""),583)</f>
        <v>583</v>
      </c>
    </row>
    <row r="253" spans="1:32" ht="12.5" x14ac:dyDescent="0.25">
      <c r="A253" s="1" t="str">
        <f ca="1">IFERROR(__xludf.DUMMYFUNCTION("""COMPUTED_VALUE"""),"Pacific")</f>
        <v>Pacific</v>
      </c>
      <c r="B253" s="1">
        <f ca="1">IFERROR(__xludf.DUMMYFUNCTION("""COMPUTED_VALUE"""),30)</f>
        <v>30</v>
      </c>
      <c r="C253" s="1">
        <f ca="1">IFERROR(__xludf.DUMMYFUNCTION("""COMPUTED_VALUE"""),11)</f>
        <v>11</v>
      </c>
      <c r="D253" s="1">
        <f ca="1">IFERROR(__xludf.DUMMYFUNCTION("""COMPUTED_VALUE"""),19)</f>
        <v>19</v>
      </c>
      <c r="E253" s="1">
        <f ca="1">IFERROR(__xludf.DUMMYFUNCTION("""COMPUTED_VALUE"""),0.367)</f>
        <v>0.36699999999999999</v>
      </c>
      <c r="F253" s="1">
        <f ca="1">IFERROR(__xludf.DUMMYFUNCTION("""COMPUTED_VALUE"""),-8.04)</f>
        <v>-8.0399999999999991</v>
      </c>
      <c r="G253" s="1">
        <f ca="1">IFERROR(__xludf.DUMMYFUNCTION("""COMPUTED_VALUE"""),-2.61)</f>
        <v>-2.61</v>
      </c>
      <c r="H253" s="1">
        <f ca="1">IFERROR(__xludf.DUMMYFUNCTION("""COMPUTED_VALUE"""),6)</f>
        <v>6</v>
      </c>
      <c r="I253" s="1">
        <f ca="1">IFERROR(__xludf.DUMMYFUNCTION("""COMPUTED_VALUE"""),10)</f>
        <v>10</v>
      </c>
      <c r="J253" s="1">
        <f ca="1">IFERROR(__xludf.DUMMYFUNCTION("""COMPUTED_VALUE"""),8)</f>
        <v>8</v>
      </c>
      <c r="K253" s="1">
        <f ca="1">IFERROR(__xludf.DUMMYFUNCTION("""COMPUTED_VALUE"""),7)</f>
        <v>7</v>
      </c>
      <c r="L253" s="1">
        <f ca="1">IFERROR(__xludf.DUMMYFUNCTION("""COMPUTED_VALUE"""),3)</f>
        <v>3</v>
      </c>
      <c r="M253" s="1">
        <f ca="1">IFERROR(__xludf.DUMMYFUNCTION("""COMPUTED_VALUE"""),11)</f>
        <v>11</v>
      </c>
      <c r="N253" s="1">
        <f ca="1">IFERROR(__xludf.DUMMYFUNCTION("""COMPUTED_VALUE"""),1888)</f>
        <v>1888</v>
      </c>
      <c r="O253" s="1">
        <f ca="1">IFERROR(__xludf.DUMMYFUNCTION("""COMPUTED_VALUE"""),2022)</f>
        <v>2022</v>
      </c>
      <c r="P253" s="1">
        <f ca="1">IFERROR(__xludf.DUMMYFUNCTION("""COMPUTED_VALUE"""),1210)</f>
        <v>1210</v>
      </c>
      <c r="Q253" s="1">
        <f ca="1">IFERROR(__xludf.DUMMYFUNCTION("""COMPUTED_VALUE"""),644)</f>
        <v>644</v>
      </c>
      <c r="R253" s="1">
        <f ca="1">IFERROR(__xludf.DUMMYFUNCTION("""COMPUTED_VALUE"""),1591)</f>
        <v>1591</v>
      </c>
      <c r="S253" s="1">
        <f ca="1">IFERROR(__xludf.DUMMYFUNCTION("""COMPUTED_VALUE"""),0.405)</f>
        <v>0.40500000000000003</v>
      </c>
      <c r="T253" s="1">
        <f ca="1">IFERROR(__xludf.DUMMYFUNCTION("""COMPUTED_VALUE"""),200)</f>
        <v>200</v>
      </c>
      <c r="U253" s="1">
        <f ca="1">IFERROR(__xludf.DUMMYFUNCTION("""COMPUTED_VALUE"""),624)</f>
        <v>624</v>
      </c>
      <c r="V253" s="1">
        <f ca="1">IFERROR(__xludf.DUMMYFUNCTION("""COMPUTED_VALUE"""),0.321)</f>
        <v>0.32100000000000001</v>
      </c>
      <c r="W253" s="1">
        <f ca="1">IFERROR(__xludf.DUMMYFUNCTION("""COMPUTED_VALUE"""),400)</f>
        <v>400</v>
      </c>
      <c r="X253" s="1">
        <f ca="1">IFERROR(__xludf.DUMMYFUNCTION("""COMPUTED_VALUE"""),581)</f>
        <v>581</v>
      </c>
      <c r="Y253" s="1">
        <f ca="1">IFERROR(__xludf.DUMMYFUNCTION("""COMPUTED_VALUE"""),0.688)</f>
        <v>0.68799999999999994</v>
      </c>
      <c r="Z253" s="1">
        <f ca="1">IFERROR(__xludf.DUMMYFUNCTION("""COMPUTED_VALUE"""),313)</f>
        <v>313</v>
      </c>
      <c r="AA253" s="1">
        <f ca="1">IFERROR(__xludf.DUMMYFUNCTION("""COMPUTED_VALUE"""),871)</f>
        <v>871</v>
      </c>
      <c r="AB253" s="1">
        <f ca="1">IFERROR(__xludf.DUMMYFUNCTION("""COMPUTED_VALUE"""),376)</f>
        <v>376</v>
      </c>
      <c r="AC253" s="1">
        <f ca="1">IFERROR(__xludf.DUMMYFUNCTION("""COMPUTED_VALUE"""),155)</f>
        <v>155</v>
      </c>
      <c r="AD253" s="1">
        <f ca="1">IFERROR(__xludf.DUMMYFUNCTION("""COMPUTED_VALUE"""),54)</f>
        <v>54</v>
      </c>
      <c r="AE253" s="1">
        <f ca="1">IFERROR(__xludf.DUMMYFUNCTION("""COMPUTED_VALUE"""),360)</f>
        <v>360</v>
      </c>
      <c r="AF253" s="1">
        <f ca="1">IFERROR(__xludf.DUMMYFUNCTION("""COMPUTED_VALUE"""),518)</f>
        <v>518</v>
      </c>
    </row>
    <row r="254" spans="1:32" ht="12.5" x14ac:dyDescent="0.25">
      <c r="A254" s="1" t="str">
        <f ca="1">IFERROR(__xludf.DUMMYFUNCTION("""COMPUTED_VALUE"""),"Penn State")</f>
        <v>Penn State</v>
      </c>
      <c r="B254" s="1">
        <f ca="1">IFERROR(__xludf.DUMMYFUNCTION("""COMPUTED_VALUE"""),32)</f>
        <v>32</v>
      </c>
      <c r="C254" s="1">
        <f ca="1">IFERROR(__xludf.DUMMYFUNCTION("""COMPUTED_VALUE"""),12)</f>
        <v>12</v>
      </c>
      <c r="D254" s="1">
        <f ca="1">IFERROR(__xludf.DUMMYFUNCTION("""COMPUTED_VALUE"""),20)</f>
        <v>20</v>
      </c>
      <c r="E254" s="1">
        <f ca="1">IFERROR(__xludf.DUMMYFUNCTION("""COMPUTED_VALUE"""),0.375)</f>
        <v>0.375</v>
      </c>
      <c r="F254" s="1">
        <f ca="1">IFERROR(__xludf.DUMMYFUNCTION("""COMPUTED_VALUE"""),3.72)</f>
        <v>3.72</v>
      </c>
      <c r="G254" s="1">
        <f ca="1">IFERROR(__xludf.DUMMYFUNCTION("""COMPUTED_VALUE"""),7.75)</f>
        <v>7.75</v>
      </c>
      <c r="H254" s="1">
        <f ca="1">IFERROR(__xludf.DUMMYFUNCTION("""COMPUTED_VALUE"""),4)</f>
        <v>4</v>
      </c>
      <c r="I254" s="1">
        <f ca="1">IFERROR(__xludf.DUMMYFUNCTION("""COMPUTED_VALUE"""),14)</f>
        <v>14</v>
      </c>
      <c r="J254" s="1">
        <f ca="1">IFERROR(__xludf.DUMMYFUNCTION("""COMPUTED_VALUE"""),10)</f>
        <v>10</v>
      </c>
      <c r="K254" s="1">
        <f ca="1">IFERROR(__xludf.DUMMYFUNCTION("""COMPUTED_VALUE"""),7)</f>
        <v>7</v>
      </c>
      <c r="L254" s="1">
        <f ca="1">IFERROR(__xludf.DUMMYFUNCTION("""COMPUTED_VALUE"""),1)</f>
        <v>1</v>
      </c>
      <c r="M254" s="1">
        <f ca="1">IFERROR(__xludf.DUMMYFUNCTION("""COMPUTED_VALUE"""),10)</f>
        <v>10</v>
      </c>
      <c r="N254" s="1">
        <f ca="1">IFERROR(__xludf.DUMMYFUNCTION("""COMPUTED_VALUE"""),1977)</f>
        <v>1977</v>
      </c>
      <c r="O254" s="1">
        <f ca="1">IFERROR(__xludf.DUMMYFUNCTION("""COMPUTED_VALUE"""),2106)</f>
        <v>2106</v>
      </c>
      <c r="P254" s="1">
        <f ca="1">IFERROR(__xludf.DUMMYFUNCTION("""COMPUTED_VALUE"""),1280)</f>
        <v>1280</v>
      </c>
      <c r="Q254" s="1">
        <f ca="1">IFERROR(__xludf.DUMMYFUNCTION("""COMPUTED_VALUE"""),695)</f>
        <v>695</v>
      </c>
      <c r="R254" s="1">
        <f ca="1">IFERROR(__xludf.DUMMYFUNCTION("""COMPUTED_VALUE"""),1770)</f>
        <v>1770</v>
      </c>
      <c r="S254" s="1">
        <f ca="1">IFERROR(__xludf.DUMMYFUNCTION("""COMPUTED_VALUE"""),0.393)</f>
        <v>0.39300000000000002</v>
      </c>
      <c r="T254" s="1">
        <f ca="1">IFERROR(__xludf.DUMMYFUNCTION("""COMPUTED_VALUE"""),201)</f>
        <v>201</v>
      </c>
      <c r="U254" s="1">
        <f ca="1">IFERROR(__xludf.DUMMYFUNCTION("""COMPUTED_VALUE"""),647)</f>
        <v>647</v>
      </c>
      <c r="V254" s="1">
        <f ca="1">IFERROR(__xludf.DUMMYFUNCTION("""COMPUTED_VALUE"""),0.311)</f>
        <v>0.311</v>
      </c>
      <c r="W254" s="1">
        <f ca="1">IFERROR(__xludf.DUMMYFUNCTION("""COMPUTED_VALUE"""),386)</f>
        <v>386</v>
      </c>
      <c r="X254" s="1">
        <f ca="1">IFERROR(__xludf.DUMMYFUNCTION("""COMPUTED_VALUE"""),563)</f>
        <v>563</v>
      </c>
      <c r="Y254" s="1">
        <f ca="1">IFERROR(__xludf.DUMMYFUNCTION("""COMPUTED_VALUE"""),0.686)</f>
        <v>0.68600000000000005</v>
      </c>
      <c r="Z254" s="1">
        <f ca="1">IFERROR(__xludf.DUMMYFUNCTION("""COMPUTED_VALUE"""),397)</f>
        <v>397</v>
      </c>
      <c r="AA254" s="1">
        <f ca="1">IFERROR(__xludf.DUMMYFUNCTION("""COMPUTED_VALUE"""),994)</f>
        <v>994</v>
      </c>
      <c r="AB254" s="1">
        <f ca="1">IFERROR(__xludf.DUMMYFUNCTION("""COMPUTED_VALUE"""),344)</f>
        <v>344</v>
      </c>
      <c r="AC254" s="1">
        <f ca="1">IFERROR(__xludf.DUMMYFUNCTION("""COMPUTED_VALUE"""),218)</f>
        <v>218</v>
      </c>
      <c r="AD254" s="1">
        <f ca="1">IFERROR(__xludf.DUMMYFUNCTION("""COMPUTED_VALUE"""),77)</f>
        <v>77</v>
      </c>
      <c r="AE254" s="1">
        <f ca="1">IFERROR(__xludf.DUMMYFUNCTION("""COMPUTED_VALUE"""),390)</f>
        <v>390</v>
      </c>
      <c r="AF254" s="1">
        <f ca="1">IFERROR(__xludf.DUMMYFUNCTION("""COMPUTED_VALUE"""),636)</f>
        <v>636</v>
      </c>
    </row>
    <row r="255" spans="1:32" ht="12.5" x14ac:dyDescent="0.25">
      <c r="A255" s="1" t="str">
        <f ca="1">IFERROR(__xludf.DUMMYFUNCTION("""COMPUTED_VALUE"""),"Pennsylvania")</f>
        <v>Pennsylvania</v>
      </c>
      <c r="B255" s="1">
        <f ca="1">IFERROR(__xludf.DUMMYFUNCTION("""COMPUTED_VALUE"""),33)</f>
        <v>33</v>
      </c>
      <c r="C255" s="1">
        <f ca="1">IFERROR(__xludf.DUMMYFUNCTION("""COMPUTED_VALUE"""),20)</f>
        <v>20</v>
      </c>
      <c r="D255" s="1">
        <f ca="1">IFERROR(__xludf.DUMMYFUNCTION("""COMPUTED_VALUE"""),13)</f>
        <v>13</v>
      </c>
      <c r="E255" s="1">
        <f ca="1">IFERROR(__xludf.DUMMYFUNCTION("""COMPUTED_VALUE"""),0.606)</f>
        <v>0.60599999999999998</v>
      </c>
      <c r="F255" s="1">
        <f ca="1">IFERROR(__xludf.DUMMYFUNCTION("""COMPUTED_VALUE"""),1.12)</f>
        <v>1.1200000000000001</v>
      </c>
      <c r="G255" s="1">
        <f ca="1">IFERROR(__xludf.DUMMYFUNCTION("""COMPUTED_VALUE"""),-0.1)</f>
        <v>-0.1</v>
      </c>
      <c r="H255" s="1">
        <f ca="1">IFERROR(__xludf.DUMMYFUNCTION("""COMPUTED_VALUE"""),11)</f>
        <v>11</v>
      </c>
      <c r="I255" s="1">
        <f ca="1">IFERROR(__xludf.DUMMYFUNCTION("""COMPUTED_VALUE"""),3)</f>
        <v>3</v>
      </c>
      <c r="J255" s="1">
        <f ca="1">IFERROR(__xludf.DUMMYFUNCTION("""COMPUTED_VALUE"""),12)</f>
        <v>12</v>
      </c>
      <c r="K255" s="1">
        <f ca="1">IFERROR(__xludf.DUMMYFUNCTION("""COMPUTED_VALUE"""),7)</f>
        <v>7</v>
      </c>
      <c r="L255" s="1">
        <f ca="1">IFERROR(__xludf.DUMMYFUNCTION("""COMPUTED_VALUE"""),8)</f>
        <v>8</v>
      </c>
      <c r="M255" s="1">
        <f ca="1">IFERROR(__xludf.DUMMYFUNCTION("""COMPUTED_VALUE"""),5)</f>
        <v>5</v>
      </c>
      <c r="N255" s="1">
        <f ca="1">IFERROR(__xludf.DUMMYFUNCTION("""COMPUTED_VALUE"""),2146)</f>
        <v>2146</v>
      </c>
      <c r="O255" s="1">
        <f ca="1">IFERROR(__xludf.DUMMYFUNCTION("""COMPUTED_VALUE"""),2106)</f>
        <v>2106</v>
      </c>
      <c r="P255" s="1">
        <f ca="1">IFERROR(__xludf.DUMMYFUNCTION("""COMPUTED_VALUE"""),1335)</f>
        <v>1335</v>
      </c>
      <c r="Q255" s="1">
        <f ca="1">IFERROR(__xludf.DUMMYFUNCTION("""COMPUTED_VALUE"""),767)</f>
        <v>767</v>
      </c>
      <c r="R255" s="1">
        <f ca="1">IFERROR(__xludf.DUMMYFUNCTION("""COMPUTED_VALUE"""),1731)</f>
        <v>1731</v>
      </c>
      <c r="S255" s="1">
        <f ca="1">IFERROR(__xludf.DUMMYFUNCTION("""COMPUTED_VALUE"""),0.443)</f>
        <v>0.443</v>
      </c>
      <c r="T255" s="1">
        <f ca="1">IFERROR(__xludf.DUMMYFUNCTION("""COMPUTED_VALUE"""),238)</f>
        <v>238</v>
      </c>
      <c r="U255" s="1">
        <f ca="1">IFERROR(__xludf.DUMMYFUNCTION("""COMPUTED_VALUE"""),637)</f>
        <v>637</v>
      </c>
      <c r="V255" s="1">
        <f ca="1">IFERROR(__xludf.DUMMYFUNCTION("""COMPUTED_VALUE"""),0.374)</f>
        <v>0.374</v>
      </c>
      <c r="W255" s="1">
        <f ca="1">IFERROR(__xludf.DUMMYFUNCTION("""COMPUTED_VALUE"""),374)</f>
        <v>374</v>
      </c>
      <c r="X255" s="1">
        <f ca="1">IFERROR(__xludf.DUMMYFUNCTION("""COMPUTED_VALUE"""),513)</f>
        <v>513</v>
      </c>
      <c r="Y255" s="1">
        <f ca="1">IFERROR(__xludf.DUMMYFUNCTION("""COMPUTED_VALUE"""),0.729)</f>
        <v>0.72899999999999998</v>
      </c>
      <c r="Z255" s="1">
        <f ca="1">IFERROR(__xludf.DUMMYFUNCTION("""COMPUTED_VALUE"""),281)</f>
        <v>281</v>
      </c>
      <c r="AA255" s="1">
        <f ca="1">IFERROR(__xludf.DUMMYFUNCTION("""COMPUTED_VALUE"""),888)</f>
        <v>888</v>
      </c>
      <c r="AB255" s="1">
        <f ca="1">IFERROR(__xludf.DUMMYFUNCTION("""COMPUTED_VALUE"""),447)</f>
        <v>447</v>
      </c>
      <c r="AC255" s="1">
        <f ca="1">IFERROR(__xludf.DUMMYFUNCTION("""COMPUTED_VALUE"""),241)</f>
        <v>241</v>
      </c>
      <c r="AD255" s="1">
        <f ca="1">IFERROR(__xludf.DUMMYFUNCTION("""COMPUTED_VALUE"""),83)</f>
        <v>83</v>
      </c>
      <c r="AE255" s="1">
        <f ca="1">IFERROR(__xludf.DUMMYFUNCTION("""COMPUTED_VALUE"""),414)</f>
        <v>414</v>
      </c>
      <c r="AF255" s="1">
        <f ca="1">IFERROR(__xludf.DUMMYFUNCTION("""COMPUTED_VALUE"""),647)</f>
        <v>647</v>
      </c>
    </row>
    <row r="256" spans="1:32" ht="12.5" x14ac:dyDescent="0.25">
      <c r="A256" s="1" t="str">
        <f ca="1">IFERROR(__xludf.DUMMYFUNCTION("""COMPUTED_VALUE"""),"Pepperdine")</f>
        <v>Pepperdine</v>
      </c>
      <c r="B256" s="1">
        <f ca="1">IFERROR(__xludf.DUMMYFUNCTION("""COMPUTED_VALUE"""),29)</f>
        <v>29</v>
      </c>
      <c r="C256" s="1">
        <f ca="1">IFERROR(__xludf.DUMMYFUNCTION("""COMPUTED_VALUE"""),10)</f>
        <v>10</v>
      </c>
      <c r="D256" s="1">
        <f ca="1">IFERROR(__xludf.DUMMYFUNCTION("""COMPUTED_VALUE"""),19)</f>
        <v>19</v>
      </c>
      <c r="E256" s="1">
        <f ca="1">IFERROR(__xludf.DUMMYFUNCTION("""COMPUTED_VALUE"""),0.345)</f>
        <v>0.34499999999999997</v>
      </c>
      <c r="F256" s="1">
        <f ca="1">IFERROR(__xludf.DUMMYFUNCTION("""COMPUTED_VALUE"""),-7.4)</f>
        <v>-7.4</v>
      </c>
      <c r="G256" s="1">
        <f ca="1">IFERROR(__xludf.DUMMYFUNCTION("""COMPUTED_VALUE"""),-0.23)</f>
        <v>-0.23</v>
      </c>
      <c r="H256" s="1">
        <f ca="1">IFERROR(__xludf.DUMMYFUNCTION("""COMPUTED_VALUE"""),4)</f>
        <v>4</v>
      </c>
      <c r="I256" s="1">
        <f ca="1">IFERROR(__xludf.DUMMYFUNCTION("""COMPUTED_VALUE"""),12)</f>
        <v>12</v>
      </c>
      <c r="J256" s="1">
        <f ca="1">IFERROR(__xludf.DUMMYFUNCTION("""COMPUTED_VALUE"""),6)</f>
        <v>6</v>
      </c>
      <c r="K256" s="1">
        <f ca="1">IFERROR(__xludf.DUMMYFUNCTION("""COMPUTED_VALUE"""),7)</f>
        <v>7</v>
      </c>
      <c r="L256" s="1">
        <f ca="1">IFERROR(__xludf.DUMMYFUNCTION("""COMPUTED_VALUE"""),4)</f>
        <v>4</v>
      </c>
      <c r="M256" s="1">
        <f ca="1">IFERROR(__xludf.DUMMYFUNCTION("""COMPUTED_VALUE"""),10)</f>
        <v>10</v>
      </c>
      <c r="N256" s="1">
        <f ca="1">IFERROR(__xludf.DUMMYFUNCTION("""COMPUTED_VALUE"""),1719)</f>
        <v>1719</v>
      </c>
      <c r="O256" s="1">
        <f ca="1">IFERROR(__xludf.DUMMYFUNCTION("""COMPUTED_VALUE"""),1911)</f>
        <v>1911</v>
      </c>
      <c r="P256" s="1">
        <f ca="1">IFERROR(__xludf.DUMMYFUNCTION("""COMPUTED_VALUE"""),1164)</f>
        <v>1164</v>
      </c>
      <c r="Q256" s="1">
        <f ca="1">IFERROR(__xludf.DUMMYFUNCTION("""COMPUTED_VALUE"""),603)</f>
        <v>603</v>
      </c>
      <c r="R256" s="1">
        <f ca="1">IFERROR(__xludf.DUMMYFUNCTION("""COMPUTED_VALUE"""),1523)</f>
        <v>1523</v>
      </c>
      <c r="S256" s="1">
        <f ca="1">IFERROR(__xludf.DUMMYFUNCTION("""COMPUTED_VALUE"""),0.396)</f>
        <v>0.39600000000000002</v>
      </c>
      <c r="T256" s="1">
        <f ca="1">IFERROR(__xludf.DUMMYFUNCTION("""COMPUTED_VALUE"""),144)</f>
        <v>144</v>
      </c>
      <c r="U256" s="1">
        <f ca="1">IFERROR(__xludf.DUMMYFUNCTION("""COMPUTED_VALUE"""),454)</f>
        <v>454</v>
      </c>
      <c r="V256" s="1">
        <f ca="1">IFERROR(__xludf.DUMMYFUNCTION("""COMPUTED_VALUE"""),0.317)</f>
        <v>0.317</v>
      </c>
      <c r="W256" s="1">
        <f ca="1">IFERROR(__xludf.DUMMYFUNCTION("""COMPUTED_VALUE"""),369)</f>
        <v>369</v>
      </c>
      <c r="X256" s="1">
        <f ca="1">IFERROR(__xludf.DUMMYFUNCTION("""COMPUTED_VALUE"""),560)</f>
        <v>560</v>
      </c>
      <c r="Y256" s="1">
        <f ca="1">IFERROR(__xludf.DUMMYFUNCTION("""COMPUTED_VALUE"""),0.659)</f>
        <v>0.65900000000000003</v>
      </c>
      <c r="Z256" s="1">
        <f ca="1">IFERROR(__xludf.DUMMYFUNCTION("""COMPUTED_VALUE"""),350)</f>
        <v>350</v>
      </c>
      <c r="AA256" s="1">
        <f ca="1">IFERROR(__xludf.DUMMYFUNCTION("""COMPUTED_VALUE"""),943)</f>
        <v>943</v>
      </c>
      <c r="AB256" s="1">
        <f ca="1">IFERROR(__xludf.DUMMYFUNCTION("""COMPUTED_VALUE"""),358)</f>
        <v>358</v>
      </c>
      <c r="AC256" s="1">
        <f ca="1">IFERROR(__xludf.DUMMYFUNCTION("""COMPUTED_VALUE"""),135)</f>
        <v>135</v>
      </c>
      <c r="AD256" s="1">
        <f ca="1">IFERROR(__xludf.DUMMYFUNCTION("""COMPUTED_VALUE"""),85)</f>
        <v>85</v>
      </c>
      <c r="AE256" s="1">
        <f ca="1">IFERROR(__xludf.DUMMYFUNCTION("""COMPUTED_VALUE"""),394)</f>
        <v>394</v>
      </c>
      <c r="AF256" s="1">
        <f ca="1">IFERROR(__xludf.DUMMYFUNCTION("""COMPUTED_VALUE"""),525)</f>
        <v>525</v>
      </c>
    </row>
    <row r="257" spans="1:32" ht="12.5" x14ac:dyDescent="0.25">
      <c r="A257" s="1" t="str">
        <f ca="1">IFERROR(__xludf.DUMMYFUNCTION("""COMPUTED_VALUE"""),"Pittsburgh")</f>
        <v>Pittsburgh</v>
      </c>
      <c r="B257" s="1">
        <f ca="1">IFERROR(__xludf.DUMMYFUNCTION("""COMPUTED_VALUE"""),39)</f>
        <v>39</v>
      </c>
      <c r="C257" s="1">
        <f ca="1">IFERROR(__xludf.DUMMYFUNCTION("""COMPUTED_VALUE"""),22)</f>
        <v>22</v>
      </c>
      <c r="D257" s="1">
        <f ca="1">IFERROR(__xludf.DUMMYFUNCTION("""COMPUTED_VALUE"""),17)</f>
        <v>17</v>
      </c>
      <c r="E257" s="1">
        <f ca="1">IFERROR(__xludf.DUMMYFUNCTION("""COMPUTED_VALUE"""),0.564)</f>
        <v>0.56399999999999995</v>
      </c>
      <c r="F257" s="1">
        <f ca="1">IFERROR(__xludf.DUMMYFUNCTION("""COMPUTED_VALUE"""),9.43)</f>
        <v>9.43</v>
      </c>
      <c r="G257" s="1">
        <f ca="1">IFERROR(__xludf.DUMMYFUNCTION("""COMPUTED_VALUE"""),5.89)</f>
        <v>5.89</v>
      </c>
      <c r="H257" s="1">
        <f ca="1">IFERROR(__xludf.DUMMYFUNCTION("""COMPUTED_VALUE"""),5)</f>
        <v>5</v>
      </c>
      <c r="I257" s="1">
        <f ca="1">IFERROR(__xludf.DUMMYFUNCTION("""COMPUTED_VALUE"""),13)</f>
        <v>13</v>
      </c>
      <c r="J257" s="1">
        <f ca="1">IFERROR(__xludf.DUMMYFUNCTION("""COMPUTED_VALUE"""),15)</f>
        <v>15</v>
      </c>
      <c r="K257" s="1">
        <f ca="1">IFERROR(__xludf.DUMMYFUNCTION("""COMPUTED_VALUE"""),7)</f>
        <v>7</v>
      </c>
      <c r="L257" s="1">
        <f ca="1">IFERROR(__xludf.DUMMYFUNCTION("""COMPUTED_VALUE"""),5)</f>
        <v>5</v>
      </c>
      <c r="M257" s="1">
        <f ca="1">IFERROR(__xludf.DUMMYFUNCTION("""COMPUTED_VALUE"""),9)</f>
        <v>9</v>
      </c>
      <c r="N257" s="1">
        <f ca="1">IFERROR(__xludf.DUMMYFUNCTION("""COMPUTED_VALUE"""),2692)</f>
        <v>2692</v>
      </c>
      <c r="O257" s="1">
        <f ca="1">IFERROR(__xludf.DUMMYFUNCTION("""COMPUTED_VALUE"""),2554)</f>
        <v>2554</v>
      </c>
      <c r="P257" s="1">
        <f ca="1">IFERROR(__xludf.DUMMYFUNCTION("""COMPUTED_VALUE"""),1565)</f>
        <v>1565</v>
      </c>
      <c r="Q257" s="1">
        <f ca="1">IFERROR(__xludf.DUMMYFUNCTION("""COMPUTED_VALUE"""),981)</f>
        <v>981</v>
      </c>
      <c r="R257" s="1">
        <f ca="1">IFERROR(__xludf.DUMMYFUNCTION("""COMPUTED_VALUE"""),2164)</f>
        <v>2164</v>
      </c>
      <c r="S257" s="1">
        <f ca="1">IFERROR(__xludf.DUMMYFUNCTION("""COMPUTED_VALUE"""),0.453)</f>
        <v>0.45300000000000001</v>
      </c>
      <c r="T257" s="1">
        <f ca="1">IFERROR(__xludf.DUMMYFUNCTION("""COMPUTED_VALUE"""),247)</f>
        <v>247</v>
      </c>
      <c r="U257" s="1">
        <f ca="1">IFERROR(__xludf.DUMMYFUNCTION("""COMPUTED_VALUE"""),707)</f>
        <v>707</v>
      </c>
      <c r="V257" s="1">
        <f ca="1">IFERROR(__xludf.DUMMYFUNCTION("""COMPUTED_VALUE"""),0.349)</f>
        <v>0.34899999999999998</v>
      </c>
      <c r="W257" s="1">
        <f ca="1">IFERROR(__xludf.DUMMYFUNCTION("""COMPUTED_VALUE"""),483)</f>
        <v>483</v>
      </c>
      <c r="X257" s="1">
        <f ca="1">IFERROR(__xludf.DUMMYFUNCTION("""COMPUTED_VALUE"""),691)</f>
        <v>691</v>
      </c>
      <c r="Y257" s="1">
        <f ca="1">IFERROR(__xludf.DUMMYFUNCTION("""COMPUTED_VALUE"""),0.699)</f>
        <v>0.69899999999999995</v>
      </c>
      <c r="Z257" s="1">
        <f ca="1">IFERROR(__xludf.DUMMYFUNCTION("""COMPUTED_VALUE"""),532)</f>
        <v>532</v>
      </c>
      <c r="AA257" s="1">
        <f ca="1">IFERROR(__xludf.DUMMYFUNCTION("""COMPUTED_VALUE"""),1286)</f>
        <v>1286</v>
      </c>
      <c r="AB257" s="1">
        <f ca="1">IFERROR(__xludf.DUMMYFUNCTION("""COMPUTED_VALUE"""),593)</f>
        <v>593</v>
      </c>
      <c r="AC257" s="1">
        <f ca="1">IFERROR(__xludf.DUMMYFUNCTION("""COMPUTED_VALUE"""),183)</f>
        <v>183</v>
      </c>
      <c r="AD257" s="1">
        <f ca="1">IFERROR(__xludf.DUMMYFUNCTION("""COMPUTED_VALUE"""),103)</f>
        <v>103</v>
      </c>
      <c r="AE257" s="1">
        <f ca="1">IFERROR(__xludf.DUMMYFUNCTION("""COMPUTED_VALUE"""),495)</f>
        <v>495</v>
      </c>
      <c r="AF257" s="1">
        <f ca="1">IFERROR(__xludf.DUMMYFUNCTION("""COMPUTED_VALUE"""),671)</f>
        <v>671</v>
      </c>
    </row>
    <row r="258" spans="1:32" ht="12.5" x14ac:dyDescent="0.25">
      <c r="A258" s="1" t="str">
        <f ca="1">IFERROR(__xludf.DUMMYFUNCTION("""COMPUTED_VALUE"""),"Portland State")</f>
        <v>Portland State</v>
      </c>
      <c r="B258" s="1">
        <f ca="1">IFERROR(__xludf.DUMMYFUNCTION("""COMPUTED_VALUE"""),32)</f>
        <v>32</v>
      </c>
      <c r="C258" s="1">
        <f ca="1">IFERROR(__xludf.DUMMYFUNCTION("""COMPUTED_VALUE"""),17)</f>
        <v>17</v>
      </c>
      <c r="D258" s="1">
        <f ca="1">IFERROR(__xludf.DUMMYFUNCTION("""COMPUTED_VALUE"""),15)</f>
        <v>15</v>
      </c>
      <c r="E258" s="1">
        <f ca="1">IFERROR(__xludf.DUMMYFUNCTION("""COMPUTED_VALUE"""),0.531)</f>
        <v>0.53100000000000003</v>
      </c>
      <c r="F258" s="1">
        <f ca="1">IFERROR(__xludf.DUMMYFUNCTION("""COMPUTED_VALUE"""),-4.04)</f>
        <v>-4.04</v>
      </c>
      <c r="G258" s="1">
        <f ca="1">IFERROR(__xludf.DUMMYFUNCTION("""COMPUTED_VALUE"""),-4.07)</f>
        <v>-4.07</v>
      </c>
      <c r="H258" s="1">
        <f ca="1">IFERROR(__xludf.DUMMYFUNCTION("""COMPUTED_VALUE"""),10)</f>
        <v>10</v>
      </c>
      <c r="I258" s="1">
        <f ca="1">IFERROR(__xludf.DUMMYFUNCTION("""COMPUTED_VALUE"""),6)</f>
        <v>6</v>
      </c>
      <c r="J258" s="1">
        <f ca="1">IFERROR(__xludf.DUMMYFUNCTION("""COMPUTED_VALUE"""),10)</f>
        <v>10</v>
      </c>
      <c r="K258" s="1">
        <f ca="1">IFERROR(__xludf.DUMMYFUNCTION("""COMPUTED_VALUE"""),3)</f>
        <v>3</v>
      </c>
      <c r="L258" s="1">
        <f ca="1">IFERROR(__xludf.DUMMYFUNCTION("""COMPUTED_VALUE"""),5)</f>
        <v>5</v>
      </c>
      <c r="M258" s="1">
        <f ca="1">IFERROR(__xludf.DUMMYFUNCTION("""COMPUTED_VALUE"""),11)</f>
        <v>11</v>
      </c>
      <c r="N258" s="1">
        <f ca="1">IFERROR(__xludf.DUMMYFUNCTION("""COMPUTED_VALUE"""),2438)</f>
        <v>2438</v>
      </c>
      <c r="O258" s="1">
        <f ca="1">IFERROR(__xludf.DUMMYFUNCTION("""COMPUTED_VALUE"""),2345)</f>
        <v>2345</v>
      </c>
      <c r="P258" s="1">
        <f ca="1">IFERROR(__xludf.DUMMYFUNCTION("""COMPUTED_VALUE"""),1285)</f>
        <v>1285</v>
      </c>
      <c r="Q258" s="1">
        <f ca="1">IFERROR(__xludf.DUMMYFUNCTION("""COMPUTED_VALUE"""),846)</f>
        <v>846</v>
      </c>
      <c r="R258" s="1">
        <f ca="1">IFERROR(__xludf.DUMMYFUNCTION("""COMPUTED_VALUE"""),1751)</f>
        <v>1751</v>
      </c>
      <c r="S258" s="1">
        <f ca="1">IFERROR(__xludf.DUMMYFUNCTION("""COMPUTED_VALUE"""),0.483)</f>
        <v>0.48299999999999998</v>
      </c>
      <c r="T258" s="1">
        <f ca="1">IFERROR(__xludf.DUMMYFUNCTION("""COMPUTED_VALUE"""),185)</f>
        <v>185</v>
      </c>
      <c r="U258" s="1">
        <f ca="1">IFERROR(__xludf.DUMMYFUNCTION("""COMPUTED_VALUE"""),531)</f>
        <v>531</v>
      </c>
      <c r="V258" s="1">
        <f ca="1">IFERROR(__xludf.DUMMYFUNCTION("""COMPUTED_VALUE"""),0.348)</f>
        <v>0.34799999999999998</v>
      </c>
      <c r="W258" s="1">
        <f ca="1">IFERROR(__xludf.DUMMYFUNCTION("""COMPUTED_VALUE"""),561)</f>
        <v>561</v>
      </c>
      <c r="X258" s="1">
        <f ca="1">IFERROR(__xludf.DUMMYFUNCTION("""COMPUTED_VALUE"""),761)</f>
        <v>761</v>
      </c>
      <c r="Y258" s="1">
        <f ca="1">IFERROR(__xludf.DUMMYFUNCTION("""COMPUTED_VALUE"""),0.737)</f>
        <v>0.73699999999999999</v>
      </c>
      <c r="Z258" s="1">
        <f ca="1">IFERROR(__xludf.DUMMYFUNCTION("""COMPUTED_VALUE"""),334)</f>
        <v>334</v>
      </c>
      <c r="AA258" s="1">
        <f ca="1">IFERROR(__xludf.DUMMYFUNCTION("""COMPUTED_VALUE"""),1008)</f>
        <v>1008</v>
      </c>
      <c r="AB258" s="1">
        <f ca="1">IFERROR(__xludf.DUMMYFUNCTION("""COMPUTED_VALUE"""),370)</f>
        <v>370</v>
      </c>
      <c r="AC258" s="1">
        <f ca="1">IFERROR(__xludf.DUMMYFUNCTION("""COMPUTED_VALUE"""),170)</f>
        <v>170</v>
      </c>
      <c r="AD258" s="1">
        <f ca="1">IFERROR(__xludf.DUMMYFUNCTION("""COMPUTED_VALUE"""),90)</f>
        <v>90</v>
      </c>
      <c r="AE258" s="1">
        <f ca="1">IFERROR(__xludf.DUMMYFUNCTION("""COMPUTED_VALUE"""),431)</f>
        <v>431</v>
      </c>
      <c r="AF258" s="1">
        <f ca="1">IFERROR(__xludf.DUMMYFUNCTION("""COMPUTED_VALUE"""),539)</f>
        <v>539</v>
      </c>
    </row>
    <row r="259" spans="1:32" ht="12.5" x14ac:dyDescent="0.25">
      <c r="A259" s="1" t="str">
        <f ca="1">IFERROR(__xludf.DUMMYFUNCTION("""COMPUTED_VALUE"""),"Portland")</f>
        <v>Portland</v>
      </c>
      <c r="B259" s="1">
        <f ca="1">IFERROR(__xludf.DUMMYFUNCTION("""COMPUTED_VALUE"""),31)</f>
        <v>31</v>
      </c>
      <c r="C259" s="1">
        <f ca="1">IFERROR(__xludf.DUMMYFUNCTION("""COMPUTED_VALUE"""),7)</f>
        <v>7</v>
      </c>
      <c r="D259" s="1">
        <f ca="1">IFERROR(__xludf.DUMMYFUNCTION("""COMPUTED_VALUE"""),24)</f>
        <v>24</v>
      </c>
      <c r="E259" s="1">
        <f ca="1">IFERROR(__xludf.DUMMYFUNCTION("""COMPUTED_VALUE"""),0.226)</f>
        <v>0.22600000000000001</v>
      </c>
      <c r="F259" s="1">
        <f ca="1">IFERROR(__xludf.DUMMYFUNCTION("""COMPUTED_VALUE"""),-7.88)</f>
        <v>-7.88</v>
      </c>
      <c r="G259" s="1">
        <f ca="1">IFERROR(__xludf.DUMMYFUNCTION("""COMPUTED_VALUE"""),3.82)</f>
        <v>3.82</v>
      </c>
      <c r="H259" s="1">
        <f ca="1">IFERROR(__xludf.DUMMYFUNCTION("""COMPUTED_VALUE"""),3)</f>
        <v>3</v>
      </c>
      <c r="I259" s="1">
        <f ca="1">IFERROR(__xludf.DUMMYFUNCTION("""COMPUTED_VALUE"""),13)</f>
        <v>13</v>
      </c>
      <c r="J259" s="1">
        <f ca="1">IFERROR(__xludf.DUMMYFUNCTION("""COMPUTED_VALUE"""),3)</f>
        <v>3</v>
      </c>
      <c r="K259" s="1">
        <f ca="1">IFERROR(__xludf.DUMMYFUNCTION("""COMPUTED_VALUE"""),9)</f>
        <v>9</v>
      </c>
      <c r="L259" s="1">
        <f ca="1">IFERROR(__xludf.DUMMYFUNCTION("""COMPUTED_VALUE"""),1)</f>
        <v>1</v>
      </c>
      <c r="M259" s="1">
        <f ca="1">IFERROR(__xludf.DUMMYFUNCTION("""COMPUTED_VALUE"""),14)</f>
        <v>14</v>
      </c>
      <c r="N259" s="1">
        <f ca="1">IFERROR(__xludf.DUMMYFUNCTION("""COMPUTED_VALUE"""),2018)</f>
        <v>2018</v>
      </c>
      <c r="O259" s="1">
        <f ca="1">IFERROR(__xludf.DUMMYFUNCTION("""COMPUTED_VALUE"""),2357)</f>
        <v>2357</v>
      </c>
      <c r="P259" s="1">
        <f ca="1">IFERROR(__xludf.DUMMYFUNCTION("""COMPUTED_VALUE"""),1245)</f>
        <v>1245</v>
      </c>
      <c r="Q259" s="1">
        <f ca="1">IFERROR(__xludf.DUMMYFUNCTION("""COMPUTED_VALUE"""),723)</f>
        <v>723</v>
      </c>
      <c r="R259" s="1">
        <f ca="1">IFERROR(__xludf.DUMMYFUNCTION("""COMPUTED_VALUE"""),1691)</f>
        <v>1691</v>
      </c>
      <c r="S259" s="1">
        <f ca="1">IFERROR(__xludf.DUMMYFUNCTION("""COMPUTED_VALUE"""),0.428)</f>
        <v>0.42799999999999999</v>
      </c>
      <c r="T259" s="1">
        <f ca="1">IFERROR(__xludf.DUMMYFUNCTION("""COMPUTED_VALUE"""),162)</f>
        <v>162</v>
      </c>
      <c r="U259" s="1">
        <f ca="1">IFERROR(__xludf.DUMMYFUNCTION("""COMPUTED_VALUE"""),507)</f>
        <v>507</v>
      </c>
      <c r="V259" s="1">
        <f ca="1">IFERROR(__xludf.DUMMYFUNCTION("""COMPUTED_VALUE"""),0.32)</f>
        <v>0.32</v>
      </c>
      <c r="W259" s="1">
        <f ca="1">IFERROR(__xludf.DUMMYFUNCTION("""COMPUTED_VALUE"""),410)</f>
        <v>410</v>
      </c>
      <c r="X259" s="1">
        <f ca="1">IFERROR(__xludf.DUMMYFUNCTION("""COMPUTED_VALUE"""),571)</f>
        <v>571</v>
      </c>
      <c r="Y259" s="1">
        <f ca="1">IFERROR(__xludf.DUMMYFUNCTION("""COMPUTED_VALUE"""),0.718)</f>
        <v>0.71799999999999997</v>
      </c>
      <c r="Z259" s="1">
        <f ca="1">IFERROR(__xludf.DUMMYFUNCTION("""COMPUTED_VALUE"""),328)</f>
        <v>328</v>
      </c>
      <c r="AA259" s="1">
        <f ca="1">IFERROR(__xludf.DUMMYFUNCTION("""COMPUTED_VALUE"""),935)</f>
        <v>935</v>
      </c>
      <c r="AB259" s="1">
        <f ca="1">IFERROR(__xludf.DUMMYFUNCTION("""COMPUTED_VALUE"""),368)</f>
        <v>368</v>
      </c>
      <c r="AC259" s="1">
        <f ca="1">IFERROR(__xludf.DUMMYFUNCTION("""COMPUTED_VALUE"""),145)</f>
        <v>145</v>
      </c>
      <c r="AD259" s="1">
        <f ca="1">IFERROR(__xludf.DUMMYFUNCTION("""COMPUTED_VALUE"""),86)</f>
        <v>86</v>
      </c>
      <c r="AE259" s="1">
        <f ca="1">IFERROR(__xludf.DUMMYFUNCTION("""COMPUTED_VALUE"""),483)</f>
        <v>483</v>
      </c>
      <c r="AF259" s="1">
        <f ca="1">IFERROR(__xludf.DUMMYFUNCTION("""COMPUTED_VALUE"""),645)</f>
        <v>645</v>
      </c>
    </row>
    <row r="260" spans="1:32" ht="12.5" x14ac:dyDescent="0.25">
      <c r="A260" s="1" t="str">
        <f ca="1">IFERROR(__xludf.DUMMYFUNCTION("""COMPUTED_VALUE"""),"Prairie View")</f>
        <v>Prairie View</v>
      </c>
      <c r="B260" s="1">
        <f ca="1">IFERROR(__xludf.DUMMYFUNCTION("""COMPUTED_VALUE"""),32)</f>
        <v>32</v>
      </c>
      <c r="C260" s="1">
        <f ca="1">IFERROR(__xludf.DUMMYFUNCTION("""COMPUTED_VALUE"""),14)</f>
        <v>14</v>
      </c>
      <c r="D260" s="1">
        <f ca="1">IFERROR(__xludf.DUMMYFUNCTION("""COMPUTED_VALUE"""),18)</f>
        <v>18</v>
      </c>
      <c r="E260" s="1">
        <f ca="1">IFERROR(__xludf.DUMMYFUNCTION("""COMPUTED_VALUE"""),0.438)</f>
        <v>0.438</v>
      </c>
      <c r="F260" s="1">
        <f ca="1">IFERROR(__xludf.DUMMYFUNCTION("""COMPUTED_VALUE"""),-16.87)</f>
        <v>-16.87</v>
      </c>
      <c r="G260" s="1">
        <f ca="1">IFERROR(__xludf.DUMMYFUNCTION("""COMPUTED_VALUE"""),-10.29)</f>
        <v>-10.29</v>
      </c>
      <c r="H260" s="1">
        <f ca="1">IFERROR(__xludf.DUMMYFUNCTION("""COMPUTED_VALUE"""),10)</f>
        <v>10</v>
      </c>
      <c r="I260" s="1">
        <f ca="1">IFERROR(__xludf.DUMMYFUNCTION("""COMPUTED_VALUE"""),8)</f>
        <v>8</v>
      </c>
      <c r="J260" s="1">
        <f ca="1">IFERROR(__xludf.DUMMYFUNCTION("""COMPUTED_VALUE"""),8)</f>
        <v>8</v>
      </c>
      <c r="K260" s="1">
        <f ca="1">IFERROR(__xludf.DUMMYFUNCTION("""COMPUTED_VALUE"""),3)</f>
        <v>3</v>
      </c>
      <c r="L260" s="1">
        <f ca="1">IFERROR(__xludf.DUMMYFUNCTION("""COMPUTED_VALUE"""),4)</f>
        <v>4</v>
      </c>
      <c r="M260" s="1">
        <f ca="1">IFERROR(__xludf.DUMMYFUNCTION("""COMPUTED_VALUE"""),11)</f>
        <v>11</v>
      </c>
      <c r="N260" s="1">
        <f ca="1">IFERROR(__xludf.DUMMYFUNCTION("""COMPUTED_VALUE"""),2016)</f>
        <v>2016</v>
      </c>
      <c r="O260" s="1">
        <f ca="1">IFERROR(__xludf.DUMMYFUNCTION("""COMPUTED_VALUE"""),2101)</f>
        <v>2101</v>
      </c>
      <c r="P260" s="1">
        <f ca="1">IFERROR(__xludf.DUMMYFUNCTION("""COMPUTED_VALUE"""),1280)</f>
        <v>1280</v>
      </c>
      <c r="Q260" s="1">
        <f ca="1">IFERROR(__xludf.DUMMYFUNCTION("""COMPUTED_VALUE"""),755)</f>
        <v>755</v>
      </c>
      <c r="R260" s="1">
        <f ca="1">IFERROR(__xludf.DUMMYFUNCTION("""COMPUTED_VALUE"""),1922)</f>
        <v>1922</v>
      </c>
      <c r="S260" s="1">
        <f ca="1">IFERROR(__xludf.DUMMYFUNCTION("""COMPUTED_VALUE"""),0.393)</f>
        <v>0.39300000000000002</v>
      </c>
      <c r="T260" s="1">
        <f ca="1">IFERROR(__xludf.DUMMYFUNCTION("""COMPUTED_VALUE"""),166)</f>
        <v>166</v>
      </c>
      <c r="U260" s="1">
        <f ca="1">IFERROR(__xludf.DUMMYFUNCTION("""COMPUTED_VALUE"""),532)</f>
        <v>532</v>
      </c>
      <c r="V260" s="1">
        <f ca="1">IFERROR(__xludf.DUMMYFUNCTION("""COMPUTED_VALUE"""),0.312)</f>
        <v>0.312</v>
      </c>
      <c r="W260" s="1">
        <f ca="1">IFERROR(__xludf.DUMMYFUNCTION("""COMPUTED_VALUE"""),340)</f>
        <v>340</v>
      </c>
      <c r="X260" s="1">
        <f ca="1">IFERROR(__xludf.DUMMYFUNCTION("""COMPUTED_VALUE"""),629)</f>
        <v>629</v>
      </c>
      <c r="Y260" s="1">
        <f ca="1">IFERROR(__xludf.DUMMYFUNCTION("""COMPUTED_VALUE"""),0.541)</f>
        <v>0.54100000000000004</v>
      </c>
      <c r="Z260" s="1">
        <f ca="1">IFERROR(__xludf.DUMMYFUNCTION("""COMPUTED_VALUE"""),451)</f>
        <v>451</v>
      </c>
      <c r="AA260" s="1">
        <f ca="1">IFERROR(__xludf.DUMMYFUNCTION("""COMPUTED_VALUE"""),1112)</f>
        <v>1112</v>
      </c>
      <c r="AB260" s="1">
        <f ca="1">IFERROR(__xludf.DUMMYFUNCTION("""COMPUTED_VALUE"""),346)</f>
        <v>346</v>
      </c>
      <c r="AC260" s="1">
        <f ca="1">IFERROR(__xludf.DUMMYFUNCTION("""COMPUTED_VALUE"""),251)</f>
        <v>251</v>
      </c>
      <c r="AD260" s="1">
        <f ca="1">IFERROR(__xludf.DUMMYFUNCTION("""COMPUTED_VALUE"""),103)</f>
        <v>103</v>
      </c>
      <c r="AE260" s="1">
        <f ca="1">IFERROR(__xludf.DUMMYFUNCTION("""COMPUTED_VALUE"""),514)</f>
        <v>514</v>
      </c>
      <c r="AF260" s="1">
        <f ca="1">IFERROR(__xludf.DUMMYFUNCTION("""COMPUTED_VALUE"""),621)</f>
        <v>621</v>
      </c>
    </row>
    <row r="261" spans="1:32" ht="12.5" x14ac:dyDescent="0.25">
      <c r="A261" s="1" t="str">
        <f ca="1">IFERROR(__xludf.DUMMYFUNCTION("""COMPUTED_VALUE"""),"Presbyterian")</f>
        <v>Presbyterian</v>
      </c>
      <c r="B261" s="1">
        <f ca="1">IFERROR(__xludf.DUMMYFUNCTION("""COMPUTED_VALUE"""),29)</f>
        <v>29</v>
      </c>
      <c r="C261" s="1">
        <f ca="1">IFERROR(__xludf.DUMMYFUNCTION("""COMPUTED_VALUE"""),14)</f>
        <v>14</v>
      </c>
      <c r="D261" s="1">
        <f ca="1">IFERROR(__xludf.DUMMYFUNCTION("""COMPUTED_VALUE"""),15)</f>
        <v>15</v>
      </c>
      <c r="E261" s="1">
        <f ca="1">IFERROR(__xludf.DUMMYFUNCTION("""COMPUTED_VALUE"""),0.483)</f>
        <v>0.48299999999999998</v>
      </c>
      <c r="F261" s="1">
        <f ca="1">IFERROR(__xludf.DUMMYFUNCTION("""COMPUTED_VALUE"""),-6.76)</f>
        <v>-6.76</v>
      </c>
      <c r="G261" s="1">
        <f ca="1">IFERROR(__xludf.DUMMYFUNCTION("""COMPUTED_VALUE"""),-4.65)</f>
        <v>-4.6500000000000004</v>
      </c>
      <c r="H261" s="1">
        <f ca="1">IFERROR(__xludf.DUMMYFUNCTION("""COMPUTED_VALUE"""),8)</f>
        <v>8</v>
      </c>
      <c r="I261" s="1">
        <f ca="1">IFERROR(__xludf.DUMMYFUNCTION("""COMPUTED_VALUE"""),10)</f>
        <v>10</v>
      </c>
      <c r="J261" s="1">
        <f ca="1">IFERROR(__xludf.DUMMYFUNCTION("""COMPUTED_VALUE"""),7)</f>
        <v>7</v>
      </c>
      <c r="K261" s="1">
        <f ca="1">IFERROR(__xludf.DUMMYFUNCTION("""COMPUTED_VALUE"""),8)</f>
        <v>8</v>
      </c>
      <c r="L261" s="1">
        <f ca="1">IFERROR(__xludf.DUMMYFUNCTION("""COMPUTED_VALUE"""),7)</f>
        <v>7</v>
      </c>
      <c r="M261" s="1">
        <f ca="1">IFERROR(__xludf.DUMMYFUNCTION("""COMPUTED_VALUE"""),7)</f>
        <v>7</v>
      </c>
      <c r="N261" s="1">
        <f ca="1">IFERROR(__xludf.DUMMYFUNCTION("""COMPUTED_VALUE"""),1889)</f>
        <v>1889</v>
      </c>
      <c r="O261" s="1">
        <f ca="1">IFERROR(__xludf.DUMMYFUNCTION("""COMPUTED_VALUE"""),1918)</f>
        <v>1918</v>
      </c>
      <c r="P261" s="1">
        <f ca="1">IFERROR(__xludf.DUMMYFUNCTION("""COMPUTED_VALUE"""),1165)</f>
        <v>1165</v>
      </c>
      <c r="Q261" s="1">
        <f ca="1">IFERROR(__xludf.DUMMYFUNCTION("""COMPUTED_VALUE"""),661)</f>
        <v>661</v>
      </c>
      <c r="R261" s="1">
        <f ca="1">IFERROR(__xludf.DUMMYFUNCTION("""COMPUTED_VALUE"""),1425)</f>
        <v>1425</v>
      </c>
      <c r="S261" s="1">
        <f ca="1">IFERROR(__xludf.DUMMYFUNCTION("""COMPUTED_VALUE"""),0.464)</f>
        <v>0.46400000000000002</v>
      </c>
      <c r="T261" s="1">
        <f ca="1">IFERROR(__xludf.DUMMYFUNCTION("""COMPUTED_VALUE"""),171)</f>
        <v>171</v>
      </c>
      <c r="U261" s="1">
        <f ca="1">IFERROR(__xludf.DUMMYFUNCTION("""COMPUTED_VALUE"""),493)</f>
        <v>493</v>
      </c>
      <c r="V261" s="1">
        <f ca="1">IFERROR(__xludf.DUMMYFUNCTION("""COMPUTED_VALUE"""),0.347)</f>
        <v>0.34699999999999998</v>
      </c>
      <c r="W261" s="1">
        <f ca="1">IFERROR(__xludf.DUMMYFUNCTION("""COMPUTED_VALUE"""),396)</f>
        <v>396</v>
      </c>
      <c r="X261" s="1">
        <f ca="1">IFERROR(__xludf.DUMMYFUNCTION("""COMPUTED_VALUE"""),563)</f>
        <v>563</v>
      </c>
      <c r="Y261" s="1">
        <f ca="1">IFERROR(__xludf.DUMMYFUNCTION("""COMPUTED_VALUE"""),0.703)</f>
        <v>0.70299999999999996</v>
      </c>
      <c r="Z261" s="1">
        <f ca="1">IFERROR(__xludf.DUMMYFUNCTION("""COMPUTED_VALUE"""),254)</f>
        <v>254</v>
      </c>
      <c r="AA261" s="1">
        <f ca="1">IFERROR(__xludf.DUMMYFUNCTION("""COMPUTED_VALUE"""),785)</f>
        <v>785</v>
      </c>
      <c r="AB261" s="1">
        <f ca="1">IFERROR(__xludf.DUMMYFUNCTION("""COMPUTED_VALUE"""),323)</f>
        <v>323</v>
      </c>
      <c r="AC261" s="1">
        <f ca="1">IFERROR(__xludf.DUMMYFUNCTION("""COMPUTED_VALUE"""),131)</f>
        <v>131</v>
      </c>
      <c r="AD261" s="1">
        <f ca="1">IFERROR(__xludf.DUMMYFUNCTION("""COMPUTED_VALUE"""),52)</f>
        <v>52</v>
      </c>
      <c r="AE261" s="1">
        <f ca="1">IFERROR(__xludf.DUMMYFUNCTION("""COMPUTED_VALUE"""),374)</f>
        <v>374</v>
      </c>
      <c r="AF261" s="1">
        <f ca="1">IFERROR(__xludf.DUMMYFUNCTION("""COMPUTED_VALUE"""),457)</f>
        <v>457</v>
      </c>
    </row>
    <row r="262" spans="1:32" ht="12.5" x14ac:dyDescent="0.25">
      <c r="A262" s="1" t="str">
        <f ca="1">IFERROR(__xludf.DUMMYFUNCTION("""COMPUTED_VALUE"""),"Princeton")</f>
        <v>Princeton</v>
      </c>
      <c r="B262" s="1">
        <f ca="1">IFERROR(__xludf.DUMMYFUNCTION("""COMPUTED_VALUE"""),32)</f>
        <v>32</v>
      </c>
      <c r="C262" s="1">
        <f ca="1">IFERROR(__xludf.DUMMYFUNCTION("""COMPUTED_VALUE"""),20)</f>
        <v>20</v>
      </c>
      <c r="D262" s="1">
        <f ca="1">IFERROR(__xludf.DUMMYFUNCTION("""COMPUTED_VALUE"""),12)</f>
        <v>12</v>
      </c>
      <c r="E262" s="1">
        <f ca="1">IFERROR(__xludf.DUMMYFUNCTION("""COMPUTED_VALUE"""),0.625)</f>
        <v>0.625</v>
      </c>
      <c r="F262" s="1">
        <f ca="1">IFERROR(__xludf.DUMMYFUNCTION("""COMPUTED_VALUE"""),2.57)</f>
        <v>2.57</v>
      </c>
      <c r="G262" s="1">
        <f ca="1">IFERROR(__xludf.DUMMYFUNCTION("""COMPUTED_VALUE"""),-1)</f>
        <v>-1</v>
      </c>
      <c r="H262" s="1">
        <f ca="1">IFERROR(__xludf.DUMMYFUNCTION("""COMPUTED_VALUE"""),10)</f>
        <v>10</v>
      </c>
      <c r="I262" s="1">
        <f ca="1">IFERROR(__xludf.DUMMYFUNCTION("""COMPUTED_VALUE"""),4)</f>
        <v>4</v>
      </c>
      <c r="J262" s="1">
        <f ca="1">IFERROR(__xludf.DUMMYFUNCTION("""COMPUTED_VALUE"""),10)</f>
        <v>10</v>
      </c>
      <c r="K262" s="1">
        <f ca="1">IFERROR(__xludf.DUMMYFUNCTION("""COMPUTED_VALUE"""),2)</f>
        <v>2</v>
      </c>
      <c r="L262" s="1">
        <f ca="1">IFERROR(__xludf.DUMMYFUNCTION("""COMPUTED_VALUE"""),9)</f>
        <v>9</v>
      </c>
      <c r="M262" s="1">
        <f ca="1">IFERROR(__xludf.DUMMYFUNCTION("""COMPUTED_VALUE"""),9)</f>
        <v>9</v>
      </c>
      <c r="N262" s="1">
        <f ca="1">IFERROR(__xludf.DUMMYFUNCTION("""COMPUTED_VALUE"""),2141)</f>
        <v>2141</v>
      </c>
      <c r="O262" s="1">
        <f ca="1">IFERROR(__xludf.DUMMYFUNCTION("""COMPUTED_VALUE"""),1999)</f>
        <v>1999</v>
      </c>
      <c r="P262" s="1">
        <f ca="1">IFERROR(__xludf.DUMMYFUNCTION("""COMPUTED_VALUE"""),1300)</f>
        <v>1300</v>
      </c>
      <c r="Q262" s="1">
        <f ca="1">IFERROR(__xludf.DUMMYFUNCTION("""COMPUTED_VALUE"""),776)</f>
        <v>776</v>
      </c>
      <c r="R262" s="1">
        <f ca="1">IFERROR(__xludf.DUMMYFUNCTION("""COMPUTED_VALUE"""),1681)</f>
        <v>1681</v>
      </c>
      <c r="S262" s="1">
        <f ca="1">IFERROR(__xludf.DUMMYFUNCTION("""COMPUTED_VALUE"""),0.462)</f>
        <v>0.46200000000000002</v>
      </c>
      <c r="T262" s="1">
        <f ca="1">IFERROR(__xludf.DUMMYFUNCTION("""COMPUTED_VALUE"""),236)</f>
        <v>236</v>
      </c>
      <c r="U262" s="1">
        <f ca="1">IFERROR(__xludf.DUMMYFUNCTION("""COMPUTED_VALUE"""),628)</f>
        <v>628</v>
      </c>
      <c r="V262" s="1">
        <f ca="1">IFERROR(__xludf.DUMMYFUNCTION("""COMPUTED_VALUE"""),0.376)</f>
        <v>0.376</v>
      </c>
      <c r="W262" s="1">
        <f ca="1">IFERROR(__xludf.DUMMYFUNCTION("""COMPUTED_VALUE"""),353)</f>
        <v>353</v>
      </c>
      <c r="X262" s="1">
        <f ca="1">IFERROR(__xludf.DUMMYFUNCTION("""COMPUTED_VALUE"""),520)</f>
        <v>520</v>
      </c>
      <c r="Y262" s="1">
        <f ca="1">IFERROR(__xludf.DUMMYFUNCTION("""COMPUTED_VALUE"""),0.679)</f>
        <v>0.67900000000000005</v>
      </c>
      <c r="Z262" s="1">
        <f ca="1">IFERROR(__xludf.DUMMYFUNCTION("""COMPUTED_VALUE"""),266)</f>
        <v>266</v>
      </c>
      <c r="AA262" s="1">
        <f ca="1">IFERROR(__xludf.DUMMYFUNCTION("""COMPUTED_VALUE"""),980)</f>
        <v>980</v>
      </c>
      <c r="AB262" s="1">
        <f ca="1">IFERROR(__xludf.DUMMYFUNCTION("""COMPUTED_VALUE"""),465)</f>
        <v>465</v>
      </c>
      <c r="AC262" s="1">
        <f ca="1">IFERROR(__xludf.DUMMYFUNCTION("""COMPUTED_VALUE"""),203)</f>
        <v>203</v>
      </c>
      <c r="AD262" s="1">
        <f ca="1">IFERROR(__xludf.DUMMYFUNCTION("""COMPUTED_VALUE"""),124)</f>
        <v>124</v>
      </c>
      <c r="AE262" s="1">
        <f ca="1">IFERROR(__xludf.DUMMYFUNCTION("""COMPUTED_VALUE"""),394)</f>
        <v>394</v>
      </c>
      <c r="AF262" s="1">
        <f ca="1">IFERROR(__xludf.DUMMYFUNCTION("""COMPUTED_VALUE"""),524)</f>
        <v>524</v>
      </c>
    </row>
    <row r="263" spans="1:32" ht="12.5" x14ac:dyDescent="0.25">
      <c r="A263" s="1" t="str">
        <f ca="1">IFERROR(__xludf.DUMMYFUNCTION("""COMPUTED_VALUE"""),"Providence")</f>
        <v>Providence</v>
      </c>
      <c r="B263" s="1">
        <f ca="1">IFERROR(__xludf.DUMMYFUNCTION("""COMPUTED_VALUE"""),32)</f>
        <v>32</v>
      </c>
      <c r="C263" s="1">
        <f ca="1">IFERROR(__xludf.DUMMYFUNCTION("""COMPUTED_VALUE"""),15)</f>
        <v>15</v>
      </c>
      <c r="D263" s="1">
        <f ca="1">IFERROR(__xludf.DUMMYFUNCTION("""COMPUTED_VALUE"""),17)</f>
        <v>17</v>
      </c>
      <c r="E263" s="1">
        <f ca="1">IFERROR(__xludf.DUMMYFUNCTION("""COMPUTED_VALUE"""),0.469)</f>
        <v>0.46899999999999997</v>
      </c>
      <c r="F263" s="1">
        <f ca="1">IFERROR(__xludf.DUMMYFUNCTION("""COMPUTED_VALUE"""),4.16)</f>
        <v>4.16</v>
      </c>
      <c r="G263" s="1">
        <f ca="1">IFERROR(__xludf.DUMMYFUNCTION("""COMPUTED_VALUE"""),4.56)</f>
        <v>4.5599999999999996</v>
      </c>
      <c r="H263" s="1">
        <f ca="1">IFERROR(__xludf.DUMMYFUNCTION("""COMPUTED_VALUE"""),4)</f>
        <v>4</v>
      </c>
      <c r="I263" s="1">
        <f ca="1">IFERROR(__xludf.DUMMYFUNCTION("""COMPUTED_VALUE"""),14)</f>
        <v>14</v>
      </c>
      <c r="J263" s="1">
        <f ca="1">IFERROR(__xludf.DUMMYFUNCTION("""COMPUTED_VALUE"""),11)</f>
        <v>11</v>
      </c>
      <c r="K263" s="1">
        <f ca="1">IFERROR(__xludf.DUMMYFUNCTION("""COMPUTED_VALUE"""),6)</f>
        <v>6</v>
      </c>
      <c r="L263" s="1">
        <f ca="1">IFERROR(__xludf.DUMMYFUNCTION("""COMPUTED_VALUE"""),4)</f>
        <v>4</v>
      </c>
      <c r="M263" s="1">
        <f ca="1">IFERROR(__xludf.DUMMYFUNCTION("""COMPUTED_VALUE"""),8)</f>
        <v>8</v>
      </c>
      <c r="N263" s="1">
        <f ca="1">IFERROR(__xludf.DUMMYFUNCTION("""COMPUTED_VALUE"""),2203)</f>
        <v>2203</v>
      </c>
      <c r="O263" s="1">
        <f ca="1">IFERROR(__xludf.DUMMYFUNCTION("""COMPUTED_VALUE"""),2216)</f>
        <v>2216</v>
      </c>
      <c r="P263" s="1">
        <f ca="1">IFERROR(__xludf.DUMMYFUNCTION("""COMPUTED_VALUE"""),1285)</f>
        <v>1285</v>
      </c>
      <c r="Q263" s="1">
        <f ca="1">IFERROR(__xludf.DUMMYFUNCTION("""COMPUTED_VALUE"""),772)</f>
        <v>772</v>
      </c>
      <c r="R263" s="1">
        <f ca="1">IFERROR(__xludf.DUMMYFUNCTION("""COMPUTED_VALUE"""),1806)</f>
        <v>1806</v>
      </c>
      <c r="S263" s="1">
        <f ca="1">IFERROR(__xludf.DUMMYFUNCTION("""COMPUTED_VALUE"""),0.427)</f>
        <v>0.42699999999999999</v>
      </c>
      <c r="T263" s="1">
        <f ca="1">IFERROR(__xludf.DUMMYFUNCTION("""COMPUTED_VALUE"""),158)</f>
        <v>158</v>
      </c>
      <c r="U263" s="1">
        <f ca="1">IFERROR(__xludf.DUMMYFUNCTION("""COMPUTED_VALUE"""),447)</f>
        <v>447</v>
      </c>
      <c r="V263" s="1">
        <f ca="1">IFERROR(__xludf.DUMMYFUNCTION("""COMPUTED_VALUE"""),0.353)</f>
        <v>0.35299999999999998</v>
      </c>
      <c r="W263" s="1">
        <f ca="1">IFERROR(__xludf.DUMMYFUNCTION("""COMPUTED_VALUE"""),501)</f>
        <v>501</v>
      </c>
      <c r="X263" s="1">
        <f ca="1">IFERROR(__xludf.DUMMYFUNCTION("""COMPUTED_VALUE"""),712)</f>
        <v>712</v>
      </c>
      <c r="Y263" s="1">
        <f ca="1">IFERROR(__xludf.DUMMYFUNCTION("""COMPUTED_VALUE"""),0.704)</f>
        <v>0.70399999999999996</v>
      </c>
      <c r="Z263" s="1">
        <f ca="1">IFERROR(__xludf.DUMMYFUNCTION("""COMPUTED_VALUE"""),410)</f>
        <v>410</v>
      </c>
      <c r="AA263" s="1">
        <f ca="1">IFERROR(__xludf.DUMMYFUNCTION("""COMPUTED_VALUE"""),1063)</f>
        <v>1063</v>
      </c>
      <c r="AB263" s="1">
        <f ca="1">IFERROR(__xludf.DUMMYFUNCTION("""COMPUTED_VALUE"""),435)</f>
        <v>435</v>
      </c>
      <c r="AC263" s="1">
        <f ca="1">IFERROR(__xludf.DUMMYFUNCTION("""COMPUTED_VALUE"""),170)</f>
        <v>170</v>
      </c>
      <c r="AD263" s="1">
        <f ca="1">IFERROR(__xludf.DUMMYFUNCTION("""COMPUTED_VALUE"""),166)</f>
        <v>166</v>
      </c>
      <c r="AE263" s="1">
        <f ca="1">IFERROR(__xludf.DUMMYFUNCTION("""COMPUTED_VALUE"""),391)</f>
        <v>391</v>
      </c>
      <c r="AF263" s="1">
        <f ca="1">IFERROR(__xludf.DUMMYFUNCTION("""COMPUTED_VALUE"""),542)</f>
        <v>542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IFERROR(__xludf.DUMMYFUNCTION("""COMPUTED_VALUE"""),"PurdueNCAA")</f>
        <v>PurdueNCAA</v>
      </c>
      <c r="B266" s="1">
        <f ca="1">IFERROR(__xludf.DUMMYFUNCTION("""COMPUTED_VALUE"""),35)</f>
        <v>35</v>
      </c>
      <c r="C266" s="1">
        <f ca="1">IFERROR(__xludf.DUMMYFUNCTION("""COMPUTED_VALUE"""),22)</f>
        <v>22</v>
      </c>
      <c r="D266" s="1">
        <f ca="1">IFERROR(__xludf.DUMMYFUNCTION("""COMPUTED_VALUE"""),13)</f>
        <v>13</v>
      </c>
      <c r="E266" s="1">
        <f ca="1">IFERROR(__xludf.DUMMYFUNCTION("""COMPUTED_VALUE"""),0.629)</f>
        <v>0.629</v>
      </c>
      <c r="F266" s="1">
        <f ca="1">IFERROR(__xludf.DUMMYFUNCTION("""COMPUTED_VALUE"""),13.88)</f>
        <v>13.88</v>
      </c>
      <c r="G266" s="1">
        <f ca="1">IFERROR(__xludf.DUMMYFUNCTION("""COMPUTED_VALUE"""),8.05)</f>
        <v>8.0500000000000007</v>
      </c>
      <c r="H266" s="1">
        <f ca="1">IFERROR(__xludf.DUMMYFUNCTION("""COMPUTED_VALUE"""),10)</f>
        <v>10</v>
      </c>
      <c r="I266" s="1">
        <f ca="1">IFERROR(__xludf.DUMMYFUNCTION("""COMPUTED_VALUE"""),8)</f>
        <v>8</v>
      </c>
      <c r="J266" s="1">
        <f ca="1">IFERROR(__xludf.DUMMYFUNCTION("""COMPUTED_VALUE"""),13)</f>
        <v>13</v>
      </c>
      <c r="K266" s="1">
        <f ca="1">IFERROR(__xludf.DUMMYFUNCTION("""COMPUTED_VALUE"""),4)</f>
        <v>4</v>
      </c>
      <c r="L266" s="1">
        <f ca="1">IFERROR(__xludf.DUMMYFUNCTION("""COMPUTED_VALUE"""),5)</f>
        <v>5</v>
      </c>
      <c r="M266" s="1">
        <f ca="1">IFERROR(__xludf.DUMMYFUNCTION("""COMPUTED_VALUE"""),5)</f>
        <v>5</v>
      </c>
      <c r="N266" s="1">
        <f ca="1">IFERROR(__xludf.DUMMYFUNCTION("""COMPUTED_VALUE"""),2514)</f>
        <v>2514</v>
      </c>
      <c r="O266" s="1">
        <f ca="1">IFERROR(__xludf.DUMMYFUNCTION("""COMPUTED_VALUE"""),2310)</f>
        <v>2310</v>
      </c>
      <c r="P266" s="1">
        <f ca="1">IFERROR(__xludf.DUMMYFUNCTION("""COMPUTED_VALUE"""),1400)</f>
        <v>1400</v>
      </c>
      <c r="Q266" s="1">
        <f ca="1">IFERROR(__xludf.DUMMYFUNCTION("""COMPUTED_VALUE"""),889)</f>
        <v>889</v>
      </c>
      <c r="R266" s="1">
        <f ca="1">IFERROR(__xludf.DUMMYFUNCTION("""COMPUTED_VALUE"""),2019)</f>
        <v>2019</v>
      </c>
      <c r="S266" s="1">
        <f ca="1">IFERROR(__xludf.DUMMYFUNCTION("""COMPUTED_VALUE"""),0.44)</f>
        <v>0.44</v>
      </c>
      <c r="T266" s="1">
        <f ca="1">IFERROR(__xludf.DUMMYFUNCTION("""COMPUTED_VALUE"""),284)</f>
        <v>284</v>
      </c>
      <c r="U266" s="1">
        <f ca="1">IFERROR(__xludf.DUMMYFUNCTION("""COMPUTED_VALUE"""),753)</f>
        <v>753</v>
      </c>
      <c r="V266" s="1">
        <f ca="1">IFERROR(__xludf.DUMMYFUNCTION("""COMPUTED_VALUE"""),0.377)</f>
        <v>0.377</v>
      </c>
      <c r="W266" s="1">
        <f ca="1">IFERROR(__xludf.DUMMYFUNCTION("""COMPUTED_VALUE"""),452)</f>
        <v>452</v>
      </c>
      <c r="X266" s="1">
        <f ca="1">IFERROR(__xludf.DUMMYFUNCTION("""COMPUTED_VALUE"""),689)</f>
        <v>689</v>
      </c>
      <c r="Y266" s="1">
        <f ca="1">IFERROR(__xludf.DUMMYFUNCTION("""COMPUTED_VALUE"""),0.656)</f>
        <v>0.65600000000000003</v>
      </c>
      <c r="Z266" s="1">
        <f ca="1">IFERROR(__xludf.DUMMYFUNCTION("""COMPUTED_VALUE"""),391)</f>
        <v>391</v>
      </c>
      <c r="AA266" s="1">
        <f ca="1">IFERROR(__xludf.DUMMYFUNCTION("""COMPUTED_VALUE"""),1039)</f>
        <v>1039</v>
      </c>
      <c r="AB266" s="1">
        <f ca="1">IFERROR(__xludf.DUMMYFUNCTION("""COMPUTED_VALUE"""),470)</f>
        <v>470</v>
      </c>
      <c r="AC266" s="1">
        <f ca="1">IFERROR(__xludf.DUMMYFUNCTION("""COMPUTED_VALUE"""),226)</f>
        <v>226</v>
      </c>
      <c r="AD266" s="1">
        <f ca="1">IFERROR(__xludf.DUMMYFUNCTION("""COMPUTED_VALUE"""),110)</f>
        <v>110</v>
      </c>
      <c r="AE266" s="1">
        <f ca="1">IFERROR(__xludf.DUMMYFUNCTION("""COMPUTED_VALUE"""),306)</f>
        <v>306</v>
      </c>
      <c r="AF266" s="1">
        <f ca="1">IFERROR(__xludf.DUMMYFUNCTION("""COMPUTED_VALUE"""),620)</f>
        <v>620</v>
      </c>
    </row>
    <row r="267" spans="1:32" ht="12.5" x14ac:dyDescent="0.25">
      <c r="A267" s="1" t="str">
        <f ca="1">IFERROR(__xludf.DUMMYFUNCTION("""COMPUTED_VALUE"""),"Quinnipiac")</f>
        <v>Quinnipiac</v>
      </c>
      <c r="B267" s="1">
        <f ca="1">IFERROR(__xludf.DUMMYFUNCTION("""COMPUTED_VALUE"""),32)</f>
        <v>32</v>
      </c>
      <c r="C267" s="1">
        <f ca="1">IFERROR(__xludf.DUMMYFUNCTION("""COMPUTED_VALUE"""),18)</f>
        <v>18</v>
      </c>
      <c r="D267" s="1">
        <f ca="1">IFERROR(__xludf.DUMMYFUNCTION("""COMPUTED_VALUE"""),14)</f>
        <v>14</v>
      </c>
      <c r="E267" s="1">
        <f ca="1">IFERROR(__xludf.DUMMYFUNCTION("""COMPUTED_VALUE"""),0.563)</f>
        <v>0.56299999999999994</v>
      </c>
      <c r="F267" s="1">
        <f ca="1">IFERROR(__xludf.DUMMYFUNCTION("""COMPUTED_VALUE"""),-2.01)</f>
        <v>-2.0099999999999998</v>
      </c>
      <c r="G267" s="1">
        <f ca="1">IFERROR(__xludf.DUMMYFUNCTION("""COMPUTED_VALUE"""),-5.8)</f>
        <v>-5.8</v>
      </c>
      <c r="H267" s="1">
        <f ca="1">IFERROR(__xludf.DUMMYFUNCTION("""COMPUTED_VALUE"""),10)</f>
        <v>10</v>
      </c>
      <c r="I267" s="1">
        <f ca="1">IFERROR(__xludf.DUMMYFUNCTION("""COMPUTED_VALUE"""),8)</f>
        <v>8</v>
      </c>
      <c r="J267" s="1">
        <f ca="1">IFERROR(__xludf.DUMMYFUNCTION("""COMPUTED_VALUE"""),9)</f>
        <v>9</v>
      </c>
      <c r="K267" s="1">
        <f ca="1">IFERROR(__xludf.DUMMYFUNCTION("""COMPUTED_VALUE"""),4)</f>
        <v>4</v>
      </c>
      <c r="L267" s="1">
        <f ca="1">IFERROR(__xludf.DUMMYFUNCTION("""COMPUTED_VALUE"""),9)</f>
        <v>9</v>
      </c>
      <c r="M267" s="1">
        <f ca="1">IFERROR(__xludf.DUMMYFUNCTION("""COMPUTED_VALUE"""),9)</f>
        <v>9</v>
      </c>
      <c r="N267" s="1">
        <f ca="1">IFERROR(__xludf.DUMMYFUNCTION("""COMPUTED_VALUE"""),2271)</f>
        <v>2271</v>
      </c>
      <c r="O267" s="1">
        <f ca="1">IFERROR(__xludf.DUMMYFUNCTION("""COMPUTED_VALUE"""),2150)</f>
        <v>2150</v>
      </c>
      <c r="P267" s="1">
        <f ca="1">IFERROR(__xludf.DUMMYFUNCTION("""COMPUTED_VALUE"""),1290)</f>
        <v>1290</v>
      </c>
      <c r="Q267" s="1">
        <f ca="1">IFERROR(__xludf.DUMMYFUNCTION("""COMPUTED_VALUE"""),828)</f>
        <v>828</v>
      </c>
      <c r="R267" s="1">
        <f ca="1">IFERROR(__xludf.DUMMYFUNCTION("""COMPUTED_VALUE"""),1943)</f>
        <v>1943</v>
      </c>
      <c r="S267" s="1">
        <f ca="1">IFERROR(__xludf.DUMMYFUNCTION("""COMPUTED_VALUE"""),0.426)</f>
        <v>0.42599999999999999</v>
      </c>
      <c r="T267" s="1">
        <f ca="1">IFERROR(__xludf.DUMMYFUNCTION("""COMPUTED_VALUE"""),141)</f>
        <v>141</v>
      </c>
      <c r="U267" s="1">
        <f ca="1">IFERROR(__xludf.DUMMYFUNCTION("""COMPUTED_VALUE"""),423)</f>
        <v>423</v>
      </c>
      <c r="V267" s="1">
        <f ca="1">IFERROR(__xludf.DUMMYFUNCTION("""COMPUTED_VALUE"""),0.333)</f>
        <v>0.33300000000000002</v>
      </c>
      <c r="W267" s="1">
        <f ca="1">IFERROR(__xludf.DUMMYFUNCTION("""COMPUTED_VALUE"""),474)</f>
        <v>474</v>
      </c>
      <c r="X267" s="1">
        <f ca="1">IFERROR(__xludf.DUMMYFUNCTION("""COMPUTED_VALUE"""),743)</f>
        <v>743</v>
      </c>
      <c r="Y267" s="1">
        <f ca="1">IFERROR(__xludf.DUMMYFUNCTION("""COMPUTED_VALUE"""),0.638)</f>
        <v>0.63800000000000001</v>
      </c>
      <c r="Z267" s="1">
        <f ca="1">IFERROR(__xludf.DUMMYFUNCTION("""COMPUTED_VALUE"""),534)</f>
        <v>534</v>
      </c>
      <c r="AA267" s="1">
        <f ca="1">IFERROR(__xludf.DUMMYFUNCTION("""COMPUTED_VALUE"""),1259)</f>
        <v>1259</v>
      </c>
      <c r="AB267" s="1">
        <f ca="1">IFERROR(__xludf.DUMMYFUNCTION("""COMPUTED_VALUE"""),397)</f>
        <v>397</v>
      </c>
      <c r="AC267" s="1">
        <f ca="1">IFERROR(__xludf.DUMMYFUNCTION("""COMPUTED_VALUE"""),170)</f>
        <v>170</v>
      </c>
      <c r="AD267" s="1">
        <f ca="1">IFERROR(__xludf.DUMMYFUNCTION("""COMPUTED_VALUE"""),106)</f>
        <v>106</v>
      </c>
      <c r="AE267" s="1">
        <f ca="1">IFERROR(__xludf.DUMMYFUNCTION("""COMPUTED_VALUE"""),404)</f>
        <v>404</v>
      </c>
      <c r="AF267" s="1">
        <f ca="1">IFERROR(__xludf.DUMMYFUNCTION("""COMPUTED_VALUE"""),655)</f>
        <v>655</v>
      </c>
    </row>
    <row r="268" spans="1:32" ht="12.5" x14ac:dyDescent="0.25">
      <c r="A268" s="1" t="str">
        <f ca="1">IFERROR(__xludf.DUMMYFUNCTION("""COMPUTED_VALUE"""),"Radford")</f>
        <v>Radford</v>
      </c>
      <c r="B268" s="1">
        <f ca="1">IFERROR(__xludf.DUMMYFUNCTION("""COMPUTED_VALUE"""),32)</f>
        <v>32</v>
      </c>
      <c r="C268" s="1">
        <f ca="1">IFERROR(__xludf.DUMMYFUNCTION("""COMPUTED_VALUE"""),6)</f>
        <v>6</v>
      </c>
      <c r="D268" s="1">
        <f ca="1">IFERROR(__xludf.DUMMYFUNCTION("""COMPUTED_VALUE"""),26)</f>
        <v>26</v>
      </c>
      <c r="E268" s="1">
        <f ca="1">IFERROR(__xludf.DUMMYFUNCTION("""COMPUTED_VALUE"""),0.188)</f>
        <v>0.188</v>
      </c>
      <c r="F268" s="1">
        <f ca="1">IFERROR(__xludf.DUMMYFUNCTION("""COMPUTED_VALUE"""),-13.14)</f>
        <v>-13.14</v>
      </c>
      <c r="G268" s="1">
        <f ca="1">IFERROR(__xludf.DUMMYFUNCTION("""COMPUTED_VALUE"""),-3.34)</f>
        <v>-3.34</v>
      </c>
      <c r="H268" s="1">
        <f ca="1">IFERROR(__xludf.DUMMYFUNCTION("""COMPUTED_VALUE"""),2)</f>
        <v>2</v>
      </c>
      <c r="I268" s="1">
        <f ca="1">IFERROR(__xludf.DUMMYFUNCTION("""COMPUTED_VALUE"""),16)</f>
        <v>16</v>
      </c>
      <c r="J268" s="1">
        <f ca="1">IFERROR(__xludf.DUMMYFUNCTION("""COMPUTED_VALUE"""),5)</f>
        <v>5</v>
      </c>
      <c r="K268" s="1">
        <f ca="1">IFERROR(__xludf.DUMMYFUNCTION("""COMPUTED_VALUE"""),11)</f>
        <v>11</v>
      </c>
      <c r="L268" s="1">
        <f ca="1">IFERROR(__xludf.DUMMYFUNCTION("""COMPUTED_VALUE"""),1)</f>
        <v>1</v>
      </c>
      <c r="M268" s="1">
        <f ca="1">IFERROR(__xludf.DUMMYFUNCTION("""COMPUTED_VALUE"""),13)</f>
        <v>13</v>
      </c>
      <c r="N268" s="1">
        <f ca="1">IFERROR(__xludf.DUMMYFUNCTION("""COMPUTED_VALUE"""),1959)</f>
        <v>1959</v>
      </c>
      <c r="O268" s="1">
        <f ca="1">IFERROR(__xludf.DUMMYFUNCTION("""COMPUTED_VALUE"""),2195)</f>
        <v>2195</v>
      </c>
      <c r="P268" s="1">
        <f ca="1">IFERROR(__xludf.DUMMYFUNCTION("""COMPUTED_VALUE"""),1280)</f>
        <v>1280</v>
      </c>
      <c r="Q268" s="1">
        <f ca="1">IFERROR(__xludf.DUMMYFUNCTION("""COMPUTED_VALUE"""),699)</f>
        <v>699</v>
      </c>
      <c r="R268" s="1">
        <f ca="1">IFERROR(__xludf.DUMMYFUNCTION("""COMPUTED_VALUE"""),1819)</f>
        <v>1819</v>
      </c>
      <c r="S268" s="1">
        <f ca="1">IFERROR(__xludf.DUMMYFUNCTION("""COMPUTED_VALUE"""),0.384)</f>
        <v>0.38400000000000001</v>
      </c>
      <c r="T268" s="1">
        <f ca="1">IFERROR(__xludf.DUMMYFUNCTION("""COMPUTED_VALUE"""),202)</f>
        <v>202</v>
      </c>
      <c r="U268" s="1">
        <f ca="1">IFERROR(__xludf.DUMMYFUNCTION("""COMPUTED_VALUE"""),659)</f>
        <v>659</v>
      </c>
      <c r="V268" s="1">
        <f ca="1">IFERROR(__xludf.DUMMYFUNCTION("""COMPUTED_VALUE"""),0.307)</f>
        <v>0.307</v>
      </c>
      <c r="W268" s="1">
        <f ca="1">IFERROR(__xludf.DUMMYFUNCTION("""COMPUTED_VALUE"""),359)</f>
        <v>359</v>
      </c>
      <c r="X268" s="1">
        <f ca="1">IFERROR(__xludf.DUMMYFUNCTION("""COMPUTED_VALUE"""),564)</f>
        <v>564</v>
      </c>
      <c r="Y268" s="1">
        <f ca="1">IFERROR(__xludf.DUMMYFUNCTION("""COMPUTED_VALUE"""),0.637)</f>
        <v>0.63700000000000001</v>
      </c>
      <c r="Z268" s="1">
        <f ca="1">IFERROR(__xludf.DUMMYFUNCTION("""COMPUTED_VALUE"""),395)</f>
        <v>395</v>
      </c>
      <c r="AA268" s="1">
        <f ca="1">IFERROR(__xludf.DUMMYFUNCTION("""COMPUTED_VALUE"""),944)</f>
        <v>944</v>
      </c>
      <c r="AB268" s="1">
        <f ca="1">IFERROR(__xludf.DUMMYFUNCTION("""COMPUTED_VALUE"""),344)</f>
        <v>344</v>
      </c>
      <c r="AC268" s="1">
        <f ca="1">IFERROR(__xludf.DUMMYFUNCTION("""COMPUTED_VALUE"""),234)</f>
        <v>234</v>
      </c>
      <c r="AD268" s="1">
        <f ca="1">IFERROR(__xludf.DUMMYFUNCTION("""COMPUTED_VALUE"""),80)</f>
        <v>80</v>
      </c>
      <c r="AE268" s="1">
        <f ca="1">IFERROR(__xludf.DUMMYFUNCTION("""COMPUTED_VALUE"""),445)</f>
        <v>445</v>
      </c>
      <c r="AF268" s="1">
        <f ca="1">IFERROR(__xludf.DUMMYFUNCTION("""COMPUTED_VALUE"""),669)</f>
        <v>669</v>
      </c>
    </row>
    <row r="269" spans="1:32" ht="12.5" x14ac:dyDescent="0.25">
      <c r="A269" s="1" t="str">
        <f ca="1">IFERROR(__xludf.DUMMYFUNCTION("""COMPUTED_VALUE"""),"Rhode Island")</f>
        <v>Rhode Island</v>
      </c>
      <c r="B269" s="1">
        <f ca="1">IFERROR(__xludf.DUMMYFUNCTION("""COMPUTED_VALUE"""),31)</f>
        <v>31</v>
      </c>
      <c r="C269" s="1">
        <f ca="1">IFERROR(__xludf.DUMMYFUNCTION("""COMPUTED_VALUE"""),7)</f>
        <v>7</v>
      </c>
      <c r="D269" s="1">
        <f ca="1">IFERROR(__xludf.DUMMYFUNCTION("""COMPUTED_VALUE"""),24)</f>
        <v>24</v>
      </c>
      <c r="E269" s="1">
        <f ca="1">IFERROR(__xludf.DUMMYFUNCTION("""COMPUTED_VALUE"""),0.226)</f>
        <v>0.22600000000000001</v>
      </c>
      <c r="F269" s="1">
        <f ca="1">IFERROR(__xludf.DUMMYFUNCTION("""COMPUTED_VALUE"""),-3.78)</f>
        <v>-3.78</v>
      </c>
      <c r="G269" s="1">
        <f ca="1">IFERROR(__xludf.DUMMYFUNCTION("""COMPUTED_VALUE"""),3.1)</f>
        <v>3.1</v>
      </c>
      <c r="H269" s="1">
        <f ca="1">IFERROR(__xludf.DUMMYFUNCTION("""COMPUTED_VALUE"""),4)</f>
        <v>4</v>
      </c>
      <c r="I269" s="1">
        <f ca="1">IFERROR(__xludf.DUMMYFUNCTION("""COMPUTED_VALUE"""),12)</f>
        <v>12</v>
      </c>
      <c r="J269" s="1">
        <f ca="1">IFERROR(__xludf.DUMMYFUNCTION("""COMPUTED_VALUE"""),4)</f>
        <v>4</v>
      </c>
      <c r="K269" s="1">
        <f ca="1">IFERROR(__xludf.DUMMYFUNCTION("""COMPUTED_VALUE"""),11)</f>
        <v>11</v>
      </c>
      <c r="L269" s="1">
        <f ca="1">IFERROR(__xludf.DUMMYFUNCTION("""COMPUTED_VALUE"""),2)</f>
        <v>2</v>
      </c>
      <c r="M269" s="1">
        <f ca="1">IFERROR(__xludf.DUMMYFUNCTION("""COMPUTED_VALUE"""),13)</f>
        <v>13</v>
      </c>
      <c r="N269" s="1">
        <f ca="1">IFERROR(__xludf.DUMMYFUNCTION("""COMPUTED_VALUE"""),2126)</f>
        <v>2126</v>
      </c>
      <c r="O269" s="1">
        <f ca="1">IFERROR(__xludf.DUMMYFUNCTION("""COMPUTED_VALUE"""),2339)</f>
        <v>2339</v>
      </c>
      <c r="P269" s="1">
        <f ca="1">IFERROR(__xludf.DUMMYFUNCTION("""COMPUTED_VALUE"""),1270)</f>
        <v>1270</v>
      </c>
      <c r="Q269" s="1">
        <f ca="1">IFERROR(__xludf.DUMMYFUNCTION("""COMPUTED_VALUE"""),757)</f>
        <v>757</v>
      </c>
      <c r="R269" s="1">
        <f ca="1">IFERROR(__xludf.DUMMYFUNCTION("""COMPUTED_VALUE"""),1888)</f>
        <v>1888</v>
      </c>
      <c r="S269" s="1">
        <f ca="1">IFERROR(__xludf.DUMMYFUNCTION("""COMPUTED_VALUE"""),0.401)</f>
        <v>0.40100000000000002</v>
      </c>
      <c r="T269" s="1">
        <f ca="1">IFERROR(__xludf.DUMMYFUNCTION("""COMPUTED_VALUE"""),165)</f>
        <v>165</v>
      </c>
      <c r="U269" s="1">
        <f ca="1">IFERROR(__xludf.DUMMYFUNCTION("""COMPUTED_VALUE"""),593)</f>
        <v>593</v>
      </c>
      <c r="V269" s="1">
        <f ca="1">IFERROR(__xludf.DUMMYFUNCTION("""COMPUTED_VALUE"""),0.278)</f>
        <v>0.27800000000000002</v>
      </c>
      <c r="W269" s="1">
        <f ca="1">IFERROR(__xludf.DUMMYFUNCTION("""COMPUTED_VALUE"""),447)</f>
        <v>447</v>
      </c>
      <c r="X269" s="1">
        <f ca="1">IFERROR(__xludf.DUMMYFUNCTION("""COMPUTED_VALUE"""),648)</f>
        <v>648</v>
      </c>
      <c r="Y269" s="1">
        <f ca="1">IFERROR(__xludf.DUMMYFUNCTION("""COMPUTED_VALUE"""),0.69)</f>
        <v>0.69</v>
      </c>
      <c r="Z269" s="1">
        <f ca="1">IFERROR(__xludf.DUMMYFUNCTION("""COMPUTED_VALUE"""),487)</f>
        <v>487</v>
      </c>
      <c r="AA269" s="1">
        <f ca="1">IFERROR(__xludf.DUMMYFUNCTION("""COMPUTED_VALUE"""),1090)</f>
        <v>1090</v>
      </c>
      <c r="AB269" s="1">
        <f ca="1">IFERROR(__xludf.DUMMYFUNCTION("""COMPUTED_VALUE"""),348)</f>
        <v>348</v>
      </c>
      <c r="AC269" s="1">
        <f ca="1">IFERROR(__xludf.DUMMYFUNCTION("""COMPUTED_VALUE"""),200)</f>
        <v>200</v>
      </c>
      <c r="AD269" s="1">
        <f ca="1">IFERROR(__xludf.DUMMYFUNCTION("""COMPUTED_VALUE"""),121)</f>
        <v>121</v>
      </c>
      <c r="AE269" s="1">
        <f ca="1">IFERROR(__xludf.DUMMYFUNCTION("""COMPUTED_VALUE"""),451)</f>
        <v>451</v>
      </c>
      <c r="AF269" s="1">
        <f ca="1">IFERROR(__xludf.DUMMYFUNCTION("""COMPUTED_VALUE"""),559)</f>
        <v>559</v>
      </c>
    </row>
    <row r="270" spans="1:32" ht="12.5" x14ac:dyDescent="0.25">
      <c r="A270" s="1" t="str">
        <f ca="1">IFERROR(__xludf.DUMMYFUNCTION("""COMPUTED_VALUE"""),"Rice")</f>
        <v>Rice</v>
      </c>
      <c r="B270" s="1">
        <f ca="1">IFERROR(__xludf.DUMMYFUNCTION("""COMPUTED_VALUE"""),35)</f>
        <v>35</v>
      </c>
      <c r="C270" s="1">
        <f ca="1">IFERROR(__xludf.DUMMYFUNCTION("""COMPUTED_VALUE"""),19)</f>
        <v>19</v>
      </c>
      <c r="D270" s="1">
        <f ca="1">IFERROR(__xludf.DUMMYFUNCTION("""COMPUTED_VALUE"""),16)</f>
        <v>16</v>
      </c>
      <c r="E270" s="1">
        <f ca="1">IFERROR(__xludf.DUMMYFUNCTION("""COMPUTED_VALUE"""),0.543)</f>
        <v>0.54300000000000004</v>
      </c>
      <c r="F270" s="1">
        <f ca="1">IFERROR(__xludf.DUMMYFUNCTION("""COMPUTED_VALUE"""),1.42)</f>
        <v>1.42</v>
      </c>
      <c r="G270" s="1">
        <f ca="1">IFERROR(__xludf.DUMMYFUNCTION("""COMPUTED_VALUE"""),1.1)</f>
        <v>1.1000000000000001</v>
      </c>
      <c r="H270" s="1">
        <f ca="1">IFERROR(__xludf.DUMMYFUNCTION("""COMPUTED_VALUE"""),8)</f>
        <v>8</v>
      </c>
      <c r="I270" s="1">
        <f ca="1">IFERROR(__xludf.DUMMYFUNCTION("""COMPUTED_VALUE"""),8)</f>
        <v>8</v>
      </c>
      <c r="J270" s="1">
        <f ca="1">IFERROR(__xludf.DUMMYFUNCTION("""COMPUTED_VALUE"""),12)</f>
        <v>12</v>
      </c>
      <c r="K270" s="1">
        <f ca="1">IFERROR(__xludf.DUMMYFUNCTION("""COMPUTED_VALUE"""),6)</f>
        <v>6</v>
      </c>
      <c r="L270" s="1">
        <f ca="1">IFERROR(__xludf.DUMMYFUNCTION("""COMPUTED_VALUE"""),7)</f>
        <v>7</v>
      </c>
      <c r="M270" s="1">
        <f ca="1">IFERROR(__xludf.DUMMYFUNCTION("""COMPUTED_VALUE"""),7)</f>
        <v>7</v>
      </c>
      <c r="N270" s="1">
        <f ca="1">IFERROR(__xludf.DUMMYFUNCTION("""COMPUTED_VALUE"""),2438)</f>
        <v>2438</v>
      </c>
      <c r="O270" s="1">
        <f ca="1">IFERROR(__xludf.DUMMYFUNCTION("""COMPUTED_VALUE"""),2322)</f>
        <v>2322</v>
      </c>
      <c r="P270" s="1">
        <f ca="1">IFERROR(__xludf.DUMMYFUNCTION("""COMPUTED_VALUE"""),1405)</f>
        <v>1405</v>
      </c>
      <c r="Q270" s="1">
        <f ca="1">IFERROR(__xludf.DUMMYFUNCTION("""COMPUTED_VALUE"""),859)</f>
        <v>859</v>
      </c>
      <c r="R270" s="1">
        <f ca="1">IFERROR(__xludf.DUMMYFUNCTION("""COMPUTED_VALUE"""),1921)</f>
        <v>1921</v>
      </c>
      <c r="S270" s="1">
        <f ca="1">IFERROR(__xludf.DUMMYFUNCTION("""COMPUTED_VALUE"""),0.447)</f>
        <v>0.44700000000000001</v>
      </c>
      <c r="T270" s="1">
        <f ca="1">IFERROR(__xludf.DUMMYFUNCTION("""COMPUTED_VALUE"""),195)</f>
        <v>195</v>
      </c>
      <c r="U270" s="1">
        <f ca="1">IFERROR(__xludf.DUMMYFUNCTION("""COMPUTED_VALUE"""),573)</f>
        <v>573</v>
      </c>
      <c r="V270" s="1">
        <f ca="1">IFERROR(__xludf.DUMMYFUNCTION("""COMPUTED_VALUE"""),0.34)</f>
        <v>0.34</v>
      </c>
      <c r="W270" s="1">
        <f ca="1">IFERROR(__xludf.DUMMYFUNCTION("""COMPUTED_VALUE"""),525)</f>
        <v>525</v>
      </c>
      <c r="X270" s="1">
        <f ca="1">IFERROR(__xludf.DUMMYFUNCTION("""COMPUTED_VALUE"""),768)</f>
        <v>768</v>
      </c>
      <c r="Y270" s="1">
        <f ca="1">IFERROR(__xludf.DUMMYFUNCTION("""COMPUTED_VALUE"""),0.684)</f>
        <v>0.68400000000000005</v>
      </c>
      <c r="Z270" s="1">
        <f ca="1">IFERROR(__xludf.DUMMYFUNCTION("""COMPUTED_VALUE"""),335)</f>
        <v>335</v>
      </c>
      <c r="AA270" s="1">
        <f ca="1">IFERROR(__xludf.DUMMYFUNCTION("""COMPUTED_VALUE"""),1158)</f>
        <v>1158</v>
      </c>
      <c r="AB270" s="1">
        <f ca="1">IFERROR(__xludf.DUMMYFUNCTION("""COMPUTED_VALUE"""),513)</f>
        <v>513</v>
      </c>
      <c r="AC270" s="1">
        <f ca="1">IFERROR(__xludf.DUMMYFUNCTION("""COMPUTED_VALUE"""),257)</f>
        <v>257</v>
      </c>
      <c r="AD270" s="1">
        <f ca="1">IFERROR(__xludf.DUMMYFUNCTION("""COMPUTED_VALUE"""),159)</f>
        <v>159</v>
      </c>
      <c r="AE270" s="1">
        <f ca="1">IFERROR(__xludf.DUMMYFUNCTION("""COMPUTED_VALUE"""),477)</f>
        <v>477</v>
      </c>
      <c r="AF270" s="1">
        <f ca="1">IFERROR(__xludf.DUMMYFUNCTION("""COMPUTED_VALUE"""),617)</f>
        <v>617</v>
      </c>
    </row>
    <row r="271" spans="1:32" ht="12.5" x14ac:dyDescent="0.25">
      <c r="A271" s="1" t="str">
        <f ca="1">IFERROR(__xludf.DUMMYFUNCTION("""COMPUTED_VALUE"""),"Richmond")</f>
        <v>Richmond</v>
      </c>
      <c r="B271" s="1">
        <f ca="1">IFERROR(__xludf.DUMMYFUNCTION("""COMPUTED_VALUE"""),32)</f>
        <v>32</v>
      </c>
      <c r="C271" s="1">
        <f ca="1">IFERROR(__xludf.DUMMYFUNCTION("""COMPUTED_VALUE"""),16)</f>
        <v>16</v>
      </c>
      <c r="D271" s="1">
        <f ca="1">IFERROR(__xludf.DUMMYFUNCTION("""COMPUTED_VALUE"""),16)</f>
        <v>16</v>
      </c>
      <c r="E271" s="1">
        <f ca="1">IFERROR(__xludf.DUMMYFUNCTION("""COMPUTED_VALUE"""),0.5)</f>
        <v>0.5</v>
      </c>
      <c r="F271" s="1">
        <f ca="1">IFERROR(__xludf.DUMMYFUNCTION("""COMPUTED_VALUE"""),4.71)</f>
        <v>4.71</v>
      </c>
      <c r="G271" s="1">
        <f ca="1">IFERROR(__xludf.DUMMYFUNCTION("""COMPUTED_VALUE"""),2.9)</f>
        <v>2.9</v>
      </c>
      <c r="H271" s="1">
        <f ca="1">IFERROR(__xludf.DUMMYFUNCTION("""COMPUTED_VALUE"""),7)</f>
        <v>7</v>
      </c>
      <c r="I271" s="1">
        <f ca="1">IFERROR(__xludf.DUMMYFUNCTION("""COMPUTED_VALUE"""),9)</f>
        <v>9</v>
      </c>
      <c r="J271" s="1">
        <f ca="1">IFERROR(__xludf.DUMMYFUNCTION("""COMPUTED_VALUE"""),11)</f>
        <v>11</v>
      </c>
      <c r="K271" s="1">
        <f ca="1">IFERROR(__xludf.DUMMYFUNCTION("""COMPUTED_VALUE"""),4)</f>
        <v>4</v>
      </c>
      <c r="L271" s="1">
        <f ca="1">IFERROR(__xludf.DUMMYFUNCTION("""COMPUTED_VALUE"""),4)</f>
        <v>4</v>
      </c>
      <c r="M271" s="1">
        <f ca="1">IFERROR(__xludf.DUMMYFUNCTION("""COMPUTED_VALUE"""),11)</f>
        <v>11</v>
      </c>
      <c r="N271" s="1">
        <f ca="1">IFERROR(__xludf.DUMMYFUNCTION("""COMPUTED_VALUE"""),2207)</f>
        <v>2207</v>
      </c>
      <c r="O271" s="1">
        <f ca="1">IFERROR(__xludf.DUMMYFUNCTION("""COMPUTED_VALUE"""),2149)</f>
        <v>2149</v>
      </c>
      <c r="P271" s="1">
        <f ca="1">IFERROR(__xludf.DUMMYFUNCTION("""COMPUTED_VALUE"""),1285)</f>
        <v>1285</v>
      </c>
      <c r="Q271" s="1">
        <f ca="1">IFERROR(__xludf.DUMMYFUNCTION("""COMPUTED_VALUE"""),724)</f>
        <v>724</v>
      </c>
      <c r="R271" s="1">
        <f ca="1">IFERROR(__xludf.DUMMYFUNCTION("""COMPUTED_VALUE"""),1693)</f>
        <v>1693</v>
      </c>
      <c r="S271" s="1">
        <f ca="1">IFERROR(__xludf.DUMMYFUNCTION("""COMPUTED_VALUE"""),0.428)</f>
        <v>0.42799999999999999</v>
      </c>
      <c r="T271" s="1">
        <f ca="1">IFERROR(__xludf.DUMMYFUNCTION("""COMPUTED_VALUE"""),250)</f>
        <v>250</v>
      </c>
      <c r="U271" s="1">
        <f ca="1">IFERROR(__xludf.DUMMYFUNCTION("""COMPUTED_VALUE"""),699)</f>
        <v>699</v>
      </c>
      <c r="V271" s="1">
        <f ca="1">IFERROR(__xludf.DUMMYFUNCTION("""COMPUTED_VALUE"""),0.358)</f>
        <v>0.35799999999999998</v>
      </c>
      <c r="W271" s="1">
        <f ca="1">IFERROR(__xludf.DUMMYFUNCTION("""COMPUTED_VALUE"""),509)</f>
        <v>509</v>
      </c>
      <c r="X271" s="1">
        <f ca="1">IFERROR(__xludf.DUMMYFUNCTION("""COMPUTED_VALUE"""),667)</f>
        <v>667</v>
      </c>
      <c r="Y271" s="1">
        <f ca="1">IFERROR(__xludf.DUMMYFUNCTION("""COMPUTED_VALUE"""),0.763)</f>
        <v>0.76300000000000001</v>
      </c>
      <c r="Z271" s="1">
        <f ca="1">IFERROR(__xludf.DUMMYFUNCTION("""COMPUTED_VALUE"""),294)</f>
        <v>294</v>
      </c>
      <c r="AA271" s="1">
        <f ca="1">IFERROR(__xludf.DUMMYFUNCTION("""COMPUTED_VALUE"""),890)</f>
        <v>890</v>
      </c>
      <c r="AB271" s="1">
        <f ca="1">IFERROR(__xludf.DUMMYFUNCTION("""COMPUTED_VALUE"""),397)</f>
        <v>397</v>
      </c>
      <c r="AC271" s="1">
        <f ca="1">IFERROR(__xludf.DUMMYFUNCTION("""COMPUTED_VALUE"""),194)</f>
        <v>194</v>
      </c>
      <c r="AD271" s="1">
        <f ca="1">IFERROR(__xludf.DUMMYFUNCTION("""COMPUTED_VALUE"""),161)</f>
        <v>161</v>
      </c>
      <c r="AE271" s="1">
        <f ca="1">IFERROR(__xludf.DUMMYFUNCTION("""COMPUTED_VALUE"""),367)</f>
        <v>367</v>
      </c>
      <c r="AF271" s="1">
        <f ca="1">IFERROR(__xludf.DUMMYFUNCTION("""COMPUTED_VALUE"""),561)</f>
        <v>561</v>
      </c>
    </row>
    <row r="272" spans="1:32" ht="12.5" x14ac:dyDescent="0.25">
      <c r="A272" s="1" t="str">
        <f ca="1">IFERROR(__xludf.DUMMYFUNCTION("""COMPUTED_VALUE"""),"Rider")</f>
        <v>Rider</v>
      </c>
      <c r="B272" s="1">
        <f ca="1">IFERROR(__xludf.DUMMYFUNCTION("""COMPUTED_VALUE"""),32)</f>
        <v>32</v>
      </c>
      <c r="C272" s="1">
        <f ca="1">IFERROR(__xludf.DUMMYFUNCTION("""COMPUTED_VALUE"""),13)</f>
        <v>13</v>
      </c>
      <c r="D272" s="1">
        <f ca="1">IFERROR(__xludf.DUMMYFUNCTION("""COMPUTED_VALUE"""),19)</f>
        <v>19</v>
      </c>
      <c r="E272" s="1">
        <f ca="1">IFERROR(__xludf.DUMMYFUNCTION("""COMPUTED_VALUE"""),0.406)</f>
        <v>0.40600000000000003</v>
      </c>
      <c r="F272" s="1">
        <f ca="1">IFERROR(__xludf.DUMMYFUNCTION("""COMPUTED_VALUE"""),-5.4)</f>
        <v>-5.4</v>
      </c>
      <c r="G272" s="1">
        <f ca="1">IFERROR(__xludf.DUMMYFUNCTION("""COMPUTED_VALUE"""),-2.4)</f>
        <v>-2.4</v>
      </c>
      <c r="H272" s="1">
        <f ca="1">IFERROR(__xludf.DUMMYFUNCTION("""COMPUTED_VALUE"""),10)</f>
        <v>10</v>
      </c>
      <c r="I272" s="1">
        <f ca="1">IFERROR(__xludf.DUMMYFUNCTION("""COMPUTED_VALUE"""),8)</f>
        <v>8</v>
      </c>
      <c r="J272" s="1">
        <f ca="1">IFERROR(__xludf.DUMMYFUNCTION("""COMPUTED_VALUE"""),8)</f>
        <v>8</v>
      </c>
      <c r="K272" s="1">
        <f ca="1">IFERROR(__xludf.DUMMYFUNCTION("""COMPUTED_VALUE"""),5)</f>
        <v>5</v>
      </c>
      <c r="L272" s="1">
        <f ca="1">IFERROR(__xludf.DUMMYFUNCTION("""COMPUTED_VALUE"""),5)</f>
        <v>5</v>
      </c>
      <c r="M272" s="1">
        <f ca="1">IFERROR(__xludf.DUMMYFUNCTION("""COMPUTED_VALUE"""),10)</f>
        <v>10</v>
      </c>
      <c r="N272" s="1">
        <f ca="1">IFERROR(__xludf.DUMMYFUNCTION("""COMPUTED_VALUE"""),2291)</f>
        <v>2291</v>
      </c>
      <c r="O272" s="1">
        <f ca="1">IFERROR(__xludf.DUMMYFUNCTION("""COMPUTED_VALUE"""),2387)</f>
        <v>2387</v>
      </c>
      <c r="P272" s="1">
        <f ca="1">IFERROR(__xludf.DUMMYFUNCTION("""COMPUTED_VALUE"""),1295)</f>
        <v>1295</v>
      </c>
      <c r="Q272" s="1">
        <f ca="1">IFERROR(__xludf.DUMMYFUNCTION("""COMPUTED_VALUE"""),771)</f>
        <v>771</v>
      </c>
      <c r="R272" s="1">
        <f ca="1">IFERROR(__xludf.DUMMYFUNCTION("""COMPUTED_VALUE"""),1712)</f>
        <v>1712</v>
      </c>
      <c r="S272" s="1">
        <f ca="1">IFERROR(__xludf.DUMMYFUNCTION("""COMPUTED_VALUE"""),0.45)</f>
        <v>0.45</v>
      </c>
      <c r="T272" s="1">
        <f ca="1">IFERROR(__xludf.DUMMYFUNCTION("""COMPUTED_VALUE"""),246)</f>
        <v>246</v>
      </c>
      <c r="U272" s="1">
        <f ca="1">IFERROR(__xludf.DUMMYFUNCTION("""COMPUTED_VALUE"""),653)</f>
        <v>653</v>
      </c>
      <c r="V272" s="1">
        <f ca="1">IFERROR(__xludf.DUMMYFUNCTION("""COMPUTED_VALUE"""),0.377)</f>
        <v>0.377</v>
      </c>
      <c r="W272" s="1">
        <f ca="1">IFERROR(__xludf.DUMMYFUNCTION("""COMPUTED_VALUE"""),503)</f>
        <v>503</v>
      </c>
      <c r="X272" s="1">
        <f ca="1">IFERROR(__xludf.DUMMYFUNCTION("""COMPUTED_VALUE"""),699)</f>
        <v>699</v>
      </c>
      <c r="Y272" s="1">
        <f ca="1">IFERROR(__xludf.DUMMYFUNCTION("""COMPUTED_VALUE"""),0.72)</f>
        <v>0.72</v>
      </c>
      <c r="Z272" s="1">
        <f ca="1">IFERROR(__xludf.DUMMYFUNCTION("""COMPUTED_VALUE"""),296)</f>
        <v>296</v>
      </c>
      <c r="AA272" s="1">
        <f ca="1">IFERROR(__xludf.DUMMYFUNCTION("""COMPUTED_VALUE"""),964)</f>
        <v>964</v>
      </c>
      <c r="AB272" s="1">
        <f ca="1">IFERROR(__xludf.DUMMYFUNCTION("""COMPUTED_VALUE"""),443)</f>
        <v>443</v>
      </c>
      <c r="AC272" s="1">
        <f ca="1">IFERROR(__xludf.DUMMYFUNCTION("""COMPUTED_VALUE"""),191)</f>
        <v>191</v>
      </c>
      <c r="AD272" s="1">
        <f ca="1">IFERROR(__xludf.DUMMYFUNCTION("""COMPUTED_VALUE"""),127)</f>
        <v>127</v>
      </c>
      <c r="AE272" s="1">
        <f ca="1">IFERROR(__xludf.DUMMYFUNCTION("""COMPUTED_VALUE"""),483)</f>
        <v>483</v>
      </c>
      <c r="AF272" s="1">
        <f ca="1">IFERROR(__xludf.DUMMYFUNCTION("""COMPUTED_VALUE"""),558)</f>
        <v>558</v>
      </c>
    </row>
    <row r="273" spans="1:32" ht="12.5" x14ac:dyDescent="0.25">
      <c r="A273" s="1" t="str">
        <f ca="1">IFERROR(__xludf.DUMMYFUNCTION("""COMPUTED_VALUE"""),"Robert Morris")</f>
        <v>Robert Morris</v>
      </c>
      <c r="B273" s="1">
        <f ca="1">IFERROR(__xludf.DUMMYFUNCTION("""COMPUTED_VALUE"""),37)</f>
        <v>37</v>
      </c>
      <c r="C273" s="1">
        <f ca="1">IFERROR(__xludf.DUMMYFUNCTION("""COMPUTED_VALUE"""),26)</f>
        <v>26</v>
      </c>
      <c r="D273" s="1">
        <f ca="1">IFERROR(__xludf.DUMMYFUNCTION("""COMPUTED_VALUE"""),11)</f>
        <v>11</v>
      </c>
      <c r="E273" s="1">
        <f ca="1">IFERROR(__xludf.DUMMYFUNCTION("""COMPUTED_VALUE"""),0.703)</f>
        <v>0.70299999999999996</v>
      </c>
      <c r="F273" s="1">
        <f ca="1">IFERROR(__xludf.DUMMYFUNCTION("""COMPUTED_VALUE"""),0.67)</f>
        <v>0.67</v>
      </c>
      <c r="G273" s="1">
        <f ca="1">IFERROR(__xludf.DUMMYFUNCTION("""COMPUTED_VALUE"""),-4.3)</f>
        <v>-4.3</v>
      </c>
      <c r="H273" s="1">
        <f ca="1">IFERROR(__xludf.DUMMYFUNCTION("""COMPUTED_VALUE"""),13)</f>
        <v>13</v>
      </c>
      <c r="I273" s="1">
        <f ca="1">IFERROR(__xludf.DUMMYFUNCTION("""COMPUTED_VALUE"""),5)</f>
        <v>5</v>
      </c>
      <c r="J273" s="1">
        <f ca="1">IFERROR(__xludf.DUMMYFUNCTION("""COMPUTED_VALUE"""),11)</f>
        <v>11</v>
      </c>
      <c r="K273" s="1">
        <f ca="1">IFERROR(__xludf.DUMMYFUNCTION("""COMPUTED_VALUE"""),3)</f>
        <v>3</v>
      </c>
      <c r="L273" s="1">
        <f ca="1">IFERROR(__xludf.DUMMYFUNCTION("""COMPUTED_VALUE"""),14)</f>
        <v>14</v>
      </c>
      <c r="M273" s="1">
        <f ca="1">IFERROR(__xludf.DUMMYFUNCTION("""COMPUTED_VALUE"""),8)</f>
        <v>8</v>
      </c>
      <c r="N273" s="1">
        <f ca="1">IFERROR(__xludf.DUMMYFUNCTION("""COMPUTED_VALUE"""),2532)</f>
        <v>2532</v>
      </c>
      <c r="O273" s="1">
        <f ca="1">IFERROR(__xludf.DUMMYFUNCTION("""COMPUTED_VALUE"""),2348)</f>
        <v>2348</v>
      </c>
      <c r="P273" s="1">
        <f ca="1">IFERROR(__xludf.DUMMYFUNCTION("""COMPUTED_VALUE"""),1485)</f>
        <v>1485</v>
      </c>
      <c r="Q273" s="1">
        <f ca="1">IFERROR(__xludf.DUMMYFUNCTION("""COMPUTED_VALUE"""),844)</f>
        <v>844</v>
      </c>
      <c r="R273" s="1">
        <f ca="1">IFERROR(__xludf.DUMMYFUNCTION("""COMPUTED_VALUE"""),2020)</f>
        <v>2020</v>
      </c>
      <c r="S273" s="1">
        <f ca="1">IFERROR(__xludf.DUMMYFUNCTION("""COMPUTED_VALUE"""),0.418)</f>
        <v>0.41799999999999998</v>
      </c>
      <c r="T273" s="1">
        <f ca="1">IFERROR(__xludf.DUMMYFUNCTION("""COMPUTED_VALUE"""),240)</f>
        <v>240</v>
      </c>
      <c r="U273" s="1">
        <f ca="1">IFERROR(__xludf.DUMMYFUNCTION("""COMPUTED_VALUE"""),682)</f>
        <v>682</v>
      </c>
      <c r="V273" s="1">
        <f ca="1">IFERROR(__xludf.DUMMYFUNCTION("""COMPUTED_VALUE"""),0.352)</f>
        <v>0.35199999999999998</v>
      </c>
      <c r="W273" s="1">
        <f ca="1">IFERROR(__xludf.DUMMYFUNCTION("""COMPUTED_VALUE"""),604)</f>
        <v>604</v>
      </c>
      <c r="X273" s="1">
        <f ca="1">IFERROR(__xludf.DUMMYFUNCTION("""COMPUTED_VALUE"""),862)</f>
        <v>862</v>
      </c>
      <c r="Y273" s="1">
        <f ca="1">IFERROR(__xludf.DUMMYFUNCTION("""COMPUTED_VALUE"""),0.701)</f>
        <v>0.70099999999999996</v>
      </c>
      <c r="Z273" s="1">
        <f ca="1">IFERROR(__xludf.DUMMYFUNCTION("""COMPUTED_VALUE"""),525)</f>
        <v>525</v>
      </c>
      <c r="AA273" s="1">
        <f ca="1">IFERROR(__xludf.DUMMYFUNCTION("""COMPUTED_VALUE"""),1187)</f>
        <v>1187</v>
      </c>
      <c r="AB273" s="1">
        <f ca="1">IFERROR(__xludf.DUMMYFUNCTION("""COMPUTED_VALUE"""),493)</f>
        <v>493</v>
      </c>
      <c r="AC273" s="1">
        <f ca="1">IFERROR(__xludf.DUMMYFUNCTION("""COMPUTED_VALUE"""),308)</f>
        <v>308</v>
      </c>
      <c r="AD273" s="1">
        <f ca="1">IFERROR(__xludf.DUMMYFUNCTION("""COMPUTED_VALUE"""),90)</f>
        <v>90</v>
      </c>
      <c r="AE273" s="1">
        <f ca="1">IFERROR(__xludf.DUMMYFUNCTION("""COMPUTED_VALUE"""),510)</f>
        <v>510</v>
      </c>
      <c r="AF273" s="1">
        <f ca="1">IFERROR(__xludf.DUMMYFUNCTION("""COMPUTED_VALUE"""),766)</f>
        <v>766</v>
      </c>
    </row>
    <row r="274" spans="1:32" ht="12.5" x14ac:dyDescent="0.25">
      <c r="A274" s="1" t="str">
        <f ca="1">IFERROR(__xludf.DUMMYFUNCTION("""COMPUTED_VALUE"""),"Rutgers")</f>
        <v>Rutgers</v>
      </c>
      <c r="B274" s="1">
        <f ca="1">IFERROR(__xludf.DUMMYFUNCTION("""COMPUTED_VALUE"""),32)</f>
        <v>32</v>
      </c>
      <c r="C274" s="1">
        <f ca="1">IFERROR(__xludf.DUMMYFUNCTION("""COMPUTED_VALUE"""),14)</f>
        <v>14</v>
      </c>
      <c r="D274" s="1">
        <f ca="1">IFERROR(__xludf.DUMMYFUNCTION("""COMPUTED_VALUE"""),18)</f>
        <v>18</v>
      </c>
      <c r="E274" s="1">
        <f ca="1">IFERROR(__xludf.DUMMYFUNCTION("""COMPUTED_VALUE"""),0.438)</f>
        <v>0.438</v>
      </c>
      <c r="F274" s="1">
        <f ca="1">IFERROR(__xludf.DUMMYFUNCTION("""COMPUTED_VALUE"""),5.42)</f>
        <v>5.42</v>
      </c>
      <c r="G274" s="1">
        <f ca="1">IFERROR(__xludf.DUMMYFUNCTION("""COMPUTED_VALUE"""),5.76)</f>
        <v>5.76</v>
      </c>
      <c r="H274" s="1">
        <f ca="1">IFERROR(__xludf.DUMMYFUNCTION("""COMPUTED_VALUE"""),6)</f>
        <v>6</v>
      </c>
      <c r="I274" s="1">
        <f ca="1">IFERROR(__xludf.DUMMYFUNCTION("""COMPUTED_VALUE"""),12)</f>
        <v>12</v>
      </c>
      <c r="J274" s="1">
        <f ca="1">IFERROR(__xludf.DUMMYFUNCTION("""COMPUTED_VALUE"""),11)</f>
        <v>11</v>
      </c>
      <c r="K274" s="1">
        <f ca="1">IFERROR(__xludf.DUMMYFUNCTION("""COMPUTED_VALUE"""),7)</f>
        <v>7</v>
      </c>
      <c r="L274" s="1">
        <f ca="1">IFERROR(__xludf.DUMMYFUNCTION("""COMPUTED_VALUE"""),2)</f>
        <v>2</v>
      </c>
      <c r="M274" s="1">
        <f ca="1">IFERROR(__xludf.DUMMYFUNCTION("""COMPUTED_VALUE"""),8)</f>
        <v>8</v>
      </c>
      <c r="N274" s="1">
        <f ca="1">IFERROR(__xludf.DUMMYFUNCTION("""COMPUTED_VALUE"""),2095)</f>
        <v>2095</v>
      </c>
      <c r="O274" s="1">
        <f ca="1">IFERROR(__xludf.DUMMYFUNCTION("""COMPUTED_VALUE"""),2106)</f>
        <v>2106</v>
      </c>
      <c r="P274" s="1">
        <f ca="1">IFERROR(__xludf.DUMMYFUNCTION("""COMPUTED_VALUE"""),1295)</f>
        <v>1295</v>
      </c>
      <c r="Q274" s="1">
        <f ca="1">IFERROR(__xludf.DUMMYFUNCTION("""COMPUTED_VALUE"""),764)</f>
        <v>764</v>
      </c>
      <c r="R274" s="1">
        <f ca="1">IFERROR(__xludf.DUMMYFUNCTION("""COMPUTED_VALUE"""),1802)</f>
        <v>1802</v>
      </c>
      <c r="S274" s="1">
        <f ca="1">IFERROR(__xludf.DUMMYFUNCTION("""COMPUTED_VALUE"""),0.424)</f>
        <v>0.42399999999999999</v>
      </c>
      <c r="T274" s="1">
        <f ca="1">IFERROR(__xludf.DUMMYFUNCTION("""COMPUTED_VALUE"""),169)</f>
        <v>169</v>
      </c>
      <c r="U274" s="1">
        <f ca="1">IFERROR(__xludf.DUMMYFUNCTION("""COMPUTED_VALUE"""),504)</f>
        <v>504</v>
      </c>
      <c r="V274" s="1">
        <f ca="1">IFERROR(__xludf.DUMMYFUNCTION("""COMPUTED_VALUE"""),0.335)</f>
        <v>0.33500000000000002</v>
      </c>
      <c r="W274" s="1">
        <f ca="1">IFERROR(__xludf.DUMMYFUNCTION("""COMPUTED_VALUE"""),398)</f>
        <v>398</v>
      </c>
      <c r="X274" s="1">
        <f ca="1">IFERROR(__xludf.DUMMYFUNCTION("""COMPUTED_VALUE"""),571)</f>
        <v>571</v>
      </c>
      <c r="Y274" s="1">
        <f ca="1">IFERROR(__xludf.DUMMYFUNCTION("""COMPUTED_VALUE"""),0.697)</f>
        <v>0.69699999999999995</v>
      </c>
      <c r="Z274" s="1">
        <f ca="1">IFERROR(__xludf.DUMMYFUNCTION("""COMPUTED_VALUE"""),409)</f>
        <v>409</v>
      </c>
      <c r="AA274" s="1">
        <f ca="1">IFERROR(__xludf.DUMMYFUNCTION("""COMPUTED_VALUE"""),974)</f>
        <v>974</v>
      </c>
      <c r="AB274" s="1">
        <f ca="1">IFERROR(__xludf.DUMMYFUNCTION("""COMPUTED_VALUE"""),407)</f>
        <v>407</v>
      </c>
      <c r="AC274" s="1">
        <f ca="1">IFERROR(__xludf.DUMMYFUNCTION("""COMPUTED_VALUE"""),261)</f>
        <v>261</v>
      </c>
      <c r="AD274" s="1">
        <f ca="1">IFERROR(__xludf.DUMMYFUNCTION("""COMPUTED_VALUE"""),122)</f>
        <v>122</v>
      </c>
      <c r="AE274" s="1">
        <f ca="1">IFERROR(__xludf.DUMMYFUNCTION("""COMPUTED_VALUE"""),475)</f>
        <v>475</v>
      </c>
      <c r="AF274" s="1">
        <f ca="1">IFERROR(__xludf.DUMMYFUNCTION("""COMPUTED_VALUE"""),673)</f>
        <v>673</v>
      </c>
    </row>
    <row r="275" spans="1:32" ht="12.5" x14ac:dyDescent="0.25">
      <c r="A275" s="1" t="str">
        <f ca="1">IFERROR(__xludf.DUMMYFUNCTION("""COMPUTED_VALUE"""),"Sacramento State")</f>
        <v>Sacramento State</v>
      </c>
      <c r="B275" s="1">
        <f ca="1">IFERROR(__xludf.DUMMYFUNCTION("""COMPUTED_VALUE"""),28)</f>
        <v>28</v>
      </c>
      <c r="C275" s="1">
        <f ca="1">IFERROR(__xludf.DUMMYFUNCTION("""COMPUTED_VALUE"""),10)</f>
        <v>10</v>
      </c>
      <c r="D275" s="1">
        <f ca="1">IFERROR(__xludf.DUMMYFUNCTION("""COMPUTED_VALUE"""),18)</f>
        <v>18</v>
      </c>
      <c r="E275" s="1">
        <f ca="1">IFERROR(__xludf.DUMMYFUNCTION("""COMPUTED_VALUE"""),0.357)</f>
        <v>0.35699999999999998</v>
      </c>
      <c r="F275" s="1">
        <f ca="1">IFERROR(__xludf.DUMMYFUNCTION("""COMPUTED_VALUE"""),-9.67)</f>
        <v>-9.67</v>
      </c>
      <c r="G275" s="1">
        <f ca="1">IFERROR(__xludf.DUMMYFUNCTION("""COMPUTED_VALUE"""),-5.71)</f>
        <v>-5.71</v>
      </c>
      <c r="H275" s="1">
        <f ca="1">IFERROR(__xludf.DUMMYFUNCTION("""COMPUTED_VALUE"""),5)</f>
        <v>5</v>
      </c>
      <c r="I275" s="1">
        <f ca="1">IFERROR(__xludf.DUMMYFUNCTION("""COMPUTED_VALUE"""),11)</f>
        <v>11</v>
      </c>
      <c r="J275" s="1">
        <f ca="1">IFERROR(__xludf.DUMMYFUNCTION("""COMPUTED_VALUE"""),6)</f>
        <v>6</v>
      </c>
      <c r="K275" s="1">
        <f ca="1">IFERROR(__xludf.DUMMYFUNCTION("""COMPUTED_VALUE"""),9)</f>
        <v>9</v>
      </c>
      <c r="L275" s="1">
        <f ca="1">IFERROR(__xludf.DUMMYFUNCTION("""COMPUTED_VALUE"""),4)</f>
        <v>4</v>
      </c>
      <c r="M275" s="1">
        <f ca="1">IFERROR(__xludf.DUMMYFUNCTION("""COMPUTED_VALUE"""),9)</f>
        <v>9</v>
      </c>
      <c r="N275" s="1">
        <f ca="1">IFERROR(__xludf.DUMMYFUNCTION("""COMPUTED_VALUE"""),1875)</f>
        <v>1875</v>
      </c>
      <c r="O275" s="1">
        <f ca="1">IFERROR(__xludf.DUMMYFUNCTION("""COMPUTED_VALUE"""),1936)</f>
        <v>1936</v>
      </c>
      <c r="P275" s="1">
        <f ca="1">IFERROR(__xludf.DUMMYFUNCTION("""COMPUTED_VALUE"""),1120)</f>
        <v>1120</v>
      </c>
      <c r="Q275" s="1">
        <f ca="1">IFERROR(__xludf.DUMMYFUNCTION("""COMPUTED_VALUE"""),663)</f>
        <v>663</v>
      </c>
      <c r="R275" s="1">
        <f ca="1">IFERROR(__xludf.DUMMYFUNCTION("""COMPUTED_VALUE"""),1470)</f>
        <v>1470</v>
      </c>
      <c r="S275" s="1">
        <f ca="1">IFERROR(__xludf.DUMMYFUNCTION("""COMPUTED_VALUE"""),0.451)</f>
        <v>0.45100000000000001</v>
      </c>
      <c r="T275" s="1">
        <f ca="1">IFERROR(__xludf.DUMMYFUNCTION("""COMPUTED_VALUE"""),152)</f>
        <v>152</v>
      </c>
      <c r="U275" s="1">
        <f ca="1">IFERROR(__xludf.DUMMYFUNCTION("""COMPUTED_VALUE"""),448)</f>
        <v>448</v>
      </c>
      <c r="V275" s="1">
        <f ca="1">IFERROR(__xludf.DUMMYFUNCTION("""COMPUTED_VALUE"""),0.339)</f>
        <v>0.33900000000000002</v>
      </c>
      <c r="W275" s="1">
        <f ca="1">IFERROR(__xludf.DUMMYFUNCTION("""COMPUTED_VALUE"""),397)</f>
        <v>397</v>
      </c>
      <c r="X275" s="1">
        <f ca="1">IFERROR(__xludf.DUMMYFUNCTION("""COMPUTED_VALUE"""),568)</f>
        <v>568</v>
      </c>
      <c r="Y275" s="1">
        <f ca="1">IFERROR(__xludf.DUMMYFUNCTION("""COMPUTED_VALUE"""),0.699)</f>
        <v>0.69899999999999995</v>
      </c>
      <c r="Z275" s="1">
        <f ca="1">IFERROR(__xludf.DUMMYFUNCTION("""COMPUTED_VALUE"""),279)</f>
        <v>279</v>
      </c>
      <c r="AA275" s="1">
        <f ca="1">IFERROR(__xludf.DUMMYFUNCTION("""COMPUTED_VALUE"""),846)</f>
        <v>846</v>
      </c>
      <c r="AB275" s="1">
        <f ca="1">IFERROR(__xludf.DUMMYFUNCTION("""COMPUTED_VALUE"""),386)</f>
        <v>386</v>
      </c>
      <c r="AC275" s="1">
        <f ca="1">IFERROR(__xludf.DUMMYFUNCTION("""COMPUTED_VALUE"""),130)</f>
        <v>130</v>
      </c>
      <c r="AD275" s="1">
        <f ca="1">IFERROR(__xludf.DUMMYFUNCTION("""COMPUTED_VALUE"""),64)</f>
        <v>64</v>
      </c>
      <c r="AE275" s="1">
        <f ca="1">IFERROR(__xludf.DUMMYFUNCTION("""COMPUTED_VALUE"""),383)</f>
        <v>383</v>
      </c>
      <c r="AF275" s="1">
        <f ca="1">IFERROR(__xludf.DUMMYFUNCTION("""COMPUTED_VALUE"""),535)</f>
        <v>535</v>
      </c>
    </row>
    <row r="276" spans="1:32" ht="12.5" x14ac:dyDescent="0.25">
      <c r="A276" s="1" t="str">
        <f ca="1">IFERROR(__xludf.DUMMYFUNCTION("""COMPUTED_VALUE"""),"Sacred Heart")</f>
        <v>Sacred Heart</v>
      </c>
      <c r="B276" s="1">
        <f ca="1">IFERROR(__xludf.DUMMYFUNCTION("""COMPUTED_VALUE"""),32)</f>
        <v>32</v>
      </c>
      <c r="C276" s="1">
        <f ca="1">IFERROR(__xludf.DUMMYFUNCTION("""COMPUTED_VALUE"""),14)</f>
        <v>14</v>
      </c>
      <c r="D276" s="1">
        <f ca="1">IFERROR(__xludf.DUMMYFUNCTION("""COMPUTED_VALUE"""),18)</f>
        <v>18</v>
      </c>
      <c r="E276" s="1">
        <f ca="1">IFERROR(__xludf.DUMMYFUNCTION("""COMPUTED_VALUE"""),0.438)</f>
        <v>0.438</v>
      </c>
      <c r="F276" s="1">
        <f ca="1">IFERROR(__xludf.DUMMYFUNCTION("""COMPUTED_VALUE"""),-6.87)</f>
        <v>-6.87</v>
      </c>
      <c r="G276" s="1">
        <f ca="1">IFERROR(__xludf.DUMMYFUNCTION("""COMPUTED_VALUE"""),-5.56)</f>
        <v>-5.56</v>
      </c>
      <c r="H276" s="1">
        <f ca="1">IFERROR(__xludf.DUMMYFUNCTION("""COMPUTED_VALUE"""),8)</f>
        <v>8</v>
      </c>
      <c r="I276" s="1">
        <f ca="1">IFERROR(__xludf.DUMMYFUNCTION("""COMPUTED_VALUE"""),10)</f>
        <v>10</v>
      </c>
      <c r="J276" s="1">
        <f ca="1">IFERROR(__xludf.DUMMYFUNCTION("""COMPUTED_VALUE"""),7)</f>
        <v>7</v>
      </c>
      <c r="K276" s="1">
        <f ca="1">IFERROR(__xludf.DUMMYFUNCTION("""COMPUTED_VALUE"""),6)</f>
        <v>6</v>
      </c>
      <c r="L276" s="1">
        <f ca="1">IFERROR(__xludf.DUMMYFUNCTION("""COMPUTED_VALUE"""),5)</f>
        <v>5</v>
      </c>
      <c r="M276" s="1">
        <f ca="1">IFERROR(__xludf.DUMMYFUNCTION("""COMPUTED_VALUE"""),11)</f>
        <v>11</v>
      </c>
      <c r="N276" s="1">
        <f ca="1">IFERROR(__xludf.DUMMYFUNCTION("""COMPUTED_VALUE"""),2277)</f>
        <v>2277</v>
      </c>
      <c r="O276" s="1">
        <f ca="1">IFERROR(__xludf.DUMMYFUNCTION("""COMPUTED_VALUE"""),2319)</f>
        <v>2319</v>
      </c>
      <c r="P276" s="1">
        <f ca="1">IFERROR(__xludf.DUMMYFUNCTION("""COMPUTED_VALUE"""),1300)</f>
        <v>1300</v>
      </c>
      <c r="Q276" s="1">
        <f ca="1">IFERROR(__xludf.DUMMYFUNCTION("""COMPUTED_VALUE"""),807)</f>
        <v>807</v>
      </c>
      <c r="R276" s="1">
        <f ca="1">IFERROR(__xludf.DUMMYFUNCTION("""COMPUTED_VALUE"""),1756)</f>
        <v>1756</v>
      </c>
      <c r="S276" s="1">
        <f ca="1">IFERROR(__xludf.DUMMYFUNCTION("""COMPUTED_VALUE"""),0.46)</f>
        <v>0.46</v>
      </c>
      <c r="T276" s="1">
        <f ca="1">IFERROR(__xludf.DUMMYFUNCTION("""COMPUTED_VALUE"""),207)</f>
        <v>207</v>
      </c>
      <c r="U276" s="1">
        <f ca="1">IFERROR(__xludf.DUMMYFUNCTION("""COMPUTED_VALUE"""),561)</f>
        <v>561</v>
      </c>
      <c r="V276" s="1">
        <f ca="1">IFERROR(__xludf.DUMMYFUNCTION("""COMPUTED_VALUE"""),0.369)</f>
        <v>0.36899999999999999</v>
      </c>
      <c r="W276" s="1">
        <f ca="1">IFERROR(__xludf.DUMMYFUNCTION("""COMPUTED_VALUE"""),456)</f>
        <v>456</v>
      </c>
      <c r="X276" s="1">
        <f ca="1">IFERROR(__xludf.DUMMYFUNCTION("""COMPUTED_VALUE"""),612)</f>
        <v>612</v>
      </c>
      <c r="Y276" s="1">
        <f ca="1">IFERROR(__xludf.DUMMYFUNCTION("""COMPUTED_VALUE"""),0.745)</f>
        <v>0.745</v>
      </c>
      <c r="Z276" s="1">
        <f ca="1">IFERROR(__xludf.DUMMYFUNCTION("""COMPUTED_VALUE"""),321)</f>
        <v>321</v>
      </c>
      <c r="AA276" s="1">
        <f ca="1">IFERROR(__xludf.DUMMYFUNCTION("""COMPUTED_VALUE"""),985)</f>
        <v>985</v>
      </c>
      <c r="AB276" s="1">
        <f ca="1">IFERROR(__xludf.DUMMYFUNCTION("""COMPUTED_VALUE"""),446)</f>
        <v>446</v>
      </c>
      <c r="AC276" s="1">
        <f ca="1">IFERROR(__xludf.DUMMYFUNCTION("""COMPUTED_VALUE"""),211)</f>
        <v>211</v>
      </c>
      <c r="AD276" s="1">
        <f ca="1">IFERROR(__xludf.DUMMYFUNCTION("""COMPUTED_VALUE"""),102)</f>
        <v>102</v>
      </c>
      <c r="AE276" s="1">
        <f ca="1">IFERROR(__xludf.DUMMYFUNCTION("""COMPUTED_VALUE"""),491)</f>
        <v>491</v>
      </c>
      <c r="AF276" s="1">
        <f ca="1">IFERROR(__xludf.DUMMYFUNCTION("""COMPUTED_VALUE"""),588)</f>
        <v>588</v>
      </c>
    </row>
    <row r="277" spans="1:32" ht="12.5" x14ac:dyDescent="0.25">
      <c r="A277" s="1" t="str">
        <f ca="1">IFERROR(__xludf.DUMMYFUNCTION("""COMPUTED_VALUE"""),"Saint Francis (PA)")</f>
        <v>Saint Francis (PA)</v>
      </c>
      <c r="B277" s="1">
        <f ca="1">IFERROR(__xludf.DUMMYFUNCTION("""COMPUTED_VALUE"""),29)</f>
        <v>29</v>
      </c>
      <c r="C277" s="1">
        <f ca="1">IFERROR(__xludf.DUMMYFUNCTION("""COMPUTED_VALUE"""),6)</f>
        <v>6</v>
      </c>
      <c r="D277" s="1">
        <f ca="1">IFERROR(__xludf.DUMMYFUNCTION("""COMPUTED_VALUE"""),23)</f>
        <v>23</v>
      </c>
      <c r="E277" s="1">
        <f ca="1">IFERROR(__xludf.DUMMYFUNCTION("""COMPUTED_VALUE"""),0.207)</f>
        <v>0.20699999999999999</v>
      </c>
      <c r="F277" s="1">
        <f ca="1">IFERROR(__xludf.DUMMYFUNCTION("""COMPUTED_VALUE"""),-13.18)</f>
        <v>-13.18</v>
      </c>
      <c r="G277" s="1">
        <f ca="1">IFERROR(__xludf.DUMMYFUNCTION("""COMPUTED_VALUE"""),-4.42)</f>
        <v>-4.42</v>
      </c>
      <c r="H277" s="1">
        <f ca="1">IFERROR(__xludf.DUMMYFUNCTION("""COMPUTED_VALUE"""),5)</f>
        <v>5</v>
      </c>
      <c r="I277" s="1">
        <f ca="1">IFERROR(__xludf.DUMMYFUNCTION("""COMPUTED_VALUE"""),13)</f>
        <v>13</v>
      </c>
      <c r="J277" s="1">
        <f ca="1">IFERROR(__xludf.DUMMYFUNCTION("""COMPUTED_VALUE"""),5)</f>
        <v>5</v>
      </c>
      <c r="K277" s="1">
        <f ca="1">IFERROR(__xludf.DUMMYFUNCTION("""COMPUTED_VALUE"""),8)</f>
        <v>8</v>
      </c>
      <c r="L277" s="1">
        <f ca="1">IFERROR(__xludf.DUMMYFUNCTION("""COMPUTED_VALUE"""),1)</f>
        <v>1</v>
      </c>
      <c r="M277" s="1">
        <f ca="1">IFERROR(__xludf.DUMMYFUNCTION("""COMPUTED_VALUE"""),15)</f>
        <v>15</v>
      </c>
      <c r="N277" s="1">
        <f ca="1">IFERROR(__xludf.DUMMYFUNCTION("""COMPUTED_VALUE"""),1763)</f>
        <v>1763</v>
      </c>
      <c r="O277" s="1">
        <f ca="1">IFERROR(__xludf.DUMMYFUNCTION("""COMPUTED_VALUE"""),2017)</f>
        <v>2017</v>
      </c>
      <c r="P277" s="1">
        <f ca="1">IFERROR(__xludf.DUMMYFUNCTION("""COMPUTED_VALUE"""),1160)</f>
        <v>1160</v>
      </c>
      <c r="Q277" s="1">
        <f ca="1">IFERROR(__xludf.DUMMYFUNCTION("""COMPUTED_VALUE"""),652)</f>
        <v>652</v>
      </c>
      <c r="R277" s="1">
        <f ca="1">IFERROR(__xludf.DUMMYFUNCTION("""COMPUTED_VALUE"""),1422)</f>
        <v>1422</v>
      </c>
      <c r="S277" s="1">
        <f ca="1">IFERROR(__xludf.DUMMYFUNCTION("""COMPUTED_VALUE"""),0.459)</f>
        <v>0.45900000000000002</v>
      </c>
      <c r="T277" s="1">
        <f ca="1">IFERROR(__xludf.DUMMYFUNCTION("""COMPUTED_VALUE"""),135)</f>
        <v>135</v>
      </c>
      <c r="U277" s="1">
        <f ca="1">IFERROR(__xludf.DUMMYFUNCTION("""COMPUTED_VALUE"""),401)</f>
        <v>401</v>
      </c>
      <c r="V277" s="1">
        <f ca="1">IFERROR(__xludf.DUMMYFUNCTION("""COMPUTED_VALUE"""),0.337)</f>
        <v>0.33700000000000002</v>
      </c>
      <c r="W277" s="1">
        <f ca="1">IFERROR(__xludf.DUMMYFUNCTION("""COMPUTED_VALUE"""),324)</f>
        <v>324</v>
      </c>
      <c r="X277" s="1">
        <f ca="1">IFERROR(__xludf.DUMMYFUNCTION("""COMPUTED_VALUE"""),496)</f>
        <v>496</v>
      </c>
      <c r="Y277" s="1">
        <f ca="1">IFERROR(__xludf.DUMMYFUNCTION("""COMPUTED_VALUE"""),0.653)</f>
        <v>0.65300000000000002</v>
      </c>
      <c r="Z277" s="1">
        <f ca="1">IFERROR(__xludf.DUMMYFUNCTION("""COMPUTED_VALUE"""),245)</f>
        <v>245</v>
      </c>
      <c r="AA277" s="1">
        <f ca="1">IFERROR(__xludf.DUMMYFUNCTION("""COMPUTED_VALUE"""),736)</f>
        <v>736</v>
      </c>
      <c r="AB277" s="1">
        <f ca="1">IFERROR(__xludf.DUMMYFUNCTION("""COMPUTED_VALUE"""),363)</f>
        <v>363</v>
      </c>
      <c r="AC277" s="1">
        <f ca="1">IFERROR(__xludf.DUMMYFUNCTION("""COMPUTED_VALUE"""),188)</f>
        <v>188</v>
      </c>
      <c r="AD277" s="1">
        <f ca="1">IFERROR(__xludf.DUMMYFUNCTION("""COMPUTED_VALUE"""),80)</f>
        <v>80</v>
      </c>
      <c r="AE277" s="1">
        <f ca="1">IFERROR(__xludf.DUMMYFUNCTION("""COMPUTED_VALUE"""),457)</f>
        <v>457</v>
      </c>
      <c r="AF277" s="1">
        <f ca="1">IFERROR(__xludf.DUMMYFUNCTION("""COMPUTED_VALUE"""),503)</f>
        <v>503</v>
      </c>
    </row>
    <row r="278" spans="1:32" ht="12.5" x14ac:dyDescent="0.25">
      <c r="A278" s="1" t="str">
        <f ca="1">IFERROR(__xludf.DUMMYFUNCTION("""COMPUTED_VALUE"""),"Saint Joseph's")</f>
        <v>Saint Joseph's</v>
      </c>
      <c r="B278" s="1">
        <f ca="1">IFERROR(__xludf.DUMMYFUNCTION("""COMPUTED_VALUE"""),34)</f>
        <v>34</v>
      </c>
      <c r="C278" s="1">
        <f ca="1">IFERROR(__xludf.DUMMYFUNCTION("""COMPUTED_VALUE"""),20)</f>
        <v>20</v>
      </c>
      <c r="D278" s="1">
        <f ca="1">IFERROR(__xludf.DUMMYFUNCTION("""COMPUTED_VALUE"""),14)</f>
        <v>14</v>
      </c>
      <c r="E278" s="1">
        <f ca="1">IFERROR(__xludf.DUMMYFUNCTION("""COMPUTED_VALUE"""),0.588)</f>
        <v>0.58799999999999997</v>
      </c>
      <c r="F278" s="1">
        <f ca="1">IFERROR(__xludf.DUMMYFUNCTION("""COMPUTED_VALUE"""),8.25)</f>
        <v>8.25</v>
      </c>
      <c r="G278" s="1">
        <f ca="1">IFERROR(__xludf.DUMMYFUNCTION("""COMPUTED_VALUE"""),4.25)</f>
        <v>4.25</v>
      </c>
      <c r="H278" s="1">
        <f ca="1">IFERROR(__xludf.DUMMYFUNCTION("""COMPUTED_VALUE"""),9)</f>
        <v>9</v>
      </c>
      <c r="I278" s="1">
        <f ca="1">IFERROR(__xludf.DUMMYFUNCTION("""COMPUTED_VALUE"""),7)</f>
        <v>7</v>
      </c>
      <c r="J278" s="1">
        <f ca="1">IFERROR(__xludf.DUMMYFUNCTION("""COMPUTED_VALUE"""),13)</f>
        <v>13</v>
      </c>
      <c r="K278" s="1">
        <f ca="1">IFERROR(__xludf.DUMMYFUNCTION("""COMPUTED_VALUE"""),4)</f>
        <v>4</v>
      </c>
      <c r="L278" s="1">
        <f ca="1">IFERROR(__xludf.DUMMYFUNCTION("""COMPUTED_VALUE"""),5)</f>
        <v>5</v>
      </c>
      <c r="M278" s="1">
        <f ca="1">IFERROR(__xludf.DUMMYFUNCTION("""COMPUTED_VALUE"""),8)</f>
        <v>8</v>
      </c>
      <c r="N278" s="1">
        <f ca="1">IFERROR(__xludf.DUMMYFUNCTION("""COMPUTED_VALUE"""),2446)</f>
        <v>2446</v>
      </c>
      <c r="O278" s="1">
        <f ca="1">IFERROR(__xludf.DUMMYFUNCTION("""COMPUTED_VALUE"""),2310)</f>
        <v>2310</v>
      </c>
      <c r="P278" s="1">
        <f ca="1">IFERROR(__xludf.DUMMYFUNCTION("""COMPUTED_VALUE"""),1385)</f>
        <v>1385</v>
      </c>
      <c r="Q278" s="1">
        <f ca="1">IFERROR(__xludf.DUMMYFUNCTION("""COMPUTED_VALUE"""),876)</f>
        <v>876</v>
      </c>
      <c r="R278" s="1">
        <f ca="1">IFERROR(__xludf.DUMMYFUNCTION("""COMPUTED_VALUE"""),1862)</f>
        <v>1862</v>
      </c>
      <c r="S278" s="1">
        <f ca="1">IFERROR(__xludf.DUMMYFUNCTION("""COMPUTED_VALUE"""),0.47)</f>
        <v>0.47</v>
      </c>
      <c r="T278" s="1">
        <f ca="1">IFERROR(__xludf.DUMMYFUNCTION("""COMPUTED_VALUE"""),226)</f>
        <v>226</v>
      </c>
      <c r="U278" s="1">
        <f ca="1">IFERROR(__xludf.DUMMYFUNCTION("""COMPUTED_VALUE"""),622)</f>
        <v>622</v>
      </c>
      <c r="V278" s="1">
        <f ca="1">IFERROR(__xludf.DUMMYFUNCTION("""COMPUTED_VALUE"""),0.363)</f>
        <v>0.36299999999999999</v>
      </c>
      <c r="W278" s="1">
        <f ca="1">IFERROR(__xludf.DUMMYFUNCTION("""COMPUTED_VALUE"""),468)</f>
        <v>468</v>
      </c>
      <c r="X278" s="1">
        <f ca="1">IFERROR(__xludf.DUMMYFUNCTION("""COMPUTED_VALUE"""),676)</f>
        <v>676</v>
      </c>
      <c r="Y278" s="1">
        <f ca="1">IFERROR(__xludf.DUMMYFUNCTION("""COMPUTED_VALUE"""),0.692)</f>
        <v>0.69199999999999995</v>
      </c>
      <c r="Z278" s="1">
        <f ca="1">IFERROR(__xludf.DUMMYFUNCTION("""COMPUTED_VALUE"""),324)</f>
        <v>324</v>
      </c>
      <c r="AA278" s="1">
        <f ca="1">IFERROR(__xludf.DUMMYFUNCTION("""COMPUTED_VALUE"""),1125)</f>
        <v>1125</v>
      </c>
      <c r="AB278" s="1">
        <f ca="1">IFERROR(__xludf.DUMMYFUNCTION("""COMPUTED_VALUE"""),493)</f>
        <v>493</v>
      </c>
      <c r="AC278" s="1">
        <f ca="1">IFERROR(__xludf.DUMMYFUNCTION("""COMPUTED_VALUE"""),163)</f>
        <v>163</v>
      </c>
      <c r="AD278" s="1">
        <f ca="1">IFERROR(__xludf.DUMMYFUNCTION("""COMPUTED_VALUE"""),244)</f>
        <v>244</v>
      </c>
      <c r="AE278" s="1">
        <f ca="1">IFERROR(__xludf.DUMMYFUNCTION("""COMPUTED_VALUE"""),430)</f>
        <v>430</v>
      </c>
      <c r="AF278" s="1">
        <f ca="1">IFERROR(__xludf.DUMMYFUNCTION("""COMPUTED_VALUE"""),517)</f>
        <v>517</v>
      </c>
    </row>
    <row r="279" spans="1:32" ht="12.5" x14ac:dyDescent="0.25">
      <c r="A279" s="1" t="str">
        <f ca="1">IFERROR(__xludf.DUMMYFUNCTION("""COMPUTED_VALUE"""),"Saint LouisNCAA")</f>
        <v>Saint LouisNCAA</v>
      </c>
      <c r="B279" s="1">
        <f ca="1">IFERROR(__xludf.DUMMYFUNCTION("""COMPUTED_VALUE"""),34)</f>
        <v>34</v>
      </c>
      <c r="C279" s="1">
        <f ca="1">IFERROR(__xludf.DUMMYFUNCTION("""COMPUTED_VALUE"""),26)</f>
        <v>26</v>
      </c>
      <c r="D279" s="1">
        <f ca="1">IFERROR(__xludf.DUMMYFUNCTION("""COMPUTED_VALUE"""),8)</f>
        <v>8</v>
      </c>
      <c r="E279" s="1">
        <f ca="1">IFERROR(__xludf.DUMMYFUNCTION("""COMPUTED_VALUE"""),0.765)</f>
        <v>0.76500000000000001</v>
      </c>
      <c r="F279" s="1">
        <f ca="1">IFERROR(__xludf.DUMMYFUNCTION("""COMPUTED_VALUE"""),15.15)</f>
        <v>15.15</v>
      </c>
      <c r="G279" s="1">
        <f ca="1">IFERROR(__xludf.DUMMYFUNCTION("""COMPUTED_VALUE"""),4.06)</f>
        <v>4.0599999999999996</v>
      </c>
      <c r="H279" s="1">
        <f ca="1">IFERROR(__xludf.DUMMYFUNCTION("""COMPUTED_VALUE"""),12)</f>
        <v>12</v>
      </c>
      <c r="I279" s="1">
        <f ca="1">IFERROR(__xludf.DUMMYFUNCTION("""COMPUTED_VALUE"""),4)</f>
        <v>4</v>
      </c>
      <c r="J279" s="1">
        <f ca="1">IFERROR(__xludf.DUMMYFUNCTION("""COMPUTED_VALUE"""),15)</f>
        <v>15</v>
      </c>
      <c r="K279" s="1">
        <f ca="1">IFERROR(__xludf.DUMMYFUNCTION("""COMPUTED_VALUE"""),1)</f>
        <v>1</v>
      </c>
      <c r="L279" s="1">
        <f ca="1">IFERROR(__xludf.DUMMYFUNCTION("""COMPUTED_VALUE"""),6)</f>
        <v>6</v>
      </c>
      <c r="M279" s="1">
        <f ca="1">IFERROR(__xludf.DUMMYFUNCTION("""COMPUTED_VALUE"""),5)</f>
        <v>5</v>
      </c>
      <c r="N279" s="1">
        <f ca="1">IFERROR(__xludf.DUMMYFUNCTION("""COMPUTED_VALUE"""),2336)</f>
        <v>2336</v>
      </c>
      <c r="O279" s="1">
        <f ca="1">IFERROR(__xludf.DUMMYFUNCTION("""COMPUTED_VALUE"""),1960)</f>
        <v>1960</v>
      </c>
      <c r="P279" s="1">
        <f ca="1">IFERROR(__xludf.DUMMYFUNCTION("""COMPUTED_VALUE"""),1365)</f>
        <v>1365</v>
      </c>
      <c r="Q279" s="1">
        <f ca="1">IFERROR(__xludf.DUMMYFUNCTION("""COMPUTED_VALUE"""),814)</f>
        <v>814</v>
      </c>
      <c r="R279" s="1">
        <f ca="1">IFERROR(__xludf.DUMMYFUNCTION("""COMPUTED_VALUE"""),1813)</f>
        <v>1813</v>
      </c>
      <c r="S279" s="1">
        <f ca="1">IFERROR(__xludf.DUMMYFUNCTION("""COMPUTED_VALUE"""),0.449)</f>
        <v>0.44900000000000001</v>
      </c>
      <c r="T279" s="1">
        <f ca="1">IFERROR(__xludf.DUMMYFUNCTION("""COMPUTED_VALUE"""),238)</f>
        <v>238</v>
      </c>
      <c r="U279" s="1">
        <f ca="1">IFERROR(__xludf.DUMMYFUNCTION("""COMPUTED_VALUE"""),663)</f>
        <v>663</v>
      </c>
      <c r="V279" s="1">
        <f ca="1">IFERROR(__xludf.DUMMYFUNCTION("""COMPUTED_VALUE"""),0.359)</f>
        <v>0.35899999999999999</v>
      </c>
      <c r="W279" s="1">
        <f ca="1">IFERROR(__xludf.DUMMYFUNCTION("""COMPUTED_VALUE"""),470)</f>
        <v>470</v>
      </c>
      <c r="X279" s="1">
        <f ca="1">IFERROR(__xludf.DUMMYFUNCTION("""COMPUTED_VALUE"""),653)</f>
        <v>653</v>
      </c>
      <c r="Y279" s="1">
        <f ca="1">IFERROR(__xludf.DUMMYFUNCTION("""COMPUTED_VALUE"""),0.72)</f>
        <v>0.72</v>
      </c>
      <c r="Z279" s="1">
        <f ca="1">IFERROR(__xludf.DUMMYFUNCTION("""COMPUTED_VALUE"""),346)</f>
        <v>346</v>
      </c>
      <c r="AA279" s="1">
        <f ca="1">IFERROR(__xludf.DUMMYFUNCTION("""COMPUTED_VALUE"""),994)</f>
        <v>994</v>
      </c>
      <c r="AB279" s="1">
        <f ca="1">IFERROR(__xludf.DUMMYFUNCTION("""COMPUTED_VALUE"""),459)</f>
        <v>459</v>
      </c>
      <c r="AC279" s="1">
        <f ca="1">IFERROR(__xludf.DUMMYFUNCTION("""COMPUTED_VALUE"""),236)</f>
        <v>236</v>
      </c>
      <c r="AD279" s="1">
        <f ca="1">IFERROR(__xludf.DUMMYFUNCTION("""COMPUTED_VALUE"""),99)</f>
        <v>99</v>
      </c>
      <c r="AE279" s="1">
        <f ca="1">IFERROR(__xludf.DUMMYFUNCTION("""COMPUTED_VALUE"""),382)</f>
        <v>382</v>
      </c>
      <c r="AF279" s="1">
        <f ca="1">IFERROR(__xludf.DUMMYFUNCTION("""COMPUTED_VALUE"""),569)</f>
        <v>569</v>
      </c>
    </row>
    <row r="280" spans="1:32" ht="12.5" x14ac:dyDescent="0.25">
      <c r="A280" s="1" t="str">
        <f ca="1">IFERROR(__xludf.DUMMYFUNCTION("""COMPUTED_VALUE"""),"Saint Mary's (CA)NCAA")</f>
        <v>Saint Mary's (CA)NCAA</v>
      </c>
      <c r="B280" s="1">
        <f ca="1">IFERROR(__xludf.DUMMYFUNCTION("""COMPUTED_VALUE"""),33)</f>
        <v>33</v>
      </c>
      <c r="C280" s="1">
        <f ca="1">IFERROR(__xludf.DUMMYFUNCTION("""COMPUTED_VALUE"""),27)</f>
        <v>27</v>
      </c>
      <c r="D280" s="1">
        <f ca="1">IFERROR(__xludf.DUMMYFUNCTION("""COMPUTED_VALUE"""),6)</f>
        <v>6</v>
      </c>
      <c r="E280" s="1">
        <f ca="1">IFERROR(__xludf.DUMMYFUNCTION("""COMPUTED_VALUE"""),0.818)</f>
        <v>0.81799999999999995</v>
      </c>
      <c r="F280" s="1">
        <f ca="1">IFERROR(__xludf.DUMMYFUNCTION("""COMPUTED_VALUE"""),11.26)</f>
        <v>11.26</v>
      </c>
      <c r="G280" s="1">
        <f ca="1">IFERROR(__xludf.DUMMYFUNCTION("""COMPUTED_VALUE"""),0.78)</f>
        <v>0.78</v>
      </c>
      <c r="H280" s="1">
        <f ca="1">IFERROR(__xludf.DUMMYFUNCTION("""COMPUTED_VALUE"""),14)</f>
        <v>14</v>
      </c>
      <c r="I280" s="1">
        <f ca="1">IFERROR(__xludf.DUMMYFUNCTION("""COMPUTED_VALUE"""),2)</f>
        <v>2</v>
      </c>
      <c r="J280" s="1">
        <f ca="1">IFERROR(__xludf.DUMMYFUNCTION("""COMPUTED_VALUE"""),16)</f>
        <v>16</v>
      </c>
      <c r="K280" s="1">
        <f ca="1">IFERROR(__xludf.DUMMYFUNCTION("""COMPUTED_VALUE"""),1)</f>
        <v>1</v>
      </c>
      <c r="L280" s="1">
        <f ca="1">IFERROR(__xludf.DUMMYFUNCTION("""COMPUTED_VALUE"""),8)</f>
        <v>8</v>
      </c>
      <c r="M280" s="1">
        <f ca="1">IFERROR(__xludf.DUMMYFUNCTION("""COMPUTED_VALUE"""),3)</f>
        <v>3</v>
      </c>
      <c r="N280" s="1">
        <f ca="1">IFERROR(__xludf.DUMMYFUNCTION("""COMPUTED_VALUE"""),2467)</f>
        <v>2467</v>
      </c>
      <c r="O280" s="1">
        <f ca="1">IFERROR(__xludf.DUMMYFUNCTION("""COMPUTED_VALUE"""),2068)</f>
        <v>2068</v>
      </c>
      <c r="P280" s="1">
        <f ca="1">IFERROR(__xludf.DUMMYFUNCTION("""COMPUTED_VALUE"""),1325)</f>
        <v>1325</v>
      </c>
      <c r="Q280" s="1">
        <f ca="1">IFERROR(__xludf.DUMMYFUNCTION("""COMPUTED_VALUE"""),857)</f>
        <v>857</v>
      </c>
      <c r="R280" s="1">
        <f ca="1">IFERROR(__xludf.DUMMYFUNCTION("""COMPUTED_VALUE"""),1811)</f>
        <v>1811</v>
      </c>
      <c r="S280" s="1">
        <f ca="1">IFERROR(__xludf.DUMMYFUNCTION("""COMPUTED_VALUE"""),0.473)</f>
        <v>0.47299999999999998</v>
      </c>
      <c r="T280" s="1">
        <f ca="1">IFERROR(__xludf.DUMMYFUNCTION("""COMPUTED_VALUE"""),245)</f>
        <v>245</v>
      </c>
      <c r="U280" s="1">
        <f ca="1">IFERROR(__xludf.DUMMYFUNCTION("""COMPUTED_VALUE"""),713)</f>
        <v>713</v>
      </c>
      <c r="V280" s="1">
        <f ca="1">IFERROR(__xludf.DUMMYFUNCTION("""COMPUTED_VALUE"""),0.344)</f>
        <v>0.34399999999999997</v>
      </c>
      <c r="W280" s="1">
        <f ca="1">IFERROR(__xludf.DUMMYFUNCTION("""COMPUTED_VALUE"""),508)</f>
        <v>508</v>
      </c>
      <c r="X280" s="1">
        <f ca="1">IFERROR(__xludf.DUMMYFUNCTION("""COMPUTED_VALUE"""),697)</f>
        <v>697</v>
      </c>
      <c r="Y280" s="1">
        <f ca="1">IFERROR(__xludf.DUMMYFUNCTION("""COMPUTED_VALUE"""),0.729)</f>
        <v>0.72899999999999998</v>
      </c>
      <c r="Z280" s="1">
        <f ca="1">IFERROR(__xludf.DUMMYFUNCTION("""COMPUTED_VALUE"""),378)</f>
        <v>378</v>
      </c>
      <c r="AA280" s="1">
        <f ca="1">IFERROR(__xludf.DUMMYFUNCTION("""COMPUTED_VALUE"""),1152)</f>
        <v>1152</v>
      </c>
      <c r="AB280" s="1">
        <f ca="1">IFERROR(__xludf.DUMMYFUNCTION("""COMPUTED_VALUE"""),520)</f>
        <v>520</v>
      </c>
      <c r="AC280" s="1">
        <f ca="1">IFERROR(__xludf.DUMMYFUNCTION("""COMPUTED_VALUE"""),227)</f>
        <v>227</v>
      </c>
      <c r="AD280" s="1">
        <f ca="1">IFERROR(__xludf.DUMMYFUNCTION("""COMPUTED_VALUE"""),102)</f>
        <v>102</v>
      </c>
      <c r="AE280" s="1">
        <f ca="1">IFERROR(__xludf.DUMMYFUNCTION("""COMPUTED_VALUE"""),383)</f>
        <v>383</v>
      </c>
      <c r="AF280" s="1">
        <f ca="1">IFERROR(__xludf.DUMMYFUNCTION("""COMPUTED_VALUE"""),527)</f>
        <v>527</v>
      </c>
    </row>
    <row r="281" spans="1:32" ht="12.5" x14ac:dyDescent="0.25">
      <c r="A281" s="1" t="str">
        <f ca="1">IFERROR(__xludf.DUMMYFUNCTION("""COMPUTED_VALUE"""),"Saint Peter's")</f>
        <v>Saint Peter's</v>
      </c>
      <c r="B281" s="1">
        <f ca="1">IFERROR(__xludf.DUMMYFUNCTION("""COMPUTED_VALUE"""),31)</f>
        <v>31</v>
      </c>
      <c r="C281" s="1">
        <f ca="1">IFERROR(__xludf.DUMMYFUNCTION("""COMPUTED_VALUE"""),5)</f>
        <v>5</v>
      </c>
      <c r="D281" s="1">
        <f ca="1">IFERROR(__xludf.DUMMYFUNCTION("""COMPUTED_VALUE"""),26)</f>
        <v>26</v>
      </c>
      <c r="E281" s="1">
        <f ca="1">IFERROR(__xludf.DUMMYFUNCTION("""COMPUTED_VALUE"""),0.161)</f>
        <v>0.161</v>
      </c>
      <c r="F281" s="1">
        <f ca="1">IFERROR(__xludf.DUMMYFUNCTION("""COMPUTED_VALUE"""),-13.37)</f>
        <v>-13.37</v>
      </c>
      <c r="G281" s="1">
        <f ca="1">IFERROR(__xludf.DUMMYFUNCTION("""COMPUTED_VALUE"""),-2.44)</f>
        <v>-2.44</v>
      </c>
      <c r="H281" s="1">
        <f ca="1">IFERROR(__xludf.DUMMYFUNCTION("""COMPUTED_VALUE"""),4)</f>
        <v>4</v>
      </c>
      <c r="I281" s="1">
        <f ca="1">IFERROR(__xludf.DUMMYFUNCTION("""COMPUTED_VALUE"""),14)</f>
        <v>14</v>
      </c>
      <c r="J281" s="1">
        <f ca="1">IFERROR(__xludf.DUMMYFUNCTION("""COMPUTED_VALUE"""),3)</f>
        <v>3</v>
      </c>
      <c r="K281" s="1">
        <f ca="1">IFERROR(__xludf.DUMMYFUNCTION("""COMPUTED_VALUE"""),10)</f>
        <v>10</v>
      </c>
      <c r="L281" s="1">
        <f ca="1">IFERROR(__xludf.DUMMYFUNCTION("""COMPUTED_VALUE"""),2)</f>
        <v>2</v>
      </c>
      <c r="M281" s="1">
        <f ca="1">IFERROR(__xludf.DUMMYFUNCTION("""COMPUTED_VALUE"""),13)</f>
        <v>13</v>
      </c>
      <c r="N281" s="1">
        <f ca="1">IFERROR(__xludf.DUMMYFUNCTION("""COMPUTED_VALUE"""),1799)</f>
        <v>1799</v>
      </c>
      <c r="O281" s="1">
        <f ca="1">IFERROR(__xludf.DUMMYFUNCTION("""COMPUTED_VALUE"""),2138)</f>
        <v>2138</v>
      </c>
      <c r="P281" s="1">
        <f ca="1">IFERROR(__xludf.DUMMYFUNCTION("""COMPUTED_VALUE"""),1240)</f>
        <v>1240</v>
      </c>
      <c r="Q281" s="1">
        <f ca="1">IFERROR(__xludf.DUMMYFUNCTION("""COMPUTED_VALUE"""),668)</f>
        <v>668</v>
      </c>
      <c r="R281" s="1">
        <f ca="1">IFERROR(__xludf.DUMMYFUNCTION("""COMPUTED_VALUE"""),1646)</f>
        <v>1646</v>
      </c>
      <c r="S281" s="1">
        <f ca="1">IFERROR(__xludf.DUMMYFUNCTION("""COMPUTED_VALUE"""),0.406)</f>
        <v>0.40600000000000003</v>
      </c>
      <c r="T281" s="1">
        <f ca="1">IFERROR(__xludf.DUMMYFUNCTION("""COMPUTED_VALUE"""),154)</f>
        <v>154</v>
      </c>
      <c r="U281" s="1">
        <f ca="1">IFERROR(__xludf.DUMMYFUNCTION("""COMPUTED_VALUE"""),489)</f>
        <v>489</v>
      </c>
      <c r="V281" s="1">
        <f ca="1">IFERROR(__xludf.DUMMYFUNCTION("""COMPUTED_VALUE"""),0.315)</f>
        <v>0.315</v>
      </c>
      <c r="W281" s="1">
        <f ca="1">IFERROR(__xludf.DUMMYFUNCTION("""COMPUTED_VALUE"""),309)</f>
        <v>309</v>
      </c>
      <c r="X281" s="1">
        <f ca="1">IFERROR(__xludf.DUMMYFUNCTION("""COMPUTED_VALUE"""),477)</f>
        <v>477</v>
      </c>
      <c r="Y281" s="1">
        <f ca="1">IFERROR(__xludf.DUMMYFUNCTION("""COMPUTED_VALUE"""),0.648)</f>
        <v>0.64800000000000002</v>
      </c>
      <c r="Z281" s="1">
        <f ca="1">IFERROR(__xludf.DUMMYFUNCTION("""COMPUTED_VALUE"""),321)</f>
        <v>321</v>
      </c>
      <c r="AA281" s="1">
        <f ca="1">IFERROR(__xludf.DUMMYFUNCTION("""COMPUTED_VALUE"""),851)</f>
        <v>851</v>
      </c>
      <c r="AB281" s="1">
        <f ca="1">IFERROR(__xludf.DUMMYFUNCTION("""COMPUTED_VALUE"""),390)</f>
        <v>390</v>
      </c>
      <c r="AC281" s="1">
        <f ca="1">IFERROR(__xludf.DUMMYFUNCTION("""COMPUTED_VALUE"""),236)</f>
        <v>236</v>
      </c>
      <c r="AD281" s="1">
        <f ca="1">IFERROR(__xludf.DUMMYFUNCTION("""COMPUTED_VALUE"""),110)</f>
        <v>110</v>
      </c>
      <c r="AE281" s="1">
        <f ca="1">IFERROR(__xludf.DUMMYFUNCTION("""COMPUTED_VALUE"""),484)</f>
        <v>484</v>
      </c>
      <c r="AF281" s="1">
        <f ca="1">IFERROR(__xludf.DUMMYFUNCTION("""COMPUTED_VALUE"""),598)</f>
        <v>598</v>
      </c>
    </row>
    <row r="282" spans="1:32" ht="12.5" x14ac:dyDescent="0.25">
      <c r="A282" s="1" t="str">
        <f ca="1">IFERROR(__xludf.DUMMYFUNCTION("""COMPUTED_VALUE"""),"Sam Houston State")</f>
        <v>Sam Houston State</v>
      </c>
      <c r="B282" s="1">
        <f ca="1">IFERROR(__xludf.DUMMYFUNCTION("""COMPUTED_VALUE"""),32)</f>
        <v>32</v>
      </c>
      <c r="C282" s="1">
        <f ca="1">IFERROR(__xludf.DUMMYFUNCTION("""COMPUTED_VALUE"""),13)</f>
        <v>13</v>
      </c>
      <c r="D282" s="1">
        <f ca="1">IFERROR(__xludf.DUMMYFUNCTION("""COMPUTED_VALUE"""),19)</f>
        <v>19</v>
      </c>
      <c r="E282" s="1">
        <f ca="1">IFERROR(__xludf.DUMMYFUNCTION("""COMPUTED_VALUE"""),0.406)</f>
        <v>0.40600000000000003</v>
      </c>
      <c r="F282" s="1">
        <f ca="1">IFERROR(__xludf.DUMMYFUNCTION("""COMPUTED_VALUE"""),-9.09)</f>
        <v>-9.09</v>
      </c>
      <c r="G282" s="1">
        <f ca="1">IFERROR(__xludf.DUMMYFUNCTION("""COMPUTED_VALUE"""),-3.2)</f>
        <v>-3.2</v>
      </c>
      <c r="H282" s="1">
        <f ca="1">IFERROR(__xludf.DUMMYFUNCTION("""COMPUTED_VALUE"""),7)</f>
        <v>7</v>
      </c>
      <c r="I282" s="1">
        <f ca="1">IFERROR(__xludf.DUMMYFUNCTION("""COMPUTED_VALUE"""),9)</f>
        <v>9</v>
      </c>
      <c r="J282" s="1">
        <f ca="1">IFERROR(__xludf.DUMMYFUNCTION("""COMPUTED_VALUE"""),8)</f>
        <v>8</v>
      </c>
      <c r="K282" s="1">
        <f ca="1">IFERROR(__xludf.DUMMYFUNCTION("""COMPUTED_VALUE"""),7)</f>
        <v>7</v>
      </c>
      <c r="L282" s="1">
        <f ca="1">IFERROR(__xludf.DUMMYFUNCTION("""COMPUTED_VALUE"""),5)</f>
        <v>5</v>
      </c>
      <c r="M282" s="1">
        <f ca="1">IFERROR(__xludf.DUMMYFUNCTION("""COMPUTED_VALUE"""),9)</f>
        <v>9</v>
      </c>
      <c r="N282" s="1">
        <f ca="1">IFERROR(__xludf.DUMMYFUNCTION("""COMPUTED_VALUE"""),1875)</f>
        <v>1875</v>
      </c>
      <c r="O282" s="1">
        <f ca="1">IFERROR(__xludf.DUMMYFUNCTION("""COMPUTED_VALUE"""),1941)</f>
        <v>1941</v>
      </c>
      <c r="P282" s="1">
        <f ca="1">IFERROR(__xludf.DUMMYFUNCTION("""COMPUTED_VALUE"""),1285)</f>
        <v>1285</v>
      </c>
      <c r="Q282" s="1">
        <f ca="1">IFERROR(__xludf.DUMMYFUNCTION("""COMPUTED_VALUE"""),657)</f>
        <v>657</v>
      </c>
      <c r="R282" s="1">
        <f ca="1">IFERROR(__xludf.DUMMYFUNCTION("""COMPUTED_VALUE"""),1580)</f>
        <v>1580</v>
      </c>
      <c r="S282" s="1">
        <f ca="1">IFERROR(__xludf.DUMMYFUNCTION("""COMPUTED_VALUE"""),0.416)</f>
        <v>0.41599999999999998</v>
      </c>
      <c r="T282" s="1">
        <f ca="1">IFERROR(__xludf.DUMMYFUNCTION("""COMPUTED_VALUE"""),149)</f>
        <v>149</v>
      </c>
      <c r="U282" s="1">
        <f ca="1">IFERROR(__xludf.DUMMYFUNCTION("""COMPUTED_VALUE"""),501)</f>
        <v>501</v>
      </c>
      <c r="V282" s="1">
        <f ca="1">IFERROR(__xludf.DUMMYFUNCTION("""COMPUTED_VALUE"""),0.297)</f>
        <v>0.29699999999999999</v>
      </c>
      <c r="W282" s="1">
        <f ca="1">IFERROR(__xludf.DUMMYFUNCTION("""COMPUTED_VALUE"""),412)</f>
        <v>412</v>
      </c>
      <c r="X282" s="1">
        <f ca="1">IFERROR(__xludf.DUMMYFUNCTION("""COMPUTED_VALUE"""),689)</f>
        <v>689</v>
      </c>
      <c r="Y282" s="1">
        <f ca="1">IFERROR(__xludf.DUMMYFUNCTION("""COMPUTED_VALUE"""),0.598)</f>
        <v>0.59799999999999998</v>
      </c>
      <c r="Z282" s="1">
        <f ca="1">IFERROR(__xludf.DUMMYFUNCTION("""COMPUTED_VALUE"""),336)</f>
        <v>336</v>
      </c>
      <c r="AA282" s="1">
        <f ca="1">IFERROR(__xludf.DUMMYFUNCTION("""COMPUTED_VALUE"""),1036)</f>
        <v>1036</v>
      </c>
      <c r="AB282" s="1">
        <f ca="1">IFERROR(__xludf.DUMMYFUNCTION("""COMPUTED_VALUE"""),408)</f>
        <v>408</v>
      </c>
      <c r="AC282" s="1">
        <f ca="1">IFERROR(__xludf.DUMMYFUNCTION("""COMPUTED_VALUE"""),185)</f>
        <v>185</v>
      </c>
      <c r="AD282" s="1">
        <f ca="1">IFERROR(__xludf.DUMMYFUNCTION("""COMPUTED_VALUE"""),74)</f>
        <v>74</v>
      </c>
      <c r="AE282" s="1">
        <f ca="1">IFERROR(__xludf.DUMMYFUNCTION("""COMPUTED_VALUE"""),493)</f>
        <v>493</v>
      </c>
      <c r="AF282" s="1">
        <f ca="1">IFERROR(__xludf.DUMMYFUNCTION("""COMPUTED_VALUE"""),591)</f>
        <v>591</v>
      </c>
    </row>
    <row r="283" spans="1:32" ht="12.5" x14ac:dyDescent="0.25">
      <c r="A283" s="1" t="str">
        <f ca="1">IFERROR(__xludf.DUMMYFUNCTION("""COMPUTED_VALUE"""),"Samford")</f>
        <v>Samford</v>
      </c>
      <c r="B283" s="1">
        <f ca="1">IFERROR(__xludf.DUMMYFUNCTION("""COMPUTED_VALUE"""),30)</f>
        <v>30</v>
      </c>
      <c r="C283" s="1">
        <f ca="1">IFERROR(__xludf.DUMMYFUNCTION("""COMPUTED_VALUE"""),11)</f>
        <v>11</v>
      </c>
      <c r="D283" s="1">
        <f ca="1">IFERROR(__xludf.DUMMYFUNCTION("""COMPUTED_VALUE"""),19)</f>
        <v>19</v>
      </c>
      <c r="E283" s="1">
        <f ca="1">IFERROR(__xludf.DUMMYFUNCTION("""COMPUTED_VALUE"""),0.367)</f>
        <v>0.36699999999999999</v>
      </c>
      <c r="F283" s="1">
        <f ca="1">IFERROR(__xludf.DUMMYFUNCTION("""COMPUTED_VALUE"""),-8.68)</f>
        <v>-8.68</v>
      </c>
      <c r="G283" s="1">
        <f ca="1">IFERROR(__xludf.DUMMYFUNCTION("""COMPUTED_VALUE"""),-2.96)</f>
        <v>-2.96</v>
      </c>
      <c r="H283" s="1">
        <f ca="1">IFERROR(__xludf.DUMMYFUNCTION("""COMPUTED_VALUE"""),8)</f>
        <v>8</v>
      </c>
      <c r="I283" s="1">
        <f ca="1">IFERROR(__xludf.DUMMYFUNCTION("""COMPUTED_VALUE"""),10)</f>
        <v>10</v>
      </c>
      <c r="J283" s="1">
        <f ca="1">IFERROR(__xludf.DUMMYFUNCTION("""COMPUTED_VALUE"""),7)</f>
        <v>7</v>
      </c>
      <c r="K283" s="1">
        <f ca="1">IFERROR(__xludf.DUMMYFUNCTION("""COMPUTED_VALUE"""),8)</f>
        <v>8</v>
      </c>
      <c r="L283" s="1">
        <f ca="1">IFERROR(__xludf.DUMMYFUNCTION("""COMPUTED_VALUE"""),4)</f>
        <v>4</v>
      </c>
      <c r="M283" s="1">
        <f ca="1">IFERROR(__xludf.DUMMYFUNCTION("""COMPUTED_VALUE"""),10)</f>
        <v>10</v>
      </c>
      <c r="N283" s="1">
        <f ca="1">IFERROR(__xludf.DUMMYFUNCTION("""COMPUTED_VALUE"""),1984)</f>
        <v>1984</v>
      </c>
      <c r="O283" s="1">
        <f ca="1">IFERROR(__xludf.DUMMYFUNCTION("""COMPUTED_VALUE"""),2092)</f>
        <v>2092</v>
      </c>
      <c r="P283" s="1">
        <f ca="1">IFERROR(__xludf.DUMMYFUNCTION("""COMPUTED_VALUE"""),1210)</f>
        <v>1210</v>
      </c>
      <c r="Q283" s="1">
        <f ca="1">IFERROR(__xludf.DUMMYFUNCTION("""COMPUTED_VALUE"""),712)</f>
        <v>712</v>
      </c>
      <c r="R283" s="1">
        <f ca="1">IFERROR(__xludf.DUMMYFUNCTION("""COMPUTED_VALUE"""),1604)</f>
        <v>1604</v>
      </c>
      <c r="S283" s="1">
        <f ca="1">IFERROR(__xludf.DUMMYFUNCTION("""COMPUTED_VALUE"""),0.444)</f>
        <v>0.44400000000000001</v>
      </c>
      <c r="T283" s="1">
        <f ca="1">IFERROR(__xludf.DUMMYFUNCTION("""COMPUTED_VALUE"""),247)</f>
        <v>247</v>
      </c>
      <c r="U283" s="1">
        <f ca="1">IFERROR(__xludf.DUMMYFUNCTION("""COMPUTED_VALUE"""),739)</f>
        <v>739</v>
      </c>
      <c r="V283" s="1">
        <f ca="1">IFERROR(__xludf.DUMMYFUNCTION("""COMPUTED_VALUE"""),0.334)</f>
        <v>0.33400000000000002</v>
      </c>
      <c r="W283" s="1">
        <f ca="1">IFERROR(__xludf.DUMMYFUNCTION("""COMPUTED_VALUE"""),313)</f>
        <v>313</v>
      </c>
      <c r="X283" s="1">
        <f ca="1">IFERROR(__xludf.DUMMYFUNCTION("""COMPUTED_VALUE"""),478)</f>
        <v>478</v>
      </c>
      <c r="Y283" s="1">
        <f ca="1">IFERROR(__xludf.DUMMYFUNCTION("""COMPUTED_VALUE"""),0.655)</f>
        <v>0.65500000000000003</v>
      </c>
      <c r="Z283" s="1">
        <f ca="1">IFERROR(__xludf.DUMMYFUNCTION("""COMPUTED_VALUE"""),287)</f>
        <v>287</v>
      </c>
      <c r="AA283" s="1">
        <f ca="1">IFERROR(__xludf.DUMMYFUNCTION("""COMPUTED_VALUE"""),886)</f>
        <v>886</v>
      </c>
      <c r="AB283" s="1">
        <f ca="1">IFERROR(__xludf.DUMMYFUNCTION("""COMPUTED_VALUE"""),419)</f>
        <v>419</v>
      </c>
      <c r="AC283" s="1">
        <f ca="1">IFERROR(__xludf.DUMMYFUNCTION("""COMPUTED_VALUE"""),161)</f>
        <v>161</v>
      </c>
      <c r="AD283" s="1">
        <f ca="1">IFERROR(__xludf.DUMMYFUNCTION("""COMPUTED_VALUE"""),65)</f>
        <v>65</v>
      </c>
      <c r="AE283" s="1">
        <f ca="1">IFERROR(__xludf.DUMMYFUNCTION("""COMPUTED_VALUE"""),386)</f>
        <v>386</v>
      </c>
      <c r="AF283" s="1">
        <f ca="1">IFERROR(__xludf.DUMMYFUNCTION("""COMPUTED_VALUE"""),520)</f>
        <v>520</v>
      </c>
    </row>
    <row r="284" spans="1:32" ht="12.5" x14ac:dyDescent="0.25">
      <c r="A284" s="1" t="str">
        <f ca="1">IFERROR(__xludf.DUMMYFUNCTION("""COMPUTED_VALUE"""),"San Diego StateNCAA")</f>
        <v>San Diego StateNCAA</v>
      </c>
      <c r="B284" s="1">
        <f ca="1">IFERROR(__xludf.DUMMYFUNCTION("""COMPUTED_VALUE"""),34)</f>
        <v>34</v>
      </c>
      <c r="C284" s="1">
        <f ca="1">IFERROR(__xludf.DUMMYFUNCTION("""COMPUTED_VALUE"""),26)</f>
        <v>26</v>
      </c>
      <c r="D284" s="1">
        <f ca="1">IFERROR(__xludf.DUMMYFUNCTION("""COMPUTED_VALUE"""),8)</f>
        <v>8</v>
      </c>
      <c r="E284" s="1">
        <f ca="1">IFERROR(__xludf.DUMMYFUNCTION("""COMPUTED_VALUE"""),0.765)</f>
        <v>0.76500000000000001</v>
      </c>
      <c r="F284" s="1">
        <f ca="1">IFERROR(__xludf.DUMMYFUNCTION("""COMPUTED_VALUE"""),9.04)</f>
        <v>9.0399999999999991</v>
      </c>
      <c r="G284" s="1">
        <f ca="1">IFERROR(__xludf.DUMMYFUNCTION("""COMPUTED_VALUE"""),3.79)</f>
        <v>3.79</v>
      </c>
      <c r="H284" s="1">
        <f ca="1">IFERROR(__xludf.DUMMYFUNCTION("""COMPUTED_VALUE"""),10)</f>
        <v>10</v>
      </c>
      <c r="I284" s="1">
        <f ca="1">IFERROR(__xludf.DUMMYFUNCTION("""COMPUTED_VALUE"""),4)</f>
        <v>4</v>
      </c>
      <c r="J284" s="1">
        <f ca="1">IFERROR(__xludf.DUMMYFUNCTION("""COMPUTED_VALUE"""),17)</f>
        <v>17</v>
      </c>
      <c r="K284" s="1">
        <f ca="1">IFERROR(__xludf.DUMMYFUNCTION("""COMPUTED_VALUE"""),2)</f>
        <v>2</v>
      </c>
      <c r="L284" s="1">
        <f ca="1">IFERROR(__xludf.DUMMYFUNCTION("""COMPUTED_VALUE"""),7)</f>
        <v>7</v>
      </c>
      <c r="M284" s="1">
        <f ca="1">IFERROR(__xludf.DUMMYFUNCTION("""COMPUTED_VALUE"""),4)</f>
        <v>4</v>
      </c>
      <c r="N284" s="1">
        <f ca="1">IFERROR(__xludf.DUMMYFUNCTION("""COMPUTED_VALUE"""),2416)</f>
        <v>2416</v>
      </c>
      <c r="O284" s="1">
        <f ca="1">IFERROR(__xludf.DUMMYFUNCTION("""COMPUTED_VALUE"""),2166)</f>
        <v>2166</v>
      </c>
      <c r="P284" s="1">
        <f ca="1">IFERROR(__xludf.DUMMYFUNCTION("""COMPUTED_VALUE"""),1380)</f>
        <v>1380</v>
      </c>
      <c r="Q284" s="1">
        <f ca="1">IFERROR(__xludf.DUMMYFUNCTION("""COMPUTED_VALUE"""),863)</f>
        <v>863</v>
      </c>
      <c r="R284" s="1">
        <f ca="1">IFERROR(__xludf.DUMMYFUNCTION("""COMPUTED_VALUE"""),1903)</f>
        <v>1903</v>
      </c>
      <c r="S284" s="1">
        <f ca="1">IFERROR(__xludf.DUMMYFUNCTION("""COMPUTED_VALUE"""),0.453)</f>
        <v>0.45300000000000001</v>
      </c>
      <c r="T284" s="1">
        <f ca="1">IFERROR(__xludf.DUMMYFUNCTION("""COMPUTED_VALUE"""),197)</f>
        <v>197</v>
      </c>
      <c r="U284" s="1">
        <f ca="1">IFERROR(__xludf.DUMMYFUNCTION("""COMPUTED_VALUE"""),578)</f>
        <v>578</v>
      </c>
      <c r="V284" s="1">
        <f ca="1">IFERROR(__xludf.DUMMYFUNCTION("""COMPUTED_VALUE"""),0.341)</f>
        <v>0.34100000000000003</v>
      </c>
      <c r="W284" s="1">
        <f ca="1">IFERROR(__xludf.DUMMYFUNCTION("""COMPUTED_VALUE"""),493)</f>
        <v>493</v>
      </c>
      <c r="X284" s="1">
        <f ca="1">IFERROR(__xludf.DUMMYFUNCTION("""COMPUTED_VALUE"""),703)</f>
        <v>703</v>
      </c>
      <c r="Y284" s="1">
        <f ca="1">IFERROR(__xludf.DUMMYFUNCTION("""COMPUTED_VALUE"""),0.701)</f>
        <v>0.70099999999999996</v>
      </c>
      <c r="Z284" s="1">
        <f ca="1">IFERROR(__xludf.DUMMYFUNCTION("""COMPUTED_VALUE"""),360)</f>
        <v>360</v>
      </c>
      <c r="AA284" s="1">
        <f ca="1">IFERROR(__xludf.DUMMYFUNCTION("""COMPUTED_VALUE"""),1153)</f>
        <v>1153</v>
      </c>
      <c r="AB284" s="1">
        <f ca="1">IFERROR(__xludf.DUMMYFUNCTION("""COMPUTED_VALUE"""),417)</f>
        <v>417</v>
      </c>
      <c r="AC284" s="1">
        <f ca="1">IFERROR(__xludf.DUMMYFUNCTION("""COMPUTED_VALUE"""),189)</f>
        <v>189</v>
      </c>
      <c r="AD284" s="1">
        <f ca="1">IFERROR(__xludf.DUMMYFUNCTION("""COMPUTED_VALUE"""),79)</f>
        <v>79</v>
      </c>
      <c r="AE284" s="1">
        <f ca="1">IFERROR(__xludf.DUMMYFUNCTION("""COMPUTED_VALUE"""),426)</f>
        <v>426</v>
      </c>
      <c r="AF284" s="1">
        <f ca="1">IFERROR(__xludf.DUMMYFUNCTION("""COMPUTED_VALUE"""),543)</f>
        <v>543</v>
      </c>
    </row>
    <row r="285" spans="1:32" ht="12.5" x14ac:dyDescent="0.25">
      <c r="A285" s="1" t="str">
        <f ca="1">IFERROR(__xludf.DUMMYFUNCTION("""COMPUTED_VALUE"""),"San Diego")</f>
        <v>San Diego</v>
      </c>
      <c r="B285" s="1">
        <f ca="1">IFERROR(__xludf.DUMMYFUNCTION("""COMPUTED_VALUE"""),31)</f>
        <v>31</v>
      </c>
      <c r="C285" s="1">
        <f ca="1">IFERROR(__xludf.DUMMYFUNCTION("""COMPUTED_VALUE"""),13)</f>
        <v>13</v>
      </c>
      <c r="D285" s="1">
        <f ca="1">IFERROR(__xludf.DUMMYFUNCTION("""COMPUTED_VALUE"""),18)</f>
        <v>18</v>
      </c>
      <c r="E285" s="1">
        <f ca="1">IFERROR(__xludf.DUMMYFUNCTION("""COMPUTED_VALUE"""),0.419)</f>
        <v>0.41899999999999998</v>
      </c>
      <c r="F285" s="1">
        <f ca="1">IFERROR(__xludf.DUMMYFUNCTION("""COMPUTED_VALUE"""),-3.76)</f>
        <v>-3.76</v>
      </c>
      <c r="G285" s="1">
        <f ca="1">IFERROR(__xludf.DUMMYFUNCTION("""COMPUTED_VALUE"""),0.87)</f>
        <v>0.87</v>
      </c>
      <c r="H285" s="1">
        <f ca="1">IFERROR(__xludf.DUMMYFUNCTION("""COMPUTED_VALUE"""),7)</f>
        <v>7</v>
      </c>
      <c r="I285" s="1">
        <f ca="1">IFERROR(__xludf.DUMMYFUNCTION("""COMPUTED_VALUE"""),9)</f>
        <v>9</v>
      </c>
      <c r="J285" s="1">
        <f ca="1">IFERROR(__xludf.DUMMYFUNCTION("""COMPUTED_VALUE"""),6)</f>
        <v>6</v>
      </c>
      <c r="K285" s="1">
        <f ca="1">IFERROR(__xludf.DUMMYFUNCTION("""COMPUTED_VALUE"""),8)</f>
        <v>8</v>
      </c>
      <c r="L285" s="1">
        <f ca="1">IFERROR(__xludf.DUMMYFUNCTION("""COMPUTED_VALUE"""),4)</f>
        <v>4</v>
      </c>
      <c r="M285" s="1">
        <f ca="1">IFERROR(__xludf.DUMMYFUNCTION("""COMPUTED_VALUE"""),7)</f>
        <v>7</v>
      </c>
      <c r="N285" s="1">
        <f ca="1">IFERROR(__xludf.DUMMYFUNCTION("""COMPUTED_VALUE"""),2079)</f>
        <v>2079</v>
      </c>
      <c r="O285" s="1">
        <f ca="1">IFERROR(__xludf.DUMMYFUNCTION("""COMPUTED_VALUE"""),2179)</f>
        <v>2179</v>
      </c>
      <c r="P285" s="1">
        <f ca="1">IFERROR(__xludf.DUMMYFUNCTION("""COMPUTED_VALUE"""),1245)</f>
        <v>1245</v>
      </c>
      <c r="Q285" s="1">
        <f ca="1">IFERROR(__xludf.DUMMYFUNCTION("""COMPUTED_VALUE"""),744)</f>
        <v>744</v>
      </c>
      <c r="R285" s="1">
        <f ca="1">IFERROR(__xludf.DUMMYFUNCTION("""COMPUTED_VALUE"""),1648)</f>
        <v>1648</v>
      </c>
      <c r="S285" s="1">
        <f ca="1">IFERROR(__xludf.DUMMYFUNCTION("""COMPUTED_VALUE"""),0.451)</f>
        <v>0.45100000000000001</v>
      </c>
      <c r="T285" s="1">
        <f ca="1">IFERROR(__xludf.DUMMYFUNCTION("""COMPUTED_VALUE"""),199)</f>
        <v>199</v>
      </c>
      <c r="U285" s="1">
        <f ca="1">IFERROR(__xludf.DUMMYFUNCTION("""COMPUTED_VALUE"""),548)</f>
        <v>548</v>
      </c>
      <c r="V285" s="1">
        <f ca="1">IFERROR(__xludf.DUMMYFUNCTION("""COMPUTED_VALUE"""),0.363)</f>
        <v>0.36299999999999999</v>
      </c>
      <c r="W285" s="1">
        <f ca="1">IFERROR(__xludf.DUMMYFUNCTION("""COMPUTED_VALUE"""),392)</f>
        <v>392</v>
      </c>
      <c r="X285" s="1">
        <f ca="1">IFERROR(__xludf.DUMMYFUNCTION("""COMPUTED_VALUE"""),598)</f>
        <v>598</v>
      </c>
      <c r="Y285" s="1">
        <f ca="1">IFERROR(__xludf.DUMMYFUNCTION("""COMPUTED_VALUE"""),0.656)</f>
        <v>0.65600000000000003</v>
      </c>
      <c r="Z285" s="1">
        <f ca="1">IFERROR(__xludf.DUMMYFUNCTION("""COMPUTED_VALUE"""),271)</f>
        <v>271</v>
      </c>
      <c r="AA285" s="1">
        <f ca="1">IFERROR(__xludf.DUMMYFUNCTION("""COMPUTED_VALUE"""),860)</f>
        <v>860</v>
      </c>
      <c r="AB285" s="1">
        <f ca="1">IFERROR(__xludf.DUMMYFUNCTION("""COMPUTED_VALUE"""),421)</f>
        <v>421</v>
      </c>
      <c r="AC285" s="1">
        <f ca="1">IFERROR(__xludf.DUMMYFUNCTION("""COMPUTED_VALUE"""),207)</f>
        <v>207</v>
      </c>
      <c r="AD285" s="1">
        <f ca="1">IFERROR(__xludf.DUMMYFUNCTION("""COMPUTED_VALUE"""),102)</f>
        <v>102</v>
      </c>
      <c r="AE285" s="1">
        <f ca="1">IFERROR(__xludf.DUMMYFUNCTION("""COMPUTED_VALUE"""),424)</f>
        <v>424</v>
      </c>
      <c r="AF285" s="1">
        <f ca="1">IFERROR(__xludf.DUMMYFUNCTION("""COMPUTED_VALUE"""),565)</f>
        <v>565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IFERROR(__xludf.DUMMYFUNCTION("""COMPUTED_VALUE"""),"San Francisco")</f>
        <v>San Francisco</v>
      </c>
      <c r="B288" s="1">
        <f ca="1">IFERROR(__xludf.DUMMYFUNCTION("""COMPUTED_VALUE"""),34)</f>
        <v>34</v>
      </c>
      <c r="C288" s="1">
        <f ca="1">IFERROR(__xludf.DUMMYFUNCTION("""COMPUTED_VALUE"""),20)</f>
        <v>20</v>
      </c>
      <c r="D288" s="1">
        <f ca="1">IFERROR(__xludf.DUMMYFUNCTION("""COMPUTED_VALUE"""),14)</f>
        <v>14</v>
      </c>
      <c r="E288" s="1">
        <f ca="1">IFERROR(__xludf.DUMMYFUNCTION("""COMPUTED_VALUE"""),0.588)</f>
        <v>0.58799999999999997</v>
      </c>
      <c r="F288" s="1">
        <f ca="1">IFERROR(__xludf.DUMMYFUNCTION("""COMPUTED_VALUE"""),1.9)</f>
        <v>1.9</v>
      </c>
      <c r="G288" s="1">
        <f ca="1">IFERROR(__xludf.DUMMYFUNCTION("""COMPUTED_VALUE"""),-0.17)</f>
        <v>-0.17</v>
      </c>
      <c r="H288" s="1">
        <f ca="1">IFERROR(__xludf.DUMMYFUNCTION("""COMPUTED_VALUE"""),8)</f>
        <v>8</v>
      </c>
      <c r="I288" s="1">
        <f ca="1">IFERROR(__xludf.DUMMYFUNCTION("""COMPUTED_VALUE"""),8)</f>
        <v>8</v>
      </c>
      <c r="J288" s="1">
        <f ca="1">IFERROR(__xludf.DUMMYFUNCTION("""COMPUTED_VALUE"""),12)</f>
        <v>12</v>
      </c>
      <c r="K288" s="1">
        <f ca="1">IFERROR(__xludf.DUMMYFUNCTION("""COMPUTED_VALUE"""),5)</f>
        <v>5</v>
      </c>
      <c r="L288" s="1">
        <f ca="1">IFERROR(__xludf.DUMMYFUNCTION("""COMPUTED_VALUE"""),5)</f>
        <v>5</v>
      </c>
      <c r="M288" s="1">
        <f ca="1">IFERROR(__xludf.DUMMYFUNCTION("""COMPUTED_VALUE"""),6)</f>
        <v>6</v>
      </c>
      <c r="N288" s="1">
        <f ca="1">IFERROR(__xludf.DUMMYFUNCTION("""COMPUTED_VALUE"""),2563)</f>
        <v>2563</v>
      </c>
      <c r="O288" s="1">
        <f ca="1">IFERROR(__xludf.DUMMYFUNCTION("""COMPUTED_VALUE"""),2413)</f>
        <v>2413</v>
      </c>
      <c r="P288" s="1">
        <f ca="1">IFERROR(__xludf.DUMMYFUNCTION("""COMPUTED_VALUE"""),1369)</f>
        <v>1369</v>
      </c>
      <c r="Q288" s="1">
        <f ca="1">IFERROR(__xludf.DUMMYFUNCTION("""COMPUTED_VALUE"""),906)</f>
        <v>906</v>
      </c>
      <c r="R288" s="1">
        <f ca="1">IFERROR(__xludf.DUMMYFUNCTION("""COMPUTED_VALUE"""),1942)</f>
        <v>1942</v>
      </c>
      <c r="S288" s="1">
        <f ca="1">IFERROR(__xludf.DUMMYFUNCTION("""COMPUTED_VALUE"""),0.467)</f>
        <v>0.46700000000000003</v>
      </c>
      <c r="T288" s="1">
        <f ca="1">IFERROR(__xludf.DUMMYFUNCTION("""COMPUTED_VALUE"""),239)</f>
        <v>239</v>
      </c>
      <c r="U288" s="1">
        <f ca="1">IFERROR(__xludf.DUMMYFUNCTION("""COMPUTED_VALUE"""),681)</f>
        <v>681</v>
      </c>
      <c r="V288" s="1">
        <f ca="1">IFERROR(__xludf.DUMMYFUNCTION("""COMPUTED_VALUE"""),0.351)</f>
        <v>0.35099999999999998</v>
      </c>
      <c r="W288" s="1">
        <f ca="1">IFERROR(__xludf.DUMMYFUNCTION("""COMPUTED_VALUE"""),512)</f>
        <v>512</v>
      </c>
      <c r="X288" s="1">
        <f ca="1">IFERROR(__xludf.DUMMYFUNCTION("""COMPUTED_VALUE"""),745)</f>
        <v>745</v>
      </c>
      <c r="Y288" s="1">
        <f ca="1">IFERROR(__xludf.DUMMYFUNCTION("""COMPUTED_VALUE"""),0.687)</f>
        <v>0.68700000000000006</v>
      </c>
      <c r="Z288" s="1">
        <f ca="1">IFERROR(__xludf.DUMMYFUNCTION("""COMPUTED_VALUE"""),354)</f>
        <v>354</v>
      </c>
      <c r="AA288" s="1">
        <f ca="1">IFERROR(__xludf.DUMMYFUNCTION("""COMPUTED_VALUE"""),1048)</f>
        <v>1048</v>
      </c>
      <c r="AB288" s="1">
        <f ca="1">IFERROR(__xludf.DUMMYFUNCTION("""COMPUTED_VALUE"""),470)</f>
        <v>470</v>
      </c>
      <c r="AC288" s="1">
        <f ca="1">IFERROR(__xludf.DUMMYFUNCTION("""COMPUTED_VALUE"""),285)</f>
        <v>285</v>
      </c>
      <c r="AD288" s="1">
        <f ca="1">IFERROR(__xludf.DUMMYFUNCTION("""COMPUTED_VALUE"""),63)</f>
        <v>63</v>
      </c>
      <c r="AE288" s="1">
        <f ca="1">IFERROR(__xludf.DUMMYFUNCTION("""COMPUTED_VALUE"""),442)</f>
        <v>442</v>
      </c>
      <c r="AF288" s="1">
        <f ca="1">IFERROR(__xludf.DUMMYFUNCTION("""COMPUTED_VALUE"""),609)</f>
        <v>609</v>
      </c>
    </row>
    <row r="289" spans="1:32" ht="12.5" x14ac:dyDescent="0.25">
      <c r="A289" s="1" t="str">
        <f ca="1">IFERROR(__xludf.DUMMYFUNCTION("""COMPUTED_VALUE"""),"San Jose State")</f>
        <v>San Jose State</v>
      </c>
      <c r="B289" s="1">
        <f ca="1">IFERROR(__xludf.DUMMYFUNCTION("""COMPUTED_VALUE"""),31)</f>
        <v>31</v>
      </c>
      <c r="C289" s="1">
        <f ca="1">IFERROR(__xludf.DUMMYFUNCTION("""COMPUTED_VALUE"""),9)</f>
        <v>9</v>
      </c>
      <c r="D289" s="1">
        <f ca="1">IFERROR(__xludf.DUMMYFUNCTION("""COMPUTED_VALUE"""),22)</f>
        <v>22</v>
      </c>
      <c r="E289" s="1">
        <f ca="1">IFERROR(__xludf.DUMMYFUNCTION("""COMPUTED_VALUE"""),0.29)</f>
        <v>0.28999999999999998</v>
      </c>
      <c r="F289" s="1">
        <f ca="1">IFERROR(__xludf.DUMMYFUNCTION("""COMPUTED_VALUE"""),-7.86)</f>
        <v>-7.86</v>
      </c>
      <c r="G289" s="1">
        <f ca="1">IFERROR(__xludf.DUMMYFUNCTION("""COMPUTED_VALUE"""),-1.19)</f>
        <v>-1.19</v>
      </c>
      <c r="H289" s="1">
        <f ca="1">IFERROR(__xludf.DUMMYFUNCTION("""COMPUTED_VALUE"""),1)</f>
        <v>1</v>
      </c>
      <c r="I289" s="1">
        <f ca="1">IFERROR(__xludf.DUMMYFUNCTION("""COMPUTED_VALUE"""),13)</f>
        <v>13</v>
      </c>
      <c r="J289" s="1">
        <f ca="1">IFERROR(__xludf.DUMMYFUNCTION("""COMPUTED_VALUE"""),6)</f>
        <v>6</v>
      </c>
      <c r="K289" s="1">
        <f ca="1">IFERROR(__xludf.DUMMYFUNCTION("""COMPUTED_VALUE"""),8)</f>
        <v>8</v>
      </c>
      <c r="L289" s="1">
        <f ca="1">IFERROR(__xludf.DUMMYFUNCTION("""COMPUTED_VALUE"""),2)</f>
        <v>2</v>
      </c>
      <c r="M289" s="1">
        <f ca="1">IFERROR(__xludf.DUMMYFUNCTION("""COMPUTED_VALUE"""),13)</f>
        <v>13</v>
      </c>
      <c r="N289" s="1">
        <f ca="1">IFERROR(__xludf.DUMMYFUNCTION("""COMPUTED_VALUE"""),2099)</f>
        <v>2099</v>
      </c>
      <c r="O289" s="1">
        <f ca="1">IFERROR(__xludf.DUMMYFUNCTION("""COMPUTED_VALUE"""),2261)</f>
        <v>2261</v>
      </c>
      <c r="P289" s="1">
        <f ca="1">IFERROR(__xludf.DUMMYFUNCTION("""COMPUTED_VALUE"""),1270)</f>
        <v>1270</v>
      </c>
      <c r="Q289" s="1">
        <f ca="1">IFERROR(__xludf.DUMMYFUNCTION("""COMPUTED_VALUE"""),715)</f>
        <v>715</v>
      </c>
      <c r="R289" s="1">
        <f ca="1">IFERROR(__xludf.DUMMYFUNCTION("""COMPUTED_VALUE"""),1810)</f>
        <v>1810</v>
      </c>
      <c r="S289" s="1">
        <f ca="1">IFERROR(__xludf.DUMMYFUNCTION("""COMPUTED_VALUE"""),0.395)</f>
        <v>0.39500000000000002</v>
      </c>
      <c r="T289" s="1">
        <f ca="1">IFERROR(__xludf.DUMMYFUNCTION("""COMPUTED_VALUE"""),232)</f>
        <v>232</v>
      </c>
      <c r="U289" s="1">
        <f ca="1">IFERROR(__xludf.DUMMYFUNCTION("""COMPUTED_VALUE"""),701)</f>
        <v>701</v>
      </c>
      <c r="V289" s="1">
        <f ca="1">IFERROR(__xludf.DUMMYFUNCTION("""COMPUTED_VALUE"""),0.331)</f>
        <v>0.33100000000000002</v>
      </c>
      <c r="W289" s="1">
        <f ca="1">IFERROR(__xludf.DUMMYFUNCTION("""COMPUTED_VALUE"""),437)</f>
        <v>437</v>
      </c>
      <c r="X289" s="1">
        <f ca="1">IFERROR(__xludf.DUMMYFUNCTION("""COMPUTED_VALUE"""),586)</f>
        <v>586</v>
      </c>
      <c r="Y289" s="1">
        <f ca="1">IFERROR(__xludf.DUMMYFUNCTION("""COMPUTED_VALUE"""),0.746)</f>
        <v>0.746</v>
      </c>
      <c r="Z289" s="1">
        <f ca="1">IFERROR(__xludf.DUMMYFUNCTION("""COMPUTED_VALUE"""),342)</f>
        <v>342</v>
      </c>
      <c r="AA289" s="1">
        <f ca="1">IFERROR(__xludf.DUMMYFUNCTION("""COMPUTED_VALUE"""),944)</f>
        <v>944</v>
      </c>
      <c r="AB289" s="1">
        <f ca="1">IFERROR(__xludf.DUMMYFUNCTION("""COMPUTED_VALUE"""),416)</f>
        <v>416</v>
      </c>
      <c r="AC289" s="1">
        <f ca="1">IFERROR(__xludf.DUMMYFUNCTION("""COMPUTED_VALUE"""),151)</f>
        <v>151</v>
      </c>
      <c r="AD289" s="1">
        <f ca="1">IFERROR(__xludf.DUMMYFUNCTION("""COMPUTED_VALUE"""),38)</f>
        <v>38</v>
      </c>
      <c r="AE289" s="1">
        <f ca="1">IFERROR(__xludf.DUMMYFUNCTION("""COMPUTED_VALUE"""),341)</f>
        <v>341</v>
      </c>
      <c r="AF289" s="1">
        <f ca="1">IFERROR(__xludf.DUMMYFUNCTION("""COMPUTED_VALUE"""),548)</f>
        <v>548</v>
      </c>
    </row>
    <row r="290" spans="1:32" ht="12.5" x14ac:dyDescent="0.25">
      <c r="A290" s="1" t="str">
        <f ca="1">IFERROR(__xludf.DUMMYFUNCTION("""COMPUTED_VALUE"""),"Santa Clara")</f>
        <v>Santa Clara</v>
      </c>
      <c r="B290" s="1">
        <f ca="1">IFERROR(__xludf.DUMMYFUNCTION("""COMPUTED_VALUE"""),30)</f>
        <v>30</v>
      </c>
      <c r="C290" s="1">
        <f ca="1">IFERROR(__xludf.DUMMYFUNCTION("""COMPUTED_VALUE"""),8)</f>
        <v>8</v>
      </c>
      <c r="D290" s="1">
        <f ca="1">IFERROR(__xludf.DUMMYFUNCTION("""COMPUTED_VALUE"""),22)</f>
        <v>22</v>
      </c>
      <c r="E290" s="1">
        <f ca="1">IFERROR(__xludf.DUMMYFUNCTION("""COMPUTED_VALUE"""),0.267)</f>
        <v>0.26700000000000002</v>
      </c>
      <c r="F290" s="1">
        <f ca="1">IFERROR(__xludf.DUMMYFUNCTION("""COMPUTED_VALUE"""),-6.79)</f>
        <v>-6.79</v>
      </c>
      <c r="G290" s="1">
        <f ca="1">IFERROR(__xludf.DUMMYFUNCTION("""COMPUTED_VALUE"""),0.96)</f>
        <v>0.96</v>
      </c>
      <c r="H290" s="1">
        <f ca="1">IFERROR(__xludf.DUMMYFUNCTION("""COMPUTED_VALUE"""),0)</f>
        <v>0</v>
      </c>
      <c r="I290" s="1">
        <f ca="1">IFERROR(__xludf.DUMMYFUNCTION("""COMPUTED_VALUE"""),16)</f>
        <v>16</v>
      </c>
      <c r="J290" s="1">
        <f ca="1">IFERROR(__xludf.DUMMYFUNCTION("""COMPUTED_VALUE"""),6)</f>
        <v>6</v>
      </c>
      <c r="K290" s="1">
        <f ca="1">IFERROR(__xludf.DUMMYFUNCTION("""COMPUTED_VALUE"""),9)</f>
        <v>9</v>
      </c>
      <c r="L290" s="1">
        <f ca="1">IFERROR(__xludf.DUMMYFUNCTION("""COMPUTED_VALUE"""),0)</f>
        <v>0</v>
      </c>
      <c r="M290" s="1">
        <f ca="1">IFERROR(__xludf.DUMMYFUNCTION("""COMPUTED_VALUE"""),11)</f>
        <v>11</v>
      </c>
      <c r="N290" s="1">
        <f ca="1">IFERROR(__xludf.DUMMYFUNCTION("""COMPUTED_VALUE"""),2085)</f>
        <v>2085</v>
      </c>
      <c r="O290" s="1">
        <f ca="1">IFERROR(__xludf.DUMMYFUNCTION("""COMPUTED_VALUE"""),2245)</f>
        <v>2245</v>
      </c>
      <c r="P290" s="1">
        <f ca="1">IFERROR(__xludf.DUMMYFUNCTION("""COMPUTED_VALUE"""),1210)</f>
        <v>1210</v>
      </c>
      <c r="Q290" s="1">
        <f ca="1">IFERROR(__xludf.DUMMYFUNCTION("""COMPUTED_VALUE"""),717)</f>
        <v>717</v>
      </c>
      <c r="R290" s="1">
        <f ca="1">IFERROR(__xludf.DUMMYFUNCTION("""COMPUTED_VALUE"""),1751)</f>
        <v>1751</v>
      </c>
      <c r="S290" s="1">
        <f ca="1">IFERROR(__xludf.DUMMYFUNCTION("""COMPUTED_VALUE"""),0.409)</f>
        <v>0.40899999999999997</v>
      </c>
      <c r="T290" s="1">
        <f ca="1">IFERROR(__xludf.DUMMYFUNCTION("""COMPUTED_VALUE"""),239)</f>
        <v>239</v>
      </c>
      <c r="U290" s="1">
        <f ca="1">IFERROR(__xludf.DUMMYFUNCTION("""COMPUTED_VALUE"""),657)</f>
        <v>657</v>
      </c>
      <c r="V290" s="1">
        <f ca="1">IFERROR(__xludf.DUMMYFUNCTION("""COMPUTED_VALUE"""),0.364)</f>
        <v>0.36399999999999999</v>
      </c>
      <c r="W290" s="1">
        <f ca="1">IFERROR(__xludf.DUMMYFUNCTION("""COMPUTED_VALUE"""),412)</f>
        <v>412</v>
      </c>
      <c r="X290" s="1">
        <f ca="1">IFERROR(__xludf.DUMMYFUNCTION("""COMPUTED_VALUE"""),582)</f>
        <v>582</v>
      </c>
      <c r="Y290" s="1">
        <f ca="1">IFERROR(__xludf.DUMMYFUNCTION("""COMPUTED_VALUE"""),0.708)</f>
        <v>0.70799999999999996</v>
      </c>
      <c r="Z290" s="1">
        <f ca="1">IFERROR(__xludf.DUMMYFUNCTION("""COMPUTED_VALUE"""),344)</f>
        <v>344</v>
      </c>
      <c r="AA290" s="1">
        <f ca="1">IFERROR(__xludf.DUMMYFUNCTION("""COMPUTED_VALUE"""),923)</f>
        <v>923</v>
      </c>
      <c r="AB290" s="1">
        <f ca="1">IFERROR(__xludf.DUMMYFUNCTION("""COMPUTED_VALUE"""),384)</f>
        <v>384</v>
      </c>
      <c r="AC290" s="1">
        <f ca="1">IFERROR(__xludf.DUMMYFUNCTION("""COMPUTED_VALUE"""),151)</f>
        <v>151</v>
      </c>
      <c r="AD290" s="1">
        <f ca="1">IFERROR(__xludf.DUMMYFUNCTION("""COMPUTED_VALUE"""),98)</f>
        <v>98</v>
      </c>
      <c r="AE290" s="1">
        <f ca="1">IFERROR(__xludf.DUMMYFUNCTION("""COMPUTED_VALUE"""),348)</f>
        <v>348</v>
      </c>
      <c r="AF290" s="1">
        <f ca="1">IFERROR(__xludf.DUMMYFUNCTION("""COMPUTED_VALUE"""),625)</f>
        <v>625</v>
      </c>
    </row>
    <row r="291" spans="1:32" ht="12.5" x14ac:dyDescent="0.25">
      <c r="A291" s="1" t="str">
        <f ca="1">IFERROR(__xludf.DUMMYFUNCTION("""COMPUTED_VALUE"""),"Savannah State")</f>
        <v>Savannah State</v>
      </c>
      <c r="B291" s="1">
        <f ca="1">IFERROR(__xludf.DUMMYFUNCTION("""COMPUTED_VALUE"""),33)</f>
        <v>33</v>
      </c>
      <c r="C291" s="1">
        <f ca="1">IFERROR(__xludf.DUMMYFUNCTION("""COMPUTED_VALUE"""),21)</f>
        <v>21</v>
      </c>
      <c r="D291" s="1">
        <f ca="1">IFERROR(__xludf.DUMMYFUNCTION("""COMPUTED_VALUE"""),12)</f>
        <v>12</v>
      </c>
      <c r="E291" s="1">
        <f ca="1">IFERROR(__xludf.DUMMYFUNCTION("""COMPUTED_VALUE"""),0.636)</f>
        <v>0.63600000000000001</v>
      </c>
      <c r="F291" s="1">
        <f ca="1">IFERROR(__xludf.DUMMYFUNCTION("""COMPUTED_VALUE"""),-3.59)</f>
        <v>-3.59</v>
      </c>
      <c r="G291" s="1">
        <f ca="1">IFERROR(__xludf.DUMMYFUNCTION("""COMPUTED_VALUE"""),-5.92)</f>
        <v>-5.92</v>
      </c>
      <c r="H291" s="1">
        <f ca="1">IFERROR(__xludf.DUMMYFUNCTION("""COMPUTED_VALUE"""),14)</f>
        <v>14</v>
      </c>
      <c r="I291" s="1">
        <f ca="1">IFERROR(__xludf.DUMMYFUNCTION("""COMPUTED_VALUE"""),2)</f>
        <v>2</v>
      </c>
      <c r="J291" s="1">
        <f ca="1">IFERROR(__xludf.DUMMYFUNCTION("""COMPUTED_VALUE"""),14)</f>
        <v>14</v>
      </c>
      <c r="K291" s="1">
        <f ca="1">IFERROR(__xludf.DUMMYFUNCTION("""COMPUTED_VALUE"""),1)</f>
        <v>1</v>
      </c>
      <c r="L291" s="1">
        <f ca="1">IFERROR(__xludf.DUMMYFUNCTION("""COMPUTED_VALUE"""),6)</f>
        <v>6</v>
      </c>
      <c r="M291" s="1">
        <f ca="1">IFERROR(__xludf.DUMMYFUNCTION("""COMPUTED_VALUE"""),10)</f>
        <v>10</v>
      </c>
      <c r="N291" s="1">
        <f ca="1">IFERROR(__xludf.DUMMYFUNCTION("""COMPUTED_VALUE"""),2089)</f>
        <v>2089</v>
      </c>
      <c r="O291" s="1">
        <f ca="1">IFERROR(__xludf.DUMMYFUNCTION("""COMPUTED_VALUE"""),1949)</f>
        <v>1949</v>
      </c>
      <c r="P291" s="1">
        <f ca="1">IFERROR(__xludf.DUMMYFUNCTION("""COMPUTED_VALUE"""),1325)</f>
        <v>1325</v>
      </c>
      <c r="Q291" s="1">
        <f ca="1">IFERROR(__xludf.DUMMYFUNCTION("""COMPUTED_VALUE"""),746)</f>
        <v>746</v>
      </c>
      <c r="R291" s="1">
        <f ca="1">IFERROR(__xludf.DUMMYFUNCTION("""COMPUTED_VALUE"""),1791)</f>
        <v>1791</v>
      </c>
      <c r="S291" s="1">
        <f ca="1">IFERROR(__xludf.DUMMYFUNCTION("""COMPUTED_VALUE"""),0.417)</f>
        <v>0.41699999999999998</v>
      </c>
      <c r="T291" s="1">
        <f ca="1">IFERROR(__xludf.DUMMYFUNCTION("""COMPUTED_VALUE"""),192)</f>
        <v>192</v>
      </c>
      <c r="U291" s="1">
        <f ca="1">IFERROR(__xludf.DUMMYFUNCTION("""COMPUTED_VALUE"""),586)</f>
        <v>586</v>
      </c>
      <c r="V291" s="1">
        <f ca="1">IFERROR(__xludf.DUMMYFUNCTION("""COMPUTED_VALUE"""),0.328)</f>
        <v>0.32800000000000001</v>
      </c>
      <c r="W291" s="1">
        <f ca="1">IFERROR(__xludf.DUMMYFUNCTION("""COMPUTED_VALUE"""),405)</f>
        <v>405</v>
      </c>
      <c r="X291" s="1">
        <f ca="1">IFERROR(__xludf.DUMMYFUNCTION("""COMPUTED_VALUE"""),688)</f>
        <v>688</v>
      </c>
      <c r="Y291" s="1">
        <f ca="1">IFERROR(__xludf.DUMMYFUNCTION("""COMPUTED_VALUE"""),0.589)</f>
        <v>0.58899999999999997</v>
      </c>
      <c r="Z291" s="1">
        <f ca="1">IFERROR(__xludf.DUMMYFUNCTION("""COMPUTED_VALUE"""),464)</f>
        <v>464</v>
      </c>
      <c r="AA291" s="1">
        <f ca="1">IFERROR(__xludf.DUMMYFUNCTION("""COMPUTED_VALUE"""),1075)</f>
        <v>1075</v>
      </c>
      <c r="AB291" s="1">
        <f ca="1">IFERROR(__xludf.DUMMYFUNCTION("""COMPUTED_VALUE"""),422)</f>
        <v>422</v>
      </c>
      <c r="AC291" s="1">
        <f ca="1">IFERROR(__xludf.DUMMYFUNCTION("""COMPUTED_VALUE"""),230)</f>
        <v>230</v>
      </c>
      <c r="AD291" s="1">
        <f ca="1">IFERROR(__xludf.DUMMYFUNCTION("""COMPUTED_VALUE"""),112)</f>
        <v>112</v>
      </c>
      <c r="AE291" s="1">
        <f ca="1">IFERROR(__xludf.DUMMYFUNCTION("""COMPUTED_VALUE"""),487)</f>
        <v>487</v>
      </c>
      <c r="AF291" s="1">
        <f ca="1">IFERROR(__xludf.DUMMYFUNCTION("""COMPUTED_VALUE"""),621)</f>
        <v>621</v>
      </c>
    </row>
    <row r="292" spans="1:32" ht="12.5" x14ac:dyDescent="0.25">
      <c r="A292" s="1" t="str">
        <f ca="1">IFERROR(__xludf.DUMMYFUNCTION("""COMPUTED_VALUE"""),"Seattle")</f>
        <v>Seattle</v>
      </c>
      <c r="B292" s="1">
        <f ca="1">IFERROR(__xludf.DUMMYFUNCTION("""COMPUTED_VALUE"""),27)</f>
        <v>27</v>
      </c>
      <c r="C292" s="1">
        <f ca="1">IFERROR(__xludf.DUMMYFUNCTION("""COMPUTED_VALUE"""),12)</f>
        <v>12</v>
      </c>
      <c r="D292" s="1">
        <f ca="1">IFERROR(__xludf.DUMMYFUNCTION("""COMPUTED_VALUE"""),15)</f>
        <v>15</v>
      </c>
      <c r="E292" s="1">
        <f ca="1">IFERROR(__xludf.DUMMYFUNCTION("""COMPUTED_VALUE"""),0.444)</f>
        <v>0.44400000000000001</v>
      </c>
      <c r="F292" s="1">
        <f ca="1">IFERROR(__xludf.DUMMYFUNCTION("""COMPUTED_VALUE"""),-4.18)</f>
        <v>-4.18</v>
      </c>
      <c r="G292" s="1">
        <f ca="1">IFERROR(__xludf.DUMMYFUNCTION("""COMPUTED_VALUE"""),-2.76)</f>
        <v>-2.76</v>
      </c>
      <c r="H292" s="1">
        <f ca="1">IFERROR(__xludf.DUMMYFUNCTION("""COMPUTED_VALUE"""),0)</f>
        <v>0</v>
      </c>
      <c r="I292" s="1">
        <f ca="1">IFERROR(__xludf.DUMMYFUNCTION("""COMPUTED_VALUE"""),0)</f>
        <v>0</v>
      </c>
      <c r="J292" s="1">
        <f ca="1">IFERROR(__xludf.DUMMYFUNCTION("""COMPUTED_VALUE"""),9)</f>
        <v>9</v>
      </c>
      <c r="K292" s="1">
        <f ca="1">IFERROR(__xludf.DUMMYFUNCTION("""COMPUTED_VALUE"""),6)</f>
        <v>6</v>
      </c>
      <c r="L292" s="1">
        <f ca="1">IFERROR(__xludf.DUMMYFUNCTION("""COMPUTED_VALUE"""),2)</f>
        <v>2</v>
      </c>
      <c r="M292" s="1">
        <f ca="1">IFERROR(__xludf.DUMMYFUNCTION("""COMPUTED_VALUE"""),9)</f>
        <v>9</v>
      </c>
      <c r="N292" s="1">
        <f ca="1">IFERROR(__xludf.DUMMYFUNCTION("""COMPUTED_VALUE"""),2065)</f>
        <v>2065</v>
      </c>
      <c r="O292" s="1">
        <f ca="1">IFERROR(__xludf.DUMMYFUNCTION("""COMPUTED_VALUE"""),2025)</f>
        <v>2025</v>
      </c>
      <c r="P292" s="1">
        <f ca="1">IFERROR(__xludf.DUMMYFUNCTION("""COMPUTED_VALUE"""),1085)</f>
        <v>1085</v>
      </c>
      <c r="Q292" s="1">
        <f ca="1">IFERROR(__xludf.DUMMYFUNCTION("""COMPUTED_VALUE"""),779)</f>
        <v>779</v>
      </c>
      <c r="R292" s="1">
        <f ca="1">IFERROR(__xludf.DUMMYFUNCTION("""COMPUTED_VALUE"""),1792)</f>
        <v>1792</v>
      </c>
      <c r="S292" s="1">
        <f ca="1">IFERROR(__xludf.DUMMYFUNCTION("""COMPUTED_VALUE"""),0.435)</f>
        <v>0.435</v>
      </c>
      <c r="T292" s="1">
        <f ca="1">IFERROR(__xludf.DUMMYFUNCTION("""COMPUTED_VALUE"""),191)</f>
        <v>191</v>
      </c>
      <c r="U292" s="1">
        <f ca="1">IFERROR(__xludf.DUMMYFUNCTION("""COMPUTED_VALUE"""),578)</f>
        <v>578</v>
      </c>
      <c r="V292" s="1">
        <f ca="1">IFERROR(__xludf.DUMMYFUNCTION("""COMPUTED_VALUE"""),0.33)</f>
        <v>0.33</v>
      </c>
      <c r="W292" s="1">
        <f ca="1">IFERROR(__xludf.DUMMYFUNCTION("""COMPUTED_VALUE"""),316)</f>
        <v>316</v>
      </c>
      <c r="X292" s="1">
        <f ca="1">IFERROR(__xludf.DUMMYFUNCTION("""COMPUTED_VALUE"""),454)</f>
        <v>454</v>
      </c>
      <c r="Y292" s="1">
        <f ca="1">IFERROR(__xludf.DUMMYFUNCTION("""COMPUTED_VALUE"""),0.696)</f>
        <v>0.69599999999999995</v>
      </c>
      <c r="Z292" s="1">
        <f ca="1">IFERROR(__xludf.DUMMYFUNCTION("""COMPUTED_VALUE"""),371)</f>
        <v>371</v>
      </c>
      <c r="AA292" s="1">
        <f ca="1">IFERROR(__xludf.DUMMYFUNCTION("""COMPUTED_VALUE"""),1006)</f>
        <v>1006</v>
      </c>
      <c r="AB292" s="1">
        <f ca="1">IFERROR(__xludf.DUMMYFUNCTION("""COMPUTED_VALUE"""),373)</f>
        <v>373</v>
      </c>
      <c r="AC292" s="1">
        <f ca="1">IFERROR(__xludf.DUMMYFUNCTION("""COMPUTED_VALUE"""),226)</f>
        <v>226</v>
      </c>
      <c r="AD292" s="1">
        <f ca="1">IFERROR(__xludf.DUMMYFUNCTION("""COMPUTED_VALUE"""),87)</f>
        <v>87</v>
      </c>
      <c r="AE292" s="1">
        <f ca="1">IFERROR(__xludf.DUMMYFUNCTION("""COMPUTED_VALUE"""),414)</f>
        <v>414</v>
      </c>
      <c r="AF292" s="1">
        <f ca="1">IFERROR(__xludf.DUMMYFUNCTION("""COMPUTED_VALUE"""),568)</f>
        <v>568</v>
      </c>
    </row>
    <row r="293" spans="1:32" ht="12.5" x14ac:dyDescent="0.25">
      <c r="A293" s="1" t="str">
        <f ca="1">IFERROR(__xludf.DUMMYFUNCTION("""COMPUTED_VALUE"""),"Seton Hall")</f>
        <v>Seton Hall</v>
      </c>
      <c r="B293" s="1">
        <f ca="1">IFERROR(__xludf.DUMMYFUNCTION("""COMPUTED_VALUE"""),34)</f>
        <v>34</v>
      </c>
      <c r="C293" s="1">
        <f ca="1">IFERROR(__xludf.DUMMYFUNCTION("""COMPUTED_VALUE"""),21)</f>
        <v>21</v>
      </c>
      <c r="D293" s="1">
        <f ca="1">IFERROR(__xludf.DUMMYFUNCTION("""COMPUTED_VALUE"""),13)</f>
        <v>13</v>
      </c>
      <c r="E293" s="1">
        <f ca="1">IFERROR(__xludf.DUMMYFUNCTION("""COMPUTED_VALUE"""),0.618)</f>
        <v>0.61799999999999999</v>
      </c>
      <c r="F293" s="1">
        <f ca="1">IFERROR(__xludf.DUMMYFUNCTION("""COMPUTED_VALUE"""),10.23)</f>
        <v>10.23</v>
      </c>
      <c r="G293" s="1">
        <f ca="1">IFERROR(__xludf.DUMMYFUNCTION("""COMPUTED_VALUE"""),5.7)</f>
        <v>5.7</v>
      </c>
      <c r="H293" s="1">
        <f ca="1">IFERROR(__xludf.DUMMYFUNCTION("""COMPUTED_VALUE"""),8)</f>
        <v>8</v>
      </c>
      <c r="I293" s="1">
        <f ca="1">IFERROR(__xludf.DUMMYFUNCTION("""COMPUTED_VALUE"""),10)</f>
        <v>10</v>
      </c>
      <c r="J293" s="1">
        <f ca="1">IFERROR(__xludf.DUMMYFUNCTION("""COMPUTED_VALUE"""),14)</f>
        <v>14</v>
      </c>
      <c r="K293" s="1">
        <f ca="1">IFERROR(__xludf.DUMMYFUNCTION("""COMPUTED_VALUE"""),4)</f>
        <v>4</v>
      </c>
      <c r="L293" s="1">
        <f ca="1">IFERROR(__xludf.DUMMYFUNCTION("""COMPUTED_VALUE"""),4)</f>
        <v>4</v>
      </c>
      <c r="M293" s="1">
        <f ca="1">IFERROR(__xludf.DUMMYFUNCTION("""COMPUTED_VALUE"""),7)</f>
        <v>7</v>
      </c>
      <c r="N293" s="1">
        <f ca="1">IFERROR(__xludf.DUMMYFUNCTION("""COMPUTED_VALUE"""),2324)</f>
        <v>2324</v>
      </c>
      <c r="O293" s="1">
        <f ca="1">IFERROR(__xludf.DUMMYFUNCTION("""COMPUTED_VALUE"""),2170)</f>
        <v>2170</v>
      </c>
      <c r="P293" s="1">
        <f ca="1">IFERROR(__xludf.DUMMYFUNCTION("""COMPUTED_VALUE"""),1375)</f>
        <v>1375</v>
      </c>
      <c r="Q293" s="1">
        <f ca="1">IFERROR(__xludf.DUMMYFUNCTION("""COMPUTED_VALUE"""),833)</f>
        <v>833</v>
      </c>
      <c r="R293" s="1">
        <f ca="1">IFERROR(__xludf.DUMMYFUNCTION("""COMPUTED_VALUE"""),1913)</f>
        <v>1913</v>
      </c>
      <c r="S293" s="1">
        <f ca="1">IFERROR(__xludf.DUMMYFUNCTION("""COMPUTED_VALUE"""),0.435)</f>
        <v>0.435</v>
      </c>
      <c r="T293" s="1">
        <f ca="1">IFERROR(__xludf.DUMMYFUNCTION("""COMPUTED_VALUE"""),236)</f>
        <v>236</v>
      </c>
      <c r="U293" s="1">
        <f ca="1">IFERROR(__xludf.DUMMYFUNCTION("""COMPUTED_VALUE"""),668)</f>
        <v>668</v>
      </c>
      <c r="V293" s="1">
        <f ca="1">IFERROR(__xludf.DUMMYFUNCTION("""COMPUTED_VALUE"""),0.353)</f>
        <v>0.35299999999999998</v>
      </c>
      <c r="W293" s="1">
        <f ca="1">IFERROR(__xludf.DUMMYFUNCTION("""COMPUTED_VALUE"""),422)</f>
        <v>422</v>
      </c>
      <c r="X293" s="1">
        <f ca="1">IFERROR(__xludf.DUMMYFUNCTION("""COMPUTED_VALUE"""),626)</f>
        <v>626</v>
      </c>
      <c r="Y293" s="1">
        <f ca="1">IFERROR(__xludf.DUMMYFUNCTION("""COMPUTED_VALUE"""),0.674)</f>
        <v>0.67400000000000004</v>
      </c>
      <c r="Z293" s="1">
        <f ca="1">IFERROR(__xludf.DUMMYFUNCTION("""COMPUTED_VALUE"""),381)</f>
        <v>381</v>
      </c>
      <c r="AA293" s="1">
        <f ca="1">IFERROR(__xludf.DUMMYFUNCTION("""COMPUTED_VALUE"""),1112)</f>
        <v>1112</v>
      </c>
      <c r="AB293" s="1">
        <f ca="1">IFERROR(__xludf.DUMMYFUNCTION("""COMPUTED_VALUE"""),476)</f>
        <v>476</v>
      </c>
      <c r="AC293" s="1">
        <f ca="1">IFERROR(__xludf.DUMMYFUNCTION("""COMPUTED_VALUE"""),284)</f>
        <v>284</v>
      </c>
      <c r="AD293" s="1">
        <f ca="1">IFERROR(__xludf.DUMMYFUNCTION("""COMPUTED_VALUE"""),107)</f>
        <v>107</v>
      </c>
      <c r="AE293" s="1">
        <f ca="1">IFERROR(__xludf.DUMMYFUNCTION("""COMPUTED_VALUE"""),431)</f>
        <v>431</v>
      </c>
      <c r="AF293" s="1">
        <f ca="1">IFERROR(__xludf.DUMMYFUNCTION("""COMPUTED_VALUE"""),604)</f>
        <v>604</v>
      </c>
    </row>
    <row r="294" spans="1:32" ht="12.5" x14ac:dyDescent="0.25">
      <c r="A294" s="1" t="str">
        <f ca="1">IFERROR(__xludf.DUMMYFUNCTION("""COMPUTED_VALUE"""),"Siena")</f>
        <v>Siena</v>
      </c>
      <c r="B294" s="1">
        <f ca="1">IFERROR(__xludf.DUMMYFUNCTION("""COMPUTED_VALUE"""),31)</f>
        <v>31</v>
      </c>
      <c r="C294" s="1">
        <f ca="1">IFERROR(__xludf.DUMMYFUNCTION("""COMPUTED_VALUE"""),14)</f>
        <v>14</v>
      </c>
      <c r="D294" s="1">
        <f ca="1">IFERROR(__xludf.DUMMYFUNCTION("""COMPUTED_VALUE"""),17)</f>
        <v>17</v>
      </c>
      <c r="E294" s="1">
        <f ca="1">IFERROR(__xludf.DUMMYFUNCTION("""COMPUTED_VALUE"""),0.452)</f>
        <v>0.45200000000000001</v>
      </c>
      <c r="F294" s="1">
        <f ca="1">IFERROR(__xludf.DUMMYFUNCTION("""COMPUTED_VALUE"""),-5.71)</f>
        <v>-5.71</v>
      </c>
      <c r="G294" s="1">
        <f ca="1">IFERROR(__xludf.DUMMYFUNCTION("""COMPUTED_VALUE"""),-2.94)</f>
        <v>-2.94</v>
      </c>
      <c r="H294" s="1">
        <f ca="1">IFERROR(__xludf.DUMMYFUNCTION("""COMPUTED_VALUE"""),8)</f>
        <v>8</v>
      </c>
      <c r="I294" s="1">
        <f ca="1">IFERROR(__xludf.DUMMYFUNCTION("""COMPUTED_VALUE"""),10)</f>
        <v>10</v>
      </c>
      <c r="J294" s="1">
        <f ca="1">IFERROR(__xludf.DUMMYFUNCTION("""COMPUTED_VALUE"""),10)</f>
        <v>10</v>
      </c>
      <c r="K294" s="1">
        <f ca="1">IFERROR(__xludf.DUMMYFUNCTION("""COMPUTED_VALUE"""),4)</f>
        <v>4</v>
      </c>
      <c r="L294" s="1">
        <f ca="1">IFERROR(__xludf.DUMMYFUNCTION("""COMPUTED_VALUE"""),3)</f>
        <v>3</v>
      </c>
      <c r="M294" s="1">
        <f ca="1">IFERROR(__xludf.DUMMYFUNCTION("""COMPUTED_VALUE"""),10)</f>
        <v>10</v>
      </c>
      <c r="N294" s="1">
        <f ca="1">IFERROR(__xludf.DUMMYFUNCTION("""COMPUTED_VALUE"""),1975)</f>
        <v>1975</v>
      </c>
      <c r="O294" s="1">
        <f ca="1">IFERROR(__xludf.DUMMYFUNCTION("""COMPUTED_VALUE"""),2061)</f>
        <v>2061</v>
      </c>
      <c r="P294" s="1">
        <f ca="1">IFERROR(__xludf.DUMMYFUNCTION("""COMPUTED_VALUE"""),1245)</f>
        <v>1245</v>
      </c>
      <c r="Q294" s="1">
        <f ca="1">IFERROR(__xludf.DUMMYFUNCTION("""COMPUTED_VALUE"""),718)</f>
        <v>718</v>
      </c>
      <c r="R294" s="1">
        <f ca="1">IFERROR(__xludf.DUMMYFUNCTION("""COMPUTED_VALUE"""),1692)</f>
        <v>1692</v>
      </c>
      <c r="S294" s="1">
        <f ca="1">IFERROR(__xludf.DUMMYFUNCTION("""COMPUTED_VALUE"""),0.424)</f>
        <v>0.42399999999999999</v>
      </c>
      <c r="T294" s="1">
        <f ca="1">IFERROR(__xludf.DUMMYFUNCTION("""COMPUTED_VALUE"""),146)</f>
        <v>146</v>
      </c>
      <c r="U294" s="1">
        <f ca="1">IFERROR(__xludf.DUMMYFUNCTION("""COMPUTED_VALUE"""),476)</f>
        <v>476</v>
      </c>
      <c r="V294" s="1">
        <f ca="1">IFERROR(__xludf.DUMMYFUNCTION("""COMPUTED_VALUE"""),0.307)</f>
        <v>0.307</v>
      </c>
      <c r="W294" s="1">
        <f ca="1">IFERROR(__xludf.DUMMYFUNCTION("""COMPUTED_VALUE"""),393)</f>
        <v>393</v>
      </c>
      <c r="X294" s="1">
        <f ca="1">IFERROR(__xludf.DUMMYFUNCTION("""COMPUTED_VALUE"""),577)</f>
        <v>577</v>
      </c>
      <c r="Y294" s="1">
        <f ca="1">IFERROR(__xludf.DUMMYFUNCTION("""COMPUTED_VALUE"""),0.681)</f>
        <v>0.68100000000000005</v>
      </c>
      <c r="Z294" s="1">
        <f ca="1">IFERROR(__xludf.DUMMYFUNCTION("""COMPUTED_VALUE"""),353)</f>
        <v>353</v>
      </c>
      <c r="AA294" s="1">
        <f ca="1">IFERROR(__xludf.DUMMYFUNCTION("""COMPUTED_VALUE"""),1018)</f>
        <v>1018</v>
      </c>
      <c r="AB294" s="1">
        <f ca="1">IFERROR(__xludf.DUMMYFUNCTION("""COMPUTED_VALUE"""),391)</f>
        <v>391</v>
      </c>
      <c r="AC294" s="1">
        <f ca="1">IFERROR(__xludf.DUMMYFUNCTION("""COMPUTED_VALUE"""),180)</f>
        <v>180</v>
      </c>
      <c r="AD294" s="1">
        <f ca="1">IFERROR(__xludf.DUMMYFUNCTION("""COMPUTED_VALUE"""),106)</f>
        <v>106</v>
      </c>
      <c r="AE294" s="1">
        <f ca="1">IFERROR(__xludf.DUMMYFUNCTION("""COMPUTED_VALUE"""),437)</f>
        <v>437</v>
      </c>
      <c r="AF294" s="1">
        <f ca="1">IFERROR(__xludf.DUMMYFUNCTION("""COMPUTED_VALUE"""),432)</f>
        <v>432</v>
      </c>
    </row>
    <row r="295" spans="1:32" ht="12.5" x14ac:dyDescent="0.25">
      <c r="A295" s="1" t="str">
        <f ca="1">IFERROR(__xludf.DUMMYFUNCTION("""COMPUTED_VALUE"""),"South Alabama")</f>
        <v>South Alabama</v>
      </c>
      <c r="B295" s="1">
        <f ca="1">IFERROR(__xludf.DUMMYFUNCTION("""COMPUTED_VALUE"""),29)</f>
        <v>29</v>
      </c>
      <c r="C295" s="1">
        <f ca="1">IFERROR(__xludf.DUMMYFUNCTION("""COMPUTED_VALUE"""),17)</f>
        <v>17</v>
      </c>
      <c r="D295" s="1">
        <f ca="1">IFERROR(__xludf.DUMMYFUNCTION("""COMPUTED_VALUE"""),12)</f>
        <v>12</v>
      </c>
      <c r="E295" s="1">
        <f ca="1">IFERROR(__xludf.DUMMYFUNCTION("""COMPUTED_VALUE"""),0.586)</f>
        <v>0.58599999999999997</v>
      </c>
      <c r="F295" s="1">
        <f ca="1">IFERROR(__xludf.DUMMYFUNCTION("""COMPUTED_VALUE"""),-2.81)</f>
        <v>-2.81</v>
      </c>
      <c r="G295" s="1">
        <f ca="1">IFERROR(__xludf.DUMMYFUNCTION("""COMPUTED_VALUE"""),-1.98)</f>
        <v>-1.98</v>
      </c>
      <c r="H295" s="1">
        <f ca="1">IFERROR(__xludf.DUMMYFUNCTION("""COMPUTED_VALUE"""),8)</f>
        <v>8</v>
      </c>
      <c r="I295" s="1">
        <f ca="1">IFERROR(__xludf.DUMMYFUNCTION("""COMPUTED_VALUE"""),8)</f>
        <v>8</v>
      </c>
      <c r="J295" s="1">
        <f ca="1">IFERROR(__xludf.DUMMYFUNCTION("""COMPUTED_VALUE"""),9)</f>
        <v>9</v>
      </c>
      <c r="K295" s="1">
        <f ca="1">IFERROR(__xludf.DUMMYFUNCTION("""COMPUTED_VALUE"""),5)</f>
        <v>5</v>
      </c>
      <c r="L295" s="1">
        <f ca="1">IFERROR(__xludf.DUMMYFUNCTION("""COMPUTED_VALUE"""),6)</f>
        <v>6</v>
      </c>
      <c r="M295" s="1">
        <f ca="1">IFERROR(__xludf.DUMMYFUNCTION("""COMPUTED_VALUE"""),6)</f>
        <v>6</v>
      </c>
      <c r="N295" s="1">
        <f ca="1">IFERROR(__xludf.DUMMYFUNCTION("""COMPUTED_VALUE"""),1935)</f>
        <v>1935</v>
      </c>
      <c r="O295" s="1">
        <f ca="1">IFERROR(__xludf.DUMMYFUNCTION("""COMPUTED_VALUE"""),1947)</f>
        <v>1947</v>
      </c>
      <c r="P295" s="1">
        <f ca="1">IFERROR(__xludf.DUMMYFUNCTION("""COMPUTED_VALUE"""),1175)</f>
        <v>1175</v>
      </c>
      <c r="Q295" s="1">
        <f ca="1">IFERROR(__xludf.DUMMYFUNCTION("""COMPUTED_VALUE"""),682)</f>
        <v>682</v>
      </c>
      <c r="R295" s="1">
        <f ca="1">IFERROR(__xludf.DUMMYFUNCTION("""COMPUTED_VALUE"""),1606)</f>
        <v>1606</v>
      </c>
      <c r="S295" s="1">
        <f ca="1">IFERROR(__xludf.DUMMYFUNCTION("""COMPUTED_VALUE"""),0.425)</f>
        <v>0.42499999999999999</v>
      </c>
      <c r="T295" s="1">
        <f ca="1">IFERROR(__xludf.DUMMYFUNCTION("""COMPUTED_VALUE"""),136)</f>
        <v>136</v>
      </c>
      <c r="U295" s="1">
        <f ca="1">IFERROR(__xludf.DUMMYFUNCTION("""COMPUTED_VALUE"""),400)</f>
        <v>400</v>
      </c>
      <c r="V295" s="1">
        <f ca="1">IFERROR(__xludf.DUMMYFUNCTION("""COMPUTED_VALUE"""),0.34)</f>
        <v>0.34</v>
      </c>
      <c r="W295" s="1">
        <f ca="1">IFERROR(__xludf.DUMMYFUNCTION("""COMPUTED_VALUE"""),435)</f>
        <v>435</v>
      </c>
      <c r="X295" s="1">
        <f ca="1">IFERROR(__xludf.DUMMYFUNCTION("""COMPUTED_VALUE"""),621)</f>
        <v>621</v>
      </c>
      <c r="Y295" s="1">
        <f ca="1">IFERROR(__xludf.DUMMYFUNCTION("""COMPUTED_VALUE"""),0.7)</f>
        <v>0.7</v>
      </c>
      <c r="Z295" s="1">
        <f ca="1">IFERROR(__xludf.DUMMYFUNCTION("""COMPUTED_VALUE"""),440)</f>
        <v>440</v>
      </c>
      <c r="AA295" s="1">
        <f ca="1">IFERROR(__xludf.DUMMYFUNCTION("""COMPUTED_VALUE"""),1051)</f>
        <v>1051</v>
      </c>
      <c r="AB295" s="1">
        <f ca="1">IFERROR(__xludf.DUMMYFUNCTION("""COMPUTED_VALUE"""),323)</f>
        <v>323</v>
      </c>
      <c r="AC295" s="1">
        <f ca="1">IFERROR(__xludf.DUMMYFUNCTION("""COMPUTED_VALUE"""),143)</f>
        <v>143</v>
      </c>
      <c r="AD295" s="1">
        <f ca="1">IFERROR(__xludf.DUMMYFUNCTION("""COMPUTED_VALUE"""),139)</f>
        <v>139</v>
      </c>
      <c r="AE295" s="1">
        <f ca="1">IFERROR(__xludf.DUMMYFUNCTION("""COMPUTED_VALUE"""),468)</f>
        <v>468</v>
      </c>
      <c r="AF295" s="1">
        <f ca="1">IFERROR(__xludf.DUMMYFUNCTION("""COMPUTED_VALUE"""),501)</f>
        <v>501</v>
      </c>
    </row>
    <row r="296" spans="1:32" ht="12.5" x14ac:dyDescent="0.25">
      <c r="A296" s="1" t="str">
        <f ca="1">IFERROR(__xludf.DUMMYFUNCTION("""COMPUTED_VALUE"""),"South Carolina State")</f>
        <v>South Carolina State</v>
      </c>
      <c r="B296" s="1">
        <f ca="1">IFERROR(__xludf.DUMMYFUNCTION("""COMPUTED_VALUE"""),31)</f>
        <v>31</v>
      </c>
      <c r="C296" s="1">
        <f ca="1">IFERROR(__xludf.DUMMYFUNCTION("""COMPUTED_VALUE"""),5)</f>
        <v>5</v>
      </c>
      <c r="D296" s="1">
        <f ca="1">IFERROR(__xludf.DUMMYFUNCTION("""COMPUTED_VALUE"""),26)</f>
        <v>26</v>
      </c>
      <c r="E296" s="1">
        <f ca="1">IFERROR(__xludf.DUMMYFUNCTION("""COMPUTED_VALUE"""),0.161)</f>
        <v>0.161</v>
      </c>
      <c r="F296" s="1">
        <f ca="1">IFERROR(__xludf.DUMMYFUNCTION("""COMPUTED_VALUE"""),-20.8)</f>
        <v>-20.8</v>
      </c>
      <c r="G296" s="1">
        <f ca="1">IFERROR(__xludf.DUMMYFUNCTION("""COMPUTED_VALUE"""),-6.11)</f>
        <v>-6.11</v>
      </c>
      <c r="H296" s="1">
        <f ca="1">IFERROR(__xludf.DUMMYFUNCTION("""COMPUTED_VALUE"""),0)</f>
        <v>0</v>
      </c>
      <c r="I296" s="1">
        <f ca="1">IFERROR(__xludf.DUMMYFUNCTION("""COMPUTED_VALUE"""),16)</f>
        <v>16</v>
      </c>
      <c r="J296" s="1">
        <f ca="1">IFERROR(__xludf.DUMMYFUNCTION("""COMPUTED_VALUE"""),4)</f>
        <v>4</v>
      </c>
      <c r="K296" s="1">
        <f ca="1">IFERROR(__xludf.DUMMYFUNCTION("""COMPUTED_VALUE"""),9)</f>
        <v>9</v>
      </c>
      <c r="L296" s="1">
        <f ca="1">IFERROR(__xludf.DUMMYFUNCTION("""COMPUTED_VALUE"""),1)</f>
        <v>1</v>
      </c>
      <c r="M296" s="1">
        <f ca="1">IFERROR(__xludf.DUMMYFUNCTION("""COMPUTED_VALUE"""),16)</f>
        <v>16</v>
      </c>
      <c r="N296" s="1">
        <f ca="1">IFERROR(__xludf.DUMMYFUNCTION("""COMPUTED_VALUE"""),2001)</f>
        <v>2001</v>
      </c>
      <c r="O296" s="1">
        <f ca="1">IFERROR(__xludf.DUMMYFUNCTION("""COMPUTED_VALUE"""),2391)</f>
        <v>2391</v>
      </c>
      <c r="P296" s="1">
        <f ca="1">IFERROR(__xludf.DUMMYFUNCTION("""COMPUTED_VALUE"""),1250)</f>
        <v>1250</v>
      </c>
      <c r="Q296" s="1">
        <f ca="1">IFERROR(__xludf.DUMMYFUNCTION("""COMPUTED_VALUE"""),721)</f>
        <v>721</v>
      </c>
      <c r="R296" s="1">
        <f ca="1">IFERROR(__xludf.DUMMYFUNCTION("""COMPUTED_VALUE"""),1827)</f>
        <v>1827</v>
      </c>
      <c r="S296" s="1">
        <f ca="1">IFERROR(__xludf.DUMMYFUNCTION("""COMPUTED_VALUE"""),0.395)</f>
        <v>0.39500000000000002</v>
      </c>
      <c r="T296" s="1">
        <f ca="1">IFERROR(__xludf.DUMMYFUNCTION("""COMPUTED_VALUE"""),142)</f>
        <v>142</v>
      </c>
      <c r="U296" s="1">
        <f ca="1">IFERROR(__xludf.DUMMYFUNCTION("""COMPUTED_VALUE"""),498)</f>
        <v>498</v>
      </c>
      <c r="V296" s="1">
        <f ca="1">IFERROR(__xludf.DUMMYFUNCTION("""COMPUTED_VALUE"""),0.285)</f>
        <v>0.28499999999999998</v>
      </c>
      <c r="W296" s="1">
        <f ca="1">IFERROR(__xludf.DUMMYFUNCTION("""COMPUTED_VALUE"""),417)</f>
        <v>417</v>
      </c>
      <c r="X296" s="1">
        <f ca="1">IFERROR(__xludf.DUMMYFUNCTION("""COMPUTED_VALUE"""),641)</f>
        <v>641</v>
      </c>
      <c r="Y296" s="1">
        <f ca="1">IFERROR(__xludf.DUMMYFUNCTION("""COMPUTED_VALUE"""),0.651)</f>
        <v>0.65100000000000002</v>
      </c>
      <c r="Z296" s="1">
        <f ca="1">IFERROR(__xludf.DUMMYFUNCTION("""COMPUTED_VALUE"""),447)</f>
        <v>447</v>
      </c>
      <c r="AA296" s="1">
        <f ca="1">IFERROR(__xludf.DUMMYFUNCTION("""COMPUTED_VALUE"""),1026)</f>
        <v>1026</v>
      </c>
      <c r="AB296" s="1">
        <f ca="1">IFERROR(__xludf.DUMMYFUNCTION("""COMPUTED_VALUE"""),327)</f>
        <v>327</v>
      </c>
      <c r="AC296" s="1">
        <f ca="1">IFERROR(__xludf.DUMMYFUNCTION("""COMPUTED_VALUE"""),192)</f>
        <v>192</v>
      </c>
      <c r="AD296" s="1">
        <f ca="1">IFERROR(__xludf.DUMMYFUNCTION("""COMPUTED_VALUE"""),131)</f>
        <v>131</v>
      </c>
      <c r="AE296" s="1">
        <f ca="1">IFERROR(__xludf.DUMMYFUNCTION("""COMPUTED_VALUE"""),490)</f>
        <v>490</v>
      </c>
      <c r="AF296" s="1">
        <f ca="1">IFERROR(__xludf.DUMMYFUNCTION("""COMPUTED_VALUE"""),563)</f>
        <v>563</v>
      </c>
    </row>
    <row r="297" spans="1:32" ht="12.5" x14ac:dyDescent="0.25">
      <c r="A297" s="1" t="str">
        <f ca="1">IFERROR(__xludf.DUMMYFUNCTION("""COMPUTED_VALUE"""),"South Carolina Upstate")</f>
        <v>South Carolina Upstate</v>
      </c>
      <c r="B297" s="1">
        <f ca="1">IFERROR(__xludf.DUMMYFUNCTION("""COMPUTED_VALUE"""),34)</f>
        <v>34</v>
      </c>
      <c r="C297" s="1">
        <f ca="1">IFERROR(__xludf.DUMMYFUNCTION("""COMPUTED_VALUE"""),21)</f>
        <v>21</v>
      </c>
      <c r="D297" s="1">
        <f ca="1">IFERROR(__xludf.DUMMYFUNCTION("""COMPUTED_VALUE"""),13)</f>
        <v>13</v>
      </c>
      <c r="E297" s="1">
        <f ca="1">IFERROR(__xludf.DUMMYFUNCTION("""COMPUTED_VALUE"""),0.618)</f>
        <v>0.61799999999999999</v>
      </c>
      <c r="F297" s="1">
        <f ca="1">IFERROR(__xludf.DUMMYFUNCTION("""COMPUTED_VALUE"""),-0.16)</f>
        <v>-0.16</v>
      </c>
      <c r="G297" s="1">
        <f ca="1">IFERROR(__xludf.DUMMYFUNCTION("""COMPUTED_VALUE"""),-1.6)</f>
        <v>-1.6</v>
      </c>
      <c r="H297" s="1">
        <f ca="1">IFERROR(__xludf.DUMMYFUNCTION("""COMPUTED_VALUE"""),13)</f>
        <v>13</v>
      </c>
      <c r="I297" s="1">
        <f ca="1">IFERROR(__xludf.DUMMYFUNCTION("""COMPUTED_VALUE"""),5)</f>
        <v>5</v>
      </c>
      <c r="J297" s="1">
        <f ca="1">IFERROR(__xludf.DUMMYFUNCTION("""COMPUTED_VALUE"""),13)</f>
        <v>13</v>
      </c>
      <c r="K297" s="1">
        <f ca="1">IFERROR(__xludf.DUMMYFUNCTION("""COMPUTED_VALUE"""),1)</f>
        <v>1</v>
      </c>
      <c r="L297" s="1">
        <f ca="1">IFERROR(__xludf.DUMMYFUNCTION("""COMPUTED_VALUE"""),7)</f>
        <v>7</v>
      </c>
      <c r="M297" s="1">
        <f ca="1">IFERROR(__xludf.DUMMYFUNCTION("""COMPUTED_VALUE"""),10)</f>
        <v>10</v>
      </c>
      <c r="N297" s="1">
        <f ca="1">IFERROR(__xludf.DUMMYFUNCTION("""COMPUTED_VALUE"""),2426)</f>
        <v>2426</v>
      </c>
      <c r="O297" s="1">
        <f ca="1">IFERROR(__xludf.DUMMYFUNCTION("""COMPUTED_VALUE"""),2321)</f>
        <v>2321</v>
      </c>
      <c r="P297" s="1">
        <f ca="1">IFERROR(__xludf.DUMMYFUNCTION("""COMPUTED_VALUE"""),1365)</f>
        <v>1365</v>
      </c>
      <c r="Q297" s="1">
        <f ca="1">IFERROR(__xludf.DUMMYFUNCTION("""COMPUTED_VALUE"""),888)</f>
        <v>888</v>
      </c>
      <c r="R297" s="1">
        <f ca="1">IFERROR(__xludf.DUMMYFUNCTION("""COMPUTED_VALUE"""),2024)</f>
        <v>2024</v>
      </c>
      <c r="S297" s="1">
        <f ca="1">IFERROR(__xludf.DUMMYFUNCTION("""COMPUTED_VALUE"""),0.439)</f>
        <v>0.439</v>
      </c>
      <c r="T297" s="1">
        <f ca="1">IFERROR(__xludf.DUMMYFUNCTION("""COMPUTED_VALUE"""),207)</f>
        <v>207</v>
      </c>
      <c r="U297" s="1">
        <f ca="1">IFERROR(__xludf.DUMMYFUNCTION("""COMPUTED_VALUE"""),615)</f>
        <v>615</v>
      </c>
      <c r="V297" s="1">
        <f ca="1">IFERROR(__xludf.DUMMYFUNCTION("""COMPUTED_VALUE"""),0.337)</f>
        <v>0.33700000000000002</v>
      </c>
      <c r="W297" s="1">
        <f ca="1">IFERROR(__xludf.DUMMYFUNCTION("""COMPUTED_VALUE"""),443)</f>
        <v>443</v>
      </c>
      <c r="X297" s="1">
        <f ca="1">IFERROR(__xludf.DUMMYFUNCTION("""COMPUTED_VALUE"""),695)</f>
        <v>695</v>
      </c>
      <c r="Y297" s="1">
        <f ca="1">IFERROR(__xludf.DUMMYFUNCTION("""COMPUTED_VALUE"""),0.637)</f>
        <v>0.63700000000000001</v>
      </c>
      <c r="Z297" s="1">
        <f ca="1">IFERROR(__xludf.DUMMYFUNCTION("""COMPUTED_VALUE"""),505)</f>
        <v>505</v>
      </c>
      <c r="AA297" s="1">
        <f ca="1">IFERROR(__xludf.DUMMYFUNCTION("""COMPUTED_VALUE"""),1158)</f>
        <v>1158</v>
      </c>
      <c r="AB297" s="1">
        <f ca="1">IFERROR(__xludf.DUMMYFUNCTION("""COMPUTED_VALUE"""),440)</f>
        <v>440</v>
      </c>
      <c r="AC297" s="1">
        <f ca="1">IFERROR(__xludf.DUMMYFUNCTION("""COMPUTED_VALUE"""),286)</f>
        <v>286</v>
      </c>
      <c r="AD297" s="1">
        <f ca="1">IFERROR(__xludf.DUMMYFUNCTION("""COMPUTED_VALUE"""),144)</f>
        <v>144</v>
      </c>
      <c r="AE297" s="1">
        <f ca="1">IFERROR(__xludf.DUMMYFUNCTION("""COMPUTED_VALUE"""),512)</f>
        <v>512</v>
      </c>
      <c r="AF297" s="1">
        <f ca="1">IFERROR(__xludf.DUMMYFUNCTION("""COMPUTED_VALUE"""),663)</f>
        <v>663</v>
      </c>
    </row>
    <row r="298" spans="1:32" ht="12.5" x14ac:dyDescent="0.25">
      <c r="A298" s="1" t="str">
        <f ca="1">IFERROR(__xludf.DUMMYFUNCTION("""COMPUTED_VALUE"""),"South Carolina")</f>
        <v>South Carolina</v>
      </c>
      <c r="B298" s="1">
        <f ca="1">IFERROR(__xludf.DUMMYFUNCTION("""COMPUTED_VALUE"""),31)</f>
        <v>31</v>
      </c>
      <c r="C298" s="1">
        <f ca="1">IFERROR(__xludf.DUMMYFUNCTION("""COMPUTED_VALUE"""),10)</f>
        <v>10</v>
      </c>
      <c r="D298" s="1">
        <f ca="1">IFERROR(__xludf.DUMMYFUNCTION("""COMPUTED_VALUE"""),21)</f>
        <v>21</v>
      </c>
      <c r="E298" s="1">
        <f ca="1">IFERROR(__xludf.DUMMYFUNCTION("""COMPUTED_VALUE"""),0.323)</f>
        <v>0.32300000000000001</v>
      </c>
      <c r="F298" s="1">
        <f ca="1">IFERROR(__xludf.DUMMYFUNCTION("""COMPUTED_VALUE"""),2.65)</f>
        <v>2.65</v>
      </c>
      <c r="G298" s="1">
        <f ca="1">IFERROR(__xludf.DUMMYFUNCTION("""COMPUTED_VALUE"""),6.27)</f>
        <v>6.27</v>
      </c>
      <c r="H298" s="1">
        <f ca="1">IFERROR(__xludf.DUMMYFUNCTION("""COMPUTED_VALUE"""),2)</f>
        <v>2</v>
      </c>
      <c r="I298" s="1">
        <f ca="1">IFERROR(__xludf.DUMMYFUNCTION("""COMPUTED_VALUE"""),14)</f>
        <v>14</v>
      </c>
      <c r="J298" s="1">
        <f ca="1">IFERROR(__xludf.DUMMYFUNCTION("""COMPUTED_VALUE"""),9)</f>
        <v>9</v>
      </c>
      <c r="K298" s="1">
        <f ca="1">IFERROR(__xludf.DUMMYFUNCTION("""COMPUTED_VALUE"""),9)</f>
        <v>9</v>
      </c>
      <c r="L298" s="1">
        <f ca="1">IFERROR(__xludf.DUMMYFUNCTION("""COMPUTED_VALUE"""),1)</f>
        <v>1</v>
      </c>
      <c r="M298" s="1">
        <f ca="1">IFERROR(__xludf.DUMMYFUNCTION("""COMPUTED_VALUE"""),9)</f>
        <v>9</v>
      </c>
      <c r="N298" s="1">
        <f ca="1">IFERROR(__xludf.DUMMYFUNCTION("""COMPUTED_VALUE"""),1903)</f>
        <v>1903</v>
      </c>
      <c r="O298" s="1">
        <f ca="1">IFERROR(__xludf.DUMMYFUNCTION("""COMPUTED_VALUE"""),2015)</f>
        <v>2015</v>
      </c>
      <c r="P298" s="1">
        <f ca="1">IFERROR(__xludf.DUMMYFUNCTION("""COMPUTED_VALUE"""),1245)</f>
        <v>1245</v>
      </c>
      <c r="Q298" s="1">
        <f ca="1">IFERROR(__xludf.DUMMYFUNCTION("""COMPUTED_VALUE"""),689)</f>
        <v>689</v>
      </c>
      <c r="R298" s="1">
        <f ca="1">IFERROR(__xludf.DUMMYFUNCTION("""COMPUTED_VALUE"""),1713)</f>
        <v>1713</v>
      </c>
      <c r="S298" s="1">
        <f ca="1">IFERROR(__xludf.DUMMYFUNCTION("""COMPUTED_VALUE"""),0.402)</f>
        <v>0.40200000000000002</v>
      </c>
      <c r="T298" s="1">
        <f ca="1">IFERROR(__xludf.DUMMYFUNCTION("""COMPUTED_VALUE"""),204)</f>
        <v>204</v>
      </c>
      <c r="U298" s="1">
        <f ca="1">IFERROR(__xludf.DUMMYFUNCTION("""COMPUTED_VALUE"""),625)</f>
        <v>625</v>
      </c>
      <c r="V298" s="1">
        <f ca="1">IFERROR(__xludf.DUMMYFUNCTION("""COMPUTED_VALUE"""),0.326)</f>
        <v>0.32600000000000001</v>
      </c>
      <c r="W298" s="1">
        <f ca="1">IFERROR(__xludf.DUMMYFUNCTION("""COMPUTED_VALUE"""),321)</f>
        <v>321</v>
      </c>
      <c r="X298" s="1">
        <f ca="1">IFERROR(__xludf.DUMMYFUNCTION("""COMPUTED_VALUE"""),458)</f>
        <v>458</v>
      </c>
      <c r="Y298" s="1">
        <f ca="1">IFERROR(__xludf.DUMMYFUNCTION("""COMPUTED_VALUE"""),0.701)</f>
        <v>0.70099999999999996</v>
      </c>
      <c r="Z298" s="1">
        <f ca="1">IFERROR(__xludf.DUMMYFUNCTION("""COMPUTED_VALUE"""),383)</f>
        <v>383</v>
      </c>
      <c r="AA298" s="1">
        <f ca="1">IFERROR(__xludf.DUMMYFUNCTION("""COMPUTED_VALUE"""),879)</f>
        <v>879</v>
      </c>
      <c r="AB298" s="1">
        <f ca="1">IFERROR(__xludf.DUMMYFUNCTION("""COMPUTED_VALUE"""),309)</f>
        <v>309</v>
      </c>
      <c r="AC298" s="1">
        <f ca="1">IFERROR(__xludf.DUMMYFUNCTION("""COMPUTED_VALUE"""),212)</f>
        <v>212</v>
      </c>
      <c r="AD298" s="1">
        <f ca="1">IFERROR(__xludf.DUMMYFUNCTION("""COMPUTED_VALUE"""),151)</f>
        <v>151</v>
      </c>
      <c r="AE298" s="1">
        <f ca="1">IFERROR(__xludf.DUMMYFUNCTION("""COMPUTED_VALUE"""),396)</f>
        <v>396</v>
      </c>
      <c r="AF298" s="1">
        <f ca="1">IFERROR(__xludf.DUMMYFUNCTION("""COMPUTED_VALUE"""),561)</f>
        <v>561</v>
      </c>
    </row>
    <row r="299" spans="1:32" ht="12.5" x14ac:dyDescent="0.25">
      <c r="A299" s="1" t="str">
        <f ca="1">IFERROR(__xludf.DUMMYFUNCTION("""COMPUTED_VALUE"""),"South Dakota StateNCAA")</f>
        <v>South Dakota StateNCAA</v>
      </c>
      <c r="B299" s="1">
        <f ca="1">IFERROR(__xludf.DUMMYFUNCTION("""COMPUTED_VALUE"""),35)</f>
        <v>35</v>
      </c>
      <c r="C299" s="1">
        <f ca="1">IFERROR(__xludf.DUMMYFUNCTION("""COMPUTED_VALUE"""),27)</f>
        <v>27</v>
      </c>
      <c r="D299" s="1">
        <f ca="1">IFERROR(__xludf.DUMMYFUNCTION("""COMPUTED_VALUE"""),8)</f>
        <v>8</v>
      </c>
      <c r="E299" s="1">
        <f ca="1">IFERROR(__xludf.DUMMYFUNCTION("""COMPUTED_VALUE"""),0.771)</f>
        <v>0.77100000000000002</v>
      </c>
      <c r="F299" s="1">
        <f ca="1">IFERROR(__xludf.DUMMYFUNCTION("""COMPUTED_VALUE"""),7.34)</f>
        <v>7.34</v>
      </c>
      <c r="G299" s="1">
        <f ca="1">IFERROR(__xludf.DUMMYFUNCTION("""COMPUTED_VALUE"""),-1.87)</f>
        <v>-1.87</v>
      </c>
      <c r="H299" s="1">
        <f ca="1">IFERROR(__xludf.DUMMYFUNCTION("""COMPUTED_VALUE"""),15)</f>
        <v>15</v>
      </c>
      <c r="I299" s="1">
        <f ca="1">IFERROR(__xludf.DUMMYFUNCTION("""COMPUTED_VALUE"""),3)</f>
        <v>3</v>
      </c>
      <c r="J299" s="1">
        <f ca="1">IFERROR(__xludf.DUMMYFUNCTION("""COMPUTED_VALUE"""),14)</f>
        <v>14</v>
      </c>
      <c r="K299" s="1">
        <f ca="1">IFERROR(__xludf.DUMMYFUNCTION("""COMPUTED_VALUE"""),0)</f>
        <v>0</v>
      </c>
      <c r="L299" s="1">
        <f ca="1">IFERROR(__xludf.DUMMYFUNCTION("""COMPUTED_VALUE"""),8)</f>
        <v>8</v>
      </c>
      <c r="M299" s="1">
        <f ca="1">IFERROR(__xludf.DUMMYFUNCTION("""COMPUTED_VALUE"""),7)</f>
        <v>7</v>
      </c>
      <c r="N299" s="1">
        <f ca="1">IFERROR(__xludf.DUMMYFUNCTION("""COMPUTED_VALUE"""),2689)</f>
        <v>2689</v>
      </c>
      <c r="O299" s="1">
        <f ca="1">IFERROR(__xludf.DUMMYFUNCTION("""COMPUTED_VALUE"""),2329)</f>
        <v>2329</v>
      </c>
      <c r="P299" s="1">
        <f ca="1">IFERROR(__xludf.DUMMYFUNCTION("""COMPUTED_VALUE"""),1415)</f>
        <v>1415</v>
      </c>
      <c r="Q299" s="1">
        <f ca="1">IFERROR(__xludf.DUMMYFUNCTION("""COMPUTED_VALUE"""),918)</f>
        <v>918</v>
      </c>
      <c r="R299" s="1">
        <f ca="1">IFERROR(__xludf.DUMMYFUNCTION("""COMPUTED_VALUE"""),1963)</f>
        <v>1963</v>
      </c>
      <c r="S299" s="1">
        <f ca="1">IFERROR(__xludf.DUMMYFUNCTION("""COMPUTED_VALUE"""),0.468)</f>
        <v>0.46800000000000003</v>
      </c>
      <c r="T299" s="1">
        <f ca="1">IFERROR(__xludf.DUMMYFUNCTION("""COMPUTED_VALUE"""),284)</f>
        <v>284</v>
      </c>
      <c r="U299" s="1">
        <f ca="1">IFERROR(__xludf.DUMMYFUNCTION("""COMPUTED_VALUE"""),728)</f>
        <v>728</v>
      </c>
      <c r="V299" s="1">
        <f ca="1">IFERROR(__xludf.DUMMYFUNCTION("""COMPUTED_VALUE"""),0.39)</f>
        <v>0.39</v>
      </c>
      <c r="W299" s="1">
        <f ca="1">IFERROR(__xludf.DUMMYFUNCTION("""COMPUTED_VALUE"""),569)</f>
        <v>569</v>
      </c>
      <c r="X299" s="1">
        <f ca="1">IFERROR(__xludf.DUMMYFUNCTION("""COMPUTED_VALUE"""),783)</f>
        <v>783</v>
      </c>
      <c r="Y299" s="1">
        <f ca="1">IFERROR(__xludf.DUMMYFUNCTION("""COMPUTED_VALUE"""),0.727)</f>
        <v>0.72699999999999998</v>
      </c>
      <c r="Z299" s="1">
        <f ca="1">IFERROR(__xludf.DUMMYFUNCTION("""COMPUTED_VALUE"""),363)</f>
        <v>363</v>
      </c>
      <c r="AA299" s="1">
        <f ca="1">IFERROR(__xludf.DUMMYFUNCTION("""COMPUTED_VALUE"""),1078)</f>
        <v>1078</v>
      </c>
      <c r="AB299" s="1">
        <f ca="1">IFERROR(__xludf.DUMMYFUNCTION("""COMPUTED_VALUE"""),500)</f>
        <v>500</v>
      </c>
      <c r="AC299" s="1">
        <f ca="1">IFERROR(__xludf.DUMMYFUNCTION("""COMPUTED_VALUE"""),236)</f>
        <v>236</v>
      </c>
      <c r="AD299" s="1">
        <f ca="1">IFERROR(__xludf.DUMMYFUNCTION("""COMPUTED_VALUE"""),65)</f>
        <v>65</v>
      </c>
      <c r="AE299" s="1">
        <f ca="1">IFERROR(__xludf.DUMMYFUNCTION("""COMPUTED_VALUE"""),370)</f>
        <v>370</v>
      </c>
      <c r="AF299" s="1">
        <f ca="1">IFERROR(__xludf.DUMMYFUNCTION("""COMPUTED_VALUE"""),567)</f>
        <v>567</v>
      </c>
    </row>
    <row r="300" spans="1:32" ht="12.5" x14ac:dyDescent="0.25">
      <c r="A300" s="1" t="str">
        <f ca="1">IFERROR(__xludf.DUMMYFUNCTION("""COMPUTED_VALUE"""),"South Dakota")</f>
        <v>South Dakota</v>
      </c>
      <c r="B300" s="1">
        <f ca="1">IFERROR(__xludf.DUMMYFUNCTION("""COMPUTED_VALUE"""),28)</f>
        <v>28</v>
      </c>
      <c r="C300" s="1">
        <f ca="1">IFERROR(__xludf.DUMMYFUNCTION("""COMPUTED_VALUE"""),10)</f>
        <v>10</v>
      </c>
      <c r="D300" s="1">
        <f ca="1">IFERROR(__xludf.DUMMYFUNCTION("""COMPUTED_VALUE"""),18)</f>
        <v>18</v>
      </c>
      <c r="E300" s="1">
        <f ca="1">IFERROR(__xludf.DUMMYFUNCTION("""COMPUTED_VALUE"""),0.357)</f>
        <v>0.35699999999999998</v>
      </c>
      <c r="F300" s="1">
        <f ca="1">IFERROR(__xludf.DUMMYFUNCTION("""COMPUTED_VALUE"""),-9.56)</f>
        <v>-9.56</v>
      </c>
      <c r="G300" s="1">
        <f ca="1">IFERROR(__xludf.DUMMYFUNCTION("""COMPUTED_VALUE"""),-2.88)</f>
        <v>-2.88</v>
      </c>
      <c r="H300" s="1">
        <f ca="1">IFERROR(__xludf.DUMMYFUNCTION("""COMPUTED_VALUE"""),5)</f>
        <v>5</v>
      </c>
      <c r="I300" s="1">
        <f ca="1">IFERROR(__xludf.DUMMYFUNCTION("""COMPUTED_VALUE"""),13)</f>
        <v>13</v>
      </c>
      <c r="J300" s="1">
        <f ca="1">IFERROR(__xludf.DUMMYFUNCTION("""COMPUTED_VALUE"""),7)</f>
        <v>7</v>
      </c>
      <c r="K300" s="1">
        <f ca="1">IFERROR(__xludf.DUMMYFUNCTION("""COMPUTED_VALUE"""),7)</f>
        <v>7</v>
      </c>
      <c r="L300" s="1">
        <f ca="1">IFERROR(__xludf.DUMMYFUNCTION("""COMPUTED_VALUE"""),3)</f>
        <v>3</v>
      </c>
      <c r="M300" s="1">
        <f ca="1">IFERROR(__xludf.DUMMYFUNCTION("""COMPUTED_VALUE"""),11)</f>
        <v>11</v>
      </c>
      <c r="N300" s="1">
        <f ca="1">IFERROR(__xludf.DUMMYFUNCTION("""COMPUTED_VALUE"""),1982)</f>
        <v>1982</v>
      </c>
      <c r="O300" s="1">
        <f ca="1">IFERROR(__xludf.DUMMYFUNCTION("""COMPUTED_VALUE"""),2101)</f>
        <v>2101</v>
      </c>
      <c r="P300" s="1">
        <f ca="1">IFERROR(__xludf.DUMMYFUNCTION("""COMPUTED_VALUE"""),1130)</f>
        <v>1130</v>
      </c>
      <c r="Q300" s="1">
        <f ca="1">IFERROR(__xludf.DUMMYFUNCTION("""COMPUTED_VALUE"""),710)</f>
        <v>710</v>
      </c>
      <c r="R300" s="1">
        <f ca="1">IFERROR(__xludf.DUMMYFUNCTION("""COMPUTED_VALUE"""),1576)</f>
        <v>1576</v>
      </c>
      <c r="S300" s="1">
        <f ca="1">IFERROR(__xludf.DUMMYFUNCTION("""COMPUTED_VALUE"""),0.451)</f>
        <v>0.45100000000000001</v>
      </c>
      <c r="T300" s="1">
        <f ca="1">IFERROR(__xludf.DUMMYFUNCTION("""COMPUTED_VALUE"""),191)</f>
        <v>191</v>
      </c>
      <c r="U300" s="1">
        <f ca="1">IFERROR(__xludf.DUMMYFUNCTION("""COMPUTED_VALUE"""),534)</f>
        <v>534</v>
      </c>
      <c r="V300" s="1">
        <f ca="1">IFERROR(__xludf.DUMMYFUNCTION("""COMPUTED_VALUE"""),0.358)</f>
        <v>0.35799999999999998</v>
      </c>
      <c r="W300" s="1">
        <f ca="1">IFERROR(__xludf.DUMMYFUNCTION("""COMPUTED_VALUE"""),371)</f>
        <v>371</v>
      </c>
      <c r="X300" s="1">
        <f ca="1">IFERROR(__xludf.DUMMYFUNCTION("""COMPUTED_VALUE"""),530)</f>
        <v>530</v>
      </c>
      <c r="Y300" s="1">
        <f ca="1">IFERROR(__xludf.DUMMYFUNCTION("""COMPUTED_VALUE"""),0.7)</f>
        <v>0.7</v>
      </c>
      <c r="Z300" s="1">
        <f ca="1">IFERROR(__xludf.DUMMYFUNCTION("""COMPUTED_VALUE"""),242)</f>
        <v>242</v>
      </c>
      <c r="AA300" s="1">
        <f ca="1">IFERROR(__xludf.DUMMYFUNCTION("""COMPUTED_VALUE"""),829)</f>
        <v>829</v>
      </c>
      <c r="AB300" s="1">
        <f ca="1">IFERROR(__xludf.DUMMYFUNCTION("""COMPUTED_VALUE"""),399)</f>
        <v>399</v>
      </c>
      <c r="AC300" s="1">
        <f ca="1">IFERROR(__xludf.DUMMYFUNCTION("""COMPUTED_VALUE"""),184)</f>
        <v>184</v>
      </c>
      <c r="AD300" s="1">
        <f ca="1">IFERROR(__xludf.DUMMYFUNCTION("""COMPUTED_VALUE"""),101)</f>
        <v>101</v>
      </c>
      <c r="AE300" s="1">
        <f ca="1">IFERROR(__xludf.DUMMYFUNCTION("""COMPUTED_VALUE"""),365)</f>
        <v>365</v>
      </c>
      <c r="AF300" s="1">
        <f ca="1">IFERROR(__xludf.DUMMYFUNCTION("""COMPUTED_VALUE"""),438)</f>
        <v>438</v>
      </c>
    </row>
    <row r="301" spans="1:32" ht="12.5" x14ac:dyDescent="0.25">
      <c r="A301" s="1" t="str">
        <f ca="1">IFERROR(__xludf.DUMMYFUNCTION("""COMPUTED_VALUE"""),"South FloridaNCAA")</f>
        <v>South FloridaNCAA</v>
      </c>
      <c r="B301" s="1">
        <f ca="1">IFERROR(__xludf.DUMMYFUNCTION("""COMPUTED_VALUE"""),36)</f>
        <v>36</v>
      </c>
      <c r="C301" s="1">
        <f ca="1">IFERROR(__xludf.DUMMYFUNCTION("""COMPUTED_VALUE"""),22)</f>
        <v>22</v>
      </c>
      <c r="D301" s="1">
        <f ca="1">IFERROR(__xludf.DUMMYFUNCTION("""COMPUTED_VALUE"""),14)</f>
        <v>14</v>
      </c>
      <c r="E301" s="1">
        <f ca="1">IFERROR(__xludf.DUMMYFUNCTION("""COMPUTED_VALUE"""),0.611)</f>
        <v>0.61099999999999999</v>
      </c>
      <c r="F301" s="1">
        <f ca="1">IFERROR(__xludf.DUMMYFUNCTION("""COMPUTED_VALUE"""),9.2)</f>
        <v>9.1999999999999993</v>
      </c>
      <c r="G301" s="1">
        <f ca="1">IFERROR(__xludf.DUMMYFUNCTION("""COMPUTED_VALUE"""),7.29)</f>
        <v>7.29</v>
      </c>
      <c r="H301" s="1">
        <f ca="1">IFERROR(__xludf.DUMMYFUNCTION("""COMPUTED_VALUE"""),12)</f>
        <v>12</v>
      </c>
      <c r="I301" s="1">
        <f ca="1">IFERROR(__xludf.DUMMYFUNCTION("""COMPUTED_VALUE"""),6)</f>
        <v>6</v>
      </c>
      <c r="J301" s="1">
        <f ca="1">IFERROR(__xludf.DUMMYFUNCTION("""COMPUTED_VALUE"""),14)</f>
        <v>14</v>
      </c>
      <c r="K301" s="1">
        <f ca="1">IFERROR(__xludf.DUMMYFUNCTION("""COMPUTED_VALUE"""),2)</f>
        <v>2</v>
      </c>
      <c r="L301" s="1">
        <f ca="1">IFERROR(__xludf.DUMMYFUNCTION("""COMPUTED_VALUE"""),5)</f>
        <v>5</v>
      </c>
      <c r="M301" s="1">
        <f ca="1">IFERROR(__xludf.DUMMYFUNCTION("""COMPUTED_VALUE"""),8)</f>
        <v>8</v>
      </c>
      <c r="N301" s="1">
        <f ca="1">IFERROR(__xludf.DUMMYFUNCTION("""COMPUTED_VALUE"""),2134)</f>
        <v>2134</v>
      </c>
      <c r="O301" s="1">
        <f ca="1">IFERROR(__xludf.DUMMYFUNCTION("""COMPUTED_VALUE"""),2037)</f>
        <v>2037</v>
      </c>
      <c r="P301" s="1">
        <f ca="1">IFERROR(__xludf.DUMMYFUNCTION("""COMPUTED_VALUE"""),1450)</f>
        <v>1450</v>
      </c>
      <c r="Q301" s="1">
        <f ca="1">IFERROR(__xludf.DUMMYFUNCTION("""COMPUTED_VALUE"""),772)</f>
        <v>772</v>
      </c>
      <c r="R301" s="1">
        <f ca="1">IFERROR(__xludf.DUMMYFUNCTION("""COMPUTED_VALUE"""),1765)</f>
        <v>1765</v>
      </c>
      <c r="S301" s="1">
        <f ca="1">IFERROR(__xludf.DUMMYFUNCTION("""COMPUTED_VALUE"""),0.437)</f>
        <v>0.437</v>
      </c>
      <c r="T301" s="1">
        <f ca="1">IFERROR(__xludf.DUMMYFUNCTION("""COMPUTED_VALUE"""),169)</f>
        <v>169</v>
      </c>
      <c r="U301" s="1">
        <f ca="1">IFERROR(__xludf.DUMMYFUNCTION("""COMPUTED_VALUE"""),534)</f>
        <v>534</v>
      </c>
      <c r="V301" s="1">
        <f ca="1">IFERROR(__xludf.DUMMYFUNCTION("""COMPUTED_VALUE"""),0.316)</f>
        <v>0.316</v>
      </c>
      <c r="W301" s="1">
        <f ca="1">IFERROR(__xludf.DUMMYFUNCTION("""COMPUTED_VALUE"""),421)</f>
        <v>421</v>
      </c>
      <c r="X301" s="1">
        <f ca="1">IFERROR(__xludf.DUMMYFUNCTION("""COMPUTED_VALUE"""),597)</f>
        <v>597</v>
      </c>
      <c r="Y301" s="1">
        <f ca="1">IFERROR(__xludf.DUMMYFUNCTION("""COMPUTED_VALUE"""),0.705)</f>
        <v>0.70499999999999996</v>
      </c>
      <c r="Z301" s="1">
        <f ca="1">IFERROR(__xludf.DUMMYFUNCTION("""COMPUTED_VALUE"""),374)</f>
        <v>374</v>
      </c>
      <c r="AA301" s="1">
        <f ca="1">IFERROR(__xludf.DUMMYFUNCTION("""COMPUTED_VALUE"""),1115)</f>
        <v>1115</v>
      </c>
      <c r="AB301" s="1">
        <f ca="1">IFERROR(__xludf.DUMMYFUNCTION("""COMPUTED_VALUE"""),423)</f>
        <v>423</v>
      </c>
      <c r="AC301" s="1">
        <f ca="1">IFERROR(__xludf.DUMMYFUNCTION("""COMPUTED_VALUE"""),200)</f>
        <v>200</v>
      </c>
      <c r="AD301" s="1">
        <f ca="1">IFERROR(__xludf.DUMMYFUNCTION("""COMPUTED_VALUE"""),137)</f>
        <v>137</v>
      </c>
      <c r="AE301" s="1">
        <f ca="1">IFERROR(__xludf.DUMMYFUNCTION("""COMPUTED_VALUE"""),485)</f>
        <v>485</v>
      </c>
      <c r="AF301" s="1">
        <f ca="1">IFERROR(__xludf.DUMMYFUNCTION("""COMPUTED_VALUE"""),552)</f>
        <v>552</v>
      </c>
    </row>
    <row r="302" spans="1:32" ht="12.5" x14ac:dyDescent="0.25">
      <c r="A302" s="1" t="str">
        <f ca="1">IFERROR(__xludf.DUMMYFUNCTION("""COMPUTED_VALUE"""),"Southeast Missouri State")</f>
        <v>Southeast Missouri State</v>
      </c>
      <c r="B302" s="1">
        <f ca="1">IFERROR(__xludf.DUMMYFUNCTION("""COMPUTED_VALUE"""),31)</f>
        <v>31</v>
      </c>
      <c r="C302" s="1">
        <f ca="1">IFERROR(__xludf.DUMMYFUNCTION("""COMPUTED_VALUE"""),15)</f>
        <v>15</v>
      </c>
      <c r="D302" s="1">
        <f ca="1">IFERROR(__xludf.DUMMYFUNCTION("""COMPUTED_VALUE"""),16)</f>
        <v>16</v>
      </c>
      <c r="E302" s="1">
        <f ca="1">IFERROR(__xludf.DUMMYFUNCTION("""COMPUTED_VALUE"""),0.484)</f>
        <v>0.48399999999999999</v>
      </c>
      <c r="F302" s="1">
        <f ca="1">IFERROR(__xludf.DUMMYFUNCTION("""COMPUTED_VALUE"""),-6.12)</f>
        <v>-6.12</v>
      </c>
      <c r="G302" s="1">
        <f ca="1">IFERROR(__xludf.DUMMYFUNCTION("""COMPUTED_VALUE"""),-5.33)</f>
        <v>-5.33</v>
      </c>
      <c r="H302" s="1">
        <f ca="1">IFERROR(__xludf.DUMMYFUNCTION("""COMPUTED_VALUE"""),9)</f>
        <v>9</v>
      </c>
      <c r="I302" s="1">
        <f ca="1">IFERROR(__xludf.DUMMYFUNCTION("""COMPUTED_VALUE"""),7)</f>
        <v>7</v>
      </c>
      <c r="J302" s="1">
        <f ca="1">IFERROR(__xludf.DUMMYFUNCTION("""COMPUTED_VALUE"""),10)</f>
        <v>10</v>
      </c>
      <c r="K302" s="1">
        <f ca="1">IFERROR(__xludf.DUMMYFUNCTION("""COMPUTED_VALUE"""),4)</f>
        <v>4</v>
      </c>
      <c r="L302" s="1">
        <f ca="1">IFERROR(__xludf.DUMMYFUNCTION("""COMPUTED_VALUE"""),4)</f>
        <v>4</v>
      </c>
      <c r="M302" s="1">
        <f ca="1">IFERROR(__xludf.DUMMYFUNCTION("""COMPUTED_VALUE"""),11)</f>
        <v>11</v>
      </c>
      <c r="N302" s="1">
        <f ca="1">IFERROR(__xludf.DUMMYFUNCTION("""COMPUTED_VALUE"""),2192)</f>
        <v>2192</v>
      </c>
      <c r="O302" s="1">
        <f ca="1">IFERROR(__xludf.DUMMYFUNCTION("""COMPUTED_VALUE"""),2170)</f>
        <v>2170</v>
      </c>
      <c r="P302" s="1">
        <f ca="1">IFERROR(__xludf.DUMMYFUNCTION("""COMPUTED_VALUE"""),1245)</f>
        <v>1245</v>
      </c>
      <c r="Q302" s="1">
        <f ca="1">IFERROR(__xludf.DUMMYFUNCTION("""COMPUTED_VALUE"""),819)</f>
        <v>819</v>
      </c>
      <c r="R302" s="1">
        <f ca="1">IFERROR(__xludf.DUMMYFUNCTION("""COMPUTED_VALUE"""),1724)</f>
        <v>1724</v>
      </c>
      <c r="S302" s="1">
        <f ca="1">IFERROR(__xludf.DUMMYFUNCTION("""COMPUTED_VALUE"""),0.475)</f>
        <v>0.47499999999999998</v>
      </c>
      <c r="T302" s="1">
        <f ca="1">IFERROR(__xludf.DUMMYFUNCTION("""COMPUTED_VALUE"""),181)</f>
        <v>181</v>
      </c>
      <c r="U302" s="1">
        <f ca="1">IFERROR(__xludf.DUMMYFUNCTION("""COMPUTED_VALUE"""),490)</f>
        <v>490</v>
      </c>
      <c r="V302" s="1">
        <f ca="1">IFERROR(__xludf.DUMMYFUNCTION("""COMPUTED_VALUE"""),0.369)</f>
        <v>0.36899999999999999</v>
      </c>
      <c r="W302" s="1">
        <f ca="1">IFERROR(__xludf.DUMMYFUNCTION("""COMPUTED_VALUE"""),373)</f>
        <v>373</v>
      </c>
      <c r="X302" s="1">
        <f ca="1">IFERROR(__xludf.DUMMYFUNCTION("""COMPUTED_VALUE"""),592)</f>
        <v>592</v>
      </c>
      <c r="Y302" s="1">
        <f ca="1">IFERROR(__xludf.DUMMYFUNCTION("""COMPUTED_VALUE"""),0.63)</f>
        <v>0.63</v>
      </c>
      <c r="Z302" s="1">
        <f ca="1">IFERROR(__xludf.DUMMYFUNCTION("""COMPUTED_VALUE"""),353)</f>
        <v>353</v>
      </c>
      <c r="AA302" s="1">
        <f ca="1">IFERROR(__xludf.DUMMYFUNCTION("""COMPUTED_VALUE"""),976)</f>
        <v>976</v>
      </c>
      <c r="AB302" s="1">
        <f ca="1">IFERROR(__xludf.DUMMYFUNCTION("""COMPUTED_VALUE"""),462)</f>
        <v>462</v>
      </c>
      <c r="AC302" s="1">
        <f ca="1">IFERROR(__xludf.DUMMYFUNCTION("""COMPUTED_VALUE"""),156)</f>
        <v>156</v>
      </c>
      <c r="AD302" s="1">
        <f ca="1">IFERROR(__xludf.DUMMYFUNCTION("""COMPUTED_VALUE"""),108)</f>
        <v>108</v>
      </c>
      <c r="AE302" s="1">
        <f ca="1">IFERROR(__xludf.DUMMYFUNCTION("""COMPUTED_VALUE"""),405)</f>
        <v>405</v>
      </c>
      <c r="AF302" s="1">
        <f ca="1">IFERROR(__xludf.DUMMYFUNCTION("""COMPUTED_VALUE"""),582)</f>
        <v>582</v>
      </c>
    </row>
    <row r="303" spans="1:32" ht="12.5" x14ac:dyDescent="0.25">
      <c r="A303" s="1" t="str">
        <f ca="1">IFERROR(__xludf.DUMMYFUNCTION("""COMPUTED_VALUE"""),"Southeastern Louisiana")</f>
        <v>Southeastern Louisiana</v>
      </c>
      <c r="B303" s="1">
        <f ca="1">IFERROR(__xludf.DUMMYFUNCTION("""COMPUTED_VALUE"""),29)</f>
        <v>29</v>
      </c>
      <c r="C303" s="1">
        <f ca="1">IFERROR(__xludf.DUMMYFUNCTION("""COMPUTED_VALUE"""),12)</f>
        <v>12</v>
      </c>
      <c r="D303" s="1">
        <f ca="1">IFERROR(__xludf.DUMMYFUNCTION("""COMPUTED_VALUE"""),17)</f>
        <v>17</v>
      </c>
      <c r="E303" s="1">
        <f ca="1">IFERROR(__xludf.DUMMYFUNCTION("""COMPUTED_VALUE"""),0.414)</f>
        <v>0.41399999999999998</v>
      </c>
      <c r="F303" s="1">
        <f ca="1">IFERROR(__xludf.DUMMYFUNCTION("""COMPUTED_VALUE"""),-11.94)</f>
        <v>-11.94</v>
      </c>
      <c r="G303" s="1">
        <f ca="1">IFERROR(__xludf.DUMMYFUNCTION("""COMPUTED_VALUE"""),-6.44)</f>
        <v>-6.44</v>
      </c>
      <c r="H303" s="1">
        <f ca="1">IFERROR(__xludf.DUMMYFUNCTION("""COMPUTED_VALUE"""),5)</f>
        <v>5</v>
      </c>
      <c r="I303" s="1">
        <f ca="1">IFERROR(__xludf.DUMMYFUNCTION("""COMPUTED_VALUE"""),11)</f>
        <v>11</v>
      </c>
      <c r="J303" s="1">
        <f ca="1">IFERROR(__xludf.DUMMYFUNCTION("""COMPUTED_VALUE"""),11)</f>
        <v>11</v>
      </c>
      <c r="K303" s="1">
        <f ca="1">IFERROR(__xludf.DUMMYFUNCTION("""COMPUTED_VALUE"""),4)</f>
        <v>4</v>
      </c>
      <c r="L303" s="1">
        <f ca="1">IFERROR(__xludf.DUMMYFUNCTION("""COMPUTED_VALUE"""),1)</f>
        <v>1</v>
      </c>
      <c r="M303" s="1">
        <f ca="1">IFERROR(__xludf.DUMMYFUNCTION("""COMPUTED_VALUE"""),13)</f>
        <v>13</v>
      </c>
      <c r="N303" s="1">
        <f ca="1">IFERROR(__xludf.DUMMYFUNCTION("""COMPUTED_VALUE"""),1738)</f>
        <v>1738</v>
      </c>
      <c r="O303" s="1">
        <f ca="1">IFERROR(__xludf.DUMMYFUNCTION("""COMPUTED_VALUE"""),1795)</f>
        <v>1795</v>
      </c>
      <c r="P303" s="1">
        <f ca="1">IFERROR(__xludf.DUMMYFUNCTION("""COMPUTED_VALUE"""),1180)</f>
        <v>1180</v>
      </c>
      <c r="Q303" s="1">
        <f ca="1">IFERROR(__xludf.DUMMYFUNCTION("""COMPUTED_VALUE"""),629)</f>
        <v>629</v>
      </c>
      <c r="R303" s="1">
        <f ca="1">IFERROR(__xludf.DUMMYFUNCTION("""COMPUTED_VALUE"""),1530)</f>
        <v>1530</v>
      </c>
      <c r="S303" s="1">
        <f ca="1">IFERROR(__xludf.DUMMYFUNCTION("""COMPUTED_VALUE"""),0.411)</f>
        <v>0.41099999999999998</v>
      </c>
      <c r="T303" s="1">
        <f ca="1">IFERROR(__xludf.DUMMYFUNCTION("""COMPUTED_VALUE"""),128)</f>
        <v>128</v>
      </c>
      <c r="U303" s="1">
        <f ca="1">IFERROR(__xludf.DUMMYFUNCTION("""COMPUTED_VALUE"""),425)</f>
        <v>425</v>
      </c>
      <c r="V303" s="1">
        <f ca="1">IFERROR(__xludf.DUMMYFUNCTION("""COMPUTED_VALUE"""),0.301)</f>
        <v>0.30099999999999999</v>
      </c>
      <c r="W303" s="1">
        <f ca="1">IFERROR(__xludf.DUMMYFUNCTION("""COMPUTED_VALUE"""),352)</f>
        <v>352</v>
      </c>
      <c r="X303" s="1">
        <f ca="1">IFERROR(__xludf.DUMMYFUNCTION("""COMPUTED_VALUE"""),596)</f>
        <v>596</v>
      </c>
      <c r="Y303" s="1">
        <f ca="1">IFERROR(__xludf.DUMMYFUNCTION("""COMPUTED_VALUE"""),0.591)</f>
        <v>0.59099999999999997</v>
      </c>
      <c r="Z303" s="1">
        <f ca="1">IFERROR(__xludf.DUMMYFUNCTION("""COMPUTED_VALUE"""),330)</f>
        <v>330</v>
      </c>
      <c r="AA303" s="1">
        <f ca="1">IFERROR(__xludf.DUMMYFUNCTION("""COMPUTED_VALUE"""),957)</f>
        <v>957</v>
      </c>
      <c r="AB303" s="1">
        <f ca="1">IFERROR(__xludf.DUMMYFUNCTION("""COMPUTED_VALUE"""),321)</f>
        <v>321</v>
      </c>
      <c r="AC303" s="1">
        <f ca="1">IFERROR(__xludf.DUMMYFUNCTION("""COMPUTED_VALUE"""),180)</f>
        <v>180</v>
      </c>
      <c r="AD303" s="1">
        <f ca="1">IFERROR(__xludf.DUMMYFUNCTION("""COMPUTED_VALUE"""),102)</f>
        <v>102</v>
      </c>
      <c r="AE303" s="1">
        <f ca="1">IFERROR(__xludf.DUMMYFUNCTION("""COMPUTED_VALUE"""),446)</f>
        <v>446</v>
      </c>
      <c r="AF303" s="1">
        <f ca="1">IFERROR(__xludf.DUMMYFUNCTION("""COMPUTED_VALUE"""),511)</f>
        <v>511</v>
      </c>
    </row>
    <row r="304" spans="1:32" ht="12.5" x14ac:dyDescent="0.25">
      <c r="A304" s="1" t="str">
        <f ca="1">IFERROR(__xludf.DUMMYFUNCTION("""COMPUTED_VALUE"""),"Southern California")</f>
        <v>Southern California</v>
      </c>
      <c r="B304" s="1">
        <f ca="1">IFERROR(__xludf.DUMMYFUNCTION("""COMPUTED_VALUE"""),32)</f>
        <v>32</v>
      </c>
      <c r="C304" s="1">
        <f ca="1">IFERROR(__xludf.DUMMYFUNCTION("""COMPUTED_VALUE"""),6)</f>
        <v>6</v>
      </c>
      <c r="D304" s="1">
        <f ca="1">IFERROR(__xludf.DUMMYFUNCTION("""COMPUTED_VALUE"""),26)</f>
        <v>26</v>
      </c>
      <c r="E304" s="1">
        <f ca="1">IFERROR(__xludf.DUMMYFUNCTION("""COMPUTED_VALUE"""),0.188)</f>
        <v>0.188</v>
      </c>
      <c r="F304" s="1">
        <f ca="1">IFERROR(__xludf.DUMMYFUNCTION("""COMPUTED_VALUE"""),-0.51)</f>
        <v>-0.51</v>
      </c>
      <c r="G304" s="1">
        <f ca="1">IFERROR(__xludf.DUMMYFUNCTION("""COMPUTED_VALUE"""),6.58)</f>
        <v>6.58</v>
      </c>
      <c r="H304" s="1">
        <f ca="1">IFERROR(__xludf.DUMMYFUNCTION("""COMPUTED_VALUE"""),1)</f>
        <v>1</v>
      </c>
      <c r="I304" s="1">
        <f ca="1">IFERROR(__xludf.DUMMYFUNCTION("""COMPUTED_VALUE"""),17)</f>
        <v>17</v>
      </c>
      <c r="J304" s="1">
        <f ca="1">IFERROR(__xludf.DUMMYFUNCTION("""COMPUTED_VALUE"""),4)</f>
        <v>4</v>
      </c>
      <c r="K304" s="1">
        <f ca="1">IFERROR(__xludf.DUMMYFUNCTION("""COMPUTED_VALUE"""),13)</f>
        <v>13</v>
      </c>
      <c r="L304" s="1">
        <f ca="1">IFERROR(__xludf.DUMMYFUNCTION("""COMPUTED_VALUE"""),1)</f>
        <v>1</v>
      </c>
      <c r="M304" s="1">
        <f ca="1">IFERROR(__xludf.DUMMYFUNCTION("""COMPUTED_VALUE"""),11)</f>
        <v>11</v>
      </c>
      <c r="N304" s="1">
        <f ca="1">IFERROR(__xludf.DUMMYFUNCTION("""COMPUTED_VALUE"""),1683)</f>
        <v>1683</v>
      </c>
      <c r="O304" s="1">
        <f ca="1">IFERROR(__xludf.DUMMYFUNCTION("""COMPUTED_VALUE"""),1910)</f>
        <v>1910</v>
      </c>
      <c r="P304" s="1">
        <f ca="1">IFERROR(__xludf.DUMMYFUNCTION("""COMPUTED_VALUE"""),1290)</f>
        <v>1290</v>
      </c>
      <c r="Q304" s="1">
        <f ca="1">IFERROR(__xludf.DUMMYFUNCTION("""COMPUTED_VALUE"""),642)</f>
        <v>642</v>
      </c>
      <c r="R304" s="1">
        <f ca="1">IFERROR(__xludf.DUMMYFUNCTION("""COMPUTED_VALUE"""),1658)</f>
        <v>1658</v>
      </c>
      <c r="S304" s="1">
        <f ca="1">IFERROR(__xludf.DUMMYFUNCTION("""COMPUTED_VALUE"""),0.387)</f>
        <v>0.38700000000000001</v>
      </c>
      <c r="T304" s="1">
        <f ca="1">IFERROR(__xludf.DUMMYFUNCTION("""COMPUTED_VALUE"""),127)</f>
        <v>127</v>
      </c>
      <c r="U304" s="1">
        <f ca="1">IFERROR(__xludf.DUMMYFUNCTION("""COMPUTED_VALUE"""),469)</f>
        <v>469</v>
      </c>
      <c r="V304" s="1">
        <f ca="1">IFERROR(__xludf.DUMMYFUNCTION("""COMPUTED_VALUE"""),0.271)</f>
        <v>0.27100000000000002</v>
      </c>
      <c r="W304" s="1">
        <f ca="1">IFERROR(__xludf.DUMMYFUNCTION("""COMPUTED_VALUE"""),272)</f>
        <v>272</v>
      </c>
      <c r="X304" s="1">
        <f ca="1">IFERROR(__xludf.DUMMYFUNCTION("""COMPUTED_VALUE"""),445)</f>
        <v>445</v>
      </c>
      <c r="Y304" s="1">
        <f ca="1">IFERROR(__xludf.DUMMYFUNCTION("""COMPUTED_VALUE"""),0.611)</f>
        <v>0.61099999999999999</v>
      </c>
      <c r="Z304" s="1">
        <f ca="1">IFERROR(__xludf.DUMMYFUNCTION("""COMPUTED_VALUE"""),256)</f>
        <v>256</v>
      </c>
      <c r="AA304" s="1">
        <f ca="1">IFERROR(__xludf.DUMMYFUNCTION("""COMPUTED_VALUE"""),790)</f>
        <v>790</v>
      </c>
      <c r="AB304" s="1">
        <f ca="1">IFERROR(__xludf.DUMMYFUNCTION("""COMPUTED_VALUE"""),305)</f>
        <v>305</v>
      </c>
      <c r="AC304" s="1">
        <f ca="1">IFERROR(__xludf.DUMMYFUNCTION("""COMPUTED_VALUE"""),184)</f>
        <v>184</v>
      </c>
      <c r="AD304" s="1">
        <f ca="1">IFERROR(__xludf.DUMMYFUNCTION("""COMPUTED_VALUE"""),65)</f>
        <v>65</v>
      </c>
      <c r="AE304" s="1">
        <f ca="1">IFERROR(__xludf.DUMMYFUNCTION("""COMPUTED_VALUE"""),341)</f>
        <v>341</v>
      </c>
      <c r="AF304" s="1">
        <f ca="1">IFERROR(__xludf.DUMMYFUNCTION("""COMPUTED_VALUE"""),476)</f>
        <v>476</v>
      </c>
    </row>
    <row r="305" spans="1:32" ht="12.5" x14ac:dyDescent="0.25">
      <c r="A305" s="1" t="str">
        <f ca="1">IFERROR(__xludf.DUMMYFUNCTION("""COMPUTED_VALUE"""),"SIU Edwardsville")</f>
        <v>SIU Edwardsville</v>
      </c>
      <c r="B305" s="1">
        <f ca="1">IFERROR(__xludf.DUMMYFUNCTION("""COMPUTED_VALUE"""),27)</f>
        <v>27</v>
      </c>
      <c r="C305" s="1">
        <f ca="1">IFERROR(__xludf.DUMMYFUNCTION("""COMPUTED_VALUE"""),10)</f>
        <v>10</v>
      </c>
      <c r="D305" s="1">
        <f ca="1">IFERROR(__xludf.DUMMYFUNCTION("""COMPUTED_VALUE"""),17)</f>
        <v>17</v>
      </c>
      <c r="E305" s="1">
        <f ca="1">IFERROR(__xludf.DUMMYFUNCTION("""COMPUTED_VALUE"""),0.37)</f>
        <v>0.37</v>
      </c>
      <c r="F305" s="1">
        <f ca="1">IFERROR(__xludf.DUMMYFUNCTION("""COMPUTED_VALUE"""),-13.3)</f>
        <v>-13.3</v>
      </c>
      <c r="G305" s="1">
        <f ca="1">IFERROR(__xludf.DUMMYFUNCTION("""COMPUTED_VALUE"""),-5.5)</f>
        <v>-5.5</v>
      </c>
      <c r="H305" s="1">
        <f ca="1">IFERROR(__xludf.DUMMYFUNCTION("""COMPUTED_VALUE"""),6)</f>
        <v>6</v>
      </c>
      <c r="I305" s="1">
        <f ca="1">IFERROR(__xludf.DUMMYFUNCTION("""COMPUTED_VALUE"""),10)</f>
        <v>10</v>
      </c>
      <c r="J305" s="1">
        <f ca="1">IFERROR(__xludf.DUMMYFUNCTION("""COMPUTED_VALUE"""),7)</f>
        <v>7</v>
      </c>
      <c r="K305" s="1">
        <f ca="1">IFERROR(__xludf.DUMMYFUNCTION("""COMPUTED_VALUE"""),6)</f>
        <v>6</v>
      </c>
      <c r="L305" s="1">
        <f ca="1">IFERROR(__xludf.DUMMYFUNCTION("""COMPUTED_VALUE"""),3)</f>
        <v>3</v>
      </c>
      <c r="M305" s="1">
        <f ca="1">IFERROR(__xludf.DUMMYFUNCTION("""COMPUTED_VALUE"""),9)</f>
        <v>9</v>
      </c>
      <c r="N305" s="1">
        <f ca="1">IFERROR(__xludf.DUMMYFUNCTION("""COMPUTED_VALUE"""),1775)</f>
        <v>1775</v>
      </c>
      <c r="O305" s="1">
        <f ca="1">IFERROR(__xludf.DUMMYFUNCTION("""COMPUTED_VALUE"""),1924)</f>
        <v>1924</v>
      </c>
      <c r="P305" s="1">
        <f ca="1">IFERROR(__xludf.DUMMYFUNCTION("""COMPUTED_VALUE"""),1080)</f>
        <v>1080</v>
      </c>
      <c r="Q305" s="1">
        <f ca="1">IFERROR(__xludf.DUMMYFUNCTION("""COMPUTED_VALUE"""),626)</f>
        <v>626</v>
      </c>
      <c r="R305" s="1">
        <f ca="1">IFERROR(__xludf.DUMMYFUNCTION("""COMPUTED_VALUE"""),1419)</f>
        <v>1419</v>
      </c>
      <c r="S305" s="1">
        <f ca="1">IFERROR(__xludf.DUMMYFUNCTION("""COMPUTED_VALUE"""),0.441)</f>
        <v>0.441</v>
      </c>
      <c r="T305" s="1">
        <f ca="1">IFERROR(__xludf.DUMMYFUNCTION("""COMPUTED_VALUE"""),182)</f>
        <v>182</v>
      </c>
      <c r="U305" s="1">
        <f ca="1">IFERROR(__xludf.DUMMYFUNCTION("""COMPUTED_VALUE"""),459)</f>
        <v>459</v>
      </c>
      <c r="V305" s="1">
        <f ca="1">IFERROR(__xludf.DUMMYFUNCTION("""COMPUTED_VALUE"""),0.397)</f>
        <v>0.39700000000000002</v>
      </c>
      <c r="W305" s="1">
        <f ca="1">IFERROR(__xludf.DUMMYFUNCTION("""COMPUTED_VALUE"""),341)</f>
        <v>341</v>
      </c>
      <c r="X305" s="1">
        <f ca="1">IFERROR(__xludf.DUMMYFUNCTION("""COMPUTED_VALUE"""),521)</f>
        <v>521</v>
      </c>
      <c r="Y305" s="1">
        <f ca="1">IFERROR(__xludf.DUMMYFUNCTION("""COMPUTED_VALUE"""),0.655)</f>
        <v>0.65500000000000003</v>
      </c>
      <c r="Z305" s="1">
        <f ca="1">IFERROR(__xludf.DUMMYFUNCTION("""COMPUTED_VALUE"""),250)</f>
        <v>250</v>
      </c>
      <c r="AA305" s="1">
        <f ca="1">IFERROR(__xludf.DUMMYFUNCTION("""COMPUTED_VALUE"""),799)</f>
        <v>799</v>
      </c>
      <c r="AB305" s="1">
        <f ca="1">IFERROR(__xludf.DUMMYFUNCTION("""COMPUTED_VALUE"""),330)</f>
        <v>330</v>
      </c>
      <c r="AC305" s="1">
        <f ca="1">IFERROR(__xludf.DUMMYFUNCTION("""COMPUTED_VALUE"""),152)</f>
        <v>152</v>
      </c>
      <c r="AD305" s="1">
        <f ca="1">IFERROR(__xludf.DUMMYFUNCTION("""COMPUTED_VALUE"""),61)</f>
        <v>61</v>
      </c>
      <c r="AE305" s="1">
        <f ca="1">IFERROR(__xludf.DUMMYFUNCTION("""COMPUTED_VALUE"""),415)</f>
        <v>415</v>
      </c>
      <c r="AF305" s="1">
        <f ca="1">IFERROR(__xludf.DUMMYFUNCTION("""COMPUTED_VALUE"""),499)</f>
        <v>499</v>
      </c>
    </row>
    <row r="306" spans="1:32" ht="12.5" x14ac:dyDescent="0.25">
      <c r="A306" s="1" t="str">
        <f ca="1">IFERROR(__xludf.DUMMYFUNCTION("""COMPUTED_VALUE"""),"Southern Illinois")</f>
        <v>Southern Illinois</v>
      </c>
      <c r="B306" s="1">
        <f ca="1">IFERROR(__xludf.DUMMYFUNCTION("""COMPUTED_VALUE"""),31)</f>
        <v>31</v>
      </c>
      <c r="C306" s="1">
        <f ca="1">IFERROR(__xludf.DUMMYFUNCTION("""COMPUTED_VALUE"""),8)</f>
        <v>8</v>
      </c>
      <c r="D306" s="1">
        <f ca="1">IFERROR(__xludf.DUMMYFUNCTION("""COMPUTED_VALUE"""),23)</f>
        <v>23</v>
      </c>
      <c r="E306" s="1">
        <f ca="1">IFERROR(__xludf.DUMMYFUNCTION("""COMPUTED_VALUE"""),0.258)</f>
        <v>0.25800000000000001</v>
      </c>
      <c r="F306" s="1">
        <f ca="1">IFERROR(__xludf.DUMMYFUNCTION("""COMPUTED_VALUE"""),-3.51)</f>
        <v>-3.51</v>
      </c>
      <c r="G306" s="1">
        <f ca="1">IFERROR(__xludf.DUMMYFUNCTION("""COMPUTED_VALUE"""),3.12)</f>
        <v>3.12</v>
      </c>
      <c r="H306" s="1">
        <f ca="1">IFERROR(__xludf.DUMMYFUNCTION("""COMPUTED_VALUE"""),5)</f>
        <v>5</v>
      </c>
      <c r="I306" s="1">
        <f ca="1">IFERROR(__xludf.DUMMYFUNCTION("""COMPUTED_VALUE"""),13)</f>
        <v>13</v>
      </c>
      <c r="J306" s="1">
        <f ca="1">IFERROR(__xludf.DUMMYFUNCTION("""COMPUTED_VALUE"""),6)</f>
        <v>6</v>
      </c>
      <c r="K306" s="1">
        <f ca="1">IFERROR(__xludf.DUMMYFUNCTION("""COMPUTED_VALUE"""),8)</f>
        <v>8</v>
      </c>
      <c r="L306" s="1">
        <f ca="1">IFERROR(__xludf.DUMMYFUNCTION("""COMPUTED_VALUE"""),2)</f>
        <v>2</v>
      </c>
      <c r="M306" s="1">
        <f ca="1">IFERROR(__xludf.DUMMYFUNCTION("""COMPUTED_VALUE"""),11)</f>
        <v>11</v>
      </c>
      <c r="N306" s="1">
        <f ca="1">IFERROR(__xludf.DUMMYFUNCTION("""COMPUTED_VALUE"""),1944)</f>
        <v>1944</v>
      </c>
      <c r="O306" s="1">
        <f ca="1">IFERROR(__xludf.DUMMYFUNCTION("""COMPUTED_VALUE"""),2144)</f>
        <v>2144</v>
      </c>
      <c r="P306" s="1">
        <f ca="1">IFERROR(__xludf.DUMMYFUNCTION("""COMPUTED_VALUE"""),1250)</f>
        <v>1250</v>
      </c>
      <c r="Q306" s="1">
        <f ca="1">IFERROR(__xludf.DUMMYFUNCTION("""COMPUTED_VALUE"""),709)</f>
        <v>709</v>
      </c>
      <c r="R306" s="1">
        <f ca="1">IFERROR(__xludf.DUMMYFUNCTION("""COMPUTED_VALUE"""),1711)</f>
        <v>1711</v>
      </c>
      <c r="S306" s="1">
        <f ca="1">IFERROR(__xludf.DUMMYFUNCTION("""COMPUTED_VALUE"""),0.414)</f>
        <v>0.41399999999999998</v>
      </c>
      <c r="T306" s="1">
        <f ca="1">IFERROR(__xludf.DUMMYFUNCTION("""COMPUTED_VALUE"""),135)</f>
        <v>135</v>
      </c>
      <c r="U306" s="1">
        <f ca="1">IFERROR(__xludf.DUMMYFUNCTION("""COMPUTED_VALUE"""),478)</f>
        <v>478</v>
      </c>
      <c r="V306" s="1">
        <f ca="1">IFERROR(__xludf.DUMMYFUNCTION("""COMPUTED_VALUE"""),0.282)</f>
        <v>0.28199999999999997</v>
      </c>
      <c r="W306" s="1">
        <f ca="1">IFERROR(__xludf.DUMMYFUNCTION("""COMPUTED_VALUE"""),391)</f>
        <v>391</v>
      </c>
      <c r="X306" s="1">
        <f ca="1">IFERROR(__xludf.DUMMYFUNCTION("""COMPUTED_VALUE"""),611)</f>
        <v>611</v>
      </c>
      <c r="Y306" s="1">
        <f ca="1">IFERROR(__xludf.DUMMYFUNCTION("""COMPUTED_VALUE"""),0.64)</f>
        <v>0.64</v>
      </c>
      <c r="Z306" s="1">
        <f ca="1">IFERROR(__xludf.DUMMYFUNCTION("""COMPUTED_VALUE"""),371)</f>
        <v>371</v>
      </c>
      <c r="AA306" s="1">
        <f ca="1">IFERROR(__xludf.DUMMYFUNCTION("""COMPUTED_VALUE"""),922)</f>
        <v>922</v>
      </c>
      <c r="AB306" s="1">
        <f ca="1">IFERROR(__xludf.DUMMYFUNCTION("""COMPUTED_VALUE"""),363)</f>
        <v>363</v>
      </c>
      <c r="AC306" s="1">
        <f ca="1">IFERROR(__xludf.DUMMYFUNCTION("""COMPUTED_VALUE"""),230)</f>
        <v>230</v>
      </c>
      <c r="AD306" s="1">
        <f ca="1">IFERROR(__xludf.DUMMYFUNCTION("""COMPUTED_VALUE"""),103)</f>
        <v>103</v>
      </c>
      <c r="AE306" s="1">
        <f ca="1">IFERROR(__xludf.DUMMYFUNCTION("""COMPUTED_VALUE"""),437)</f>
        <v>437</v>
      </c>
      <c r="AF306" s="1">
        <f ca="1">IFERROR(__xludf.DUMMYFUNCTION("""COMPUTED_VALUE"""),662)</f>
        <v>662</v>
      </c>
    </row>
    <row r="307" spans="1:32" ht="12.5" x14ac:dyDescent="0.25">
      <c r="A307" s="1" t="str">
        <f ca="1">IFERROR(__xludf.DUMMYFUNCTION("""COMPUTED_VALUE"""),"Southern Methodist")</f>
        <v>Southern Methodist</v>
      </c>
      <c r="B307" s="1">
        <f ca="1">IFERROR(__xludf.DUMMYFUNCTION("""COMPUTED_VALUE"""),32)</f>
        <v>32</v>
      </c>
      <c r="C307" s="1">
        <f ca="1">IFERROR(__xludf.DUMMYFUNCTION("""COMPUTED_VALUE"""),13)</f>
        <v>13</v>
      </c>
      <c r="D307" s="1">
        <f ca="1">IFERROR(__xludf.DUMMYFUNCTION("""COMPUTED_VALUE"""),19)</f>
        <v>19</v>
      </c>
      <c r="E307" s="1">
        <f ca="1">IFERROR(__xludf.DUMMYFUNCTION("""COMPUTED_VALUE"""),0.406)</f>
        <v>0.40600000000000003</v>
      </c>
      <c r="F307" s="1">
        <f ca="1">IFERROR(__xludf.DUMMYFUNCTION("""COMPUTED_VALUE"""),-1.26)</f>
        <v>-1.26</v>
      </c>
      <c r="G307" s="1">
        <f ca="1">IFERROR(__xludf.DUMMYFUNCTION("""COMPUTED_VALUE"""),1.34)</f>
        <v>1.34</v>
      </c>
      <c r="H307" s="1">
        <f ca="1">IFERROR(__xludf.DUMMYFUNCTION("""COMPUTED_VALUE"""),4)</f>
        <v>4</v>
      </c>
      <c r="I307" s="1">
        <f ca="1">IFERROR(__xludf.DUMMYFUNCTION("""COMPUTED_VALUE"""),12)</f>
        <v>12</v>
      </c>
      <c r="J307" s="1">
        <f ca="1">IFERROR(__xludf.DUMMYFUNCTION("""COMPUTED_VALUE"""),9)</f>
        <v>9</v>
      </c>
      <c r="K307" s="1">
        <f ca="1">IFERROR(__xludf.DUMMYFUNCTION("""COMPUTED_VALUE"""),5)</f>
        <v>5</v>
      </c>
      <c r="L307" s="1">
        <f ca="1">IFERROR(__xludf.DUMMYFUNCTION("""COMPUTED_VALUE"""),3)</f>
        <v>3</v>
      </c>
      <c r="M307" s="1">
        <f ca="1">IFERROR(__xludf.DUMMYFUNCTION("""COMPUTED_VALUE"""),9)</f>
        <v>9</v>
      </c>
      <c r="N307" s="1">
        <f ca="1">IFERROR(__xludf.DUMMYFUNCTION("""COMPUTED_VALUE"""),1909)</f>
        <v>1909</v>
      </c>
      <c r="O307" s="1">
        <f ca="1">IFERROR(__xludf.DUMMYFUNCTION("""COMPUTED_VALUE"""),1922)</f>
        <v>1922</v>
      </c>
      <c r="P307" s="1">
        <f ca="1">IFERROR(__xludf.DUMMYFUNCTION("""COMPUTED_VALUE"""),1300)</f>
        <v>1300</v>
      </c>
      <c r="Q307" s="1">
        <f ca="1">IFERROR(__xludf.DUMMYFUNCTION("""COMPUTED_VALUE"""),645)</f>
        <v>645</v>
      </c>
      <c r="R307" s="1">
        <f ca="1">IFERROR(__xludf.DUMMYFUNCTION("""COMPUTED_VALUE"""),1539)</f>
        <v>1539</v>
      </c>
      <c r="S307" s="1">
        <f ca="1">IFERROR(__xludf.DUMMYFUNCTION("""COMPUTED_VALUE"""),0.419)</f>
        <v>0.41899999999999998</v>
      </c>
      <c r="T307" s="1">
        <f ca="1">IFERROR(__xludf.DUMMYFUNCTION("""COMPUTED_VALUE"""),248)</f>
        <v>248</v>
      </c>
      <c r="U307" s="1">
        <f ca="1">IFERROR(__xludf.DUMMYFUNCTION("""COMPUTED_VALUE"""),728)</f>
        <v>728</v>
      </c>
      <c r="V307" s="1">
        <f ca="1">IFERROR(__xludf.DUMMYFUNCTION("""COMPUTED_VALUE"""),0.341)</f>
        <v>0.34100000000000003</v>
      </c>
      <c r="W307" s="1">
        <f ca="1">IFERROR(__xludf.DUMMYFUNCTION("""COMPUTED_VALUE"""),371)</f>
        <v>371</v>
      </c>
      <c r="X307" s="1">
        <f ca="1">IFERROR(__xludf.DUMMYFUNCTION("""COMPUTED_VALUE"""),551)</f>
        <v>551</v>
      </c>
      <c r="Y307" s="1">
        <f ca="1">IFERROR(__xludf.DUMMYFUNCTION("""COMPUTED_VALUE"""),0.673)</f>
        <v>0.67300000000000004</v>
      </c>
      <c r="Z307" s="1">
        <f ca="1">IFERROR(__xludf.DUMMYFUNCTION("""COMPUTED_VALUE"""),249)</f>
        <v>249</v>
      </c>
      <c r="AA307" s="1">
        <f ca="1">IFERROR(__xludf.DUMMYFUNCTION("""COMPUTED_VALUE"""),817)</f>
        <v>817</v>
      </c>
      <c r="AB307" s="1">
        <f ca="1">IFERROR(__xludf.DUMMYFUNCTION("""COMPUTED_VALUE"""),382)</f>
        <v>382</v>
      </c>
      <c r="AC307" s="1">
        <f ca="1">IFERROR(__xludf.DUMMYFUNCTION("""COMPUTED_VALUE"""),221)</f>
        <v>221</v>
      </c>
      <c r="AD307" s="1">
        <f ca="1">IFERROR(__xludf.DUMMYFUNCTION("""COMPUTED_VALUE"""),72)</f>
        <v>72</v>
      </c>
      <c r="AE307" s="1">
        <f ca="1">IFERROR(__xludf.DUMMYFUNCTION("""COMPUTED_VALUE"""),403)</f>
        <v>403</v>
      </c>
      <c r="AF307" s="1">
        <f ca="1">IFERROR(__xludf.DUMMYFUNCTION("""COMPUTED_VALUE"""),543)</f>
        <v>543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IFERROR(__xludf.DUMMYFUNCTION("""COMPUTED_VALUE"""),"Southern MississippiNCAA")</f>
        <v>Southern MississippiNCAA</v>
      </c>
      <c r="B310" s="1">
        <f ca="1">IFERROR(__xludf.DUMMYFUNCTION("""COMPUTED_VALUE"""),34)</f>
        <v>34</v>
      </c>
      <c r="C310" s="1">
        <f ca="1">IFERROR(__xludf.DUMMYFUNCTION("""COMPUTED_VALUE"""),25)</f>
        <v>25</v>
      </c>
      <c r="D310" s="1">
        <f ca="1">IFERROR(__xludf.DUMMYFUNCTION("""COMPUTED_VALUE"""),9)</f>
        <v>9</v>
      </c>
      <c r="E310" s="1">
        <f ca="1">IFERROR(__xludf.DUMMYFUNCTION("""COMPUTED_VALUE"""),0.735)</f>
        <v>0.73499999999999999</v>
      </c>
      <c r="F310" s="1">
        <f ca="1">IFERROR(__xludf.DUMMYFUNCTION("""COMPUTED_VALUE"""),7.79)</f>
        <v>7.79</v>
      </c>
      <c r="G310" s="1">
        <f ca="1">IFERROR(__xludf.DUMMYFUNCTION("""COMPUTED_VALUE"""),3.61)</f>
        <v>3.61</v>
      </c>
      <c r="H310" s="1">
        <f ca="1">IFERROR(__xludf.DUMMYFUNCTION("""COMPUTED_VALUE"""),11)</f>
        <v>11</v>
      </c>
      <c r="I310" s="1">
        <f ca="1">IFERROR(__xludf.DUMMYFUNCTION("""COMPUTED_VALUE"""),5)</f>
        <v>5</v>
      </c>
      <c r="J310" s="1">
        <f ca="1">IFERROR(__xludf.DUMMYFUNCTION("""COMPUTED_VALUE"""),15)</f>
        <v>15</v>
      </c>
      <c r="K310" s="1">
        <f ca="1">IFERROR(__xludf.DUMMYFUNCTION("""COMPUTED_VALUE"""),0)</f>
        <v>0</v>
      </c>
      <c r="L310" s="1">
        <f ca="1">IFERROR(__xludf.DUMMYFUNCTION("""COMPUTED_VALUE"""),7)</f>
        <v>7</v>
      </c>
      <c r="M310" s="1">
        <f ca="1">IFERROR(__xludf.DUMMYFUNCTION("""COMPUTED_VALUE"""),6)</f>
        <v>6</v>
      </c>
      <c r="N310" s="1">
        <f ca="1">IFERROR(__xludf.DUMMYFUNCTION("""COMPUTED_VALUE"""),2426)</f>
        <v>2426</v>
      </c>
      <c r="O310" s="1">
        <f ca="1">IFERROR(__xludf.DUMMYFUNCTION("""COMPUTED_VALUE"""),2212)</f>
        <v>2212</v>
      </c>
      <c r="P310" s="1">
        <f ca="1">IFERROR(__xludf.DUMMYFUNCTION("""COMPUTED_VALUE"""),1395)</f>
        <v>1395</v>
      </c>
      <c r="Q310" s="1">
        <f ca="1">IFERROR(__xludf.DUMMYFUNCTION("""COMPUTED_VALUE"""),819)</f>
        <v>819</v>
      </c>
      <c r="R310" s="1">
        <f ca="1">IFERROR(__xludf.DUMMYFUNCTION("""COMPUTED_VALUE"""),1975)</f>
        <v>1975</v>
      </c>
      <c r="S310" s="1">
        <f ca="1">IFERROR(__xludf.DUMMYFUNCTION("""COMPUTED_VALUE"""),0.415)</f>
        <v>0.41499999999999998</v>
      </c>
      <c r="T310" s="1">
        <f ca="1">IFERROR(__xludf.DUMMYFUNCTION("""COMPUTED_VALUE"""),215)</f>
        <v>215</v>
      </c>
      <c r="U310" s="1">
        <f ca="1">IFERROR(__xludf.DUMMYFUNCTION("""COMPUTED_VALUE"""),601)</f>
        <v>601</v>
      </c>
      <c r="V310" s="1">
        <f ca="1">IFERROR(__xludf.DUMMYFUNCTION("""COMPUTED_VALUE"""),0.358)</f>
        <v>0.35799999999999998</v>
      </c>
      <c r="W310" s="1">
        <f ca="1">IFERROR(__xludf.DUMMYFUNCTION("""COMPUTED_VALUE"""),573)</f>
        <v>573</v>
      </c>
      <c r="X310" s="1">
        <f ca="1">IFERROR(__xludf.DUMMYFUNCTION("""COMPUTED_VALUE"""),779)</f>
        <v>779</v>
      </c>
      <c r="Y310" s="1">
        <f ca="1">IFERROR(__xludf.DUMMYFUNCTION("""COMPUTED_VALUE"""),0.736)</f>
        <v>0.73599999999999999</v>
      </c>
      <c r="Z310" s="1">
        <f ca="1">IFERROR(__xludf.DUMMYFUNCTION("""COMPUTED_VALUE"""),471)</f>
        <v>471</v>
      </c>
      <c r="AA310" s="1">
        <f ca="1">IFERROR(__xludf.DUMMYFUNCTION("""COMPUTED_VALUE"""),1133)</f>
        <v>1133</v>
      </c>
      <c r="AB310" s="1">
        <f ca="1">IFERROR(__xludf.DUMMYFUNCTION("""COMPUTED_VALUE"""),374)</f>
        <v>374</v>
      </c>
      <c r="AC310" s="1">
        <f ca="1">IFERROR(__xludf.DUMMYFUNCTION("""COMPUTED_VALUE"""),205)</f>
        <v>205</v>
      </c>
      <c r="AD310" s="1">
        <f ca="1">IFERROR(__xludf.DUMMYFUNCTION("""COMPUTED_VALUE"""),98)</f>
        <v>98</v>
      </c>
      <c r="AE310" s="1">
        <f ca="1">IFERROR(__xludf.DUMMYFUNCTION("""COMPUTED_VALUE"""),377)</f>
        <v>377</v>
      </c>
      <c r="AF310" s="1">
        <f ca="1">IFERROR(__xludf.DUMMYFUNCTION("""COMPUTED_VALUE"""),651)</f>
        <v>651</v>
      </c>
    </row>
    <row r="311" spans="1:32" ht="12.5" x14ac:dyDescent="0.25">
      <c r="A311" s="1" t="str">
        <f ca="1">IFERROR(__xludf.DUMMYFUNCTION("""COMPUTED_VALUE"""),"Southern Utah")</f>
        <v>Southern Utah</v>
      </c>
      <c r="B311" s="1">
        <f ca="1">IFERROR(__xludf.DUMMYFUNCTION("""COMPUTED_VALUE"""),31)</f>
        <v>31</v>
      </c>
      <c r="C311" s="1">
        <f ca="1">IFERROR(__xludf.DUMMYFUNCTION("""COMPUTED_VALUE"""),14)</f>
        <v>14</v>
      </c>
      <c r="D311" s="1">
        <f ca="1">IFERROR(__xludf.DUMMYFUNCTION("""COMPUTED_VALUE"""),17)</f>
        <v>17</v>
      </c>
      <c r="E311" s="1">
        <f ca="1">IFERROR(__xludf.DUMMYFUNCTION("""COMPUTED_VALUE"""),0.452)</f>
        <v>0.45200000000000001</v>
      </c>
      <c r="F311" s="1">
        <f ca="1">IFERROR(__xludf.DUMMYFUNCTION("""COMPUTED_VALUE"""),-6.22)</f>
        <v>-6.22</v>
      </c>
      <c r="G311" s="1">
        <f ca="1">IFERROR(__xludf.DUMMYFUNCTION("""COMPUTED_VALUE"""),-3.18)</f>
        <v>-3.18</v>
      </c>
      <c r="H311" s="1">
        <f ca="1">IFERROR(__xludf.DUMMYFUNCTION("""COMPUTED_VALUE"""),8)</f>
        <v>8</v>
      </c>
      <c r="I311" s="1">
        <f ca="1">IFERROR(__xludf.DUMMYFUNCTION("""COMPUTED_VALUE"""),10)</f>
        <v>10</v>
      </c>
      <c r="J311" s="1">
        <f ca="1">IFERROR(__xludf.DUMMYFUNCTION("""COMPUTED_VALUE"""),7)</f>
        <v>7</v>
      </c>
      <c r="K311" s="1">
        <f ca="1">IFERROR(__xludf.DUMMYFUNCTION("""COMPUTED_VALUE"""),6)</f>
        <v>6</v>
      </c>
      <c r="L311" s="1">
        <f ca="1">IFERROR(__xludf.DUMMYFUNCTION("""COMPUTED_VALUE"""),4)</f>
        <v>4</v>
      </c>
      <c r="M311" s="1">
        <f ca="1">IFERROR(__xludf.DUMMYFUNCTION("""COMPUTED_VALUE"""),10)</f>
        <v>10</v>
      </c>
      <c r="N311" s="1">
        <f ca="1">IFERROR(__xludf.DUMMYFUNCTION("""COMPUTED_VALUE"""),2038)</f>
        <v>2038</v>
      </c>
      <c r="O311" s="1">
        <f ca="1">IFERROR(__xludf.DUMMYFUNCTION("""COMPUTED_VALUE"""),2106)</f>
        <v>2106</v>
      </c>
      <c r="P311" s="1">
        <f ca="1">IFERROR(__xludf.DUMMYFUNCTION("""COMPUTED_VALUE"""),1255)</f>
        <v>1255</v>
      </c>
      <c r="Q311" s="1">
        <f ca="1">IFERROR(__xludf.DUMMYFUNCTION("""COMPUTED_VALUE"""),755)</f>
        <v>755</v>
      </c>
      <c r="R311" s="1">
        <f ca="1">IFERROR(__xludf.DUMMYFUNCTION("""COMPUTED_VALUE"""),1594)</f>
        <v>1594</v>
      </c>
      <c r="S311" s="1">
        <f ca="1">IFERROR(__xludf.DUMMYFUNCTION("""COMPUTED_VALUE"""),0.474)</f>
        <v>0.47399999999999998</v>
      </c>
      <c r="T311" s="1">
        <f ca="1">IFERROR(__xludf.DUMMYFUNCTION("""COMPUTED_VALUE"""),82)</f>
        <v>82</v>
      </c>
      <c r="U311" s="1">
        <f ca="1">IFERROR(__xludf.DUMMYFUNCTION("""COMPUTED_VALUE"""),276)</f>
        <v>276</v>
      </c>
      <c r="V311" s="1">
        <f ca="1">IFERROR(__xludf.DUMMYFUNCTION("""COMPUTED_VALUE"""),0.297)</f>
        <v>0.29699999999999999</v>
      </c>
      <c r="W311" s="1">
        <f ca="1">IFERROR(__xludf.DUMMYFUNCTION("""COMPUTED_VALUE"""),446)</f>
        <v>446</v>
      </c>
      <c r="X311" s="1">
        <f ca="1">IFERROR(__xludf.DUMMYFUNCTION("""COMPUTED_VALUE"""),617)</f>
        <v>617</v>
      </c>
      <c r="Y311" s="1">
        <f ca="1">IFERROR(__xludf.DUMMYFUNCTION("""COMPUTED_VALUE"""),0.723)</f>
        <v>0.72299999999999998</v>
      </c>
      <c r="Z311" s="1">
        <f ca="1">IFERROR(__xludf.DUMMYFUNCTION("""COMPUTED_VALUE"""),302)</f>
        <v>302</v>
      </c>
      <c r="AA311" s="1">
        <f ca="1">IFERROR(__xludf.DUMMYFUNCTION("""COMPUTED_VALUE"""),888)</f>
        <v>888</v>
      </c>
      <c r="AB311" s="1">
        <f ca="1">IFERROR(__xludf.DUMMYFUNCTION("""COMPUTED_VALUE"""),443)</f>
        <v>443</v>
      </c>
      <c r="AC311" s="1">
        <f ca="1">IFERROR(__xludf.DUMMYFUNCTION("""COMPUTED_VALUE"""),169)</f>
        <v>169</v>
      </c>
      <c r="AD311" s="1">
        <f ca="1">IFERROR(__xludf.DUMMYFUNCTION("""COMPUTED_VALUE"""),71)</f>
        <v>71</v>
      </c>
      <c r="AE311" s="1">
        <f ca="1">IFERROR(__xludf.DUMMYFUNCTION("""COMPUTED_VALUE"""),432)</f>
        <v>432</v>
      </c>
      <c r="AF311" s="1">
        <f ca="1">IFERROR(__xludf.DUMMYFUNCTION("""COMPUTED_VALUE"""),633)</f>
        <v>633</v>
      </c>
    </row>
    <row r="312" spans="1:32" ht="12.5" x14ac:dyDescent="0.25">
      <c r="A312" s="1" t="str">
        <f ca="1">IFERROR(__xludf.DUMMYFUNCTION("""COMPUTED_VALUE"""),"Southern")</f>
        <v>Southern</v>
      </c>
      <c r="B312" s="1">
        <f ca="1">IFERROR(__xludf.DUMMYFUNCTION("""COMPUTED_VALUE"""),31)</f>
        <v>31</v>
      </c>
      <c r="C312" s="1">
        <f ca="1">IFERROR(__xludf.DUMMYFUNCTION("""COMPUTED_VALUE"""),17)</f>
        <v>17</v>
      </c>
      <c r="D312" s="1">
        <f ca="1">IFERROR(__xludf.DUMMYFUNCTION("""COMPUTED_VALUE"""),14)</f>
        <v>14</v>
      </c>
      <c r="E312" s="1">
        <f ca="1">IFERROR(__xludf.DUMMYFUNCTION("""COMPUTED_VALUE"""),0.548)</f>
        <v>0.54800000000000004</v>
      </c>
      <c r="F312" s="1">
        <f ca="1">IFERROR(__xludf.DUMMYFUNCTION("""COMPUTED_VALUE"""),-16.17)</f>
        <v>-16.170000000000002</v>
      </c>
      <c r="G312" s="1">
        <f ca="1">IFERROR(__xludf.DUMMYFUNCTION("""COMPUTED_VALUE"""),-11.35)</f>
        <v>-11.35</v>
      </c>
      <c r="H312" s="1">
        <f ca="1">IFERROR(__xludf.DUMMYFUNCTION("""COMPUTED_VALUE"""),13)</f>
        <v>13</v>
      </c>
      <c r="I312" s="1">
        <f ca="1">IFERROR(__xludf.DUMMYFUNCTION("""COMPUTED_VALUE"""),5)</f>
        <v>5</v>
      </c>
      <c r="J312" s="1">
        <f ca="1">IFERROR(__xludf.DUMMYFUNCTION("""COMPUTED_VALUE"""),9)</f>
        <v>9</v>
      </c>
      <c r="K312" s="1">
        <f ca="1">IFERROR(__xludf.DUMMYFUNCTION("""COMPUTED_VALUE"""),2)</f>
        <v>2</v>
      </c>
      <c r="L312" s="1">
        <f ca="1">IFERROR(__xludf.DUMMYFUNCTION("""COMPUTED_VALUE"""),6)</f>
        <v>6</v>
      </c>
      <c r="M312" s="1">
        <f ca="1">IFERROR(__xludf.DUMMYFUNCTION("""COMPUTED_VALUE"""),10)</f>
        <v>10</v>
      </c>
      <c r="N312" s="1">
        <f ca="1">IFERROR(__xludf.DUMMYFUNCTION("""COMPUTED_VALUE"""),1879)</f>
        <v>1879</v>
      </c>
      <c r="O312" s="1">
        <f ca="1">IFERROR(__xludf.DUMMYFUNCTION("""COMPUTED_VALUE"""),1981)</f>
        <v>1981</v>
      </c>
      <c r="P312" s="1">
        <f ca="1">IFERROR(__xludf.DUMMYFUNCTION("""COMPUTED_VALUE"""),1255)</f>
        <v>1255</v>
      </c>
      <c r="Q312" s="1">
        <f ca="1">IFERROR(__xludf.DUMMYFUNCTION("""COMPUTED_VALUE"""),659)</f>
        <v>659</v>
      </c>
      <c r="R312" s="1">
        <f ca="1">IFERROR(__xludf.DUMMYFUNCTION("""COMPUTED_VALUE"""),1607)</f>
        <v>1607</v>
      </c>
      <c r="S312" s="1">
        <f ca="1">IFERROR(__xludf.DUMMYFUNCTION("""COMPUTED_VALUE"""),0.41)</f>
        <v>0.41</v>
      </c>
      <c r="T312" s="1">
        <f ca="1">IFERROR(__xludf.DUMMYFUNCTION("""COMPUTED_VALUE"""),145)</f>
        <v>145</v>
      </c>
      <c r="U312" s="1">
        <f ca="1">IFERROR(__xludf.DUMMYFUNCTION("""COMPUTED_VALUE"""),462)</f>
        <v>462</v>
      </c>
      <c r="V312" s="1">
        <f ca="1">IFERROR(__xludf.DUMMYFUNCTION("""COMPUTED_VALUE"""),0.314)</f>
        <v>0.314</v>
      </c>
      <c r="W312" s="1">
        <f ca="1">IFERROR(__xludf.DUMMYFUNCTION("""COMPUTED_VALUE"""),416)</f>
        <v>416</v>
      </c>
      <c r="X312" s="1">
        <f ca="1">IFERROR(__xludf.DUMMYFUNCTION("""COMPUTED_VALUE"""),607)</f>
        <v>607</v>
      </c>
      <c r="Y312" s="1">
        <f ca="1">IFERROR(__xludf.DUMMYFUNCTION("""COMPUTED_VALUE"""),0.685)</f>
        <v>0.68500000000000005</v>
      </c>
      <c r="Z312" s="1">
        <f ca="1">IFERROR(__xludf.DUMMYFUNCTION("""COMPUTED_VALUE"""),256)</f>
        <v>256</v>
      </c>
      <c r="AA312" s="1">
        <f ca="1">IFERROR(__xludf.DUMMYFUNCTION("""COMPUTED_VALUE"""),919)</f>
        <v>919</v>
      </c>
      <c r="AB312" s="1">
        <f ca="1">IFERROR(__xludf.DUMMYFUNCTION("""COMPUTED_VALUE"""),342)</f>
        <v>342</v>
      </c>
      <c r="AC312" s="1">
        <f ca="1">IFERROR(__xludf.DUMMYFUNCTION("""COMPUTED_VALUE"""),183)</f>
        <v>183</v>
      </c>
      <c r="AD312" s="1">
        <f ca="1">IFERROR(__xludf.DUMMYFUNCTION("""COMPUTED_VALUE"""),111)</f>
        <v>111</v>
      </c>
      <c r="AE312" s="1">
        <f ca="1">IFERROR(__xludf.DUMMYFUNCTION("""COMPUTED_VALUE"""),435)</f>
        <v>435</v>
      </c>
      <c r="AF312" s="1">
        <f ca="1">IFERROR(__xludf.DUMMYFUNCTION("""COMPUTED_VALUE"""),601)</f>
        <v>601</v>
      </c>
    </row>
    <row r="313" spans="1:32" ht="12.5" x14ac:dyDescent="0.25">
      <c r="A313" s="1" t="str">
        <f ca="1">IFERROR(__xludf.DUMMYFUNCTION("""COMPUTED_VALUE"""),"St. BonaventureNCAA")</f>
        <v>St. BonaventureNCAA</v>
      </c>
      <c r="B313" s="1">
        <f ca="1">IFERROR(__xludf.DUMMYFUNCTION("""COMPUTED_VALUE"""),32)</f>
        <v>32</v>
      </c>
      <c r="C313" s="1">
        <f ca="1">IFERROR(__xludf.DUMMYFUNCTION("""COMPUTED_VALUE"""),20)</f>
        <v>20</v>
      </c>
      <c r="D313" s="1">
        <f ca="1">IFERROR(__xludf.DUMMYFUNCTION("""COMPUTED_VALUE"""),12)</f>
        <v>12</v>
      </c>
      <c r="E313" s="1">
        <f ca="1">IFERROR(__xludf.DUMMYFUNCTION("""COMPUTED_VALUE"""),0.625)</f>
        <v>0.625</v>
      </c>
      <c r="F313" s="1">
        <f ca="1">IFERROR(__xludf.DUMMYFUNCTION("""COMPUTED_VALUE"""),8.25)</f>
        <v>8.25</v>
      </c>
      <c r="G313" s="1">
        <f ca="1">IFERROR(__xludf.DUMMYFUNCTION("""COMPUTED_VALUE"""),2.84)</f>
        <v>2.84</v>
      </c>
      <c r="H313" s="1">
        <f ca="1">IFERROR(__xludf.DUMMYFUNCTION("""COMPUTED_VALUE"""),10)</f>
        <v>10</v>
      </c>
      <c r="I313" s="1">
        <f ca="1">IFERROR(__xludf.DUMMYFUNCTION("""COMPUTED_VALUE"""),6)</f>
        <v>6</v>
      </c>
      <c r="J313" s="1">
        <f ca="1">IFERROR(__xludf.DUMMYFUNCTION("""COMPUTED_VALUE"""),11)</f>
        <v>11</v>
      </c>
      <c r="K313" s="1">
        <f ca="1">IFERROR(__xludf.DUMMYFUNCTION("""COMPUTED_VALUE"""),2)</f>
        <v>2</v>
      </c>
      <c r="L313" s="1">
        <f ca="1">IFERROR(__xludf.DUMMYFUNCTION("""COMPUTED_VALUE"""),6)</f>
        <v>6</v>
      </c>
      <c r="M313" s="1">
        <f ca="1">IFERROR(__xludf.DUMMYFUNCTION("""COMPUTED_VALUE"""),8)</f>
        <v>8</v>
      </c>
      <c r="N313" s="1">
        <f ca="1">IFERROR(__xludf.DUMMYFUNCTION("""COMPUTED_VALUE"""),2254)</f>
        <v>2254</v>
      </c>
      <c r="O313" s="1">
        <f ca="1">IFERROR(__xludf.DUMMYFUNCTION("""COMPUTED_VALUE"""),2081)</f>
        <v>2081</v>
      </c>
      <c r="P313" s="1">
        <f ca="1">IFERROR(__xludf.DUMMYFUNCTION("""COMPUTED_VALUE"""),1295)</f>
        <v>1295</v>
      </c>
      <c r="Q313" s="1">
        <f ca="1">IFERROR(__xludf.DUMMYFUNCTION("""COMPUTED_VALUE"""),770)</f>
        <v>770</v>
      </c>
      <c r="R313" s="1">
        <f ca="1">IFERROR(__xludf.DUMMYFUNCTION("""COMPUTED_VALUE"""),1687)</f>
        <v>1687</v>
      </c>
      <c r="S313" s="1">
        <f ca="1">IFERROR(__xludf.DUMMYFUNCTION("""COMPUTED_VALUE"""),0.456)</f>
        <v>0.45600000000000002</v>
      </c>
      <c r="T313" s="1">
        <f ca="1">IFERROR(__xludf.DUMMYFUNCTION("""COMPUTED_VALUE"""),174)</f>
        <v>174</v>
      </c>
      <c r="U313" s="1">
        <f ca="1">IFERROR(__xludf.DUMMYFUNCTION("""COMPUTED_VALUE"""),504)</f>
        <v>504</v>
      </c>
      <c r="V313" s="1">
        <f ca="1">IFERROR(__xludf.DUMMYFUNCTION("""COMPUTED_VALUE"""),0.345)</f>
        <v>0.34499999999999997</v>
      </c>
      <c r="W313" s="1">
        <f ca="1">IFERROR(__xludf.DUMMYFUNCTION("""COMPUTED_VALUE"""),540)</f>
        <v>540</v>
      </c>
      <c r="X313" s="1">
        <f ca="1">IFERROR(__xludf.DUMMYFUNCTION("""COMPUTED_VALUE"""),710)</f>
        <v>710</v>
      </c>
      <c r="Y313" s="1">
        <f ca="1">IFERROR(__xludf.DUMMYFUNCTION("""COMPUTED_VALUE"""),0.761)</f>
        <v>0.76100000000000001</v>
      </c>
      <c r="Z313" s="1">
        <f ca="1">IFERROR(__xludf.DUMMYFUNCTION("""COMPUTED_VALUE"""),352)</f>
        <v>352</v>
      </c>
      <c r="AA313" s="1">
        <f ca="1">IFERROR(__xludf.DUMMYFUNCTION("""COMPUTED_VALUE"""),1038)</f>
        <v>1038</v>
      </c>
      <c r="AB313" s="1">
        <f ca="1">IFERROR(__xludf.DUMMYFUNCTION("""COMPUTED_VALUE"""),444)</f>
        <v>444</v>
      </c>
      <c r="AC313" s="1">
        <f ca="1">IFERROR(__xludf.DUMMYFUNCTION("""COMPUTED_VALUE"""),186)</f>
        <v>186</v>
      </c>
      <c r="AD313" s="1">
        <f ca="1">IFERROR(__xludf.DUMMYFUNCTION("""COMPUTED_VALUE"""),133)</f>
        <v>133</v>
      </c>
      <c r="AE313" s="1">
        <f ca="1">IFERROR(__xludf.DUMMYFUNCTION("""COMPUTED_VALUE"""),439)</f>
        <v>439</v>
      </c>
      <c r="AF313" s="1">
        <f ca="1">IFERROR(__xludf.DUMMYFUNCTION("""COMPUTED_VALUE"""),592)</f>
        <v>592</v>
      </c>
    </row>
    <row r="314" spans="1:32" ht="12.5" x14ac:dyDescent="0.25">
      <c r="A314" s="1" t="str">
        <f ca="1">IFERROR(__xludf.DUMMYFUNCTION("""COMPUTED_VALUE"""),"St. Francis (NY)")</f>
        <v>St. Francis (NY)</v>
      </c>
      <c r="B314" s="1">
        <f ca="1">IFERROR(__xludf.DUMMYFUNCTION("""COMPUTED_VALUE"""),30)</f>
        <v>30</v>
      </c>
      <c r="C314" s="1">
        <f ca="1">IFERROR(__xludf.DUMMYFUNCTION("""COMPUTED_VALUE"""),15)</f>
        <v>15</v>
      </c>
      <c r="D314" s="1">
        <f ca="1">IFERROR(__xludf.DUMMYFUNCTION("""COMPUTED_VALUE"""),15)</f>
        <v>15</v>
      </c>
      <c r="E314" s="1">
        <f ca="1">IFERROR(__xludf.DUMMYFUNCTION("""COMPUTED_VALUE"""),0.5)</f>
        <v>0.5</v>
      </c>
      <c r="F314" s="1">
        <f ca="1">IFERROR(__xludf.DUMMYFUNCTION("""COMPUTED_VALUE"""),-6.02)</f>
        <v>-6.02</v>
      </c>
      <c r="G314" s="1">
        <f ca="1">IFERROR(__xludf.DUMMYFUNCTION("""COMPUTED_VALUE"""),-6.75)</f>
        <v>-6.75</v>
      </c>
      <c r="H314" s="1">
        <f ca="1">IFERROR(__xludf.DUMMYFUNCTION("""COMPUTED_VALUE"""),12)</f>
        <v>12</v>
      </c>
      <c r="I314" s="1">
        <f ca="1">IFERROR(__xludf.DUMMYFUNCTION("""COMPUTED_VALUE"""),6)</f>
        <v>6</v>
      </c>
      <c r="J314" s="1">
        <f ca="1">IFERROR(__xludf.DUMMYFUNCTION("""COMPUTED_VALUE"""),8)</f>
        <v>8</v>
      </c>
      <c r="K314" s="1">
        <f ca="1">IFERROR(__xludf.DUMMYFUNCTION("""COMPUTED_VALUE"""),4)</f>
        <v>4</v>
      </c>
      <c r="L314" s="1">
        <f ca="1">IFERROR(__xludf.DUMMYFUNCTION("""COMPUTED_VALUE"""),7)</f>
        <v>7</v>
      </c>
      <c r="M314" s="1">
        <f ca="1">IFERROR(__xludf.DUMMYFUNCTION("""COMPUTED_VALUE"""),10)</f>
        <v>10</v>
      </c>
      <c r="N314" s="1">
        <f ca="1">IFERROR(__xludf.DUMMYFUNCTION("""COMPUTED_VALUE"""),2084)</f>
        <v>2084</v>
      </c>
      <c r="O314" s="1">
        <f ca="1">IFERROR(__xludf.DUMMYFUNCTION("""COMPUTED_VALUE"""),2062)</f>
        <v>2062</v>
      </c>
      <c r="P314" s="1">
        <f ca="1">IFERROR(__xludf.DUMMYFUNCTION("""COMPUTED_VALUE"""),1205)</f>
        <v>1205</v>
      </c>
      <c r="Q314" s="1">
        <f ca="1">IFERROR(__xludf.DUMMYFUNCTION("""COMPUTED_VALUE"""),727)</f>
        <v>727</v>
      </c>
      <c r="R314" s="1">
        <f ca="1">IFERROR(__xludf.DUMMYFUNCTION("""COMPUTED_VALUE"""),1685)</f>
        <v>1685</v>
      </c>
      <c r="S314" s="1">
        <f ca="1">IFERROR(__xludf.DUMMYFUNCTION("""COMPUTED_VALUE"""),0.431)</f>
        <v>0.43099999999999999</v>
      </c>
      <c r="T314" s="1">
        <f ca="1">IFERROR(__xludf.DUMMYFUNCTION("""COMPUTED_VALUE"""),239)</f>
        <v>239</v>
      </c>
      <c r="U314" s="1">
        <f ca="1">IFERROR(__xludf.DUMMYFUNCTION("""COMPUTED_VALUE"""),672)</f>
        <v>672</v>
      </c>
      <c r="V314" s="1">
        <f ca="1">IFERROR(__xludf.DUMMYFUNCTION("""COMPUTED_VALUE"""),0.356)</f>
        <v>0.35599999999999998</v>
      </c>
      <c r="W314" s="1">
        <f ca="1">IFERROR(__xludf.DUMMYFUNCTION("""COMPUTED_VALUE"""),391)</f>
        <v>391</v>
      </c>
      <c r="X314" s="1">
        <f ca="1">IFERROR(__xludf.DUMMYFUNCTION("""COMPUTED_VALUE"""),590)</f>
        <v>590</v>
      </c>
      <c r="Y314" s="1">
        <f ca="1">IFERROR(__xludf.DUMMYFUNCTION("""COMPUTED_VALUE"""),0.663)</f>
        <v>0.66300000000000003</v>
      </c>
      <c r="Z314" s="1">
        <f ca="1">IFERROR(__xludf.DUMMYFUNCTION("""COMPUTED_VALUE"""),344)</f>
        <v>344</v>
      </c>
      <c r="AA314" s="1">
        <f ca="1">IFERROR(__xludf.DUMMYFUNCTION("""COMPUTED_VALUE"""),962)</f>
        <v>962</v>
      </c>
      <c r="AB314" s="1">
        <f ca="1">IFERROR(__xludf.DUMMYFUNCTION("""COMPUTED_VALUE"""),392)</f>
        <v>392</v>
      </c>
      <c r="AC314" s="1">
        <f ca="1">IFERROR(__xludf.DUMMYFUNCTION("""COMPUTED_VALUE"""),205)</f>
        <v>205</v>
      </c>
      <c r="AD314" s="1">
        <f ca="1">IFERROR(__xludf.DUMMYFUNCTION("""COMPUTED_VALUE"""),73)</f>
        <v>73</v>
      </c>
      <c r="AE314" s="1">
        <f ca="1">IFERROR(__xludf.DUMMYFUNCTION("""COMPUTED_VALUE"""),486)</f>
        <v>486</v>
      </c>
      <c r="AF314" s="1">
        <f ca="1">IFERROR(__xludf.DUMMYFUNCTION("""COMPUTED_VALUE"""),643)</f>
        <v>643</v>
      </c>
    </row>
    <row r="315" spans="1:32" ht="12.5" x14ac:dyDescent="0.25">
      <c r="A315" s="1" t="str">
        <f ca="1">IFERROR(__xludf.DUMMYFUNCTION("""COMPUTED_VALUE"""),"St. John's (NY)")</f>
        <v>St. John's (NY)</v>
      </c>
      <c r="B315" s="1">
        <f ca="1">IFERROR(__xludf.DUMMYFUNCTION("""COMPUTED_VALUE"""),32)</f>
        <v>32</v>
      </c>
      <c r="C315" s="1">
        <f ca="1">IFERROR(__xludf.DUMMYFUNCTION("""COMPUTED_VALUE"""),13)</f>
        <v>13</v>
      </c>
      <c r="D315" s="1">
        <f ca="1">IFERROR(__xludf.DUMMYFUNCTION("""COMPUTED_VALUE"""),19)</f>
        <v>19</v>
      </c>
      <c r="E315" s="1">
        <f ca="1">IFERROR(__xludf.DUMMYFUNCTION("""COMPUTED_VALUE"""),0.406)</f>
        <v>0.40600000000000003</v>
      </c>
      <c r="F315" s="1">
        <f ca="1">IFERROR(__xludf.DUMMYFUNCTION("""COMPUTED_VALUE"""),2.63)</f>
        <v>2.63</v>
      </c>
      <c r="G315" s="1">
        <f ca="1">IFERROR(__xludf.DUMMYFUNCTION("""COMPUTED_VALUE"""),6.98)</f>
        <v>6.98</v>
      </c>
      <c r="H315" s="1">
        <f ca="1">IFERROR(__xludf.DUMMYFUNCTION("""COMPUTED_VALUE"""),6)</f>
        <v>6</v>
      </c>
      <c r="I315" s="1">
        <f ca="1">IFERROR(__xludf.DUMMYFUNCTION("""COMPUTED_VALUE"""),12)</f>
        <v>12</v>
      </c>
      <c r="J315" s="1">
        <f ca="1">IFERROR(__xludf.DUMMYFUNCTION("""COMPUTED_VALUE"""),11)</f>
        <v>11</v>
      </c>
      <c r="K315" s="1">
        <f ca="1">IFERROR(__xludf.DUMMYFUNCTION("""COMPUTED_VALUE"""),7)</f>
        <v>7</v>
      </c>
      <c r="L315" s="1">
        <f ca="1">IFERROR(__xludf.DUMMYFUNCTION("""COMPUTED_VALUE"""),2)</f>
        <v>2</v>
      </c>
      <c r="M315" s="1">
        <f ca="1">IFERROR(__xludf.DUMMYFUNCTION("""COMPUTED_VALUE"""),10)</f>
        <v>10</v>
      </c>
      <c r="N315" s="1">
        <f ca="1">IFERROR(__xludf.DUMMYFUNCTION("""COMPUTED_VALUE"""),2129)</f>
        <v>2129</v>
      </c>
      <c r="O315" s="1">
        <f ca="1">IFERROR(__xludf.DUMMYFUNCTION("""COMPUTED_VALUE"""),2268)</f>
        <v>2268</v>
      </c>
      <c r="P315" s="1">
        <f ca="1">IFERROR(__xludf.DUMMYFUNCTION("""COMPUTED_VALUE"""),1285)</f>
        <v>1285</v>
      </c>
      <c r="Q315" s="1">
        <f ca="1">IFERROR(__xludf.DUMMYFUNCTION("""COMPUTED_VALUE"""),757)</f>
        <v>757</v>
      </c>
      <c r="R315" s="1">
        <f ca="1">IFERROR(__xludf.DUMMYFUNCTION("""COMPUTED_VALUE"""),1803)</f>
        <v>1803</v>
      </c>
      <c r="S315" s="1">
        <f ca="1">IFERROR(__xludf.DUMMYFUNCTION("""COMPUTED_VALUE"""),0.42)</f>
        <v>0.42</v>
      </c>
      <c r="T315" s="1">
        <f ca="1">IFERROR(__xludf.DUMMYFUNCTION("""COMPUTED_VALUE"""),130)</f>
        <v>130</v>
      </c>
      <c r="U315" s="1">
        <f ca="1">IFERROR(__xludf.DUMMYFUNCTION("""COMPUTED_VALUE"""),461)</f>
        <v>461</v>
      </c>
      <c r="V315" s="1">
        <f ca="1">IFERROR(__xludf.DUMMYFUNCTION("""COMPUTED_VALUE"""),0.282)</f>
        <v>0.28199999999999997</v>
      </c>
      <c r="W315" s="1">
        <f ca="1">IFERROR(__xludf.DUMMYFUNCTION("""COMPUTED_VALUE"""),485)</f>
        <v>485</v>
      </c>
      <c r="X315" s="1">
        <f ca="1">IFERROR(__xludf.DUMMYFUNCTION("""COMPUTED_VALUE"""),713)</f>
        <v>713</v>
      </c>
      <c r="Y315" s="1">
        <f ca="1">IFERROR(__xludf.DUMMYFUNCTION("""COMPUTED_VALUE"""),0.68)</f>
        <v>0.68</v>
      </c>
      <c r="Z315" s="1">
        <f ca="1">IFERROR(__xludf.DUMMYFUNCTION("""COMPUTED_VALUE"""),424)</f>
        <v>424</v>
      </c>
      <c r="AA315" s="1">
        <f ca="1">IFERROR(__xludf.DUMMYFUNCTION("""COMPUTED_VALUE"""),977)</f>
        <v>977</v>
      </c>
      <c r="AB315" s="1">
        <f ca="1">IFERROR(__xludf.DUMMYFUNCTION("""COMPUTED_VALUE"""),345)</f>
        <v>345</v>
      </c>
      <c r="AC315" s="1">
        <f ca="1">IFERROR(__xludf.DUMMYFUNCTION("""COMPUTED_VALUE"""),255)</f>
        <v>255</v>
      </c>
      <c r="AD315" s="1">
        <f ca="1">IFERROR(__xludf.DUMMYFUNCTION("""COMPUTED_VALUE"""),119)</f>
        <v>119</v>
      </c>
      <c r="AE315" s="1">
        <f ca="1">IFERROR(__xludf.DUMMYFUNCTION("""COMPUTED_VALUE"""),454)</f>
        <v>454</v>
      </c>
      <c r="AF315" s="1">
        <f ca="1">IFERROR(__xludf.DUMMYFUNCTION("""COMPUTED_VALUE"""),533)</f>
        <v>533</v>
      </c>
    </row>
    <row r="316" spans="1:32" ht="12.5" x14ac:dyDescent="0.25">
      <c r="A316" s="1" t="str">
        <f ca="1">IFERROR(__xludf.DUMMYFUNCTION("""COMPUTED_VALUE"""),"Stanford")</f>
        <v>Stanford</v>
      </c>
      <c r="B316" s="1">
        <f ca="1">IFERROR(__xludf.DUMMYFUNCTION("""COMPUTED_VALUE"""),37)</f>
        <v>37</v>
      </c>
      <c r="C316" s="1">
        <f ca="1">IFERROR(__xludf.DUMMYFUNCTION("""COMPUTED_VALUE"""),26)</f>
        <v>26</v>
      </c>
      <c r="D316" s="1">
        <f ca="1">IFERROR(__xludf.DUMMYFUNCTION("""COMPUTED_VALUE"""),11)</f>
        <v>11</v>
      </c>
      <c r="E316" s="1">
        <f ca="1">IFERROR(__xludf.DUMMYFUNCTION("""COMPUTED_VALUE"""),0.703)</f>
        <v>0.70299999999999996</v>
      </c>
      <c r="F316" s="1">
        <f ca="1">IFERROR(__xludf.DUMMYFUNCTION("""COMPUTED_VALUE"""),12.64)</f>
        <v>12.64</v>
      </c>
      <c r="G316" s="1">
        <f ca="1">IFERROR(__xludf.DUMMYFUNCTION("""COMPUTED_VALUE"""),3.99)</f>
        <v>3.99</v>
      </c>
      <c r="H316" s="1">
        <f ca="1">IFERROR(__xludf.DUMMYFUNCTION("""COMPUTED_VALUE"""),10)</f>
        <v>10</v>
      </c>
      <c r="I316" s="1">
        <f ca="1">IFERROR(__xludf.DUMMYFUNCTION("""COMPUTED_VALUE"""),8)</f>
        <v>8</v>
      </c>
      <c r="J316" s="1">
        <f ca="1">IFERROR(__xludf.DUMMYFUNCTION("""COMPUTED_VALUE"""),17)</f>
        <v>17</v>
      </c>
      <c r="K316" s="1">
        <f ca="1">IFERROR(__xludf.DUMMYFUNCTION("""COMPUTED_VALUE"""),3)</f>
        <v>3</v>
      </c>
      <c r="L316" s="1">
        <f ca="1">IFERROR(__xludf.DUMMYFUNCTION("""COMPUTED_VALUE"""),5)</f>
        <v>5</v>
      </c>
      <c r="M316" s="1">
        <f ca="1">IFERROR(__xludf.DUMMYFUNCTION("""COMPUTED_VALUE"""),6)</f>
        <v>6</v>
      </c>
      <c r="N316" s="1">
        <f ca="1">IFERROR(__xludf.DUMMYFUNCTION("""COMPUTED_VALUE"""),2657)</f>
        <v>2657</v>
      </c>
      <c r="O316" s="1">
        <f ca="1">IFERROR(__xludf.DUMMYFUNCTION("""COMPUTED_VALUE"""),2337)</f>
        <v>2337</v>
      </c>
      <c r="P316" s="1">
        <f ca="1">IFERROR(__xludf.DUMMYFUNCTION("""COMPUTED_VALUE"""),1505)</f>
        <v>1505</v>
      </c>
      <c r="Q316" s="1">
        <f ca="1">IFERROR(__xludf.DUMMYFUNCTION("""COMPUTED_VALUE"""),938)</f>
        <v>938</v>
      </c>
      <c r="R316" s="1">
        <f ca="1">IFERROR(__xludf.DUMMYFUNCTION("""COMPUTED_VALUE"""),2107)</f>
        <v>2107</v>
      </c>
      <c r="S316" s="1">
        <f ca="1">IFERROR(__xludf.DUMMYFUNCTION("""COMPUTED_VALUE"""),0.445)</f>
        <v>0.44500000000000001</v>
      </c>
      <c r="T316" s="1">
        <f ca="1">IFERROR(__xludf.DUMMYFUNCTION("""COMPUTED_VALUE"""),252)</f>
        <v>252</v>
      </c>
      <c r="U316" s="1">
        <f ca="1">IFERROR(__xludf.DUMMYFUNCTION("""COMPUTED_VALUE"""),665)</f>
        <v>665</v>
      </c>
      <c r="V316" s="1">
        <f ca="1">IFERROR(__xludf.DUMMYFUNCTION("""COMPUTED_VALUE"""),0.379)</f>
        <v>0.379</v>
      </c>
      <c r="W316" s="1">
        <f ca="1">IFERROR(__xludf.DUMMYFUNCTION("""COMPUTED_VALUE"""),529)</f>
        <v>529</v>
      </c>
      <c r="X316" s="1">
        <f ca="1">IFERROR(__xludf.DUMMYFUNCTION("""COMPUTED_VALUE"""),794)</f>
        <v>794</v>
      </c>
      <c r="Y316" s="1">
        <f ca="1">IFERROR(__xludf.DUMMYFUNCTION("""COMPUTED_VALUE"""),0.666)</f>
        <v>0.66600000000000004</v>
      </c>
      <c r="Z316" s="1">
        <f ca="1">IFERROR(__xludf.DUMMYFUNCTION("""COMPUTED_VALUE"""),451)</f>
        <v>451</v>
      </c>
      <c r="AA316" s="1">
        <f ca="1">IFERROR(__xludf.DUMMYFUNCTION("""COMPUTED_VALUE"""),1227)</f>
        <v>1227</v>
      </c>
      <c r="AB316" s="1">
        <f ca="1">IFERROR(__xludf.DUMMYFUNCTION("""COMPUTED_VALUE"""),475)</f>
        <v>475</v>
      </c>
      <c r="AC316" s="1">
        <f ca="1">IFERROR(__xludf.DUMMYFUNCTION("""COMPUTED_VALUE"""),246)</f>
        <v>246</v>
      </c>
      <c r="AD316" s="1">
        <f ca="1">IFERROR(__xludf.DUMMYFUNCTION("""COMPUTED_VALUE"""),126)</f>
        <v>126</v>
      </c>
      <c r="AE316" s="1">
        <f ca="1">IFERROR(__xludf.DUMMYFUNCTION("""COMPUTED_VALUE"""),512)</f>
        <v>512</v>
      </c>
      <c r="AF316" s="1">
        <f ca="1">IFERROR(__xludf.DUMMYFUNCTION("""COMPUTED_VALUE"""),716)</f>
        <v>716</v>
      </c>
    </row>
    <row r="317" spans="1:32" ht="12.5" x14ac:dyDescent="0.25">
      <c r="A317" s="1" t="str">
        <f ca="1">IFERROR(__xludf.DUMMYFUNCTION("""COMPUTED_VALUE"""),"Stephen F. Austin")</f>
        <v>Stephen F. Austin</v>
      </c>
      <c r="B317" s="1">
        <f ca="1">IFERROR(__xludf.DUMMYFUNCTION("""COMPUTED_VALUE"""),32)</f>
        <v>32</v>
      </c>
      <c r="C317" s="1">
        <f ca="1">IFERROR(__xludf.DUMMYFUNCTION("""COMPUTED_VALUE"""),20)</f>
        <v>20</v>
      </c>
      <c r="D317" s="1">
        <f ca="1">IFERROR(__xludf.DUMMYFUNCTION("""COMPUTED_VALUE"""),12)</f>
        <v>12</v>
      </c>
      <c r="E317" s="1">
        <f ca="1">IFERROR(__xludf.DUMMYFUNCTION("""COMPUTED_VALUE"""),0.625)</f>
        <v>0.625</v>
      </c>
      <c r="F317" s="1">
        <f ca="1">IFERROR(__xludf.DUMMYFUNCTION("""COMPUTED_VALUE"""),-1.46)</f>
        <v>-1.46</v>
      </c>
      <c r="G317" s="1">
        <f ca="1">IFERROR(__xludf.DUMMYFUNCTION("""COMPUTED_VALUE"""),-5.67)</f>
        <v>-5.67</v>
      </c>
      <c r="H317" s="1">
        <f ca="1">IFERROR(__xludf.DUMMYFUNCTION("""COMPUTED_VALUE"""),12)</f>
        <v>12</v>
      </c>
      <c r="I317" s="1">
        <f ca="1">IFERROR(__xludf.DUMMYFUNCTION("""COMPUTED_VALUE"""),4)</f>
        <v>4</v>
      </c>
      <c r="J317" s="1">
        <f ca="1">IFERROR(__xludf.DUMMYFUNCTION("""COMPUTED_VALUE"""),12)</f>
        <v>12</v>
      </c>
      <c r="K317" s="1">
        <f ca="1">IFERROR(__xludf.DUMMYFUNCTION("""COMPUTED_VALUE"""),3)</f>
        <v>3</v>
      </c>
      <c r="L317" s="1">
        <f ca="1">IFERROR(__xludf.DUMMYFUNCTION("""COMPUTED_VALUE"""),7)</f>
        <v>7</v>
      </c>
      <c r="M317" s="1">
        <f ca="1">IFERROR(__xludf.DUMMYFUNCTION("""COMPUTED_VALUE"""),6)</f>
        <v>6</v>
      </c>
      <c r="N317" s="1">
        <f ca="1">IFERROR(__xludf.DUMMYFUNCTION("""COMPUTED_VALUE"""),1970)</f>
        <v>1970</v>
      </c>
      <c r="O317" s="1">
        <f ca="1">IFERROR(__xludf.DUMMYFUNCTION("""COMPUTED_VALUE"""),1741)</f>
        <v>1741</v>
      </c>
      <c r="P317" s="1">
        <f ca="1">IFERROR(__xludf.DUMMYFUNCTION("""COMPUTED_VALUE"""),1290)</f>
        <v>1290</v>
      </c>
      <c r="Q317" s="1">
        <f ca="1">IFERROR(__xludf.DUMMYFUNCTION("""COMPUTED_VALUE"""),724)</f>
        <v>724</v>
      </c>
      <c r="R317" s="1">
        <f ca="1">IFERROR(__xludf.DUMMYFUNCTION("""COMPUTED_VALUE"""),1620)</f>
        <v>1620</v>
      </c>
      <c r="S317" s="1">
        <f ca="1">IFERROR(__xludf.DUMMYFUNCTION("""COMPUTED_VALUE"""),0.447)</f>
        <v>0.44700000000000001</v>
      </c>
      <c r="T317" s="1">
        <f ca="1">IFERROR(__xludf.DUMMYFUNCTION("""COMPUTED_VALUE"""),111)</f>
        <v>111</v>
      </c>
      <c r="U317" s="1">
        <f ca="1">IFERROR(__xludf.DUMMYFUNCTION("""COMPUTED_VALUE"""),387)</f>
        <v>387</v>
      </c>
      <c r="V317" s="1">
        <f ca="1">IFERROR(__xludf.DUMMYFUNCTION("""COMPUTED_VALUE"""),0.287)</f>
        <v>0.28699999999999998</v>
      </c>
      <c r="W317" s="1">
        <f ca="1">IFERROR(__xludf.DUMMYFUNCTION("""COMPUTED_VALUE"""),411)</f>
        <v>411</v>
      </c>
      <c r="X317" s="1">
        <f ca="1">IFERROR(__xludf.DUMMYFUNCTION("""COMPUTED_VALUE"""),650)</f>
        <v>650</v>
      </c>
      <c r="Y317" s="1">
        <f ca="1">IFERROR(__xludf.DUMMYFUNCTION("""COMPUTED_VALUE"""),0.632)</f>
        <v>0.63200000000000001</v>
      </c>
      <c r="Z317" s="1">
        <f ca="1">IFERROR(__xludf.DUMMYFUNCTION("""COMPUTED_VALUE"""),376)</f>
        <v>376</v>
      </c>
      <c r="AA317" s="1">
        <f ca="1">IFERROR(__xludf.DUMMYFUNCTION("""COMPUTED_VALUE"""),1024)</f>
        <v>1024</v>
      </c>
      <c r="AB317" s="1">
        <f ca="1">IFERROR(__xludf.DUMMYFUNCTION("""COMPUTED_VALUE"""),442)</f>
        <v>442</v>
      </c>
      <c r="AC317" s="1">
        <f ca="1">IFERROR(__xludf.DUMMYFUNCTION("""COMPUTED_VALUE"""),229)</f>
        <v>229</v>
      </c>
      <c r="AD317" s="1">
        <f ca="1">IFERROR(__xludf.DUMMYFUNCTION("""COMPUTED_VALUE"""),87)</f>
        <v>87</v>
      </c>
      <c r="AE317" s="1">
        <f ca="1">IFERROR(__xludf.DUMMYFUNCTION("""COMPUTED_VALUE"""),437)</f>
        <v>437</v>
      </c>
      <c r="AF317" s="1">
        <f ca="1">IFERROR(__xludf.DUMMYFUNCTION("""COMPUTED_VALUE"""),535)</f>
        <v>535</v>
      </c>
    </row>
    <row r="318" spans="1:32" ht="12.5" x14ac:dyDescent="0.25">
      <c r="A318" s="1" t="str">
        <f ca="1">IFERROR(__xludf.DUMMYFUNCTION("""COMPUTED_VALUE"""),"Stetson")</f>
        <v>Stetson</v>
      </c>
      <c r="B318" s="1">
        <f ca="1">IFERROR(__xludf.DUMMYFUNCTION("""COMPUTED_VALUE"""),29)</f>
        <v>29</v>
      </c>
      <c r="C318" s="1">
        <f ca="1">IFERROR(__xludf.DUMMYFUNCTION("""COMPUTED_VALUE"""),9)</f>
        <v>9</v>
      </c>
      <c r="D318" s="1">
        <f ca="1">IFERROR(__xludf.DUMMYFUNCTION("""COMPUTED_VALUE"""),20)</f>
        <v>20</v>
      </c>
      <c r="E318" s="1">
        <f ca="1">IFERROR(__xludf.DUMMYFUNCTION("""COMPUTED_VALUE"""),0.31)</f>
        <v>0.31</v>
      </c>
      <c r="F318" s="1">
        <f ca="1">IFERROR(__xludf.DUMMYFUNCTION("""COMPUTED_VALUE"""),-7.48)</f>
        <v>-7.48</v>
      </c>
      <c r="G318" s="1">
        <f ca="1">IFERROR(__xludf.DUMMYFUNCTION("""COMPUTED_VALUE"""),-0.66)</f>
        <v>-0.66</v>
      </c>
      <c r="H318" s="1">
        <f ca="1">IFERROR(__xludf.DUMMYFUNCTION("""COMPUTED_VALUE"""),6)</f>
        <v>6</v>
      </c>
      <c r="I318" s="1">
        <f ca="1">IFERROR(__xludf.DUMMYFUNCTION("""COMPUTED_VALUE"""),12)</f>
        <v>12</v>
      </c>
      <c r="J318" s="1">
        <f ca="1">IFERROR(__xludf.DUMMYFUNCTION("""COMPUTED_VALUE"""),6)</f>
        <v>6</v>
      </c>
      <c r="K318" s="1">
        <f ca="1">IFERROR(__xludf.DUMMYFUNCTION("""COMPUTED_VALUE"""),6)</f>
        <v>6</v>
      </c>
      <c r="L318" s="1">
        <f ca="1">IFERROR(__xludf.DUMMYFUNCTION("""COMPUTED_VALUE"""),3)</f>
        <v>3</v>
      </c>
      <c r="M318" s="1">
        <f ca="1">IFERROR(__xludf.DUMMYFUNCTION("""COMPUTED_VALUE"""),12)</f>
        <v>12</v>
      </c>
      <c r="N318" s="1">
        <f ca="1">IFERROR(__xludf.DUMMYFUNCTION("""COMPUTED_VALUE"""),2089)</f>
        <v>2089</v>
      </c>
      <c r="O318" s="1">
        <f ca="1">IFERROR(__xludf.DUMMYFUNCTION("""COMPUTED_VALUE"""),2275)</f>
        <v>2275</v>
      </c>
      <c r="P318" s="1">
        <f ca="1">IFERROR(__xludf.DUMMYFUNCTION("""COMPUTED_VALUE"""),1175)</f>
        <v>1175</v>
      </c>
      <c r="Q318" s="1">
        <f ca="1">IFERROR(__xludf.DUMMYFUNCTION("""COMPUTED_VALUE"""),732)</f>
        <v>732</v>
      </c>
      <c r="R318" s="1">
        <f ca="1">IFERROR(__xludf.DUMMYFUNCTION("""COMPUTED_VALUE"""),1660)</f>
        <v>1660</v>
      </c>
      <c r="S318" s="1">
        <f ca="1">IFERROR(__xludf.DUMMYFUNCTION("""COMPUTED_VALUE"""),0.441)</f>
        <v>0.441</v>
      </c>
      <c r="T318" s="1">
        <f ca="1">IFERROR(__xludf.DUMMYFUNCTION("""COMPUTED_VALUE"""),229)</f>
        <v>229</v>
      </c>
      <c r="U318" s="1">
        <f ca="1">IFERROR(__xludf.DUMMYFUNCTION("""COMPUTED_VALUE"""),667)</f>
        <v>667</v>
      </c>
      <c r="V318" s="1">
        <f ca="1">IFERROR(__xludf.DUMMYFUNCTION("""COMPUTED_VALUE"""),0.343)</f>
        <v>0.34300000000000003</v>
      </c>
      <c r="W318" s="1">
        <f ca="1">IFERROR(__xludf.DUMMYFUNCTION("""COMPUTED_VALUE"""),396)</f>
        <v>396</v>
      </c>
      <c r="X318" s="1">
        <f ca="1">IFERROR(__xludf.DUMMYFUNCTION("""COMPUTED_VALUE"""),570)</f>
        <v>570</v>
      </c>
      <c r="Y318" s="1">
        <f ca="1">IFERROR(__xludf.DUMMYFUNCTION("""COMPUTED_VALUE"""),0.695)</f>
        <v>0.69499999999999995</v>
      </c>
      <c r="Z318" s="1">
        <f ca="1">IFERROR(__xludf.DUMMYFUNCTION("""COMPUTED_VALUE"""),341)</f>
        <v>341</v>
      </c>
      <c r="AA318" s="1">
        <f ca="1">IFERROR(__xludf.DUMMYFUNCTION("""COMPUTED_VALUE"""),973)</f>
        <v>973</v>
      </c>
      <c r="AB318" s="1">
        <f ca="1">IFERROR(__xludf.DUMMYFUNCTION("""COMPUTED_VALUE"""),434)</f>
        <v>434</v>
      </c>
      <c r="AC318" s="1">
        <f ca="1">IFERROR(__xludf.DUMMYFUNCTION("""COMPUTED_VALUE"""),188)</f>
        <v>188</v>
      </c>
      <c r="AD318" s="1">
        <f ca="1">IFERROR(__xludf.DUMMYFUNCTION("""COMPUTED_VALUE"""),83)</f>
        <v>83</v>
      </c>
      <c r="AE318" s="1">
        <f ca="1">IFERROR(__xludf.DUMMYFUNCTION("""COMPUTED_VALUE"""),514)</f>
        <v>514</v>
      </c>
      <c r="AF318" s="1">
        <f ca="1">IFERROR(__xludf.DUMMYFUNCTION("""COMPUTED_VALUE"""),560)</f>
        <v>560</v>
      </c>
    </row>
    <row r="319" spans="1:32" ht="12.5" x14ac:dyDescent="0.25">
      <c r="A319" s="1" t="str">
        <f ca="1">IFERROR(__xludf.DUMMYFUNCTION("""COMPUTED_VALUE"""),"Stony Brook")</f>
        <v>Stony Brook</v>
      </c>
      <c r="B319" s="1">
        <f ca="1">IFERROR(__xludf.DUMMYFUNCTION("""COMPUTED_VALUE"""),32)</f>
        <v>32</v>
      </c>
      <c r="C319" s="1">
        <f ca="1">IFERROR(__xludf.DUMMYFUNCTION("""COMPUTED_VALUE"""),22)</f>
        <v>22</v>
      </c>
      <c r="D319" s="1">
        <f ca="1">IFERROR(__xludf.DUMMYFUNCTION("""COMPUTED_VALUE"""),10)</f>
        <v>10</v>
      </c>
      <c r="E319" s="1">
        <f ca="1">IFERROR(__xludf.DUMMYFUNCTION("""COMPUTED_VALUE"""),0.688)</f>
        <v>0.68799999999999994</v>
      </c>
      <c r="F319" s="1">
        <f ca="1">IFERROR(__xludf.DUMMYFUNCTION("""COMPUTED_VALUE"""),-0.45)</f>
        <v>-0.45</v>
      </c>
      <c r="G319" s="1">
        <f ca="1">IFERROR(__xludf.DUMMYFUNCTION("""COMPUTED_VALUE"""),-6.22)</f>
        <v>-6.22</v>
      </c>
      <c r="H319" s="1">
        <f ca="1">IFERROR(__xludf.DUMMYFUNCTION("""COMPUTED_VALUE"""),14)</f>
        <v>14</v>
      </c>
      <c r="I319" s="1">
        <f ca="1">IFERROR(__xludf.DUMMYFUNCTION("""COMPUTED_VALUE"""),2)</f>
        <v>2</v>
      </c>
      <c r="J319" s="1">
        <f ca="1">IFERROR(__xludf.DUMMYFUNCTION("""COMPUTED_VALUE"""),13)</f>
        <v>13</v>
      </c>
      <c r="K319" s="1">
        <f ca="1">IFERROR(__xludf.DUMMYFUNCTION("""COMPUTED_VALUE"""),1)</f>
        <v>1</v>
      </c>
      <c r="L319" s="1">
        <f ca="1">IFERROR(__xludf.DUMMYFUNCTION("""COMPUTED_VALUE"""),7)</f>
        <v>7</v>
      </c>
      <c r="M319" s="1">
        <f ca="1">IFERROR(__xludf.DUMMYFUNCTION("""COMPUTED_VALUE"""),8)</f>
        <v>8</v>
      </c>
      <c r="N319" s="1">
        <f ca="1">IFERROR(__xludf.DUMMYFUNCTION("""COMPUTED_VALUE"""),2125)</f>
        <v>2125</v>
      </c>
      <c r="O319" s="1">
        <f ca="1">IFERROR(__xludf.DUMMYFUNCTION("""COMPUTED_VALUE"""),1892)</f>
        <v>1892</v>
      </c>
      <c r="P319" s="1">
        <f ca="1">IFERROR(__xludf.DUMMYFUNCTION("""COMPUTED_VALUE"""),1285)</f>
        <v>1285</v>
      </c>
      <c r="Q319" s="1">
        <f ca="1">IFERROR(__xludf.DUMMYFUNCTION("""COMPUTED_VALUE"""),768)</f>
        <v>768</v>
      </c>
      <c r="R319" s="1">
        <f ca="1">IFERROR(__xludf.DUMMYFUNCTION("""COMPUTED_VALUE"""),1800)</f>
        <v>1800</v>
      </c>
      <c r="S319" s="1">
        <f ca="1">IFERROR(__xludf.DUMMYFUNCTION("""COMPUTED_VALUE"""),0.427)</f>
        <v>0.42699999999999999</v>
      </c>
      <c r="T319" s="1">
        <f ca="1">IFERROR(__xludf.DUMMYFUNCTION("""COMPUTED_VALUE"""),199)</f>
        <v>199</v>
      </c>
      <c r="U319" s="1">
        <f ca="1">IFERROR(__xludf.DUMMYFUNCTION("""COMPUTED_VALUE"""),604)</f>
        <v>604</v>
      </c>
      <c r="V319" s="1">
        <f ca="1">IFERROR(__xludf.DUMMYFUNCTION("""COMPUTED_VALUE"""),0.329)</f>
        <v>0.32900000000000001</v>
      </c>
      <c r="W319" s="1">
        <f ca="1">IFERROR(__xludf.DUMMYFUNCTION("""COMPUTED_VALUE"""),390)</f>
        <v>390</v>
      </c>
      <c r="X319" s="1">
        <f ca="1">IFERROR(__xludf.DUMMYFUNCTION("""COMPUTED_VALUE"""),563)</f>
        <v>563</v>
      </c>
      <c r="Y319" s="1">
        <f ca="1">IFERROR(__xludf.DUMMYFUNCTION("""COMPUTED_VALUE"""),0.693)</f>
        <v>0.69299999999999995</v>
      </c>
      <c r="Z319" s="1">
        <f ca="1">IFERROR(__xludf.DUMMYFUNCTION("""COMPUTED_VALUE"""),448)</f>
        <v>448</v>
      </c>
      <c r="AA319" s="1">
        <f ca="1">IFERROR(__xludf.DUMMYFUNCTION("""COMPUTED_VALUE"""),1082)</f>
        <v>1082</v>
      </c>
      <c r="AB319" s="1">
        <f ca="1">IFERROR(__xludf.DUMMYFUNCTION("""COMPUTED_VALUE"""),353)</f>
        <v>353</v>
      </c>
      <c r="AC319" s="1">
        <f ca="1">IFERROR(__xludf.DUMMYFUNCTION("""COMPUTED_VALUE"""),177)</f>
        <v>177</v>
      </c>
      <c r="AD319" s="1">
        <f ca="1">IFERROR(__xludf.DUMMYFUNCTION("""COMPUTED_VALUE"""),53)</f>
        <v>53</v>
      </c>
      <c r="AE319" s="1">
        <f ca="1">IFERROR(__xludf.DUMMYFUNCTION("""COMPUTED_VALUE"""),395)</f>
        <v>395</v>
      </c>
      <c r="AF319" s="1">
        <f ca="1">IFERROR(__xludf.DUMMYFUNCTION("""COMPUTED_VALUE"""),483)</f>
        <v>483</v>
      </c>
    </row>
    <row r="320" spans="1:32" ht="12.5" x14ac:dyDescent="0.25">
      <c r="A320" s="1" t="str">
        <f ca="1">IFERROR(__xludf.DUMMYFUNCTION("""COMPUTED_VALUE"""),"SyracuseNCAA")</f>
        <v>SyracuseNCAA</v>
      </c>
      <c r="B320" s="1">
        <f ca="1">IFERROR(__xludf.DUMMYFUNCTION("""COMPUTED_VALUE"""),37)</f>
        <v>37</v>
      </c>
      <c r="C320" s="1">
        <f ca="1">IFERROR(__xludf.DUMMYFUNCTION("""COMPUTED_VALUE"""),34)</f>
        <v>34</v>
      </c>
      <c r="D320" s="1">
        <f ca="1">IFERROR(__xludf.DUMMYFUNCTION("""COMPUTED_VALUE"""),3)</f>
        <v>3</v>
      </c>
      <c r="E320" s="1">
        <f ca="1">IFERROR(__xludf.DUMMYFUNCTION("""COMPUTED_VALUE"""),0.919)</f>
        <v>0.91900000000000004</v>
      </c>
      <c r="F320" s="1">
        <f ca="1">IFERROR(__xludf.DUMMYFUNCTION("""COMPUTED_VALUE"""),21.12)</f>
        <v>21.12</v>
      </c>
      <c r="G320" s="1">
        <f ca="1">IFERROR(__xludf.DUMMYFUNCTION("""COMPUTED_VALUE"""),8.02)</f>
        <v>8.02</v>
      </c>
      <c r="H320" s="1">
        <f ca="1">IFERROR(__xludf.DUMMYFUNCTION("""COMPUTED_VALUE"""),17)</f>
        <v>17</v>
      </c>
      <c r="I320" s="1">
        <f ca="1">IFERROR(__xludf.DUMMYFUNCTION("""COMPUTED_VALUE"""),1)</f>
        <v>1</v>
      </c>
      <c r="J320" s="1">
        <f ca="1">IFERROR(__xludf.DUMMYFUNCTION("""COMPUTED_VALUE"""),19)</f>
        <v>19</v>
      </c>
      <c r="K320" s="1">
        <f ca="1">IFERROR(__xludf.DUMMYFUNCTION("""COMPUTED_VALUE"""),0)</f>
        <v>0</v>
      </c>
      <c r="L320" s="1">
        <f ca="1">IFERROR(__xludf.DUMMYFUNCTION("""COMPUTED_VALUE"""),9)</f>
        <v>9</v>
      </c>
      <c r="M320" s="1">
        <f ca="1">IFERROR(__xludf.DUMMYFUNCTION("""COMPUTED_VALUE"""),1)</f>
        <v>1</v>
      </c>
      <c r="N320" s="1">
        <f ca="1">IFERROR(__xludf.DUMMYFUNCTION("""COMPUTED_VALUE"""),2742)</f>
        <v>2742</v>
      </c>
      <c r="O320" s="1">
        <f ca="1">IFERROR(__xludf.DUMMYFUNCTION("""COMPUTED_VALUE"""),2257)</f>
        <v>2257</v>
      </c>
      <c r="P320" s="1">
        <f ca="1">IFERROR(__xludf.DUMMYFUNCTION("""COMPUTED_VALUE"""),1485)</f>
        <v>1485</v>
      </c>
      <c r="Q320" s="1">
        <f ca="1">IFERROR(__xludf.DUMMYFUNCTION("""COMPUTED_VALUE"""),1006)</f>
        <v>1006</v>
      </c>
      <c r="R320" s="1">
        <f ca="1">IFERROR(__xludf.DUMMYFUNCTION("""COMPUTED_VALUE"""),2156)</f>
        <v>2156</v>
      </c>
      <c r="S320" s="1">
        <f ca="1">IFERROR(__xludf.DUMMYFUNCTION("""COMPUTED_VALUE"""),0.467)</f>
        <v>0.46700000000000003</v>
      </c>
      <c r="T320" s="1">
        <f ca="1">IFERROR(__xludf.DUMMYFUNCTION("""COMPUTED_VALUE"""),233)</f>
        <v>233</v>
      </c>
      <c r="U320" s="1">
        <f ca="1">IFERROR(__xludf.DUMMYFUNCTION("""COMPUTED_VALUE"""),668)</f>
        <v>668</v>
      </c>
      <c r="V320" s="1">
        <f ca="1">IFERROR(__xludf.DUMMYFUNCTION("""COMPUTED_VALUE"""),0.349)</f>
        <v>0.34899999999999998</v>
      </c>
      <c r="W320" s="1">
        <f ca="1">IFERROR(__xludf.DUMMYFUNCTION("""COMPUTED_VALUE"""),495)</f>
        <v>495</v>
      </c>
      <c r="X320" s="1">
        <f ca="1">IFERROR(__xludf.DUMMYFUNCTION("""COMPUTED_VALUE"""),709)</f>
        <v>709</v>
      </c>
      <c r="Y320" s="1">
        <f ca="1">IFERROR(__xludf.DUMMYFUNCTION("""COMPUTED_VALUE"""),0.698)</f>
        <v>0.69799999999999995</v>
      </c>
      <c r="Z320" s="1">
        <f ca="1">IFERROR(__xludf.DUMMYFUNCTION("""COMPUTED_VALUE"""),459)</f>
        <v>459</v>
      </c>
      <c r="AA320" s="1">
        <f ca="1">IFERROR(__xludf.DUMMYFUNCTION("""COMPUTED_VALUE"""),1181)</f>
        <v>1181</v>
      </c>
      <c r="AB320" s="1">
        <f ca="1">IFERROR(__xludf.DUMMYFUNCTION("""COMPUTED_VALUE"""),564)</f>
        <v>564</v>
      </c>
      <c r="AC320" s="1">
        <f ca="1">IFERROR(__xludf.DUMMYFUNCTION("""COMPUTED_VALUE"""),338)</f>
        <v>338</v>
      </c>
      <c r="AD320" s="1">
        <f ca="1">IFERROR(__xludf.DUMMYFUNCTION("""COMPUTED_VALUE"""),255)</f>
        <v>255</v>
      </c>
      <c r="AE320" s="1">
        <f ca="1">IFERROR(__xludf.DUMMYFUNCTION("""COMPUTED_VALUE"""),389)</f>
        <v>389</v>
      </c>
      <c r="AF320" s="1">
        <f ca="1">IFERROR(__xludf.DUMMYFUNCTION("""COMPUTED_VALUE"""),574)</f>
        <v>574</v>
      </c>
    </row>
    <row r="321" spans="1:32" ht="12.5" x14ac:dyDescent="0.25">
      <c r="A321" s="1" t="str">
        <f ca="1">IFERROR(__xludf.DUMMYFUNCTION("""COMPUTED_VALUE"""),"TempleNCAA")</f>
        <v>TempleNCAA</v>
      </c>
      <c r="B321" s="1">
        <f ca="1">IFERROR(__xludf.DUMMYFUNCTION("""COMPUTED_VALUE"""),32)</f>
        <v>32</v>
      </c>
      <c r="C321" s="1">
        <f ca="1">IFERROR(__xludf.DUMMYFUNCTION("""COMPUTED_VALUE"""),24)</f>
        <v>24</v>
      </c>
      <c r="D321" s="1">
        <f ca="1">IFERROR(__xludf.DUMMYFUNCTION("""COMPUTED_VALUE"""),8)</f>
        <v>8</v>
      </c>
      <c r="E321" s="1">
        <f ca="1">IFERROR(__xludf.DUMMYFUNCTION("""COMPUTED_VALUE"""),0.75)</f>
        <v>0.75</v>
      </c>
      <c r="F321" s="1">
        <f ca="1">IFERROR(__xludf.DUMMYFUNCTION("""COMPUTED_VALUE"""),10.44)</f>
        <v>10.44</v>
      </c>
      <c r="G321" s="1">
        <f ca="1">IFERROR(__xludf.DUMMYFUNCTION("""COMPUTED_VALUE"""),4.94)</f>
        <v>4.9400000000000004</v>
      </c>
      <c r="H321" s="1">
        <f ca="1">IFERROR(__xludf.DUMMYFUNCTION("""COMPUTED_VALUE"""),13)</f>
        <v>13</v>
      </c>
      <c r="I321" s="1">
        <f ca="1">IFERROR(__xludf.DUMMYFUNCTION("""COMPUTED_VALUE"""),3)</f>
        <v>3</v>
      </c>
      <c r="J321" s="1">
        <f ca="1">IFERROR(__xludf.DUMMYFUNCTION("""COMPUTED_VALUE"""),10)</f>
        <v>10</v>
      </c>
      <c r="K321" s="1">
        <f ca="1">IFERROR(__xludf.DUMMYFUNCTION("""COMPUTED_VALUE"""),1)</f>
        <v>1</v>
      </c>
      <c r="L321" s="1">
        <f ca="1">IFERROR(__xludf.DUMMYFUNCTION("""COMPUTED_VALUE"""),10)</f>
        <v>10</v>
      </c>
      <c r="M321" s="1">
        <f ca="1">IFERROR(__xludf.DUMMYFUNCTION("""COMPUTED_VALUE"""),4)</f>
        <v>4</v>
      </c>
      <c r="N321" s="1">
        <f ca="1">IFERROR(__xludf.DUMMYFUNCTION("""COMPUTED_VALUE"""),2401)</f>
        <v>2401</v>
      </c>
      <c r="O321" s="1">
        <f ca="1">IFERROR(__xludf.DUMMYFUNCTION("""COMPUTED_VALUE"""),2225)</f>
        <v>2225</v>
      </c>
      <c r="P321" s="1">
        <f ca="1">IFERROR(__xludf.DUMMYFUNCTION("""COMPUTED_VALUE"""),1305)</f>
        <v>1305</v>
      </c>
      <c r="Q321" s="1">
        <f ca="1">IFERROR(__xludf.DUMMYFUNCTION("""COMPUTED_VALUE"""),861)</f>
        <v>861</v>
      </c>
      <c r="R321" s="1">
        <f ca="1">IFERROR(__xludf.DUMMYFUNCTION("""COMPUTED_VALUE"""),1836)</f>
        <v>1836</v>
      </c>
      <c r="S321" s="1">
        <f ca="1">IFERROR(__xludf.DUMMYFUNCTION("""COMPUTED_VALUE"""),0.469)</f>
        <v>0.46899999999999997</v>
      </c>
      <c r="T321" s="1">
        <f ca="1">IFERROR(__xludf.DUMMYFUNCTION("""COMPUTED_VALUE"""),228)</f>
        <v>228</v>
      </c>
      <c r="U321" s="1">
        <f ca="1">IFERROR(__xludf.DUMMYFUNCTION("""COMPUTED_VALUE"""),574)</f>
        <v>574</v>
      </c>
      <c r="V321" s="1">
        <f ca="1">IFERROR(__xludf.DUMMYFUNCTION("""COMPUTED_VALUE"""),0.397)</f>
        <v>0.39700000000000002</v>
      </c>
      <c r="W321" s="1">
        <f ca="1">IFERROR(__xludf.DUMMYFUNCTION("""COMPUTED_VALUE"""),451)</f>
        <v>451</v>
      </c>
      <c r="X321" s="1">
        <f ca="1">IFERROR(__xludf.DUMMYFUNCTION("""COMPUTED_VALUE"""),627)</f>
        <v>627</v>
      </c>
      <c r="Y321" s="1">
        <f ca="1">IFERROR(__xludf.DUMMYFUNCTION("""COMPUTED_VALUE"""),0.719)</f>
        <v>0.71899999999999997</v>
      </c>
      <c r="Z321" s="1">
        <f ca="1">IFERROR(__xludf.DUMMYFUNCTION("""COMPUTED_VALUE"""),333)</f>
        <v>333</v>
      </c>
      <c r="AA321" s="1">
        <f ca="1">IFERROR(__xludf.DUMMYFUNCTION("""COMPUTED_VALUE"""),1019)</f>
        <v>1019</v>
      </c>
      <c r="AB321" s="1">
        <f ca="1">IFERROR(__xludf.DUMMYFUNCTION("""COMPUTED_VALUE"""),493)</f>
        <v>493</v>
      </c>
      <c r="AC321" s="1">
        <f ca="1">IFERROR(__xludf.DUMMYFUNCTION("""COMPUTED_VALUE"""),230)</f>
        <v>230</v>
      </c>
      <c r="AD321" s="1">
        <f ca="1">IFERROR(__xludf.DUMMYFUNCTION("""COMPUTED_VALUE"""),134)</f>
        <v>134</v>
      </c>
      <c r="AE321" s="1">
        <f ca="1">IFERROR(__xludf.DUMMYFUNCTION("""COMPUTED_VALUE"""),401)</f>
        <v>401</v>
      </c>
      <c r="AF321" s="1">
        <f ca="1">IFERROR(__xludf.DUMMYFUNCTION("""COMPUTED_VALUE"""),567)</f>
        <v>567</v>
      </c>
    </row>
    <row r="322" spans="1:32" ht="12.5" x14ac:dyDescent="0.25">
      <c r="A322" s="1" t="str">
        <f ca="1">IFERROR(__xludf.DUMMYFUNCTION("""COMPUTED_VALUE"""),"Tennessee-Martin")</f>
        <v>Tennessee-Martin</v>
      </c>
      <c r="B322" s="1">
        <f ca="1">IFERROR(__xludf.DUMMYFUNCTION("""COMPUTED_VALUE"""),31)</f>
        <v>31</v>
      </c>
      <c r="C322" s="1">
        <f ca="1">IFERROR(__xludf.DUMMYFUNCTION("""COMPUTED_VALUE"""),4)</f>
        <v>4</v>
      </c>
      <c r="D322" s="1">
        <f ca="1">IFERROR(__xludf.DUMMYFUNCTION("""COMPUTED_VALUE"""),27)</f>
        <v>27</v>
      </c>
      <c r="E322" s="1">
        <f ca="1">IFERROR(__xludf.DUMMYFUNCTION("""COMPUTED_VALUE"""),0.129)</f>
        <v>0.129</v>
      </c>
      <c r="F322" s="1">
        <f ca="1">IFERROR(__xludf.DUMMYFUNCTION("""COMPUTED_VALUE"""),-17.09)</f>
        <v>-17.09</v>
      </c>
      <c r="G322" s="1">
        <f ca="1">IFERROR(__xludf.DUMMYFUNCTION("""COMPUTED_VALUE"""),-3.15)</f>
        <v>-3.15</v>
      </c>
      <c r="H322" s="1">
        <f ca="1">IFERROR(__xludf.DUMMYFUNCTION("""COMPUTED_VALUE"""),0)</f>
        <v>0</v>
      </c>
      <c r="I322" s="1">
        <f ca="1">IFERROR(__xludf.DUMMYFUNCTION("""COMPUTED_VALUE"""),16)</f>
        <v>16</v>
      </c>
      <c r="J322" s="1">
        <f ca="1">IFERROR(__xludf.DUMMYFUNCTION("""COMPUTED_VALUE"""),2)</f>
        <v>2</v>
      </c>
      <c r="K322" s="1">
        <f ca="1">IFERROR(__xludf.DUMMYFUNCTION("""COMPUTED_VALUE"""),12)</f>
        <v>12</v>
      </c>
      <c r="L322" s="1">
        <f ca="1">IFERROR(__xludf.DUMMYFUNCTION("""COMPUTED_VALUE"""),2)</f>
        <v>2</v>
      </c>
      <c r="M322" s="1">
        <f ca="1">IFERROR(__xludf.DUMMYFUNCTION("""COMPUTED_VALUE"""),15)</f>
        <v>15</v>
      </c>
      <c r="N322" s="1">
        <f ca="1">IFERROR(__xludf.DUMMYFUNCTION("""COMPUTED_VALUE"""),1943)</f>
        <v>1943</v>
      </c>
      <c r="O322" s="1">
        <f ca="1">IFERROR(__xludf.DUMMYFUNCTION("""COMPUTED_VALUE"""),2327)</f>
        <v>2327</v>
      </c>
      <c r="P322" s="1">
        <f ca="1">IFERROR(__xludf.DUMMYFUNCTION("""COMPUTED_VALUE"""),1255)</f>
        <v>1255</v>
      </c>
      <c r="Q322" s="1">
        <f ca="1">IFERROR(__xludf.DUMMYFUNCTION("""COMPUTED_VALUE"""),701)</f>
        <v>701</v>
      </c>
      <c r="R322" s="1">
        <f ca="1">IFERROR(__xludf.DUMMYFUNCTION("""COMPUTED_VALUE"""),1698)</f>
        <v>1698</v>
      </c>
      <c r="S322" s="1">
        <f ca="1">IFERROR(__xludf.DUMMYFUNCTION("""COMPUTED_VALUE"""),0.413)</f>
        <v>0.41299999999999998</v>
      </c>
      <c r="T322" s="1">
        <f ca="1">IFERROR(__xludf.DUMMYFUNCTION("""COMPUTED_VALUE"""),125)</f>
        <v>125</v>
      </c>
      <c r="U322" s="1">
        <f ca="1">IFERROR(__xludf.DUMMYFUNCTION("""COMPUTED_VALUE"""),437)</f>
        <v>437</v>
      </c>
      <c r="V322" s="1">
        <f ca="1">IFERROR(__xludf.DUMMYFUNCTION("""COMPUTED_VALUE"""),0.286)</f>
        <v>0.28599999999999998</v>
      </c>
      <c r="W322" s="1">
        <f ca="1">IFERROR(__xludf.DUMMYFUNCTION("""COMPUTED_VALUE"""),416)</f>
        <v>416</v>
      </c>
      <c r="X322" s="1">
        <f ca="1">IFERROR(__xludf.DUMMYFUNCTION("""COMPUTED_VALUE"""),592)</f>
        <v>592</v>
      </c>
      <c r="Y322" s="1">
        <f ca="1">IFERROR(__xludf.DUMMYFUNCTION("""COMPUTED_VALUE"""),0.703)</f>
        <v>0.70299999999999996</v>
      </c>
      <c r="Z322" s="1">
        <f ca="1">IFERROR(__xludf.DUMMYFUNCTION("""COMPUTED_VALUE"""),371)</f>
        <v>371</v>
      </c>
      <c r="AA322" s="1">
        <f ca="1">IFERROR(__xludf.DUMMYFUNCTION("""COMPUTED_VALUE"""),892)</f>
        <v>892</v>
      </c>
      <c r="AB322" s="1">
        <f ca="1">IFERROR(__xludf.DUMMYFUNCTION("""COMPUTED_VALUE"""),403)</f>
        <v>403</v>
      </c>
      <c r="AC322" s="1">
        <f ca="1">IFERROR(__xludf.DUMMYFUNCTION("""COMPUTED_VALUE"""),187)</f>
        <v>187</v>
      </c>
      <c r="AD322" s="1">
        <f ca="1">IFERROR(__xludf.DUMMYFUNCTION("""COMPUTED_VALUE"""),73)</f>
        <v>73</v>
      </c>
      <c r="AE322" s="1">
        <f ca="1">IFERROR(__xludf.DUMMYFUNCTION("""COMPUTED_VALUE"""),478)</f>
        <v>478</v>
      </c>
      <c r="AF322" s="1">
        <f ca="1">IFERROR(__xludf.DUMMYFUNCTION("""COMPUTED_VALUE"""),602)</f>
        <v>602</v>
      </c>
    </row>
    <row r="323" spans="1:32" ht="12.5" x14ac:dyDescent="0.25">
      <c r="A323" s="1" t="str">
        <f ca="1">IFERROR(__xludf.DUMMYFUNCTION("""COMPUTED_VALUE"""),"Tennessee State")</f>
        <v>Tennessee State</v>
      </c>
      <c r="B323" s="1">
        <f ca="1">IFERROR(__xludf.DUMMYFUNCTION("""COMPUTED_VALUE"""),33)</f>
        <v>33</v>
      </c>
      <c r="C323" s="1">
        <f ca="1">IFERROR(__xludf.DUMMYFUNCTION("""COMPUTED_VALUE"""),20)</f>
        <v>20</v>
      </c>
      <c r="D323" s="1">
        <f ca="1">IFERROR(__xludf.DUMMYFUNCTION("""COMPUTED_VALUE"""),13)</f>
        <v>13</v>
      </c>
      <c r="E323" s="1">
        <f ca="1">IFERROR(__xludf.DUMMYFUNCTION("""COMPUTED_VALUE"""),0.606)</f>
        <v>0.60599999999999998</v>
      </c>
      <c r="F323" s="1">
        <f ca="1">IFERROR(__xludf.DUMMYFUNCTION("""COMPUTED_VALUE"""),-3.06)</f>
        <v>-3.06</v>
      </c>
      <c r="G323" s="1">
        <f ca="1">IFERROR(__xludf.DUMMYFUNCTION("""COMPUTED_VALUE"""),-2.73)</f>
        <v>-2.73</v>
      </c>
      <c r="H323" s="1">
        <f ca="1">IFERROR(__xludf.DUMMYFUNCTION("""COMPUTED_VALUE"""),11)</f>
        <v>11</v>
      </c>
      <c r="I323" s="1">
        <f ca="1">IFERROR(__xludf.DUMMYFUNCTION("""COMPUTED_VALUE"""),5)</f>
        <v>5</v>
      </c>
      <c r="J323" s="1">
        <f ca="1">IFERROR(__xludf.DUMMYFUNCTION("""COMPUTED_VALUE"""),11)</f>
        <v>11</v>
      </c>
      <c r="K323" s="1">
        <f ca="1">IFERROR(__xludf.DUMMYFUNCTION("""COMPUTED_VALUE"""),2)</f>
        <v>2</v>
      </c>
      <c r="L323" s="1">
        <f ca="1">IFERROR(__xludf.DUMMYFUNCTION("""COMPUTED_VALUE"""),7)</f>
        <v>7</v>
      </c>
      <c r="M323" s="1">
        <f ca="1">IFERROR(__xludf.DUMMYFUNCTION("""COMPUTED_VALUE"""),9)</f>
        <v>9</v>
      </c>
      <c r="N323" s="1">
        <f ca="1">IFERROR(__xludf.DUMMYFUNCTION("""COMPUTED_VALUE"""),2250)</f>
        <v>2250</v>
      </c>
      <c r="O323" s="1">
        <f ca="1">IFERROR(__xludf.DUMMYFUNCTION("""COMPUTED_VALUE"""),2199)</f>
        <v>2199</v>
      </c>
      <c r="P323" s="1">
        <f ca="1">IFERROR(__xludf.DUMMYFUNCTION("""COMPUTED_VALUE"""),1345)</f>
        <v>1345</v>
      </c>
      <c r="Q323" s="1">
        <f ca="1">IFERROR(__xludf.DUMMYFUNCTION("""COMPUTED_VALUE"""),774)</f>
        <v>774</v>
      </c>
      <c r="R323" s="1">
        <f ca="1">IFERROR(__xludf.DUMMYFUNCTION("""COMPUTED_VALUE"""),1772)</f>
        <v>1772</v>
      </c>
      <c r="S323" s="1">
        <f ca="1">IFERROR(__xludf.DUMMYFUNCTION("""COMPUTED_VALUE"""),0.437)</f>
        <v>0.437</v>
      </c>
      <c r="T323" s="1">
        <f ca="1">IFERROR(__xludf.DUMMYFUNCTION("""COMPUTED_VALUE"""),203)</f>
        <v>203</v>
      </c>
      <c r="U323" s="1">
        <f ca="1">IFERROR(__xludf.DUMMYFUNCTION("""COMPUTED_VALUE"""),586)</f>
        <v>586</v>
      </c>
      <c r="V323" s="1">
        <f ca="1">IFERROR(__xludf.DUMMYFUNCTION("""COMPUTED_VALUE"""),0.346)</f>
        <v>0.34599999999999997</v>
      </c>
      <c r="W323" s="1">
        <f ca="1">IFERROR(__xludf.DUMMYFUNCTION("""COMPUTED_VALUE"""),499)</f>
        <v>499</v>
      </c>
      <c r="X323" s="1">
        <f ca="1">IFERROR(__xludf.DUMMYFUNCTION("""COMPUTED_VALUE"""),724)</f>
        <v>724</v>
      </c>
      <c r="Y323" s="1">
        <f ca="1">IFERROR(__xludf.DUMMYFUNCTION("""COMPUTED_VALUE"""),0.689)</f>
        <v>0.68899999999999995</v>
      </c>
      <c r="Z323" s="1">
        <f ca="1">IFERROR(__xludf.DUMMYFUNCTION("""COMPUTED_VALUE"""),396)</f>
        <v>396</v>
      </c>
      <c r="AA323" s="1">
        <f ca="1">IFERROR(__xludf.DUMMYFUNCTION("""COMPUTED_VALUE"""),1023)</f>
        <v>1023</v>
      </c>
      <c r="AB323" s="1">
        <f ca="1">IFERROR(__xludf.DUMMYFUNCTION("""COMPUTED_VALUE"""),415)</f>
        <v>415</v>
      </c>
      <c r="AC323" s="1">
        <f ca="1">IFERROR(__xludf.DUMMYFUNCTION("""COMPUTED_VALUE"""),248)</f>
        <v>248</v>
      </c>
      <c r="AD323" s="1">
        <f ca="1">IFERROR(__xludf.DUMMYFUNCTION("""COMPUTED_VALUE"""),113)</f>
        <v>113</v>
      </c>
      <c r="AE323" s="1">
        <f ca="1">IFERROR(__xludf.DUMMYFUNCTION("""COMPUTED_VALUE"""),516)</f>
        <v>516</v>
      </c>
      <c r="AF323" s="1">
        <f ca="1">IFERROR(__xludf.DUMMYFUNCTION("""COMPUTED_VALUE"""),609)</f>
        <v>609</v>
      </c>
    </row>
    <row r="324" spans="1:32" ht="12.5" x14ac:dyDescent="0.25">
      <c r="A324" s="1" t="str">
        <f ca="1">IFERROR(__xludf.DUMMYFUNCTION("""COMPUTED_VALUE"""),"Tennessee Tech")</f>
        <v>Tennessee Tech</v>
      </c>
      <c r="B324" s="1">
        <f ca="1">IFERROR(__xludf.DUMMYFUNCTION("""COMPUTED_VALUE"""),33)</f>
        <v>33</v>
      </c>
      <c r="C324" s="1">
        <f ca="1">IFERROR(__xludf.DUMMYFUNCTION("""COMPUTED_VALUE"""),19)</f>
        <v>19</v>
      </c>
      <c r="D324" s="1">
        <f ca="1">IFERROR(__xludf.DUMMYFUNCTION("""COMPUTED_VALUE"""),14)</f>
        <v>14</v>
      </c>
      <c r="E324" s="1">
        <f ca="1">IFERROR(__xludf.DUMMYFUNCTION("""COMPUTED_VALUE"""),0.576)</f>
        <v>0.57599999999999996</v>
      </c>
      <c r="F324" s="1">
        <f ca="1">IFERROR(__xludf.DUMMYFUNCTION("""COMPUTED_VALUE"""),-3.81)</f>
        <v>-3.81</v>
      </c>
      <c r="G324" s="1">
        <f ca="1">IFERROR(__xludf.DUMMYFUNCTION("""COMPUTED_VALUE"""),-3.06)</f>
        <v>-3.06</v>
      </c>
      <c r="H324" s="1">
        <f ca="1">IFERROR(__xludf.DUMMYFUNCTION("""COMPUTED_VALUE"""),9)</f>
        <v>9</v>
      </c>
      <c r="I324" s="1">
        <f ca="1">IFERROR(__xludf.DUMMYFUNCTION("""COMPUTED_VALUE"""),7)</f>
        <v>7</v>
      </c>
      <c r="J324" s="1">
        <f ca="1">IFERROR(__xludf.DUMMYFUNCTION("""COMPUTED_VALUE"""),9)</f>
        <v>9</v>
      </c>
      <c r="K324" s="1">
        <f ca="1">IFERROR(__xludf.DUMMYFUNCTION("""COMPUTED_VALUE"""),5)</f>
        <v>5</v>
      </c>
      <c r="L324" s="1">
        <f ca="1">IFERROR(__xludf.DUMMYFUNCTION("""COMPUTED_VALUE"""),7)</f>
        <v>7</v>
      </c>
      <c r="M324" s="1">
        <f ca="1">IFERROR(__xludf.DUMMYFUNCTION("""COMPUTED_VALUE"""),8)</f>
        <v>8</v>
      </c>
      <c r="N324" s="1">
        <f ca="1">IFERROR(__xludf.DUMMYFUNCTION("""COMPUTED_VALUE"""),2365)</f>
        <v>2365</v>
      </c>
      <c r="O324" s="1">
        <f ca="1">IFERROR(__xludf.DUMMYFUNCTION("""COMPUTED_VALUE"""),2357)</f>
        <v>2357</v>
      </c>
      <c r="P324" s="1">
        <f ca="1">IFERROR(__xludf.DUMMYFUNCTION("""COMPUTED_VALUE"""),1330)</f>
        <v>1330</v>
      </c>
      <c r="Q324" s="1">
        <f ca="1">IFERROR(__xludf.DUMMYFUNCTION("""COMPUTED_VALUE"""),823)</f>
        <v>823</v>
      </c>
      <c r="R324" s="1">
        <f ca="1">IFERROR(__xludf.DUMMYFUNCTION("""COMPUTED_VALUE"""),1772)</f>
        <v>1772</v>
      </c>
      <c r="S324" s="1">
        <f ca="1">IFERROR(__xludf.DUMMYFUNCTION("""COMPUTED_VALUE"""),0.464)</f>
        <v>0.46400000000000002</v>
      </c>
      <c r="T324" s="1">
        <f ca="1">IFERROR(__xludf.DUMMYFUNCTION("""COMPUTED_VALUE"""),179)</f>
        <v>179</v>
      </c>
      <c r="U324" s="1">
        <f ca="1">IFERROR(__xludf.DUMMYFUNCTION("""COMPUTED_VALUE"""),511)</f>
        <v>511</v>
      </c>
      <c r="V324" s="1">
        <f ca="1">IFERROR(__xludf.DUMMYFUNCTION("""COMPUTED_VALUE"""),0.35)</f>
        <v>0.35</v>
      </c>
      <c r="W324" s="1">
        <f ca="1">IFERROR(__xludf.DUMMYFUNCTION("""COMPUTED_VALUE"""),540)</f>
        <v>540</v>
      </c>
      <c r="X324" s="1">
        <f ca="1">IFERROR(__xludf.DUMMYFUNCTION("""COMPUTED_VALUE"""),758)</f>
        <v>758</v>
      </c>
      <c r="Y324" s="1">
        <f ca="1">IFERROR(__xludf.DUMMYFUNCTION("""COMPUTED_VALUE"""),0.712)</f>
        <v>0.71199999999999997</v>
      </c>
      <c r="Z324" s="1">
        <f ca="1">IFERROR(__xludf.DUMMYFUNCTION("""COMPUTED_VALUE"""),361)</f>
        <v>361</v>
      </c>
      <c r="AA324" s="1">
        <f ca="1">IFERROR(__xludf.DUMMYFUNCTION("""COMPUTED_VALUE"""),1015)</f>
        <v>1015</v>
      </c>
      <c r="AB324" s="1">
        <f ca="1">IFERROR(__xludf.DUMMYFUNCTION("""COMPUTED_VALUE"""),450)</f>
        <v>450</v>
      </c>
      <c r="AC324" s="1">
        <f ca="1">IFERROR(__xludf.DUMMYFUNCTION("""COMPUTED_VALUE"""),226)</f>
        <v>226</v>
      </c>
      <c r="AD324" s="1">
        <f ca="1">IFERROR(__xludf.DUMMYFUNCTION("""COMPUTED_VALUE"""),78)</f>
        <v>78</v>
      </c>
      <c r="AE324" s="1">
        <f ca="1">IFERROR(__xludf.DUMMYFUNCTION("""COMPUTED_VALUE"""),499)</f>
        <v>499</v>
      </c>
      <c r="AF324" s="1">
        <f ca="1">IFERROR(__xludf.DUMMYFUNCTION("""COMPUTED_VALUE"""),629)</f>
        <v>629</v>
      </c>
    </row>
    <row r="325" spans="1:32" ht="12.5" x14ac:dyDescent="0.25">
      <c r="A325" s="1" t="str">
        <f ca="1">IFERROR(__xludf.DUMMYFUNCTION("""COMPUTED_VALUE"""),"Tennessee")</f>
        <v>Tennessee</v>
      </c>
      <c r="B325" s="1">
        <f ca="1">IFERROR(__xludf.DUMMYFUNCTION("""COMPUTED_VALUE"""),34)</f>
        <v>34</v>
      </c>
      <c r="C325" s="1">
        <f ca="1">IFERROR(__xludf.DUMMYFUNCTION("""COMPUTED_VALUE"""),19)</f>
        <v>19</v>
      </c>
      <c r="D325" s="1">
        <f ca="1">IFERROR(__xludf.DUMMYFUNCTION("""COMPUTED_VALUE"""),15)</f>
        <v>15</v>
      </c>
      <c r="E325" s="1">
        <f ca="1">IFERROR(__xludf.DUMMYFUNCTION("""COMPUTED_VALUE"""),0.559)</f>
        <v>0.55900000000000005</v>
      </c>
      <c r="F325" s="1">
        <f ca="1">IFERROR(__xludf.DUMMYFUNCTION("""COMPUTED_VALUE"""),9.49)</f>
        <v>9.49</v>
      </c>
      <c r="G325" s="1">
        <f ca="1">IFERROR(__xludf.DUMMYFUNCTION("""COMPUTED_VALUE"""),6.58)</f>
        <v>6.58</v>
      </c>
      <c r="H325" s="1">
        <f ca="1">IFERROR(__xludf.DUMMYFUNCTION("""COMPUTED_VALUE"""),10)</f>
        <v>10</v>
      </c>
      <c r="I325" s="1">
        <f ca="1">IFERROR(__xludf.DUMMYFUNCTION("""COMPUTED_VALUE"""),6)</f>
        <v>6</v>
      </c>
      <c r="J325" s="1">
        <f ca="1">IFERROR(__xludf.DUMMYFUNCTION("""COMPUTED_VALUE"""),15)</f>
        <v>15</v>
      </c>
      <c r="K325" s="1">
        <f ca="1">IFERROR(__xludf.DUMMYFUNCTION("""COMPUTED_VALUE"""),4)</f>
        <v>4</v>
      </c>
      <c r="L325" s="1">
        <f ca="1">IFERROR(__xludf.DUMMYFUNCTION("""COMPUTED_VALUE"""),4)</f>
        <v>4</v>
      </c>
      <c r="M325" s="1">
        <f ca="1">IFERROR(__xludf.DUMMYFUNCTION("""COMPUTED_VALUE"""),8)</f>
        <v>8</v>
      </c>
      <c r="N325" s="1">
        <f ca="1">IFERROR(__xludf.DUMMYFUNCTION("""COMPUTED_VALUE"""),2338)</f>
        <v>2338</v>
      </c>
      <c r="O325" s="1">
        <f ca="1">IFERROR(__xludf.DUMMYFUNCTION("""COMPUTED_VALUE"""),2216)</f>
        <v>2216</v>
      </c>
      <c r="P325" s="1">
        <f ca="1">IFERROR(__xludf.DUMMYFUNCTION("""COMPUTED_VALUE"""),1385)</f>
        <v>1385</v>
      </c>
      <c r="Q325" s="1">
        <f ca="1">IFERROR(__xludf.DUMMYFUNCTION("""COMPUTED_VALUE"""),809)</f>
        <v>809</v>
      </c>
      <c r="R325" s="1">
        <f ca="1">IFERROR(__xludf.DUMMYFUNCTION("""COMPUTED_VALUE"""),1848)</f>
        <v>1848</v>
      </c>
      <c r="S325" s="1">
        <f ca="1">IFERROR(__xludf.DUMMYFUNCTION("""COMPUTED_VALUE"""),0.438)</f>
        <v>0.438</v>
      </c>
      <c r="T325" s="1">
        <f ca="1">IFERROR(__xludf.DUMMYFUNCTION("""COMPUTED_VALUE"""),229)</f>
        <v>229</v>
      </c>
      <c r="U325" s="1">
        <f ca="1">IFERROR(__xludf.DUMMYFUNCTION("""COMPUTED_VALUE"""),649)</f>
        <v>649</v>
      </c>
      <c r="V325" s="1">
        <f ca="1">IFERROR(__xludf.DUMMYFUNCTION("""COMPUTED_VALUE"""),0.353)</f>
        <v>0.35299999999999998</v>
      </c>
      <c r="W325" s="1">
        <f ca="1">IFERROR(__xludf.DUMMYFUNCTION("""COMPUTED_VALUE"""),491)</f>
        <v>491</v>
      </c>
      <c r="X325" s="1">
        <f ca="1">IFERROR(__xludf.DUMMYFUNCTION("""COMPUTED_VALUE"""),699)</f>
        <v>699</v>
      </c>
      <c r="Y325" s="1">
        <f ca="1">IFERROR(__xludf.DUMMYFUNCTION("""COMPUTED_VALUE"""),0.702)</f>
        <v>0.70199999999999996</v>
      </c>
      <c r="Z325" s="1">
        <f ca="1">IFERROR(__xludf.DUMMYFUNCTION("""COMPUTED_VALUE"""),382)</f>
        <v>382</v>
      </c>
      <c r="AA325" s="1">
        <f ca="1">IFERROR(__xludf.DUMMYFUNCTION("""COMPUTED_VALUE"""),1159)</f>
        <v>1159</v>
      </c>
      <c r="AB325" s="1">
        <f ca="1">IFERROR(__xludf.DUMMYFUNCTION("""COMPUTED_VALUE"""),436)</f>
        <v>436</v>
      </c>
      <c r="AC325" s="1">
        <f ca="1">IFERROR(__xludf.DUMMYFUNCTION("""COMPUTED_VALUE"""),193)</f>
        <v>193</v>
      </c>
      <c r="AD325" s="1">
        <f ca="1">IFERROR(__xludf.DUMMYFUNCTION("""COMPUTED_VALUE"""),149)</f>
        <v>149</v>
      </c>
      <c r="AE325" s="1">
        <f ca="1">IFERROR(__xludf.DUMMYFUNCTION("""COMPUTED_VALUE"""),466)</f>
        <v>466</v>
      </c>
      <c r="AF325" s="1">
        <f ca="1">IFERROR(__xludf.DUMMYFUNCTION("""COMPUTED_VALUE"""),628)</f>
        <v>628</v>
      </c>
    </row>
    <row r="326" spans="1:32" ht="12.5" x14ac:dyDescent="0.25">
      <c r="A326" s="1" t="str">
        <f ca="1">IFERROR(__xludf.DUMMYFUNCTION("""COMPUTED_VALUE"""),"Texas A&amp;M-Corpus Christi")</f>
        <v>Texas A&amp;M-Corpus Christi</v>
      </c>
      <c r="B326" s="1">
        <f ca="1">IFERROR(__xludf.DUMMYFUNCTION("""COMPUTED_VALUE"""),30)</f>
        <v>30</v>
      </c>
      <c r="C326" s="1">
        <f ca="1">IFERROR(__xludf.DUMMYFUNCTION("""COMPUTED_VALUE"""),6)</f>
        <v>6</v>
      </c>
      <c r="D326" s="1">
        <f ca="1">IFERROR(__xludf.DUMMYFUNCTION("""COMPUTED_VALUE"""),24)</f>
        <v>24</v>
      </c>
      <c r="E326" s="1">
        <f ca="1">IFERROR(__xludf.DUMMYFUNCTION("""COMPUTED_VALUE"""),0.2)</f>
        <v>0.2</v>
      </c>
      <c r="F326" s="1">
        <f ca="1">IFERROR(__xludf.DUMMYFUNCTION("""COMPUTED_VALUE"""),-12.21)</f>
        <v>-12.21</v>
      </c>
      <c r="G326" s="1">
        <f ca="1">IFERROR(__xludf.DUMMYFUNCTION("""COMPUTED_VALUE"""),-3.04)</f>
        <v>-3.04</v>
      </c>
      <c r="H326" s="1">
        <f ca="1">IFERROR(__xludf.DUMMYFUNCTION("""COMPUTED_VALUE"""),4)</f>
        <v>4</v>
      </c>
      <c r="I326" s="1">
        <f ca="1">IFERROR(__xludf.DUMMYFUNCTION("""COMPUTED_VALUE"""),12)</f>
        <v>12</v>
      </c>
      <c r="J326" s="1">
        <f ca="1">IFERROR(__xludf.DUMMYFUNCTION("""COMPUTED_VALUE"""),3)</f>
        <v>3</v>
      </c>
      <c r="K326" s="1">
        <f ca="1">IFERROR(__xludf.DUMMYFUNCTION("""COMPUTED_VALUE"""),9)</f>
        <v>9</v>
      </c>
      <c r="L326" s="1">
        <f ca="1">IFERROR(__xludf.DUMMYFUNCTION("""COMPUTED_VALUE"""),3)</f>
        <v>3</v>
      </c>
      <c r="M326" s="1">
        <f ca="1">IFERROR(__xludf.DUMMYFUNCTION("""COMPUTED_VALUE"""),13)</f>
        <v>13</v>
      </c>
      <c r="N326" s="1">
        <f ca="1">IFERROR(__xludf.DUMMYFUNCTION("""COMPUTED_VALUE"""),1755)</f>
        <v>1755</v>
      </c>
      <c r="O326" s="1">
        <f ca="1">IFERROR(__xludf.DUMMYFUNCTION("""COMPUTED_VALUE"""),2030)</f>
        <v>2030</v>
      </c>
      <c r="P326" s="1">
        <f ca="1">IFERROR(__xludf.DUMMYFUNCTION("""COMPUTED_VALUE"""),1210)</f>
        <v>1210</v>
      </c>
      <c r="Q326" s="1">
        <f ca="1">IFERROR(__xludf.DUMMYFUNCTION("""COMPUTED_VALUE"""),627)</f>
        <v>627</v>
      </c>
      <c r="R326" s="1">
        <f ca="1">IFERROR(__xludf.DUMMYFUNCTION("""COMPUTED_VALUE"""),1584)</f>
        <v>1584</v>
      </c>
      <c r="S326" s="1">
        <f ca="1">IFERROR(__xludf.DUMMYFUNCTION("""COMPUTED_VALUE"""),0.396)</f>
        <v>0.39600000000000002</v>
      </c>
      <c r="T326" s="1">
        <f ca="1">IFERROR(__xludf.DUMMYFUNCTION("""COMPUTED_VALUE"""),141)</f>
        <v>141</v>
      </c>
      <c r="U326" s="1">
        <f ca="1">IFERROR(__xludf.DUMMYFUNCTION("""COMPUTED_VALUE"""),461)</f>
        <v>461</v>
      </c>
      <c r="V326" s="1">
        <f ca="1">IFERROR(__xludf.DUMMYFUNCTION("""COMPUTED_VALUE"""),0.306)</f>
        <v>0.30599999999999999</v>
      </c>
      <c r="W326" s="1">
        <f ca="1">IFERROR(__xludf.DUMMYFUNCTION("""COMPUTED_VALUE"""),360)</f>
        <v>360</v>
      </c>
      <c r="X326" s="1">
        <f ca="1">IFERROR(__xludf.DUMMYFUNCTION("""COMPUTED_VALUE"""),600)</f>
        <v>600</v>
      </c>
      <c r="Y326" s="1">
        <f ca="1">IFERROR(__xludf.DUMMYFUNCTION("""COMPUTED_VALUE"""),0.6)</f>
        <v>0.6</v>
      </c>
      <c r="Z326" s="1">
        <f ca="1">IFERROR(__xludf.DUMMYFUNCTION("""COMPUTED_VALUE"""),326)</f>
        <v>326</v>
      </c>
      <c r="AA326" s="1">
        <f ca="1">IFERROR(__xludf.DUMMYFUNCTION("""COMPUTED_VALUE"""),915)</f>
        <v>915</v>
      </c>
      <c r="AB326" s="1">
        <f ca="1">IFERROR(__xludf.DUMMYFUNCTION("""COMPUTED_VALUE"""),347)</f>
        <v>347</v>
      </c>
      <c r="AC326" s="1">
        <f ca="1">IFERROR(__xludf.DUMMYFUNCTION("""COMPUTED_VALUE"""),171)</f>
        <v>171</v>
      </c>
      <c r="AD326" s="1">
        <f ca="1">IFERROR(__xludf.DUMMYFUNCTION("""COMPUTED_VALUE"""),111)</f>
        <v>111</v>
      </c>
      <c r="AE326" s="1">
        <f ca="1">IFERROR(__xludf.DUMMYFUNCTION("""COMPUTED_VALUE"""),456)</f>
        <v>456</v>
      </c>
      <c r="AF326" s="1">
        <f ca="1">IFERROR(__xludf.DUMMYFUNCTION("""COMPUTED_VALUE"""),592)</f>
        <v>592</v>
      </c>
    </row>
    <row r="327" spans="1:32" ht="12.5" x14ac:dyDescent="0.25">
      <c r="A327" s="1" t="str">
        <f ca="1">IFERROR(__xludf.DUMMYFUNCTION("""COMPUTED_VALUE"""),"Texas A&amp;M")</f>
        <v>Texas A&amp;M</v>
      </c>
      <c r="B327" s="1">
        <f ca="1">IFERROR(__xludf.DUMMYFUNCTION("""COMPUTED_VALUE"""),32)</f>
        <v>32</v>
      </c>
      <c r="C327" s="1">
        <f ca="1">IFERROR(__xludf.DUMMYFUNCTION("""COMPUTED_VALUE"""),14)</f>
        <v>14</v>
      </c>
      <c r="D327" s="1">
        <f ca="1">IFERROR(__xludf.DUMMYFUNCTION("""COMPUTED_VALUE"""),18)</f>
        <v>18</v>
      </c>
      <c r="E327" s="1">
        <f ca="1">IFERROR(__xludf.DUMMYFUNCTION("""COMPUTED_VALUE"""),0.438)</f>
        <v>0.438</v>
      </c>
      <c r="F327" s="1">
        <f ca="1">IFERROR(__xludf.DUMMYFUNCTION("""COMPUTED_VALUE"""),5.57)</f>
        <v>5.57</v>
      </c>
      <c r="G327" s="1">
        <f ca="1">IFERROR(__xludf.DUMMYFUNCTION("""COMPUTED_VALUE"""),6.54)</f>
        <v>6.54</v>
      </c>
      <c r="H327" s="1">
        <f ca="1">IFERROR(__xludf.DUMMYFUNCTION("""COMPUTED_VALUE"""),4)</f>
        <v>4</v>
      </c>
      <c r="I327" s="1">
        <f ca="1">IFERROR(__xludf.DUMMYFUNCTION("""COMPUTED_VALUE"""),14)</f>
        <v>14</v>
      </c>
      <c r="J327" s="1">
        <f ca="1">IFERROR(__xludf.DUMMYFUNCTION("""COMPUTED_VALUE"""),11)</f>
        <v>11</v>
      </c>
      <c r="K327" s="1">
        <f ca="1">IFERROR(__xludf.DUMMYFUNCTION("""COMPUTED_VALUE"""),7)</f>
        <v>7</v>
      </c>
      <c r="L327" s="1">
        <f ca="1">IFERROR(__xludf.DUMMYFUNCTION("""COMPUTED_VALUE"""),1)</f>
        <v>1</v>
      </c>
      <c r="M327" s="1">
        <f ca="1">IFERROR(__xludf.DUMMYFUNCTION("""COMPUTED_VALUE"""),8)</f>
        <v>8</v>
      </c>
      <c r="N327" s="1">
        <f ca="1">IFERROR(__xludf.DUMMYFUNCTION("""COMPUTED_VALUE"""),1956)</f>
        <v>1956</v>
      </c>
      <c r="O327" s="1">
        <f ca="1">IFERROR(__xludf.DUMMYFUNCTION("""COMPUTED_VALUE"""),1968)</f>
        <v>1968</v>
      </c>
      <c r="P327" s="1">
        <f ca="1">IFERROR(__xludf.DUMMYFUNCTION("""COMPUTED_VALUE"""),1285)</f>
        <v>1285</v>
      </c>
      <c r="Q327" s="1">
        <f ca="1">IFERROR(__xludf.DUMMYFUNCTION("""COMPUTED_VALUE"""),732)</f>
        <v>732</v>
      </c>
      <c r="R327" s="1">
        <f ca="1">IFERROR(__xludf.DUMMYFUNCTION("""COMPUTED_VALUE"""),1695)</f>
        <v>1695</v>
      </c>
      <c r="S327" s="1">
        <f ca="1">IFERROR(__xludf.DUMMYFUNCTION("""COMPUTED_VALUE"""),0.432)</f>
        <v>0.432</v>
      </c>
      <c r="T327" s="1">
        <f ca="1">IFERROR(__xludf.DUMMYFUNCTION("""COMPUTED_VALUE"""),162)</f>
        <v>162</v>
      </c>
      <c r="U327" s="1">
        <f ca="1">IFERROR(__xludf.DUMMYFUNCTION("""COMPUTED_VALUE"""),491)</f>
        <v>491</v>
      </c>
      <c r="V327" s="1">
        <f ca="1">IFERROR(__xludf.DUMMYFUNCTION("""COMPUTED_VALUE"""),0.33)</f>
        <v>0.33</v>
      </c>
      <c r="W327" s="1">
        <f ca="1">IFERROR(__xludf.DUMMYFUNCTION("""COMPUTED_VALUE"""),330)</f>
        <v>330</v>
      </c>
      <c r="X327" s="1">
        <f ca="1">IFERROR(__xludf.DUMMYFUNCTION("""COMPUTED_VALUE"""),502)</f>
        <v>502</v>
      </c>
      <c r="Y327" s="1">
        <f ca="1">IFERROR(__xludf.DUMMYFUNCTION("""COMPUTED_VALUE"""),0.657)</f>
        <v>0.65700000000000003</v>
      </c>
      <c r="Z327" s="1">
        <f ca="1">IFERROR(__xludf.DUMMYFUNCTION("""COMPUTED_VALUE"""),348)</f>
        <v>348</v>
      </c>
      <c r="AA327" s="1">
        <f ca="1">IFERROR(__xludf.DUMMYFUNCTION("""COMPUTED_VALUE"""),986)</f>
        <v>986</v>
      </c>
      <c r="AB327" s="1">
        <f ca="1">IFERROR(__xludf.DUMMYFUNCTION("""COMPUTED_VALUE"""),375)</f>
        <v>375</v>
      </c>
      <c r="AC327" s="1">
        <f ca="1">IFERROR(__xludf.DUMMYFUNCTION("""COMPUTED_VALUE"""),182)</f>
        <v>182</v>
      </c>
      <c r="AD327" s="1">
        <f ca="1">IFERROR(__xludf.DUMMYFUNCTION("""COMPUTED_VALUE"""),71)</f>
        <v>71</v>
      </c>
      <c r="AE327" s="1">
        <f ca="1">IFERROR(__xludf.DUMMYFUNCTION("""COMPUTED_VALUE"""),446)</f>
        <v>446</v>
      </c>
      <c r="AF327" s="1">
        <f ca="1">IFERROR(__xludf.DUMMYFUNCTION("""COMPUTED_VALUE"""),574)</f>
        <v>574</v>
      </c>
    </row>
    <row r="328" spans="1:32" ht="12.5" x14ac:dyDescent="0.25">
      <c r="A328" s="1" t="str">
        <f ca="1">IFERROR(__xludf.DUMMYFUNCTION("""COMPUTED_VALUE"""),"Texas-Arlington")</f>
        <v>Texas-Arlington</v>
      </c>
      <c r="B328" s="1">
        <f ca="1">IFERROR(__xludf.DUMMYFUNCTION("""COMPUTED_VALUE"""),33)</f>
        <v>33</v>
      </c>
      <c r="C328" s="1">
        <f ca="1">IFERROR(__xludf.DUMMYFUNCTION("""COMPUTED_VALUE"""),24)</f>
        <v>24</v>
      </c>
      <c r="D328" s="1">
        <f ca="1">IFERROR(__xludf.DUMMYFUNCTION("""COMPUTED_VALUE"""),9)</f>
        <v>9</v>
      </c>
      <c r="E328" s="1">
        <f ca="1">IFERROR(__xludf.DUMMYFUNCTION("""COMPUTED_VALUE"""),0.727)</f>
        <v>0.72699999999999998</v>
      </c>
      <c r="F328" s="1">
        <f ca="1">IFERROR(__xludf.DUMMYFUNCTION("""COMPUTED_VALUE"""),3.35)</f>
        <v>3.35</v>
      </c>
      <c r="G328" s="1">
        <f ca="1">IFERROR(__xludf.DUMMYFUNCTION("""COMPUTED_VALUE"""),-5.09)</f>
        <v>-5.09</v>
      </c>
      <c r="H328" s="1">
        <f ca="1">IFERROR(__xludf.DUMMYFUNCTION("""COMPUTED_VALUE"""),15)</f>
        <v>15</v>
      </c>
      <c r="I328" s="1">
        <f ca="1">IFERROR(__xludf.DUMMYFUNCTION("""COMPUTED_VALUE"""),1)</f>
        <v>1</v>
      </c>
      <c r="J328" s="1">
        <f ca="1">IFERROR(__xludf.DUMMYFUNCTION("""COMPUTED_VALUE"""),12)</f>
        <v>12</v>
      </c>
      <c r="K328" s="1">
        <f ca="1">IFERROR(__xludf.DUMMYFUNCTION("""COMPUTED_VALUE"""),1)</f>
        <v>1</v>
      </c>
      <c r="L328" s="1">
        <f ca="1">IFERROR(__xludf.DUMMYFUNCTION("""COMPUTED_VALUE"""),9)</f>
        <v>9</v>
      </c>
      <c r="M328" s="1">
        <f ca="1">IFERROR(__xludf.DUMMYFUNCTION("""COMPUTED_VALUE"""),7)</f>
        <v>7</v>
      </c>
      <c r="N328" s="1">
        <f ca="1">IFERROR(__xludf.DUMMYFUNCTION("""COMPUTED_VALUE"""),2537)</f>
        <v>2537</v>
      </c>
      <c r="O328" s="1">
        <f ca="1">IFERROR(__xludf.DUMMYFUNCTION("""COMPUTED_VALUE"""),2232)</f>
        <v>2232</v>
      </c>
      <c r="P328" s="1">
        <f ca="1">IFERROR(__xludf.DUMMYFUNCTION("""COMPUTED_VALUE"""),1325)</f>
        <v>1325</v>
      </c>
      <c r="Q328" s="1">
        <f ca="1">IFERROR(__xludf.DUMMYFUNCTION("""COMPUTED_VALUE"""),842)</f>
        <v>842</v>
      </c>
      <c r="R328" s="1">
        <f ca="1">IFERROR(__xludf.DUMMYFUNCTION("""COMPUTED_VALUE"""),1884)</f>
        <v>1884</v>
      </c>
      <c r="S328" s="1">
        <f ca="1">IFERROR(__xludf.DUMMYFUNCTION("""COMPUTED_VALUE"""),0.447)</f>
        <v>0.44700000000000001</v>
      </c>
      <c r="T328" s="1">
        <f ca="1">IFERROR(__xludf.DUMMYFUNCTION("""COMPUTED_VALUE"""),229)</f>
        <v>229</v>
      </c>
      <c r="U328" s="1">
        <f ca="1">IFERROR(__xludf.DUMMYFUNCTION("""COMPUTED_VALUE"""),647)</f>
        <v>647</v>
      </c>
      <c r="V328" s="1">
        <f ca="1">IFERROR(__xludf.DUMMYFUNCTION("""COMPUTED_VALUE"""),0.354)</f>
        <v>0.35399999999999998</v>
      </c>
      <c r="W328" s="1">
        <f ca="1">IFERROR(__xludf.DUMMYFUNCTION("""COMPUTED_VALUE"""),624)</f>
        <v>624</v>
      </c>
      <c r="X328" s="1">
        <f ca="1">IFERROR(__xludf.DUMMYFUNCTION("""COMPUTED_VALUE"""),888)</f>
        <v>888</v>
      </c>
      <c r="Y328" s="1">
        <f ca="1">IFERROR(__xludf.DUMMYFUNCTION("""COMPUTED_VALUE"""),0.703)</f>
        <v>0.70299999999999996</v>
      </c>
      <c r="Z328" s="1">
        <f ca="1">IFERROR(__xludf.DUMMYFUNCTION("""COMPUTED_VALUE"""),439)</f>
        <v>439</v>
      </c>
      <c r="AA328" s="1">
        <f ca="1">IFERROR(__xludf.DUMMYFUNCTION("""COMPUTED_VALUE"""),1197)</f>
        <v>1197</v>
      </c>
      <c r="AB328" s="1">
        <f ca="1">IFERROR(__xludf.DUMMYFUNCTION("""COMPUTED_VALUE"""),442)</f>
        <v>442</v>
      </c>
      <c r="AC328" s="1">
        <f ca="1">IFERROR(__xludf.DUMMYFUNCTION("""COMPUTED_VALUE"""),260)</f>
        <v>260</v>
      </c>
      <c r="AD328" s="1">
        <f ca="1">IFERROR(__xludf.DUMMYFUNCTION("""COMPUTED_VALUE"""),123)</f>
        <v>123</v>
      </c>
      <c r="AE328" s="1">
        <f ca="1">IFERROR(__xludf.DUMMYFUNCTION("""COMPUTED_VALUE"""),531)</f>
        <v>531</v>
      </c>
      <c r="AF328" s="1">
        <f ca="1">IFERROR(__xludf.DUMMYFUNCTION("""COMPUTED_VALUE"""),632)</f>
        <v>632</v>
      </c>
    </row>
    <row r="329" spans="1:32" ht="12.5" x14ac:dyDescent="0.25">
      <c r="A329" s="1" t="str">
        <f ca="1">IFERROR(__xludf.DUMMYFUNCTION("""COMPUTED_VALUE"""),"Texas Christian")</f>
        <v>Texas Christian</v>
      </c>
      <c r="B329" s="1">
        <f ca="1">IFERROR(__xludf.DUMMYFUNCTION("""COMPUTED_VALUE"""),33)</f>
        <v>33</v>
      </c>
      <c r="C329" s="1">
        <f ca="1">IFERROR(__xludf.DUMMYFUNCTION("""COMPUTED_VALUE"""),18)</f>
        <v>18</v>
      </c>
      <c r="D329" s="1">
        <f ca="1">IFERROR(__xludf.DUMMYFUNCTION("""COMPUTED_VALUE"""),15)</f>
        <v>15</v>
      </c>
      <c r="E329" s="1">
        <f ca="1">IFERROR(__xludf.DUMMYFUNCTION("""COMPUTED_VALUE"""),0.545)</f>
        <v>0.54500000000000004</v>
      </c>
      <c r="F329" s="1">
        <f ca="1">IFERROR(__xludf.DUMMYFUNCTION("""COMPUTED_VALUE"""),1.72)</f>
        <v>1.72</v>
      </c>
      <c r="G329" s="1">
        <f ca="1">IFERROR(__xludf.DUMMYFUNCTION("""COMPUTED_VALUE"""),3.44)</f>
        <v>3.44</v>
      </c>
      <c r="H329" s="1">
        <f ca="1">IFERROR(__xludf.DUMMYFUNCTION("""COMPUTED_VALUE"""),7)</f>
        <v>7</v>
      </c>
      <c r="I329" s="1">
        <f ca="1">IFERROR(__xludf.DUMMYFUNCTION("""COMPUTED_VALUE"""),7)</f>
        <v>7</v>
      </c>
      <c r="J329" s="1">
        <f ca="1">IFERROR(__xludf.DUMMYFUNCTION("""COMPUTED_VALUE"""),14)</f>
        <v>14</v>
      </c>
      <c r="K329" s="1">
        <f ca="1">IFERROR(__xludf.DUMMYFUNCTION("""COMPUTED_VALUE"""),3)</f>
        <v>3</v>
      </c>
      <c r="L329" s="1">
        <f ca="1">IFERROR(__xludf.DUMMYFUNCTION("""COMPUTED_VALUE"""),3)</f>
        <v>3</v>
      </c>
      <c r="M329" s="1">
        <f ca="1">IFERROR(__xludf.DUMMYFUNCTION("""COMPUTED_VALUE"""),9)</f>
        <v>9</v>
      </c>
      <c r="N329" s="1">
        <f ca="1">IFERROR(__xludf.DUMMYFUNCTION("""COMPUTED_VALUE"""),2382)</f>
        <v>2382</v>
      </c>
      <c r="O329" s="1">
        <f ca="1">IFERROR(__xludf.DUMMYFUNCTION("""COMPUTED_VALUE"""),2379)</f>
        <v>2379</v>
      </c>
      <c r="P329" s="1">
        <f ca="1">IFERROR(__xludf.DUMMYFUNCTION("""COMPUTED_VALUE"""),1345)</f>
        <v>1345</v>
      </c>
      <c r="Q329" s="1">
        <f ca="1">IFERROR(__xludf.DUMMYFUNCTION("""COMPUTED_VALUE"""),819)</f>
        <v>819</v>
      </c>
      <c r="R329" s="1">
        <f ca="1">IFERROR(__xludf.DUMMYFUNCTION("""COMPUTED_VALUE"""),1884)</f>
        <v>1884</v>
      </c>
      <c r="S329" s="1">
        <f ca="1">IFERROR(__xludf.DUMMYFUNCTION("""COMPUTED_VALUE"""),0.435)</f>
        <v>0.435</v>
      </c>
      <c r="T329" s="1">
        <f ca="1">IFERROR(__xludf.DUMMYFUNCTION("""COMPUTED_VALUE"""),239)</f>
        <v>239</v>
      </c>
      <c r="U329" s="1">
        <f ca="1">IFERROR(__xludf.DUMMYFUNCTION("""COMPUTED_VALUE"""),668)</f>
        <v>668</v>
      </c>
      <c r="V329" s="1">
        <f ca="1">IFERROR(__xludf.DUMMYFUNCTION("""COMPUTED_VALUE"""),0.358)</f>
        <v>0.35799999999999998</v>
      </c>
      <c r="W329" s="1">
        <f ca="1">IFERROR(__xludf.DUMMYFUNCTION("""COMPUTED_VALUE"""),505)</f>
        <v>505</v>
      </c>
      <c r="X329" s="1">
        <f ca="1">IFERROR(__xludf.DUMMYFUNCTION("""COMPUTED_VALUE"""),731)</f>
        <v>731</v>
      </c>
      <c r="Y329" s="1">
        <f ca="1">IFERROR(__xludf.DUMMYFUNCTION("""COMPUTED_VALUE"""),0.691)</f>
        <v>0.69099999999999995</v>
      </c>
      <c r="Z329" s="1">
        <f ca="1">IFERROR(__xludf.DUMMYFUNCTION("""COMPUTED_VALUE"""),357)</f>
        <v>357</v>
      </c>
      <c r="AA329" s="1">
        <f ca="1">IFERROR(__xludf.DUMMYFUNCTION("""COMPUTED_VALUE"""),1006)</f>
        <v>1006</v>
      </c>
      <c r="AB329" s="1">
        <f ca="1">IFERROR(__xludf.DUMMYFUNCTION("""COMPUTED_VALUE"""),445)</f>
        <v>445</v>
      </c>
      <c r="AC329" s="1">
        <f ca="1">IFERROR(__xludf.DUMMYFUNCTION("""COMPUTED_VALUE"""),228)</f>
        <v>228</v>
      </c>
      <c r="AD329" s="1">
        <f ca="1">IFERROR(__xludf.DUMMYFUNCTION("""COMPUTED_VALUE"""),80)</f>
        <v>80</v>
      </c>
      <c r="AE329" s="1">
        <f ca="1">IFERROR(__xludf.DUMMYFUNCTION("""COMPUTED_VALUE"""),455)</f>
        <v>455</v>
      </c>
      <c r="AF329" s="1">
        <f ca="1">IFERROR(__xludf.DUMMYFUNCTION("""COMPUTED_VALUE"""),628)</f>
        <v>628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IFERROR(__xludf.DUMMYFUNCTION("""COMPUTED_VALUE"""),"Texas-El Paso")</f>
        <v>Texas-El Paso</v>
      </c>
      <c r="B332" s="1">
        <f ca="1">IFERROR(__xludf.DUMMYFUNCTION("""COMPUTED_VALUE"""),32)</f>
        <v>32</v>
      </c>
      <c r="C332" s="1">
        <f ca="1">IFERROR(__xludf.DUMMYFUNCTION("""COMPUTED_VALUE"""),15)</f>
        <v>15</v>
      </c>
      <c r="D332" s="1">
        <f ca="1">IFERROR(__xludf.DUMMYFUNCTION("""COMPUTED_VALUE"""),17)</f>
        <v>17</v>
      </c>
      <c r="E332" s="1">
        <f ca="1">IFERROR(__xludf.DUMMYFUNCTION("""COMPUTED_VALUE"""),0.469)</f>
        <v>0.46899999999999997</v>
      </c>
      <c r="F332" s="1">
        <f ca="1">IFERROR(__xludf.DUMMYFUNCTION("""COMPUTED_VALUE"""),2.92)</f>
        <v>2.92</v>
      </c>
      <c r="G332" s="1">
        <f ca="1">IFERROR(__xludf.DUMMYFUNCTION("""COMPUTED_VALUE"""),2.85)</f>
        <v>2.85</v>
      </c>
      <c r="H332" s="1">
        <f ca="1">IFERROR(__xludf.DUMMYFUNCTION("""COMPUTED_VALUE"""),7)</f>
        <v>7</v>
      </c>
      <c r="I332" s="1">
        <f ca="1">IFERROR(__xludf.DUMMYFUNCTION("""COMPUTED_VALUE"""),9)</f>
        <v>9</v>
      </c>
      <c r="J332" s="1">
        <f ca="1">IFERROR(__xludf.DUMMYFUNCTION("""COMPUTED_VALUE"""),11)</f>
        <v>11</v>
      </c>
      <c r="K332" s="1">
        <f ca="1">IFERROR(__xludf.DUMMYFUNCTION("""COMPUTED_VALUE"""),5)</f>
        <v>5</v>
      </c>
      <c r="L332" s="1">
        <f ca="1">IFERROR(__xludf.DUMMYFUNCTION("""COMPUTED_VALUE"""),1)</f>
        <v>1</v>
      </c>
      <c r="M332" s="1">
        <f ca="1">IFERROR(__xludf.DUMMYFUNCTION("""COMPUTED_VALUE"""),11)</f>
        <v>11</v>
      </c>
      <c r="N332" s="1">
        <f ca="1">IFERROR(__xludf.DUMMYFUNCTION("""COMPUTED_VALUE"""),2021)</f>
        <v>2021</v>
      </c>
      <c r="O332" s="1">
        <f ca="1">IFERROR(__xludf.DUMMYFUNCTION("""COMPUTED_VALUE"""),2019)</f>
        <v>2019</v>
      </c>
      <c r="P332" s="1">
        <f ca="1">IFERROR(__xludf.DUMMYFUNCTION("""COMPUTED_VALUE"""),1310)</f>
        <v>1310</v>
      </c>
      <c r="Q332" s="1">
        <f ca="1">IFERROR(__xludf.DUMMYFUNCTION("""COMPUTED_VALUE"""),727)</f>
        <v>727</v>
      </c>
      <c r="R332" s="1">
        <f ca="1">IFERROR(__xludf.DUMMYFUNCTION("""COMPUTED_VALUE"""),1588)</f>
        <v>1588</v>
      </c>
      <c r="S332" s="1">
        <f ca="1">IFERROR(__xludf.DUMMYFUNCTION("""COMPUTED_VALUE"""),0.458)</f>
        <v>0.45800000000000002</v>
      </c>
      <c r="T332" s="1">
        <f ca="1">IFERROR(__xludf.DUMMYFUNCTION("""COMPUTED_VALUE"""),144)</f>
        <v>144</v>
      </c>
      <c r="U332" s="1">
        <f ca="1">IFERROR(__xludf.DUMMYFUNCTION("""COMPUTED_VALUE"""),423)</f>
        <v>423</v>
      </c>
      <c r="V332" s="1">
        <f ca="1">IFERROR(__xludf.DUMMYFUNCTION("""COMPUTED_VALUE"""),0.34)</f>
        <v>0.34</v>
      </c>
      <c r="W332" s="1">
        <f ca="1">IFERROR(__xludf.DUMMYFUNCTION("""COMPUTED_VALUE"""),423)</f>
        <v>423</v>
      </c>
      <c r="X332" s="1">
        <f ca="1">IFERROR(__xludf.DUMMYFUNCTION("""COMPUTED_VALUE"""),619)</f>
        <v>619</v>
      </c>
      <c r="Y332" s="1">
        <f ca="1">IFERROR(__xludf.DUMMYFUNCTION("""COMPUTED_VALUE"""),0.683)</f>
        <v>0.68300000000000005</v>
      </c>
      <c r="Z332" s="1">
        <f ca="1">IFERROR(__xludf.DUMMYFUNCTION("""COMPUTED_VALUE"""),269)</f>
        <v>269</v>
      </c>
      <c r="AA332" s="1">
        <f ca="1">IFERROR(__xludf.DUMMYFUNCTION("""COMPUTED_VALUE"""),928)</f>
        <v>928</v>
      </c>
      <c r="AB332" s="1">
        <f ca="1">IFERROR(__xludf.DUMMYFUNCTION("""COMPUTED_VALUE"""),447)</f>
        <v>447</v>
      </c>
      <c r="AC332" s="1">
        <f ca="1">IFERROR(__xludf.DUMMYFUNCTION("""COMPUTED_VALUE"""),151)</f>
        <v>151</v>
      </c>
      <c r="AD332" s="1">
        <f ca="1">IFERROR(__xludf.DUMMYFUNCTION("""COMPUTED_VALUE"""),89)</f>
        <v>89</v>
      </c>
      <c r="AE332" s="1">
        <f ca="1">IFERROR(__xludf.DUMMYFUNCTION("""COMPUTED_VALUE"""),431)</f>
        <v>431</v>
      </c>
      <c r="AF332" s="1">
        <f ca="1">IFERROR(__xludf.DUMMYFUNCTION("""COMPUTED_VALUE"""),540)</f>
        <v>540</v>
      </c>
    </row>
    <row r="333" spans="1:32" ht="12.5" x14ac:dyDescent="0.25">
      <c r="A333" s="1" t="str">
        <f ca="1">IFERROR(__xludf.DUMMYFUNCTION("""COMPUTED_VALUE"""),"Texas-Rio Grande Valley")</f>
        <v>Texas-Rio Grande Valley</v>
      </c>
      <c r="B333" s="1">
        <f ca="1">IFERROR(__xludf.DUMMYFUNCTION("""COMPUTED_VALUE"""),32)</f>
        <v>32</v>
      </c>
      <c r="C333" s="1">
        <f ca="1">IFERROR(__xludf.DUMMYFUNCTION("""COMPUTED_VALUE"""),11)</f>
        <v>11</v>
      </c>
      <c r="D333" s="1">
        <f ca="1">IFERROR(__xludf.DUMMYFUNCTION("""COMPUTED_VALUE"""),21)</f>
        <v>21</v>
      </c>
      <c r="E333" s="1">
        <f ca="1">IFERROR(__xludf.DUMMYFUNCTION("""COMPUTED_VALUE"""),0.344)</f>
        <v>0.34399999999999997</v>
      </c>
      <c r="F333" s="1">
        <f ca="1">IFERROR(__xludf.DUMMYFUNCTION("""COMPUTED_VALUE"""),-13.66)</f>
        <v>-13.66</v>
      </c>
      <c r="G333" s="1">
        <f ca="1">IFERROR(__xludf.DUMMYFUNCTION("""COMPUTED_VALUE"""),-4.44)</f>
        <v>-4.4400000000000004</v>
      </c>
      <c r="H333" s="1">
        <f ca="1">IFERROR(__xludf.DUMMYFUNCTION("""COMPUTED_VALUE"""),5)</f>
        <v>5</v>
      </c>
      <c r="I333" s="1">
        <f ca="1">IFERROR(__xludf.DUMMYFUNCTION("""COMPUTED_VALUE"""),5)</f>
        <v>5</v>
      </c>
      <c r="J333" s="1">
        <f ca="1">IFERROR(__xludf.DUMMYFUNCTION("""COMPUTED_VALUE"""),10)</f>
        <v>10</v>
      </c>
      <c r="K333" s="1">
        <f ca="1">IFERROR(__xludf.DUMMYFUNCTION("""COMPUTED_VALUE"""),5)</f>
        <v>5</v>
      </c>
      <c r="L333" s="1">
        <f ca="1">IFERROR(__xludf.DUMMYFUNCTION("""COMPUTED_VALUE"""),1)</f>
        <v>1</v>
      </c>
      <c r="M333" s="1">
        <f ca="1">IFERROR(__xludf.DUMMYFUNCTION("""COMPUTED_VALUE"""),15)</f>
        <v>15</v>
      </c>
      <c r="N333" s="1">
        <f ca="1">IFERROR(__xludf.DUMMYFUNCTION("""COMPUTED_VALUE"""),1993)</f>
        <v>1993</v>
      </c>
      <c r="O333" s="1">
        <f ca="1">IFERROR(__xludf.DUMMYFUNCTION("""COMPUTED_VALUE"""),2194)</f>
        <v>2194</v>
      </c>
      <c r="P333" s="1">
        <f ca="1">IFERROR(__xludf.DUMMYFUNCTION("""COMPUTED_VALUE"""),1280)</f>
        <v>1280</v>
      </c>
      <c r="Q333" s="1">
        <f ca="1">IFERROR(__xludf.DUMMYFUNCTION("""COMPUTED_VALUE"""),677)</f>
        <v>677</v>
      </c>
      <c r="R333" s="1">
        <f ca="1">IFERROR(__xludf.DUMMYFUNCTION("""COMPUTED_VALUE"""),1631)</f>
        <v>1631</v>
      </c>
      <c r="S333" s="1">
        <f ca="1">IFERROR(__xludf.DUMMYFUNCTION("""COMPUTED_VALUE"""),0.415)</f>
        <v>0.41499999999999998</v>
      </c>
      <c r="T333" s="1">
        <f ca="1">IFERROR(__xludf.DUMMYFUNCTION("""COMPUTED_VALUE"""),230)</f>
        <v>230</v>
      </c>
      <c r="U333" s="1">
        <f ca="1">IFERROR(__xludf.DUMMYFUNCTION("""COMPUTED_VALUE"""),631)</f>
        <v>631</v>
      </c>
      <c r="V333" s="1">
        <f ca="1">IFERROR(__xludf.DUMMYFUNCTION("""COMPUTED_VALUE"""),0.365)</f>
        <v>0.36499999999999999</v>
      </c>
      <c r="W333" s="1">
        <f ca="1">IFERROR(__xludf.DUMMYFUNCTION("""COMPUTED_VALUE"""),409)</f>
        <v>409</v>
      </c>
      <c r="X333" s="1">
        <f ca="1">IFERROR(__xludf.DUMMYFUNCTION("""COMPUTED_VALUE"""),580)</f>
        <v>580</v>
      </c>
      <c r="Y333" s="1">
        <f ca="1">IFERROR(__xludf.DUMMYFUNCTION("""COMPUTED_VALUE"""),0.705)</f>
        <v>0.70499999999999996</v>
      </c>
      <c r="Z333" s="1">
        <f ca="1">IFERROR(__xludf.DUMMYFUNCTION("""COMPUTED_VALUE"""),268)</f>
        <v>268</v>
      </c>
      <c r="AA333" s="1">
        <f ca="1">IFERROR(__xludf.DUMMYFUNCTION("""COMPUTED_VALUE"""),882)</f>
        <v>882</v>
      </c>
      <c r="AB333" s="1">
        <f ca="1">IFERROR(__xludf.DUMMYFUNCTION("""COMPUTED_VALUE"""),423)</f>
        <v>423</v>
      </c>
      <c r="AC333" s="1">
        <f ca="1">IFERROR(__xludf.DUMMYFUNCTION("""COMPUTED_VALUE"""),163)</f>
        <v>163</v>
      </c>
      <c r="AD333" s="1">
        <f ca="1">IFERROR(__xludf.DUMMYFUNCTION("""COMPUTED_VALUE"""),63)</f>
        <v>63</v>
      </c>
      <c r="AE333" s="1">
        <f ca="1">IFERROR(__xludf.DUMMYFUNCTION("""COMPUTED_VALUE"""),492)</f>
        <v>492</v>
      </c>
      <c r="AF333" s="1">
        <f ca="1">IFERROR(__xludf.DUMMYFUNCTION("""COMPUTED_VALUE"""),568)</f>
        <v>568</v>
      </c>
    </row>
    <row r="334" spans="1:32" ht="12.5" x14ac:dyDescent="0.25">
      <c r="A334" s="1" t="str">
        <f ca="1">IFERROR(__xludf.DUMMYFUNCTION("""COMPUTED_VALUE"""),"Texas-San Antonio")</f>
        <v>Texas-San Antonio</v>
      </c>
      <c r="B334" s="1">
        <f ca="1">IFERROR(__xludf.DUMMYFUNCTION("""COMPUTED_VALUE"""),32)</f>
        <v>32</v>
      </c>
      <c r="C334" s="1">
        <f ca="1">IFERROR(__xludf.DUMMYFUNCTION("""COMPUTED_VALUE"""),18)</f>
        <v>18</v>
      </c>
      <c r="D334" s="1">
        <f ca="1">IFERROR(__xludf.DUMMYFUNCTION("""COMPUTED_VALUE"""),14)</f>
        <v>14</v>
      </c>
      <c r="E334" s="1">
        <f ca="1">IFERROR(__xludf.DUMMYFUNCTION("""COMPUTED_VALUE"""),0.563)</f>
        <v>0.56299999999999994</v>
      </c>
      <c r="F334" s="1">
        <f ca="1">IFERROR(__xludf.DUMMYFUNCTION("""COMPUTED_VALUE"""),-1.83)</f>
        <v>-1.83</v>
      </c>
      <c r="G334" s="1">
        <f ca="1">IFERROR(__xludf.DUMMYFUNCTION("""COMPUTED_VALUE"""),-4.4)</f>
        <v>-4.4000000000000004</v>
      </c>
      <c r="H334" s="1">
        <f ca="1">IFERROR(__xludf.DUMMYFUNCTION("""COMPUTED_VALUE"""),10)</f>
        <v>10</v>
      </c>
      <c r="I334" s="1">
        <f ca="1">IFERROR(__xludf.DUMMYFUNCTION("""COMPUTED_VALUE"""),6)</f>
        <v>6</v>
      </c>
      <c r="J334" s="1">
        <f ca="1">IFERROR(__xludf.DUMMYFUNCTION("""COMPUTED_VALUE"""),8)</f>
        <v>8</v>
      </c>
      <c r="K334" s="1">
        <f ca="1">IFERROR(__xludf.DUMMYFUNCTION("""COMPUTED_VALUE"""),5)</f>
        <v>5</v>
      </c>
      <c r="L334" s="1">
        <f ca="1">IFERROR(__xludf.DUMMYFUNCTION("""COMPUTED_VALUE"""),8)</f>
        <v>8</v>
      </c>
      <c r="M334" s="1">
        <f ca="1">IFERROR(__xludf.DUMMYFUNCTION("""COMPUTED_VALUE"""),8)</f>
        <v>8</v>
      </c>
      <c r="N334" s="1">
        <f ca="1">IFERROR(__xludf.DUMMYFUNCTION("""COMPUTED_VALUE"""),2339)</f>
        <v>2339</v>
      </c>
      <c r="O334" s="1">
        <f ca="1">IFERROR(__xludf.DUMMYFUNCTION("""COMPUTED_VALUE"""),2168)</f>
        <v>2168</v>
      </c>
      <c r="P334" s="1">
        <f ca="1">IFERROR(__xludf.DUMMYFUNCTION("""COMPUTED_VALUE"""),1304)</f>
        <v>1304</v>
      </c>
      <c r="Q334" s="1">
        <f ca="1">IFERROR(__xludf.DUMMYFUNCTION("""COMPUTED_VALUE"""),793)</f>
        <v>793</v>
      </c>
      <c r="R334" s="1">
        <f ca="1">IFERROR(__xludf.DUMMYFUNCTION("""COMPUTED_VALUE"""),1775)</f>
        <v>1775</v>
      </c>
      <c r="S334" s="1">
        <f ca="1">IFERROR(__xludf.DUMMYFUNCTION("""COMPUTED_VALUE"""),0.447)</f>
        <v>0.44700000000000001</v>
      </c>
      <c r="T334" s="1">
        <f ca="1">IFERROR(__xludf.DUMMYFUNCTION("""COMPUTED_VALUE"""),272)</f>
        <v>272</v>
      </c>
      <c r="U334" s="1">
        <f ca="1">IFERROR(__xludf.DUMMYFUNCTION("""COMPUTED_VALUE"""),690)</f>
        <v>690</v>
      </c>
      <c r="V334" s="1">
        <f ca="1">IFERROR(__xludf.DUMMYFUNCTION("""COMPUTED_VALUE"""),0.394)</f>
        <v>0.39400000000000002</v>
      </c>
      <c r="W334" s="1">
        <f ca="1">IFERROR(__xludf.DUMMYFUNCTION("""COMPUTED_VALUE"""),481)</f>
        <v>481</v>
      </c>
      <c r="X334" s="1">
        <f ca="1">IFERROR(__xludf.DUMMYFUNCTION("""COMPUTED_VALUE"""),647)</f>
        <v>647</v>
      </c>
      <c r="Y334" s="1">
        <f ca="1">IFERROR(__xludf.DUMMYFUNCTION("""COMPUTED_VALUE"""),0.743)</f>
        <v>0.74299999999999999</v>
      </c>
      <c r="Z334" s="1">
        <f ca="1">IFERROR(__xludf.DUMMYFUNCTION("""COMPUTED_VALUE"""),299)</f>
        <v>299</v>
      </c>
      <c r="AA334" s="1">
        <f ca="1">IFERROR(__xludf.DUMMYFUNCTION("""COMPUTED_VALUE"""),967)</f>
        <v>967</v>
      </c>
      <c r="AB334" s="1">
        <f ca="1">IFERROR(__xludf.DUMMYFUNCTION("""COMPUTED_VALUE"""),433)</f>
        <v>433</v>
      </c>
      <c r="AC334" s="1">
        <f ca="1">IFERROR(__xludf.DUMMYFUNCTION("""COMPUTED_VALUE"""),263)</f>
        <v>263</v>
      </c>
      <c r="AD334" s="1">
        <f ca="1">IFERROR(__xludf.DUMMYFUNCTION("""COMPUTED_VALUE"""),97)</f>
        <v>97</v>
      </c>
      <c r="AE334" s="1">
        <f ca="1">IFERROR(__xludf.DUMMYFUNCTION("""COMPUTED_VALUE"""),443)</f>
        <v>443</v>
      </c>
      <c r="AF334" s="1">
        <f ca="1">IFERROR(__xludf.DUMMYFUNCTION("""COMPUTED_VALUE"""),557)</f>
        <v>557</v>
      </c>
    </row>
    <row r="335" spans="1:32" ht="12.5" x14ac:dyDescent="0.25">
      <c r="A335" s="1" t="str">
        <f ca="1">IFERROR(__xludf.DUMMYFUNCTION("""COMPUTED_VALUE"""),"Texas Southern")</f>
        <v>Texas Southern</v>
      </c>
      <c r="B335" s="1">
        <f ca="1">IFERROR(__xludf.DUMMYFUNCTION("""COMPUTED_VALUE"""),33)</f>
        <v>33</v>
      </c>
      <c r="C335" s="1">
        <f ca="1">IFERROR(__xludf.DUMMYFUNCTION("""COMPUTED_VALUE"""),15)</f>
        <v>15</v>
      </c>
      <c r="D335" s="1">
        <f ca="1">IFERROR(__xludf.DUMMYFUNCTION("""COMPUTED_VALUE"""),18)</f>
        <v>18</v>
      </c>
      <c r="E335" s="1">
        <f ca="1">IFERROR(__xludf.DUMMYFUNCTION("""COMPUTED_VALUE"""),0.455)</f>
        <v>0.45500000000000002</v>
      </c>
      <c r="F335" s="1">
        <f ca="1">IFERROR(__xludf.DUMMYFUNCTION("""COMPUTED_VALUE"""),-10.26)</f>
        <v>-10.26</v>
      </c>
      <c r="G335" s="1">
        <f ca="1">IFERROR(__xludf.DUMMYFUNCTION("""COMPUTED_VALUE"""),-8.68)</f>
        <v>-8.68</v>
      </c>
      <c r="H335" s="1">
        <f ca="1">IFERROR(__xludf.DUMMYFUNCTION("""COMPUTED_VALUE"""),12)</f>
        <v>12</v>
      </c>
      <c r="I335" s="1">
        <f ca="1">IFERROR(__xludf.DUMMYFUNCTION("""COMPUTED_VALUE"""),6)</f>
        <v>6</v>
      </c>
      <c r="J335" s="1">
        <f ca="1">IFERROR(__xludf.DUMMYFUNCTION("""COMPUTED_VALUE"""),9)</f>
        <v>9</v>
      </c>
      <c r="K335" s="1">
        <f ca="1">IFERROR(__xludf.DUMMYFUNCTION("""COMPUTED_VALUE"""),1)</f>
        <v>1</v>
      </c>
      <c r="L335" s="1">
        <f ca="1">IFERROR(__xludf.DUMMYFUNCTION("""COMPUTED_VALUE"""),4)</f>
        <v>4</v>
      </c>
      <c r="M335" s="1">
        <f ca="1">IFERROR(__xludf.DUMMYFUNCTION("""COMPUTED_VALUE"""),16)</f>
        <v>16</v>
      </c>
      <c r="N335" s="1">
        <f ca="1">IFERROR(__xludf.DUMMYFUNCTION("""COMPUTED_VALUE"""),2021)</f>
        <v>2021</v>
      </c>
      <c r="O335" s="1">
        <f ca="1">IFERROR(__xludf.DUMMYFUNCTION("""COMPUTED_VALUE"""),2073)</f>
        <v>2073</v>
      </c>
      <c r="P335" s="1">
        <f ca="1">IFERROR(__xludf.DUMMYFUNCTION("""COMPUTED_VALUE"""),1330)</f>
        <v>1330</v>
      </c>
      <c r="Q335" s="1">
        <f ca="1">IFERROR(__xludf.DUMMYFUNCTION("""COMPUTED_VALUE"""),684)</f>
        <v>684</v>
      </c>
      <c r="R335" s="1">
        <f ca="1">IFERROR(__xludf.DUMMYFUNCTION("""COMPUTED_VALUE"""),1656)</f>
        <v>1656</v>
      </c>
      <c r="S335" s="1">
        <f ca="1">IFERROR(__xludf.DUMMYFUNCTION("""COMPUTED_VALUE"""),0.413)</f>
        <v>0.41299999999999998</v>
      </c>
      <c r="T335" s="1">
        <f ca="1">IFERROR(__xludf.DUMMYFUNCTION("""COMPUTED_VALUE"""),183)</f>
        <v>183</v>
      </c>
      <c r="U335" s="1">
        <f ca="1">IFERROR(__xludf.DUMMYFUNCTION("""COMPUTED_VALUE"""),555)</f>
        <v>555</v>
      </c>
      <c r="V335" s="1">
        <f ca="1">IFERROR(__xludf.DUMMYFUNCTION("""COMPUTED_VALUE"""),0.33)</f>
        <v>0.33</v>
      </c>
      <c r="W335" s="1">
        <f ca="1">IFERROR(__xludf.DUMMYFUNCTION("""COMPUTED_VALUE"""),470)</f>
        <v>470</v>
      </c>
      <c r="X335" s="1">
        <f ca="1">IFERROR(__xludf.DUMMYFUNCTION("""COMPUTED_VALUE"""),746)</f>
        <v>746</v>
      </c>
      <c r="Y335" s="1">
        <f ca="1">IFERROR(__xludf.DUMMYFUNCTION("""COMPUTED_VALUE"""),0.63)</f>
        <v>0.63</v>
      </c>
      <c r="Z335" s="1">
        <f ca="1">IFERROR(__xludf.DUMMYFUNCTION("""COMPUTED_VALUE"""),372)</f>
        <v>372</v>
      </c>
      <c r="AA335" s="1">
        <f ca="1">IFERROR(__xludf.DUMMYFUNCTION("""COMPUTED_VALUE"""),1036)</f>
        <v>1036</v>
      </c>
      <c r="AB335" s="1">
        <f ca="1">IFERROR(__xludf.DUMMYFUNCTION("""COMPUTED_VALUE"""),331)</f>
        <v>331</v>
      </c>
      <c r="AC335" s="1">
        <f ca="1">IFERROR(__xludf.DUMMYFUNCTION("""COMPUTED_VALUE"""),278)</f>
        <v>278</v>
      </c>
      <c r="AD335" s="1">
        <f ca="1">IFERROR(__xludf.DUMMYFUNCTION("""COMPUTED_VALUE"""),139)</f>
        <v>139</v>
      </c>
      <c r="AE335" s="1">
        <f ca="1">IFERROR(__xludf.DUMMYFUNCTION("""COMPUTED_VALUE"""),560)</f>
        <v>560</v>
      </c>
      <c r="AF335" s="1">
        <f ca="1">IFERROR(__xludf.DUMMYFUNCTION("""COMPUTED_VALUE"""),592)</f>
        <v>592</v>
      </c>
    </row>
    <row r="336" spans="1:32" ht="12.5" x14ac:dyDescent="0.25">
      <c r="A336" s="1" t="str">
        <f ca="1">IFERROR(__xludf.DUMMYFUNCTION("""COMPUTED_VALUE"""),"Texas State")</f>
        <v>Texas State</v>
      </c>
      <c r="B336" s="1">
        <f ca="1">IFERROR(__xludf.DUMMYFUNCTION("""COMPUTED_VALUE"""),30)</f>
        <v>30</v>
      </c>
      <c r="C336" s="1">
        <f ca="1">IFERROR(__xludf.DUMMYFUNCTION("""COMPUTED_VALUE"""),13)</f>
        <v>13</v>
      </c>
      <c r="D336" s="1">
        <f ca="1">IFERROR(__xludf.DUMMYFUNCTION("""COMPUTED_VALUE"""),17)</f>
        <v>17</v>
      </c>
      <c r="E336" s="1">
        <f ca="1">IFERROR(__xludf.DUMMYFUNCTION("""COMPUTED_VALUE"""),0.433)</f>
        <v>0.433</v>
      </c>
      <c r="F336" s="1">
        <f ca="1">IFERROR(__xludf.DUMMYFUNCTION("""COMPUTED_VALUE"""),-8.66)</f>
        <v>-8.66</v>
      </c>
      <c r="G336" s="1">
        <f ca="1">IFERROR(__xludf.DUMMYFUNCTION("""COMPUTED_VALUE"""),-5.31)</f>
        <v>-5.31</v>
      </c>
      <c r="H336" s="1">
        <f ca="1">IFERROR(__xludf.DUMMYFUNCTION("""COMPUTED_VALUE"""),5)</f>
        <v>5</v>
      </c>
      <c r="I336" s="1">
        <f ca="1">IFERROR(__xludf.DUMMYFUNCTION("""COMPUTED_VALUE"""),11)</f>
        <v>11</v>
      </c>
      <c r="J336" s="1">
        <f ca="1">IFERROR(__xludf.DUMMYFUNCTION("""COMPUTED_VALUE"""),9)</f>
        <v>9</v>
      </c>
      <c r="K336" s="1">
        <f ca="1">IFERROR(__xludf.DUMMYFUNCTION("""COMPUTED_VALUE"""),5)</f>
        <v>5</v>
      </c>
      <c r="L336" s="1">
        <f ca="1">IFERROR(__xludf.DUMMYFUNCTION("""COMPUTED_VALUE"""),3)</f>
        <v>3</v>
      </c>
      <c r="M336" s="1">
        <f ca="1">IFERROR(__xludf.DUMMYFUNCTION("""COMPUTED_VALUE"""),11)</f>
        <v>11</v>
      </c>
      <c r="N336" s="1">
        <f ca="1">IFERROR(__xludf.DUMMYFUNCTION("""COMPUTED_VALUE"""),2292)</f>
        <v>2292</v>
      </c>
      <c r="O336" s="1">
        <f ca="1">IFERROR(__xludf.DUMMYFUNCTION("""COMPUTED_VALUE"""),2243)</f>
        <v>2243</v>
      </c>
      <c r="P336" s="1">
        <f ca="1">IFERROR(__xludf.DUMMYFUNCTION("""COMPUTED_VALUE"""),1200)</f>
        <v>1200</v>
      </c>
      <c r="Q336" s="1">
        <f ca="1">IFERROR(__xludf.DUMMYFUNCTION("""COMPUTED_VALUE"""),796)</f>
        <v>796</v>
      </c>
      <c r="R336" s="1">
        <f ca="1">IFERROR(__xludf.DUMMYFUNCTION("""COMPUTED_VALUE"""),1842)</f>
        <v>1842</v>
      </c>
      <c r="S336" s="1">
        <f ca="1">IFERROR(__xludf.DUMMYFUNCTION("""COMPUTED_VALUE"""),0.432)</f>
        <v>0.432</v>
      </c>
      <c r="T336" s="1">
        <f ca="1">IFERROR(__xludf.DUMMYFUNCTION("""COMPUTED_VALUE"""),245)</f>
        <v>245</v>
      </c>
      <c r="U336" s="1">
        <f ca="1">IFERROR(__xludf.DUMMYFUNCTION("""COMPUTED_VALUE"""),679)</f>
        <v>679</v>
      </c>
      <c r="V336" s="1">
        <f ca="1">IFERROR(__xludf.DUMMYFUNCTION("""COMPUTED_VALUE"""),0.361)</f>
        <v>0.36099999999999999</v>
      </c>
      <c r="W336" s="1">
        <f ca="1">IFERROR(__xludf.DUMMYFUNCTION("""COMPUTED_VALUE"""),455)</f>
        <v>455</v>
      </c>
      <c r="X336" s="1">
        <f ca="1">IFERROR(__xludf.DUMMYFUNCTION("""COMPUTED_VALUE"""),639)</f>
        <v>639</v>
      </c>
      <c r="Y336" s="1">
        <f ca="1">IFERROR(__xludf.DUMMYFUNCTION("""COMPUTED_VALUE"""),0.712)</f>
        <v>0.71199999999999997</v>
      </c>
      <c r="Z336" s="1">
        <f ca="1">IFERROR(__xludf.DUMMYFUNCTION("""COMPUTED_VALUE"""),361)</f>
        <v>361</v>
      </c>
      <c r="AA336" s="1">
        <f ca="1">IFERROR(__xludf.DUMMYFUNCTION("""COMPUTED_VALUE"""),962)</f>
        <v>962</v>
      </c>
      <c r="AB336" s="1">
        <f ca="1">IFERROR(__xludf.DUMMYFUNCTION("""COMPUTED_VALUE"""),419)</f>
        <v>419</v>
      </c>
      <c r="AC336" s="1">
        <f ca="1">IFERROR(__xludf.DUMMYFUNCTION("""COMPUTED_VALUE"""),247)</f>
        <v>247</v>
      </c>
      <c r="AD336" s="1">
        <f ca="1">IFERROR(__xludf.DUMMYFUNCTION("""COMPUTED_VALUE"""),95)</f>
        <v>95</v>
      </c>
      <c r="AE336" s="1">
        <f ca="1">IFERROR(__xludf.DUMMYFUNCTION("""COMPUTED_VALUE"""),443)</f>
        <v>443</v>
      </c>
      <c r="AF336" s="1">
        <f ca="1">IFERROR(__xludf.DUMMYFUNCTION("""COMPUTED_VALUE"""),629)</f>
        <v>629</v>
      </c>
    </row>
    <row r="337" spans="1:32" ht="12.5" x14ac:dyDescent="0.25">
      <c r="A337" s="1" t="str">
        <f ca="1">IFERROR(__xludf.DUMMYFUNCTION("""COMPUTED_VALUE"""),"Texas Tech")</f>
        <v>Texas Tech</v>
      </c>
      <c r="B337" s="1">
        <f ca="1">IFERROR(__xludf.DUMMYFUNCTION("""COMPUTED_VALUE"""),31)</f>
        <v>31</v>
      </c>
      <c r="C337" s="1">
        <f ca="1">IFERROR(__xludf.DUMMYFUNCTION("""COMPUTED_VALUE"""),8)</f>
        <v>8</v>
      </c>
      <c r="D337" s="1">
        <f ca="1">IFERROR(__xludf.DUMMYFUNCTION("""COMPUTED_VALUE"""),23)</f>
        <v>23</v>
      </c>
      <c r="E337" s="1">
        <f ca="1">IFERROR(__xludf.DUMMYFUNCTION("""COMPUTED_VALUE"""),0.258)</f>
        <v>0.25800000000000001</v>
      </c>
      <c r="F337" s="1">
        <f ca="1">IFERROR(__xludf.DUMMYFUNCTION("""COMPUTED_VALUE"""),-2.61)</f>
        <v>-2.61</v>
      </c>
      <c r="G337" s="1">
        <f ca="1">IFERROR(__xludf.DUMMYFUNCTION("""COMPUTED_VALUE"""),6.1)</f>
        <v>6.1</v>
      </c>
      <c r="H337" s="1">
        <f ca="1">IFERROR(__xludf.DUMMYFUNCTION("""COMPUTED_VALUE"""),1)</f>
        <v>1</v>
      </c>
      <c r="I337" s="1">
        <f ca="1">IFERROR(__xludf.DUMMYFUNCTION("""COMPUTED_VALUE"""),17)</f>
        <v>17</v>
      </c>
      <c r="J337" s="1">
        <f ca="1">IFERROR(__xludf.DUMMYFUNCTION("""COMPUTED_VALUE"""),7)</f>
        <v>7</v>
      </c>
      <c r="K337" s="1">
        <f ca="1">IFERROR(__xludf.DUMMYFUNCTION("""COMPUTED_VALUE"""),8)</f>
        <v>8</v>
      </c>
      <c r="L337" s="1">
        <f ca="1">IFERROR(__xludf.DUMMYFUNCTION("""COMPUTED_VALUE"""),1)</f>
        <v>1</v>
      </c>
      <c r="M337" s="1">
        <f ca="1">IFERROR(__xludf.DUMMYFUNCTION("""COMPUTED_VALUE"""),11)</f>
        <v>11</v>
      </c>
      <c r="N337" s="1">
        <f ca="1">IFERROR(__xludf.DUMMYFUNCTION("""COMPUTED_VALUE"""),1844)</f>
        <v>1844</v>
      </c>
      <c r="O337" s="1">
        <f ca="1">IFERROR(__xludf.DUMMYFUNCTION("""COMPUTED_VALUE"""),2114)</f>
        <v>2114</v>
      </c>
      <c r="P337" s="1">
        <f ca="1">IFERROR(__xludf.DUMMYFUNCTION("""COMPUTED_VALUE"""),1245)</f>
        <v>1245</v>
      </c>
      <c r="Q337" s="1">
        <f ca="1">IFERROR(__xludf.DUMMYFUNCTION("""COMPUTED_VALUE"""),644)</f>
        <v>644</v>
      </c>
      <c r="R337" s="1">
        <f ca="1">IFERROR(__xludf.DUMMYFUNCTION("""COMPUTED_VALUE"""),1470)</f>
        <v>1470</v>
      </c>
      <c r="S337" s="1">
        <f ca="1">IFERROR(__xludf.DUMMYFUNCTION("""COMPUTED_VALUE"""),0.438)</f>
        <v>0.438</v>
      </c>
      <c r="T337" s="1">
        <f ca="1">IFERROR(__xludf.DUMMYFUNCTION("""COMPUTED_VALUE"""),142)</f>
        <v>142</v>
      </c>
      <c r="U337" s="1">
        <f ca="1">IFERROR(__xludf.DUMMYFUNCTION("""COMPUTED_VALUE"""),398)</f>
        <v>398</v>
      </c>
      <c r="V337" s="1">
        <f ca="1">IFERROR(__xludf.DUMMYFUNCTION("""COMPUTED_VALUE"""),0.357)</f>
        <v>0.35699999999999998</v>
      </c>
      <c r="W337" s="1">
        <f ca="1">IFERROR(__xludf.DUMMYFUNCTION("""COMPUTED_VALUE"""),414)</f>
        <v>414</v>
      </c>
      <c r="X337" s="1">
        <f ca="1">IFERROR(__xludf.DUMMYFUNCTION("""COMPUTED_VALUE"""),590)</f>
        <v>590</v>
      </c>
      <c r="Y337" s="1">
        <f ca="1">IFERROR(__xludf.DUMMYFUNCTION("""COMPUTED_VALUE"""),0.702)</f>
        <v>0.70199999999999996</v>
      </c>
      <c r="Z337" s="1">
        <f ca="1">IFERROR(__xludf.DUMMYFUNCTION("""COMPUTED_VALUE"""),242)</f>
        <v>242</v>
      </c>
      <c r="AA337" s="1">
        <f ca="1">IFERROR(__xludf.DUMMYFUNCTION("""COMPUTED_VALUE"""),848)</f>
        <v>848</v>
      </c>
      <c r="AB337" s="1">
        <f ca="1">IFERROR(__xludf.DUMMYFUNCTION("""COMPUTED_VALUE"""),345)</f>
        <v>345</v>
      </c>
      <c r="AC337" s="1">
        <f ca="1">IFERROR(__xludf.DUMMYFUNCTION("""COMPUTED_VALUE"""),161)</f>
        <v>161</v>
      </c>
      <c r="AD337" s="1">
        <f ca="1">IFERROR(__xludf.DUMMYFUNCTION("""COMPUTED_VALUE"""),92)</f>
        <v>92</v>
      </c>
      <c r="AE337" s="1">
        <f ca="1">IFERROR(__xludf.DUMMYFUNCTION("""COMPUTED_VALUE"""),530)</f>
        <v>530</v>
      </c>
      <c r="AF337" s="1">
        <f ca="1">IFERROR(__xludf.DUMMYFUNCTION("""COMPUTED_VALUE"""),658)</f>
        <v>658</v>
      </c>
    </row>
    <row r="338" spans="1:32" ht="12.5" x14ac:dyDescent="0.25">
      <c r="A338" s="1" t="str">
        <f ca="1">IFERROR(__xludf.DUMMYFUNCTION("""COMPUTED_VALUE"""),"TexasNCAA")</f>
        <v>TexasNCAA</v>
      </c>
      <c r="B338" s="1">
        <f ca="1">IFERROR(__xludf.DUMMYFUNCTION("""COMPUTED_VALUE"""),34)</f>
        <v>34</v>
      </c>
      <c r="C338" s="1">
        <f ca="1">IFERROR(__xludf.DUMMYFUNCTION("""COMPUTED_VALUE"""),20)</f>
        <v>20</v>
      </c>
      <c r="D338" s="1">
        <f ca="1">IFERROR(__xludf.DUMMYFUNCTION("""COMPUTED_VALUE"""),14)</f>
        <v>14</v>
      </c>
      <c r="E338" s="1">
        <f ca="1">IFERROR(__xludf.DUMMYFUNCTION("""COMPUTED_VALUE"""),0.588)</f>
        <v>0.58799999999999997</v>
      </c>
      <c r="F338" s="1">
        <f ca="1">IFERROR(__xludf.DUMMYFUNCTION("""COMPUTED_VALUE"""),14)</f>
        <v>14</v>
      </c>
      <c r="G338" s="1">
        <f ca="1">IFERROR(__xludf.DUMMYFUNCTION("""COMPUTED_VALUE"""),8.12)</f>
        <v>8.1199999999999992</v>
      </c>
      <c r="H338" s="1">
        <f ca="1">IFERROR(__xludf.DUMMYFUNCTION("""COMPUTED_VALUE"""),9)</f>
        <v>9</v>
      </c>
      <c r="I338" s="1">
        <f ca="1">IFERROR(__xludf.DUMMYFUNCTION("""COMPUTED_VALUE"""),9)</f>
        <v>9</v>
      </c>
      <c r="J338" s="1">
        <f ca="1">IFERROR(__xludf.DUMMYFUNCTION("""COMPUTED_VALUE"""),15)</f>
        <v>15</v>
      </c>
      <c r="K338" s="1">
        <f ca="1">IFERROR(__xludf.DUMMYFUNCTION("""COMPUTED_VALUE"""),3)</f>
        <v>3</v>
      </c>
      <c r="L338" s="1">
        <f ca="1">IFERROR(__xludf.DUMMYFUNCTION("""COMPUTED_VALUE"""),4)</f>
        <v>4</v>
      </c>
      <c r="M338" s="1">
        <f ca="1">IFERROR(__xludf.DUMMYFUNCTION("""COMPUTED_VALUE"""),7)</f>
        <v>7</v>
      </c>
      <c r="N338" s="1">
        <f ca="1">IFERROR(__xludf.DUMMYFUNCTION("""COMPUTED_VALUE"""),2470)</f>
        <v>2470</v>
      </c>
      <c r="O338" s="1">
        <f ca="1">IFERROR(__xludf.DUMMYFUNCTION("""COMPUTED_VALUE"""),2270)</f>
        <v>2270</v>
      </c>
      <c r="P338" s="1">
        <f ca="1">IFERROR(__xludf.DUMMYFUNCTION("""COMPUTED_VALUE"""),1370)</f>
        <v>1370</v>
      </c>
      <c r="Q338" s="1">
        <f ca="1">IFERROR(__xludf.DUMMYFUNCTION("""COMPUTED_VALUE"""),836)</f>
        <v>836</v>
      </c>
      <c r="R338" s="1">
        <f ca="1">IFERROR(__xludf.DUMMYFUNCTION("""COMPUTED_VALUE"""),1927)</f>
        <v>1927</v>
      </c>
      <c r="S338" s="1">
        <f ca="1">IFERROR(__xludf.DUMMYFUNCTION("""COMPUTED_VALUE"""),0.434)</f>
        <v>0.434</v>
      </c>
      <c r="T338" s="1">
        <f ca="1">IFERROR(__xludf.DUMMYFUNCTION("""COMPUTED_VALUE"""),197)</f>
        <v>197</v>
      </c>
      <c r="U338" s="1">
        <f ca="1">IFERROR(__xludf.DUMMYFUNCTION("""COMPUTED_VALUE"""),601)</f>
        <v>601</v>
      </c>
      <c r="V338" s="1">
        <f ca="1">IFERROR(__xludf.DUMMYFUNCTION("""COMPUTED_VALUE"""),0.328)</f>
        <v>0.32800000000000001</v>
      </c>
      <c r="W338" s="1">
        <f ca="1">IFERROR(__xludf.DUMMYFUNCTION("""COMPUTED_VALUE"""),601)</f>
        <v>601</v>
      </c>
      <c r="X338" s="1">
        <f ca="1">IFERROR(__xludf.DUMMYFUNCTION("""COMPUTED_VALUE"""),820)</f>
        <v>820</v>
      </c>
      <c r="Y338" s="1">
        <f ca="1">IFERROR(__xludf.DUMMYFUNCTION("""COMPUTED_VALUE"""),0.733)</f>
        <v>0.73299999999999998</v>
      </c>
      <c r="Z338" s="1">
        <f ca="1">IFERROR(__xludf.DUMMYFUNCTION("""COMPUTED_VALUE"""),453)</f>
        <v>453</v>
      </c>
      <c r="AA338" s="1">
        <f ca="1">IFERROR(__xludf.DUMMYFUNCTION("""COMPUTED_VALUE"""),1118)</f>
        <v>1118</v>
      </c>
      <c r="AB338" s="1">
        <f ca="1">IFERROR(__xludf.DUMMYFUNCTION("""COMPUTED_VALUE"""),419)</f>
        <v>419</v>
      </c>
      <c r="AC338" s="1">
        <f ca="1">IFERROR(__xludf.DUMMYFUNCTION("""COMPUTED_VALUE"""),231)</f>
        <v>231</v>
      </c>
      <c r="AD338" s="1">
        <f ca="1">IFERROR(__xludf.DUMMYFUNCTION("""COMPUTED_VALUE"""),125)</f>
        <v>125</v>
      </c>
      <c r="AE338" s="1">
        <f ca="1">IFERROR(__xludf.DUMMYFUNCTION("""COMPUTED_VALUE"""),426)</f>
        <v>426</v>
      </c>
      <c r="AF338" s="1">
        <f ca="1">IFERROR(__xludf.DUMMYFUNCTION("""COMPUTED_VALUE"""),659)</f>
        <v>659</v>
      </c>
    </row>
    <row r="339" spans="1:32" ht="12.5" x14ac:dyDescent="0.25">
      <c r="A339" s="1" t="str">
        <f ca="1">IFERROR(__xludf.DUMMYFUNCTION("""COMPUTED_VALUE"""),"Toledo")</f>
        <v>Toledo</v>
      </c>
      <c r="B339" s="1">
        <f ca="1">IFERROR(__xludf.DUMMYFUNCTION("""COMPUTED_VALUE"""),36)</f>
        <v>36</v>
      </c>
      <c r="C339" s="1">
        <f ca="1">IFERROR(__xludf.DUMMYFUNCTION("""COMPUTED_VALUE"""),19)</f>
        <v>19</v>
      </c>
      <c r="D339" s="1">
        <f ca="1">IFERROR(__xludf.DUMMYFUNCTION("""COMPUTED_VALUE"""),17)</f>
        <v>17</v>
      </c>
      <c r="E339" s="1">
        <f ca="1">IFERROR(__xludf.DUMMYFUNCTION("""COMPUTED_VALUE"""),0.528)</f>
        <v>0.52800000000000002</v>
      </c>
      <c r="F339" s="1">
        <f ca="1">IFERROR(__xludf.DUMMYFUNCTION("""COMPUTED_VALUE"""),-3.35)</f>
        <v>-3.35</v>
      </c>
      <c r="G339" s="1">
        <f ca="1">IFERROR(__xludf.DUMMYFUNCTION("""COMPUTED_VALUE"""),-3.64)</f>
        <v>-3.64</v>
      </c>
      <c r="H339" s="1">
        <f ca="1">IFERROR(__xludf.DUMMYFUNCTION("""COMPUTED_VALUE"""),7)</f>
        <v>7</v>
      </c>
      <c r="I339" s="1">
        <f ca="1">IFERROR(__xludf.DUMMYFUNCTION("""COMPUTED_VALUE"""),9)</f>
        <v>9</v>
      </c>
      <c r="J339" s="1">
        <f ca="1">IFERROR(__xludf.DUMMYFUNCTION("""COMPUTED_VALUE"""),11)</f>
        <v>11</v>
      </c>
      <c r="K339" s="1">
        <f ca="1">IFERROR(__xludf.DUMMYFUNCTION("""COMPUTED_VALUE"""),8)</f>
        <v>8</v>
      </c>
      <c r="L339" s="1">
        <f ca="1">IFERROR(__xludf.DUMMYFUNCTION("""COMPUTED_VALUE"""),5)</f>
        <v>5</v>
      </c>
      <c r="M339" s="1">
        <f ca="1">IFERROR(__xludf.DUMMYFUNCTION("""COMPUTED_VALUE"""),7)</f>
        <v>7</v>
      </c>
      <c r="N339" s="1">
        <f ca="1">IFERROR(__xludf.DUMMYFUNCTION("""COMPUTED_VALUE"""),2500)</f>
        <v>2500</v>
      </c>
      <c r="O339" s="1">
        <f ca="1">IFERROR(__xludf.DUMMYFUNCTION("""COMPUTED_VALUE"""),2385)</f>
        <v>2385</v>
      </c>
      <c r="P339" s="1">
        <f ca="1">IFERROR(__xludf.DUMMYFUNCTION("""COMPUTED_VALUE"""),1440)</f>
        <v>1440</v>
      </c>
      <c r="Q339" s="1">
        <f ca="1">IFERROR(__xludf.DUMMYFUNCTION("""COMPUTED_VALUE"""),871)</f>
        <v>871</v>
      </c>
      <c r="R339" s="1">
        <f ca="1">IFERROR(__xludf.DUMMYFUNCTION("""COMPUTED_VALUE"""),1916)</f>
        <v>1916</v>
      </c>
      <c r="S339" s="1">
        <f ca="1">IFERROR(__xludf.DUMMYFUNCTION("""COMPUTED_VALUE"""),0.455)</f>
        <v>0.45500000000000002</v>
      </c>
      <c r="T339" s="1">
        <f ca="1">IFERROR(__xludf.DUMMYFUNCTION("""COMPUTED_VALUE"""),217)</f>
        <v>217</v>
      </c>
      <c r="U339" s="1">
        <f ca="1">IFERROR(__xludf.DUMMYFUNCTION("""COMPUTED_VALUE"""),588)</f>
        <v>588</v>
      </c>
      <c r="V339" s="1">
        <f ca="1">IFERROR(__xludf.DUMMYFUNCTION("""COMPUTED_VALUE"""),0.369)</f>
        <v>0.36899999999999999</v>
      </c>
      <c r="W339" s="1">
        <f ca="1">IFERROR(__xludf.DUMMYFUNCTION("""COMPUTED_VALUE"""),543)</f>
        <v>543</v>
      </c>
      <c r="X339" s="1">
        <f ca="1">IFERROR(__xludf.DUMMYFUNCTION("""COMPUTED_VALUE"""),748)</f>
        <v>748</v>
      </c>
      <c r="Y339" s="1">
        <f ca="1">IFERROR(__xludf.DUMMYFUNCTION("""COMPUTED_VALUE"""),0.726)</f>
        <v>0.72599999999999998</v>
      </c>
      <c r="Z339" s="1">
        <f ca="1">IFERROR(__xludf.DUMMYFUNCTION("""COMPUTED_VALUE"""),382)</f>
        <v>382</v>
      </c>
      <c r="AA339" s="1">
        <f ca="1">IFERROR(__xludf.DUMMYFUNCTION("""COMPUTED_VALUE"""),1104)</f>
        <v>1104</v>
      </c>
      <c r="AB339" s="1">
        <f ca="1">IFERROR(__xludf.DUMMYFUNCTION("""COMPUTED_VALUE"""),469)</f>
        <v>469</v>
      </c>
      <c r="AC339" s="1">
        <f ca="1">IFERROR(__xludf.DUMMYFUNCTION("""COMPUTED_VALUE"""),251)</f>
        <v>251</v>
      </c>
      <c r="AD339" s="1">
        <f ca="1">IFERROR(__xludf.DUMMYFUNCTION("""COMPUTED_VALUE"""),79)</f>
        <v>79</v>
      </c>
      <c r="AE339" s="1">
        <f ca="1">IFERROR(__xludf.DUMMYFUNCTION("""COMPUTED_VALUE"""),490)</f>
        <v>490</v>
      </c>
      <c r="AF339" s="1">
        <f ca="1">IFERROR(__xludf.DUMMYFUNCTION("""COMPUTED_VALUE"""),605)</f>
        <v>605</v>
      </c>
    </row>
    <row r="340" spans="1:32" ht="12.5" x14ac:dyDescent="0.25">
      <c r="A340" s="1" t="str">
        <f ca="1">IFERROR(__xludf.DUMMYFUNCTION("""COMPUTED_VALUE"""),"Towson")</f>
        <v>Towson</v>
      </c>
      <c r="B340" s="1">
        <f ca="1">IFERROR(__xludf.DUMMYFUNCTION("""COMPUTED_VALUE"""),32)</f>
        <v>32</v>
      </c>
      <c r="C340" s="1">
        <f ca="1">IFERROR(__xludf.DUMMYFUNCTION("""COMPUTED_VALUE"""),1)</f>
        <v>1</v>
      </c>
      <c r="D340" s="1">
        <f ca="1">IFERROR(__xludf.DUMMYFUNCTION("""COMPUTED_VALUE"""),31)</f>
        <v>31</v>
      </c>
      <c r="E340" s="1">
        <f ca="1">IFERROR(__xludf.DUMMYFUNCTION("""COMPUTED_VALUE"""),0.031)</f>
        <v>3.1E-2</v>
      </c>
      <c r="F340" s="1">
        <f ca="1">IFERROR(__xludf.DUMMYFUNCTION("""COMPUTED_VALUE"""),-16.71)</f>
        <v>-16.71</v>
      </c>
      <c r="G340" s="1">
        <f ca="1">IFERROR(__xludf.DUMMYFUNCTION("""COMPUTED_VALUE"""),1.54)</f>
        <v>1.54</v>
      </c>
      <c r="H340" s="1">
        <f ca="1">IFERROR(__xludf.DUMMYFUNCTION("""COMPUTED_VALUE"""),1)</f>
        <v>1</v>
      </c>
      <c r="I340" s="1">
        <f ca="1">IFERROR(__xludf.DUMMYFUNCTION("""COMPUTED_VALUE"""),17)</f>
        <v>17</v>
      </c>
      <c r="J340" s="1">
        <f ca="1">IFERROR(__xludf.DUMMYFUNCTION("""COMPUTED_VALUE"""),1)</f>
        <v>1</v>
      </c>
      <c r="K340" s="1">
        <f ca="1">IFERROR(__xludf.DUMMYFUNCTION("""COMPUTED_VALUE"""),13)</f>
        <v>13</v>
      </c>
      <c r="L340" s="1">
        <f ca="1">IFERROR(__xludf.DUMMYFUNCTION("""COMPUTED_VALUE"""),0)</f>
        <v>0</v>
      </c>
      <c r="M340" s="1">
        <f ca="1">IFERROR(__xludf.DUMMYFUNCTION("""COMPUTED_VALUE"""),15)</f>
        <v>15</v>
      </c>
      <c r="N340" s="1">
        <f ca="1">IFERROR(__xludf.DUMMYFUNCTION("""COMPUTED_VALUE"""),1647)</f>
        <v>1647</v>
      </c>
      <c r="O340" s="1">
        <f ca="1">IFERROR(__xludf.DUMMYFUNCTION("""COMPUTED_VALUE"""),2231)</f>
        <v>2231</v>
      </c>
      <c r="P340" s="1">
        <f ca="1">IFERROR(__xludf.DUMMYFUNCTION("""COMPUTED_VALUE"""),1280)</f>
        <v>1280</v>
      </c>
      <c r="Q340" s="1">
        <f ca="1">IFERROR(__xludf.DUMMYFUNCTION("""COMPUTED_VALUE"""),580)</f>
        <v>580</v>
      </c>
      <c r="R340" s="1">
        <f ca="1">IFERROR(__xludf.DUMMYFUNCTION("""COMPUTED_VALUE"""),1581)</f>
        <v>1581</v>
      </c>
      <c r="S340" s="1">
        <f ca="1">IFERROR(__xludf.DUMMYFUNCTION("""COMPUTED_VALUE"""),0.367)</f>
        <v>0.36699999999999999</v>
      </c>
      <c r="T340" s="1">
        <f ca="1">IFERROR(__xludf.DUMMYFUNCTION("""COMPUTED_VALUE"""),108)</f>
        <v>108</v>
      </c>
      <c r="U340" s="1">
        <f ca="1">IFERROR(__xludf.DUMMYFUNCTION("""COMPUTED_VALUE"""),400)</f>
        <v>400</v>
      </c>
      <c r="V340" s="1">
        <f ca="1">IFERROR(__xludf.DUMMYFUNCTION("""COMPUTED_VALUE"""),0.27)</f>
        <v>0.27</v>
      </c>
      <c r="W340" s="1">
        <f ca="1">IFERROR(__xludf.DUMMYFUNCTION("""COMPUTED_VALUE"""),379)</f>
        <v>379</v>
      </c>
      <c r="X340" s="1">
        <f ca="1">IFERROR(__xludf.DUMMYFUNCTION("""COMPUTED_VALUE"""),647)</f>
        <v>647</v>
      </c>
      <c r="Y340" s="1">
        <f ca="1">IFERROR(__xludf.DUMMYFUNCTION("""COMPUTED_VALUE"""),0.586)</f>
        <v>0.58599999999999997</v>
      </c>
      <c r="Z340" s="1">
        <f ca="1">IFERROR(__xludf.DUMMYFUNCTION("""COMPUTED_VALUE"""),439)</f>
        <v>439</v>
      </c>
      <c r="AA340" s="1">
        <f ca="1">IFERROR(__xludf.DUMMYFUNCTION("""COMPUTED_VALUE"""),1056)</f>
        <v>1056</v>
      </c>
      <c r="AB340" s="1">
        <f ca="1">IFERROR(__xludf.DUMMYFUNCTION("""COMPUTED_VALUE"""),261)</f>
        <v>261</v>
      </c>
      <c r="AC340" s="1">
        <f ca="1">IFERROR(__xludf.DUMMYFUNCTION("""COMPUTED_VALUE"""),177)</f>
        <v>177</v>
      </c>
      <c r="AD340" s="1">
        <f ca="1">IFERROR(__xludf.DUMMYFUNCTION("""COMPUTED_VALUE"""),135)</f>
        <v>135</v>
      </c>
      <c r="AE340" s="1">
        <f ca="1">IFERROR(__xludf.DUMMYFUNCTION("""COMPUTED_VALUE"""),580)</f>
        <v>580</v>
      </c>
      <c r="AF340" s="1">
        <f ca="1">IFERROR(__xludf.DUMMYFUNCTION("""COMPUTED_VALUE"""),587)</f>
        <v>587</v>
      </c>
    </row>
    <row r="341" spans="1:32" ht="12.5" x14ac:dyDescent="0.25">
      <c r="A341" s="1" t="str">
        <f ca="1">IFERROR(__xludf.DUMMYFUNCTION("""COMPUTED_VALUE"""),"Troy")</f>
        <v>Troy</v>
      </c>
      <c r="B341" s="1">
        <f ca="1">IFERROR(__xludf.DUMMYFUNCTION("""COMPUTED_VALUE"""),28)</f>
        <v>28</v>
      </c>
      <c r="C341" s="1">
        <f ca="1">IFERROR(__xludf.DUMMYFUNCTION("""COMPUTED_VALUE"""),10)</f>
        <v>10</v>
      </c>
      <c r="D341" s="1">
        <f ca="1">IFERROR(__xludf.DUMMYFUNCTION("""COMPUTED_VALUE"""),18)</f>
        <v>18</v>
      </c>
      <c r="E341" s="1">
        <f ca="1">IFERROR(__xludf.DUMMYFUNCTION("""COMPUTED_VALUE"""),0.357)</f>
        <v>0.35699999999999998</v>
      </c>
      <c r="F341" s="1">
        <f ca="1">IFERROR(__xludf.DUMMYFUNCTION("""COMPUTED_VALUE"""),-7.48)</f>
        <v>-7.48</v>
      </c>
      <c r="G341" s="1">
        <f ca="1">IFERROR(__xludf.DUMMYFUNCTION("""COMPUTED_VALUE"""),-0.85)</f>
        <v>-0.85</v>
      </c>
      <c r="H341" s="1">
        <f ca="1">IFERROR(__xludf.DUMMYFUNCTION("""COMPUTED_VALUE"""),5)</f>
        <v>5</v>
      </c>
      <c r="I341" s="1">
        <f ca="1">IFERROR(__xludf.DUMMYFUNCTION("""COMPUTED_VALUE"""),11)</f>
        <v>11</v>
      </c>
      <c r="J341" s="1">
        <f ca="1">IFERROR(__xludf.DUMMYFUNCTION("""COMPUTED_VALUE"""),6)</f>
        <v>6</v>
      </c>
      <c r="K341" s="1">
        <f ca="1">IFERROR(__xludf.DUMMYFUNCTION("""COMPUTED_VALUE"""),7)</f>
        <v>7</v>
      </c>
      <c r="L341" s="1">
        <f ca="1">IFERROR(__xludf.DUMMYFUNCTION("""COMPUTED_VALUE"""),4)</f>
        <v>4</v>
      </c>
      <c r="M341" s="1">
        <f ca="1">IFERROR(__xludf.DUMMYFUNCTION("""COMPUTED_VALUE"""),10)</f>
        <v>10</v>
      </c>
      <c r="N341" s="1">
        <f ca="1">IFERROR(__xludf.DUMMYFUNCTION("""COMPUTED_VALUE"""),1996)</f>
        <v>1996</v>
      </c>
      <c r="O341" s="1">
        <f ca="1">IFERROR(__xludf.DUMMYFUNCTION("""COMPUTED_VALUE"""),2122)</f>
        <v>2122</v>
      </c>
      <c r="P341" s="1">
        <f ca="1">IFERROR(__xludf.DUMMYFUNCTION("""COMPUTED_VALUE"""),1130)</f>
        <v>1130</v>
      </c>
      <c r="Q341" s="1">
        <f ca="1">IFERROR(__xludf.DUMMYFUNCTION("""COMPUTED_VALUE"""),721)</f>
        <v>721</v>
      </c>
      <c r="R341" s="1">
        <f ca="1">IFERROR(__xludf.DUMMYFUNCTION("""COMPUTED_VALUE"""),1758)</f>
        <v>1758</v>
      </c>
      <c r="S341" s="1">
        <f ca="1">IFERROR(__xludf.DUMMYFUNCTION("""COMPUTED_VALUE"""),0.41)</f>
        <v>0.41</v>
      </c>
      <c r="T341" s="1">
        <f ca="1">IFERROR(__xludf.DUMMYFUNCTION("""COMPUTED_VALUE"""),250)</f>
        <v>250</v>
      </c>
      <c r="U341" s="1">
        <f ca="1">IFERROR(__xludf.DUMMYFUNCTION("""COMPUTED_VALUE"""),724)</f>
        <v>724</v>
      </c>
      <c r="V341" s="1">
        <f ca="1">IFERROR(__xludf.DUMMYFUNCTION("""COMPUTED_VALUE"""),0.345)</f>
        <v>0.34499999999999997</v>
      </c>
      <c r="W341" s="1">
        <f ca="1">IFERROR(__xludf.DUMMYFUNCTION("""COMPUTED_VALUE"""),304)</f>
        <v>304</v>
      </c>
      <c r="X341" s="1">
        <f ca="1">IFERROR(__xludf.DUMMYFUNCTION("""COMPUTED_VALUE"""),450)</f>
        <v>450</v>
      </c>
      <c r="Y341" s="1">
        <f ca="1">IFERROR(__xludf.DUMMYFUNCTION("""COMPUTED_VALUE"""),0.676)</f>
        <v>0.67600000000000005</v>
      </c>
      <c r="Z341" s="1">
        <f ca="1">IFERROR(__xludf.DUMMYFUNCTION("""COMPUTED_VALUE"""),392)</f>
        <v>392</v>
      </c>
      <c r="AA341" s="1">
        <f ca="1">IFERROR(__xludf.DUMMYFUNCTION("""COMPUTED_VALUE"""),910)</f>
        <v>910</v>
      </c>
      <c r="AB341" s="1">
        <f ca="1">IFERROR(__xludf.DUMMYFUNCTION("""COMPUTED_VALUE"""),360)</f>
        <v>360</v>
      </c>
      <c r="AC341" s="1">
        <f ca="1">IFERROR(__xludf.DUMMYFUNCTION("""COMPUTED_VALUE"""),188)</f>
        <v>188</v>
      </c>
      <c r="AD341" s="1">
        <f ca="1">IFERROR(__xludf.DUMMYFUNCTION("""COMPUTED_VALUE"""),103)</f>
        <v>103</v>
      </c>
      <c r="AE341" s="1">
        <f ca="1">IFERROR(__xludf.DUMMYFUNCTION("""COMPUTED_VALUE"""),347)</f>
        <v>347</v>
      </c>
      <c r="AF341" s="1">
        <f ca="1">IFERROR(__xludf.DUMMYFUNCTION("""COMPUTED_VALUE"""),478)</f>
        <v>478</v>
      </c>
    </row>
    <row r="342" spans="1:32" ht="12.5" x14ac:dyDescent="0.25">
      <c r="A342" s="1" t="str">
        <f ca="1">IFERROR(__xludf.DUMMYFUNCTION("""COMPUTED_VALUE"""),"Tulane")</f>
        <v>Tulane</v>
      </c>
      <c r="B342" s="1">
        <f ca="1">IFERROR(__xludf.DUMMYFUNCTION("""COMPUTED_VALUE"""),31)</f>
        <v>31</v>
      </c>
      <c r="C342" s="1">
        <f ca="1">IFERROR(__xludf.DUMMYFUNCTION("""COMPUTED_VALUE"""),15)</f>
        <v>15</v>
      </c>
      <c r="D342" s="1">
        <f ca="1">IFERROR(__xludf.DUMMYFUNCTION("""COMPUTED_VALUE"""),16)</f>
        <v>16</v>
      </c>
      <c r="E342" s="1">
        <f ca="1">IFERROR(__xludf.DUMMYFUNCTION("""COMPUTED_VALUE"""),0.484)</f>
        <v>0.48399999999999999</v>
      </c>
      <c r="F342" s="1">
        <f ca="1">IFERROR(__xludf.DUMMYFUNCTION("""COMPUTED_VALUE"""),-0.12)</f>
        <v>-0.12</v>
      </c>
      <c r="G342" s="1">
        <f ca="1">IFERROR(__xludf.DUMMYFUNCTION("""COMPUTED_VALUE"""),-1.61)</f>
        <v>-1.61</v>
      </c>
      <c r="H342" s="1">
        <f ca="1">IFERROR(__xludf.DUMMYFUNCTION("""COMPUTED_VALUE"""),3)</f>
        <v>3</v>
      </c>
      <c r="I342" s="1">
        <f ca="1">IFERROR(__xludf.DUMMYFUNCTION("""COMPUTED_VALUE"""),13)</f>
        <v>13</v>
      </c>
      <c r="J342" s="1">
        <f ca="1">IFERROR(__xludf.DUMMYFUNCTION("""COMPUTED_VALUE"""),12)</f>
        <v>12</v>
      </c>
      <c r="K342" s="1">
        <f ca="1">IFERROR(__xludf.DUMMYFUNCTION("""COMPUTED_VALUE"""),5)</f>
        <v>5</v>
      </c>
      <c r="L342" s="1">
        <f ca="1">IFERROR(__xludf.DUMMYFUNCTION("""COMPUTED_VALUE"""),2)</f>
        <v>2</v>
      </c>
      <c r="M342" s="1">
        <f ca="1">IFERROR(__xludf.DUMMYFUNCTION("""COMPUTED_VALUE"""),10)</f>
        <v>10</v>
      </c>
      <c r="N342" s="1">
        <f ca="1">IFERROR(__xludf.DUMMYFUNCTION("""COMPUTED_VALUE"""),2002)</f>
        <v>2002</v>
      </c>
      <c r="O342" s="1">
        <f ca="1">IFERROR(__xludf.DUMMYFUNCTION("""COMPUTED_VALUE"""),1910)</f>
        <v>1910</v>
      </c>
      <c r="P342" s="1">
        <f ca="1">IFERROR(__xludf.DUMMYFUNCTION("""COMPUTED_VALUE"""),1250)</f>
        <v>1250</v>
      </c>
      <c r="Q342" s="1">
        <f ca="1">IFERROR(__xludf.DUMMYFUNCTION("""COMPUTED_VALUE"""),693)</f>
        <v>693</v>
      </c>
      <c r="R342" s="1">
        <f ca="1">IFERROR(__xludf.DUMMYFUNCTION("""COMPUTED_VALUE"""),1641)</f>
        <v>1641</v>
      </c>
      <c r="S342" s="1">
        <f ca="1">IFERROR(__xludf.DUMMYFUNCTION("""COMPUTED_VALUE"""),0.422)</f>
        <v>0.42199999999999999</v>
      </c>
      <c r="T342" s="1">
        <f ca="1">IFERROR(__xludf.DUMMYFUNCTION("""COMPUTED_VALUE"""),184)</f>
        <v>184</v>
      </c>
      <c r="U342" s="1">
        <f ca="1">IFERROR(__xludf.DUMMYFUNCTION("""COMPUTED_VALUE"""),546)</f>
        <v>546</v>
      </c>
      <c r="V342" s="1">
        <f ca="1">IFERROR(__xludf.DUMMYFUNCTION("""COMPUTED_VALUE"""),0.337)</f>
        <v>0.33700000000000002</v>
      </c>
      <c r="W342" s="1">
        <f ca="1">IFERROR(__xludf.DUMMYFUNCTION("""COMPUTED_VALUE"""),432)</f>
        <v>432</v>
      </c>
      <c r="X342" s="1">
        <f ca="1">IFERROR(__xludf.DUMMYFUNCTION("""COMPUTED_VALUE"""),653)</f>
        <v>653</v>
      </c>
      <c r="Y342" s="1">
        <f ca="1">IFERROR(__xludf.DUMMYFUNCTION("""COMPUTED_VALUE"""),0.662)</f>
        <v>0.66200000000000003</v>
      </c>
      <c r="Z342" s="1">
        <f ca="1">IFERROR(__xludf.DUMMYFUNCTION("""COMPUTED_VALUE"""),336)</f>
        <v>336</v>
      </c>
      <c r="AA342" s="1">
        <f ca="1">IFERROR(__xludf.DUMMYFUNCTION("""COMPUTED_VALUE"""),944)</f>
        <v>944</v>
      </c>
      <c r="AB342" s="1">
        <f ca="1">IFERROR(__xludf.DUMMYFUNCTION("""COMPUTED_VALUE"""),381)</f>
        <v>381</v>
      </c>
      <c r="AC342" s="1">
        <f ca="1">IFERROR(__xludf.DUMMYFUNCTION("""COMPUTED_VALUE"""),219)</f>
        <v>219</v>
      </c>
      <c r="AD342" s="1">
        <f ca="1">IFERROR(__xludf.DUMMYFUNCTION("""COMPUTED_VALUE"""),104)</f>
        <v>104</v>
      </c>
      <c r="AE342" s="1">
        <f ca="1">IFERROR(__xludf.DUMMYFUNCTION("""COMPUTED_VALUE"""),394)</f>
        <v>394</v>
      </c>
      <c r="AF342" s="1">
        <f ca="1">IFERROR(__xludf.DUMMYFUNCTION("""COMPUTED_VALUE"""),515)</f>
        <v>515</v>
      </c>
    </row>
    <row r="343" spans="1:32" ht="12.5" x14ac:dyDescent="0.25">
      <c r="A343" s="1" t="str">
        <f ca="1">IFERROR(__xludf.DUMMYFUNCTION("""COMPUTED_VALUE"""),"Tulsa")</f>
        <v>Tulsa</v>
      </c>
      <c r="B343" s="1">
        <f ca="1">IFERROR(__xludf.DUMMYFUNCTION("""COMPUTED_VALUE"""),31)</f>
        <v>31</v>
      </c>
      <c r="C343" s="1">
        <f ca="1">IFERROR(__xludf.DUMMYFUNCTION("""COMPUTED_VALUE"""),17)</f>
        <v>17</v>
      </c>
      <c r="D343" s="1">
        <f ca="1">IFERROR(__xludf.DUMMYFUNCTION("""COMPUTED_VALUE"""),14)</f>
        <v>14</v>
      </c>
      <c r="E343" s="1">
        <f ca="1">IFERROR(__xludf.DUMMYFUNCTION("""COMPUTED_VALUE"""),0.548)</f>
        <v>0.54800000000000004</v>
      </c>
      <c r="F343" s="1">
        <f ca="1">IFERROR(__xludf.DUMMYFUNCTION("""COMPUTED_VALUE"""),5.82)</f>
        <v>5.82</v>
      </c>
      <c r="G343" s="1">
        <f ca="1">IFERROR(__xludf.DUMMYFUNCTION("""COMPUTED_VALUE"""),2.85)</f>
        <v>2.85</v>
      </c>
      <c r="H343" s="1">
        <f ca="1">IFERROR(__xludf.DUMMYFUNCTION("""COMPUTED_VALUE"""),10)</f>
        <v>10</v>
      </c>
      <c r="I343" s="1">
        <f ca="1">IFERROR(__xludf.DUMMYFUNCTION("""COMPUTED_VALUE"""),6)</f>
        <v>6</v>
      </c>
      <c r="J343" s="1">
        <f ca="1">IFERROR(__xludf.DUMMYFUNCTION("""COMPUTED_VALUE"""),10)</f>
        <v>10</v>
      </c>
      <c r="K343" s="1">
        <f ca="1">IFERROR(__xludf.DUMMYFUNCTION("""COMPUTED_VALUE"""),5)</f>
        <v>5</v>
      </c>
      <c r="L343" s="1">
        <f ca="1">IFERROR(__xludf.DUMMYFUNCTION("""COMPUTED_VALUE"""),6)</f>
        <v>6</v>
      </c>
      <c r="M343" s="1">
        <f ca="1">IFERROR(__xludf.DUMMYFUNCTION("""COMPUTED_VALUE"""),6)</f>
        <v>6</v>
      </c>
      <c r="N343" s="1">
        <f ca="1">IFERROR(__xludf.DUMMYFUNCTION("""COMPUTED_VALUE"""),2093)</f>
        <v>2093</v>
      </c>
      <c r="O343" s="1">
        <f ca="1">IFERROR(__xludf.DUMMYFUNCTION("""COMPUTED_VALUE"""),2001)</f>
        <v>2001</v>
      </c>
      <c r="P343" s="1">
        <f ca="1">IFERROR(__xludf.DUMMYFUNCTION("""COMPUTED_VALUE"""),1275)</f>
        <v>1275</v>
      </c>
      <c r="Q343" s="1">
        <f ca="1">IFERROR(__xludf.DUMMYFUNCTION("""COMPUTED_VALUE"""),710)</f>
        <v>710</v>
      </c>
      <c r="R343" s="1">
        <f ca="1">IFERROR(__xludf.DUMMYFUNCTION("""COMPUTED_VALUE"""),1577)</f>
        <v>1577</v>
      </c>
      <c r="S343" s="1">
        <f ca="1">IFERROR(__xludf.DUMMYFUNCTION("""COMPUTED_VALUE"""),0.45)</f>
        <v>0.45</v>
      </c>
      <c r="T343" s="1">
        <f ca="1">IFERROR(__xludf.DUMMYFUNCTION("""COMPUTED_VALUE"""),178)</f>
        <v>178</v>
      </c>
      <c r="U343" s="1">
        <f ca="1">IFERROR(__xludf.DUMMYFUNCTION("""COMPUTED_VALUE"""),463)</f>
        <v>463</v>
      </c>
      <c r="V343" s="1">
        <f ca="1">IFERROR(__xludf.DUMMYFUNCTION("""COMPUTED_VALUE"""),0.384)</f>
        <v>0.38400000000000001</v>
      </c>
      <c r="W343" s="1">
        <f ca="1">IFERROR(__xludf.DUMMYFUNCTION("""COMPUTED_VALUE"""),495)</f>
        <v>495</v>
      </c>
      <c r="X343" s="1">
        <f ca="1">IFERROR(__xludf.DUMMYFUNCTION("""COMPUTED_VALUE"""),727)</f>
        <v>727</v>
      </c>
      <c r="Y343" s="1">
        <f ca="1">IFERROR(__xludf.DUMMYFUNCTION("""COMPUTED_VALUE"""),0.681)</f>
        <v>0.68100000000000005</v>
      </c>
      <c r="Z343" s="1">
        <f ca="1">IFERROR(__xludf.DUMMYFUNCTION("""COMPUTED_VALUE"""),339)</f>
        <v>339</v>
      </c>
      <c r="AA343" s="1">
        <f ca="1">IFERROR(__xludf.DUMMYFUNCTION("""COMPUTED_VALUE"""),1026)</f>
        <v>1026</v>
      </c>
      <c r="AB343" s="1">
        <f ca="1">IFERROR(__xludf.DUMMYFUNCTION("""COMPUTED_VALUE"""),345)</f>
        <v>345</v>
      </c>
      <c r="AC343" s="1">
        <f ca="1">IFERROR(__xludf.DUMMYFUNCTION("""COMPUTED_VALUE"""),149)</f>
        <v>149</v>
      </c>
      <c r="AD343" s="1">
        <f ca="1">IFERROR(__xludf.DUMMYFUNCTION("""COMPUTED_VALUE"""),152)</f>
        <v>152</v>
      </c>
      <c r="AE343" s="1">
        <f ca="1">IFERROR(__xludf.DUMMYFUNCTION("""COMPUTED_VALUE"""),458)</f>
        <v>458</v>
      </c>
      <c r="AF343" s="1">
        <f ca="1">IFERROR(__xludf.DUMMYFUNCTION("""COMPUTED_VALUE"""),575)</f>
        <v>575</v>
      </c>
    </row>
    <row r="344" spans="1:32" ht="12.5" x14ac:dyDescent="0.25">
      <c r="A344" s="1" t="str">
        <f ca="1">IFERROR(__xludf.DUMMYFUNCTION("""COMPUTED_VALUE"""),"UCLA")</f>
        <v>UCLA</v>
      </c>
      <c r="B344" s="1">
        <f ca="1">IFERROR(__xludf.DUMMYFUNCTION("""COMPUTED_VALUE"""),33)</f>
        <v>33</v>
      </c>
      <c r="C344" s="1">
        <f ca="1">IFERROR(__xludf.DUMMYFUNCTION("""COMPUTED_VALUE"""),19)</f>
        <v>19</v>
      </c>
      <c r="D344" s="1">
        <f ca="1">IFERROR(__xludf.DUMMYFUNCTION("""COMPUTED_VALUE"""),14)</f>
        <v>14</v>
      </c>
      <c r="E344" s="1">
        <f ca="1">IFERROR(__xludf.DUMMYFUNCTION("""COMPUTED_VALUE"""),0.576)</f>
        <v>0.57599999999999996</v>
      </c>
      <c r="F344" s="1">
        <f ca="1">IFERROR(__xludf.DUMMYFUNCTION("""COMPUTED_VALUE"""),10.53)</f>
        <v>10.53</v>
      </c>
      <c r="G344" s="1">
        <f ca="1">IFERROR(__xludf.DUMMYFUNCTION("""COMPUTED_VALUE"""),5.28)</f>
        <v>5.28</v>
      </c>
      <c r="H344" s="1">
        <f ca="1">IFERROR(__xludf.DUMMYFUNCTION("""COMPUTED_VALUE"""),11)</f>
        <v>11</v>
      </c>
      <c r="I344" s="1">
        <f ca="1">IFERROR(__xludf.DUMMYFUNCTION("""COMPUTED_VALUE"""),7)</f>
        <v>7</v>
      </c>
      <c r="J344" s="1">
        <f ca="1">IFERROR(__xludf.DUMMYFUNCTION("""COMPUTED_VALUE"""),10)</f>
        <v>10</v>
      </c>
      <c r="K344" s="1">
        <f ca="1">IFERROR(__xludf.DUMMYFUNCTION("""COMPUTED_VALUE"""),4)</f>
        <v>4</v>
      </c>
      <c r="L344" s="1">
        <f ca="1">IFERROR(__xludf.DUMMYFUNCTION("""COMPUTED_VALUE"""),4)</f>
        <v>4</v>
      </c>
      <c r="M344" s="1">
        <f ca="1">IFERROR(__xludf.DUMMYFUNCTION("""COMPUTED_VALUE"""),7)</f>
        <v>7</v>
      </c>
      <c r="N344" s="1">
        <f ca="1">IFERROR(__xludf.DUMMYFUNCTION("""COMPUTED_VALUE"""),2263)</f>
        <v>2263</v>
      </c>
      <c r="O344" s="1">
        <f ca="1">IFERROR(__xludf.DUMMYFUNCTION("""COMPUTED_VALUE"""),2063)</f>
        <v>2063</v>
      </c>
      <c r="P344" s="1">
        <f ca="1">IFERROR(__xludf.DUMMYFUNCTION("""COMPUTED_VALUE"""),1320)</f>
        <v>1320</v>
      </c>
      <c r="Q344" s="1">
        <f ca="1">IFERROR(__xludf.DUMMYFUNCTION("""COMPUTED_VALUE"""),848)</f>
        <v>848</v>
      </c>
      <c r="R344" s="1">
        <f ca="1">IFERROR(__xludf.DUMMYFUNCTION("""COMPUTED_VALUE"""),1838)</f>
        <v>1838</v>
      </c>
      <c r="S344" s="1">
        <f ca="1">IFERROR(__xludf.DUMMYFUNCTION("""COMPUTED_VALUE"""),0.461)</f>
        <v>0.46100000000000002</v>
      </c>
      <c r="T344" s="1">
        <f ca="1">IFERROR(__xludf.DUMMYFUNCTION("""COMPUTED_VALUE"""),169)</f>
        <v>169</v>
      </c>
      <c r="U344" s="1">
        <f ca="1">IFERROR(__xludf.DUMMYFUNCTION("""COMPUTED_VALUE"""),453)</f>
        <v>453</v>
      </c>
      <c r="V344" s="1">
        <f ca="1">IFERROR(__xludf.DUMMYFUNCTION("""COMPUTED_VALUE"""),0.373)</f>
        <v>0.373</v>
      </c>
      <c r="W344" s="1">
        <f ca="1">IFERROR(__xludf.DUMMYFUNCTION("""COMPUTED_VALUE"""),398)</f>
        <v>398</v>
      </c>
      <c r="X344" s="1">
        <f ca="1">IFERROR(__xludf.DUMMYFUNCTION("""COMPUTED_VALUE"""),596)</f>
        <v>596</v>
      </c>
      <c r="Y344" s="1">
        <f ca="1">IFERROR(__xludf.DUMMYFUNCTION("""COMPUTED_VALUE"""),0.668)</f>
        <v>0.66800000000000004</v>
      </c>
      <c r="Z344" s="1">
        <f ca="1">IFERROR(__xludf.DUMMYFUNCTION("""COMPUTED_VALUE"""),363)</f>
        <v>363</v>
      </c>
      <c r="AA344" s="1">
        <f ca="1">IFERROR(__xludf.DUMMYFUNCTION("""COMPUTED_VALUE"""),1062)</f>
        <v>1062</v>
      </c>
      <c r="AB344" s="1">
        <f ca="1">IFERROR(__xludf.DUMMYFUNCTION("""COMPUTED_VALUE"""),473)</f>
        <v>473</v>
      </c>
      <c r="AC344" s="1">
        <f ca="1">IFERROR(__xludf.DUMMYFUNCTION("""COMPUTED_VALUE"""),260)</f>
        <v>260</v>
      </c>
      <c r="AD344" s="1">
        <f ca="1">IFERROR(__xludf.DUMMYFUNCTION("""COMPUTED_VALUE"""),153)</f>
        <v>153</v>
      </c>
      <c r="AE344" s="1">
        <f ca="1">IFERROR(__xludf.DUMMYFUNCTION("""COMPUTED_VALUE"""),395)</f>
        <v>395</v>
      </c>
      <c r="AF344" s="1">
        <f ca="1">IFERROR(__xludf.DUMMYFUNCTION("""COMPUTED_VALUE"""),560)</f>
        <v>560</v>
      </c>
    </row>
    <row r="345" spans="1:32" ht="12.5" x14ac:dyDescent="0.25">
      <c r="A345" s="1" t="str">
        <f ca="1">IFERROR(__xludf.DUMMYFUNCTION("""COMPUTED_VALUE"""),"Utah State")</f>
        <v>Utah State</v>
      </c>
      <c r="B345" s="1">
        <f ca="1">IFERROR(__xludf.DUMMYFUNCTION("""COMPUTED_VALUE"""),37)</f>
        <v>37</v>
      </c>
      <c r="C345" s="1">
        <f ca="1">IFERROR(__xludf.DUMMYFUNCTION("""COMPUTED_VALUE"""),21)</f>
        <v>21</v>
      </c>
      <c r="D345" s="1">
        <f ca="1">IFERROR(__xludf.DUMMYFUNCTION("""COMPUTED_VALUE"""),16)</f>
        <v>16</v>
      </c>
      <c r="E345" s="1">
        <f ca="1">IFERROR(__xludf.DUMMYFUNCTION("""COMPUTED_VALUE"""),0.568)</f>
        <v>0.56799999999999995</v>
      </c>
      <c r="F345" s="1">
        <f ca="1">IFERROR(__xludf.DUMMYFUNCTION("""COMPUTED_VALUE"""),3.49)</f>
        <v>3.49</v>
      </c>
      <c r="G345" s="1">
        <f ca="1">IFERROR(__xludf.DUMMYFUNCTION("""COMPUTED_VALUE"""),-0.37)</f>
        <v>-0.37</v>
      </c>
      <c r="H345" s="1">
        <f ca="1">IFERROR(__xludf.DUMMYFUNCTION("""COMPUTED_VALUE"""),8)</f>
        <v>8</v>
      </c>
      <c r="I345" s="1">
        <f ca="1">IFERROR(__xludf.DUMMYFUNCTION("""COMPUTED_VALUE"""),6)</f>
        <v>6</v>
      </c>
      <c r="J345" s="1">
        <f ca="1">IFERROR(__xludf.DUMMYFUNCTION("""COMPUTED_VALUE"""),17)</f>
        <v>17</v>
      </c>
      <c r="K345" s="1">
        <f ca="1">IFERROR(__xludf.DUMMYFUNCTION("""COMPUTED_VALUE"""),5)</f>
        <v>5</v>
      </c>
      <c r="L345" s="1">
        <f ca="1">IFERROR(__xludf.DUMMYFUNCTION("""COMPUTED_VALUE"""),4)</f>
        <v>4</v>
      </c>
      <c r="M345" s="1">
        <f ca="1">IFERROR(__xludf.DUMMYFUNCTION("""COMPUTED_VALUE"""),10)</f>
        <v>10</v>
      </c>
      <c r="N345" s="1">
        <f ca="1">IFERROR(__xludf.DUMMYFUNCTION("""COMPUTED_VALUE"""),2551)</f>
        <v>2551</v>
      </c>
      <c r="O345" s="1">
        <f ca="1">IFERROR(__xludf.DUMMYFUNCTION("""COMPUTED_VALUE"""),2400)</f>
        <v>2400</v>
      </c>
      <c r="P345" s="1">
        <f ca="1">IFERROR(__xludf.DUMMYFUNCTION("""COMPUTED_VALUE"""),1485)</f>
        <v>1485</v>
      </c>
      <c r="Q345" s="1">
        <f ca="1">IFERROR(__xludf.DUMMYFUNCTION("""COMPUTED_VALUE"""),896)</f>
        <v>896</v>
      </c>
      <c r="R345" s="1">
        <f ca="1">IFERROR(__xludf.DUMMYFUNCTION("""COMPUTED_VALUE"""),1887)</f>
        <v>1887</v>
      </c>
      <c r="S345" s="1">
        <f ca="1">IFERROR(__xludf.DUMMYFUNCTION("""COMPUTED_VALUE"""),0.475)</f>
        <v>0.47499999999999998</v>
      </c>
      <c r="T345" s="1">
        <f ca="1">IFERROR(__xludf.DUMMYFUNCTION("""COMPUTED_VALUE"""),208)</f>
        <v>208</v>
      </c>
      <c r="U345" s="1">
        <f ca="1">IFERROR(__xludf.DUMMYFUNCTION("""COMPUTED_VALUE"""),566)</f>
        <v>566</v>
      </c>
      <c r="V345" s="1">
        <f ca="1">IFERROR(__xludf.DUMMYFUNCTION("""COMPUTED_VALUE"""),0.367)</f>
        <v>0.36699999999999999</v>
      </c>
      <c r="W345" s="1">
        <f ca="1">IFERROR(__xludf.DUMMYFUNCTION("""COMPUTED_VALUE"""),551)</f>
        <v>551</v>
      </c>
      <c r="X345" s="1">
        <f ca="1">IFERROR(__xludf.DUMMYFUNCTION("""COMPUTED_VALUE"""),766)</f>
        <v>766</v>
      </c>
      <c r="Y345" s="1">
        <f ca="1">IFERROR(__xludf.DUMMYFUNCTION("""COMPUTED_VALUE"""),0.719)</f>
        <v>0.71899999999999997</v>
      </c>
      <c r="Z345" s="1">
        <f ca="1">IFERROR(__xludf.DUMMYFUNCTION("""COMPUTED_VALUE"""),337)</f>
        <v>337</v>
      </c>
      <c r="AA345" s="1">
        <f ca="1">IFERROR(__xludf.DUMMYFUNCTION("""COMPUTED_VALUE"""),1154)</f>
        <v>1154</v>
      </c>
      <c r="AB345" s="1">
        <f ca="1">IFERROR(__xludf.DUMMYFUNCTION("""COMPUTED_VALUE"""),497)</f>
        <v>497</v>
      </c>
      <c r="AC345" s="1">
        <f ca="1">IFERROR(__xludf.DUMMYFUNCTION("""COMPUTED_VALUE"""),146)</f>
        <v>146</v>
      </c>
      <c r="AD345" s="1">
        <f ca="1">IFERROR(__xludf.DUMMYFUNCTION("""COMPUTED_VALUE"""),119)</f>
        <v>119</v>
      </c>
      <c r="AE345" s="1">
        <f ca="1">IFERROR(__xludf.DUMMYFUNCTION("""COMPUTED_VALUE"""),449)</f>
        <v>449</v>
      </c>
      <c r="AF345" s="1">
        <f ca="1">IFERROR(__xludf.DUMMYFUNCTION("""COMPUTED_VALUE"""),665)</f>
        <v>665</v>
      </c>
    </row>
    <row r="346" spans="1:32" ht="12.5" x14ac:dyDescent="0.25">
      <c r="A346" s="1" t="str">
        <f ca="1">IFERROR(__xludf.DUMMYFUNCTION("""COMPUTED_VALUE"""),"Utah Valley")</f>
        <v>Utah Valley</v>
      </c>
      <c r="B346" s="1">
        <f ca="1">IFERROR(__xludf.DUMMYFUNCTION("""COMPUTED_VALUE"""),33)</f>
        <v>33</v>
      </c>
      <c r="C346" s="1">
        <f ca="1">IFERROR(__xludf.DUMMYFUNCTION("""COMPUTED_VALUE"""),20)</f>
        <v>20</v>
      </c>
      <c r="D346" s="1">
        <f ca="1">IFERROR(__xludf.DUMMYFUNCTION("""COMPUTED_VALUE"""),13)</f>
        <v>13</v>
      </c>
      <c r="E346" s="1">
        <f ca="1">IFERROR(__xludf.DUMMYFUNCTION("""COMPUTED_VALUE"""),0.606)</f>
        <v>0.60599999999999998</v>
      </c>
      <c r="F346" s="1">
        <f ca="1">IFERROR(__xludf.DUMMYFUNCTION("""COMPUTED_VALUE"""),-6.53)</f>
        <v>-6.53</v>
      </c>
      <c r="G346" s="1">
        <f ca="1">IFERROR(__xludf.DUMMYFUNCTION("""COMPUTED_VALUE"""),-7.11)</f>
        <v>-7.11</v>
      </c>
      <c r="H346" s="1">
        <f ca="1">IFERROR(__xludf.DUMMYFUNCTION("""COMPUTED_VALUE"""),9)</f>
        <v>9</v>
      </c>
      <c r="I346" s="1">
        <f ca="1">IFERROR(__xludf.DUMMYFUNCTION("""COMPUTED_VALUE"""),1)</f>
        <v>1</v>
      </c>
      <c r="J346" s="1">
        <f ca="1">IFERROR(__xludf.DUMMYFUNCTION("""COMPUTED_VALUE"""),14)</f>
        <v>14</v>
      </c>
      <c r="K346" s="1">
        <f ca="1">IFERROR(__xludf.DUMMYFUNCTION("""COMPUTED_VALUE"""),2)</f>
        <v>2</v>
      </c>
      <c r="L346" s="1">
        <f ca="1">IFERROR(__xludf.DUMMYFUNCTION("""COMPUTED_VALUE"""),5)</f>
        <v>5</v>
      </c>
      <c r="M346" s="1">
        <f ca="1">IFERROR(__xludf.DUMMYFUNCTION("""COMPUTED_VALUE"""),10)</f>
        <v>10</v>
      </c>
      <c r="N346" s="1">
        <f ca="1">IFERROR(__xludf.DUMMYFUNCTION("""COMPUTED_VALUE"""),2305)</f>
        <v>2305</v>
      </c>
      <c r="O346" s="1">
        <f ca="1">IFERROR(__xludf.DUMMYFUNCTION("""COMPUTED_VALUE"""),2190)</f>
        <v>2190</v>
      </c>
      <c r="P346" s="1">
        <f ca="1">IFERROR(__xludf.DUMMYFUNCTION("""COMPUTED_VALUE"""),1335)</f>
        <v>1335</v>
      </c>
      <c r="Q346" s="1">
        <f ca="1">IFERROR(__xludf.DUMMYFUNCTION("""COMPUTED_VALUE"""),819)</f>
        <v>819</v>
      </c>
      <c r="R346" s="1">
        <f ca="1">IFERROR(__xludf.DUMMYFUNCTION("""COMPUTED_VALUE"""),1931)</f>
        <v>1931</v>
      </c>
      <c r="S346" s="1">
        <f ca="1">IFERROR(__xludf.DUMMYFUNCTION("""COMPUTED_VALUE"""),0.424)</f>
        <v>0.42399999999999999</v>
      </c>
      <c r="T346" s="1">
        <f ca="1">IFERROR(__xludf.DUMMYFUNCTION("""COMPUTED_VALUE"""),189)</f>
        <v>189</v>
      </c>
      <c r="U346" s="1">
        <f ca="1">IFERROR(__xludf.DUMMYFUNCTION("""COMPUTED_VALUE"""),599)</f>
        <v>599</v>
      </c>
      <c r="V346" s="1">
        <f ca="1">IFERROR(__xludf.DUMMYFUNCTION("""COMPUTED_VALUE"""),0.316)</f>
        <v>0.316</v>
      </c>
      <c r="W346" s="1">
        <f ca="1">IFERROR(__xludf.DUMMYFUNCTION("""COMPUTED_VALUE"""),478)</f>
        <v>478</v>
      </c>
      <c r="X346" s="1">
        <f ca="1">IFERROR(__xludf.DUMMYFUNCTION("""COMPUTED_VALUE"""),685)</f>
        <v>685</v>
      </c>
      <c r="Y346" s="1">
        <f ca="1">IFERROR(__xludf.DUMMYFUNCTION("""COMPUTED_VALUE"""),0.698)</f>
        <v>0.69799999999999995</v>
      </c>
      <c r="Z346" s="1">
        <f ca="1">IFERROR(__xludf.DUMMYFUNCTION("""COMPUTED_VALUE"""),422)</f>
        <v>422</v>
      </c>
      <c r="AA346" s="1">
        <f ca="1">IFERROR(__xludf.DUMMYFUNCTION("""COMPUTED_VALUE"""),1198)</f>
        <v>1198</v>
      </c>
      <c r="AB346" s="1">
        <f ca="1">IFERROR(__xludf.DUMMYFUNCTION("""COMPUTED_VALUE"""),443)</f>
        <v>443</v>
      </c>
      <c r="AC346" s="1">
        <f ca="1">IFERROR(__xludf.DUMMYFUNCTION("""COMPUTED_VALUE"""),214)</f>
        <v>214</v>
      </c>
      <c r="AD346" s="1">
        <f ca="1">IFERROR(__xludf.DUMMYFUNCTION("""COMPUTED_VALUE"""),121)</f>
        <v>121</v>
      </c>
      <c r="AE346" s="1">
        <f ca="1">IFERROR(__xludf.DUMMYFUNCTION("""COMPUTED_VALUE"""),418)</f>
        <v>418</v>
      </c>
      <c r="AF346" s="1">
        <f ca="1">IFERROR(__xludf.DUMMYFUNCTION("""COMPUTED_VALUE"""),524)</f>
        <v>524</v>
      </c>
    </row>
    <row r="347" spans="1:32" ht="12.5" x14ac:dyDescent="0.25">
      <c r="A347" s="1" t="str">
        <f ca="1">IFERROR(__xludf.DUMMYFUNCTION("""COMPUTED_VALUE"""),"Utah")</f>
        <v>Utah</v>
      </c>
      <c r="B347" s="1">
        <f ca="1">IFERROR(__xludf.DUMMYFUNCTION("""COMPUTED_VALUE"""),31)</f>
        <v>31</v>
      </c>
      <c r="C347" s="1">
        <f ca="1">IFERROR(__xludf.DUMMYFUNCTION("""COMPUTED_VALUE"""),6)</f>
        <v>6</v>
      </c>
      <c r="D347" s="1">
        <f ca="1">IFERROR(__xludf.DUMMYFUNCTION("""COMPUTED_VALUE"""),25)</f>
        <v>25</v>
      </c>
      <c r="E347" s="1">
        <f ca="1">IFERROR(__xludf.DUMMYFUNCTION("""COMPUTED_VALUE"""),0.194)</f>
        <v>0.19400000000000001</v>
      </c>
      <c r="F347" s="1">
        <f ca="1">IFERROR(__xludf.DUMMYFUNCTION("""COMPUTED_VALUE"""),-9.31)</f>
        <v>-9.31</v>
      </c>
      <c r="G347" s="1">
        <f ca="1">IFERROR(__xludf.DUMMYFUNCTION("""COMPUTED_VALUE"""),5.49)</f>
        <v>5.49</v>
      </c>
      <c r="H347" s="1">
        <f ca="1">IFERROR(__xludf.DUMMYFUNCTION("""COMPUTED_VALUE"""),3)</f>
        <v>3</v>
      </c>
      <c r="I347" s="1">
        <f ca="1">IFERROR(__xludf.DUMMYFUNCTION("""COMPUTED_VALUE"""),15)</f>
        <v>15</v>
      </c>
      <c r="J347" s="1">
        <f ca="1">IFERROR(__xludf.DUMMYFUNCTION("""COMPUTED_VALUE"""),6)</f>
        <v>6</v>
      </c>
      <c r="K347" s="1">
        <f ca="1">IFERROR(__xludf.DUMMYFUNCTION("""COMPUTED_VALUE"""),9)</f>
        <v>9</v>
      </c>
      <c r="L347" s="1">
        <f ca="1">IFERROR(__xludf.DUMMYFUNCTION("""COMPUTED_VALUE"""),0)</f>
        <v>0</v>
      </c>
      <c r="M347" s="1">
        <f ca="1">IFERROR(__xludf.DUMMYFUNCTION("""COMPUTED_VALUE"""),12)</f>
        <v>12</v>
      </c>
      <c r="N347" s="1">
        <f ca="1">IFERROR(__xludf.DUMMYFUNCTION("""COMPUTED_VALUE"""),1720)</f>
        <v>1720</v>
      </c>
      <c r="O347" s="1">
        <f ca="1">IFERROR(__xludf.DUMMYFUNCTION("""COMPUTED_VALUE"""),2161)</f>
        <v>2161</v>
      </c>
      <c r="P347" s="1">
        <f ca="1">IFERROR(__xludf.DUMMYFUNCTION("""COMPUTED_VALUE"""),1245)</f>
        <v>1245</v>
      </c>
      <c r="Q347" s="1">
        <f ca="1">IFERROR(__xludf.DUMMYFUNCTION("""COMPUTED_VALUE"""),606)</f>
        <v>606</v>
      </c>
      <c r="R347" s="1">
        <f ca="1">IFERROR(__xludf.DUMMYFUNCTION("""COMPUTED_VALUE"""),1496)</f>
        <v>1496</v>
      </c>
      <c r="S347" s="1">
        <f ca="1">IFERROR(__xludf.DUMMYFUNCTION("""COMPUTED_VALUE"""),0.405)</f>
        <v>0.40500000000000003</v>
      </c>
      <c r="T347" s="1">
        <f ca="1">IFERROR(__xludf.DUMMYFUNCTION("""COMPUTED_VALUE"""),163)</f>
        <v>163</v>
      </c>
      <c r="U347" s="1">
        <f ca="1">IFERROR(__xludf.DUMMYFUNCTION("""COMPUTED_VALUE"""),532)</f>
        <v>532</v>
      </c>
      <c r="V347" s="1">
        <f ca="1">IFERROR(__xludf.DUMMYFUNCTION("""COMPUTED_VALUE"""),0.306)</f>
        <v>0.30599999999999999</v>
      </c>
      <c r="W347" s="1">
        <f ca="1">IFERROR(__xludf.DUMMYFUNCTION("""COMPUTED_VALUE"""),345)</f>
        <v>345</v>
      </c>
      <c r="X347" s="1">
        <f ca="1">IFERROR(__xludf.DUMMYFUNCTION("""COMPUTED_VALUE"""),518)</f>
        <v>518</v>
      </c>
      <c r="Y347" s="1">
        <f ca="1">IFERROR(__xludf.DUMMYFUNCTION("""COMPUTED_VALUE"""),0.666)</f>
        <v>0.66600000000000004</v>
      </c>
      <c r="Z347" s="1">
        <f ca="1">IFERROR(__xludf.DUMMYFUNCTION("""COMPUTED_VALUE"""),226)</f>
        <v>226</v>
      </c>
      <c r="AA347" s="1">
        <f ca="1">IFERROR(__xludf.DUMMYFUNCTION("""COMPUTED_VALUE"""),799)</f>
        <v>799</v>
      </c>
      <c r="AB347" s="1">
        <f ca="1">IFERROR(__xludf.DUMMYFUNCTION("""COMPUTED_VALUE"""),320)</f>
        <v>320</v>
      </c>
      <c r="AC347" s="1">
        <f ca="1">IFERROR(__xludf.DUMMYFUNCTION("""COMPUTED_VALUE"""),159)</f>
        <v>159</v>
      </c>
      <c r="AD347" s="1">
        <f ca="1">IFERROR(__xludf.DUMMYFUNCTION("""COMPUTED_VALUE"""),78)</f>
        <v>78</v>
      </c>
      <c r="AE347" s="1">
        <f ca="1">IFERROR(__xludf.DUMMYFUNCTION("""COMPUTED_VALUE"""),435)</f>
        <v>435</v>
      </c>
      <c r="AF347" s="1">
        <f ca="1">IFERROR(__xludf.DUMMYFUNCTION("""COMPUTED_VALUE"""),514)</f>
        <v>514</v>
      </c>
    </row>
    <row r="348" spans="1:32" ht="12.5" x14ac:dyDescent="0.25">
      <c r="A348" s="1" t="str">
        <f ca="1">IFERROR(__xludf.DUMMYFUNCTION("""COMPUTED_VALUE"""),"Valparaiso")</f>
        <v>Valparaiso</v>
      </c>
      <c r="B348" s="1">
        <f ca="1">IFERROR(__xludf.DUMMYFUNCTION("""COMPUTED_VALUE"""),34)</f>
        <v>34</v>
      </c>
      <c r="C348" s="1">
        <f ca="1">IFERROR(__xludf.DUMMYFUNCTION("""COMPUTED_VALUE"""),22)</f>
        <v>22</v>
      </c>
      <c r="D348" s="1">
        <f ca="1">IFERROR(__xludf.DUMMYFUNCTION("""COMPUTED_VALUE"""),12)</f>
        <v>12</v>
      </c>
      <c r="E348" s="1">
        <f ca="1">IFERROR(__xludf.DUMMYFUNCTION("""COMPUTED_VALUE"""),0.647)</f>
        <v>0.64700000000000002</v>
      </c>
      <c r="F348" s="1">
        <f ca="1">IFERROR(__xludf.DUMMYFUNCTION("""COMPUTED_VALUE"""),0.61)</f>
        <v>0.61</v>
      </c>
      <c r="G348" s="1">
        <f ca="1">IFERROR(__xludf.DUMMYFUNCTION("""COMPUTED_VALUE"""),0.02)</f>
        <v>0.02</v>
      </c>
      <c r="H348" s="1">
        <f ca="1">IFERROR(__xludf.DUMMYFUNCTION("""COMPUTED_VALUE"""),14)</f>
        <v>14</v>
      </c>
      <c r="I348" s="1">
        <f ca="1">IFERROR(__xludf.DUMMYFUNCTION("""COMPUTED_VALUE"""),4)</f>
        <v>4</v>
      </c>
      <c r="J348" s="1">
        <f ca="1">IFERROR(__xludf.DUMMYFUNCTION("""COMPUTED_VALUE"""),14)</f>
        <v>14</v>
      </c>
      <c r="K348" s="1">
        <f ca="1">IFERROR(__xludf.DUMMYFUNCTION("""COMPUTED_VALUE"""),3)</f>
        <v>3</v>
      </c>
      <c r="L348" s="1">
        <f ca="1">IFERROR(__xludf.DUMMYFUNCTION("""COMPUTED_VALUE"""),8)</f>
        <v>8</v>
      </c>
      <c r="M348" s="1">
        <f ca="1">IFERROR(__xludf.DUMMYFUNCTION("""COMPUTED_VALUE"""),8)</f>
        <v>8</v>
      </c>
      <c r="N348" s="1">
        <f ca="1">IFERROR(__xludf.DUMMYFUNCTION("""COMPUTED_VALUE"""),2323)</f>
        <v>2323</v>
      </c>
      <c r="O348" s="1">
        <f ca="1">IFERROR(__xludf.DUMMYFUNCTION("""COMPUTED_VALUE"""),2223)</f>
        <v>2223</v>
      </c>
      <c r="P348" s="1">
        <f ca="1">IFERROR(__xludf.DUMMYFUNCTION("""COMPUTED_VALUE"""),1370)</f>
        <v>1370</v>
      </c>
      <c r="Q348" s="1">
        <f ca="1">IFERROR(__xludf.DUMMYFUNCTION("""COMPUTED_VALUE"""),786)</f>
        <v>786</v>
      </c>
      <c r="R348" s="1">
        <f ca="1">IFERROR(__xludf.DUMMYFUNCTION("""COMPUTED_VALUE"""),1682)</f>
        <v>1682</v>
      </c>
      <c r="S348" s="1">
        <f ca="1">IFERROR(__xludf.DUMMYFUNCTION("""COMPUTED_VALUE"""),0.467)</f>
        <v>0.46700000000000003</v>
      </c>
      <c r="T348" s="1">
        <f ca="1">IFERROR(__xludf.DUMMYFUNCTION("""COMPUTED_VALUE"""),229)</f>
        <v>229</v>
      </c>
      <c r="U348" s="1">
        <f ca="1">IFERROR(__xludf.DUMMYFUNCTION("""COMPUTED_VALUE"""),673)</f>
        <v>673</v>
      </c>
      <c r="V348" s="1">
        <f ca="1">IFERROR(__xludf.DUMMYFUNCTION("""COMPUTED_VALUE"""),0.34)</f>
        <v>0.34</v>
      </c>
      <c r="W348" s="1">
        <f ca="1">IFERROR(__xludf.DUMMYFUNCTION("""COMPUTED_VALUE"""),522)</f>
        <v>522</v>
      </c>
      <c r="X348" s="1">
        <f ca="1">IFERROR(__xludf.DUMMYFUNCTION("""COMPUTED_VALUE"""),730)</f>
        <v>730</v>
      </c>
      <c r="Y348" s="1">
        <f ca="1">IFERROR(__xludf.DUMMYFUNCTION("""COMPUTED_VALUE"""),0.715)</f>
        <v>0.71499999999999997</v>
      </c>
      <c r="Z348" s="1">
        <f ca="1">IFERROR(__xludf.DUMMYFUNCTION("""COMPUTED_VALUE"""),287)</f>
        <v>287</v>
      </c>
      <c r="AA348" s="1">
        <f ca="1">IFERROR(__xludf.DUMMYFUNCTION("""COMPUTED_VALUE"""),1019)</f>
        <v>1019</v>
      </c>
      <c r="AB348" s="1">
        <f ca="1">IFERROR(__xludf.DUMMYFUNCTION("""COMPUTED_VALUE"""),466)</f>
        <v>466</v>
      </c>
      <c r="AC348" s="1">
        <f ca="1">IFERROR(__xludf.DUMMYFUNCTION("""COMPUTED_VALUE"""),204)</f>
        <v>204</v>
      </c>
      <c r="AD348" s="1">
        <f ca="1">IFERROR(__xludf.DUMMYFUNCTION("""COMPUTED_VALUE"""),98)</f>
        <v>98</v>
      </c>
      <c r="AE348" s="1">
        <f ca="1">IFERROR(__xludf.DUMMYFUNCTION("""COMPUTED_VALUE"""),483)</f>
        <v>483</v>
      </c>
      <c r="AF348" s="1">
        <f ca="1">IFERROR(__xludf.DUMMYFUNCTION("""COMPUTED_VALUE"""),585)</f>
        <v>585</v>
      </c>
    </row>
    <row r="349" spans="1:32" ht="12.5" x14ac:dyDescent="0.25">
      <c r="A349" s="1" t="str">
        <f ca="1">IFERROR(__xludf.DUMMYFUNCTION("""COMPUTED_VALUE"""),"VanderbiltNCAA")</f>
        <v>VanderbiltNCAA</v>
      </c>
      <c r="B349" s="1">
        <f ca="1">IFERROR(__xludf.DUMMYFUNCTION("""COMPUTED_VALUE"""),36)</f>
        <v>36</v>
      </c>
      <c r="C349" s="1">
        <f ca="1">IFERROR(__xludf.DUMMYFUNCTION("""COMPUTED_VALUE"""),25)</f>
        <v>25</v>
      </c>
      <c r="D349" s="1">
        <f ca="1">IFERROR(__xludf.DUMMYFUNCTION("""COMPUTED_VALUE"""),11)</f>
        <v>11</v>
      </c>
      <c r="E349" s="1">
        <f ca="1">IFERROR(__xludf.DUMMYFUNCTION("""COMPUTED_VALUE"""),0.694)</f>
        <v>0.69399999999999995</v>
      </c>
      <c r="F349" s="1">
        <f ca="1">IFERROR(__xludf.DUMMYFUNCTION("""COMPUTED_VALUE"""),15.71)</f>
        <v>15.71</v>
      </c>
      <c r="G349" s="1">
        <f ca="1">IFERROR(__xludf.DUMMYFUNCTION("""COMPUTED_VALUE"""),8.04)</f>
        <v>8.0399999999999991</v>
      </c>
      <c r="H349" s="1">
        <f ca="1">IFERROR(__xludf.DUMMYFUNCTION("""COMPUTED_VALUE"""),10)</f>
        <v>10</v>
      </c>
      <c r="I349" s="1">
        <f ca="1">IFERROR(__xludf.DUMMYFUNCTION("""COMPUTED_VALUE"""),6)</f>
        <v>6</v>
      </c>
      <c r="J349" s="1">
        <f ca="1">IFERROR(__xludf.DUMMYFUNCTION("""COMPUTED_VALUE"""),13)</f>
        <v>13</v>
      </c>
      <c r="K349" s="1">
        <f ca="1">IFERROR(__xludf.DUMMYFUNCTION("""COMPUTED_VALUE"""),5)</f>
        <v>5</v>
      </c>
      <c r="L349" s="1">
        <f ca="1">IFERROR(__xludf.DUMMYFUNCTION("""COMPUTED_VALUE"""),6)</f>
        <v>6</v>
      </c>
      <c r="M349" s="1">
        <f ca="1">IFERROR(__xludf.DUMMYFUNCTION("""COMPUTED_VALUE"""),5)</f>
        <v>5</v>
      </c>
      <c r="N349" s="1">
        <f ca="1">IFERROR(__xludf.DUMMYFUNCTION("""COMPUTED_VALUE"""),2615)</f>
        <v>2615</v>
      </c>
      <c r="O349" s="1">
        <f ca="1">IFERROR(__xludf.DUMMYFUNCTION("""COMPUTED_VALUE"""),2339)</f>
        <v>2339</v>
      </c>
      <c r="P349" s="1">
        <f ca="1">IFERROR(__xludf.DUMMYFUNCTION("""COMPUTED_VALUE"""),1455)</f>
        <v>1455</v>
      </c>
      <c r="Q349" s="1">
        <f ca="1">IFERROR(__xludf.DUMMYFUNCTION("""COMPUTED_VALUE"""),885)</f>
        <v>885</v>
      </c>
      <c r="R349" s="1">
        <f ca="1">IFERROR(__xludf.DUMMYFUNCTION("""COMPUTED_VALUE"""),1921)</f>
        <v>1921</v>
      </c>
      <c r="S349" s="1">
        <f ca="1">IFERROR(__xludf.DUMMYFUNCTION("""COMPUTED_VALUE"""),0.461)</f>
        <v>0.46100000000000002</v>
      </c>
      <c r="T349" s="1">
        <f ca="1">IFERROR(__xludf.DUMMYFUNCTION("""COMPUTED_VALUE"""),307)</f>
        <v>307</v>
      </c>
      <c r="U349" s="1">
        <f ca="1">IFERROR(__xludf.DUMMYFUNCTION("""COMPUTED_VALUE"""),792)</f>
        <v>792</v>
      </c>
      <c r="V349" s="1">
        <f ca="1">IFERROR(__xludf.DUMMYFUNCTION("""COMPUTED_VALUE"""),0.388)</f>
        <v>0.38800000000000001</v>
      </c>
      <c r="W349" s="1">
        <f ca="1">IFERROR(__xludf.DUMMYFUNCTION("""COMPUTED_VALUE"""),538)</f>
        <v>538</v>
      </c>
      <c r="X349" s="1">
        <f ca="1">IFERROR(__xludf.DUMMYFUNCTION("""COMPUTED_VALUE"""),770)</f>
        <v>770</v>
      </c>
      <c r="Y349" s="1">
        <f ca="1">IFERROR(__xludf.DUMMYFUNCTION("""COMPUTED_VALUE"""),0.699)</f>
        <v>0.69899999999999995</v>
      </c>
      <c r="Z349" s="1">
        <f ca="1">IFERROR(__xludf.DUMMYFUNCTION("""COMPUTED_VALUE"""),361)</f>
        <v>361</v>
      </c>
      <c r="AA349" s="1">
        <f ca="1">IFERROR(__xludf.DUMMYFUNCTION("""COMPUTED_VALUE"""),1125)</f>
        <v>1125</v>
      </c>
      <c r="AB349" s="1">
        <f ca="1">IFERROR(__xludf.DUMMYFUNCTION("""COMPUTED_VALUE"""),458)</f>
        <v>458</v>
      </c>
      <c r="AC349" s="1">
        <f ca="1">IFERROR(__xludf.DUMMYFUNCTION("""COMPUTED_VALUE"""),214)</f>
        <v>214</v>
      </c>
      <c r="AD349" s="1">
        <f ca="1">IFERROR(__xludf.DUMMYFUNCTION("""COMPUTED_VALUE"""),144)</f>
        <v>144</v>
      </c>
      <c r="AE349" s="1">
        <f ca="1">IFERROR(__xludf.DUMMYFUNCTION("""COMPUTED_VALUE"""),465)</f>
        <v>465</v>
      </c>
      <c r="AF349" s="1">
        <f ca="1">IFERROR(__xludf.DUMMYFUNCTION("""COMPUTED_VALUE"""),580)</f>
        <v>580</v>
      </c>
    </row>
    <row r="350" spans="1:32" ht="12.5" x14ac:dyDescent="0.25">
      <c r="A350" s="1" t="str">
        <f ca="1">IFERROR(__xludf.DUMMYFUNCTION("""COMPUTED_VALUE"""),"VermontNCAA")</f>
        <v>VermontNCAA</v>
      </c>
      <c r="B350" s="1">
        <f ca="1">IFERROR(__xludf.DUMMYFUNCTION("""COMPUTED_VALUE"""),36)</f>
        <v>36</v>
      </c>
      <c r="C350" s="1">
        <f ca="1">IFERROR(__xludf.DUMMYFUNCTION("""COMPUTED_VALUE"""),24)</f>
        <v>24</v>
      </c>
      <c r="D350" s="1">
        <f ca="1">IFERROR(__xludf.DUMMYFUNCTION("""COMPUTED_VALUE"""),12)</f>
        <v>12</v>
      </c>
      <c r="E350" s="1">
        <f ca="1">IFERROR(__xludf.DUMMYFUNCTION("""COMPUTED_VALUE"""),0.667)</f>
        <v>0.66700000000000004</v>
      </c>
      <c r="F350" s="1">
        <f ca="1">IFERROR(__xludf.DUMMYFUNCTION("""COMPUTED_VALUE"""),0.98)</f>
        <v>0.98</v>
      </c>
      <c r="G350" s="1">
        <f ca="1">IFERROR(__xludf.DUMMYFUNCTION("""COMPUTED_VALUE"""),-5.19)</f>
        <v>-5.19</v>
      </c>
      <c r="H350" s="1">
        <f ca="1">IFERROR(__xludf.DUMMYFUNCTION("""COMPUTED_VALUE"""),13)</f>
        <v>13</v>
      </c>
      <c r="I350" s="1">
        <f ca="1">IFERROR(__xludf.DUMMYFUNCTION("""COMPUTED_VALUE"""),3)</f>
        <v>3</v>
      </c>
      <c r="J350" s="1">
        <f ca="1">IFERROR(__xludf.DUMMYFUNCTION("""COMPUTED_VALUE"""),10)</f>
        <v>10</v>
      </c>
      <c r="K350" s="1">
        <f ca="1">IFERROR(__xludf.DUMMYFUNCTION("""COMPUTED_VALUE"""),4)</f>
        <v>4</v>
      </c>
      <c r="L350" s="1">
        <f ca="1">IFERROR(__xludf.DUMMYFUNCTION("""COMPUTED_VALUE"""),10)</f>
        <v>10</v>
      </c>
      <c r="M350" s="1">
        <f ca="1">IFERROR(__xludf.DUMMYFUNCTION("""COMPUTED_VALUE"""),6)</f>
        <v>6</v>
      </c>
      <c r="N350" s="1">
        <f ca="1">IFERROR(__xludf.DUMMYFUNCTION("""COMPUTED_VALUE"""),2415)</f>
        <v>2415</v>
      </c>
      <c r="O350" s="1">
        <f ca="1">IFERROR(__xludf.DUMMYFUNCTION("""COMPUTED_VALUE"""),2193)</f>
        <v>2193</v>
      </c>
      <c r="P350" s="1">
        <f ca="1">IFERROR(__xludf.DUMMYFUNCTION("""COMPUTED_VALUE"""),1455)</f>
        <v>1455</v>
      </c>
      <c r="Q350" s="1">
        <f ca="1">IFERROR(__xludf.DUMMYFUNCTION("""COMPUTED_VALUE"""),848)</f>
        <v>848</v>
      </c>
      <c r="R350" s="1">
        <f ca="1">IFERROR(__xludf.DUMMYFUNCTION("""COMPUTED_VALUE"""),1914)</f>
        <v>1914</v>
      </c>
      <c r="S350" s="1">
        <f ca="1">IFERROR(__xludf.DUMMYFUNCTION("""COMPUTED_VALUE"""),0.443)</f>
        <v>0.443</v>
      </c>
      <c r="T350" s="1">
        <f ca="1">IFERROR(__xludf.DUMMYFUNCTION("""COMPUTED_VALUE"""),191)</f>
        <v>191</v>
      </c>
      <c r="U350" s="1">
        <f ca="1">IFERROR(__xludf.DUMMYFUNCTION("""COMPUTED_VALUE"""),561)</f>
        <v>561</v>
      </c>
      <c r="V350" s="1">
        <f ca="1">IFERROR(__xludf.DUMMYFUNCTION("""COMPUTED_VALUE"""),0.34)</f>
        <v>0.34</v>
      </c>
      <c r="W350" s="1">
        <f ca="1">IFERROR(__xludf.DUMMYFUNCTION("""COMPUTED_VALUE"""),528)</f>
        <v>528</v>
      </c>
      <c r="X350" s="1">
        <f ca="1">IFERROR(__xludf.DUMMYFUNCTION("""COMPUTED_VALUE"""),714)</f>
        <v>714</v>
      </c>
      <c r="Y350" s="1">
        <f ca="1">IFERROR(__xludf.DUMMYFUNCTION("""COMPUTED_VALUE"""),0.739)</f>
        <v>0.73899999999999999</v>
      </c>
      <c r="Z350" s="1">
        <f ca="1">IFERROR(__xludf.DUMMYFUNCTION("""COMPUTED_VALUE"""),401)</f>
        <v>401</v>
      </c>
      <c r="AA350" s="1">
        <f ca="1">IFERROR(__xludf.DUMMYFUNCTION("""COMPUTED_VALUE"""),1166)</f>
        <v>1166</v>
      </c>
      <c r="AB350" s="1">
        <f ca="1">IFERROR(__xludf.DUMMYFUNCTION("""COMPUTED_VALUE"""),475)</f>
        <v>475</v>
      </c>
      <c r="AC350" s="1">
        <f ca="1">IFERROR(__xludf.DUMMYFUNCTION("""COMPUTED_VALUE"""),221)</f>
        <v>221</v>
      </c>
      <c r="AD350" s="1">
        <f ca="1">IFERROR(__xludf.DUMMYFUNCTION("""COMPUTED_VALUE"""),86)</f>
        <v>86</v>
      </c>
      <c r="AE350" s="1">
        <f ca="1">IFERROR(__xludf.DUMMYFUNCTION("""COMPUTED_VALUE"""),445)</f>
        <v>445</v>
      </c>
      <c r="AF350" s="1">
        <f ca="1">IFERROR(__xludf.DUMMYFUNCTION("""COMPUTED_VALUE"""),627)</f>
        <v>627</v>
      </c>
    </row>
    <row r="351" spans="1:32" ht="12.5" x14ac:dyDescent="0.25">
      <c r="A351" s="1" t="str">
        <f ca="1">IFERROR(__xludf.DUMMYFUNCTION("""COMPUTED_VALUE"""),"Villanova")</f>
        <v>Villanova</v>
      </c>
      <c r="B351" s="1">
        <f ca="1">IFERROR(__xludf.DUMMYFUNCTION("""COMPUTED_VALUE"""),32)</f>
        <v>32</v>
      </c>
      <c r="C351" s="1">
        <f ca="1">IFERROR(__xludf.DUMMYFUNCTION("""COMPUTED_VALUE"""),13)</f>
        <v>13</v>
      </c>
      <c r="D351" s="1">
        <f ca="1">IFERROR(__xludf.DUMMYFUNCTION("""COMPUTED_VALUE"""),19)</f>
        <v>19</v>
      </c>
      <c r="E351" s="1">
        <f ca="1">IFERROR(__xludf.DUMMYFUNCTION("""COMPUTED_VALUE"""),0.406)</f>
        <v>0.40600000000000003</v>
      </c>
      <c r="F351" s="1">
        <f ca="1">IFERROR(__xludf.DUMMYFUNCTION("""COMPUTED_VALUE"""),7.89)</f>
        <v>7.89</v>
      </c>
      <c r="G351" s="1">
        <f ca="1">IFERROR(__xludf.DUMMYFUNCTION("""COMPUTED_VALUE"""),7.64)</f>
        <v>7.64</v>
      </c>
      <c r="H351" s="1">
        <f ca="1">IFERROR(__xludf.DUMMYFUNCTION("""COMPUTED_VALUE"""),5)</f>
        <v>5</v>
      </c>
      <c r="I351" s="1">
        <f ca="1">IFERROR(__xludf.DUMMYFUNCTION("""COMPUTED_VALUE"""),13)</f>
        <v>13</v>
      </c>
      <c r="J351" s="1">
        <f ca="1">IFERROR(__xludf.DUMMYFUNCTION("""COMPUTED_VALUE"""),9)</f>
        <v>9</v>
      </c>
      <c r="K351" s="1">
        <f ca="1">IFERROR(__xludf.DUMMYFUNCTION("""COMPUTED_VALUE"""),6)</f>
        <v>6</v>
      </c>
      <c r="L351" s="1">
        <f ca="1">IFERROR(__xludf.DUMMYFUNCTION("""COMPUTED_VALUE"""),2)</f>
        <v>2</v>
      </c>
      <c r="M351" s="1">
        <f ca="1">IFERROR(__xludf.DUMMYFUNCTION("""COMPUTED_VALUE"""),9)</f>
        <v>9</v>
      </c>
      <c r="N351" s="1">
        <f ca="1">IFERROR(__xludf.DUMMYFUNCTION("""COMPUTED_VALUE"""),2266)</f>
        <v>2266</v>
      </c>
      <c r="O351" s="1">
        <f ca="1">IFERROR(__xludf.DUMMYFUNCTION("""COMPUTED_VALUE"""),2258)</f>
        <v>2258</v>
      </c>
      <c r="P351" s="1">
        <f ca="1">IFERROR(__xludf.DUMMYFUNCTION("""COMPUTED_VALUE"""),1300)</f>
        <v>1300</v>
      </c>
      <c r="Q351" s="1">
        <f ca="1">IFERROR(__xludf.DUMMYFUNCTION("""COMPUTED_VALUE"""),762)</f>
        <v>762</v>
      </c>
      <c r="R351" s="1">
        <f ca="1">IFERROR(__xludf.DUMMYFUNCTION("""COMPUTED_VALUE"""),1848)</f>
        <v>1848</v>
      </c>
      <c r="S351" s="1">
        <f ca="1">IFERROR(__xludf.DUMMYFUNCTION("""COMPUTED_VALUE"""),0.412)</f>
        <v>0.41199999999999998</v>
      </c>
      <c r="T351" s="1">
        <f ca="1">IFERROR(__xludf.DUMMYFUNCTION("""COMPUTED_VALUE"""),196)</f>
        <v>196</v>
      </c>
      <c r="U351" s="1">
        <f ca="1">IFERROR(__xludf.DUMMYFUNCTION("""COMPUTED_VALUE"""),622)</f>
        <v>622</v>
      </c>
      <c r="V351" s="1">
        <f ca="1">IFERROR(__xludf.DUMMYFUNCTION("""COMPUTED_VALUE"""),0.315)</f>
        <v>0.315</v>
      </c>
      <c r="W351" s="1">
        <f ca="1">IFERROR(__xludf.DUMMYFUNCTION("""COMPUTED_VALUE"""),546)</f>
        <v>546</v>
      </c>
      <c r="X351" s="1">
        <f ca="1">IFERROR(__xludf.DUMMYFUNCTION("""COMPUTED_VALUE"""),724)</f>
        <v>724</v>
      </c>
      <c r="Y351" s="1">
        <f ca="1">IFERROR(__xludf.DUMMYFUNCTION("""COMPUTED_VALUE"""),0.754)</f>
        <v>0.754</v>
      </c>
      <c r="Z351" s="1">
        <f ca="1">IFERROR(__xludf.DUMMYFUNCTION("""COMPUTED_VALUE"""),441)</f>
        <v>441</v>
      </c>
      <c r="AA351" s="1">
        <f ca="1">IFERROR(__xludf.DUMMYFUNCTION("""COMPUTED_VALUE"""),1115)</f>
        <v>1115</v>
      </c>
      <c r="AB351" s="1">
        <f ca="1">IFERROR(__xludf.DUMMYFUNCTION("""COMPUTED_VALUE"""),394)</f>
        <v>394</v>
      </c>
      <c r="AC351" s="1">
        <f ca="1">IFERROR(__xludf.DUMMYFUNCTION("""COMPUTED_VALUE"""),178)</f>
        <v>178</v>
      </c>
      <c r="AD351" s="1">
        <f ca="1">IFERROR(__xludf.DUMMYFUNCTION("""COMPUTED_VALUE"""),101)</f>
        <v>101</v>
      </c>
      <c r="AE351" s="1">
        <f ca="1">IFERROR(__xludf.DUMMYFUNCTION("""COMPUTED_VALUE"""),447)</f>
        <v>447</v>
      </c>
      <c r="AF351" s="1">
        <f ca="1">IFERROR(__xludf.DUMMYFUNCTION("""COMPUTED_VALUE"""),613)</f>
        <v>613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IFERROR(__xludf.DUMMYFUNCTION("""COMPUTED_VALUE"""),"Virginia CommonwealthNCAA")</f>
        <v>Virginia CommonwealthNCAA</v>
      </c>
      <c r="B354" s="1">
        <f ca="1">IFERROR(__xludf.DUMMYFUNCTION("""COMPUTED_VALUE"""),36)</f>
        <v>36</v>
      </c>
      <c r="C354" s="1">
        <f ca="1">IFERROR(__xludf.DUMMYFUNCTION("""COMPUTED_VALUE"""),29)</f>
        <v>29</v>
      </c>
      <c r="D354" s="1">
        <f ca="1">IFERROR(__xludf.DUMMYFUNCTION("""COMPUTED_VALUE"""),7)</f>
        <v>7</v>
      </c>
      <c r="E354" s="1">
        <f ca="1">IFERROR(__xludf.DUMMYFUNCTION("""COMPUTED_VALUE"""),0.806)</f>
        <v>0.80600000000000005</v>
      </c>
      <c r="F354" s="1">
        <f ca="1">IFERROR(__xludf.DUMMYFUNCTION("""COMPUTED_VALUE"""),8.79)</f>
        <v>8.7899999999999991</v>
      </c>
      <c r="G354" s="1">
        <f ca="1">IFERROR(__xludf.DUMMYFUNCTION("""COMPUTED_VALUE"""),0.63)</f>
        <v>0.63</v>
      </c>
      <c r="H354" s="1">
        <f ca="1">IFERROR(__xludf.DUMMYFUNCTION("""COMPUTED_VALUE"""),15)</f>
        <v>15</v>
      </c>
      <c r="I354" s="1">
        <f ca="1">IFERROR(__xludf.DUMMYFUNCTION("""COMPUTED_VALUE"""),3)</f>
        <v>3</v>
      </c>
      <c r="J354" s="1">
        <f ca="1">IFERROR(__xludf.DUMMYFUNCTION("""COMPUTED_VALUE"""),13)</f>
        <v>13</v>
      </c>
      <c r="K354" s="1">
        <f ca="1">IFERROR(__xludf.DUMMYFUNCTION("""COMPUTED_VALUE"""),1)</f>
        <v>1</v>
      </c>
      <c r="L354" s="1">
        <f ca="1">IFERROR(__xludf.DUMMYFUNCTION("""COMPUTED_VALUE"""),10)</f>
        <v>10</v>
      </c>
      <c r="M354" s="1">
        <f ca="1">IFERROR(__xludf.DUMMYFUNCTION("""COMPUTED_VALUE"""),3)</f>
        <v>3</v>
      </c>
      <c r="N354" s="1">
        <f ca="1">IFERROR(__xludf.DUMMYFUNCTION("""COMPUTED_VALUE"""),2448)</f>
        <v>2448</v>
      </c>
      <c r="O354" s="1">
        <f ca="1">IFERROR(__xludf.DUMMYFUNCTION("""COMPUTED_VALUE"""),2154)</f>
        <v>2154</v>
      </c>
      <c r="P354" s="1">
        <f ca="1">IFERROR(__xludf.DUMMYFUNCTION("""COMPUTED_VALUE"""),1450)</f>
        <v>1450</v>
      </c>
      <c r="Q354" s="1">
        <f ca="1">IFERROR(__xludf.DUMMYFUNCTION("""COMPUTED_VALUE"""),837)</f>
        <v>837</v>
      </c>
      <c r="R354" s="1">
        <f ca="1">IFERROR(__xludf.DUMMYFUNCTION("""COMPUTED_VALUE"""),2040)</f>
        <v>2040</v>
      </c>
      <c r="S354" s="1">
        <f ca="1">IFERROR(__xludf.DUMMYFUNCTION("""COMPUTED_VALUE"""),0.41)</f>
        <v>0.41</v>
      </c>
      <c r="T354" s="1">
        <f ca="1">IFERROR(__xludf.DUMMYFUNCTION("""COMPUTED_VALUE"""),267)</f>
        <v>267</v>
      </c>
      <c r="U354" s="1">
        <f ca="1">IFERROR(__xludf.DUMMYFUNCTION("""COMPUTED_VALUE"""),800)</f>
        <v>800</v>
      </c>
      <c r="V354" s="1">
        <f ca="1">IFERROR(__xludf.DUMMYFUNCTION("""COMPUTED_VALUE"""),0.334)</f>
        <v>0.33400000000000002</v>
      </c>
      <c r="W354" s="1">
        <f ca="1">IFERROR(__xludf.DUMMYFUNCTION("""COMPUTED_VALUE"""),507)</f>
        <v>507</v>
      </c>
      <c r="X354" s="1">
        <f ca="1">IFERROR(__xludf.DUMMYFUNCTION("""COMPUTED_VALUE"""),740)</f>
        <v>740</v>
      </c>
      <c r="Y354" s="1">
        <f ca="1">IFERROR(__xludf.DUMMYFUNCTION("""COMPUTED_VALUE"""),0.685)</f>
        <v>0.68500000000000005</v>
      </c>
      <c r="Z354" s="1">
        <f ca="1">IFERROR(__xludf.DUMMYFUNCTION("""COMPUTED_VALUE"""),439)</f>
        <v>439</v>
      </c>
      <c r="AA354" s="1">
        <f ca="1">IFERROR(__xludf.DUMMYFUNCTION("""COMPUTED_VALUE"""),1115)</f>
        <v>1115</v>
      </c>
      <c r="AB354" s="1">
        <f ca="1">IFERROR(__xludf.DUMMYFUNCTION("""COMPUTED_VALUE"""),433)</f>
        <v>433</v>
      </c>
      <c r="AC354" s="1">
        <f ca="1">IFERROR(__xludf.DUMMYFUNCTION("""COMPUTED_VALUE"""),379)</f>
        <v>379</v>
      </c>
      <c r="AD354" s="1">
        <f ca="1">IFERROR(__xludf.DUMMYFUNCTION("""COMPUTED_VALUE"""),131)</f>
        <v>131</v>
      </c>
      <c r="AE354" s="1">
        <f ca="1">IFERROR(__xludf.DUMMYFUNCTION("""COMPUTED_VALUE"""),411)</f>
        <v>411</v>
      </c>
      <c r="AF354" s="1">
        <f ca="1">IFERROR(__xludf.DUMMYFUNCTION("""COMPUTED_VALUE"""),646)</f>
        <v>646</v>
      </c>
    </row>
    <row r="355" spans="1:32" ht="12.5" x14ac:dyDescent="0.25">
      <c r="A355" s="1" t="str">
        <f ca="1">IFERROR(__xludf.DUMMYFUNCTION("""COMPUTED_VALUE"""),"VMI")</f>
        <v>VMI</v>
      </c>
      <c r="B355" s="1">
        <f ca="1">IFERROR(__xludf.DUMMYFUNCTION("""COMPUTED_VALUE"""),33)</f>
        <v>33</v>
      </c>
      <c r="C355" s="1">
        <f ca="1">IFERROR(__xludf.DUMMYFUNCTION("""COMPUTED_VALUE"""),17)</f>
        <v>17</v>
      </c>
      <c r="D355" s="1">
        <f ca="1">IFERROR(__xludf.DUMMYFUNCTION("""COMPUTED_VALUE"""),16)</f>
        <v>16</v>
      </c>
      <c r="E355" s="1">
        <f ca="1">IFERROR(__xludf.DUMMYFUNCTION("""COMPUTED_VALUE"""),0.515)</f>
        <v>0.51500000000000001</v>
      </c>
      <c r="F355" s="1">
        <f ca="1">IFERROR(__xludf.DUMMYFUNCTION("""COMPUTED_VALUE"""),-9.43)</f>
        <v>-9.43</v>
      </c>
      <c r="G355" s="1">
        <f ca="1">IFERROR(__xludf.DUMMYFUNCTION("""COMPUTED_VALUE"""),-5.16)</f>
        <v>-5.16</v>
      </c>
      <c r="H355" s="1">
        <f ca="1">IFERROR(__xludf.DUMMYFUNCTION("""COMPUTED_VALUE"""),8)</f>
        <v>8</v>
      </c>
      <c r="I355" s="1">
        <f ca="1">IFERROR(__xludf.DUMMYFUNCTION("""COMPUTED_VALUE"""),10)</f>
        <v>10</v>
      </c>
      <c r="J355" s="1">
        <f ca="1">IFERROR(__xludf.DUMMYFUNCTION("""COMPUTED_VALUE"""),13)</f>
        <v>13</v>
      </c>
      <c r="K355" s="1">
        <f ca="1">IFERROR(__xludf.DUMMYFUNCTION("""COMPUTED_VALUE"""),2)</f>
        <v>2</v>
      </c>
      <c r="L355" s="1">
        <f ca="1">IFERROR(__xludf.DUMMYFUNCTION("""COMPUTED_VALUE"""),1)</f>
        <v>1</v>
      </c>
      <c r="M355" s="1">
        <f ca="1">IFERROR(__xludf.DUMMYFUNCTION("""COMPUTED_VALUE"""),13)</f>
        <v>13</v>
      </c>
      <c r="N355" s="1">
        <f ca="1">IFERROR(__xludf.DUMMYFUNCTION("""COMPUTED_VALUE"""),2631)</f>
        <v>2631</v>
      </c>
      <c r="O355" s="1">
        <f ca="1">IFERROR(__xludf.DUMMYFUNCTION("""COMPUTED_VALUE"""),2660)</f>
        <v>2660</v>
      </c>
      <c r="P355" s="1">
        <f ca="1">IFERROR(__xludf.DUMMYFUNCTION("""COMPUTED_VALUE"""),1325)</f>
        <v>1325</v>
      </c>
      <c r="Q355" s="1">
        <f ca="1">IFERROR(__xludf.DUMMYFUNCTION("""COMPUTED_VALUE"""),892)</f>
        <v>892</v>
      </c>
      <c r="R355" s="1">
        <f ca="1">IFERROR(__xludf.DUMMYFUNCTION("""COMPUTED_VALUE"""),2006)</f>
        <v>2006</v>
      </c>
      <c r="S355" s="1">
        <f ca="1">IFERROR(__xludf.DUMMYFUNCTION("""COMPUTED_VALUE"""),0.445)</f>
        <v>0.44500000000000001</v>
      </c>
      <c r="T355" s="1">
        <f ca="1">IFERROR(__xludf.DUMMYFUNCTION("""COMPUTED_VALUE"""),283)</f>
        <v>283</v>
      </c>
      <c r="U355" s="1">
        <f ca="1">IFERROR(__xludf.DUMMYFUNCTION("""COMPUTED_VALUE"""),888)</f>
        <v>888</v>
      </c>
      <c r="V355" s="1">
        <f ca="1">IFERROR(__xludf.DUMMYFUNCTION("""COMPUTED_VALUE"""),0.319)</f>
        <v>0.31900000000000001</v>
      </c>
      <c r="W355" s="1">
        <f ca="1">IFERROR(__xludf.DUMMYFUNCTION("""COMPUTED_VALUE"""),564)</f>
        <v>564</v>
      </c>
      <c r="X355" s="1">
        <f ca="1">IFERROR(__xludf.DUMMYFUNCTION("""COMPUTED_VALUE"""),784)</f>
        <v>784</v>
      </c>
      <c r="Y355" s="1">
        <f ca="1">IFERROR(__xludf.DUMMYFUNCTION("""COMPUTED_VALUE"""),0.719)</f>
        <v>0.71899999999999997</v>
      </c>
      <c r="Z355" s="1">
        <f ca="1">IFERROR(__xludf.DUMMYFUNCTION("""COMPUTED_VALUE"""),338)</f>
        <v>338</v>
      </c>
      <c r="AA355" s="1">
        <f ca="1">IFERROR(__xludf.DUMMYFUNCTION("""COMPUTED_VALUE"""),977)</f>
        <v>977</v>
      </c>
      <c r="AB355" s="1">
        <f ca="1">IFERROR(__xludf.DUMMYFUNCTION("""COMPUTED_VALUE"""),438)</f>
        <v>438</v>
      </c>
      <c r="AC355" s="1">
        <f ca="1">IFERROR(__xludf.DUMMYFUNCTION("""COMPUTED_VALUE"""),273)</f>
        <v>273</v>
      </c>
      <c r="AD355" s="1">
        <f ca="1">IFERROR(__xludf.DUMMYFUNCTION("""COMPUTED_VALUE"""),124)</f>
        <v>124</v>
      </c>
      <c r="AE355" s="1">
        <f ca="1">IFERROR(__xludf.DUMMYFUNCTION("""COMPUTED_VALUE"""),438)</f>
        <v>438</v>
      </c>
      <c r="AF355" s="1">
        <f ca="1">IFERROR(__xludf.DUMMYFUNCTION("""COMPUTED_VALUE"""),618)</f>
        <v>618</v>
      </c>
    </row>
    <row r="356" spans="1:32" ht="12.5" x14ac:dyDescent="0.25">
      <c r="A356" s="1" t="str">
        <f ca="1">IFERROR(__xludf.DUMMYFUNCTION("""COMPUTED_VALUE"""),"Virginia Tech")</f>
        <v>Virginia Tech</v>
      </c>
      <c r="B356" s="1">
        <f ca="1">IFERROR(__xludf.DUMMYFUNCTION("""COMPUTED_VALUE"""),33)</f>
        <v>33</v>
      </c>
      <c r="C356" s="1">
        <f ca="1">IFERROR(__xludf.DUMMYFUNCTION("""COMPUTED_VALUE"""),16)</f>
        <v>16</v>
      </c>
      <c r="D356" s="1">
        <f ca="1">IFERROR(__xludf.DUMMYFUNCTION("""COMPUTED_VALUE"""),17)</f>
        <v>17</v>
      </c>
      <c r="E356" s="1">
        <f ca="1">IFERROR(__xludf.DUMMYFUNCTION("""COMPUTED_VALUE"""),0.485)</f>
        <v>0.48499999999999999</v>
      </c>
      <c r="F356" s="1">
        <f ca="1">IFERROR(__xludf.DUMMYFUNCTION("""COMPUTED_VALUE"""),8.93)</f>
        <v>8.93</v>
      </c>
      <c r="G356" s="1">
        <f ca="1">IFERROR(__xludf.DUMMYFUNCTION("""COMPUTED_VALUE"""),6.21)</f>
        <v>6.21</v>
      </c>
      <c r="H356" s="1">
        <f ca="1">IFERROR(__xludf.DUMMYFUNCTION("""COMPUTED_VALUE"""),4)</f>
        <v>4</v>
      </c>
      <c r="I356" s="1">
        <f ca="1">IFERROR(__xludf.DUMMYFUNCTION("""COMPUTED_VALUE"""),12)</f>
        <v>12</v>
      </c>
      <c r="J356" s="1">
        <f ca="1">IFERROR(__xludf.DUMMYFUNCTION("""COMPUTED_VALUE"""),11)</f>
        <v>11</v>
      </c>
      <c r="K356" s="1">
        <f ca="1">IFERROR(__xludf.DUMMYFUNCTION("""COMPUTED_VALUE"""),7)</f>
        <v>7</v>
      </c>
      <c r="L356" s="1">
        <f ca="1">IFERROR(__xludf.DUMMYFUNCTION("""COMPUTED_VALUE"""),3)</f>
        <v>3</v>
      </c>
      <c r="M356" s="1">
        <f ca="1">IFERROR(__xludf.DUMMYFUNCTION("""COMPUTED_VALUE"""),8)</f>
        <v>8</v>
      </c>
      <c r="N356" s="1">
        <f ca="1">IFERROR(__xludf.DUMMYFUNCTION("""COMPUTED_VALUE"""),2147)</f>
        <v>2147</v>
      </c>
      <c r="O356" s="1">
        <f ca="1">IFERROR(__xludf.DUMMYFUNCTION("""COMPUTED_VALUE"""),2057)</f>
        <v>2057</v>
      </c>
      <c r="P356" s="1">
        <f ca="1">IFERROR(__xludf.DUMMYFUNCTION("""COMPUTED_VALUE"""),1330)</f>
        <v>1330</v>
      </c>
      <c r="Q356" s="1">
        <f ca="1">IFERROR(__xludf.DUMMYFUNCTION("""COMPUTED_VALUE"""),754)</f>
        <v>754</v>
      </c>
      <c r="R356" s="1">
        <f ca="1">IFERROR(__xludf.DUMMYFUNCTION("""COMPUTED_VALUE"""),1797)</f>
        <v>1797</v>
      </c>
      <c r="S356" s="1">
        <f ca="1">IFERROR(__xludf.DUMMYFUNCTION("""COMPUTED_VALUE"""),0.42)</f>
        <v>0.42</v>
      </c>
      <c r="T356" s="1">
        <f ca="1">IFERROR(__xludf.DUMMYFUNCTION("""COMPUTED_VALUE"""),205)</f>
        <v>205</v>
      </c>
      <c r="U356" s="1">
        <f ca="1">IFERROR(__xludf.DUMMYFUNCTION("""COMPUTED_VALUE"""),562)</f>
        <v>562</v>
      </c>
      <c r="V356" s="1">
        <f ca="1">IFERROR(__xludf.DUMMYFUNCTION("""COMPUTED_VALUE"""),0.365)</f>
        <v>0.36499999999999999</v>
      </c>
      <c r="W356" s="1">
        <f ca="1">IFERROR(__xludf.DUMMYFUNCTION("""COMPUTED_VALUE"""),434)</f>
        <v>434</v>
      </c>
      <c r="X356" s="1">
        <f ca="1">IFERROR(__xludf.DUMMYFUNCTION("""COMPUTED_VALUE"""),599)</f>
        <v>599</v>
      </c>
      <c r="Y356" s="1">
        <f ca="1">IFERROR(__xludf.DUMMYFUNCTION("""COMPUTED_VALUE"""),0.725)</f>
        <v>0.72499999999999998</v>
      </c>
      <c r="Z356" s="1">
        <f ca="1">IFERROR(__xludf.DUMMYFUNCTION("""COMPUTED_VALUE"""),369)</f>
        <v>369</v>
      </c>
      <c r="AA356" s="1">
        <f ca="1">IFERROR(__xludf.DUMMYFUNCTION("""COMPUTED_VALUE"""),1010)</f>
        <v>1010</v>
      </c>
      <c r="AB356" s="1">
        <f ca="1">IFERROR(__xludf.DUMMYFUNCTION("""COMPUTED_VALUE"""),386)</f>
        <v>386</v>
      </c>
      <c r="AC356" s="1">
        <f ca="1">IFERROR(__xludf.DUMMYFUNCTION("""COMPUTED_VALUE"""),183)</f>
        <v>183</v>
      </c>
      <c r="AD356" s="1">
        <f ca="1">IFERROR(__xludf.DUMMYFUNCTION("""COMPUTED_VALUE"""),107)</f>
        <v>107</v>
      </c>
      <c r="AE356" s="1">
        <f ca="1">IFERROR(__xludf.DUMMYFUNCTION("""COMPUTED_VALUE"""),391)</f>
        <v>391</v>
      </c>
      <c r="AF356" s="1">
        <f ca="1">IFERROR(__xludf.DUMMYFUNCTION("""COMPUTED_VALUE"""),581)</f>
        <v>581</v>
      </c>
    </row>
    <row r="357" spans="1:32" ht="12.5" x14ac:dyDescent="0.25">
      <c r="A357" s="1" t="str">
        <f ca="1">IFERROR(__xludf.DUMMYFUNCTION("""COMPUTED_VALUE"""),"VirginiaNCAA")</f>
        <v>VirginiaNCAA</v>
      </c>
      <c r="B357" s="1">
        <f ca="1">IFERROR(__xludf.DUMMYFUNCTION("""COMPUTED_VALUE"""),32)</f>
        <v>32</v>
      </c>
      <c r="C357" s="1">
        <f ca="1">IFERROR(__xludf.DUMMYFUNCTION("""COMPUTED_VALUE"""),22)</f>
        <v>22</v>
      </c>
      <c r="D357" s="1">
        <f ca="1">IFERROR(__xludf.DUMMYFUNCTION("""COMPUTED_VALUE"""),10)</f>
        <v>10</v>
      </c>
      <c r="E357" s="1">
        <f ca="1">IFERROR(__xludf.DUMMYFUNCTION("""COMPUTED_VALUE"""),0.688)</f>
        <v>0.68799999999999994</v>
      </c>
      <c r="F357" s="1">
        <f ca="1">IFERROR(__xludf.DUMMYFUNCTION("""COMPUTED_VALUE"""),12.51)</f>
        <v>12.51</v>
      </c>
      <c r="G357" s="1">
        <f ca="1">IFERROR(__xludf.DUMMYFUNCTION("""COMPUTED_VALUE"""),4.23)</f>
        <v>4.2300000000000004</v>
      </c>
      <c r="H357" s="1">
        <f ca="1">IFERROR(__xludf.DUMMYFUNCTION("""COMPUTED_VALUE"""),9)</f>
        <v>9</v>
      </c>
      <c r="I357" s="1">
        <f ca="1">IFERROR(__xludf.DUMMYFUNCTION("""COMPUTED_VALUE"""),7)</f>
        <v>7</v>
      </c>
      <c r="J357" s="1">
        <f ca="1">IFERROR(__xludf.DUMMYFUNCTION("""COMPUTED_VALUE"""),13)</f>
        <v>13</v>
      </c>
      <c r="K357" s="1">
        <f ca="1">IFERROR(__xludf.DUMMYFUNCTION("""COMPUTED_VALUE"""),3)</f>
        <v>3</v>
      </c>
      <c r="L357" s="1">
        <f ca="1">IFERROR(__xludf.DUMMYFUNCTION("""COMPUTED_VALUE"""),7)</f>
        <v>7</v>
      </c>
      <c r="M357" s="1">
        <f ca="1">IFERROR(__xludf.DUMMYFUNCTION("""COMPUTED_VALUE"""),4)</f>
        <v>4</v>
      </c>
      <c r="N357" s="1">
        <f ca="1">IFERROR(__xludf.DUMMYFUNCTION("""COMPUTED_VALUE"""),2000)</f>
        <v>2000</v>
      </c>
      <c r="O357" s="1">
        <f ca="1">IFERROR(__xludf.DUMMYFUNCTION("""COMPUTED_VALUE"""),1735)</f>
        <v>1735</v>
      </c>
      <c r="P357" s="1">
        <f ca="1">IFERROR(__xludf.DUMMYFUNCTION("""COMPUTED_VALUE"""),1285)</f>
        <v>1285</v>
      </c>
      <c r="Q357" s="1">
        <f ca="1">IFERROR(__xludf.DUMMYFUNCTION("""COMPUTED_VALUE"""),721)</f>
        <v>721</v>
      </c>
      <c r="R357" s="1">
        <f ca="1">IFERROR(__xludf.DUMMYFUNCTION("""COMPUTED_VALUE"""),1576)</f>
        <v>1576</v>
      </c>
      <c r="S357" s="1">
        <f ca="1">IFERROR(__xludf.DUMMYFUNCTION("""COMPUTED_VALUE"""),0.457)</f>
        <v>0.45700000000000002</v>
      </c>
      <c r="T357" s="1">
        <f ca="1">IFERROR(__xludf.DUMMYFUNCTION("""COMPUTED_VALUE"""),155)</f>
        <v>155</v>
      </c>
      <c r="U357" s="1">
        <f ca="1">IFERROR(__xludf.DUMMYFUNCTION("""COMPUTED_VALUE"""),469)</f>
        <v>469</v>
      </c>
      <c r="V357" s="1">
        <f ca="1">IFERROR(__xludf.DUMMYFUNCTION("""COMPUTED_VALUE"""),0.33)</f>
        <v>0.33</v>
      </c>
      <c r="W357" s="1">
        <f ca="1">IFERROR(__xludf.DUMMYFUNCTION("""COMPUTED_VALUE"""),403)</f>
        <v>403</v>
      </c>
      <c r="X357" s="1">
        <f ca="1">IFERROR(__xludf.DUMMYFUNCTION("""COMPUTED_VALUE"""),558)</f>
        <v>558</v>
      </c>
      <c r="Y357" s="1">
        <f ca="1">IFERROR(__xludf.DUMMYFUNCTION("""COMPUTED_VALUE"""),0.722)</f>
        <v>0.72199999999999998</v>
      </c>
      <c r="Z357" s="1">
        <f ca="1">IFERROR(__xludf.DUMMYFUNCTION("""COMPUTED_VALUE"""),253)</f>
        <v>253</v>
      </c>
      <c r="AA357" s="1">
        <f ca="1">IFERROR(__xludf.DUMMYFUNCTION("""COMPUTED_VALUE"""),944)</f>
        <v>944</v>
      </c>
      <c r="AB357" s="1">
        <f ca="1">IFERROR(__xludf.DUMMYFUNCTION("""COMPUTED_VALUE"""),394)</f>
        <v>394</v>
      </c>
      <c r="AC357" s="1">
        <f ca="1">IFERROR(__xludf.DUMMYFUNCTION("""COMPUTED_VALUE"""),207)</f>
        <v>207</v>
      </c>
      <c r="AD357" s="1">
        <f ca="1">IFERROR(__xludf.DUMMYFUNCTION("""COMPUTED_VALUE"""),88)</f>
        <v>88</v>
      </c>
      <c r="AE357" s="1">
        <f ca="1">IFERROR(__xludf.DUMMYFUNCTION("""COMPUTED_VALUE"""),367)</f>
        <v>367</v>
      </c>
      <c r="AF357" s="1">
        <f ca="1">IFERROR(__xludf.DUMMYFUNCTION("""COMPUTED_VALUE"""),506)</f>
        <v>506</v>
      </c>
    </row>
    <row r="358" spans="1:32" ht="12.5" x14ac:dyDescent="0.25">
      <c r="A358" s="1" t="str">
        <f ca="1">IFERROR(__xludf.DUMMYFUNCTION("""COMPUTED_VALUE"""),"Wagner")</f>
        <v>Wagner</v>
      </c>
      <c r="B358" s="1">
        <f ca="1">IFERROR(__xludf.DUMMYFUNCTION("""COMPUTED_VALUE"""),31)</f>
        <v>31</v>
      </c>
      <c r="C358" s="1">
        <f ca="1">IFERROR(__xludf.DUMMYFUNCTION("""COMPUTED_VALUE"""),25)</f>
        <v>25</v>
      </c>
      <c r="D358" s="1">
        <f ca="1">IFERROR(__xludf.DUMMYFUNCTION("""COMPUTED_VALUE"""),6)</f>
        <v>6</v>
      </c>
      <c r="E358" s="1">
        <f ca="1">IFERROR(__xludf.DUMMYFUNCTION("""COMPUTED_VALUE"""),0.806)</f>
        <v>0.80600000000000005</v>
      </c>
      <c r="F358" s="1">
        <f ca="1">IFERROR(__xludf.DUMMYFUNCTION("""COMPUTED_VALUE"""),3.6)</f>
        <v>3.6</v>
      </c>
      <c r="G358" s="1">
        <f ca="1">IFERROR(__xludf.DUMMYFUNCTION("""COMPUTED_VALUE"""),-5.5)</f>
        <v>-5.5</v>
      </c>
      <c r="H358" s="1">
        <f ca="1">IFERROR(__xludf.DUMMYFUNCTION("""COMPUTED_VALUE"""),15)</f>
        <v>15</v>
      </c>
      <c r="I358" s="1">
        <f ca="1">IFERROR(__xludf.DUMMYFUNCTION("""COMPUTED_VALUE"""),3)</f>
        <v>3</v>
      </c>
      <c r="J358" s="1">
        <f ca="1">IFERROR(__xludf.DUMMYFUNCTION("""COMPUTED_VALUE"""),12)</f>
        <v>12</v>
      </c>
      <c r="K358" s="1">
        <f ca="1">IFERROR(__xludf.DUMMYFUNCTION("""COMPUTED_VALUE"""),3)</f>
        <v>3</v>
      </c>
      <c r="L358" s="1">
        <f ca="1">IFERROR(__xludf.DUMMYFUNCTION("""COMPUTED_VALUE"""),12)</f>
        <v>12</v>
      </c>
      <c r="M358" s="1">
        <f ca="1">IFERROR(__xludf.DUMMYFUNCTION("""COMPUTED_VALUE"""),3)</f>
        <v>3</v>
      </c>
      <c r="N358" s="1">
        <f ca="1">IFERROR(__xludf.DUMMYFUNCTION("""COMPUTED_VALUE"""),2275)</f>
        <v>2275</v>
      </c>
      <c r="O358" s="1">
        <f ca="1">IFERROR(__xludf.DUMMYFUNCTION("""COMPUTED_VALUE"""),1993)</f>
        <v>1993</v>
      </c>
      <c r="P358" s="1">
        <f ca="1">IFERROR(__xludf.DUMMYFUNCTION("""COMPUTED_VALUE"""),1240)</f>
        <v>1240</v>
      </c>
      <c r="Q358" s="1">
        <f ca="1">IFERROR(__xludf.DUMMYFUNCTION("""COMPUTED_VALUE"""),779)</f>
        <v>779</v>
      </c>
      <c r="R358" s="1">
        <f ca="1">IFERROR(__xludf.DUMMYFUNCTION("""COMPUTED_VALUE"""),1767)</f>
        <v>1767</v>
      </c>
      <c r="S358" s="1">
        <f ca="1">IFERROR(__xludf.DUMMYFUNCTION("""COMPUTED_VALUE"""),0.441)</f>
        <v>0.441</v>
      </c>
      <c r="T358" s="1">
        <f ca="1">IFERROR(__xludf.DUMMYFUNCTION("""COMPUTED_VALUE"""),204)</f>
        <v>204</v>
      </c>
      <c r="U358" s="1">
        <f ca="1">IFERROR(__xludf.DUMMYFUNCTION("""COMPUTED_VALUE"""),566)</f>
        <v>566</v>
      </c>
      <c r="V358" s="1">
        <f ca="1">IFERROR(__xludf.DUMMYFUNCTION("""COMPUTED_VALUE"""),0.36)</f>
        <v>0.36</v>
      </c>
      <c r="W358" s="1">
        <f ca="1">IFERROR(__xludf.DUMMYFUNCTION("""COMPUTED_VALUE"""),513)</f>
        <v>513</v>
      </c>
      <c r="X358" s="1">
        <f ca="1">IFERROR(__xludf.DUMMYFUNCTION("""COMPUTED_VALUE"""),690)</f>
        <v>690</v>
      </c>
      <c r="Y358" s="1">
        <f ca="1">IFERROR(__xludf.DUMMYFUNCTION("""COMPUTED_VALUE"""),0.743)</f>
        <v>0.74299999999999999</v>
      </c>
      <c r="Z358" s="1">
        <f ca="1">IFERROR(__xludf.DUMMYFUNCTION("""COMPUTED_VALUE"""),384)</f>
        <v>384</v>
      </c>
      <c r="AA358" s="1">
        <f ca="1">IFERROR(__xludf.DUMMYFUNCTION("""COMPUTED_VALUE"""),968)</f>
        <v>968</v>
      </c>
      <c r="AB358" s="1">
        <f ca="1">IFERROR(__xludf.DUMMYFUNCTION("""COMPUTED_VALUE"""),400)</f>
        <v>400</v>
      </c>
      <c r="AC358" s="1">
        <f ca="1">IFERROR(__xludf.DUMMYFUNCTION("""COMPUTED_VALUE"""),244)</f>
        <v>244</v>
      </c>
      <c r="AD358" s="1">
        <f ca="1">IFERROR(__xludf.DUMMYFUNCTION("""COMPUTED_VALUE"""),126)</f>
        <v>126</v>
      </c>
      <c r="AE358" s="1">
        <f ca="1">IFERROR(__xludf.DUMMYFUNCTION("""COMPUTED_VALUE"""),412)</f>
        <v>412</v>
      </c>
      <c r="AF358" s="1">
        <f ca="1">IFERROR(__xludf.DUMMYFUNCTION("""COMPUTED_VALUE"""),681)</f>
        <v>681</v>
      </c>
    </row>
    <row r="359" spans="1:32" ht="12.5" x14ac:dyDescent="0.25">
      <c r="A359" s="1" t="str">
        <f ca="1">IFERROR(__xludf.DUMMYFUNCTION("""COMPUTED_VALUE"""),"Wake Forest")</f>
        <v>Wake Forest</v>
      </c>
      <c r="B359" s="1">
        <f ca="1">IFERROR(__xludf.DUMMYFUNCTION("""COMPUTED_VALUE"""),31)</f>
        <v>31</v>
      </c>
      <c r="C359" s="1">
        <f ca="1">IFERROR(__xludf.DUMMYFUNCTION("""COMPUTED_VALUE"""),13)</f>
        <v>13</v>
      </c>
      <c r="D359" s="1">
        <f ca="1">IFERROR(__xludf.DUMMYFUNCTION("""COMPUTED_VALUE"""),18)</f>
        <v>18</v>
      </c>
      <c r="E359" s="1">
        <f ca="1">IFERROR(__xludf.DUMMYFUNCTION("""COMPUTED_VALUE"""),0.419)</f>
        <v>0.41899999999999998</v>
      </c>
      <c r="F359" s="1">
        <f ca="1">IFERROR(__xludf.DUMMYFUNCTION("""COMPUTED_VALUE"""),-0.75)</f>
        <v>-0.75</v>
      </c>
      <c r="G359" s="1">
        <f ca="1">IFERROR(__xludf.DUMMYFUNCTION("""COMPUTED_VALUE"""),4.19)</f>
        <v>4.1900000000000004</v>
      </c>
      <c r="H359" s="1">
        <f ca="1">IFERROR(__xludf.DUMMYFUNCTION("""COMPUTED_VALUE"""),4)</f>
        <v>4</v>
      </c>
      <c r="I359" s="1">
        <f ca="1">IFERROR(__xludf.DUMMYFUNCTION("""COMPUTED_VALUE"""),12)</f>
        <v>12</v>
      </c>
      <c r="J359" s="1">
        <f ca="1">IFERROR(__xludf.DUMMYFUNCTION("""COMPUTED_VALUE"""),9)</f>
        <v>9</v>
      </c>
      <c r="K359" s="1">
        <f ca="1">IFERROR(__xludf.DUMMYFUNCTION("""COMPUTED_VALUE"""),7)</f>
        <v>7</v>
      </c>
      <c r="L359" s="1">
        <f ca="1">IFERROR(__xludf.DUMMYFUNCTION("""COMPUTED_VALUE"""),3)</f>
        <v>3</v>
      </c>
      <c r="M359" s="1">
        <f ca="1">IFERROR(__xludf.DUMMYFUNCTION("""COMPUTED_VALUE"""),8)</f>
        <v>8</v>
      </c>
      <c r="N359" s="1">
        <f ca="1">IFERROR(__xludf.DUMMYFUNCTION("""COMPUTED_VALUE"""),2029)</f>
        <v>2029</v>
      </c>
      <c r="O359" s="1">
        <f ca="1">IFERROR(__xludf.DUMMYFUNCTION("""COMPUTED_VALUE"""),2182)</f>
        <v>2182</v>
      </c>
      <c r="P359" s="1">
        <f ca="1">IFERROR(__xludf.DUMMYFUNCTION("""COMPUTED_VALUE"""),1240)</f>
        <v>1240</v>
      </c>
      <c r="Q359" s="1">
        <f ca="1">IFERROR(__xludf.DUMMYFUNCTION("""COMPUTED_VALUE"""),689)</f>
        <v>689</v>
      </c>
      <c r="R359" s="1">
        <f ca="1">IFERROR(__xludf.DUMMYFUNCTION("""COMPUTED_VALUE"""),1613)</f>
        <v>1613</v>
      </c>
      <c r="S359" s="1">
        <f ca="1">IFERROR(__xludf.DUMMYFUNCTION("""COMPUTED_VALUE"""),0.427)</f>
        <v>0.42699999999999999</v>
      </c>
      <c r="T359" s="1">
        <f ca="1">IFERROR(__xludf.DUMMYFUNCTION("""COMPUTED_VALUE"""),166)</f>
        <v>166</v>
      </c>
      <c r="U359" s="1">
        <f ca="1">IFERROR(__xludf.DUMMYFUNCTION("""COMPUTED_VALUE"""),499)</f>
        <v>499</v>
      </c>
      <c r="V359" s="1">
        <f ca="1">IFERROR(__xludf.DUMMYFUNCTION("""COMPUTED_VALUE"""),0.333)</f>
        <v>0.33300000000000002</v>
      </c>
      <c r="W359" s="1">
        <f ca="1">IFERROR(__xludf.DUMMYFUNCTION("""COMPUTED_VALUE"""),485)</f>
        <v>485</v>
      </c>
      <c r="X359" s="1">
        <f ca="1">IFERROR(__xludf.DUMMYFUNCTION("""COMPUTED_VALUE"""),659)</f>
        <v>659</v>
      </c>
      <c r="Y359" s="1">
        <f ca="1">IFERROR(__xludf.DUMMYFUNCTION("""COMPUTED_VALUE"""),0.736)</f>
        <v>0.73599999999999999</v>
      </c>
      <c r="Z359" s="1">
        <f ca="1">IFERROR(__xludf.DUMMYFUNCTION("""COMPUTED_VALUE"""),262)</f>
        <v>262</v>
      </c>
      <c r="AA359" s="1">
        <f ca="1">IFERROR(__xludf.DUMMYFUNCTION("""COMPUTED_VALUE"""),893)</f>
        <v>893</v>
      </c>
      <c r="AB359" s="1">
        <f ca="1">IFERROR(__xludf.DUMMYFUNCTION("""COMPUTED_VALUE"""),362)</f>
        <v>362</v>
      </c>
      <c r="AC359" s="1">
        <f ca="1">IFERROR(__xludf.DUMMYFUNCTION("""COMPUTED_VALUE"""),162)</f>
        <v>162</v>
      </c>
      <c r="AD359" s="1">
        <f ca="1">IFERROR(__xludf.DUMMYFUNCTION("""COMPUTED_VALUE"""),142)</f>
        <v>142</v>
      </c>
      <c r="AE359" s="1">
        <f ca="1">IFERROR(__xludf.DUMMYFUNCTION("""COMPUTED_VALUE"""),394)</f>
        <v>394</v>
      </c>
      <c r="AF359" s="1">
        <f ca="1">IFERROR(__xludf.DUMMYFUNCTION("""COMPUTED_VALUE"""),518)</f>
        <v>518</v>
      </c>
    </row>
    <row r="360" spans="1:32" ht="12.5" x14ac:dyDescent="0.25">
      <c r="A360" s="1" t="str">
        <f ca="1">IFERROR(__xludf.DUMMYFUNCTION("""COMPUTED_VALUE"""),"Washington State")</f>
        <v>Washington State</v>
      </c>
      <c r="B360" s="1">
        <f ca="1">IFERROR(__xludf.DUMMYFUNCTION("""COMPUTED_VALUE"""),37)</f>
        <v>37</v>
      </c>
      <c r="C360" s="1">
        <f ca="1">IFERROR(__xludf.DUMMYFUNCTION("""COMPUTED_VALUE"""),19)</f>
        <v>19</v>
      </c>
      <c r="D360" s="1">
        <f ca="1">IFERROR(__xludf.DUMMYFUNCTION("""COMPUTED_VALUE"""),18)</f>
        <v>18</v>
      </c>
      <c r="E360" s="1">
        <f ca="1">IFERROR(__xludf.DUMMYFUNCTION("""COMPUTED_VALUE"""),0.514)</f>
        <v>0.51400000000000001</v>
      </c>
      <c r="F360" s="1">
        <f ca="1">IFERROR(__xludf.DUMMYFUNCTION("""COMPUTED_VALUE"""),6.17)</f>
        <v>6.17</v>
      </c>
      <c r="G360" s="1">
        <f ca="1">IFERROR(__xludf.DUMMYFUNCTION("""COMPUTED_VALUE"""),4.06)</f>
        <v>4.0599999999999996</v>
      </c>
      <c r="H360" s="1">
        <f ca="1">IFERROR(__xludf.DUMMYFUNCTION("""COMPUTED_VALUE"""),7)</f>
        <v>7</v>
      </c>
      <c r="I360" s="1">
        <f ca="1">IFERROR(__xludf.DUMMYFUNCTION("""COMPUTED_VALUE"""),11)</f>
        <v>11</v>
      </c>
      <c r="J360" s="1">
        <f ca="1">IFERROR(__xludf.DUMMYFUNCTION("""COMPUTED_VALUE"""),12)</f>
        <v>12</v>
      </c>
      <c r="K360" s="1">
        <f ca="1">IFERROR(__xludf.DUMMYFUNCTION("""COMPUTED_VALUE"""),4)</f>
        <v>4</v>
      </c>
      <c r="L360" s="1">
        <f ca="1">IFERROR(__xludf.DUMMYFUNCTION("""COMPUTED_VALUE"""),6)</f>
        <v>6</v>
      </c>
      <c r="M360" s="1">
        <f ca="1">IFERROR(__xludf.DUMMYFUNCTION("""COMPUTED_VALUE"""),10)</f>
        <v>10</v>
      </c>
      <c r="N360" s="1">
        <f ca="1">IFERROR(__xludf.DUMMYFUNCTION("""COMPUTED_VALUE"""),2521)</f>
        <v>2521</v>
      </c>
      <c r="O360" s="1">
        <f ca="1">IFERROR(__xludf.DUMMYFUNCTION("""COMPUTED_VALUE"""),2421)</f>
        <v>2421</v>
      </c>
      <c r="P360" s="1">
        <f ca="1">IFERROR(__xludf.DUMMYFUNCTION("""COMPUTED_VALUE"""),1485)</f>
        <v>1485</v>
      </c>
      <c r="Q360" s="1">
        <f ca="1">IFERROR(__xludf.DUMMYFUNCTION("""COMPUTED_VALUE"""),860)</f>
        <v>860</v>
      </c>
      <c r="R360" s="1">
        <f ca="1">IFERROR(__xludf.DUMMYFUNCTION("""COMPUTED_VALUE"""),1836)</f>
        <v>1836</v>
      </c>
      <c r="S360" s="1">
        <f ca="1">IFERROR(__xludf.DUMMYFUNCTION("""COMPUTED_VALUE"""),0.468)</f>
        <v>0.46800000000000003</v>
      </c>
      <c r="T360" s="1">
        <f ca="1">IFERROR(__xludf.DUMMYFUNCTION("""COMPUTED_VALUE"""),228)</f>
        <v>228</v>
      </c>
      <c r="U360" s="1">
        <f ca="1">IFERROR(__xludf.DUMMYFUNCTION("""COMPUTED_VALUE"""),623)</f>
        <v>623</v>
      </c>
      <c r="V360" s="1">
        <f ca="1">IFERROR(__xludf.DUMMYFUNCTION("""COMPUTED_VALUE"""),0.366)</f>
        <v>0.36599999999999999</v>
      </c>
      <c r="W360" s="1">
        <f ca="1">IFERROR(__xludf.DUMMYFUNCTION("""COMPUTED_VALUE"""),573)</f>
        <v>573</v>
      </c>
      <c r="X360" s="1">
        <f ca="1">IFERROR(__xludf.DUMMYFUNCTION("""COMPUTED_VALUE"""),808)</f>
        <v>808</v>
      </c>
      <c r="Y360" s="1">
        <f ca="1">IFERROR(__xludf.DUMMYFUNCTION("""COMPUTED_VALUE"""),0.709)</f>
        <v>0.70899999999999996</v>
      </c>
      <c r="Z360" s="1">
        <f ca="1">IFERROR(__xludf.DUMMYFUNCTION("""COMPUTED_VALUE"""),339)</f>
        <v>339</v>
      </c>
      <c r="AA360" s="1">
        <f ca="1">IFERROR(__xludf.DUMMYFUNCTION("""COMPUTED_VALUE"""),1107)</f>
        <v>1107</v>
      </c>
      <c r="AB360" s="1">
        <f ca="1">IFERROR(__xludf.DUMMYFUNCTION("""COMPUTED_VALUE"""),505)</f>
        <v>505</v>
      </c>
      <c r="AC360" s="1">
        <f ca="1">IFERROR(__xludf.DUMMYFUNCTION("""COMPUTED_VALUE"""),178)</f>
        <v>178</v>
      </c>
      <c r="AD360" s="1">
        <f ca="1">IFERROR(__xludf.DUMMYFUNCTION("""COMPUTED_VALUE"""),103)</f>
        <v>103</v>
      </c>
      <c r="AE360" s="1">
        <f ca="1">IFERROR(__xludf.DUMMYFUNCTION("""COMPUTED_VALUE"""),485)</f>
        <v>485</v>
      </c>
      <c r="AF360" s="1">
        <f ca="1">IFERROR(__xludf.DUMMYFUNCTION("""COMPUTED_VALUE"""),643)</f>
        <v>643</v>
      </c>
    </row>
    <row r="361" spans="1:32" ht="12.5" x14ac:dyDescent="0.25">
      <c r="A361" s="1" t="str">
        <f ca="1">IFERROR(__xludf.DUMMYFUNCTION("""COMPUTED_VALUE"""),"Washington")</f>
        <v>Washington</v>
      </c>
      <c r="B361" s="1">
        <f ca="1">IFERROR(__xludf.DUMMYFUNCTION("""COMPUTED_VALUE"""),35)</f>
        <v>35</v>
      </c>
      <c r="C361" s="1">
        <f ca="1">IFERROR(__xludf.DUMMYFUNCTION("""COMPUTED_VALUE"""),24)</f>
        <v>24</v>
      </c>
      <c r="D361" s="1">
        <f ca="1">IFERROR(__xludf.DUMMYFUNCTION("""COMPUTED_VALUE"""),11)</f>
        <v>11</v>
      </c>
      <c r="E361" s="1">
        <f ca="1">IFERROR(__xludf.DUMMYFUNCTION("""COMPUTED_VALUE"""),0.686)</f>
        <v>0.68600000000000005</v>
      </c>
      <c r="F361" s="1">
        <f ca="1">IFERROR(__xludf.DUMMYFUNCTION("""COMPUTED_VALUE"""),10.79)</f>
        <v>10.79</v>
      </c>
      <c r="G361" s="1">
        <f ca="1">IFERROR(__xludf.DUMMYFUNCTION("""COMPUTED_VALUE"""),5.27)</f>
        <v>5.27</v>
      </c>
      <c r="H361" s="1">
        <f ca="1">IFERROR(__xludf.DUMMYFUNCTION("""COMPUTED_VALUE"""),14)</f>
        <v>14</v>
      </c>
      <c r="I361" s="1">
        <f ca="1">IFERROR(__xludf.DUMMYFUNCTION("""COMPUTED_VALUE"""),4)</f>
        <v>4</v>
      </c>
      <c r="J361" s="1">
        <f ca="1">IFERROR(__xludf.DUMMYFUNCTION("""COMPUTED_VALUE"""),18)</f>
        <v>18</v>
      </c>
      <c r="K361" s="1">
        <f ca="1">IFERROR(__xludf.DUMMYFUNCTION("""COMPUTED_VALUE"""),2)</f>
        <v>2</v>
      </c>
      <c r="L361" s="1">
        <f ca="1">IFERROR(__xludf.DUMMYFUNCTION("""COMPUTED_VALUE"""),6)</f>
        <v>6</v>
      </c>
      <c r="M361" s="1">
        <f ca="1">IFERROR(__xludf.DUMMYFUNCTION("""COMPUTED_VALUE"""),5)</f>
        <v>5</v>
      </c>
      <c r="N361" s="1">
        <f ca="1">IFERROR(__xludf.DUMMYFUNCTION("""COMPUTED_VALUE"""),2646)</f>
        <v>2646</v>
      </c>
      <c r="O361" s="1">
        <f ca="1">IFERROR(__xludf.DUMMYFUNCTION("""COMPUTED_VALUE"""),2453)</f>
        <v>2453</v>
      </c>
      <c r="P361" s="1">
        <f ca="1">IFERROR(__xludf.DUMMYFUNCTION("""COMPUTED_VALUE"""),1410)</f>
        <v>1410</v>
      </c>
      <c r="Q361" s="1">
        <f ca="1">IFERROR(__xludf.DUMMYFUNCTION("""COMPUTED_VALUE"""),966)</f>
        <v>966</v>
      </c>
      <c r="R361" s="1">
        <f ca="1">IFERROR(__xludf.DUMMYFUNCTION("""COMPUTED_VALUE"""),2157)</f>
        <v>2157</v>
      </c>
      <c r="S361" s="1">
        <f ca="1">IFERROR(__xludf.DUMMYFUNCTION("""COMPUTED_VALUE"""),0.448)</f>
        <v>0.44800000000000001</v>
      </c>
      <c r="T361" s="1">
        <f ca="1">IFERROR(__xludf.DUMMYFUNCTION("""COMPUTED_VALUE"""),217)</f>
        <v>217</v>
      </c>
      <c r="U361" s="1">
        <f ca="1">IFERROR(__xludf.DUMMYFUNCTION("""COMPUTED_VALUE"""),633)</f>
        <v>633</v>
      </c>
      <c r="V361" s="1">
        <f ca="1">IFERROR(__xludf.DUMMYFUNCTION("""COMPUTED_VALUE"""),0.343)</f>
        <v>0.34300000000000003</v>
      </c>
      <c r="W361" s="1">
        <f ca="1">IFERROR(__xludf.DUMMYFUNCTION("""COMPUTED_VALUE"""),497)</f>
        <v>497</v>
      </c>
      <c r="X361" s="1">
        <f ca="1">IFERROR(__xludf.DUMMYFUNCTION("""COMPUTED_VALUE"""),798)</f>
        <v>798</v>
      </c>
      <c r="Y361" s="1">
        <f ca="1">IFERROR(__xludf.DUMMYFUNCTION("""COMPUTED_VALUE"""),0.623)</f>
        <v>0.623</v>
      </c>
      <c r="Z361" s="1">
        <f ca="1">IFERROR(__xludf.DUMMYFUNCTION("""COMPUTED_VALUE"""),510)</f>
        <v>510</v>
      </c>
      <c r="AA361" s="1">
        <f ca="1">IFERROR(__xludf.DUMMYFUNCTION("""COMPUTED_VALUE"""),1294)</f>
        <v>1294</v>
      </c>
      <c r="AB361" s="1">
        <f ca="1">IFERROR(__xludf.DUMMYFUNCTION("""COMPUTED_VALUE"""),475)</f>
        <v>475</v>
      </c>
      <c r="AC361" s="1">
        <f ca="1">IFERROR(__xludf.DUMMYFUNCTION("""COMPUTED_VALUE"""),233)</f>
        <v>233</v>
      </c>
      <c r="AD361" s="1">
        <f ca="1">IFERROR(__xludf.DUMMYFUNCTION("""COMPUTED_VALUE"""),139)</f>
        <v>139</v>
      </c>
      <c r="AE361" s="1">
        <f ca="1">IFERROR(__xludf.DUMMYFUNCTION("""COMPUTED_VALUE"""),460)</f>
        <v>460</v>
      </c>
      <c r="AF361" s="1">
        <f ca="1">IFERROR(__xludf.DUMMYFUNCTION("""COMPUTED_VALUE"""),693)</f>
        <v>693</v>
      </c>
    </row>
    <row r="362" spans="1:32" ht="12.5" x14ac:dyDescent="0.25">
      <c r="A362" s="1" t="str">
        <f ca="1">IFERROR(__xludf.DUMMYFUNCTION("""COMPUTED_VALUE"""),"Weber State")</f>
        <v>Weber State</v>
      </c>
      <c r="B362" s="1">
        <f ca="1">IFERROR(__xludf.DUMMYFUNCTION("""COMPUTED_VALUE"""),32)</f>
        <v>32</v>
      </c>
      <c r="C362" s="1">
        <f ca="1">IFERROR(__xludf.DUMMYFUNCTION("""COMPUTED_VALUE"""),25)</f>
        <v>25</v>
      </c>
      <c r="D362" s="1">
        <f ca="1">IFERROR(__xludf.DUMMYFUNCTION("""COMPUTED_VALUE"""),7)</f>
        <v>7</v>
      </c>
      <c r="E362" s="1">
        <f ca="1">IFERROR(__xludf.DUMMYFUNCTION("""COMPUTED_VALUE"""),0.781)</f>
        <v>0.78100000000000003</v>
      </c>
      <c r="F362" s="1">
        <f ca="1">IFERROR(__xludf.DUMMYFUNCTION("""COMPUTED_VALUE"""),1.51)</f>
        <v>1.51</v>
      </c>
      <c r="G362" s="1">
        <f ca="1">IFERROR(__xludf.DUMMYFUNCTION("""COMPUTED_VALUE"""),-3.65)</f>
        <v>-3.65</v>
      </c>
      <c r="H362" s="1">
        <f ca="1">IFERROR(__xludf.DUMMYFUNCTION("""COMPUTED_VALUE"""),14)</f>
        <v>14</v>
      </c>
      <c r="I362" s="1">
        <f ca="1">IFERROR(__xludf.DUMMYFUNCTION("""COMPUTED_VALUE"""),2)</f>
        <v>2</v>
      </c>
      <c r="J362" s="1">
        <f ca="1">IFERROR(__xludf.DUMMYFUNCTION("""COMPUTED_VALUE"""),16)</f>
        <v>16</v>
      </c>
      <c r="K362" s="1">
        <f ca="1">IFERROR(__xludf.DUMMYFUNCTION("""COMPUTED_VALUE"""),0)</f>
        <v>0</v>
      </c>
      <c r="L362" s="1">
        <f ca="1">IFERROR(__xludf.DUMMYFUNCTION("""COMPUTED_VALUE"""),7)</f>
        <v>7</v>
      </c>
      <c r="M362" s="1">
        <f ca="1">IFERROR(__xludf.DUMMYFUNCTION("""COMPUTED_VALUE"""),7)</f>
        <v>7</v>
      </c>
      <c r="N362" s="1">
        <f ca="1">IFERROR(__xludf.DUMMYFUNCTION("""COMPUTED_VALUE"""),2473)</f>
        <v>2473</v>
      </c>
      <c r="O362" s="1">
        <f ca="1">IFERROR(__xludf.DUMMYFUNCTION("""COMPUTED_VALUE"""),2210)</f>
        <v>2210</v>
      </c>
      <c r="P362" s="1">
        <f ca="1">IFERROR(__xludf.DUMMYFUNCTION("""COMPUTED_VALUE"""),1295)</f>
        <v>1295</v>
      </c>
      <c r="Q362" s="1">
        <f ca="1">IFERROR(__xludf.DUMMYFUNCTION("""COMPUTED_VALUE"""),825)</f>
        <v>825</v>
      </c>
      <c r="R362" s="1">
        <f ca="1">IFERROR(__xludf.DUMMYFUNCTION("""COMPUTED_VALUE"""),1797)</f>
        <v>1797</v>
      </c>
      <c r="S362" s="1">
        <f ca="1">IFERROR(__xludf.DUMMYFUNCTION("""COMPUTED_VALUE"""),0.459)</f>
        <v>0.45900000000000002</v>
      </c>
      <c r="T362" s="1">
        <f ca="1">IFERROR(__xludf.DUMMYFUNCTION("""COMPUTED_VALUE"""),285)</f>
        <v>285</v>
      </c>
      <c r="U362" s="1">
        <f ca="1">IFERROR(__xludf.DUMMYFUNCTION("""COMPUTED_VALUE"""),728)</f>
        <v>728</v>
      </c>
      <c r="V362" s="1">
        <f ca="1">IFERROR(__xludf.DUMMYFUNCTION("""COMPUTED_VALUE"""),0.391)</f>
        <v>0.39100000000000001</v>
      </c>
      <c r="W362" s="1">
        <f ca="1">IFERROR(__xludf.DUMMYFUNCTION("""COMPUTED_VALUE"""),538)</f>
        <v>538</v>
      </c>
      <c r="X362" s="1">
        <f ca="1">IFERROR(__xludf.DUMMYFUNCTION("""COMPUTED_VALUE"""),661)</f>
        <v>661</v>
      </c>
      <c r="Y362" s="1">
        <f ca="1">IFERROR(__xludf.DUMMYFUNCTION("""COMPUTED_VALUE"""),0.814)</f>
        <v>0.81399999999999995</v>
      </c>
      <c r="Z362" s="1">
        <f ca="1">IFERROR(__xludf.DUMMYFUNCTION("""COMPUTED_VALUE"""),277)</f>
        <v>277</v>
      </c>
      <c r="AA362" s="1">
        <f ca="1">IFERROR(__xludf.DUMMYFUNCTION("""COMPUTED_VALUE"""),1021)</f>
        <v>1021</v>
      </c>
      <c r="AB362" s="1">
        <f ca="1">IFERROR(__xludf.DUMMYFUNCTION("""COMPUTED_VALUE"""),424)</f>
        <v>424</v>
      </c>
      <c r="AC362" s="1">
        <f ca="1">IFERROR(__xludf.DUMMYFUNCTION("""COMPUTED_VALUE"""),178)</f>
        <v>178</v>
      </c>
      <c r="AD362" s="1">
        <f ca="1">IFERROR(__xludf.DUMMYFUNCTION("""COMPUTED_VALUE"""),78)</f>
        <v>78</v>
      </c>
      <c r="AE362" s="1">
        <f ca="1">IFERROR(__xludf.DUMMYFUNCTION("""COMPUTED_VALUE"""),340)</f>
        <v>340</v>
      </c>
      <c r="AF362" s="1">
        <f ca="1">IFERROR(__xludf.DUMMYFUNCTION("""COMPUTED_VALUE"""),578)</f>
        <v>578</v>
      </c>
    </row>
    <row r="363" spans="1:32" ht="12.5" x14ac:dyDescent="0.25">
      <c r="A363" s="1" t="str">
        <f ca="1">IFERROR(__xludf.DUMMYFUNCTION("""COMPUTED_VALUE"""),"West VirginiaNCAA")</f>
        <v>West VirginiaNCAA</v>
      </c>
      <c r="B363" s="1">
        <f ca="1">IFERROR(__xludf.DUMMYFUNCTION("""COMPUTED_VALUE"""),33)</f>
        <v>33</v>
      </c>
      <c r="C363" s="1">
        <f ca="1">IFERROR(__xludf.DUMMYFUNCTION("""COMPUTED_VALUE"""),19)</f>
        <v>19</v>
      </c>
      <c r="D363" s="1">
        <f ca="1">IFERROR(__xludf.DUMMYFUNCTION("""COMPUTED_VALUE"""),14)</f>
        <v>14</v>
      </c>
      <c r="E363" s="1">
        <f ca="1">IFERROR(__xludf.DUMMYFUNCTION("""COMPUTED_VALUE"""),0.576)</f>
        <v>0.57599999999999996</v>
      </c>
      <c r="F363" s="1">
        <f ca="1">IFERROR(__xludf.DUMMYFUNCTION("""COMPUTED_VALUE"""),12.13)</f>
        <v>12.13</v>
      </c>
      <c r="G363" s="1">
        <f ca="1">IFERROR(__xludf.DUMMYFUNCTION("""COMPUTED_VALUE"""),7.53)</f>
        <v>7.53</v>
      </c>
      <c r="H363" s="1">
        <f ca="1">IFERROR(__xludf.DUMMYFUNCTION("""COMPUTED_VALUE"""),9)</f>
        <v>9</v>
      </c>
      <c r="I363" s="1">
        <f ca="1">IFERROR(__xludf.DUMMYFUNCTION("""COMPUTED_VALUE"""),9)</f>
        <v>9</v>
      </c>
      <c r="J363" s="1">
        <f ca="1">IFERROR(__xludf.DUMMYFUNCTION("""COMPUTED_VALUE"""),11)</f>
        <v>11</v>
      </c>
      <c r="K363" s="1">
        <f ca="1">IFERROR(__xludf.DUMMYFUNCTION("""COMPUTED_VALUE"""),5)</f>
        <v>5</v>
      </c>
      <c r="L363" s="1">
        <f ca="1">IFERROR(__xludf.DUMMYFUNCTION("""COMPUTED_VALUE"""),4)</f>
        <v>4</v>
      </c>
      <c r="M363" s="1">
        <f ca="1">IFERROR(__xludf.DUMMYFUNCTION("""COMPUTED_VALUE"""),6)</f>
        <v>6</v>
      </c>
      <c r="N363" s="1">
        <f ca="1">IFERROR(__xludf.DUMMYFUNCTION("""COMPUTED_VALUE"""),2346)</f>
        <v>2346</v>
      </c>
      <c r="O363" s="1">
        <f ca="1">IFERROR(__xludf.DUMMYFUNCTION("""COMPUTED_VALUE"""),2194)</f>
        <v>2194</v>
      </c>
      <c r="P363" s="1">
        <f ca="1">IFERROR(__xludf.DUMMYFUNCTION("""COMPUTED_VALUE"""),1355)</f>
        <v>1355</v>
      </c>
      <c r="Q363" s="1">
        <f ca="1">IFERROR(__xludf.DUMMYFUNCTION("""COMPUTED_VALUE"""),838)</f>
        <v>838</v>
      </c>
      <c r="R363" s="1">
        <f ca="1">IFERROR(__xludf.DUMMYFUNCTION("""COMPUTED_VALUE"""),1914)</f>
        <v>1914</v>
      </c>
      <c r="S363" s="1">
        <f ca="1">IFERROR(__xludf.DUMMYFUNCTION("""COMPUTED_VALUE"""),0.438)</f>
        <v>0.438</v>
      </c>
      <c r="T363" s="1">
        <f ca="1">IFERROR(__xludf.DUMMYFUNCTION("""COMPUTED_VALUE"""),174)</f>
        <v>174</v>
      </c>
      <c r="U363" s="1">
        <f ca="1">IFERROR(__xludf.DUMMYFUNCTION("""COMPUTED_VALUE"""),583)</f>
        <v>583</v>
      </c>
      <c r="V363" s="1">
        <f ca="1">IFERROR(__xludf.DUMMYFUNCTION("""COMPUTED_VALUE"""),0.298)</f>
        <v>0.29799999999999999</v>
      </c>
      <c r="W363" s="1">
        <f ca="1">IFERROR(__xludf.DUMMYFUNCTION("""COMPUTED_VALUE"""),496)</f>
        <v>496</v>
      </c>
      <c r="X363" s="1">
        <f ca="1">IFERROR(__xludf.DUMMYFUNCTION("""COMPUTED_VALUE"""),739)</f>
        <v>739</v>
      </c>
      <c r="Y363" s="1">
        <f ca="1">IFERROR(__xludf.DUMMYFUNCTION("""COMPUTED_VALUE"""),0.671)</f>
        <v>0.67100000000000004</v>
      </c>
      <c r="Z363" s="1">
        <f ca="1">IFERROR(__xludf.DUMMYFUNCTION("""COMPUTED_VALUE"""),493)</f>
        <v>493</v>
      </c>
      <c r="AA363" s="1">
        <f ca="1">IFERROR(__xludf.DUMMYFUNCTION("""COMPUTED_VALUE"""),1135)</f>
        <v>1135</v>
      </c>
      <c r="AB363" s="1">
        <f ca="1">IFERROR(__xludf.DUMMYFUNCTION("""COMPUTED_VALUE"""),477)</f>
        <v>477</v>
      </c>
      <c r="AC363" s="1">
        <f ca="1">IFERROR(__xludf.DUMMYFUNCTION("""COMPUTED_VALUE"""),210)</f>
        <v>210</v>
      </c>
      <c r="AD363" s="1">
        <f ca="1">IFERROR(__xludf.DUMMYFUNCTION("""COMPUTED_VALUE"""),85)</f>
        <v>85</v>
      </c>
      <c r="AE363" s="1">
        <f ca="1">IFERROR(__xludf.DUMMYFUNCTION("""COMPUTED_VALUE"""),422)</f>
        <v>422</v>
      </c>
      <c r="AF363" s="1">
        <f ca="1">IFERROR(__xludf.DUMMYFUNCTION("""COMPUTED_VALUE"""),555)</f>
        <v>555</v>
      </c>
    </row>
    <row r="364" spans="1:32" ht="12.5" x14ac:dyDescent="0.25">
      <c r="A364" s="1" t="str">
        <f ca="1">IFERROR(__xludf.DUMMYFUNCTION("""COMPUTED_VALUE"""),"Western Carolina")</f>
        <v>Western Carolina</v>
      </c>
      <c r="B364" s="1">
        <f ca="1">IFERROR(__xludf.DUMMYFUNCTION("""COMPUTED_VALUE"""),35)</f>
        <v>35</v>
      </c>
      <c r="C364" s="1">
        <f ca="1">IFERROR(__xludf.DUMMYFUNCTION("""COMPUTED_VALUE"""),17)</f>
        <v>17</v>
      </c>
      <c r="D364" s="1">
        <f ca="1">IFERROR(__xludf.DUMMYFUNCTION("""COMPUTED_VALUE"""),18)</f>
        <v>18</v>
      </c>
      <c r="E364" s="1">
        <f ca="1">IFERROR(__xludf.DUMMYFUNCTION("""COMPUTED_VALUE"""),0.486)</f>
        <v>0.48599999999999999</v>
      </c>
      <c r="F364" s="1">
        <f ca="1">IFERROR(__xludf.DUMMYFUNCTION("""COMPUTED_VALUE"""),-6.57)</f>
        <v>-6.57</v>
      </c>
      <c r="G364" s="1">
        <f ca="1">IFERROR(__xludf.DUMMYFUNCTION("""COMPUTED_VALUE"""),-3.42)</f>
        <v>-3.42</v>
      </c>
      <c r="H364" s="1">
        <f ca="1">IFERROR(__xludf.DUMMYFUNCTION("""COMPUTED_VALUE"""),8)</f>
        <v>8</v>
      </c>
      <c r="I364" s="1">
        <f ca="1">IFERROR(__xludf.DUMMYFUNCTION("""COMPUTED_VALUE"""),10)</f>
        <v>10</v>
      </c>
      <c r="J364" s="1">
        <f ca="1">IFERROR(__xludf.DUMMYFUNCTION("""COMPUTED_VALUE"""),9)</f>
        <v>9</v>
      </c>
      <c r="K364" s="1">
        <f ca="1">IFERROR(__xludf.DUMMYFUNCTION("""COMPUTED_VALUE"""),4)</f>
        <v>4</v>
      </c>
      <c r="L364" s="1">
        <f ca="1">IFERROR(__xludf.DUMMYFUNCTION("""COMPUTED_VALUE"""),4)</f>
        <v>4</v>
      </c>
      <c r="M364" s="1">
        <f ca="1">IFERROR(__xludf.DUMMYFUNCTION("""COMPUTED_VALUE"""),12)</f>
        <v>12</v>
      </c>
      <c r="N364" s="1">
        <f ca="1">IFERROR(__xludf.DUMMYFUNCTION("""COMPUTED_VALUE"""),2503)</f>
        <v>2503</v>
      </c>
      <c r="O364" s="1">
        <f ca="1">IFERROR(__xludf.DUMMYFUNCTION("""COMPUTED_VALUE"""),2459)</f>
        <v>2459</v>
      </c>
      <c r="P364" s="1">
        <f ca="1">IFERROR(__xludf.DUMMYFUNCTION("""COMPUTED_VALUE"""),1420)</f>
        <v>1420</v>
      </c>
      <c r="Q364" s="1">
        <f ca="1">IFERROR(__xludf.DUMMYFUNCTION("""COMPUTED_VALUE"""),885)</f>
        <v>885</v>
      </c>
      <c r="R364" s="1">
        <f ca="1">IFERROR(__xludf.DUMMYFUNCTION("""COMPUTED_VALUE"""),2090)</f>
        <v>2090</v>
      </c>
      <c r="S364" s="1">
        <f ca="1">IFERROR(__xludf.DUMMYFUNCTION("""COMPUTED_VALUE"""),0.423)</f>
        <v>0.42299999999999999</v>
      </c>
      <c r="T364" s="1">
        <f ca="1">IFERROR(__xludf.DUMMYFUNCTION("""COMPUTED_VALUE"""),263)</f>
        <v>263</v>
      </c>
      <c r="U364" s="1">
        <f ca="1">IFERROR(__xludf.DUMMYFUNCTION("""COMPUTED_VALUE"""),748)</f>
        <v>748</v>
      </c>
      <c r="V364" s="1">
        <f ca="1">IFERROR(__xludf.DUMMYFUNCTION("""COMPUTED_VALUE"""),0.352)</f>
        <v>0.35199999999999998</v>
      </c>
      <c r="W364" s="1">
        <f ca="1">IFERROR(__xludf.DUMMYFUNCTION("""COMPUTED_VALUE"""),470)</f>
        <v>470</v>
      </c>
      <c r="X364" s="1">
        <f ca="1">IFERROR(__xludf.DUMMYFUNCTION("""COMPUTED_VALUE"""),681)</f>
        <v>681</v>
      </c>
      <c r="Y364" s="1">
        <f ca="1">IFERROR(__xludf.DUMMYFUNCTION("""COMPUTED_VALUE"""),0.69)</f>
        <v>0.69</v>
      </c>
      <c r="Z364" s="1">
        <f ca="1">IFERROR(__xludf.DUMMYFUNCTION("""COMPUTED_VALUE"""),460)</f>
        <v>460</v>
      </c>
      <c r="AA364" s="1">
        <f ca="1">IFERROR(__xludf.DUMMYFUNCTION("""COMPUTED_VALUE"""),1127)</f>
        <v>1127</v>
      </c>
      <c r="AB364" s="1">
        <f ca="1">IFERROR(__xludf.DUMMYFUNCTION("""COMPUTED_VALUE"""),380)</f>
        <v>380</v>
      </c>
      <c r="AC364" s="1">
        <f ca="1">IFERROR(__xludf.DUMMYFUNCTION("""COMPUTED_VALUE"""),284)</f>
        <v>284</v>
      </c>
      <c r="AD364" s="1">
        <f ca="1">IFERROR(__xludf.DUMMYFUNCTION("""COMPUTED_VALUE"""),107)</f>
        <v>107</v>
      </c>
      <c r="AE364" s="1">
        <f ca="1">IFERROR(__xludf.DUMMYFUNCTION("""COMPUTED_VALUE"""),459)</f>
        <v>459</v>
      </c>
      <c r="AF364" s="1">
        <f ca="1">IFERROR(__xludf.DUMMYFUNCTION("""COMPUTED_VALUE"""),667)</f>
        <v>667</v>
      </c>
    </row>
    <row r="365" spans="1:32" ht="12.5" x14ac:dyDescent="0.25">
      <c r="A365" s="1" t="str">
        <f ca="1">IFERROR(__xludf.DUMMYFUNCTION("""COMPUTED_VALUE"""),"Western Illinois")</f>
        <v>Western Illinois</v>
      </c>
      <c r="B365" s="1">
        <f ca="1">IFERROR(__xludf.DUMMYFUNCTION("""COMPUTED_VALUE"""),33)</f>
        <v>33</v>
      </c>
      <c r="C365" s="1">
        <f ca="1">IFERROR(__xludf.DUMMYFUNCTION("""COMPUTED_VALUE"""),18)</f>
        <v>18</v>
      </c>
      <c r="D365" s="1">
        <f ca="1">IFERROR(__xludf.DUMMYFUNCTION("""COMPUTED_VALUE"""),15)</f>
        <v>15</v>
      </c>
      <c r="E365" s="1">
        <f ca="1">IFERROR(__xludf.DUMMYFUNCTION("""COMPUTED_VALUE"""),0.545)</f>
        <v>0.54500000000000004</v>
      </c>
      <c r="F365" s="1">
        <f ca="1">IFERROR(__xludf.DUMMYFUNCTION("""COMPUTED_VALUE"""),-2.84)</f>
        <v>-2.84</v>
      </c>
      <c r="G365" s="1">
        <f ca="1">IFERROR(__xludf.DUMMYFUNCTION("""COMPUTED_VALUE"""),-1.39)</f>
        <v>-1.39</v>
      </c>
      <c r="H365" s="1">
        <f ca="1">IFERROR(__xludf.DUMMYFUNCTION("""COMPUTED_VALUE"""),9)</f>
        <v>9</v>
      </c>
      <c r="I365" s="1">
        <f ca="1">IFERROR(__xludf.DUMMYFUNCTION("""COMPUTED_VALUE"""),9)</f>
        <v>9</v>
      </c>
      <c r="J365" s="1">
        <f ca="1">IFERROR(__xludf.DUMMYFUNCTION("""COMPUTED_VALUE"""),10)</f>
        <v>10</v>
      </c>
      <c r="K365" s="1">
        <f ca="1">IFERROR(__xludf.DUMMYFUNCTION("""COMPUTED_VALUE"""),4)</f>
        <v>4</v>
      </c>
      <c r="L365" s="1">
        <f ca="1">IFERROR(__xludf.DUMMYFUNCTION("""COMPUTED_VALUE"""),6)</f>
        <v>6</v>
      </c>
      <c r="M365" s="1">
        <f ca="1">IFERROR(__xludf.DUMMYFUNCTION("""COMPUTED_VALUE"""),10)</f>
        <v>10</v>
      </c>
      <c r="N365" s="1">
        <f ca="1">IFERROR(__xludf.DUMMYFUNCTION("""COMPUTED_VALUE"""),2031)</f>
        <v>2031</v>
      </c>
      <c r="O365" s="1">
        <f ca="1">IFERROR(__xludf.DUMMYFUNCTION("""COMPUTED_VALUE"""),1985)</f>
        <v>1985</v>
      </c>
      <c r="P365" s="1">
        <f ca="1">IFERROR(__xludf.DUMMYFUNCTION("""COMPUTED_VALUE"""),1345)</f>
        <v>1345</v>
      </c>
      <c r="Q365" s="1">
        <f ca="1">IFERROR(__xludf.DUMMYFUNCTION("""COMPUTED_VALUE"""),744)</f>
        <v>744</v>
      </c>
      <c r="R365" s="1">
        <f ca="1">IFERROR(__xludf.DUMMYFUNCTION("""COMPUTED_VALUE"""),1626)</f>
        <v>1626</v>
      </c>
      <c r="S365" s="1">
        <f ca="1">IFERROR(__xludf.DUMMYFUNCTION("""COMPUTED_VALUE"""),0.458)</f>
        <v>0.45800000000000002</v>
      </c>
      <c r="T365" s="1">
        <f ca="1">IFERROR(__xludf.DUMMYFUNCTION("""COMPUTED_VALUE"""),174)</f>
        <v>174</v>
      </c>
      <c r="U365" s="1">
        <f ca="1">IFERROR(__xludf.DUMMYFUNCTION("""COMPUTED_VALUE"""),441)</f>
        <v>441</v>
      </c>
      <c r="V365" s="1">
        <f ca="1">IFERROR(__xludf.DUMMYFUNCTION("""COMPUTED_VALUE"""),0.395)</f>
        <v>0.39500000000000002</v>
      </c>
      <c r="W365" s="1">
        <f ca="1">IFERROR(__xludf.DUMMYFUNCTION("""COMPUTED_VALUE"""),369)</f>
        <v>369</v>
      </c>
      <c r="X365" s="1">
        <f ca="1">IFERROR(__xludf.DUMMYFUNCTION("""COMPUTED_VALUE"""),538)</f>
        <v>538</v>
      </c>
      <c r="Y365" s="1">
        <f ca="1">IFERROR(__xludf.DUMMYFUNCTION("""COMPUTED_VALUE"""),0.686)</f>
        <v>0.68600000000000005</v>
      </c>
      <c r="Z365" s="1">
        <f ca="1">IFERROR(__xludf.DUMMYFUNCTION("""COMPUTED_VALUE"""),245)</f>
        <v>245</v>
      </c>
      <c r="AA365" s="1">
        <f ca="1">IFERROR(__xludf.DUMMYFUNCTION("""COMPUTED_VALUE"""),854)</f>
        <v>854</v>
      </c>
      <c r="AB365" s="1">
        <f ca="1">IFERROR(__xludf.DUMMYFUNCTION("""COMPUTED_VALUE"""),422)</f>
        <v>422</v>
      </c>
      <c r="AC365" s="1">
        <f ca="1">IFERROR(__xludf.DUMMYFUNCTION("""COMPUTED_VALUE"""),200)</f>
        <v>200</v>
      </c>
      <c r="AD365" s="1">
        <f ca="1">IFERROR(__xludf.DUMMYFUNCTION("""COMPUTED_VALUE"""),90)</f>
        <v>90</v>
      </c>
      <c r="AE365" s="1">
        <f ca="1">IFERROR(__xludf.DUMMYFUNCTION("""COMPUTED_VALUE"""),375)</f>
        <v>375</v>
      </c>
      <c r="AF365" s="1">
        <f ca="1">IFERROR(__xludf.DUMMYFUNCTION("""COMPUTED_VALUE"""),496)</f>
        <v>496</v>
      </c>
    </row>
    <row r="366" spans="1:32" ht="12.5" x14ac:dyDescent="0.25">
      <c r="A366" s="1" t="str">
        <f ca="1">IFERROR(__xludf.DUMMYFUNCTION("""COMPUTED_VALUE"""),"Western KentuckyNCAA")</f>
        <v>Western KentuckyNCAA</v>
      </c>
      <c r="B366" s="1">
        <f ca="1">IFERROR(__xludf.DUMMYFUNCTION("""COMPUTED_VALUE"""),35)</f>
        <v>35</v>
      </c>
      <c r="C366" s="1">
        <f ca="1">IFERROR(__xludf.DUMMYFUNCTION("""COMPUTED_VALUE"""),16)</f>
        <v>16</v>
      </c>
      <c r="D366" s="1">
        <f ca="1">IFERROR(__xludf.DUMMYFUNCTION("""COMPUTED_VALUE"""),19)</f>
        <v>19</v>
      </c>
      <c r="E366" s="1">
        <f ca="1">IFERROR(__xludf.DUMMYFUNCTION("""COMPUTED_VALUE"""),0.457)</f>
        <v>0.45700000000000002</v>
      </c>
      <c r="F366" s="1">
        <f ca="1">IFERROR(__xludf.DUMMYFUNCTION("""COMPUTED_VALUE"""),-2.66)</f>
        <v>-2.66</v>
      </c>
      <c r="G366" s="1">
        <f ca="1">IFERROR(__xludf.DUMMYFUNCTION("""COMPUTED_VALUE"""),0.51)</f>
        <v>0.51</v>
      </c>
      <c r="H366" s="1">
        <f ca="1">IFERROR(__xludf.DUMMYFUNCTION("""COMPUTED_VALUE"""),7)</f>
        <v>7</v>
      </c>
      <c r="I366" s="1">
        <f ca="1">IFERROR(__xludf.DUMMYFUNCTION("""COMPUTED_VALUE"""),9)</f>
        <v>9</v>
      </c>
      <c r="J366" s="1">
        <f ca="1">IFERROR(__xludf.DUMMYFUNCTION("""COMPUTED_VALUE"""),8)</f>
        <v>8</v>
      </c>
      <c r="K366" s="1">
        <f ca="1">IFERROR(__xludf.DUMMYFUNCTION("""COMPUTED_VALUE"""),7)</f>
        <v>7</v>
      </c>
      <c r="L366" s="1">
        <f ca="1">IFERROR(__xludf.DUMMYFUNCTION("""COMPUTED_VALUE"""),3)</f>
        <v>3</v>
      </c>
      <c r="M366" s="1">
        <f ca="1">IFERROR(__xludf.DUMMYFUNCTION("""COMPUTED_VALUE"""),8)</f>
        <v>8</v>
      </c>
      <c r="N366" s="1">
        <f ca="1">IFERROR(__xludf.DUMMYFUNCTION("""COMPUTED_VALUE"""),2272)</f>
        <v>2272</v>
      </c>
      <c r="O366" s="1">
        <f ca="1">IFERROR(__xludf.DUMMYFUNCTION("""COMPUTED_VALUE"""),2383)</f>
        <v>2383</v>
      </c>
      <c r="P366" s="1">
        <f ca="1">IFERROR(__xludf.DUMMYFUNCTION("""COMPUTED_VALUE"""),1410)</f>
        <v>1410</v>
      </c>
      <c r="Q366" s="1">
        <f ca="1">IFERROR(__xludf.DUMMYFUNCTION("""COMPUTED_VALUE"""),769)</f>
        <v>769</v>
      </c>
      <c r="R366" s="1">
        <f ca="1">IFERROR(__xludf.DUMMYFUNCTION("""COMPUTED_VALUE"""),1952)</f>
        <v>1952</v>
      </c>
      <c r="S366" s="1">
        <f ca="1">IFERROR(__xludf.DUMMYFUNCTION("""COMPUTED_VALUE"""),0.394)</f>
        <v>0.39400000000000002</v>
      </c>
      <c r="T366" s="1">
        <f ca="1">IFERROR(__xludf.DUMMYFUNCTION("""COMPUTED_VALUE"""),195)</f>
        <v>195</v>
      </c>
      <c r="U366" s="1">
        <f ca="1">IFERROR(__xludf.DUMMYFUNCTION("""COMPUTED_VALUE"""),638)</f>
        <v>638</v>
      </c>
      <c r="V366" s="1">
        <f ca="1">IFERROR(__xludf.DUMMYFUNCTION("""COMPUTED_VALUE"""),0.306)</f>
        <v>0.30599999999999999</v>
      </c>
      <c r="W366" s="1">
        <f ca="1">IFERROR(__xludf.DUMMYFUNCTION("""COMPUTED_VALUE"""),539)</f>
        <v>539</v>
      </c>
      <c r="X366" s="1">
        <f ca="1">IFERROR(__xludf.DUMMYFUNCTION("""COMPUTED_VALUE"""),785)</f>
        <v>785</v>
      </c>
      <c r="Y366" s="1">
        <f ca="1">IFERROR(__xludf.DUMMYFUNCTION("""COMPUTED_VALUE"""),0.687)</f>
        <v>0.68700000000000006</v>
      </c>
      <c r="Z366" s="1">
        <f ca="1">IFERROR(__xludf.DUMMYFUNCTION("""COMPUTED_VALUE"""),449)</f>
        <v>449</v>
      </c>
      <c r="AA366" s="1">
        <f ca="1">IFERROR(__xludf.DUMMYFUNCTION("""COMPUTED_VALUE"""),1173)</f>
        <v>1173</v>
      </c>
      <c r="AB366" s="1">
        <f ca="1">IFERROR(__xludf.DUMMYFUNCTION("""COMPUTED_VALUE"""),385)</f>
        <v>385</v>
      </c>
      <c r="AC366" s="1">
        <f ca="1">IFERROR(__xludf.DUMMYFUNCTION("""COMPUTED_VALUE"""),195)</f>
        <v>195</v>
      </c>
      <c r="AD366" s="1">
        <f ca="1">IFERROR(__xludf.DUMMYFUNCTION("""COMPUTED_VALUE"""),146)</f>
        <v>146</v>
      </c>
      <c r="AE366" s="1">
        <f ca="1">IFERROR(__xludf.DUMMYFUNCTION("""COMPUTED_VALUE"""),534)</f>
        <v>534</v>
      </c>
      <c r="AF366" s="1">
        <f ca="1">IFERROR(__xludf.DUMMYFUNCTION("""COMPUTED_VALUE"""),691)</f>
        <v>691</v>
      </c>
    </row>
    <row r="367" spans="1:32" ht="12.5" x14ac:dyDescent="0.25">
      <c r="A367" s="1" t="str">
        <f ca="1">IFERROR(__xludf.DUMMYFUNCTION("""COMPUTED_VALUE"""),"Western Michigan")</f>
        <v>Western Michigan</v>
      </c>
      <c r="B367" s="1">
        <f ca="1">IFERROR(__xludf.DUMMYFUNCTION("""COMPUTED_VALUE"""),34)</f>
        <v>34</v>
      </c>
      <c r="C367" s="1">
        <f ca="1">IFERROR(__xludf.DUMMYFUNCTION("""COMPUTED_VALUE"""),14)</f>
        <v>14</v>
      </c>
      <c r="D367" s="1">
        <f ca="1">IFERROR(__xludf.DUMMYFUNCTION("""COMPUTED_VALUE"""),20)</f>
        <v>20</v>
      </c>
      <c r="E367" s="1">
        <f ca="1">IFERROR(__xludf.DUMMYFUNCTION("""COMPUTED_VALUE"""),0.412)</f>
        <v>0.41199999999999998</v>
      </c>
      <c r="F367" s="1">
        <f ca="1">IFERROR(__xludf.DUMMYFUNCTION("""COMPUTED_VALUE"""),-1.8)</f>
        <v>-1.8</v>
      </c>
      <c r="G367" s="1">
        <f ca="1">IFERROR(__xludf.DUMMYFUNCTION("""COMPUTED_VALUE"""),0.17)</f>
        <v>0.17</v>
      </c>
      <c r="H367" s="1">
        <f ca="1">IFERROR(__xludf.DUMMYFUNCTION("""COMPUTED_VALUE"""),6)</f>
        <v>6</v>
      </c>
      <c r="I367" s="1">
        <f ca="1">IFERROR(__xludf.DUMMYFUNCTION("""COMPUTED_VALUE"""),10)</f>
        <v>10</v>
      </c>
      <c r="J367" s="1">
        <f ca="1">IFERROR(__xludf.DUMMYFUNCTION("""COMPUTED_VALUE"""),11)</f>
        <v>11</v>
      </c>
      <c r="K367" s="1">
        <f ca="1">IFERROR(__xludf.DUMMYFUNCTION("""COMPUTED_VALUE"""),3)</f>
        <v>3</v>
      </c>
      <c r="L367" s="1">
        <f ca="1">IFERROR(__xludf.DUMMYFUNCTION("""COMPUTED_VALUE"""),2)</f>
        <v>2</v>
      </c>
      <c r="M367" s="1">
        <f ca="1">IFERROR(__xludf.DUMMYFUNCTION("""COMPUTED_VALUE"""),12)</f>
        <v>12</v>
      </c>
      <c r="N367" s="1">
        <f ca="1">IFERROR(__xludf.DUMMYFUNCTION("""COMPUTED_VALUE"""),2332)</f>
        <v>2332</v>
      </c>
      <c r="O367" s="1">
        <f ca="1">IFERROR(__xludf.DUMMYFUNCTION("""COMPUTED_VALUE"""),2375)</f>
        <v>2375</v>
      </c>
      <c r="P367" s="1">
        <f ca="1">IFERROR(__xludf.DUMMYFUNCTION("""COMPUTED_VALUE"""),1375)</f>
        <v>1375</v>
      </c>
      <c r="Q367" s="1">
        <f ca="1">IFERROR(__xludf.DUMMYFUNCTION("""COMPUTED_VALUE"""),801)</f>
        <v>801</v>
      </c>
      <c r="R367" s="1">
        <f ca="1">IFERROR(__xludf.DUMMYFUNCTION("""COMPUTED_VALUE"""),1841)</f>
        <v>1841</v>
      </c>
      <c r="S367" s="1">
        <f ca="1">IFERROR(__xludf.DUMMYFUNCTION("""COMPUTED_VALUE"""),0.435)</f>
        <v>0.435</v>
      </c>
      <c r="T367" s="1">
        <f ca="1">IFERROR(__xludf.DUMMYFUNCTION("""COMPUTED_VALUE"""),205)</f>
        <v>205</v>
      </c>
      <c r="U367" s="1">
        <f ca="1">IFERROR(__xludf.DUMMYFUNCTION("""COMPUTED_VALUE"""),606)</f>
        <v>606</v>
      </c>
      <c r="V367" s="1">
        <f ca="1">IFERROR(__xludf.DUMMYFUNCTION("""COMPUTED_VALUE"""),0.338)</f>
        <v>0.33800000000000002</v>
      </c>
      <c r="W367" s="1">
        <f ca="1">IFERROR(__xludf.DUMMYFUNCTION("""COMPUTED_VALUE"""),525)</f>
        <v>525</v>
      </c>
      <c r="X367" s="1">
        <f ca="1">IFERROR(__xludf.DUMMYFUNCTION("""COMPUTED_VALUE"""),741)</f>
        <v>741</v>
      </c>
      <c r="Y367" s="1">
        <f ca="1">IFERROR(__xludf.DUMMYFUNCTION("""COMPUTED_VALUE"""),0.709)</f>
        <v>0.70899999999999996</v>
      </c>
      <c r="Z367" s="1">
        <f ca="1">IFERROR(__xludf.DUMMYFUNCTION("""COMPUTED_VALUE"""),423)</f>
        <v>423</v>
      </c>
      <c r="AA367" s="1">
        <f ca="1">IFERROR(__xludf.DUMMYFUNCTION("""COMPUTED_VALUE"""),1183)</f>
        <v>1183</v>
      </c>
      <c r="AB367" s="1">
        <f ca="1">IFERROR(__xludf.DUMMYFUNCTION("""COMPUTED_VALUE"""),449)</f>
        <v>449</v>
      </c>
      <c r="AC367" s="1">
        <f ca="1">IFERROR(__xludf.DUMMYFUNCTION("""COMPUTED_VALUE"""),159)</f>
        <v>159</v>
      </c>
      <c r="AD367" s="1">
        <f ca="1">IFERROR(__xludf.DUMMYFUNCTION("""COMPUTED_VALUE"""),104)</f>
        <v>104</v>
      </c>
      <c r="AE367" s="1">
        <f ca="1">IFERROR(__xludf.DUMMYFUNCTION("""COMPUTED_VALUE"""),495)</f>
        <v>495</v>
      </c>
      <c r="AF367" s="1">
        <f ca="1">IFERROR(__xludf.DUMMYFUNCTION("""COMPUTED_VALUE"""),644)</f>
        <v>644</v>
      </c>
    </row>
    <row r="368" spans="1:32" ht="12.5" x14ac:dyDescent="0.25">
      <c r="A368" s="1" t="str">
        <f ca="1">IFERROR(__xludf.DUMMYFUNCTION("""COMPUTED_VALUE"""),"Wichita StateNCAA")</f>
        <v>Wichita StateNCAA</v>
      </c>
      <c r="B368" s="1">
        <f ca="1">IFERROR(__xludf.DUMMYFUNCTION("""COMPUTED_VALUE"""),33)</f>
        <v>33</v>
      </c>
      <c r="C368" s="1">
        <f ca="1">IFERROR(__xludf.DUMMYFUNCTION("""COMPUTED_VALUE"""),27)</f>
        <v>27</v>
      </c>
      <c r="D368" s="1">
        <f ca="1">IFERROR(__xludf.DUMMYFUNCTION("""COMPUTED_VALUE"""),6)</f>
        <v>6</v>
      </c>
      <c r="E368" s="1">
        <f ca="1">IFERROR(__xludf.DUMMYFUNCTION("""COMPUTED_VALUE"""),0.818)</f>
        <v>0.81799999999999995</v>
      </c>
      <c r="F368" s="1">
        <f ca="1">IFERROR(__xludf.DUMMYFUNCTION("""COMPUTED_VALUE"""),17.42)</f>
        <v>17.420000000000002</v>
      </c>
      <c r="G368" s="1">
        <f ca="1">IFERROR(__xludf.DUMMYFUNCTION("""COMPUTED_VALUE"""),3.8)</f>
        <v>3.8</v>
      </c>
      <c r="H368" s="1">
        <f ca="1">IFERROR(__xludf.DUMMYFUNCTION("""COMPUTED_VALUE"""),16)</f>
        <v>16</v>
      </c>
      <c r="I368" s="1">
        <f ca="1">IFERROR(__xludf.DUMMYFUNCTION("""COMPUTED_VALUE"""),2)</f>
        <v>2</v>
      </c>
      <c r="J368" s="1">
        <f ca="1">IFERROR(__xludf.DUMMYFUNCTION("""COMPUTED_VALUE"""),14)</f>
        <v>14</v>
      </c>
      <c r="K368" s="1">
        <f ca="1">IFERROR(__xludf.DUMMYFUNCTION("""COMPUTED_VALUE"""),1)</f>
        <v>1</v>
      </c>
      <c r="L368" s="1">
        <f ca="1">IFERROR(__xludf.DUMMYFUNCTION("""COMPUTED_VALUE"""),10)</f>
        <v>10</v>
      </c>
      <c r="M368" s="1">
        <f ca="1">IFERROR(__xludf.DUMMYFUNCTION("""COMPUTED_VALUE"""),1)</f>
        <v>1</v>
      </c>
      <c r="N368" s="1">
        <f ca="1">IFERROR(__xludf.DUMMYFUNCTION("""COMPUTED_VALUE"""),2545)</f>
        <v>2545</v>
      </c>
      <c r="O368" s="1">
        <f ca="1">IFERROR(__xludf.DUMMYFUNCTION("""COMPUTED_VALUE"""),2060)</f>
        <v>2060</v>
      </c>
      <c r="P368" s="1">
        <f ca="1">IFERROR(__xludf.DUMMYFUNCTION("""COMPUTED_VALUE"""),1340)</f>
        <v>1340</v>
      </c>
      <c r="Q368" s="1">
        <f ca="1">IFERROR(__xludf.DUMMYFUNCTION("""COMPUTED_VALUE"""),912)</f>
        <v>912</v>
      </c>
      <c r="R368" s="1">
        <f ca="1">IFERROR(__xludf.DUMMYFUNCTION("""COMPUTED_VALUE"""),1892)</f>
        <v>1892</v>
      </c>
      <c r="S368" s="1">
        <f ca="1">IFERROR(__xludf.DUMMYFUNCTION("""COMPUTED_VALUE"""),0.482)</f>
        <v>0.48199999999999998</v>
      </c>
      <c r="T368" s="1">
        <f ca="1">IFERROR(__xludf.DUMMYFUNCTION("""COMPUTED_VALUE"""),230)</f>
        <v>230</v>
      </c>
      <c r="U368" s="1">
        <f ca="1">IFERROR(__xludf.DUMMYFUNCTION("""COMPUTED_VALUE"""),620)</f>
        <v>620</v>
      </c>
      <c r="V368" s="1">
        <f ca="1">IFERROR(__xludf.DUMMYFUNCTION("""COMPUTED_VALUE"""),0.371)</f>
        <v>0.371</v>
      </c>
      <c r="W368" s="1">
        <f ca="1">IFERROR(__xludf.DUMMYFUNCTION("""COMPUTED_VALUE"""),491)</f>
        <v>491</v>
      </c>
      <c r="X368" s="1">
        <f ca="1">IFERROR(__xludf.DUMMYFUNCTION("""COMPUTED_VALUE"""),656)</f>
        <v>656</v>
      </c>
      <c r="Y368" s="1">
        <f ca="1">IFERROR(__xludf.DUMMYFUNCTION("""COMPUTED_VALUE"""),0.748)</f>
        <v>0.748</v>
      </c>
      <c r="Z368" s="1">
        <f ca="1">IFERROR(__xludf.DUMMYFUNCTION("""COMPUTED_VALUE"""),359)</f>
        <v>359</v>
      </c>
      <c r="AA368" s="1">
        <f ca="1">IFERROR(__xludf.DUMMYFUNCTION("""COMPUTED_VALUE"""),1157)</f>
        <v>1157</v>
      </c>
      <c r="AB368" s="1">
        <f ca="1">IFERROR(__xludf.DUMMYFUNCTION("""COMPUTED_VALUE"""),485)</f>
        <v>485</v>
      </c>
      <c r="AC368" s="1">
        <f ca="1">IFERROR(__xludf.DUMMYFUNCTION("""COMPUTED_VALUE"""),209)</f>
        <v>209</v>
      </c>
      <c r="AD368" s="1">
        <f ca="1">IFERROR(__xludf.DUMMYFUNCTION("""COMPUTED_VALUE"""),130)</f>
        <v>130</v>
      </c>
      <c r="AE368" s="1">
        <f ca="1">IFERROR(__xludf.DUMMYFUNCTION("""COMPUTED_VALUE"""),403)</f>
        <v>403</v>
      </c>
      <c r="AF368" s="1">
        <f ca="1">IFERROR(__xludf.DUMMYFUNCTION("""COMPUTED_VALUE"""),553)</f>
        <v>553</v>
      </c>
    </row>
    <row r="369" spans="1:32" ht="12.5" x14ac:dyDescent="0.25">
      <c r="A369" s="1" t="str">
        <f ca="1">IFERROR(__xludf.DUMMYFUNCTION("""COMPUTED_VALUE"""),"William &amp; Mary")</f>
        <v>William &amp; Mary</v>
      </c>
      <c r="B369" s="1">
        <f ca="1">IFERROR(__xludf.DUMMYFUNCTION("""COMPUTED_VALUE"""),32)</f>
        <v>32</v>
      </c>
      <c r="C369" s="1">
        <f ca="1">IFERROR(__xludf.DUMMYFUNCTION("""COMPUTED_VALUE"""),6)</f>
        <v>6</v>
      </c>
      <c r="D369" s="1">
        <f ca="1">IFERROR(__xludf.DUMMYFUNCTION("""COMPUTED_VALUE"""),26)</f>
        <v>26</v>
      </c>
      <c r="E369" s="1">
        <f ca="1">IFERROR(__xludf.DUMMYFUNCTION("""COMPUTED_VALUE"""),0.188)</f>
        <v>0.188</v>
      </c>
      <c r="F369" s="1">
        <f ca="1">IFERROR(__xludf.DUMMYFUNCTION("""COMPUTED_VALUE"""),-10.79)</f>
        <v>-10.79</v>
      </c>
      <c r="G369" s="1">
        <f ca="1">IFERROR(__xludf.DUMMYFUNCTION("""COMPUTED_VALUE"""),-0.72)</f>
        <v>-0.72</v>
      </c>
      <c r="H369" s="1">
        <f ca="1">IFERROR(__xludf.DUMMYFUNCTION("""COMPUTED_VALUE"""),4)</f>
        <v>4</v>
      </c>
      <c r="I369" s="1">
        <f ca="1">IFERROR(__xludf.DUMMYFUNCTION("""COMPUTED_VALUE"""),14)</f>
        <v>14</v>
      </c>
      <c r="J369" s="1">
        <f ca="1">IFERROR(__xludf.DUMMYFUNCTION("""COMPUTED_VALUE"""),4)</f>
        <v>4</v>
      </c>
      <c r="K369" s="1">
        <f ca="1">IFERROR(__xludf.DUMMYFUNCTION("""COMPUTED_VALUE"""),9)</f>
        <v>9</v>
      </c>
      <c r="L369" s="1">
        <f ca="1">IFERROR(__xludf.DUMMYFUNCTION("""COMPUTED_VALUE"""),2)</f>
        <v>2</v>
      </c>
      <c r="M369" s="1">
        <f ca="1">IFERROR(__xludf.DUMMYFUNCTION("""COMPUTED_VALUE"""),14)</f>
        <v>14</v>
      </c>
      <c r="N369" s="1">
        <f ca="1">IFERROR(__xludf.DUMMYFUNCTION("""COMPUTED_VALUE"""),1931)</f>
        <v>1931</v>
      </c>
      <c r="O369" s="1">
        <f ca="1">IFERROR(__xludf.DUMMYFUNCTION("""COMPUTED_VALUE"""),2220)</f>
        <v>2220</v>
      </c>
      <c r="P369" s="1">
        <f ca="1">IFERROR(__xludf.DUMMYFUNCTION("""COMPUTED_VALUE"""),1285)</f>
        <v>1285</v>
      </c>
      <c r="Q369" s="1">
        <f ca="1">IFERROR(__xludf.DUMMYFUNCTION("""COMPUTED_VALUE"""),662)</f>
        <v>662</v>
      </c>
      <c r="R369" s="1">
        <f ca="1">IFERROR(__xludf.DUMMYFUNCTION("""COMPUTED_VALUE"""),1632)</f>
        <v>1632</v>
      </c>
      <c r="S369" s="1">
        <f ca="1">IFERROR(__xludf.DUMMYFUNCTION("""COMPUTED_VALUE"""),0.406)</f>
        <v>0.40600000000000003</v>
      </c>
      <c r="T369" s="1">
        <f ca="1">IFERROR(__xludf.DUMMYFUNCTION("""COMPUTED_VALUE"""),218)</f>
        <v>218</v>
      </c>
      <c r="U369" s="1">
        <f ca="1">IFERROR(__xludf.DUMMYFUNCTION("""COMPUTED_VALUE"""),679)</f>
        <v>679</v>
      </c>
      <c r="V369" s="1">
        <f ca="1">IFERROR(__xludf.DUMMYFUNCTION("""COMPUTED_VALUE"""),0.321)</f>
        <v>0.32100000000000001</v>
      </c>
      <c r="W369" s="1">
        <f ca="1">IFERROR(__xludf.DUMMYFUNCTION("""COMPUTED_VALUE"""),389)</f>
        <v>389</v>
      </c>
      <c r="X369" s="1">
        <f ca="1">IFERROR(__xludf.DUMMYFUNCTION("""COMPUTED_VALUE"""),547)</f>
        <v>547</v>
      </c>
      <c r="Y369" s="1">
        <f ca="1">IFERROR(__xludf.DUMMYFUNCTION("""COMPUTED_VALUE"""),0.711)</f>
        <v>0.71099999999999997</v>
      </c>
      <c r="Z369" s="1">
        <f ca="1">IFERROR(__xludf.DUMMYFUNCTION("""COMPUTED_VALUE"""),262)</f>
        <v>262</v>
      </c>
      <c r="AA369" s="1">
        <f ca="1">IFERROR(__xludf.DUMMYFUNCTION("""COMPUTED_VALUE"""),890)</f>
        <v>890</v>
      </c>
      <c r="AB369" s="1">
        <f ca="1">IFERROR(__xludf.DUMMYFUNCTION("""COMPUTED_VALUE"""),343)</f>
        <v>343</v>
      </c>
      <c r="AC369" s="1">
        <f ca="1">IFERROR(__xludf.DUMMYFUNCTION("""COMPUTED_VALUE"""),154)</f>
        <v>154</v>
      </c>
      <c r="AD369" s="1">
        <f ca="1">IFERROR(__xludf.DUMMYFUNCTION("""COMPUTED_VALUE"""),67)</f>
        <v>67</v>
      </c>
      <c r="AE369" s="1">
        <f ca="1">IFERROR(__xludf.DUMMYFUNCTION("""COMPUTED_VALUE"""),411)</f>
        <v>411</v>
      </c>
      <c r="AF369" s="1">
        <f ca="1">IFERROR(__xludf.DUMMYFUNCTION("""COMPUTED_VALUE"""),545)</f>
        <v>545</v>
      </c>
    </row>
    <row r="370" spans="1:32" ht="12.5" x14ac:dyDescent="0.25">
      <c r="A370" s="1" t="str">
        <f ca="1">IFERROR(__xludf.DUMMYFUNCTION("""COMPUTED_VALUE"""),"Winthrop")</f>
        <v>Winthrop</v>
      </c>
      <c r="B370" s="1">
        <f ca="1">IFERROR(__xludf.DUMMYFUNCTION("""COMPUTED_VALUE"""),32)</f>
        <v>32</v>
      </c>
      <c r="C370" s="1">
        <f ca="1">IFERROR(__xludf.DUMMYFUNCTION("""COMPUTED_VALUE"""),12)</f>
        <v>12</v>
      </c>
      <c r="D370" s="1">
        <f ca="1">IFERROR(__xludf.DUMMYFUNCTION("""COMPUTED_VALUE"""),20)</f>
        <v>20</v>
      </c>
      <c r="E370" s="1">
        <f ca="1">IFERROR(__xludf.DUMMYFUNCTION("""COMPUTED_VALUE"""),0.375)</f>
        <v>0.375</v>
      </c>
      <c r="F370" s="1">
        <f ca="1">IFERROR(__xludf.DUMMYFUNCTION("""COMPUTED_VALUE"""),-7.64)</f>
        <v>-7.64</v>
      </c>
      <c r="G370" s="1">
        <f ca="1">IFERROR(__xludf.DUMMYFUNCTION("""COMPUTED_VALUE"""),-3.47)</f>
        <v>-3.47</v>
      </c>
      <c r="H370" s="1">
        <f ca="1">IFERROR(__xludf.DUMMYFUNCTION("""COMPUTED_VALUE"""),8)</f>
        <v>8</v>
      </c>
      <c r="I370" s="1">
        <f ca="1">IFERROR(__xludf.DUMMYFUNCTION("""COMPUTED_VALUE"""),10)</f>
        <v>10</v>
      </c>
      <c r="J370" s="1">
        <f ca="1">IFERROR(__xludf.DUMMYFUNCTION("""COMPUTED_VALUE"""),7)</f>
        <v>7</v>
      </c>
      <c r="K370" s="1">
        <f ca="1">IFERROR(__xludf.DUMMYFUNCTION("""COMPUTED_VALUE"""),5)</f>
        <v>5</v>
      </c>
      <c r="L370" s="1">
        <f ca="1">IFERROR(__xludf.DUMMYFUNCTION("""COMPUTED_VALUE"""),4)</f>
        <v>4</v>
      </c>
      <c r="M370" s="1">
        <f ca="1">IFERROR(__xludf.DUMMYFUNCTION("""COMPUTED_VALUE"""),11)</f>
        <v>11</v>
      </c>
      <c r="N370" s="1">
        <f ca="1">IFERROR(__xludf.DUMMYFUNCTION("""COMPUTED_VALUE"""),2035)</f>
        <v>2035</v>
      </c>
      <c r="O370" s="1">
        <f ca="1">IFERROR(__xludf.DUMMYFUNCTION("""COMPUTED_VALUE"""),2112)</f>
        <v>2112</v>
      </c>
      <c r="P370" s="1">
        <f ca="1">IFERROR(__xludf.DUMMYFUNCTION("""COMPUTED_VALUE"""),1295)</f>
        <v>1295</v>
      </c>
      <c r="Q370" s="1">
        <f ca="1">IFERROR(__xludf.DUMMYFUNCTION("""COMPUTED_VALUE"""),754)</f>
        <v>754</v>
      </c>
      <c r="R370" s="1">
        <f ca="1">IFERROR(__xludf.DUMMYFUNCTION("""COMPUTED_VALUE"""),1793)</f>
        <v>1793</v>
      </c>
      <c r="S370" s="1">
        <f ca="1">IFERROR(__xludf.DUMMYFUNCTION("""COMPUTED_VALUE"""),0.421)</f>
        <v>0.42099999999999999</v>
      </c>
      <c r="T370" s="1">
        <f ca="1">IFERROR(__xludf.DUMMYFUNCTION("""COMPUTED_VALUE"""),157)</f>
        <v>157</v>
      </c>
      <c r="U370" s="1">
        <f ca="1">IFERROR(__xludf.DUMMYFUNCTION("""COMPUTED_VALUE"""),506)</f>
        <v>506</v>
      </c>
      <c r="V370" s="1">
        <f ca="1">IFERROR(__xludf.DUMMYFUNCTION("""COMPUTED_VALUE"""),0.31)</f>
        <v>0.31</v>
      </c>
      <c r="W370" s="1">
        <f ca="1">IFERROR(__xludf.DUMMYFUNCTION("""COMPUTED_VALUE"""),370)</f>
        <v>370</v>
      </c>
      <c r="X370" s="1">
        <f ca="1">IFERROR(__xludf.DUMMYFUNCTION("""COMPUTED_VALUE"""),564)</f>
        <v>564</v>
      </c>
      <c r="Y370" s="1">
        <f ca="1">IFERROR(__xludf.DUMMYFUNCTION("""COMPUTED_VALUE"""),0.656)</f>
        <v>0.65600000000000003</v>
      </c>
      <c r="Z370" s="1">
        <f ca="1">IFERROR(__xludf.DUMMYFUNCTION("""COMPUTED_VALUE"""),373)</f>
        <v>373</v>
      </c>
      <c r="AA370" s="1">
        <f ca="1">IFERROR(__xludf.DUMMYFUNCTION("""COMPUTED_VALUE"""),976)</f>
        <v>976</v>
      </c>
      <c r="AB370" s="1">
        <f ca="1">IFERROR(__xludf.DUMMYFUNCTION("""COMPUTED_VALUE"""),349)</f>
        <v>349</v>
      </c>
      <c r="AC370" s="1">
        <f ca="1">IFERROR(__xludf.DUMMYFUNCTION("""COMPUTED_VALUE"""),217)</f>
        <v>217</v>
      </c>
      <c r="AD370" s="1">
        <f ca="1">IFERROR(__xludf.DUMMYFUNCTION("""COMPUTED_VALUE"""),104)</f>
        <v>104</v>
      </c>
      <c r="AE370" s="1">
        <f ca="1">IFERROR(__xludf.DUMMYFUNCTION("""COMPUTED_VALUE"""),393)</f>
        <v>393</v>
      </c>
      <c r="AF370" s="1">
        <f ca="1">IFERROR(__xludf.DUMMYFUNCTION("""COMPUTED_VALUE"""),594)</f>
        <v>594</v>
      </c>
    </row>
    <row r="371" spans="1:32" ht="12.5" x14ac:dyDescent="0.25">
      <c r="A371" s="1" t="str">
        <f ca="1">IFERROR(__xludf.DUMMYFUNCTION("""COMPUTED_VALUE"""),"WisconsinNCAA")</f>
        <v>WisconsinNCAA</v>
      </c>
      <c r="B371" s="1">
        <f ca="1">IFERROR(__xludf.DUMMYFUNCTION("""COMPUTED_VALUE"""),36)</f>
        <v>36</v>
      </c>
      <c r="C371" s="1">
        <f ca="1">IFERROR(__xludf.DUMMYFUNCTION("""COMPUTED_VALUE"""),26)</f>
        <v>26</v>
      </c>
      <c r="D371" s="1">
        <f ca="1">IFERROR(__xludf.DUMMYFUNCTION("""COMPUTED_VALUE"""),10)</f>
        <v>10</v>
      </c>
      <c r="E371" s="1">
        <f ca="1">IFERROR(__xludf.DUMMYFUNCTION("""COMPUTED_VALUE"""),0.722)</f>
        <v>0.72199999999999998</v>
      </c>
      <c r="F371" s="1">
        <f ca="1">IFERROR(__xludf.DUMMYFUNCTION("""COMPUTED_VALUE"""),19.04)</f>
        <v>19.04</v>
      </c>
      <c r="G371" s="1">
        <f ca="1">IFERROR(__xludf.DUMMYFUNCTION("""COMPUTED_VALUE"""),8.24)</f>
        <v>8.24</v>
      </c>
      <c r="H371" s="1">
        <f ca="1">IFERROR(__xludf.DUMMYFUNCTION("""COMPUTED_VALUE"""),12)</f>
        <v>12</v>
      </c>
      <c r="I371" s="1">
        <f ca="1">IFERROR(__xludf.DUMMYFUNCTION("""COMPUTED_VALUE"""),6)</f>
        <v>6</v>
      </c>
      <c r="J371" s="1">
        <f ca="1">IFERROR(__xludf.DUMMYFUNCTION("""COMPUTED_VALUE"""),14)</f>
        <v>14</v>
      </c>
      <c r="K371" s="1">
        <f ca="1">IFERROR(__xludf.DUMMYFUNCTION("""COMPUTED_VALUE"""),4)</f>
        <v>4</v>
      </c>
      <c r="L371" s="1">
        <f ca="1">IFERROR(__xludf.DUMMYFUNCTION("""COMPUTED_VALUE"""),7)</f>
        <v>7</v>
      </c>
      <c r="M371" s="1">
        <f ca="1">IFERROR(__xludf.DUMMYFUNCTION("""COMPUTED_VALUE"""),4)</f>
        <v>4</v>
      </c>
      <c r="N371" s="1">
        <f ca="1">IFERROR(__xludf.DUMMYFUNCTION("""COMPUTED_VALUE"""),2304)</f>
        <v>2304</v>
      </c>
      <c r="O371" s="1">
        <f ca="1">IFERROR(__xludf.DUMMYFUNCTION("""COMPUTED_VALUE"""),1915)</f>
        <v>1915</v>
      </c>
      <c r="P371" s="1">
        <f ca="1">IFERROR(__xludf.DUMMYFUNCTION("""COMPUTED_VALUE"""),1450)</f>
        <v>1450</v>
      </c>
      <c r="Q371" s="1">
        <f ca="1">IFERROR(__xludf.DUMMYFUNCTION("""COMPUTED_VALUE"""),797)</f>
        <v>797</v>
      </c>
      <c r="R371" s="1">
        <f ca="1">IFERROR(__xludf.DUMMYFUNCTION("""COMPUTED_VALUE"""),1875)</f>
        <v>1875</v>
      </c>
      <c r="S371" s="1">
        <f ca="1">IFERROR(__xludf.DUMMYFUNCTION("""COMPUTED_VALUE"""),0.425)</f>
        <v>0.42499999999999999</v>
      </c>
      <c r="T371" s="1">
        <f ca="1">IFERROR(__xludf.DUMMYFUNCTION("""COMPUTED_VALUE"""),285)</f>
        <v>285</v>
      </c>
      <c r="U371" s="1">
        <f ca="1">IFERROR(__xludf.DUMMYFUNCTION("""COMPUTED_VALUE"""),775)</f>
        <v>775</v>
      </c>
      <c r="V371" s="1">
        <f ca="1">IFERROR(__xludf.DUMMYFUNCTION("""COMPUTED_VALUE"""),0.368)</f>
        <v>0.36799999999999999</v>
      </c>
      <c r="W371" s="1">
        <f ca="1">IFERROR(__xludf.DUMMYFUNCTION("""COMPUTED_VALUE"""),425)</f>
        <v>425</v>
      </c>
      <c r="X371" s="1">
        <f ca="1">IFERROR(__xludf.DUMMYFUNCTION("""COMPUTED_VALUE"""),575)</f>
        <v>575</v>
      </c>
      <c r="Y371" s="1">
        <f ca="1">IFERROR(__xludf.DUMMYFUNCTION("""COMPUTED_VALUE"""),0.739)</f>
        <v>0.73899999999999999</v>
      </c>
      <c r="Z371" s="1">
        <f ca="1">IFERROR(__xludf.DUMMYFUNCTION("""COMPUTED_VALUE"""),349)</f>
        <v>349</v>
      </c>
      <c r="AA371" s="1">
        <f ca="1">IFERROR(__xludf.DUMMYFUNCTION("""COMPUTED_VALUE"""),1112)</f>
        <v>1112</v>
      </c>
      <c r="AB371" s="1">
        <f ca="1">IFERROR(__xludf.DUMMYFUNCTION("""COMPUTED_VALUE"""),428)</f>
        <v>428</v>
      </c>
      <c r="AC371" s="1">
        <f ca="1">IFERROR(__xludf.DUMMYFUNCTION("""COMPUTED_VALUE"""),181)</f>
        <v>181</v>
      </c>
      <c r="AD371" s="1">
        <f ca="1">IFERROR(__xludf.DUMMYFUNCTION("""COMPUTED_VALUE"""),126)</f>
        <v>126</v>
      </c>
      <c r="AE371" s="1">
        <f ca="1">IFERROR(__xludf.DUMMYFUNCTION("""COMPUTED_VALUE"""),320)</f>
        <v>320</v>
      </c>
      <c r="AF371" s="1">
        <f ca="1">IFERROR(__xludf.DUMMYFUNCTION("""COMPUTED_VALUE"""),512)</f>
        <v>512</v>
      </c>
    </row>
    <row r="372" spans="1:32" ht="12.5" x14ac:dyDescent="0.25">
      <c r="A372" s="1" t="str">
        <f ca="1">IFERROR(__xludf.DUMMYFUNCTION("""COMPUTED_VALUE"""),"Wofford")</f>
        <v>Wofford</v>
      </c>
      <c r="B372" s="1">
        <f ca="1">IFERROR(__xludf.DUMMYFUNCTION("""COMPUTED_VALUE"""),33)</f>
        <v>33</v>
      </c>
      <c r="C372" s="1">
        <f ca="1">IFERROR(__xludf.DUMMYFUNCTION("""COMPUTED_VALUE"""),19)</f>
        <v>19</v>
      </c>
      <c r="D372" s="1">
        <f ca="1">IFERROR(__xludf.DUMMYFUNCTION("""COMPUTED_VALUE"""),14)</f>
        <v>14</v>
      </c>
      <c r="E372" s="1">
        <f ca="1">IFERROR(__xludf.DUMMYFUNCTION("""COMPUTED_VALUE"""),0.576)</f>
        <v>0.57599999999999996</v>
      </c>
      <c r="F372" s="1">
        <f ca="1">IFERROR(__xludf.DUMMYFUNCTION("""COMPUTED_VALUE"""),-3.62)</f>
        <v>-3.62</v>
      </c>
      <c r="G372" s="1">
        <f ca="1">IFERROR(__xludf.DUMMYFUNCTION("""COMPUTED_VALUE"""),-3.79)</f>
        <v>-3.79</v>
      </c>
      <c r="H372" s="1">
        <f ca="1">IFERROR(__xludf.DUMMYFUNCTION("""COMPUTED_VALUE"""),12)</f>
        <v>12</v>
      </c>
      <c r="I372" s="1">
        <f ca="1">IFERROR(__xludf.DUMMYFUNCTION("""COMPUTED_VALUE"""),6)</f>
        <v>6</v>
      </c>
      <c r="J372" s="1">
        <f ca="1">IFERROR(__xludf.DUMMYFUNCTION("""COMPUTED_VALUE"""),11)</f>
        <v>11</v>
      </c>
      <c r="K372" s="1">
        <f ca="1">IFERROR(__xludf.DUMMYFUNCTION("""COMPUTED_VALUE"""),2)</f>
        <v>2</v>
      </c>
      <c r="L372" s="1">
        <f ca="1">IFERROR(__xludf.DUMMYFUNCTION("""COMPUTED_VALUE"""),7)</f>
        <v>7</v>
      </c>
      <c r="M372" s="1">
        <f ca="1">IFERROR(__xludf.DUMMYFUNCTION("""COMPUTED_VALUE"""),10)</f>
        <v>10</v>
      </c>
      <c r="N372" s="1">
        <f ca="1">IFERROR(__xludf.DUMMYFUNCTION("""COMPUTED_VALUE"""),2110)</f>
        <v>2110</v>
      </c>
      <c r="O372" s="1">
        <f ca="1">IFERROR(__xludf.DUMMYFUNCTION("""COMPUTED_VALUE"""),2087)</f>
        <v>2087</v>
      </c>
      <c r="P372" s="1">
        <f ca="1">IFERROR(__xludf.DUMMYFUNCTION("""COMPUTED_VALUE"""),1330)</f>
        <v>1330</v>
      </c>
      <c r="Q372" s="1">
        <f ca="1">IFERROR(__xludf.DUMMYFUNCTION("""COMPUTED_VALUE"""),777)</f>
        <v>777</v>
      </c>
      <c r="R372" s="1">
        <f ca="1">IFERROR(__xludf.DUMMYFUNCTION("""COMPUTED_VALUE"""),1792)</f>
        <v>1792</v>
      </c>
      <c r="S372" s="1">
        <f ca="1">IFERROR(__xludf.DUMMYFUNCTION("""COMPUTED_VALUE"""),0.434)</f>
        <v>0.434</v>
      </c>
      <c r="T372" s="1">
        <f ca="1">IFERROR(__xludf.DUMMYFUNCTION("""COMPUTED_VALUE"""),218)</f>
        <v>218</v>
      </c>
      <c r="U372" s="1">
        <f ca="1">IFERROR(__xludf.DUMMYFUNCTION("""COMPUTED_VALUE"""),665)</f>
        <v>665</v>
      </c>
      <c r="V372" s="1">
        <f ca="1">IFERROR(__xludf.DUMMYFUNCTION("""COMPUTED_VALUE"""),0.328)</f>
        <v>0.32800000000000001</v>
      </c>
      <c r="W372" s="1">
        <f ca="1">IFERROR(__xludf.DUMMYFUNCTION("""COMPUTED_VALUE"""),338)</f>
        <v>338</v>
      </c>
      <c r="X372" s="1">
        <f ca="1">IFERROR(__xludf.DUMMYFUNCTION("""COMPUTED_VALUE"""),508)</f>
        <v>508</v>
      </c>
      <c r="Y372" s="1">
        <f ca="1">IFERROR(__xludf.DUMMYFUNCTION("""COMPUTED_VALUE"""),0.665)</f>
        <v>0.66500000000000004</v>
      </c>
      <c r="Z372" s="1">
        <f ca="1">IFERROR(__xludf.DUMMYFUNCTION("""COMPUTED_VALUE"""),344)</f>
        <v>344</v>
      </c>
      <c r="AA372" s="1">
        <f ca="1">IFERROR(__xludf.DUMMYFUNCTION("""COMPUTED_VALUE"""),993)</f>
        <v>993</v>
      </c>
      <c r="AB372" s="1">
        <f ca="1">IFERROR(__xludf.DUMMYFUNCTION("""COMPUTED_VALUE"""),463)</f>
        <v>463</v>
      </c>
      <c r="AC372" s="1">
        <f ca="1">IFERROR(__xludf.DUMMYFUNCTION("""COMPUTED_VALUE"""),173)</f>
        <v>173</v>
      </c>
      <c r="AD372" s="1">
        <f ca="1">IFERROR(__xludf.DUMMYFUNCTION("""COMPUTED_VALUE"""),78)</f>
        <v>78</v>
      </c>
      <c r="AE372" s="1">
        <f ca="1">IFERROR(__xludf.DUMMYFUNCTION("""COMPUTED_VALUE"""),382)</f>
        <v>382</v>
      </c>
      <c r="AF372" s="1">
        <f ca="1">IFERROR(__xludf.DUMMYFUNCTION("""COMPUTED_VALUE"""),536)</f>
        <v>536</v>
      </c>
    </row>
    <row r="373" spans="1:32" ht="12.5" x14ac:dyDescent="0.25">
      <c r="A373" s="1" t="str">
        <f ca="1">IFERROR(__xludf.DUMMYFUNCTION("""COMPUTED_VALUE"""),"Wright State")</f>
        <v>Wright State</v>
      </c>
      <c r="B373" s="1">
        <f ca="1">IFERROR(__xludf.DUMMYFUNCTION("""COMPUTED_VALUE"""),32)</f>
        <v>32</v>
      </c>
      <c r="C373" s="1">
        <f ca="1">IFERROR(__xludf.DUMMYFUNCTION("""COMPUTED_VALUE"""),13)</f>
        <v>13</v>
      </c>
      <c r="D373" s="1">
        <f ca="1">IFERROR(__xludf.DUMMYFUNCTION("""COMPUTED_VALUE"""),19)</f>
        <v>19</v>
      </c>
      <c r="E373" s="1">
        <f ca="1">IFERROR(__xludf.DUMMYFUNCTION("""COMPUTED_VALUE"""),0.406)</f>
        <v>0.40600000000000003</v>
      </c>
      <c r="F373" s="1">
        <f ca="1">IFERROR(__xludf.DUMMYFUNCTION("""COMPUTED_VALUE"""),-4.07)</f>
        <v>-4.07</v>
      </c>
      <c r="G373" s="1">
        <f ca="1">IFERROR(__xludf.DUMMYFUNCTION("""COMPUTED_VALUE"""),0.25)</f>
        <v>0.25</v>
      </c>
      <c r="H373" s="1">
        <f ca="1">IFERROR(__xludf.DUMMYFUNCTION("""COMPUTED_VALUE"""),7)</f>
        <v>7</v>
      </c>
      <c r="I373" s="1">
        <f ca="1">IFERROR(__xludf.DUMMYFUNCTION("""COMPUTED_VALUE"""),11)</f>
        <v>11</v>
      </c>
      <c r="J373" s="1">
        <f ca="1">IFERROR(__xludf.DUMMYFUNCTION("""COMPUTED_VALUE"""),9)</f>
        <v>9</v>
      </c>
      <c r="K373" s="1">
        <f ca="1">IFERROR(__xludf.DUMMYFUNCTION("""COMPUTED_VALUE"""),7)</f>
        <v>7</v>
      </c>
      <c r="L373" s="1">
        <f ca="1">IFERROR(__xludf.DUMMYFUNCTION("""COMPUTED_VALUE"""),4)</f>
        <v>4</v>
      </c>
      <c r="M373" s="1">
        <f ca="1">IFERROR(__xludf.DUMMYFUNCTION("""COMPUTED_VALUE"""),11)</f>
        <v>11</v>
      </c>
      <c r="N373" s="1">
        <f ca="1">IFERROR(__xludf.DUMMYFUNCTION("""COMPUTED_VALUE"""),1857)</f>
        <v>1857</v>
      </c>
      <c r="O373" s="1">
        <f ca="1">IFERROR(__xludf.DUMMYFUNCTION("""COMPUTED_VALUE"""),1967)</f>
        <v>1967</v>
      </c>
      <c r="P373" s="1">
        <f ca="1">IFERROR(__xludf.DUMMYFUNCTION("""COMPUTED_VALUE"""),1290)</f>
        <v>1290</v>
      </c>
      <c r="Q373" s="1">
        <f ca="1">IFERROR(__xludf.DUMMYFUNCTION("""COMPUTED_VALUE"""),625)</f>
        <v>625</v>
      </c>
      <c r="R373" s="1">
        <f ca="1">IFERROR(__xludf.DUMMYFUNCTION("""COMPUTED_VALUE"""),1569)</f>
        <v>1569</v>
      </c>
      <c r="S373" s="1">
        <f ca="1">IFERROR(__xludf.DUMMYFUNCTION("""COMPUTED_VALUE"""),0.398)</f>
        <v>0.39800000000000002</v>
      </c>
      <c r="T373" s="1">
        <f ca="1">IFERROR(__xludf.DUMMYFUNCTION("""COMPUTED_VALUE"""),189)</f>
        <v>189</v>
      </c>
      <c r="U373" s="1">
        <f ca="1">IFERROR(__xludf.DUMMYFUNCTION("""COMPUTED_VALUE"""),550)</f>
        <v>550</v>
      </c>
      <c r="V373" s="1">
        <f ca="1">IFERROR(__xludf.DUMMYFUNCTION("""COMPUTED_VALUE"""),0.344)</f>
        <v>0.34399999999999997</v>
      </c>
      <c r="W373" s="1">
        <f ca="1">IFERROR(__xludf.DUMMYFUNCTION("""COMPUTED_VALUE"""),418)</f>
        <v>418</v>
      </c>
      <c r="X373" s="1">
        <f ca="1">IFERROR(__xludf.DUMMYFUNCTION("""COMPUTED_VALUE"""),594)</f>
        <v>594</v>
      </c>
      <c r="Y373" s="1">
        <f ca="1">IFERROR(__xludf.DUMMYFUNCTION("""COMPUTED_VALUE"""),0.704)</f>
        <v>0.70399999999999996</v>
      </c>
      <c r="Z373" s="1">
        <f ca="1">IFERROR(__xludf.DUMMYFUNCTION("""COMPUTED_VALUE"""),260)</f>
        <v>260</v>
      </c>
      <c r="AA373" s="1">
        <f ca="1">IFERROR(__xludf.DUMMYFUNCTION("""COMPUTED_VALUE"""),813)</f>
        <v>813</v>
      </c>
      <c r="AB373" s="1">
        <f ca="1">IFERROR(__xludf.DUMMYFUNCTION("""COMPUTED_VALUE"""),319)</f>
        <v>319</v>
      </c>
      <c r="AC373" s="1">
        <f ca="1">IFERROR(__xludf.DUMMYFUNCTION("""COMPUTED_VALUE"""),210)</f>
        <v>210</v>
      </c>
      <c r="AD373" s="1">
        <f ca="1">IFERROR(__xludf.DUMMYFUNCTION("""COMPUTED_VALUE"""),50)</f>
        <v>50</v>
      </c>
      <c r="AE373" s="1">
        <f ca="1">IFERROR(__xludf.DUMMYFUNCTION("""COMPUTED_VALUE"""),436)</f>
        <v>436</v>
      </c>
      <c r="AF373" s="1">
        <f ca="1">IFERROR(__xludf.DUMMYFUNCTION("""COMPUTED_VALUE"""),635)</f>
        <v>635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IFERROR(__xludf.DUMMYFUNCTION("""COMPUTED_VALUE"""),"Wyoming")</f>
        <v>Wyoming</v>
      </c>
      <c r="B376" s="1">
        <f ca="1">IFERROR(__xludf.DUMMYFUNCTION("""COMPUTED_VALUE"""),33)</f>
        <v>33</v>
      </c>
      <c r="C376" s="1">
        <f ca="1">IFERROR(__xludf.DUMMYFUNCTION("""COMPUTED_VALUE"""),21)</f>
        <v>21</v>
      </c>
      <c r="D376" s="1">
        <f ca="1">IFERROR(__xludf.DUMMYFUNCTION("""COMPUTED_VALUE"""),12)</f>
        <v>12</v>
      </c>
      <c r="E376" s="1">
        <f ca="1">IFERROR(__xludf.DUMMYFUNCTION("""COMPUTED_VALUE"""),0.636)</f>
        <v>0.63600000000000001</v>
      </c>
      <c r="F376" s="1">
        <f ca="1">IFERROR(__xludf.DUMMYFUNCTION("""COMPUTED_VALUE"""),6.79)</f>
        <v>6.79</v>
      </c>
      <c r="G376" s="1">
        <f ca="1">IFERROR(__xludf.DUMMYFUNCTION("""COMPUTED_VALUE"""),1.43)</f>
        <v>1.43</v>
      </c>
      <c r="H376" s="1">
        <f ca="1">IFERROR(__xludf.DUMMYFUNCTION("""COMPUTED_VALUE"""),6)</f>
        <v>6</v>
      </c>
      <c r="I376" s="1">
        <f ca="1">IFERROR(__xludf.DUMMYFUNCTION("""COMPUTED_VALUE"""),8)</f>
        <v>8</v>
      </c>
      <c r="J376" s="1">
        <f ca="1">IFERROR(__xludf.DUMMYFUNCTION("""COMPUTED_VALUE"""),16)</f>
        <v>16</v>
      </c>
      <c r="K376" s="1">
        <f ca="1">IFERROR(__xludf.DUMMYFUNCTION("""COMPUTED_VALUE"""),3)</f>
        <v>3</v>
      </c>
      <c r="L376" s="1">
        <f ca="1">IFERROR(__xludf.DUMMYFUNCTION("""COMPUTED_VALUE"""),5)</f>
        <v>5</v>
      </c>
      <c r="M376" s="1">
        <f ca="1">IFERROR(__xludf.DUMMYFUNCTION("""COMPUTED_VALUE"""),9)</f>
        <v>9</v>
      </c>
      <c r="N376" s="1">
        <f ca="1">IFERROR(__xludf.DUMMYFUNCTION("""COMPUTED_VALUE"""),2068)</f>
        <v>2068</v>
      </c>
      <c r="O376" s="1">
        <f ca="1">IFERROR(__xludf.DUMMYFUNCTION("""COMPUTED_VALUE"""),1855)</f>
        <v>1855</v>
      </c>
      <c r="P376" s="1">
        <f ca="1">IFERROR(__xludf.DUMMYFUNCTION("""COMPUTED_VALUE"""),1325)</f>
        <v>1325</v>
      </c>
      <c r="Q376" s="1">
        <f ca="1">IFERROR(__xludf.DUMMYFUNCTION("""COMPUTED_VALUE"""),710)</f>
        <v>710</v>
      </c>
      <c r="R376" s="1">
        <f ca="1">IFERROR(__xludf.DUMMYFUNCTION("""COMPUTED_VALUE"""),1585)</f>
        <v>1585</v>
      </c>
      <c r="S376" s="1">
        <f ca="1">IFERROR(__xludf.DUMMYFUNCTION("""COMPUTED_VALUE"""),0.448)</f>
        <v>0.44800000000000001</v>
      </c>
      <c r="T376" s="1">
        <f ca="1">IFERROR(__xludf.DUMMYFUNCTION("""COMPUTED_VALUE"""),197)</f>
        <v>197</v>
      </c>
      <c r="U376" s="1">
        <f ca="1">IFERROR(__xludf.DUMMYFUNCTION("""COMPUTED_VALUE"""),602)</f>
        <v>602</v>
      </c>
      <c r="V376" s="1">
        <f ca="1">IFERROR(__xludf.DUMMYFUNCTION("""COMPUTED_VALUE"""),0.327)</f>
        <v>0.32700000000000001</v>
      </c>
      <c r="W376" s="1">
        <f ca="1">IFERROR(__xludf.DUMMYFUNCTION("""COMPUTED_VALUE"""),451)</f>
        <v>451</v>
      </c>
      <c r="X376" s="1">
        <f ca="1">IFERROR(__xludf.DUMMYFUNCTION("""COMPUTED_VALUE"""),610)</f>
        <v>610</v>
      </c>
      <c r="Y376" s="1">
        <f ca="1">IFERROR(__xludf.DUMMYFUNCTION("""COMPUTED_VALUE"""),0.739)</f>
        <v>0.73899999999999999</v>
      </c>
      <c r="Z376" s="1">
        <f ca="1">IFERROR(__xludf.DUMMYFUNCTION("""COMPUTED_VALUE"""),227)</f>
        <v>227</v>
      </c>
      <c r="AA376" s="1">
        <f ca="1">IFERROR(__xludf.DUMMYFUNCTION("""COMPUTED_VALUE"""),884)</f>
        <v>884</v>
      </c>
      <c r="AB376" s="1">
        <f ca="1">IFERROR(__xludf.DUMMYFUNCTION("""COMPUTED_VALUE"""),373)</f>
        <v>373</v>
      </c>
      <c r="AC376" s="1">
        <f ca="1">IFERROR(__xludf.DUMMYFUNCTION("""COMPUTED_VALUE"""),227)</f>
        <v>227</v>
      </c>
      <c r="AD376" s="1">
        <f ca="1">IFERROR(__xludf.DUMMYFUNCTION("""COMPUTED_VALUE"""),104)</f>
        <v>104</v>
      </c>
      <c r="AE376" s="1">
        <f ca="1">IFERROR(__xludf.DUMMYFUNCTION("""COMPUTED_VALUE"""),388)</f>
        <v>388</v>
      </c>
      <c r="AF376" s="1">
        <f ca="1">IFERROR(__xludf.DUMMYFUNCTION("""COMPUTED_VALUE"""),557)</f>
        <v>557</v>
      </c>
    </row>
    <row r="377" spans="1:32" ht="12.5" x14ac:dyDescent="0.25">
      <c r="A377" s="1" t="str">
        <f ca="1">IFERROR(__xludf.DUMMYFUNCTION("""COMPUTED_VALUE"""),"XavierNCAA")</f>
        <v>XavierNCAA</v>
      </c>
      <c r="B377" s="1">
        <f ca="1">IFERROR(__xludf.DUMMYFUNCTION("""COMPUTED_VALUE"""),36)</f>
        <v>36</v>
      </c>
      <c r="C377" s="1">
        <f ca="1">IFERROR(__xludf.DUMMYFUNCTION("""COMPUTED_VALUE"""),23)</f>
        <v>23</v>
      </c>
      <c r="D377" s="1">
        <f ca="1">IFERROR(__xludf.DUMMYFUNCTION("""COMPUTED_VALUE"""),13)</f>
        <v>13</v>
      </c>
      <c r="E377" s="1">
        <f ca="1">IFERROR(__xludf.DUMMYFUNCTION("""COMPUTED_VALUE"""),0.639)</f>
        <v>0.63900000000000001</v>
      </c>
      <c r="F377" s="1">
        <f ca="1">IFERROR(__xludf.DUMMYFUNCTION("""COMPUTED_VALUE"""),9.59)</f>
        <v>9.59</v>
      </c>
      <c r="G377" s="1">
        <f ca="1">IFERROR(__xludf.DUMMYFUNCTION("""COMPUTED_VALUE"""),6.22)</f>
        <v>6.22</v>
      </c>
      <c r="H377" s="1">
        <f ca="1">IFERROR(__xludf.DUMMYFUNCTION("""COMPUTED_VALUE"""),10)</f>
        <v>10</v>
      </c>
      <c r="I377" s="1">
        <f ca="1">IFERROR(__xludf.DUMMYFUNCTION("""COMPUTED_VALUE"""),6)</f>
        <v>6</v>
      </c>
      <c r="J377" s="1">
        <f ca="1">IFERROR(__xludf.DUMMYFUNCTION("""COMPUTED_VALUE"""),13)</f>
        <v>13</v>
      </c>
      <c r="K377" s="1">
        <f ca="1">IFERROR(__xludf.DUMMYFUNCTION("""COMPUTED_VALUE"""),3)</f>
        <v>3</v>
      </c>
      <c r="L377" s="1">
        <f ca="1">IFERROR(__xludf.DUMMYFUNCTION("""COMPUTED_VALUE"""),5)</f>
        <v>5</v>
      </c>
      <c r="M377" s="1">
        <f ca="1">IFERROR(__xludf.DUMMYFUNCTION("""COMPUTED_VALUE"""),6)</f>
        <v>6</v>
      </c>
      <c r="N377" s="1">
        <f ca="1">IFERROR(__xludf.DUMMYFUNCTION("""COMPUTED_VALUE"""),2543)</f>
        <v>2543</v>
      </c>
      <c r="O377" s="1">
        <f ca="1">IFERROR(__xludf.DUMMYFUNCTION("""COMPUTED_VALUE"""),2422)</f>
        <v>2422</v>
      </c>
      <c r="P377" s="1">
        <f ca="1">IFERROR(__xludf.DUMMYFUNCTION("""COMPUTED_VALUE"""),1455)</f>
        <v>1455</v>
      </c>
      <c r="Q377" s="1">
        <f ca="1">IFERROR(__xludf.DUMMYFUNCTION("""COMPUTED_VALUE"""),899)</f>
        <v>899</v>
      </c>
      <c r="R377" s="1">
        <f ca="1">IFERROR(__xludf.DUMMYFUNCTION("""COMPUTED_VALUE"""),1986)</f>
        <v>1986</v>
      </c>
      <c r="S377" s="1">
        <f ca="1">IFERROR(__xludf.DUMMYFUNCTION("""COMPUTED_VALUE"""),0.453)</f>
        <v>0.45300000000000001</v>
      </c>
      <c r="T377" s="1">
        <f ca="1">IFERROR(__xludf.DUMMYFUNCTION("""COMPUTED_VALUE"""),176)</f>
        <v>176</v>
      </c>
      <c r="U377" s="1">
        <f ca="1">IFERROR(__xludf.DUMMYFUNCTION("""COMPUTED_VALUE"""),501)</f>
        <v>501</v>
      </c>
      <c r="V377" s="1">
        <f ca="1">IFERROR(__xludf.DUMMYFUNCTION("""COMPUTED_VALUE"""),0.351)</f>
        <v>0.35099999999999998</v>
      </c>
      <c r="W377" s="1">
        <f ca="1">IFERROR(__xludf.DUMMYFUNCTION("""COMPUTED_VALUE"""),569)</f>
        <v>569</v>
      </c>
      <c r="X377" s="1">
        <f ca="1">IFERROR(__xludf.DUMMYFUNCTION("""COMPUTED_VALUE"""),819)</f>
        <v>819</v>
      </c>
      <c r="Y377" s="1">
        <f ca="1">IFERROR(__xludf.DUMMYFUNCTION("""COMPUTED_VALUE"""),0.695)</f>
        <v>0.69499999999999995</v>
      </c>
      <c r="Z377" s="1">
        <f ca="1">IFERROR(__xludf.DUMMYFUNCTION("""COMPUTED_VALUE"""),378)</f>
        <v>378</v>
      </c>
      <c r="AA377" s="1">
        <f ca="1">IFERROR(__xludf.DUMMYFUNCTION("""COMPUTED_VALUE"""),1183)</f>
        <v>1183</v>
      </c>
      <c r="AB377" s="1">
        <f ca="1">IFERROR(__xludf.DUMMYFUNCTION("""COMPUTED_VALUE"""),471)</f>
        <v>471</v>
      </c>
      <c r="AC377" s="1">
        <f ca="1">IFERROR(__xludf.DUMMYFUNCTION("""COMPUTED_VALUE"""),216)</f>
        <v>216</v>
      </c>
      <c r="AD377" s="1">
        <f ca="1">IFERROR(__xludf.DUMMYFUNCTION("""COMPUTED_VALUE"""),135)</f>
        <v>135</v>
      </c>
      <c r="AE377" s="1">
        <f ca="1">IFERROR(__xludf.DUMMYFUNCTION("""COMPUTED_VALUE"""),448)</f>
        <v>448</v>
      </c>
      <c r="AF377" s="1">
        <f ca="1">IFERROR(__xludf.DUMMYFUNCTION("""COMPUTED_VALUE"""),665)</f>
        <v>665</v>
      </c>
    </row>
    <row r="378" spans="1:32" ht="12.5" x14ac:dyDescent="0.25">
      <c r="A378" s="1" t="str">
        <f ca="1">IFERROR(__xludf.DUMMYFUNCTION("""COMPUTED_VALUE"""),"Yale")</f>
        <v>Yale</v>
      </c>
      <c r="B378" s="1">
        <f ca="1">IFERROR(__xludf.DUMMYFUNCTION("""COMPUTED_VALUE"""),29)</f>
        <v>29</v>
      </c>
      <c r="C378" s="1">
        <f ca="1">IFERROR(__xludf.DUMMYFUNCTION("""COMPUTED_VALUE"""),19)</f>
        <v>19</v>
      </c>
      <c r="D378" s="1">
        <f ca="1">IFERROR(__xludf.DUMMYFUNCTION("""COMPUTED_VALUE"""),10)</f>
        <v>10</v>
      </c>
      <c r="E378" s="1">
        <f ca="1">IFERROR(__xludf.DUMMYFUNCTION("""COMPUTED_VALUE"""),0.655)</f>
        <v>0.65500000000000003</v>
      </c>
      <c r="F378" s="1">
        <f ca="1">IFERROR(__xludf.DUMMYFUNCTION("""COMPUTED_VALUE"""),-1.37)</f>
        <v>-1.37</v>
      </c>
      <c r="G378" s="1">
        <f ca="1">IFERROR(__xludf.DUMMYFUNCTION("""COMPUTED_VALUE"""),-2.63)</f>
        <v>-2.63</v>
      </c>
      <c r="H378" s="1">
        <f ca="1">IFERROR(__xludf.DUMMYFUNCTION("""COMPUTED_VALUE"""),9)</f>
        <v>9</v>
      </c>
      <c r="I378" s="1">
        <f ca="1">IFERROR(__xludf.DUMMYFUNCTION("""COMPUTED_VALUE"""),5)</f>
        <v>5</v>
      </c>
      <c r="J378" s="1">
        <f ca="1">IFERROR(__xludf.DUMMYFUNCTION("""COMPUTED_VALUE"""),11)</f>
        <v>11</v>
      </c>
      <c r="K378" s="1">
        <f ca="1">IFERROR(__xludf.DUMMYFUNCTION("""COMPUTED_VALUE"""),1)</f>
        <v>1</v>
      </c>
      <c r="L378" s="1">
        <f ca="1">IFERROR(__xludf.DUMMYFUNCTION("""COMPUTED_VALUE"""),7)</f>
        <v>7</v>
      </c>
      <c r="M378" s="1">
        <f ca="1">IFERROR(__xludf.DUMMYFUNCTION("""COMPUTED_VALUE"""),9)</f>
        <v>9</v>
      </c>
      <c r="N378" s="1">
        <f ca="1">IFERROR(__xludf.DUMMYFUNCTION("""COMPUTED_VALUE"""),1991)</f>
        <v>1991</v>
      </c>
      <c r="O378" s="1">
        <f ca="1">IFERROR(__xludf.DUMMYFUNCTION("""COMPUTED_VALUE"""),1878)</f>
        <v>1878</v>
      </c>
      <c r="P378" s="1">
        <f ca="1">IFERROR(__xludf.DUMMYFUNCTION("""COMPUTED_VALUE"""),1165)</f>
        <v>1165</v>
      </c>
      <c r="Q378" s="1">
        <f ca="1">IFERROR(__xludf.DUMMYFUNCTION("""COMPUTED_VALUE"""),678)</f>
        <v>678</v>
      </c>
      <c r="R378" s="1">
        <f ca="1">IFERROR(__xludf.DUMMYFUNCTION("""COMPUTED_VALUE"""),1571)</f>
        <v>1571</v>
      </c>
      <c r="S378" s="1">
        <f ca="1">IFERROR(__xludf.DUMMYFUNCTION("""COMPUTED_VALUE"""),0.432)</f>
        <v>0.432</v>
      </c>
      <c r="T378" s="1">
        <f ca="1">IFERROR(__xludf.DUMMYFUNCTION("""COMPUTED_VALUE"""),176)</f>
        <v>176</v>
      </c>
      <c r="U378" s="1">
        <f ca="1">IFERROR(__xludf.DUMMYFUNCTION("""COMPUTED_VALUE"""),509)</f>
        <v>509</v>
      </c>
      <c r="V378" s="1">
        <f ca="1">IFERROR(__xludf.DUMMYFUNCTION("""COMPUTED_VALUE"""),0.346)</f>
        <v>0.34599999999999997</v>
      </c>
      <c r="W378" s="1">
        <f ca="1">IFERROR(__xludf.DUMMYFUNCTION("""COMPUTED_VALUE"""),459)</f>
        <v>459</v>
      </c>
      <c r="X378" s="1">
        <f ca="1">IFERROR(__xludf.DUMMYFUNCTION("""COMPUTED_VALUE"""),646)</f>
        <v>646</v>
      </c>
      <c r="Y378" s="1">
        <f ca="1">IFERROR(__xludf.DUMMYFUNCTION("""COMPUTED_VALUE"""),0.711)</f>
        <v>0.71099999999999997</v>
      </c>
      <c r="Z378" s="1">
        <f ca="1">IFERROR(__xludf.DUMMYFUNCTION("""COMPUTED_VALUE"""),340)</f>
        <v>340</v>
      </c>
      <c r="AA378" s="1">
        <f ca="1">IFERROR(__xludf.DUMMYFUNCTION("""COMPUTED_VALUE"""),978)</f>
        <v>978</v>
      </c>
      <c r="AB378" s="1">
        <f ca="1">IFERROR(__xludf.DUMMYFUNCTION("""COMPUTED_VALUE"""),383)</f>
        <v>383</v>
      </c>
      <c r="AC378" s="1">
        <f ca="1">IFERROR(__xludf.DUMMYFUNCTION("""COMPUTED_VALUE"""),151)</f>
        <v>151</v>
      </c>
      <c r="AD378" s="1">
        <f ca="1">IFERROR(__xludf.DUMMYFUNCTION("""COMPUTED_VALUE"""),115)</f>
        <v>115</v>
      </c>
      <c r="AE378" s="1">
        <f ca="1">IFERROR(__xludf.DUMMYFUNCTION("""COMPUTED_VALUE"""),410)</f>
        <v>410</v>
      </c>
      <c r="AF378" s="1">
        <f ca="1">IFERROR(__xludf.DUMMYFUNCTION("""COMPUTED_VALUE"""),522)</f>
        <v>522</v>
      </c>
    </row>
    <row r="379" spans="1:32" ht="12.5" x14ac:dyDescent="0.25">
      <c r="A379" s="1" t="str">
        <f ca="1">IFERROR(__xludf.DUMMYFUNCTION("""COMPUTED_VALUE"""),"Youngstown State")</f>
        <v>Youngstown State</v>
      </c>
      <c r="B379" s="1">
        <f ca="1">IFERROR(__xludf.DUMMYFUNCTION("""COMPUTED_VALUE"""),31)</f>
        <v>31</v>
      </c>
      <c r="C379" s="1">
        <f ca="1">IFERROR(__xludf.DUMMYFUNCTION("""COMPUTED_VALUE"""),16)</f>
        <v>16</v>
      </c>
      <c r="D379" s="1">
        <f ca="1">IFERROR(__xludf.DUMMYFUNCTION("""COMPUTED_VALUE"""),15)</f>
        <v>15</v>
      </c>
      <c r="E379" s="1">
        <f ca="1">IFERROR(__xludf.DUMMYFUNCTION("""COMPUTED_VALUE"""),0.516)</f>
        <v>0.51600000000000001</v>
      </c>
      <c r="F379" s="1">
        <f ca="1">IFERROR(__xludf.DUMMYFUNCTION("""COMPUTED_VALUE"""),-1.78)</f>
        <v>-1.78</v>
      </c>
      <c r="G379" s="1">
        <f ca="1">IFERROR(__xludf.DUMMYFUNCTION("""COMPUTED_VALUE"""),-1.65)</f>
        <v>-1.65</v>
      </c>
      <c r="H379" s="1">
        <f ca="1">IFERROR(__xludf.DUMMYFUNCTION("""COMPUTED_VALUE"""),10)</f>
        <v>10</v>
      </c>
      <c r="I379" s="1">
        <f ca="1">IFERROR(__xludf.DUMMYFUNCTION("""COMPUTED_VALUE"""),8)</f>
        <v>8</v>
      </c>
      <c r="J379" s="1">
        <f ca="1">IFERROR(__xludf.DUMMYFUNCTION("""COMPUTED_VALUE"""),10)</f>
        <v>10</v>
      </c>
      <c r="K379" s="1">
        <f ca="1">IFERROR(__xludf.DUMMYFUNCTION("""COMPUTED_VALUE"""),4)</f>
        <v>4</v>
      </c>
      <c r="L379" s="1">
        <f ca="1">IFERROR(__xludf.DUMMYFUNCTION("""COMPUTED_VALUE"""),6)</f>
        <v>6</v>
      </c>
      <c r="M379" s="1">
        <f ca="1">IFERROR(__xludf.DUMMYFUNCTION("""COMPUTED_VALUE"""),10)</f>
        <v>10</v>
      </c>
      <c r="N379" s="1">
        <f ca="1">IFERROR(__xludf.DUMMYFUNCTION("""COMPUTED_VALUE"""),2095)</f>
        <v>2095</v>
      </c>
      <c r="O379" s="1">
        <f ca="1">IFERROR(__xludf.DUMMYFUNCTION("""COMPUTED_VALUE"""),2047)</f>
        <v>2047</v>
      </c>
      <c r="P379" s="1">
        <f ca="1">IFERROR(__xludf.DUMMYFUNCTION("""COMPUTED_VALUE"""),1250)</f>
        <v>1250</v>
      </c>
      <c r="Q379" s="1">
        <f ca="1">IFERROR(__xludf.DUMMYFUNCTION("""COMPUTED_VALUE"""),746)</f>
        <v>746</v>
      </c>
      <c r="R379" s="1">
        <f ca="1">IFERROR(__xludf.DUMMYFUNCTION("""COMPUTED_VALUE"""),1729)</f>
        <v>1729</v>
      </c>
      <c r="S379" s="1">
        <f ca="1">IFERROR(__xludf.DUMMYFUNCTION("""COMPUTED_VALUE"""),0.431)</f>
        <v>0.43099999999999999</v>
      </c>
      <c r="T379" s="1">
        <f ca="1">IFERROR(__xludf.DUMMYFUNCTION("""COMPUTED_VALUE"""),270)</f>
        <v>270</v>
      </c>
      <c r="U379" s="1">
        <f ca="1">IFERROR(__xludf.DUMMYFUNCTION("""COMPUTED_VALUE"""),708)</f>
        <v>708</v>
      </c>
      <c r="V379" s="1">
        <f ca="1">IFERROR(__xludf.DUMMYFUNCTION("""COMPUTED_VALUE"""),0.381)</f>
        <v>0.38100000000000001</v>
      </c>
      <c r="W379" s="1">
        <f ca="1">IFERROR(__xludf.DUMMYFUNCTION("""COMPUTED_VALUE"""),333)</f>
        <v>333</v>
      </c>
      <c r="X379" s="1">
        <f ca="1">IFERROR(__xludf.DUMMYFUNCTION("""COMPUTED_VALUE"""),514)</f>
        <v>514</v>
      </c>
      <c r="Y379" s="1">
        <f ca="1">IFERROR(__xludf.DUMMYFUNCTION("""COMPUTED_VALUE"""),0.648)</f>
        <v>0.64800000000000002</v>
      </c>
      <c r="Z379" s="1">
        <f ca="1">IFERROR(__xludf.DUMMYFUNCTION("""COMPUTED_VALUE"""),296)</f>
        <v>296</v>
      </c>
      <c r="AA379" s="1">
        <f ca="1">IFERROR(__xludf.DUMMYFUNCTION("""COMPUTED_VALUE"""),887)</f>
        <v>887</v>
      </c>
      <c r="AB379" s="1">
        <f ca="1">IFERROR(__xludf.DUMMYFUNCTION("""COMPUTED_VALUE"""),405)</f>
        <v>405</v>
      </c>
      <c r="AC379" s="1">
        <f ca="1">IFERROR(__xludf.DUMMYFUNCTION("""COMPUTED_VALUE"""),201)</f>
        <v>201</v>
      </c>
      <c r="AD379" s="1">
        <f ca="1">IFERROR(__xludf.DUMMYFUNCTION("""COMPUTED_VALUE"""),164)</f>
        <v>164</v>
      </c>
      <c r="AE379" s="1">
        <f ca="1">IFERROR(__xludf.DUMMYFUNCTION("""COMPUTED_VALUE"""),347)</f>
        <v>347</v>
      </c>
      <c r="AF379" s="1">
        <f ca="1">IFERROR(__xludf.DUMMYFUNCTION("""COMPUTED_VALUE"""),504)</f>
        <v>504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F380"/>
  <sheetViews>
    <sheetView workbookViewId="0">
      <selection activeCell="P1" sqref="P1:P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IFERROR(__xludf.DUMMYFUNCTION("""COMPUTED_VALUE"""),"Air Force")</f>
        <v>Air Force</v>
      </c>
      <c r="B2" s="1">
        <f ca="1">IFERROR(__xludf.DUMMYFUNCTION("""COMPUTED_VALUE"""),32)</f>
        <v>32</v>
      </c>
      <c r="C2" s="1">
        <f ca="1">IFERROR(__xludf.DUMMYFUNCTION("""COMPUTED_VALUE"""),16)</f>
        <v>16</v>
      </c>
      <c r="D2" s="1">
        <f ca="1">IFERROR(__xludf.DUMMYFUNCTION("""COMPUTED_VALUE"""),16)</f>
        <v>16</v>
      </c>
      <c r="E2" s="1">
        <f ca="1">IFERROR(__xludf.DUMMYFUNCTION("""COMPUTED_VALUE"""),0.5)</f>
        <v>0.5</v>
      </c>
      <c r="F2" s="1">
        <f ca="1">IFERROR(__xludf.DUMMYFUNCTION("""COMPUTED_VALUE"""),2.71)</f>
        <v>2.71</v>
      </c>
      <c r="G2" s="1">
        <f ca="1">IFERROR(__xludf.DUMMYFUNCTION("""COMPUTED_VALUE"""),3.31)</f>
        <v>3.31</v>
      </c>
      <c r="H2" s="1">
        <f ca="1">IFERROR(__xludf.DUMMYFUNCTION("""COMPUTED_VALUE"""),6)</f>
        <v>6</v>
      </c>
      <c r="I2" s="1">
        <f ca="1">IFERROR(__xludf.DUMMYFUNCTION("""COMPUTED_VALUE"""),10)</f>
        <v>10</v>
      </c>
      <c r="J2" s="1">
        <f ca="1">IFERROR(__xludf.DUMMYFUNCTION("""COMPUTED_VALUE"""),12)</f>
        <v>12</v>
      </c>
      <c r="K2" s="1">
        <f ca="1">IFERROR(__xludf.DUMMYFUNCTION("""COMPUTED_VALUE"""),5)</f>
        <v>5</v>
      </c>
      <c r="L2" s="1">
        <f ca="1">IFERROR(__xludf.DUMMYFUNCTION("""COMPUTED_VALUE"""),3)</f>
        <v>3</v>
      </c>
      <c r="M2" s="1">
        <f ca="1">IFERROR(__xludf.DUMMYFUNCTION("""COMPUTED_VALUE"""),11)</f>
        <v>11</v>
      </c>
      <c r="N2" s="1">
        <f ca="1">IFERROR(__xludf.DUMMYFUNCTION("""COMPUTED_VALUE"""),2074)</f>
        <v>2074</v>
      </c>
      <c r="O2" s="1">
        <f ca="1">IFERROR(__xludf.DUMMYFUNCTION("""COMPUTED_VALUE"""),2082)</f>
        <v>2082</v>
      </c>
      <c r="P2" s="1">
        <f ca="1">IFERROR(__xludf.DUMMYFUNCTION("""COMPUTED_VALUE"""),1295)</f>
        <v>1295</v>
      </c>
      <c r="Q2" s="1">
        <f ca="1">IFERROR(__xludf.DUMMYFUNCTION("""COMPUTED_VALUE"""),722)</f>
        <v>722</v>
      </c>
      <c r="R2" s="1">
        <f ca="1">IFERROR(__xludf.DUMMYFUNCTION("""COMPUTED_VALUE"""),1532)</f>
        <v>1532</v>
      </c>
      <c r="S2" s="1">
        <f ca="1">IFERROR(__xludf.DUMMYFUNCTION("""COMPUTED_VALUE"""),0.471)</f>
        <v>0.47099999999999997</v>
      </c>
      <c r="T2" s="1">
        <f ca="1">IFERROR(__xludf.DUMMYFUNCTION("""COMPUTED_VALUE"""),212)</f>
        <v>212</v>
      </c>
      <c r="U2" s="1">
        <f ca="1">IFERROR(__xludf.DUMMYFUNCTION("""COMPUTED_VALUE"""),563)</f>
        <v>563</v>
      </c>
      <c r="V2" s="1">
        <f ca="1">IFERROR(__xludf.DUMMYFUNCTION("""COMPUTED_VALUE"""),0.377)</f>
        <v>0.377</v>
      </c>
      <c r="W2" s="1">
        <f ca="1">IFERROR(__xludf.DUMMYFUNCTION("""COMPUTED_VALUE"""),418)</f>
        <v>418</v>
      </c>
      <c r="X2" s="1">
        <f ca="1">IFERROR(__xludf.DUMMYFUNCTION("""COMPUTED_VALUE"""),593)</f>
        <v>593</v>
      </c>
      <c r="Y2" s="1">
        <f ca="1">IFERROR(__xludf.DUMMYFUNCTION("""COMPUTED_VALUE"""),0.705)</f>
        <v>0.70499999999999996</v>
      </c>
      <c r="Z2" s="1">
        <f ca="1">IFERROR(__xludf.DUMMYFUNCTION("""COMPUTED_VALUE"""),187)</f>
        <v>187</v>
      </c>
      <c r="AA2" s="1">
        <f ca="1">IFERROR(__xludf.DUMMYFUNCTION("""COMPUTED_VALUE"""),918)</f>
        <v>918</v>
      </c>
      <c r="AB2" s="1">
        <f ca="1">IFERROR(__xludf.DUMMYFUNCTION("""COMPUTED_VALUE"""),494)</f>
        <v>494</v>
      </c>
      <c r="AC2" s="1">
        <f ca="1">IFERROR(__xludf.DUMMYFUNCTION("""COMPUTED_VALUE"""),200)</f>
        <v>200</v>
      </c>
      <c r="AD2" s="1">
        <f ca="1">IFERROR(__xludf.DUMMYFUNCTION("""COMPUTED_VALUE"""),83)</f>
        <v>83</v>
      </c>
      <c r="AE2" s="1">
        <f ca="1">IFERROR(__xludf.DUMMYFUNCTION("""COMPUTED_VALUE"""),386)</f>
        <v>386</v>
      </c>
      <c r="AF2" s="1">
        <f ca="1">IFERROR(__xludf.DUMMYFUNCTION("""COMPUTED_VALUE"""),563)</f>
        <v>563</v>
      </c>
    </row>
    <row r="3" spans="1:32" ht="15.75" customHeight="1" x14ac:dyDescent="0.25">
      <c r="A3" s="1" t="str">
        <f ca="1">IFERROR(__xludf.DUMMYFUNCTION("""COMPUTED_VALUE"""),"AkronNCAA")</f>
        <v>AkronNCAA</v>
      </c>
      <c r="B3" s="1">
        <f ca="1">IFERROR(__xludf.DUMMYFUNCTION("""COMPUTED_VALUE"""),36)</f>
        <v>36</v>
      </c>
      <c r="C3" s="1">
        <f ca="1">IFERROR(__xludf.DUMMYFUNCTION("""COMPUTED_VALUE"""),23)</f>
        <v>23</v>
      </c>
      <c r="D3" s="1">
        <f ca="1">IFERROR(__xludf.DUMMYFUNCTION("""COMPUTED_VALUE"""),13)</f>
        <v>13</v>
      </c>
      <c r="E3" s="1">
        <f ca="1">IFERROR(__xludf.DUMMYFUNCTION("""COMPUTED_VALUE"""),0.639)</f>
        <v>0.63900000000000001</v>
      </c>
      <c r="F3" s="1">
        <f ca="1">IFERROR(__xludf.DUMMYFUNCTION("""COMPUTED_VALUE"""),2.15)</f>
        <v>2.15</v>
      </c>
      <c r="G3" s="1">
        <f ca="1">IFERROR(__xludf.DUMMYFUNCTION("""COMPUTED_VALUE"""),-1.02)</f>
        <v>-1.02</v>
      </c>
      <c r="H3" s="1">
        <f ca="1">IFERROR(__xludf.DUMMYFUNCTION("""COMPUTED_VALUE"""),9)</f>
        <v>9</v>
      </c>
      <c r="I3" s="1">
        <f ca="1">IFERROR(__xludf.DUMMYFUNCTION("""COMPUTED_VALUE"""),7)</f>
        <v>7</v>
      </c>
      <c r="J3" s="1">
        <f ca="1">IFERROR(__xludf.DUMMYFUNCTION("""COMPUTED_VALUE"""),14)</f>
        <v>14</v>
      </c>
      <c r="K3" s="1">
        <f ca="1">IFERROR(__xludf.DUMMYFUNCTION("""COMPUTED_VALUE"""),2)</f>
        <v>2</v>
      </c>
      <c r="L3" s="1">
        <f ca="1">IFERROR(__xludf.DUMMYFUNCTION("""COMPUTED_VALUE"""),5)</f>
        <v>5</v>
      </c>
      <c r="M3" s="1">
        <f ca="1">IFERROR(__xludf.DUMMYFUNCTION("""COMPUTED_VALUE"""),9)</f>
        <v>9</v>
      </c>
      <c r="N3" s="1">
        <f ca="1">IFERROR(__xludf.DUMMYFUNCTION("""COMPUTED_VALUE"""),2524)</f>
        <v>2524</v>
      </c>
      <c r="O3" s="1">
        <f ca="1">IFERROR(__xludf.DUMMYFUNCTION("""COMPUTED_VALUE"""),2365)</f>
        <v>2365</v>
      </c>
      <c r="P3" s="1">
        <f ca="1">IFERROR(__xludf.DUMMYFUNCTION("""COMPUTED_VALUE"""),1465)</f>
        <v>1465</v>
      </c>
      <c r="Q3" s="1">
        <f ca="1">IFERROR(__xludf.DUMMYFUNCTION("""COMPUTED_VALUE"""),892)</f>
        <v>892</v>
      </c>
      <c r="R3" s="1">
        <f ca="1">IFERROR(__xludf.DUMMYFUNCTION("""COMPUTED_VALUE"""),2073)</f>
        <v>2073</v>
      </c>
      <c r="S3" s="1">
        <f ca="1">IFERROR(__xludf.DUMMYFUNCTION("""COMPUTED_VALUE"""),0.43)</f>
        <v>0.43</v>
      </c>
      <c r="T3" s="1">
        <f ca="1">IFERROR(__xludf.DUMMYFUNCTION("""COMPUTED_VALUE"""),283)</f>
        <v>283</v>
      </c>
      <c r="U3" s="1">
        <f ca="1">IFERROR(__xludf.DUMMYFUNCTION("""COMPUTED_VALUE"""),785)</f>
        <v>785</v>
      </c>
      <c r="V3" s="1">
        <f ca="1">IFERROR(__xludf.DUMMYFUNCTION("""COMPUTED_VALUE"""),0.361)</f>
        <v>0.36099999999999999</v>
      </c>
      <c r="W3" s="1">
        <f ca="1">IFERROR(__xludf.DUMMYFUNCTION("""COMPUTED_VALUE"""),457)</f>
        <v>457</v>
      </c>
      <c r="X3" s="1">
        <f ca="1">IFERROR(__xludf.DUMMYFUNCTION("""COMPUTED_VALUE"""),649)</f>
        <v>649</v>
      </c>
      <c r="Y3" s="1">
        <f ca="1">IFERROR(__xludf.DUMMYFUNCTION("""COMPUTED_VALUE"""),0.704)</f>
        <v>0.70399999999999996</v>
      </c>
      <c r="Z3" s="1">
        <f ca="1">IFERROR(__xludf.DUMMYFUNCTION("""COMPUTED_VALUE"""),363)</f>
        <v>363</v>
      </c>
      <c r="AA3" s="1">
        <f ca="1">IFERROR(__xludf.DUMMYFUNCTION("""COMPUTED_VALUE"""),1238)</f>
        <v>1238</v>
      </c>
      <c r="AB3" s="1">
        <f ca="1">IFERROR(__xludf.DUMMYFUNCTION("""COMPUTED_VALUE"""),520)</f>
        <v>520</v>
      </c>
      <c r="AC3" s="1">
        <f ca="1">IFERROR(__xludf.DUMMYFUNCTION("""COMPUTED_VALUE"""),240)</f>
        <v>240</v>
      </c>
      <c r="AD3" s="1">
        <f ca="1">IFERROR(__xludf.DUMMYFUNCTION("""COMPUTED_VALUE"""),129)</f>
        <v>129</v>
      </c>
      <c r="AE3" s="1">
        <f ca="1">IFERROR(__xludf.DUMMYFUNCTION("""COMPUTED_VALUE"""),432)</f>
        <v>432</v>
      </c>
      <c r="AF3" s="1">
        <f ca="1">IFERROR(__xludf.DUMMYFUNCTION("""COMPUTED_VALUE"""),692)</f>
        <v>692</v>
      </c>
    </row>
    <row r="4" spans="1:32" ht="15.75" customHeight="1" x14ac:dyDescent="0.25">
      <c r="A4" s="1" t="str">
        <f ca="1">IFERROR(__xludf.DUMMYFUNCTION("""COMPUTED_VALUE"""),"Alabama A&amp;M")</f>
        <v>Alabama A&amp;M</v>
      </c>
      <c r="B4" s="1">
        <f ca="1">IFERROR(__xludf.DUMMYFUNCTION("""COMPUTED_VALUE"""),28)</f>
        <v>28</v>
      </c>
      <c r="C4" s="1">
        <f ca="1">IFERROR(__xludf.DUMMYFUNCTION("""COMPUTED_VALUE"""),13)</f>
        <v>13</v>
      </c>
      <c r="D4" s="1">
        <f ca="1">IFERROR(__xludf.DUMMYFUNCTION("""COMPUTED_VALUE"""),15)</f>
        <v>15</v>
      </c>
      <c r="E4" s="1">
        <f ca="1">IFERROR(__xludf.DUMMYFUNCTION("""COMPUTED_VALUE"""),0.464)</f>
        <v>0.46400000000000002</v>
      </c>
      <c r="F4" s="1">
        <f ca="1">IFERROR(__xludf.DUMMYFUNCTION("""COMPUTED_VALUE"""),-15.19)</f>
        <v>-15.19</v>
      </c>
      <c r="G4" s="1">
        <f ca="1">IFERROR(__xludf.DUMMYFUNCTION("""COMPUTED_VALUE"""),-11.75)</f>
        <v>-11.75</v>
      </c>
      <c r="H4" s="1">
        <f ca="1">IFERROR(__xludf.DUMMYFUNCTION("""COMPUTED_VALUE"""),10)</f>
        <v>10</v>
      </c>
      <c r="I4" s="1">
        <f ca="1">IFERROR(__xludf.DUMMYFUNCTION("""COMPUTED_VALUE"""),8)</f>
        <v>8</v>
      </c>
      <c r="J4" s="1">
        <f ca="1">IFERROR(__xludf.DUMMYFUNCTION("""COMPUTED_VALUE"""),9)</f>
        <v>9</v>
      </c>
      <c r="K4" s="1">
        <f ca="1">IFERROR(__xludf.DUMMYFUNCTION("""COMPUTED_VALUE"""),4)</f>
        <v>4</v>
      </c>
      <c r="L4" s="1">
        <f ca="1">IFERROR(__xludf.DUMMYFUNCTION("""COMPUTED_VALUE"""),4)</f>
        <v>4</v>
      </c>
      <c r="M4" s="1">
        <f ca="1">IFERROR(__xludf.DUMMYFUNCTION("""COMPUTED_VALUE"""),10)</f>
        <v>10</v>
      </c>
      <c r="N4" s="1">
        <f ca="1">IFERROR(__xludf.DUMMYFUNCTION("""COMPUTED_VALUE"""),1808)</f>
        <v>1808</v>
      </c>
      <c r="O4" s="1">
        <f ca="1">IFERROR(__xludf.DUMMYFUNCTION("""COMPUTED_VALUE"""),1870)</f>
        <v>1870</v>
      </c>
      <c r="P4" s="1">
        <f ca="1">IFERROR(__xludf.DUMMYFUNCTION("""COMPUTED_VALUE"""),1125)</f>
        <v>1125</v>
      </c>
      <c r="Q4" s="1">
        <f ca="1">IFERROR(__xludf.DUMMYFUNCTION("""COMPUTED_VALUE"""),633)</f>
        <v>633</v>
      </c>
      <c r="R4" s="1">
        <f ca="1">IFERROR(__xludf.DUMMYFUNCTION("""COMPUTED_VALUE"""),1598)</f>
        <v>1598</v>
      </c>
      <c r="S4" s="1">
        <f ca="1">IFERROR(__xludf.DUMMYFUNCTION("""COMPUTED_VALUE"""),0.396)</f>
        <v>0.39600000000000002</v>
      </c>
      <c r="T4" s="1">
        <f ca="1">IFERROR(__xludf.DUMMYFUNCTION("""COMPUTED_VALUE"""),125)</f>
        <v>125</v>
      </c>
      <c r="U4" s="1">
        <f ca="1">IFERROR(__xludf.DUMMYFUNCTION("""COMPUTED_VALUE"""),434)</f>
        <v>434</v>
      </c>
      <c r="V4" s="1">
        <f ca="1">IFERROR(__xludf.DUMMYFUNCTION("""COMPUTED_VALUE"""),0.288)</f>
        <v>0.28799999999999998</v>
      </c>
      <c r="W4" s="1">
        <f ca="1">IFERROR(__xludf.DUMMYFUNCTION("""COMPUTED_VALUE"""),417)</f>
        <v>417</v>
      </c>
      <c r="X4" s="1">
        <f ca="1">IFERROR(__xludf.DUMMYFUNCTION("""COMPUTED_VALUE"""),668)</f>
        <v>668</v>
      </c>
      <c r="Y4" s="1">
        <f ca="1">IFERROR(__xludf.DUMMYFUNCTION("""COMPUTED_VALUE"""),0.624)</f>
        <v>0.624</v>
      </c>
      <c r="Z4" s="1">
        <f ca="1">IFERROR(__xludf.DUMMYFUNCTION("""COMPUTED_VALUE"""),347)</f>
        <v>347</v>
      </c>
      <c r="AA4" s="1">
        <f ca="1">IFERROR(__xludf.DUMMYFUNCTION("""COMPUTED_VALUE"""),1058)</f>
        <v>1058</v>
      </c>
      <c r="AB4" s="1">
        <f ca="1">IFERROR(__xludf.DUMMYFUNCTION("""COMPUTED_VALUE"""),339)</f>
        <v>339</v>
      </c>
      <c r="AC4" s="1">
        <f ca="1">IFERROR(__xludf.DUMMYFUNCTION("""COMPUTED_VALUE"""),233)</f>
        <v>233</v>
      </c>
      <c r="AD4" s="1">
        <f ca="1">IFERROR(__xludf.DUMMYFUNCTION("""COMPUTED_VALUE"""),151)</f>
        <v>151</v>
      </c>
      <c r="AE4" s="1">
        <f ca="1">IFERROR(__xludf.DUMMYFUNCTION("""COMPUTED_VALUE"""),444)</f>
        <v>444</v>
      </c>
      <c r="AF4" s="1">
        <f ca="1">IFERROR(__xludf.DUMMYFUNCTION("""COMPUTED_VALUE"""),562)</f>
        <v>562</v>
      </c>
    </row>
    <row r="5" spans="1:32" ht="15.75" customHeight="1" x14ac:dyDescent="0.25">
      <c r="A5" s="1" t="str">
        <f ca="1">IFERROR(__xludf.DUMMYFUNCTION("""COMPUTED_VALUE"""),"Alabama-BirminghamNCAA")</f>
        <v>Alabama-BirminghamNCAA</v>
      </c>
      <c r="B5" s="1">
        <f ca="1">IFERROR(__xludf.DUMMYFUNCTION("""COMPUTED_VALUE"""),31)</f>
        <v>31</v>
      </c>
      <c r="C5" s="1">
        <f ca="1">IFERROR(__xludf.DUMMYFUNCTION("""COMPUTED_VALUE"""),22)</f>
        <v>22</v>
      </c>
      <c r="D5" s="1">
        <f ca="1">IFERROR(__xludf.DUMMYFUNCTION("""COMPUTED_VALUE"""),9)</f>
        <v>9</v>
      </c>
      <c r="E5" s="1">
        <f ca="1">IFERROR(__xludf.DUMMYFUNCTION("""COMPUTED_VALUE"""),0.71)</f>
        <v>0.71</v>
      </c>
      <c r="F5" s="1">
        <f ca="1">IFERROR(__xludf.DUMMYFUNCTION("""COMPUTED_VALUE"""),8.55)</f>
        <v>8.5500000000000007</v>
      </c>
      <c r="G5" s="1">
        <f ca="1">IFERROR(__xludf.DUMMYFUNCTION("""COMPUTED_VALUE"""),2.78)</f>
        <v>2.78</v>
      </c>
      <c r="H5" s="1">
        <f ca="1">IFERROR(__xludf.DUMMYFUNCTION("""COMPUTED_VALUE"""),12)</f>
        <v>12</v>
      </c>
      <c r="I5" s="1">
        <f ca="1">IFERROR(__xludf.DUMMYFUNCTION("""COMPUTED_VALUE"""),4)</f>
        <v>4</v>
      </c>
      <c r="J5" s="1">
        <f ca="1">IFERROR(__xludf.DUMMYFUNCTION("""COMPUTED_VALUE"""),13)</f>
        <v>13</v>
      </c>
      <c r="K5" s="1">
        <f ca="1">IFERROR(__xludf.DUMMYFUNCTION("""COMPUTED_VALUE"""),2)</f>
        <v>2</v>
      </c>
      <c r="L5" s="1">
        <f ca="1">IFERROR(__xludf.DUMMYFUNCTION("""COMPUTED_VALUE"""),8)</f>
        <v>8</v>
      </c>
      <c r="M5" s="1">
        <f ca="1">IFERROR(__xludf.DUMMYFUNCTION("""COMPUTED_VALUE"""),5)</f>
        <v>5</v>
      </c>
      <c r="N5" s="1">
        <f ca="1">IFERROR(__xludf.DUMMYFUNCTION("""COMPUTED_VALUE"""),2119)</f>
        <v>2119</v>
      </c>
      <c r="O5" s="1">
        <f ca="1">IFERROR(__xludf.DUMMYFUNCTION("""COMPUTED_VALUE"""),1940)</f>
        <v>1940</v>
      </c>
      <c r="P5" s="1">
        <f ca="1">IFERROR(__xludf.DUMMYFUNCTION("""COMPUTED_VALUE"""),1270)</f>
        <v>1270</v>
      </c>
      <c r="Q5" s="1">
        <f ca="1">IFERROR(__xludf.DUMMYFUNCTION("""COMPUTED_VALUE"""),756)</f>
        <v>756</v>
      </c>
      <c r="R5" s="1">
        <f ca="1">IFERROR(__xludf.DUMMYFUNCTION("""COMPUTED_VALUE"""),1725)</f>
        <v>1725</v>
      </c>
      <c r="S5" s="1">
        <f ca="1">IFERROR(__xludf.DUMMYFUNCTION("""COMPUTED_VALUE"""),0.438)</f>
        <v>0.438</v>
      </c>
      <c r="T5" s="1">
        <f ca="1">IFERROR(__xludf.DUMMYFUNCTION("""COMPUTED_VALUE"""),239)</f>
        <v>239</v>
      </c>
      <c r="U5" s="1">
        <f ca="1">IFERROR(__xludf.DUMMYFUNCTION("""COMPUTED_VALUE"""),698)</f>
        <v>698</v>
      </c>
      <c r="V5" s="1">
        <f ca="1">IFERROR(__xludf.DUMMYFUNCTION("""COMPUTED_VALUE"""),0.342)</f>
        <v>0.34200000000000003</v>
      </c>
      <c r="W5" s="1">
        <f ca="1">IFERROR(__xludf.DUMMYFUNCTION("""COMPUTED_VALUE"""),368)</f>
        <v>368</v>
      </c>
      <c r="X5" s="1">
        <f ca="1">IFERROR(__xludf.DUMMYFUNCTION("""COMPUTED_VALUE"""),513)</f>
        <v>513</v>
      </c>
      <c r="Y5" s="1">
        <f ca="1">IFERROR(__xludf.DUMMYFUNCTION("""COMPUTED_VALUE"""),0.717)</f>
        <v>0.71699999999999997</v>
      </c>
      <c r="Z5" s="1">
        <f ca="1">IFERROR(__xludf.DUMMYFUNCTION("""COMPUTED_VALUE"""),352)</f>
        <v>352</v>
      </c>
      <c r="AA5" s="1">
        <f ca="1">IFERROR(__xludf.DUMMYFUNCTION("""COMPUTED_VALUE"""),1109)</f>
        <v>1109</v>
      </c>
      <c r="AB5" s="1">
        <f ca="1">IFERROR(__xludf.DUMMYFUNCTION("""COMPUTED_VALUE"""),420)</f>
        <v>420</v>
      </c>
      <c r="AC5" s="1">
        <f ca="1">IFERROR(__xludf.DUMMYFUNCTION("""COMPUTED_VALUE"""),164)</f>
        <v>164</v>
      </c>
      <c r="AD5" s="1">
        <f ca="1">IFERROR(__xludf.DUMMYFUNCTION("""COMPUTED_VALUE"""),97)</f>
        <v>97</v>
      </c>
      <c r="AE5" s="1">
        <f ca="1">IFERROR(__xludf.DUMMYFUNCTION("""COMPUTED_VALUE"""),387)</f>
        <v>387</v>
      </c>
      <c r="AF5" s="1">
        <f ca="1">IFERROR(__xludf.DUMMYFUNCTION("""COMPUTED_VALUE"""),514)</f>
        <v>514</v>
      </c>
    </row>
    <row r="6" spans="1:32" ht="15.75" customHeight="1" x14ac:dyDescent="0.25">
      <c r="A6" s="1" t="str">
        <f ca="1">IFERROR(__xludf.DUMMYFUNCTION("""COMPUTED_VALUE"""),"Alabama StateNCAA")</f>
        <v>Alabama StateNCAA</v>
      </c>
      <c r="B6" s="1">
        <f ca="1">IFERROR(__xludf.DUMMYFUNCTION("""COMPUTED_VALUE"""),35)</f>
        <v>35</v>
      </c>
      <c r="C6" s="1">
        <f ca="1">IFERROR(__xludf.DUMMYFUNCTION("""COMPUTED_VALUE"""),17)</f>
        <v>17</v>
      </c>
      <c r="D6" s="1">
        <f ca="1">IFERROR(__xludf.DUMMYFUNCTION("""COMPUTED_VALUE"""),18)</f>
        <v>18</v>
      </c>
      <c r="E6" s="1">
        <f ca="1">IFERROR(__xludf.DUMMYFUNCTION("""COMPUTED_VALUE"""),0.486)</f>
        <v>0.48599999999999999</v>
      </c>
      <c r="F6" s="1">
        <f ca="1">IFERROR(__xludf.DUMMYFUNCTION("""COMPUTED_VALUE"""),-13.37)</f>
        <v>-13.37</v>
      </c>
      <c r="G6" s="1">
        <f ca="1">IFERROR(__xludf.DUMMYFUNCTION("""COMPUTED_VALUE"""),-10.31)</f>
        <v>-10.31</v>
      </c>
      <c r="H6" s="1">
        <f ca="1">IFERROR(__xludf.DUMMYFUNCTION("""COMPUTED_VALUE"""),11)</f>
        <v>11</v>
      </c>
      <c r="I6" s="1">
        <f ca="1">IFERROR(__xludf.DUMMYFUNCTION("""COMPUTED_VALUE"""),7)</f>
        <v>7</v>
      </c>
      <c r="J6" s="1">
        <f ca="1">IFERROR(__xludf.DUMMYFUNCTION("""COMPUTED_VALUE"""),10)</f>
        <v>10</v>
      </c>
      <c r="K6" s="1">
        <f ca="1">IFERROR(__xludf.DUMMYFUNCTION("""COMPUTED_VALUE"""),3)</f>
        <v>3</v>
      </c>
      <c r="L6" s="1">
        <f ca="1">IFERROR(__xludf.DUMMYFUNCTION("""COMPUTED_VALUE"""),4)</f>
        <v>4</v>
      </c>
      <c r="M6" s="1">
        <f ca="1">IFERROR(__xludf.DUMMYFUNCTION("""COMPUTED_VALUE"""),14)</f>
        <v>14</v>
      </c>
      <c r="N6" s="1">
        <f ca="1">IFERROR(__xludf.DUMMYFUNCTION("""COMPUTED_VALUE"""),2146)</f>
        <v>2146</v>
      </c>
      <c r="O6" s="1">
        <f ca="1">IFERROR(__xludf.DUMMYFUNCTION("""COMPUTED_VALUE"""),2234)</f>
        <v>2234</v>
      </c>
      <c r="P6" s="1">
        <f ca="1">IFERROR(__xludf.DUMMYFUNCTION("""COMPUTED_VALUE"""),1410)</f>
        <v>1410</v>
      </c>
      <c r="Q6" s="1">
        <f ca="1">IFERROR(__xludf.DUMMYFUNCTION("""COMPUTED_VALUE"""),728)</f>
        <v>728</v>
      </c>
      <c r="R6" s="1">
        <f ca="1">IFERROR(__xludf.DUMMYFUNCTION("""COMPUTED_VALUE"""),1841)</f>
        <v>1841</v>
      </c>
      <c r="S6" s="1">
        <f ca="1">IFERROR(__xludf.DUMMYFUNCTION("""COMPUTED_VALUE"""),0.395)</f>
        <v>0.39500000000000002</v>
      </c>
      <c r="T6" s="1">
        <f ca="1">IFERROR(__xludf.DUMMYFUNCTION("""COMPUTED_VALUE"""),165)</f>
        <v>165</v>
      </c>
      <c r="U6" s="1">
        <f ca="1">IFERROR(__xludf.DUMMYFUNCTION("""COMPUTED_VALUE"""),583)</f>
        <v>583</v>
      </c>
      <c r="V6" s="1">
        <f ca="1">IFERROR(__xludf.DUMMYFUNCTION("""COMPUTED_VALUE"""),0.283)</f>
        <v>0.28299999999999997</v>
      </c>
      <c r="W6" s="1">
        <f ca="1">IFERROR(__xludf.DUMMYFUNCTION("""COMPUTED_VALUE"""),525)</f>
        <v>525</v>
      </c>
      <c r="X6" s="1">
        <f ca="1">IFERROR(__xludf.DUMMYFUNCTION("""COMPUTED_VALUE"""),870)</f>
        <v>870</v>
      </c>
      <c r="Y6" s="1">
        <f ca="1">IFERROR(__xludf.DUMMYFUNCTION("""COMPUTED_VALUE"""),0.603)</f>
        <v>0.60299999999999998</v>
      </c>
      <c r="Z6" s="1">
        <f ca="1">IFERROR(__xludf.DUMMYFUNCTION("""COMPUTED_VALUE"""),460)</f>
        <v>460</v>
      </c>
      <c r="AA6" s="1">
        <f ca="1">IFERROR(__xludf.DUMMYFUNCTION("""COMPUTED_VALUE"""),1271)</f>
        <v>1271</v>
      </c>
      <c r="AB6" s="1">
        <f ca="1">IFERROR(__xludf.DUMMYFUNCTION("""COMPUTED_VALUE"""),404)</f>
        <v>404</v>
      </c>
      <c r="AC6" s="1">
        <f ca="1">IFERROR(__xludf.DUMMYFUNCTION("""COMPUTED_VALUE"""),255)</f>
        <v>255</v>
      </c>
      <c r="AD6" s="1">
        <f ca="1">IFERROR(__xludf.DUMMYFUNCTION("""COMPUTED_VALUE"""),163)</f>
        <v>163</v>
      </c>
      <c r="AE6" s="1">
        <f ca="1">IFERROR(__xludf.DUMMYFUNCTION("""COMPUTED_VALUE"""),551)</f>
        <v>551</v>
      </c>
      <c r="AF6" s="1">
        <f ca="1">IFERROR(__xludf.DUMMYFUNCTION("""COMPUTED_VALUE"""),777)</f>
        <v>777</v>
      </c>
    </row>
    <row r="7" spans="1:32" ht="15.75" customHeight="1" x14ac:dyDescent="0.25">
      <c r="A7" s="1" t="str">
        <f ca="1">IFERROR(__xludf.DUMMYFUNCTION("""COMPUTED_VALUE"""),"Alabama")</f>
        <v>Alabama</v>
      </c>
      <c r="B7" s="1">
        <f ca="1">IFERROR(__xludf.DUMMYFUNCTION("""COMPUTED_VALUE"""),37)</f>
        <v>37</v>
      </c>
      <c r="C7" s="1">
        <f ca="1">IFERROR(__xludf.DUMMYFUNCTION("""COMPUTED_VALUE"""),25)</f>
        <v>25</v>
      </c>
      <c r="D7" s="1">
        <f ca="1">IFERROR(__xludf.DUMMYFUNCTION("""COMPUTED_VALUE"""),12)</f>
        <v>12</v>
      </c>
      <c r="E7" s="1">
        <f ca="1">IFERROR(__xludf.DUMMYFUNCTION("""COMPUTED_VALUE"""),0.676)</f>
        <v>0.67600000000000005</v>
      </c>
      <c r="F7" s="1">
        <f ca="1">IFERROR(__xludf.DUMMYFUNCTION("""COMPUTED_VALUE"""),11.7)</f>
        <v>11.7</v>
      </c>
      <c r="G7" s="1">
        <f ca="1">IFERROR(__xludf.DUMMYFUNCTION("""COMPUTED_VALUE"""),4.27)</f>
        <v>4.2699999999999996</v>
      </c>
      <c r="H7" s="1">
        <f ca="1">IFERROR(__xludf.DUMMYFUNCTION("""COMPUTED_VALUE"""),12)</f>
        <v>12</v>
      </c>
      <c r="I7" s="1">
        <f ca="1">IFERROR(__xludf.DUMMYFUNCTION("""COMPUTED_VALUE"""),4)</f>
        <v>4</v>
      </c>
      <c r="J7" s="1">
        <f ca="1">IFERROR(__xludf.DUMMYFUNCTION("""COMPUTED_VALUE"""),19)</f>
        <v>19</v>
      </c>
      <c r="K7" s="1">
        <f ca="1">IFERROR(__xludf.DUMMYFUNCTION("""COMPUTED_VALUE"""),0)</f>
        <v>0</v>
      </c>
      <c r="L7" s="1">
        <f ca="1">IFERROR(__xludf.DUMMYFUNCTION("""COMPUTED_VALUE"""),4)</f>
        <v>4</v>
      </c>
      <c r="M7" s="1">
        <f ca="1">IFERROR(__xludf.DUMMYFUNCTION("""COMPUTED_VALUE"""),6)</f>
        <v>6</v>
      </c>
      <c r="N7" s="1">
        <f ca="1">IFERROR(__xludf.DUMMYFUNCTION("""COMPUTED_VALUE"""),2473)</f>
        <v>2473</v>
      </c>
      <c r="O7" s="1">
        <f ca="1">IFERROR(__xludf.DUMMYFUNCTION("""COMPUTED_VALUE"""),2198)</f>
        <v>2198</v>
      </c>
      <c r="P7" s="1">
        <f ca="1">IFERROR(__xludf.DUMMYFUNCTION("""COMPUTED_VALUE"""),1490)</f>
        <v>1490</v>
      </c>
      <c r="Q7" s="1">
        <f ca="1">IFERROR(__xludf.DUMMYFUNCTION("""COMPUTED_VALUE"""),930)</f>
        <v>930</v>
      </c>
      <c r="R7" s="1">
        <f ca="1">IFERROR(__xludf.DUMMYFUNCTION("""COMPUTED_VALUE"""),2066)</f>
        <v>2066</v>
      </c>
      <c r="S7" s="1">
        <f ca="1">IFERROR(__xludf.DUMMYFUNCTION("""COMPUTED_VALUE"""),0.45)</f>
        <v>0.45</v>
      </c>
      <c r="T7" s="1">
        <f ca="1">IFERROR(__xludf.DUMMYFUNCTION("""COMPUTED_VALUE"""),152)</f>
        <v>152</v>
      </c>
      <c r="U7" s="1">
        <f ca="1">IFERROR(__xludf.DUMMYFUNCTION("""COMPUTED_VALUE"""),510)</f>
        <v>510</v>
      </c>
      <c r="V7" s="1">
        <f ca="1">IFERROR(__xludf.DUMMYFUNCTION("""COMPUTED_VALUE"""),0.298)</f>
        <v>0.29799999999999999</v>
      </c>
      <c r="W7" s="1">
        <f ca="1">IFERROR(__xludf.DUMMYFUNCTION("""COMPUTED_VALUE"""),461)</f>
        <v>461</v>
      </c>
      <c r="X7" s="1">
        <f ca="1">IFERROR(__xludf.DUMMYFUNCTION("""COMPUTED_VALUE"""),652)</f>
        <v>652</v>
      </c>
      <c r="Y7" s="1">
        <f ca="1">IFERROR(__xludf.DUMMYFUNCTION("""COMPUTED_VALUE"""),0.707)</f>
        <v>0.70699999999999996</v>
      </c>
      <c r="Z7" s="1">
        <f ca="1">IFERROR(__xludf.DUMMYFUNCTION("""COMPUTED_VALUE"""),458)</f>
        <v>458</v>
      </c>
      <c r="AA7" s="1">
        <f ca="1">IFERROR(__xludf.DUMMYFUNCTION("""COMPUTED_VALUE"""),1339)</f>
        <v>1339</v>
      </c>
      <c r="AB7" s="1">
        <f ca="1">IFERROR(__xludf.DUMMYFUNCTION("""COMPUTED_VALUE"""),454)</f>
        <v>454</v>
      </c>
      <c r="AC7" s="1">
        <f ca="1">IFERROR(__xludf.DUMMYFUNCTION("""COMPUTED_VALUE"""),351)</f>
        <v>351</v>
      </c>
      <c r="AD7" s="1">
        <f ca="1">IFERROR(__xludf.DUMMYFUNCTION("""COMPUTED_VALUE"""),190)</f>
        <v>190</v>
      </c>
      <c r="AE7" s="1">
        <f ca="1">IFERROR(__xludf.DUMMYFUNCTION("""COMPUTED_VALUE"""),516)</f>
        <v>516</v>
      </c>
      <c r="AF7" s="1">
        <f ca="1">IFERROR(__xludf.DUMMYFUNCTION("""COMPUTED_VALUE"""),675)</f>
        <v>675</v>
      </c>
    </row>
    <row r="8" spans="1:32" ht="15.75" customHeight="1" x14ac:dyDescent="0.25">
      <c r="A8" s="1" t="str">
        <f ca="1">IFERROR(__xludf.DUMMYFUNCTION("""COMPUTED_VALUE"""),"Albany (NY)")</f>
        <v>Albany (NY)</v>
      </c>
      <c r="B8" s="1">
        <f ca="1">IFERROR(__xludf.DUMMYFUNCTION("""COMPUTED_VALUE"""),32)</f>
        <v>32</v>
      </c>
      <c r="C8" s="1">
        <f ca="1">IFERROR(__xludf.DUMMYFUNCTION("""COMPUTED_VALUE"""),16)</f>
        <v>16</v>
      </c>
      <c r="D8" s="1">
        <f ca="1">IFERROR(__xludf.DUMMYFUNCTION("""COMPUTED_VALUE"""),16)</f>
        <v>16</v>
      </c>
      <c r="E8" s="1">
        <f ca="1">IFERROR(__xludf.DUMMYFUNCTION("""COMPUTED_VALUE"""),0.5)</f>
        <v>0.5</v>
      </c>
      <c r="F8" s="1">
        <f ca="1">IFERROR(__xludf.DUMMYFUNCTION("""COMPUTED_VALUE"""),-7.05)</f>
        <v>-7.05</v>
      </c>
      <c r="G8" s="1">
        <f ca="1">IFERROR(__xludf.DUMMYFUNCTION("""COMPUTED_VALUE"""),-5.96)</f>
        <v>-5.96</v>
      </c>
      <c r="H8" s="1">
        <f ca="1">IFERROR(__xludf.DUMMYFUNCTION("""COMPUTED_VALUE"""),9)</f>
        <v>9</v>
      </c>
      <c r="I8" s="1">
        <f ca="1">IFERROR(__xludf.DUMMYFUNCTION("""COMPUTED_VALUE"""),7)</f>
        <v>7</v>
      </c>
      <c r="J8" s="1">
        <f ca="1">IFERROR(__xludf.DUMMYFUNCTION("""COMPUTED_VALUE"""),7)</f>
        <v>7</v>
      </c>
      <c r="K8" s="1">
        <f ca="1">IFERROR(__xludf.DUMMYFUNCTION("""COMPUTED_VALUE"""),6)</f>
        <v>6</v>
      </c>
      <c r="L8" s="1">
        <f ca="1">IFERROR(__xludf.DUMMYFUNCTION("""COMPUTED_VALUE"""),7)</f>
        <v>7</v>
      </c>
      <c r="M8" s="1">
        <f ca="1">IFERROR(__xludf.DUMMYFUNCTION("""COMPUTED_VALUE"""),8)</f>
        <v>8</v>
      </c>
      <c r="N8" s="1">
        <f ca="1">IFERROR(__xludf.DUMMYFUNCTION("""COMPUTED_VALUE"""),2013)</f>
        <v>2013</v>
      </c>
      <c r="O8" s="1">
        <f ca="1">IFERROR(__xludf.DUMMYFUNCTION("""COMPUTED_VALUE"""),2048)</f>
        <v>2048</v>
      </c>
      <c r="P8" s="1">
        <f ca="1">IFERROR(__xludf.DUMMYFUNCTION("""COMPUTED_VALUE"""),1305)</f>
        <v>1305</v>
      </c>
      <c r="Q8" s="1">
        <f ca="1">IFERROR(__xludf.DUMMYFUNCTION("""COMPUTED_VALUE"""),724)</f>
        <v>724</v>
      </c>
      <c r="R8" s="1">
        <f ca="1">IFERROR(__xludf.DUMMYFUNCTION("""COMPUTED_VALUE"""),1707)</f>
        <v>1707</v>
      </c>
      <c r="S8" s="1">
        <f ca="1">IFERROR(__xludf.DUMMYFUNCTION("""COMPUTED_VALUE"""),0.424)</f>
        <v>0.42399999999999999</v>
      </c>
      <c r="T8" s="1">
        <f ca="1">IFERROR(__xludf.DUMMYFUNCTION("""COMPUTED_VALUE"""),238)</f>
        <v>238</v>
      </c>
      <c r="U8" s="1">
        <f ca="1">IFERROR(__xludf.DUMMYFUNCTION("""COMPUTED_VALUE"""),630)</f>
        <v>630</v>
      </c>
      <c r="V8" s="1">
        <f ca="1">IFERROR(__xludf.DUMMYFUNCTION("""COMPUTED_VALUE"""),0.378)</f>
        <v>0.378</v>
      </c>
      <c r="W8" s="1">
        <f ca="1">IFERROR(__xludf.DUMMYFUNCTION("""COMPUTED_VALUE"""),327)</f>
        <v>327</v>
      </c>
      <c r="X8" s="1">
        <f ca="1">IFERROR(__xludf.DUMMYFUNCTION("""COMPUTED_VALUE"""),507)</f>
        <v>507</v>
      </c>
      <c r="Y8" s="1">
        <f ca="1">IFERROR(__xludf.DUMMYFUNCTION("""COMPUTED_VALUE"""),0.645)</f>
        <v>0.64500000000000002</v>
      </c>
      <c r="Z8" s="1">
        <f ca="1">IFERROR(__xludf.DUMMYFUNCTION("""COMPUTED_VALUE"""),376)</f>
        <v>376</v>
      </c>
      <c r="AA8" s="1">
        <f ca="1">IFERROR(__xludf.DUMMYFUNCTION("""COMPUTED_VALUE"""),1155)</f>
        <v>1155</v>
      </c>
      <c r="AB8" s="1">
        <f ca="1">IFERROR(__xludf.DUMMYFUNCTION("""COMPUTED_VALUE"""),370)</f>
        <v>370</v>
      </c>
      <c r="AC8" s="1">
        <f ca="1">IFERROR(__xludf.DUMMYFUNCTION("""COMPUTED_VALUE"""),150)</f>
        <v>150</v>
      </c>
      <c r="AD8" s="1">
        <f ca="1">IFERROR(__xludf.DUMMYFUNCTION("""COMPUTED_VALUE"""),90)</f>
        <v>90</v>
      </c>
      <c r="AE8" s="1">
        <f ca="1">IFERROR(__xludf.DUMMYFUNCTION("""COMPUTED_VALUE"""),411)</f>
        <v>411</v>
      </c>
      <c r="AF8" s="1">
        <f ca="1">IFERROR(__xludf.DUMMYFUNCTION("""COMPUTED_VALUE"""),505)</f>
        <v>505</v>
      </c>
    </row>
    <row r="9" spans="1:32" ht="15.75" customHeight="1" x14ac:dyDescent="0.25">
      <c r="A9" s="1" t="str">
        <f ca="1">IFERROR(__xludf.DUMMYFUNCTION("""COMPUTED_VALUE"""),"Alcorn State")</f>
        <v>Alcorn State</v>
      </c>
      <c r="B9" s="1">
        <f ca="1">IFERROR(__xludf.DUMMYFUNCTION("""COMPUTED_VALUE"""),28)</f>
        <v>28</v>
      </c>
      <c r="C9" s="1">
        <f ca="1">IFERROR(__xludf.DUMMYFUNCTION("""COMPUTED_VALUE"""),4)</f>
        <v>4</v>
      </c>
      <c r="D9" s="1">
        <f ca="1">IFERROR(__xludf.DUMMYFUNCTION("""COMPUTED_VALUE"""),24)</f>
        <v>24</v>
      </c>
      <c r="E9" s="1">
        <f ca="1">IFERROR(__xludf.DUMMYFUNCTION("""COMPUTED_VALUE"""),0.143)</f>
        <v>0.14299999999999999</v>
      </c>
      <c r="F9" s="1">
        <f ca="1">IFERROR(__xludf.DUMMYFUNCTION("""COMPUTED_VALUE"""),-23.02)</f>
        <v>-23.02</v>
      </c>
      <c r="G9" s="1">
        <f ca="1">IFERROR(__xludf.DUMMYFUNCTION("""COMPUTED_VALUE"""),-8.02)</f>
        <v>-8.02</v>
      </c>
      <c r="H9" s="1">
        <f ca="1">IFERROR(__xludf.DUMMYFUNCTION("""COMPUTED_VALUE"""),4)</f>
        <v>4</v>
      </c>
      <c r="I9" s="1">
        <f ca="1">IFERROR(__xludf.DUMMYFUNCTION("""COMPUTED_VALUE"""),14)</f>
        <v>14</v>
      </c>
      <c r="J9" s="1">
        <f ca="1">IFERROR(__xludf.DUMMYFUNCTION("""COMPUTED_VALUE"""),2)</f>
        <v>2</v>
      </c>
      <c r="K9" s="1">
        <f ca="1">IFERROR(__xludf.DUMMYFUNCTION("""COMPUTED_VALUE"""),7)</f>
        <v>7</v>
      </c>
      <c r="L9" s="1">
        <f ca="1">IFERROR(__xludf.DUMMYFUNCTION("""COMPUTED_VALUE"""),2)</f>
        <v>2</v>
      </c>
      <c r="M9" s="1">
        <f ca="1">IFERROR(__xludf.DUMMYFUNCTION("""COMPUTED_VALUE"""),17)</f>
        <v>17</v>
      </c>
      <c r="N9" s="1">
        <f ca="1">IFERROR(__xludf.DUMMYFUNCTION("""COMPUTED_VALUE"""),1838)</f>
        <v>1838</v>
      </c>
      <c r="O9" s="1">
        <f ca="1">IFERROR(__xludf.DUMMYFUNCTION("""COMPUTED_VALUE"""),2258)</f>
        <v>2258</v>
      </c>
      <c r="P9" s="1">
        <f ca="1">IFERROR(__xludf.DUMMYFUNCTION("""COMPUTED_VALUE"""),1125)</f>
        <v>1125</v>
      </c>
      <c r="Q9" s="1">
        <f ca="1">IFERROR(__xludf.DUMMYFUNCTION("""COMPUTED_VALUE"""),614)</f>
        <v>614</v>
      </c>
      <c r="R9" s="1">
        <f ca="1">IFERROR(__xludf.DUMMYFUNCTION("""COMPUTED_VALUE"""),1664)</f>
        <v>1664</v>
      </c>
      <c r="S9" s="1">
        <f ca="1">IFERROR(__xludf.DUMMYFUNCTION("""COMPUTED_VALUE"""),0.369)</f>
        <v>0.36899999999999999</v>
      </c>
      <c r="T9" s="1">
        <f ca="1">IFERROR(__xludf.DUMMYFUNCTION("""COMPUTED_VALUE"""),116)</f>
        <v>116</v>
      </c>
      <c r="U9" s="1">
        <f ca="1">IFERROR(__xludf.DUMMYFUNCTION("""COMPUTED_VALUE"""),359)</f>
        <v>359</v>
      </c>
      <c r="V9" s="1">
        <f ca="1">IFERROR(__xludf.DUMMYFUNCTION("""COMPUTED_VALUE"""),0.323)</f>
        <v>0.32300000000000001</v>
      </c>
      <c r="W9" s="1">
        <f ca="1">IFERROR(__xludf.DUMMYFUNCTION("""COMPUTED_VALUE"""),494)</f>
        <v>494</v>
      </c>
      <c r="X9" s="1">
        <f ca="1">IFERROR(__xludf.DUMMYFUNCTION("""COMPUTED_VALUE"""),781)</f>
        <v>781</v>
      </c>
      <c r="Y9" s="1">
        <f ca="1">IFERROR(__xludf.DUMMYFUNCTION("""COMPUTED_VALUE"""),0.633)</f>
        <v>0.63300000000000001</v>
      </c>
      <c r="Z9" s="1">
        <f ca="1">IFERROR(__xludf.DUMMYFUNCTION("""COMPUTED_VALUE"""),295)</f>
        <v>295</v>
      </c>
      <c r="AA9" s="1">
        <f ca="1">IFERROR(__xludf.DUMMYFUNCTION("""COMPUTED_VALUE"""),992)</f>
        <v>992</v>
      </c>
      <c r="AB9" s="1">
        <f ca="1">IFERROR(__xludf.DUMMYFUNCTION("""COMPUTED_VALUE"""),255)</f>
        <v>255</v>
      </c>
      <c r="AC9" s="1">
        <f ca="1">IFERROR(__xludf.DUMMYFUNCTION("""COMPUTED_VALUE"""),218)</f>
        <v>218</v>
      </c>
      <c r="AD9" s="1">
        <f ca="1">IFERROR(__xludf.DUMMYFUNCTION("""COMPUTED_VALUE"""),103)</f>
        <v>103</v>
      </c>
      <c r="AE9" s="1">
        <f ca="1">IFERROR(__xludf.DUMMYFUNCTION("""COMPUTED_VALUE"""),473)</f>
        <v>473</v>
      </c>
      <c r="AF9" s="1">
        <f ca="1">IFERROR(__xludf.DUMMYFUNCTION("""COMPUTED_VALUE"""),610)</f>
        <v>610</v>
      </c>
    </row>
    <row r="10" spans="1:32" ht="15.75" customHeight="1" x14ac:dyDescent="0.25">
      <c r="A10" s="1" t="str">
        <f ca="1">IFERROR(__xludf.DUMMYFUNCTION("""COMPUTED_VALUE"""),"American")</f>
        <v>American</v>
      </c>
      <c r="B10" s="1">
        <f ca="1">IFERROR(__xludf.DUMMYFUNCTION("""COMPUTED_VALUE"""),31)</f>
        <v>31</v>
      </c>
      <c r="C10" s="1">
        <f ca="1">IFERROR(__xludf.DUMMYFUNCTION("""COMPUTED_VALUE"""),22)</f>
        <v>22</v>
      </c>
      <c r="D10" s="1">
        <f ca="1">IFERROR(__xludf.DUMMYFUNCTION("""COMPUTED_VALUE"""),9)</f>
        <v>9</v>
      </c>
      <c r="E10" s="1">
        <f ca="1">IFERROR(__xludf.DUMMYFUNCTION("""COMPUTED_VALUE"""),0.71)</f>
        <v>0.71</v>
      </c>
      <c r="F10" s="1">
        <f ca="1">IFERROR(__xludf.DUMMYFUNCTION("""COMPUTED_VALUE"""),-3.13)</f>
        <v>-3.13</v>
      </c>
      <c r="G10" s="1">
        <f ca="1">IFERROR(__xludf.DUMMYFUNCTION("""COMPUTED_VALUE"""),-5.64)</f>
        <v>-5.64</v>
      </c>
      <c r="H10" s="1">
        <f ca="1">IFERROR(__xludf.DUMMYFUNCTION("""COMPUTED_VALUE"""),11)</f>
        <v>11</v>
      </c>
      <c r="I10" s="1">
        <f ca="1">IFERROR(__xludf.DUMMYFUNCTION("""COMPUTED_VALUE"""),3)</f>
        <v>3</v>
      </c>
      <c r="J10" s="1">
        <f ca="1">IFERROR(__xludf.DUMMYFUNCTION("""COMPUTED_VALUE"""),10)</f>
        <v>10</v>
      </c>
      <c r="K10" s="1">
        <f ca="1">IFERROR(__xludf.DUMMYFUNCTION("""COMPUTED_VALUE"""),3)</f>
        <v>3</v>
      </c>
      <c r="L10" s="1">
        <f ca="1">IFERROR(__xludf.DUMMYFUNCTION("""COMPUTED_VALUE"""),10)</f>
        <v>10</v>
      </c>
      <c r="M10" s="1">
        <f ca="1">IFERROR(__xludf.DUMMYFUNCTION("""COMPUTED_VALUE"""),5)</f>
        <v>5</v>
      </c>
      <c r="N10" s="1">
        <f ca="1">IFERROR(__xludf.DUMMYFUNCTION("""COMPUTED_VALUE"""),2051)</f>
        <v>2051</v>
      </c>
      <c r="O10" s="1">
        <f ca="1">IFERROR(__xludf.DUMMYFUNCTION("""COMPUTED_VALUE"""),1973)</f>
        <v>1973</v>
      </c>
      <c r="P10" s="1">
        <f ca="1">IFERROR(__xludf.DUMMYFUNCTION("""COMPUTED_VALUE"""),1260)</f>
        <v>1260</v>
      </c>
      <c r="Q10" s="1">
        <f ca="1">IFERROR(__xludf.DUMMYFUNCTION("""COMPUTED_VALUE"""),716)</f>
        <v>716</v>
      </c>
      <c r="R10" s="1">
        <f ca="1">IFERROR(__xludf.DUMMYFUNCTION("""COMPUTED_VALUE"""),1602)</f>
        <v>1602</v>
      </c>
      <c r="S10" s="1">
        <f ca="1">IFERROR(__xludf.DUMMYFUNCTION("""COMPUTED_VALUE"""),0.447)</f>
        <v>0.44700000000000001</v>
      </c>
      <c r="T10" s="1">
        <f ca="1">IFERROR(__xludf.DUMMYFUNCTION("""COMPUTED_VALUE"""),188)</f>
        <v>188</v>
      </c>
      <c r="U10" s="1">
        <f ca="1">IFERROR(__xludf.DUMMYFUNCTION("""COMPUTED_VALUE"""),557)</f>
        <v>557</v>
      </c>
      <c r="V10" s="1">
        <f ca="1">IFERROR(__xludf.DUMMYFUNCTION("""COMPUTED_VALUE"""),0.338)</f>
        <v>0.33800000000000002</v>
      </c>
      <c r="W10" s="1">
        <f ca="1">IFERROR(__xludf.DUMMYFUNCTION("""COMPUTED_VALUE"""),431)</f>
        <v>431</v>
      </c>
      <c r="X10" s="1">
        <f ca="1">IFERROR(__xludf.DUMMYFUNCTION("""COMPUTED_VALUE"""),600)</f>
        <v>600</v>
      </c>
      <c r="Y10" s="1">
        <f ca="1">IFERROR(__xludf.DUMMYFUNCTION("""COMPUTED_VALUE"""),0.718)</f>
        <v>0.71799999999999997</v>
      </c>
      <c r="Z10" s="1">
        <f ca="1">IFERROR(__xludf.DUMMYFUNCTION("""COMPUTED_VALUE"""),288)</f>
        <v>288</v>
      </c>
      <c r="AA10" s="1">
        <f ca="1">IFERROR(__xludf.DUMMYFUNCTION("""COMPUTED_VALUE"""),1044)</f>
        <v>1044</v>
      </c>
      <c r="AB10" s="1">
        <f ca="1">IFERROR(__xludf.DUMMYFUNCTION("""COMPUTED_VALUE"""),430)</f>
        <v>430</v>
      </c>
      <c r="AC10" s="1">
        <f ca="1">IFERROR(__xludf.DUMMYFUNCTION("""COMPUTED_VALUE"""),127)</f>
        <v>127</v>
      </c>
      <c r="AD10" s="1">
        <f ca="1">IFERROR(__xludf.DUMMYFUNCTION("""COMPUTED_VALUE"""),86)</f>
        <v>86</v>
      </c>
      <c r="AE10" s="1">
        <f ca="1">IFERROR(__xludf.DUMMYFUNCTION("""COMPUTED_VALUE"""),346)</f>
        <v>346</v>
      </c>
      <c r="AF10" s="1">
        <f ca="1">IFERROR(__xludf.DUMMYFUNCTION("""COMPUTED_VALUE"""),558)</f>
        <v>558</v>
      </c>
    </row>
    <row r="11" spans="1:32" ht="15.75" customHeight="1" x14ac:dyDescent="0.25">
      <c r="A11" s="1" t="str">
        <f ca="1">IFERROR(__xludf.DUMMYFUNCTION("""COMPUTED_VALUE"""),"Appalachian State")</f>
        <v>Appalachian State</v>
      </c>
      <c r="B11" s="1">
        <f ca="1">IFERROR(__xludf.DUMMYFUNCTION("""COMPUTED_VALUE"""),31)</f>
        <v>31</v>
      </c>
      <c r="C11" s="1">
        <f ca="1">IFERROR(__xludf.DUMMYFUNCTION("""COMPUTED_VALUE"""),16)</f>
        <v>16</v>
      </c>
      <c r="D11" s="1">
        <f ca="1">IFERROR(__xludf.DUMMYFUNCTION("""COMPUTED_VALUE"""),15)</f>
        <v>15</v>
      </c>
      <c r="E11" s="1">
        <f ca="1">IFERROR(__xludf.DUMMYFUNCTION("""COMPUTED_VALUE"""),0.516)</f>
        <v>0.51600000000000001</v>
      </c>
      <c r="F11" s="1">
        <f ca="1">IFERROR(__xludf.DUMMYFUNCTION("""COMPUTED_VALUE"""),-4.81)</f>
        <v>-4.8099999999999996</v>
      </c>
      <c r="G11" s="1">
        <f ca="1">IFERROR(__xludf.DUMMYFUNCTION("""COMPUTED_VALUE"""),-2.95)</f>
        <v>-2.95</v>
      </c>
      <c r="H11" s="1">
        <f ca="1">IFERROR(__xludf.DUMMYFUNCTION("""COMPUTED_VALUE"""),10)</f>
        <v>10</v>
      </c>
      <c r="I11" s="1">
        <f ca="1">IFERROR(__xludf.DUMMYFUNCTION("""COMPUTED_VALUE"""),8)</f>
        <v>8</v>
      </c>
      <c r="J11" s="1">
        <f ca="1">IFERROR(__xludf.DUMMYFUNCTION("""COMPUTED_VALUE"""),9)</f>
        <v>9</v>
      </c>
      <c r="K11" s="1">
        <f ca="1">IFERROR(__xludf.DUMMYFUNCTION("""COMPUTED_VALUE"""),3)</f>
        <v>3</v>
      </c>
      <c r="L11" s="1">
        <f ca="1">IFERROR(__xludf.DUMMYFUNCTION("""COMPUTED_VALUE"""),6)</f>
        <v>6</v>
      </c>
      <c r="M11" s="1">
        <f ca="1">IFERROR(__xludf.DUMMYFUNCTION("""COMPUTED_VALUE"""),8)</f>
        <v>8</v>
      </c>
      <c r="N11" s="1">
        <f ca="1">IFERROR(__xludf.DUMMYFUNCTION("""COMPUTED_VALUE"""),2265)</f>
        <v>2265</v>
      </c>
      <c r="O11" s="1">
        <f ca="1">IFERROR(__xludf.DUMMYFUNCTION("""COMPUTED_VALUE"""),2269)</f>
        <v>2269</v>
      </c>
      <c r="P11" s="1">
        <f ca="1">IFERROR(__xludf.DUMMYFUNCTION("""COMPUTED_VALUE"""),1245)</f>
        <v>1245</v>
      </c>
      <c r="Q11" s="1">
        <f ca="1">IFERROR(__xludf.DUMMYFUNCTION("""COMPUTED_VALUE"""),790)</f>
        <v>790</v>
      </c>
      <c r="R11" s="1">
        <f ca="1">IFERROR(__xludf.DUMMYFUNCTION("""COMPUTED_VALUE"""),1738)</f>
        <v>1738</v>
      </c>
      <c r="S11" s="1">
        <f ca="1">IFERROR(__xludf.DUMMYFUNCTION("""COMPUTED_VALUE"""),0.455)</f>
        <v>0.45500000000000002</v>
      </c>
      <c r="T11" s="1">
        <f ca="1">IFERROR(__xludf.DUMMYFUNCTION("""COMPUTED_VALUE"""),196)</f>
        <v>196</v>
      </c>
      <c r="U11" s="1">
        <f ca="1">IFERROR(__xludf.DUMMYFUNCTION("""COMPUTED_VALUE"""),582)</f>
        <v>582</v>
      </c>
      <c r="V11" s="1">
        <f ca="1">IFERROR(__xludf.DUMMYFUNCTION("""COMPUTED_VALUE"""),0.337)</f>
        <v>0.33700000000000002</v>
      </c>
      <c r="W11" s="1">
        <f ca="1">IFERROR(__xludf.DUMMYFUNCTION("""COMPUTED_VALUE"""),489)</f>
        <v>489</v>
      </c>
      <c r="X11" s="1">
        <f ca="1">IFERROR(__xludf.DUMMYFUNCTION("""COMPUTED_VALUE"""),694)</f>
        <v>694</v>
      </c>
      <c r="Y11" s="1">
        <f ca="1">IFERROR(__xludf.DUMMYFUNCTION("""COMPUTED_VALUE"""),0.705)</f>
        <v>0.70499999999999996</v>
      </c>
      <c r="Z11" s="1">
        <f ca="1">IFERROR(__xludf.DUMMYFUNCTION("""COMPUTED_VALUE"""),323)</f>
        <v>323</v>
      </c>
      <c r="AA11" s="1">
        <f ca="1">IFERROR(__xludf.DUMMYFUNCTION("""COMPUTED_VALUE"""),1067)</f>
        <v>1067</v>
      </c>
      <c r="AB11" s="1">
        <f ca="1">IFERROR(__xludf.DUMMYFUNCTION("""COMPUTED_VALUE"""),327)</f>
        <v>327</v>
      </c>
      <c r="AC11" s="1">
        <f ca="1">IFERROR(__xludf.DUMMYFUNCTION("""COMPUTED_VALUE"""),179)</f>
        <v>179</v>
      </c>
      <c r="AD11" s="1">
        <f ca="1">IFERROR(__xludf.DUMMYFUNCTION("""COMPUTED_VALUE"""),89)</f>
        <v>89</v>
      </c>
      <c r="AE11" s="1">
        <f ca="1">IFERROR(__xludf.DUMMYFUNCTION("""COMPUTED_VALUE"""),403)</f>
        <v>403</v>
      </c>
      <c r="AF11" s="1">
        <f ca="1">IFERROR(__xludf.DUMMYFUNCTION("""COMPUTED_VALUE"""),541)</f>
        <v>541</v>
      </c>
    </row>
    <row r="12" spans="1:32" ht="15.75" customHeight="1" x14ac:dyDescent="0.25">
      <c r="A12" s="1" t="str">
        <f ca="1">IFERROR(__xludf.DUMMYFUNCTION("""COMPUTED_VALUE"""),"Arizona State")</f>
        <v>Arizona State</v>
      </c>
      <c r="B12" s="1">
        <f ca="1">IFERROR(__xludf.DUMMYFUNCTION("""COMPUTED_VALUE"""),31)</f>
        <v>31</v>
      </c>
      <c r="C12" s="1">
        <f ca="1">IFERROR(__xludf.DUMMYFUNCTION("""COMPUTED_VALUE"""),12)</f>
        <v>12</v>
      </c>
      <c r="D12" s="1">
        <f ca="1">IFERROR(__xludf.DUMMYFUNCTION("""COMPUTED_VALUE"""),19)</f>
        <v>19</v>
      </c>
      <c r="E12" s="1">
        <f ca="1">IFERROR(__xludf.DUMMYFUNCTION("""COMPUTED_VALUE"""),0.387)</f>
        <v>0.38700000000000001</v>
      </c>
      <c r="F12" s="1">
        <f ca="1">IFERROR(__xludf.DUMMYFUNCTION("""COMPUTED_VALUE"""),4.3)</f>
        <v>4.3</v>
      </c>
      <c r="G12" s="1">
        <f ca="1">IFERROR(__xludf.DUMMYFUNCTION("""COMPUTED_VALUE"""),7.2)</f>
        <v>7.2</v>
      </c>
      <c r="H12" s="1">
        <f ca="1">IFERROR(__xludf.DUMMYFUNCTION("""COMPUTED_VALUE"""),4)</f>
        <v>4</v>
      </c>
      <c r="I12" s="1">
        <f ca="1">IFERROR(__xludf.DUMMYFUNCTION("""COMPUTED_VALUE"""),14)</f>
        <v>14</v>
      </c>
      <c r="J12" s="1">
        <f ca="1">IFERROR(__xludf.DUMMYFUNCTION("""COMPUTED_VALUE"""),8)</f>
        <v>8</v>
      </c>
      <c r="K12" s="1">
        <f ca="1">IFERROR(__xludf.DUMMYFUNCTION("""COMPUTED_VALUE"""),7)</f>
        <v>7</v>
      </c>
      <c r="L12" s="1">
        <f ca="1">IFERROR(__xludf.DUMMYFUNCTION("""COMPUTED_VALUE"""),2)</f>
        <v>2</v>
      </c>
      <c r="M12" s="1">
        <f ca="1">IFERROR(__xludf.DUMMYFUNCTION("""COMPUTED_VALUE"""),10)</f>
        <v>10</v>
      </c>
      <c r="N12" s="1">
        <f ca="1">IFERROR(__xludf.DUMMYFUNCTION("""COMPUTED_VALUE"""),1983)</f>
        <v>1983</v>
      </c>
      <c r="O12" s="1">
        <f ca="1">IFERROR(__xludf.DUMMYFUNCTION("""COMPUTED_VALUE"""),2073)</f>
        <v>2073</v>
      </c>
      <c r="P12" s="1">
        <f ca="1">IFERROR(__xludf.DUMMYFUNCTION("""COMPUTED_VALUE"""),1245)</f>
        <v>1245</v>
      </c>
      <c r="Q12" s="1">
        <f ca="1">IFERROR(__xludf.DUMMYFUNCTION("""COMPUTED_VALUE"""),719)</f>
        <v>719</v>
      </c>
      <c r="R12" s="1">
        <f ca="1">IFERROR(__xludf.DUMMYFUNCTION("""COMPUTED_VALUE"""),1674)</f>
        <v>1674</v>
      </c>
      <c r="S12" s="1">
        <f ca="1">IFERROR(__xludf.DUMMYFUNCTION("""COMPUTED_VALUE"""),0.43)</f>
        <v>0.43</v>
      </c>
      <c r="T12" s="1">
        <f ca="1">IFERROR(__xludf.DUMMYFUNCTION("""COMPUTED_VALUE"""),240)</f>
        <v>240</v>
      </c>
      <c r="U12" s="1">
        <f ca="1">IFERROR(__xludf.DUMMYFUNCTION("""COMPUTED_VALUE"""),684)</f>
        <v>684</v>
      </c>
      <c r="V12" s="1">
        <f ca="1">IFERROR(__xludf.DUMMYFUNCTION("""COMPUTED_VALUE"""),0.351)</f>
        <v>0.35099999999999998</v>
      </c>
      <c r="W12" s="1">
        <f ca="1">IFERROR(__xludf.DUMMYFUNCTION("""COMPUTED_VALUE"""),305)</f>
        <v>305</v>
      </c>
      <c r="X12" s="1">
        <f ca="1">IFERROR(__xludf.DUMMYFUNCTION("""COMPUTED_VALUE"""),486)</f>
        <v>486</v>
      </c>
      <c r="Y12" s="1">
        <f ca="1">IFERROR(__xludf.DUMMYFUNCTION("""COMPUTED_VALUE"""),0.628)</f>
        <v>0.628</v>
      </c>
      <c r="Z12" s="1">
        <f ca="1">IFERROR(__xludf.DUMMYFUNCTION("""COMPUTED_VALUE"""),290)</f>
        <v>290</v>
      </c>
      <c r="AA12" s="1">
        <f ca="1">IFERROR(__xludf.DUMMYFUNCTION("""COMPUTED_VALUE"""),991)</f>
        <v>991</v>
      </c>
      <c r="AB12" s="1">
        <f ca="1">IFERROR(__xludf.DUMMYFUNCTION("""COMPUTED_VALUE"""),463)</f>
        <v>463</v>
      </c>
      <c r="AC12" s="1">
        <f ca="1">IFERROR(__xludf.DUMMYFUNCTION("""COMPUTED_VALUE"""),196)</f>
        <v>196</v>
      </c>
      <c r="AD12" s="1">
        <f ca="1">IFERROR(__xludf.DUMMYFUNCTION("""COMPUTED_VALUE"""),115)</f>
        <v>115</v>
      </c>
      <c r="AE12" s="1">
        <f ca="1">IFERROR(__xludf.DUMMYFUNCTION("""COMPUTED_VALUE"""),379)</f>
        <v>379</v>
      </c>
      <c r="AF12" s="1">
        <f ca="1">IFERROR(__xludf.DUMMYFUNCTION("""COMPUTED_VALUE"""),574)</f>
        <v>574</v>
      </c>
    </row>
    <row r="13" spans="1:32" ht="15.75" customHeight="1" x14ac:dyDescent="0.25">
      <c r="A13" s="1" t="str">
        <f ca="1">IFERROR(__xludf.DUMMYFUNCTION("""COMPUTED_VALUE"""),"ArizonaNCAA")</f>
        <v>ArizonaNCAA</v>
      </c>
      <c r="B13" s="1">
        <f ca="1">IFERROR(__xludf.DUMMYFUNCTION("""COMPUTED_VALUE"""),38)</f>
        <v>38</v>
      </c>
      <c r="C13" s="1">
        <f ca="1">IFERROR(__xludf.DUMMYFUNCTION("""COMPUTED_VALUE"""),30)</f>
        <v>30</v>
      </c>
      <c r="D13" s="1">
        <f ca="1">IFERROR(__xludf.DUMMYFUNCTION("""COMPUTED_VALUE"""),8)</f>
        <v>8</v>
      </c>
      <c r="E13" s="1">
        <f ca="1">IFERROR(__xludf.DUMMYFUNCTION("""COMPUTED_VALUE"""),0.789)</f>
        <v>0.78900000000000003</v>
      </c>
      <c r="F13" s="1">
        <f ca="1">IFERROR(__xludf.DUMMYFUNCTION("""COMPUTED_VALUE"""),16.54)</f>
        <v>16.54</v>
      </c>
      <c r="G13" s="1">
        <f ca="1">IFERROR(__xludf.DUMMYFUNCTION("""COMPUTED_VALUE"""),7.99)</f>
        <v>7.99</v>
      </c>
      <c r="H13" s="1">
        <f ca="1">IFERROR(__xludf.DUMMYFUNCTION("""COMPUTED_VALUE"""),14)</f>
        <v>14</v>
      </c>
      <c r="I13" s="1">
        <f ca="1">IFERROR(__xludf.DUMMYFUNCTION("""COMPUTED_VALUE"""),4)</f>
        <v>4</v>
      </c>
      <c r="J13" s="1">
        <f ca="1">IFERROR(__xludf.DUMMYFUNCTION("""COMPUTED_VALUE"""),17)</f>
        <v>17</v>
      </c>
      <c r="K13" s="1">
        <f ca="1">IFERROR(__xludf.DUMMYFUNCTION("""COMPUTED_VALUE"""),0)</f>
        <v>0</v>
      </c>
      <c r="L13" s="1">
        <f ca="1">IFERROR(__xludf.DUMMYFUNCTION("""COMPUTED_VALUE"""),7)</f>
        <v>7</v>
      </c>
      <c r="M13" s="1">
        <f ca="1">IFERROR(__xludf.DUMMYFUNCTION("""COMPUTED_VALUE"""),4)</f>
        <v>4</v>
      </c>
      <c r="N13" s="1">
        <f ca="1">IFERROR(__xludf.DUMMYFUNCTION("""COMPUTED_VALUE"""),2905)</f>
        <v>2905</v>
      </c>
      <c r="O13" s="1">
        <f ca="1">IFERROR(__xludf.DUMMYFUNCTION("""COMPUTED_VALUE"""),2580)</f>
        <v>2580</v>
      </c>
      <c r="P13" s="1">
        <f ca="1">IFERROR(__xludf.DUMMYFUNCTION("""COMPUTED_VALUE"""),1540)</f>
        <v>1540</v>
      </c>
      <c r="Q13" s="1">
        <f ca="1">IFERROR(__xludf.DUMMYFUNCTION("""COMPUTED_VALUE"""),969)</f>
        <v>969</v>
      </c>
      <c r="R13" s="1">
        <f ca="1">IFERROR(__xludf.DUMMYFUNCTION("""COMPUTED_VALUE"""),2064)</f>
        <v>2064</v>
      </c>
      <c r="S13" s="1">
        <f ca="1">IFERROR(__xludf.DUMMYFUNCTION("""COMPUTED_VALUE"""),0.469)</f>
        <v>0.46899999999999997</v>
      </c>
      <c r="T13" s="1">
        <f ca="1">IFERROR(__xludf.DUMMYFUNCTION("""COMPUTED_VALUE"""),296)</f>
        <v>296</v>
      </c>
      <c r="U13" s="1">
        <f ca="1">IFERROR(__xludf.DUMMYFUNCTION("""COMPUTED_VALUE"""),745)</f>
        <v>745</v>
      </c>
      <c r="V13" s="1">
        <f ca="1">IFERROR(__xludf.DUMMYFUNCTION("""COMPUTED_VALUE"""),0.397)</f>
        <v>0.39700000000000002</v>
      </c>
      <c r="W13" s="1">
        <f ca="1">IFERROR(__xludf.DUMMYFUNCTION("""COMPUTED_VALUE"""),671)</f>
        <v>671</v>
      </c>
      <c r="X13" s="1">
        <f ca="1">IFERROR(__xludf.DUMMYFUNCTION("""COMPUTED_VALUE"""),899)</f>
        <v>899</v>
      </c>
      <c r="Y13" s="1">
        <f ca="1">IFERROR(__xludf.DUMMYFUNCTION("""COMPUTED_VALUE"""),0.746)</f>
        <v>0.746</v>
      </c>
      <c r="Z13" s="1">
        <f ca="1">IFERROR(__xludf.DUMMYFUNCTION("""COMPUTED_VALUE"""),408)</f>
        <v>408</v>
      </c>
      <c r="AA13" s="1">
        <f ca="1">IFERROR(__xludf.DUMMYFUNCTION("""COMPUTED_VALUE"""),1319)</f>
        <v>1319</v>
      </c>
      <c r="AB13" s="1">
        <f ca="1">IFERROR(__xludf.DUMMYFUNCTION("""COMPUTED_VALUE"""),536)</f>
        <v>536</v>
      </c>
      <c r="AC13" s="1">
        <f ca="1">IFERROR(__xludf.DUMMYFUNCTION("""COMPUTED_VALUE"""),197)</f>
        <v>197</v>
      </c>
      <c r="AD13" s="1">
        <f ca="1">IFERROR(__xludf.DUMMYFUNCTION("""COMPUTED_VALUE"""),98)</f>
        <v>98</v>
      </c>
      <c r="AE13" s="1">
        <f ca="1">IFERROR(__xludf.DUMMYFUNCTION("""COMPUTED_VALUE"""),484)</f>
        <v>484</v>
      </c>
      <c r="AF13" s="1">
        <f ca="1">IFERROR(__xludf.DUMMYFUNCTION("""COMPUTED_VALUE"""),707)</f>
        <v>707</v>
      </c>
    </row>
    <row r="14" spans="1:32" ht="15.75" customHeight="1" x14ac:dyDescent="0.25">
      <c r="A14" s="1" t="str">
        <f ca="1">IFERROR(__xludf.DUMMYFUNCTION("""COMPUTED_VALUE"""),"Little RockNCAA")</f>
        <v>Little RockNCAA</v>
      </c>
      <c r="B14" s="1">
        <f ca="1">IFERROR(__xludf.DUMMYFUNCTION("""COMPUTED_VALUE"""),36)</f>
        <v>36</v>
      </c>
      <c r="C14" s="1">
        <f ca="1">IFERROR(__xludf.DUMMYFUNCTION("""COMPUTED_VALUE"""),19)</f>
        <v>19</v>
      </c>
      <c r="D14" s="1">
        <f ca="1">IFERROR(__xludf.DUMMYFUNCTION("""COMPUTED_VALUE"""),17)</f>
        <v>17</v>
      </c>
      <c r="E14" s="1">
        <f ca="1">IFERROR(__xludf.DUMMYFUNCTION("""COMPUTED_VALUE"""),0.528)</f>
        <v>0.52800000000000002</v>
      </c>
      <c r="F14" s="1">
        <f ca="1">IFERROR(__xludf.DUMMYFUNCTION("""COMPUTED_VALUE"""),-4.32)</f>
        <v>-4.32</v>
      </c>
      <c r="G14" s="1">
        <f ca="1">IFERROR(__xludf.DUMMYFUNCTION("""COMPUTED_VALUE"""),-2.97)</f>
        <v>-2.97</v>
      </c>
      <c r="H14" s="1">
        <f ca="1">IFERROR(__xludf.DUMMYFUNCTION("""COMPUTED_VALUE"""),7)</f>
        <v>7</v>
      </c>
      <c r="I14" s="1">
        <f ca="1">IFERROR(__xludf.DUMMYFUNCTION("""COMPUTED_VALUE"""),9)</f>
        <v>9</v>
      </c>
      <c r="J14" s="1">
        <f ca="1">IFERROR(__xludf.DUMMYFUNCTION("""COMPUTED_VALUE"""),10)</f>
        <v>10</v>
      </c>
      <c r="K14" s="1">
        <f ca="1">IFERROR(__xludf.DUMMYFUNCTION("""COMPUTED_VALUE"""),5)</f>
        <v>5</v>
      </c>
      <c r="L14" s="1">
        <f ca="1">IFERROR(__xludf.DUMMYFUNCTION("""COMPUTED_VALUE"""),3)</f>
        <v>3</v>
      </c>
      <c r="M14" s="1">
        <f ca="1">IFERROR(__xludf.DUMMYFUNCTION("""COMPUTED_VALUE"""),10)</f>
        <v>10</v>
      </c>
      <c r="N14" s="1">
        <f ca="1">IFERROR(__xludf.DUMMYFUNCTION("""COMPUTED_VALUE"""),2457)</f>
        <v>2457</v>
      </c>
      <c r="O14" s="1">
        <f ca="1">IFERROR(__xludf.DUMMYFUNCTION("""COMPUTED_VALUE"""),2426)</f>
        <v>2426</v>
      </c>
      <c r="P14" s="1">
        <f ca="1">IFERROR(__xludf.DUMMYFUNCTION("""COMPUTED_VALUE"""),1455)</f>
        <v>1455</v>
      </c>
      <c r="Q14" s="1">
        <f ca="1">IFERROR(__xludf.DUMMYFUNCTION("""COMPUTED_VALUE"""),825)</f>
        <v>825</v>
      </c>
      <c r="R14" s="1">
        <f ca="1">IFERROR(__xludf.DUMMYFUNCTION("""COMPUTED_VALUE"""),1938)</f>
        <v>1938</v>
      </c>
      <c r="S14" s="1">
        <f ca="1">IFERROR(__xludf.DUMMYFUNCTION("""COMPUTED_VALUE"""),0.426)</f>
        <v>0.42599999999999999</v>
      </c>
      <c r="T14" s="1">
        <f ca="1">IFERROR(__xludf.DUMMYFUNCTION("""COMPUTED_VALUE"""),242)</f>
        <v>242</v>
      </c>
      <c r="U14" s="1">
        <f ca="1">IFERROR(__xludf.DUMMYFUNCTION("""COMPUTED_VALUE"""),615)</f>
        <v>615</v>
      </c>
      <c r="V14" s="1">
        <f ca="1">IFERROR(__xludf.DUMMYFUNCTION("""COMPUTED_VALUE"""),0.393)</f>
        <v>0.39300000000000002</v>
      </c>
      <c r="W14" s="1">
        <f ca="1">IFERROR(__xludf.DUMMYFUNCTION("""COMPUTED_VALUE"""),565)</f>
        <v>565</v>
      </c>
      <c r="X14" s="1">
        <f ca="1">IFERROR(__xludf.DUMMYFUNCTION("""COMPUTED_VALUE"""),819)</f>
        <v>819</v>
      </c>
      <c r="Y14" s="1">
        <f ca="1">IFERROR(__xludf.DUMMYFUNCTION("""COMPUTED_VALUE"""),0.69)</f>
        <v>0.69</v>
      </c>
      <c r="Z14" s="1">
        <f ca="1">IFERROR(__xludf.DUMMYFUNCTION("""COMPUTED_VALUE"""),377)</f>
        <v>377</v>
      </c>
      <c r="AA14" s="1">
        <f ca="1">IFERROR(__xludf.DUMMYFUNCTION("""COMPUTED_VALUE"""),1204)</f>
        <v>1204</v>
      </c>
      <c r="AB14" s="1">
        <f ca="1">IFERROR(__xludf.DUMMYFUNCTION("""COMPUTED_VALUE"""),433)</f>
        <v>433</v>
      </c>
      <c r="AC14" s="1">
        <f ca="1">IFERROR(__xludf.DUMMYFUNCTION("""COMPUTED_VALUE"""),212)</f>
        <v>212</v>
      </c>
      <c r="AD14" s="1">
        <f ca="1">IFERROR(__xludf.DUMMYFUNCTION("""COMPUTED_VALUE"""),89)</f>
        <v>89</v>
      </c>
      <c r="AE14" s="1">
        <f ca="1">IFERROR(__xludf.DUMMYFUNCTION("""COMPUTED_VALUE"""),428)</f>
        <v>428</v>
      </c>
      <c r="AF14" s="1">
        <f ca="1">IFERROR(__xludf.DUMMYFUNCTION("""COMPUTED_VALUE"""),740)</f>
        <v>740</v>
      </c>
    </row>
    <row r="15" spans="1:32" ht="15.75" customHeight="1" x14ac:dyDescent="0.25">
      <c r="A15" s="1" t="str">
        <f ca="1">IFERROR(__xludf.DUMMYFUNCTION("""COMPUTED_VALUE"""),"Arkansas-Pine Bluff")</f>
        <v>Arkansas-Pine Bluff</v>
      </c>
      <c r="B15" s="1">
        <f ca="1">IFERROR(__xludf.DUMMYFUNCTION("""COMPUTED_VALUE"""),31)</f>
        <v>31</v>
      </c>
      <c r="C15" s="1">
        <f ca="1">IFERROR(__xludf.DUMMYFUNCTION("""COMPUTED_VALUE"""),7)</f>
        <v>7</v>
      </c>
      <c r="D15" s="1">
        <f ca="1">IFERROR(__xludf.DUMMYFUNCTION("""COMPUTED_VALUE"""),24)</f>
        <v>24</v>
      </c>
      <c r="E15" s="1">
        <f ca="1">IFERROR(__xludf.DUMMYFUNCTION("""COMPUTED_VALUE"""),0.226)</f>
        <v>0.22600000000000001</v>
      </c>
      <c r="F15" s="1">
        <f ca="1">IFERROR(__xludf.DUMMYFUNCTION("""COMPUTED_VALUE"""),-20)</f>
        <v>-20</v>
      </c>
      <c r="G15" s="1">
        <f ca="1">IFERROR(__xludf.DUMMYFUNCTION("""COMPUTED_VALUE"""),-8.03)</f>
        <v>-8.0299999999999994</v>
      </c>
      <c r="H15" s="1">
        <f ca="1">IFERROR(__xludf.DUMMYFUNCTION("""COMPUTED_VALUE"""),7)</f>
        <v>7</v>
      </c>
      <c r="I15" s="1">
        <f ca="1">IFERROR(__xludf.DUMMYFUNCTION("""COMPUTED_VALUE"""),11)</f>
        <v>11</v>
      </c>
      <c r="J15" s="1">
        <f ca="1">IFERROR(__xludf.DUMMYFUNCTION("""COMPUTED_VALUE"""),5)</f>
        <v>5</v>
      </c>
      <c r="K15" s="1">
        <f ca="1">IFERROR(__xludf.DUMMYFUNCTION("""COMPUTED_VALUE"""),4)</f>
        <v>4</v>
      </c>
      <c r="L15" s="1">
        <f ca="1">IFERROR(__xludf.DUMMYFUNCTION("""COMPUTED_VALUE"""),2)</f>
        <v>2</v>
      </c>
      <c r="M15" s="1">
        <f ca="1">IFERROR(__xludf.DUMMYFUNCTION("""COMPUTED_VALUE"""),19)</f>
        <v>19</v>
      </c>
      <c r="N15" s="1">
        <f ca="1">IFERROR(__xludf.DUMMYFUNCTION("""COMPUTED_VALUE"""),1850)</f>
        <v>1850</v>
      </c>
      <c r="O15" s="1">
        <f ca="1">IFERROR(__xludf.DUMMYFUNCTION("""COMPUTED_VALUE"""),2221)</f>
        <v>2221</v>
      </c>
      <c r="P15" s="1">
        <f ca="1">IFERROR(__xludf.DUMMYFUNCTION("""COMPUTED_VALUE"""),1255)</f>
        <v>1255</v>
      </c>
      <c r="Q15" s="1">
        <f ca="1">IFERROR(__xludf.DUMMYFUNCTION("""COMPUTED_VALUE"""),627)</f>
        <v>627</v>
      </c>
      <c r="R15" s="1">
        <f ca="1">IFERROR(__xludf.DUMMYFUNCTION("""COMPUTED_VALUE"""),1610)</f>
        <v>1610</v>
      </c>
      <c r="S15" s="1">
        <f ca="1">IFERROR(__xludf.DUMMYFUNCTION("""COMPUTED_VALUE"""),0.389)</f>
        <v>0.38900000000000001</v>
      </c>
      <c r="T15" s="1">
        <f ca="1">IFERROR(__xludf.DUMMYFUNCTION("""COMPUTED_VALUE"""),191)</f>
        <v>191</v>
      </c>
      <c r="U15" s="1">
        <f ca="1">IFERROR(__xludf.DUMMYFUNCTION("""COMPUTED_VALUE"""),556)</f>
        <v>556</v>
      </c>
      <c r="V15" s="1">
        <f ca="1">IFERROR(__xludf.DUMMYFUNCTION("""COMPUTED_VALUE"""),0.344)</f>
        <v>0.34399999999999997</v>
      </c>
      <c r="W15" s="1">
        <f ca="1">IFERROR(__xludf.DUMMYFUNCTION("""COMPUTED_VALUE"""),405)</f>
        <v>405</v>
      </c>
      <c r="X15" s="1">
        <f ca="1">IFERROR(__xludf.DUMMYFUNCTION("""COMPUTED_VALUE"""),646)</f>
        <v>646</v>
      </c>
      <c r="Y15" s="1">
        <f ca="1">IFERROR(__xludf.DUMMYFUNCTION("""COMPUTED_VALUE"""),0.627)</f>
        <v>0.627</v>
      </c>
      <c r="Z15" s="1">
        <f ca="1">IFERROR(__xludf.DUMMYFUNCTION("""COMPUTED_VALUE"""),299)</f>
        <v>299</v>
      </c>
      <c r="AA15" s="1">
        <f ca="1">IFERROR(__xludf.DUMMYFUNCTION("""COMPUTED_VALUE"""),987)</f>
        <v>987</v>
      </c>
      <c r="AB15" s="1">
        <f ca="1">IFERROR(__xludf.DUMMYFUNCTION("""COMPUTED_VALUE"""),357)</f>
        <v>357</v>
      </c>
      <c r="AC15" s="1">
        <f ca="1">IFERROR(__xludf.DUMMYFUNCTION("""COMPUTED_VALUE"""),234)</f>
        <v>234</v>
      </c>
      <c r="AD15" s="1">
        <f ca="1">IFERROR(__xludf.DUMMYFUNCTION("""COMPUTED_VALUE"""),67)</f>
        <v>67</v>
      </c>
      <c r="AE15" s="1">
        <f ca="1">IFERROR(__xludf.DUMMYFUNCTION("""COMPUTED_VALUE"""),518)</f>
        <v>518</v>
      </c>
      <c r="AF15" s="1">
        <f ca="1">IFERROR(__xludf.DUMMYFUNCTION("""COMPUTED_VALUE"""),649)</f>
        <v>649</v>
      </c>
    </row>
    <row r="16" spans="1:32" ht="15.75" customHeight="1" x14ac:dyDescent="0.25">
      <c r="A16" s="1" t="str">
        <f ca="1">IFERROR(__xludf.DUMMYFUNCTION("""COMPUTED_VALUE"""),"Arkansas State")</f>
        <v>Arkansas State</v>
      </c>
      <c r="B16" s="1">
        <f ca="1">IFERROR(__xludf.DUMMYFUNCTION("""COMPUTED_VALUE"""),32)</f>
        <v>32</v>
      </c>
      <c r="C16" s="1">
        <f ca="1">IFERROR(__xludf.DUMMYFUNCTION("""COMPUTED_VALUE"""),17)</f>
        <v>17</v>
      </c>
      <c r="D16" s="1">
        <f ca="1">IFERROR(__xludf.DUMMYFUNCTION("""COMPUTED_VALUE"""),15)</f>
        <v>15</v>
      </c>
      <c r="E16" s="1">
        <f ca="1">IFERROR(__xludf.DUMMYFUNCTION("""COMPUTED_VALUE"""),0.531)</f>
        <v>0.53100000000000003</v>
      </c>
      <c r="F16" s="1">
        <f ca="1">IFERROR(__xludf.DUMMYFUNCTION("""COMPUTED_VALUE"""),-3.38)</f>
        <v>-3.38</v>
      </c>
      <c r="G16" s="1">
        <f ca="1">IFERROR(__xludf.DUMMYFUNCTION("""COMPUTED_VALUE"""),-3.31)</f>
        <v>-3.31</v>
      </c>
      <c r="H16" s="1">
        <f ca="1">IFERROR(__xludf.DUMMYFUNCTION("""COMPUTED_VALUE"""),11)</f>
        <v>11</v>
      </c>
      <c r="I16" s="1">
        <f ca="1">IFERROR(__xludf.DUMMYFUNCTION("""COMPUTED_VALUE"""),5)</f>
        <v>5</v>
      </c>
      <c r="J16" s="1">
        <f ca="1">IFERROR(__xludf.DUMMYFUNCTION("""COMPUTED_VALUE"""),13)</f>
        <v>13</v>
      </c>
      <c r="K16" s="1">
        <f ca="1">IFERROR(__xludf.DUMMYFUNCTION("""COMPUTED_VALUE"""),0)</f>
        <v>0</v>
      </c>
      <c r="L16" s="1">
        <f ca="1">IFERROR(__xludf.DUMMYFUNCTION("""COMPUTED_VALUE"""),4)</f>
        <v>4</v>
      </c>
      <c r="M16" s="1">
        <f ca="1">IFERROR(__xludf.DUMMYFUNCTION("""COMPUTED_VALUE"""),10)</f>
        <v>10</v>
      </c>
      <c r="N16" s="1">
        <f ca="1">IFERROR(__xludf.DUMMYFUNCTION("""COMPUTED_VALUE"""),2188)</f>
        <v>2188</v>
      </c>
      <c r="O16" s="1">
        <f ca="1">IFERROR(__xludf.DUMMYFUNCTION("""COMPUTED_VALUE"""),2066)</f>
        <v>2066</v>
      </c>
      <c r="P16" s="1">
        <f ca="1">IFERROR(__xludf.DUMMYFUNCTION("""COMPUTED_VALUE"""),1285)</f>
        <v>1285</v>
      </c>
      <c r="Q16" s="1">
        <f ca="1">IFERROR(__xludf.DUMMYFUNCTION("""COMPUTED_VALUE"""),745)</f>
        <v>745</v>
      </c>
      <c r="R16" s="1">
        <f ca="1">IFERROR(__xludf.DUMMYFUNCTION("""COMPUTED_VALUE"""),1724)</f>
        <v>1724</v>
      </c>
      <c r="S16" s="1">
        <f ca="1">IFERROR(__xludf.DUMMYFUNCTION("""COMPUTED_VALUE"""),0.432)</f>
        <v>0.432</v>
      </c>
      <c r="T16" s="1">
        <f ca="1">IFERROR(__xludf.DUMMYFUNCTION("""COMPUTED_VALUE"""),167)</f>
        <v>167</v>
      </c>
      <c r="U16" s="1">
        <f ca="1">IFERROR(__xludf.DUMMYFUNCTION("""COMPUTED_VALUE"""),506)</f>
        <v>506</v>
      </c>
      <c r="V16" s="1">
        <f ca="1">IFERROR(__xludf.DUMMYFUNCTION("""COMPUTED_VALUE"""),0.33)</f>
        <v>0.33</v>
      </c>
      <c r="W16" s="1">
        <f ca="1">IFERROR(__xludf.DUMMYFUNCTION("""COMPUTED_VALUE"""),531)</f>
        <v>531</v>
      </c>
      <c r="X16" s="1">
        <f ca="1">IFERROR(__xludf.DUMMYFUNCTION("""COMPUTED_VALUE"""),750)</f>
        <v>750</v>
      </c>
      <c r="Y16" s="1">
        <f ca="1">IFERROR(__xludf.DUMMYFUNCTION("""COMPUTED_VALUE"""),0.708)</f>
        <v>0.70799999999999996</v>
      </c>
      <c r="Z16" s="1">
        <f ca="1">IFERROR(__xludf.DUMMYFUNCTION("""COMPUTED_VALUE"""),395)</f>
        <v>395</v>
      </c>
      <c r="AA16" s="1">
        <f ca="1">IFERROR(__xludf.DUMMYFUNCTION("""COMPUTED_VALUE"""),1177)</f>
        <v>1177</v>
      </c>
      <c r="AB16" s="1">
        <f ca="1">IFERROR(__xludf.DUMMYFUNCTION("""COMPUTED_VALUE"""),363)</f>
        <v>363</v>
      </c>
      <c r="AC16" s="1">
        <f ca="1">IFERROR(__xludf.DUMMYFUNCTION("""COMPUTED_VALUE"""),202)</f>
        <v>202</v>
      </c>
      <c r="AD16" s="1">
        <f ca="1">IFERROR(__xludf.DUMMYFUNCTION("""COMPUTED_VALUE"""),99)</f>
        <v>99</v>
      </c>
      <c r="AE16" s="1">
        <f ca="1">IFERROR(__xludf.DUMMYFUNCTION("""COMPUTED_VALUE"""),418)</f>
        <v>418</v>
      </c>
      <c r="AF16" s="1">
        <f ca="1">IFERROR(__xludf.DUMMYFUNCTION("""COMPUTED_VALUE"""),585)</f>
        <v>585</v>
      </c>
    </row>
    <row r="17" spans="1:32" ht="15.75" customHeight="1" x14ac:dyDescent="0.25">
      <c r="A17" s="1" t="str">
        <f ca="1">IFERROR(__xludf.DUMMYFUNCTION("""COMPUTED_VALUE"""),"Arkansas")</f>
        <v>Arkansas</v>
      </c>
      <c r="B17" s="1">
        <f ca="1">IFERROR(__xludf.DUMMYFUNCTION("""COMPUTED_VALUE"""),31)</f>
        <v>31</v>
      </c>
      <c r="C17" s="1">
        <f ca="1">IFERROR(__xludf.DUMMYFUNCTION("""COMPUTED_VALUE"""),18)</f>
        <v>18</v>
      </c>
      <c r="D17" s="1">
        <f ca="1">IFERROR(__xludf.DUMMYFUNCTION("""COMPUTED_VALUE"""),13)</f>
        <v>13</v>
      </c>
      <c r="E17" s="1">
        <f ca="1">IFERROR(__xludf.DUMMYFUNCTION("""COMPUTED_VALUE"""),0.581)</f>
        <v>0.58099999999999996</v>
      </c>
      <c r="F17" s="1">
        <f ca="1">IFERROR(__xludf.DUMMYFUNCTION("""COMPUTED_VALUE"""),6.28)</f>
        <v>6.28</v>
      </c>
      <c r="G17" s="1">
        <f ca="1">IFERROR(__xludf.DUMMYFUNCTION("""COMPUTED_VALUE"""),2.34)</f>
        <v>2.34</v>
      </c>
      <c r="H17" s="1">
        <f ca="1">IFERROR(__xludf.DUMMYFUNCTION("""COMPUTED_VALUE"""),7)</f>
        <v>7</v>
      </c>
      <c r="I17" s="1">
        <f ca="1">IFERROR(__xludf.DUMMYFUNCTION("""COMPUTED_VALUE"""),9)</f>
        <v>9</v>
      </c>
      <c r="J17" s="1">
        <f ca="1">IFERROR(__xludf.DUMMYFUNCTION("""COMPUTED_VALUE"""),15)</f>
        <v>15</v>
      </c>
      <c r="K17" s="1">
        <f ca="1">IFERROR(__xludf.DUMMYFUNCTION("""COMPUTED_VALUE"""),3)</f>
        <v>3</v>
      </c>
      <c r="L17" s="1">
        <f ca="1">IFERROR(__xludf.DUMMYFUNCTION("""COMPUTED_VALUE"""),2)</f>
        <v>2</v>
      </c>
      <c r="M17" s="1">
        <f ca="1">IFERROR(__xludf.DUMMYFUNCTION("""COMPUTED_VALUE"""),7)</f>
        <v>7</v>
      </c>
      <c r="N17" s="1">
        <f ca="1">IFERROR(__xludf.DUMMYFUNCTION("""COMPUTED_VALUE"""),2191)</f>
        <v>2191</v>
      </c>
      <c r="O17" s="1">
        <f ca="1">IFERROR(__xludf.DUMMYFUNCTION("""COMPUTED_VALUE"""),2069)</f>
        <v>2069</v>
      </c>
      <c r="P17" s="1">
        <f ca="1">IFERROR(__xludf.DUMMYFUNCTION("""COMPUTED_VALUE"""),1260)</f>
        <v>1260</v>
      </c>
      <c r="Q17" s="1">
        <f ca="1">IFERROR(__xludf.DUMMYFUNCTION("""COMPUTED_VALUE"""),756)</f>
        <v>756</v>
      </c>
      <c r="R17" s="1">
        <f ca="1">IFERROR(__xludf.DUMMYFUNCTION("""COMPUTED_VALUE"""),1734)</f>
        <v>1734</v>
      </c>
      <c r="S17" s="1">
        <f ca="1">IFERROR(__xludf.DUMMYFUNCTION("""COMPUTED_VALUE"""),0.436)</f>
        <v>0.436</v>
      </c>
      <c r="T17" s="1">
        <f ca="1">IFERROR(__xludf.DUMMYFUNCTION("""COMPUTED_VALUE"""),204)</f>
        <v>204</v>
      </c>
      <c r="U17" s="1">
        <f ca="1">IFERROR(__xludf.DUMMYFUNCTION("""COMPUTED_VALUE"""),563)</f>
        <v>563</v>
      </c>
      <c r="V17" s="1">
        <f ca="1">IFERROR(__xludf.DUMMYFUNCTION("""COMPUTED_VALUE"""),0.362)</f>
        <v>0.36199999999999999</v>
      </c>
      <c r="W17" s="1">
        <f ca="1">IFERROR(__xludf.DUMMYFUNCTION("""COMPUTED_VALUE"""),475)</f>
        <v>475</v>
      </c>
      <c r="X17" s="1">
        <f ca="1">IFERROR(__xludf.DUMMYFUNCTION("""COMPUTED_VALUE"""),683)</f>
        <v>683</v>
      </c>
      <c r="Y17" s="1">
        <f ca="1">IFERROR(__xludf.DUMMYFUNCTION("""COMPUTED_VALUE"""),0.695)</f>
        <v>0.69499999999999995</v>
      </c>
      <c r="Z17" s="1">
        <f ca="1">IFERROR(__xludf.DUMMYFUNCTION("""COMPUTED_VALUE"""),332)</f>
        <v>332</v>
      </c>
      <c r="AA17" s="1">
        <f ca="1">IFERROR(__xludf.DUMMYFUNCTION("""COMPUTED_VALUE"""),1063)</f>
        <v>1063</v>
      </c>
      <c r="AB17" s="1">
        <f ca="1">IFERROR(__xludf.DUMMYFUNCTION("""COMPUTED_VALUE"""),373)</f>
        <v>373</v>
      </c>
      <c r="AC17" s="1">
        <f ca="1">IFERROR(__xludf.DUMMYFUNCTION("""COMPUTED_VALUE"""),225)</f>
        <v>225</v>
      </c>
      <c r="AD17" s="1">
        <f ca="1">IFERROR(__xludf.DUMMYFUNCTION("""COMPUTED_VALUE"""),182)</f>
        <v>182</v>
      </c>
      <c r="AE17" s="1">
        <f ca="1">IFERROR(__xludf.DUMMYFUNCTION("""COMPUTED_VALUE"""),411)</f>
        <v>411</v>
      </c>
      <c r="AF17" s="1">
        <f ca="1">IFERROR(__xludf.DUMMYFUNCTION("""COMPUTED_VALUE"""),561)</f>
        <v>561</v>
      </c>
    </row>
    <row r="18" spans="1:32" ht="15.75" customHeight="1" x14ac:dyDescent="0.25">
      <c r="A18" s="1" t="str">
        <f ca="1">IFERROR(__xludf.DUMMYFUNCTION("""COMPUTED_VALUE"""),"Army")</f>
        <v>Army</v>
      </c>
      <c r="B18" s="1">
        <f ca="1">IFERROR(__xludf.DUMMYFUNCTION("""COMPUTED_VALUE"""),30)</f>
        <v>30</v>
      </c>
      <c r="C18" s="1">
        <f ca="1">IFERROR(__xludf.DUMMYFUNCTION("""COMPUTED_VALUE"""),11)</f>
        <v>11</v>
      </c>
      <c r="D18" s="1">
        <f ca="1">IFERROR(__xludf.DUMMYFUNCTION("""COMPUTED_VALUE"""),19)</f>
        <v>19</v>
      </c>
      <c r="E18" s="1">
        <f ca="1">IFERROR(__xludf.DUMMYFUNCTION("""COMPUTED_VALUE"""),0.367)</f>
        <v>0.36699999999999999</v>
      </c>
      <c r="F18" s="1">
        <f ca="1">IFERROR(__xludf.DUMMYFUNCTION("""COMPUTED_VALUE"""),-10.71)</f>
        <v>-10.71</v>
      </c>
      <c r="G18" s="1">
        <f ca="1">IFERROR(__xludf.DUMMYFUNCTION("""COMPUTED_VALUE"""),-6.58)</f>
        <v>-6.58</v>
      </c>
      <c r="H18" s="1">
        <f ca="1">IFERROR(__xludf.DUMMYFUNCTION("""COMPUTED_VALUE"""),3)</f>
        <v>3</v>
      </c>
      <c r="I18" s="1">
        <f ca="1">IFERROR(__xludf.DUMMYFUNCTION("""COMPUTED_VALUE"""),11)</f>
        <v>11</v>
      </c>
      <c r="J18" s="1">
        <f ca="1">IFERROR(__xludf.DUMMYFUNCTION("""COMPUTED_VALUE"""),4)</f>
        <v>4</v>
      </c>
      <c r="K18" s="1">
        <f ca="1">IFERROR(__xludf.DUMMYFUNCTION("""COMPUTED_VALUE"""),8)</f>
        <v>8</v>
      </c>
      <c r="L18" s="1">
        <f ca="1">IFERROR(__xludf.DUMMYFUNCTION("""COMPUTED_VALUE"""),7)</f>
        <v>7</v>
      </c>
      <c r="M18" s="1">
        <f ca="1">IFERROR(__xludf.DUMMYFUNCTION("""COMPUTED_VALUE"""),10)</f>
        <v>10</v>
      </c>
      <c r="N18" s="1">
        <f ca="1">IFERROR(__xludf.DUMMYFUNCTION("""COMPUTED_VALUE"""),2038)</f>
        <v>2038</v>
      </c>
      <c r="O18" s="1">
        <f ca="1">IFERROR(__xludf.DUMMYFUNCTION("""COMPUTED_VALUE"""),2141)</f>
        <v>2141</v>
      </c>
      <c r="P18" s="1">
        <f ca="1">IFERROR(__xludf.DUMMYFUNCTION("""COMPUTED_VALUE"""),1200)</f>
        <v>1200</v>
      </c>
      <c r="Q18" s="1">
        <f ca="1">IFERROR(__xludf.DUMMYFUNCTION("""COMPUTED_VALUE"""),707)</f>
        <v>707</v>
      </c>
      <c r="R18" s="1">
        <f ca="1">IFERROR(__xludf.DUMMYFUNCTION("""COMPUTED_VALUE"""),1701)</f>
        <v>1701</v>
      </c>
      <c r="S18" s="1">
        <f ca="1">IFERROR(__xludf.DUMMYFUNCTION("""COMPUTED_VALUE"""),0.416)</f>
        <v>0.41599999999999998</v>
      </c>
      <c r="T18" s="1">
        <f ca="1">IFERROR(__xludf.DUMMYFUNCTION("""COMPUTED_VALUE"""),264)</f>
        <v>264</v>
      </c>
      <c r="U18" s="1">
        <f ca="1">IFERROR(__xludf.DUMMYFUNCTION("""COMPUTED_VALUE"""),725)</f>
        <v>725</v>
      </c>
      <c r="V18" s="1">
        <f ca="1">IFERROR(__xludf.DUMMYFUNCTION("""COMPUTED_VALUE"""),0.364)</f>
        <v>0.36399999999999999</v>
      </c>
      <c r="W18" s="1">
        <f ca="1">IFERROR(__xludf.DUMMYFUNCTION("""COMPUTED_VALUE"""),360)</f>
        <v>360</v>
      </c>
      <c r="X18" s="1">
        <f ca="1">IFERROR(__xludf.DUMMYFUNCTION("""COMPUTED_VALUE"""),507)</f>
        <v>507</v>
      </c>
      <c r="Y18" s="1">
        <f ca="1">IFERROR(__xludf.DUMMYFUNCTION("""COMPUTED_VALUE"""),0.71)</f>
        <v>0.71</v>
      </c>
      <c r="Z18" s="1">
        <f ca="1">IFERROR(__xludf.DUMMYFUNCTION("""COMPUTED_VALUE"""),324)</f>
        <v>324</v>
      </c>
      <c r="AA18" s="1">
        <f ca="1">IFERROR(__xludf.DUMMYFUNCTION("""COMPUTED_VALUE"""),1020)</f>
        <v>1020</v>
      </c>
      <c r="AB18" s="1">
        <f ca="1">IFERROR(__xludf.DUMMYFUNCTION("""COMPUTED_VALUE"""),403)</f>
        <v>403</v>
      </c>
      <c r="AC18" s="1">
        <f ca="1">IFERROR(__xludf.DUMMYFUNCTION("""COMPUTED_VALUE"""),169)</f>
        <v>169</v>
      </c>
      <c r="AD18" s="1">
        <f ca="1">IFERROR(__xludf.DUMMYFUNCTION("""COMPUTED_VALUE"""),53)</f>
        <v>53</v>
      </c>
      <c r="AE18" s="1">
        <f ca="1">IFERROR(__xludf.DUMMYFUNCTION("""COMPUTED_VALUE"""),424)</f>
        <v>424</v>
      </c>
      <c r="AF18" s="1">
        <f ca="1">IFERROR(__xludf.DUMMYFUNCTION("""COMPUTED_VALUE"""),606)</f>
        <v>606</v>
      </c>
    </row>
    <row r="19" spans="1:32" ht="12.5" x14ac:dyDescent="0.25">
      <c r="A19" s="1" t="str">
        <f ca="1">IFERROR(__xludf.DUMMYFUNCTION("""COMPUTED_VALUE"""),"Auburn")</f>
        <v>Auburn</v>
      </c>
      <c r="B19" s="1">
        <f ca="1">IFERROR(__xludf.DUMMYFUNCTION("""COMPUTED_VALUE"""),31)</f>
        <v>31</v>
      </c>
      <c r="C19" s="1">
        <f ca="1">IFERROR(__xludf.DUMMYFUNCTION("""COMPUTED_VALUE"""),11)</f>
        <v>11</v>
      </c>
      <c r="D19" s="1">
        <f ca="1">IFERROR(__xludf.DUMMYFUNCTION("""COMPUTED_VALUE"""),20)</f>
        <v>20</v>
      </c>
      <c r="E19" s="1">
        <f ca="1">IFERROR(__xludf.DUMMYFUNCTION("""COMPUTED_VALUE"""),0.355)</f>
        <v>0.35499999999999998</v>
      </c>
      <c r="F19" s="1">
        <f ca="1">IFERROR(__xludf.DUMMYFUNCTION("""COMPUTED_VALUE"""),-2.47)</f>
        <v>-2.4700000000000002</v>
      </c>
      <c r="G19" s="1">
        <f ca="1">IFERROR(__xludf.DUMMYFUNCTION("""COMPUTED_VALUE"""),2.4)</f>
        <v>2.4</v>
      </c>
      <c r="H19" s="1">
        <f ca="1">IFERROR(__xludf.DUMMYFUNCTION("""COMPUTED_VALUE"""),4)</f>
        <v>4</v>
      </c>
      <c r="I19" s="1">
        <f ca="1">IFERROR(__xludf.DUMMYFUNCTION("""COMPUTED_VALUE"""),12)</f>
        <v>12</v>
      </c>
      <c r="J19" s="1">
        <f ca="1">IFERROR(__xludf.DUMMYFUNCTION("""COMPUTED_VALUE"""),9)</f>
        <v>9</v>
      </c>
      <c r="K19" s="1">
        <f ca="1">IFERROR(__xludf.DUMMYFUNCTION("""COMPUTED_VALUE"""),11)</f>
        <v>11</v>
      </c>
      <c r="L19" s="1">
        <f ca="1">IFERROR(__xludf.DUMMYFUNCTION("""COMPUTED_VALUE"""),2)</f>
        <v>2</v>
      </c>
      <c r="M19" s="1">
        <f ca="1">IFERROR(__xludf.DUMMYFUNCTION("""COMPUTED_VALUE"""),7)</f>
        <v>7</v>
      </c>
      <c r="N19" s="1">
        <f ca="1">IFERROR(__xludf.DUMMYFUNCTION("""COMPUTED_VALUE"""),1933)</f>
        <v>1933</v>
      </c>
      <c r="O19" s="1">
        <f ca="1">IFERROR(__xludf.DUMMYFUNCTION("""COMPUTED_VALUE"""),2051)</f>
        <v>2051</v>
      </c>
      <c r="P19" s="1">
        <f ca="1">IFERROR(__xludf.DUMMYFUNCTION("""COMPUTED_VALUE"""),1255)</f>
        <v>1255</v>
      </c>
      <c r="Q19" s="1">
        <f ca="1">IFERROR(__xludf.DUMMYFUNCTION("""COMPUTED_VALUE"""),675)</f>
        <v>675</v>
      </c>
      <c r="R19" s="1">
        <f ca="1">IFERROR(__xludf.DUMMYFUNCTION("""COMPUTED_VALUE"""),1695)</f>
        <v>1695</v>
      </c>
      <c r="S19" s="1">
        <f ca="1">IFERROR(__xludf.DUMMYFUNCTION("""COMPUTED_VALUE"""),0.398)</f>
        <v>0.39800000000000002</v>
      </c>
      <c r="T19" s="1">
        <f ca="1">IFERROR(__xludf.DUMMYFUNCTION("""COMPUTED_VALUE"""),148)</f>
        <v>148</v>
      </c>
      <c r="U19" s="1">
        <f ca="1">IFERROR(__xludf.DUMMYFUNCTION("""COMPUTED_VALUE"""),465)</f>
        <v>465</v>
      </c>
      <c r="V19" s="1">
        <f ca="1">IFERROR(__xludf.DUMMYFUNCTION("""COMPUTED_VALUE"""),0.318)</f>
        <v>0.318</v>
      </c>
      <c r="W19" s="1">
        <f ca="1">IFERROR(__xludf.DUMMYFUNCTION("""COMPUTED_VALUE"""),435)</f>
        <v>435</v>
      </c>
      <c r="X19" s="1">
        <f ca="1">IFERROR(__xludf.DUMMYFUNCTION("""COMPUTED_VALUE"""),663)</f>
        <v>663</v>
      </c>
      <c r="Y19" s="1">
        <f ca="1">IFERROR(__xludf.DUMMYFUNCTION("""COMPUTED_VALUE"""),0.656)</f>
        <v>0.65600000000000003</v>
      </c>
      <c r="Z19" s="1">
        <f ca="1">IFERROR(__xludf.DUMMYFUNCTION("""COMPUTED_VALUE"""),383)</f>
        <v>383</v>
      </c>
      <c r="AA19" s="1">
        <f ca="1">IFERROR(__xludf.DUMMYFUNCTION("""COMPUTED_VALUE"""),1067)</f>
        <v>1067</v>
      </c>
      <c r="AB19" s="1">
        <f ca="1">IFERROR(__xludf.DUMMYFUNCTION("""COMPUTED_VALUE"""),349)</f>
        <v>349</v>
      </c>
      <c r="AC19" s="1">
        <f ca="1">IFERROR(__xludf.DUMMYFUNCTION("""COMPUTED_VALUE"""),242)</f>
        <v>242</v>
      </c>
      <c r="AD19" s="1">
        <f ca="1">IFERROR(__xludf.DUMMYFUNCTION("""COMPUTED_VALUE"""),100)</f>
        <v>100</v>
      </c>
      <c r="AE19" s="1">
        <f ca="1">IFERROR(__xludf.DUMMYFUNCTION("""COMPUTED_VALUE"""),440)</f>
        <v>440</v>
      </c>
      <c r="AF19" s="1">
        <f ca="1">IFERROR(__xludf.DUMMYFUNCTION("""COMPUTED_VALUE"""),641)</f>
        <v>641</v>
      </c>
    </row>
    <row r="20" spans="1:32" ht="12.5" x14ac:dyDescent="0.25">
      <c r="A20" s="1" t="str">
        <f ca="1">IFERROR(__xludf.DUMMYFUNCTION("""COMPUTED_VALUE"""),"Austin Peay")</f>
        <v>Austin Peay</v>
      </c>
      <c r="B20" s="1">
        <f ca="1">IFERROR(__xludf.DUMMYFUNCTION("""COMPUTED_VALUE"""),34)</f>
        <v>34</v>
      </c>
      <c r="C20" s="1">
        <f ca="1">IFERROR(__xludf.DUMMYFUNCTION("""COMPUTED_VALUE"""),20)</f>
        <v>20</v>
      </c>
      <c r="D20" s="1">
        <f ca="1">IFERROR(__xludf.DUMMYFUNCTION("""COMPUTED_VALUE"""),14)</f>
        <v>14</v>
      </c>
      <c r="E20" s="1">
        <f ca="1">IFERROR(__xludf.DUMMYFUNCTION("""COMPUTED_VALUE"""),0.588)</f>
        <v>0.58799999999999997</v>
      </c>
      <c r="F20" s="1">
        <f ca="1">IFERROR(__xludf.DUMMYFUNCTION("""COMPUTED_VALUE"""),-0.15)</f>
        <v>-0.15</v>
      </c>
      <c r="G20" s="1">
        <f ca="1">IFERROR(__xludf.DUMMYFUNCTION("""COMPUTED_VALUE"""),-3.77)</f>
        <v>-3.77</v>
      </c>
      <c r="H20" s="1">
        <f ca="1">IFERROR(__xludf.DUMMYFUNCTION("""COMPUTED_VALUE"""),13)</f>
        <v>13</v>
      </c>
      <c r="I20" s="1">
        <f ca="1">IFERROR(__xludf.DUMMYFUNCTION("""COMPUTED_VALUE"""),5)</f>
        <v>5</v>
      </c>
      <c r="J20" s="1">
        <f ca="1">IFERROR(__xludf.DUMMYFUNCTION("""COMPUTED_VALUE"""),10)</f>
        <v>10</v>
      </c>
      <c r="K20" s="1">
        <f ca="1">IFERROR(__xludf.DUMMYFUNCTION("""COMPUTED_VALUE"""),3)</f>
        <v>3</v>
      </c>
      <c r="L20" s="1">
        <f ca="1">IFERROR(__xludf.DUMMYFUNCTION("""COMPUTED_VALUE"""),8)</f>
        <v>8</v>
      </c>
      <c r="M20" s="1">
        <f ca="1">IFERROR(__xludf.DUMMYFUNCTION("""COMPUTED_VALUE"""),9)</f>
        <v>9</v>
      </c>
      <c r="N20" s="1">
        <f ca="1">IFERROR(__xludf.DUMMYFUNCTION("""COMPUTED_VALUE"""),2510)</f>
        <v>2510</v>
      </c>
      <c r="O20" s="1">
        <f ca="1">IFERROR(__xludf.DUMMYFUNCTION("""COMPUTED_VALUE"""),2279)</f>
        <v>2279</v>
      </c>
      <c r="P20" s="1">
        <f ca="1">IFERROR(__xludf.DUMMYFUNCTION("""COMPUTED_VALUE"""),1390)</f>
        <v>1390</v>
      </c>
      <c r="Q20" s="1">
        <f ca="1">IFERROR(__xludf.DUMMYFUNCTION("""COMPUTED_VALUE"""),899)</f>
        <v>899</v>
      </c>
      <c r="R20" s="1">
        <f ca="1">IFERROR(__xludf.DUMMYFUNCTION("""COMPUTED_VALUE"""),1960)</f>
        <v>1960</v>
      </c>
      <c r="S20" s="1">
        <f ca="1">IFERROR(__xludf.DUMMYFUNCTION("""COMPUTED_VALUE"""),0.459)</f>
        <v>0.45900000000000002</v>
      </c>
      <c r="T20" s="1">
        <f ca="1">IFERROR(__xludf.DUMMYFUNCTION("""COMPUTED_VALUE"""),186)</f>
        <v>186</v>
      </c>
      <c r="U20" s="1">
        <f ca="1">IFERROR(__xludf.DUMMYFUNCTION("""COMPUTED_VALUE"""),517)</f>
        <v>517</v>
      </c>
      <c r="V20" s="1">
        <f ca="1">IFERROR(__xludf.DUMMYFUNCTION("""COMPUTED_VALUE"""),0.36)</f>
        <v>0.36</v>
      </c>
      <c r="W20" s="1">
        <f ca="1">IFERROR(__xludf.DUMMYFUNCTION("""COMPUTED_VALUE"""),526)</f>
        <v>526</v>
      </c>
      <c r="X20" s="1">
        <f ca="1">IFERROR(__xludf.DUMMYFUNCTION("""COMPUTED_VALUE"""),773)</f>
        <v>773</v>
      </c>
      <c r="Y20" s="1">
        <f ca="1">IFERROR(__xludf.DUMMYFUNCTION("""COMPUTED_VALUE"""),0.68)</f>
        <v>0.68</v>
      </c>
      <c r="Z20" s="1">
        <f ca="1">IFERROR(__xludf.DUMMYFUNCTION("""COMPUTED_VALUE"""),429)</f>
        <v>429</v>
      </c>
      <c r="AA20" s="1">
        <f ca="1">IFERROR(__xludf.DUMMYFUNCTION("""COMPUTED_VALUE"""),1227)</f>
        <v>1227</v>
      </c>
      <c r="AB20" s="1">
        <f ca="1">IFERROR(__xludf.DUMMYFUNCTION("""COMPUTED_VALUE"""),484)</f>
        <v>484</v>
      </c>
      <c r="AC20" s="1">
        <f ca="1">IFERROR(__xludf.DUMMYFUNCTION("""COMPUTED_VALUE"""),292)</f>
        <v>292</v>
      </c>
      <c r="AD20" s="1">
        <f ca="1">IFERROR(__xludf.DUMMYFUNCTION("""COMPUTED_VALUE"""),142)</f>
        <v>142</v>
      </c>
      <c r="AE20" s="1">
        <f ca="1">IFERROR(__xludf.DUMMYFUNCTION("""COMPUTED_VALUE"""),485)</f>
        <v>485</v>
      </c>
      <c r="AF20" s="1">
        <f ca="1">IFERROR(__xludf.DUMMYFUNCTION("""COMPUTED_VALUE"""),625)</f>
        <v>625</v>
      </c>
    </row>
    <row r="21" spans="1:32" ht="12.5" x14ac:dyDescent="0.25">
      <c r="A21" s="1" t="str">
        <f ca="1">IFERROR(__xludf.DUMMYFUNCTION("""COMPUTED_VALUE"""),"Ball State")</f>
        <v>Ball State</v>
      </c>
      <c r="B21" s="1">
        <f ca="1">IFERROR(__xludf.DUMMYFUNCTION("""COMPUTED_VALUE"""),32)</f>
        <v>32</v>
      </c>
      <c r="C21" s="1">
        <f ca="1">IFERROR(__xludf.DUMMYFUNCTION("""COMPUTED_VALUE"""),19)</f>
        <v>19</v>
      </c>
      <c r="D21" s="1">
        <f ca="1">IFERROR(__xludf.DUMMYFUNCTION("""COMPUTED_VALUE"""),13)</f>
        <v>13</v>
      </c>
      <c r="E21" s="1">
        <f ca="1">IFERROR(__xludf.DUMMYFUNCTION("""COMPUTED_VALUE"""),0.594)</f>
        <v>0.59399999999999997</v>
      </c>
      <c r="F21" s="1">
        <f ca="1">IFERROR(__xludf.DUMMYFUNCTION("""COMPUTED_VALUE"""),-0.7)</f>
        <v>-0.7</v>
      </c>
      <c r="G21" s="1">
        <f ca="1">IFERROR(__xludf.DUMMYFUNCTION("""COMPUTED_VALUE"""),-3.4)</f>
        <v>-3.4</v>
      </c>
      <c r="H21" s="1">
        <f ca="1">IFERROR(__xludf.DUMMYFUNCTION("""COMPUTED_VALUE"""),10)</f>
        <v>10</v>
      </c>
      <c r="I21" s="1">
        <f ca="1">IFERROR(__xludf.DUMMYFUNCTION("""COMPUTED_VALUE"""),6)</f>
        <v>6</v>
      </c>
      <c r="J21" s="1">
        <f ca="1">IFERROR(__xludf.DUMMYFUNCTION("""COMPUTED_VALUE"""),11)</f>
        <v>11</v>
      </c>
      <c r="K21" s="1">
        <f ca="1">IFERROR(__xludf.DUMMYFUNCTION("""COMPUTED_VALUE"""),3)</f>
        <v>3</v>
      </c>
      <c r="L21" s="1">
        <f ca="1">IFERROR(__xludf.DUMMYFUNCTION("""COMPUTED_VALUE"""),6)</f>
        <v>6</v>
      </c>
      <c r="M21" s="1">
        <f ca="1">IFERROR(__xludf.DUMMYFUNCTION("""COMPUTED_VALUE"""),9)</f>
        <v>9</v>
      </c>
      <c r="N21" s="1">
        <f ca="1">IFERROR(__xludf.DUMMYFUNCTION("""COMPUTED_VALUE"""),2164)</f>
        <v>2164</v>
      </c>
      <c r="O21" s="1">
        <f ca="1">IFERROR(__xludf.DUMMYFUNCTION("""COMPUTED_VALUE"""),2049)</f>
        <v>2049</v>
      </c>
      <c r="P21" s="1">
        <f ca="1">IFERROR(__xludf.DUMMYFUNCTION("""COMPUTED_VALUE"""),1295)</f>
        <v>1295</v>
      </c>
      <c r="Q21" s="1">
        <f ca="1">IFERROR(__xludf.DUMMYFUNCTION("""COMPUTED_VALUE"""),724)</f>
        <v>724</v>
      </c>
      <c r="R21" s="1">
        <f ca="1">IFERROR(__xludf.DUMMYFUNCTION("""COMPUTED_VALUE"""),1623)</f>
        <v>1623</v>
      </c>
      <c r="S21" s="1">
        <f ca="1">IFERROR(__xludf.DUMMYFUNCTION("""COMPUTED_VALUE"""),0.446)</f>
        <v>0.44600000000000001</v>
      </c>
      <c r="T21" s="1">
        <f ca="1">IFERROR(__xludf.DUMMYFUNCTION("""COMPUTED_VALUE"""),149)</f>
        <v>149</v>
      </c>
      <c r="U21" s="1">
        <f ca="1">IFERROR(__xludf.DUMMYFUNCTION("""COMPUTED_VALUE"""),443)</f>
        <v>443</v>
      </c>
      <c r="V21" s="1">
        <f ca="1">IFERROR(__xludf.DUMMYFUNCTION("""COMPUTED_VALUE"""),0.336)</f>
        <v>0.33600000000000002</v>
      </c>
      <c r="W21" s="1">
        <f ca="1">IFERROR(__xludf.DUMMYFUNCTION("""COMPUTED_VALUE"""),567)</f>
        <v>567</v>
      </c>
      <c r="X21" s="1">
        <f ca="1">IFERROR(__xludf.DUMMYFUNCTION("""COMPUTED_VALUE"""),818)</f>
        <v>818</v>
      </c>
      <c r="Y21" s="1">
        <f ca="1">IFERROR(__xludf.DUMMYFUNCTION("""COMPUTED_VALUE"""),0.693)</f>
        <v>0.69299999999999995</v>
      </c>
      <c r="Z21" s="1">
        <f ca="1">IFERROR(__xludf.DUMMYFUNCTION("""COMPUTED_VALUE"""),332)</f>
        <v>332</v>
      </c>
      <c r="AA21" s="1">
        <f ca="1">IFERROR(__xludf.DUMMYFUNCTION("""COMPUTED_VALUE"""),1077)</f>
        <v>1077</v>
      </c>
      <c r="AB21" s="1">
        <f ca="1">IFERROR(__xludf.DUMMYFUNCTION("""COMPUTED_VALUE"""),436)</f>
        <v>436</v>
      </c>
      <c r="AC21" s="1">
        <f ca="1">IFERROR(__xludf.DUMMYFUNCTION("""COMPUTED_VALUE"""),193)</f>
        <v>193</v>
      </c>
      <c r="AD21" s="1">
        <f ca="1">IFERROR(__xludf.DUMMYFUNCTION("""COMPUTED_VALUE"""),64)</f>
        <v>64</v>
      </c>
      <c r="AE21" s="1">
        <f ca="1">IFERROR(__xludf.DUMMYFUNCTION("""COMPUTED_VALUE"""),414)</f>
        <v>414</v>
      </c>
      <c r="AF21" s="1">
        <f ca="1">IFERROR(__xludf.DUMMYFUNCTION("""COMPUTED_VALUE"""),574)</f>
        <v>574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IFERROR(__xludf.DUMMYFUNCTION("""COMPUTED_VALUE"""),"Baylor")</f>
        <v>Baylor</v>
      </c>
      <c r="B24" s="1">
        <f ca="1">IFERROR(__xludf.DUMMYFUNCTION("""COMPUTED_VALUE"""),31)</f>
        <v>31</v>
      </c>
      <c r="C24" s="1">
        <f ca="1">IFERROR(__xludf.DUMMYFUNCTION("""COMPUTED_VALUE"""),18)</f>
        <v>18</v>
      </c>
      <c r="D24" s="1">
        <f ca="1">IFERROR(__xludf.DUMMYFUNCTION("""COMPUTED_VALUE"""),13)</f>
        <v>13</v>
      </c>
      <c r="E24" s="1">
        <f ca="1">IFERROR(__xludf.DUMMYFUNCTION("""COMPUTED_VALUE"""),0.581)</f>
        <v>0.58099999999999996</v>
      </c>
      <c r="F24" s="1">
        <f ca="1">IFERROR(__xludf.DUMMYFUNCTION("""COMPUTED_VALUE"""),10)</f>
        <v>10</v>
      </c>
      <c r="G24" s="1">
        <f ca="1">IFERROR(__xludf.DUMMYFUNCTION("""COMPUTED_VALUE"""),4.8)</f>
        <v>4.8</v>
      </c>
      <c r="H24" s="1">
        <f ca="1">IFERROR(__xludf.DUMMYFUNCTION("""COMPUTED_VALUE"""),7)</f>
        <v>7</v>
      </c>
      <c r="I24" s="1">
        <f ca="1">IFERROR(__xludf.DUMMYFUNCTION("""COMPUTED_VALUE"""),9)</f>
        <v>9</v>
      </c>
      <c r="J24" s="1">
        <f ca="1">IFERROR(__xludf.DUMMYFUNCTION("""COMPUTED_VALUE"""),15)</f>
        <v>15</v>
      </c>
      <c r="K24" s="1">
        <f ca="1">IFERROR(__xludf.DUMMYFUNCTION("""COMPUTED_VALUE"""),3)</f>
        <v>3</v>
      </c>
      <c r="L24" s="1">
        <f ca="1">IFERROR(__xludf.DUMMYFUNCTION("""COMPUTED_VALUE"""),2)</f>
        <v>2</v>
      </c>
      <c r="M24" s="1">
        <f ca="1">IFERROR(__xludf.DUMMYFUNCTION("""COMPUTED_VALUE"""),6)</f>
        <v>6</v>
      </c>
      <c r="N24" s="1">
        <f ca="1">IFERROR(__xludf.DUMMYFUNCTION("""COMPUTED_VALUE"""),2154)</f>
        <v>2154</v>
      </c>
      <c r="O24" s="1">
        <f ca="1">IFERROR(__xludf.DUMMYFUNCTION("""COMPUTED_VALUE"""),1984)</f>
        <v>1984</v>
      </c>
      <c r="P24" s="1">
        <f ca="1">IFERROR(__xludf.DUMMYFUNCTION("""COMPUTED_VALUE"""),1245)</f>
        <v>1245</v>
      </c>
      <c r="Q24" s="1">
        <f ca="1">IFERROR(__xludf.DUMMYFUNCTION("""COMPUTED_VALUE"""),752)</f>
        <v>752</v>
      </c>
      <c r="R24" s="1">
        <f ca="1">IFERROR(__xludf.DUMMYFUNCTION("""COMPUTED_VALUE"""),1618)</f>
        <v>1618</v>
      </c>
      <c r="S24" s="1">
        <f ca="1">IFERROR(__xludf.DUMMYFUNCTION("""COMPUTED_VALUE"""),0.465)</f>
        <v>0.46500000000000002</v>
      </c>
      <c r="T24" s="1">
        <f ca="1">IFERROR(__xludf.DUMMYFUNCTION("""COMPUTED_VALUE"""),164)</f>
        <v>164</v>
      </c>
      <c r="U24" s="1">
        <f ca="1">IFERROR(__xludf.DUMMYFUNCTION("""COMPUTED_VALUE"""),474)</f>
        <v>474</v>
      </c>
      <c r="V24" s="1">
        <f ca="1">IFERROR(__xludf.DUMMYFUNCTION("""COMPUTED_VALUE"""),0.346)</f>
        <v>0.34599999999999997</v>
      </c>
      <c r="W24" s="1">
        <f ca="1">IFERROR(__xludf.DUMMYFUNCTION("""COMPUTED_VALUE"""),486)</f>
        <v>486</v>
      </c>
      <c r="X24" s="1">
        <f ca="1">IFERROR(__xludf.DUMMYFUNCTION("""COMPUTED_VALUE"""),699)</f>
        <v>699</v>
      </c>
      <c r="Y24" s="1">
        <f ca="1">IFERROR(__xludf.DUMMYFUNCTION("""COMPUTED_VALUE"""),0.695)</f>
        <v>0.69499999999999995</v>
      </c>
      <c r="Z24" s="1">
        <f ca="1">IFERROR(__xludf.DUMMYFUNCTION("""COMPUTED_VALUE"""),360)</f>
        <v>360</v>
      </c>
      <c r="AA24" s="1">
        <f ca="1">IFERROR(__xludf.DUMMYFUNCTION("""COMPUTED_VALUE"""),1088)</f>
        <v>1088</v>
      </c>
      <c r="AB24" s="1">
        <f ca="1">IFERROR(__xludf.DUMMYFUNCTION("""COMPUTED_VALUE"""),365)</f>
        <v>365</v>
      </c>
      <c r="AC24" s="1">
        <f ca="1">IFERROR(__xludf.DUMMYFUNCTION("""COMPUTED_VALUE"""),217)</f>
        <v>217</v>
      </c>
      <c r="AD24" s="1">
        <f ca="1">IFERROR(__xludf.DUMMYFUNCTION("""COMPUTED_VALUE"""),130)</f>
        <v>130</v>
      </c>
      <c r="AE24" s="1">
        <f ca="1">IFERROR(__xludf.DUMMYFUNCTION("""COMPUTED_VALUE"""),487)</f>
        <v>487</v>
      </c>
      <c r="AF24" s="1">
        <f ca="1">IFERROR(__xludf.DUMMYFUNCTION("""COMPUTED_VALUE"""),524)</f>
        <v>524</v>
      </c>
    </row>
    <row r="25" spans="1:32" ht="12.5" x14ac:dyDescent="0.25">
      <c r="A25" s="1" t="str">
        <f ca="1">IFERROR(__xludf.DUMMYFUNCTION("""COMPUTED_VALUE"""),"BelmontNCAA")</f>
        <v>BelmontNCAA</v>
      </c>
      <c r="B25" s="1">
        <f ca="1">IFERROR(__xludf.DUMMYFUNCTION("""COMPUTED_VALUE"""),35)</f>
        <v>35</v>
      </c>
      <c r="C25" s="1">
        <f ca="1">IFERROR(__xludf.DUMMYFUNCTION("""COMPUTED_VALUE"""),30)</f>
        <v>30</v>
      </c>
      <c r="D25" s="1">
        <f ca="1">IFERROR(__xludf.DUMMYFUNCTION("""COMPUTED_VALUE"""),5)</f>
        <v>5</v>
      </c>
      <c r="E25" s="1">
        <f ca="1">IFERROR(__xludf.DUMMYFUNCTION("""COMPUTED_VALUE"""),0.857)</f>
        <v>0.85699999999999998</v>
      </c>
      <c r="F25" s="1">
        <f ca="1">IFERROR(__xludf.DUMMYFUNCTION("""COMPUTED_VALUE"""),13.07)</f>
        <v>13.07</v>
      </c>
      <c r="G25" s="1">
        <f ca="1">IFERROR(__xludf.DUMMYFUNCTION("""COMPUTED_VALUE"""),-4.42)</f>
        <v>-4.42</v>
      </c>
      <c r="H25" s="1">
        <f ca="1">IFERROR(__xludf.DUMMYFUNCTION("""COMPUTED_VALUE"""),19)</f>
        <v>19</v>
      </c>
      <c r="I25" s="1">
        <f ca="1">IFERROR(__xludf.DUMMYFUNCTION("""COMPUTED_VALUE"""),1)</f>
        <v>1</v>
      </c>
      <c r="J25" s="1">
        <f ca="1">IFERROR(__xludf.DUMMYFUNCTION("""COMPUTED_VALUE"""),12)</f>
        <v>12</v>
      </c>
      <c r="K25" s="1">
        <f ca="1">IFERROR(__xludf.DUMMYFUNCTION("""COMPUTED_VALUE"""),0)</f>
        <v>0</v>
      </c>
      <c r="L25" s="1">
        <f ca="1">IFERROR(__xludf.DUMMYFUNCTION("""COMPUTED_VALUE"""),12)</f>
        <v>12</v>
      </c>
      <c r="M25" s="1">
        <f ca="1">IFERROR(__xludf.DUMMYFUNCTION("""COMPUTED_VALUE"""),4)</f>
        <v>4</v>
      </c>
      <c r="N25" s="1">
        <f ca="1">IFERROR(__xludf.DUMMYFUNCTION("""COMPUTED_VALUE"""),2790)</f>
        <v>2790</v>
      </c>
      <c r="O25" s="1">
        <f ca="1">IFERROR(__xludf.DUMMYFUNCTION("""COMPUTED_VALUE"""),2178)</f>
        <v>2178</v>
      </c>
      <c r="P25" s="1">
        <f ca="1">IFERROR(__xludf.DUMMYFUNCTION("""COMPUTED_VALUE"""),1410)</f>
        <v>1410</v>
      </c>
      <c r="Q25" s="1">
        <f ca="1">IFERROR(__xludf.DUMMYFUNCTION("""COMPUTED_VALUE"""),944)</f>
        <v>944</v>
      </c>
      <c r="R25" s="1">
        <f ca="1">IFERROR(__xludf.DUMMYFUNCTION("""COMPUTED_VALUE"""),2045)</f>
        <v>2045</v>
      </c>
      <c r="S25" s="1">
        <f ca="1">IFERROR(__xludf.DUMMYFUNCTION("""COMPUTED_VALUE"""),0.462)</f>
        <v>0.46200000000000002</v>
      </c>
      <c r="T25" s="1">
        <f ca="1">IFERROR(__xludf.DUMMYFUNCTION("""COMPUTED_VALUE"""),327)</f>
        <v>327</v>
      </c>
      <c r="U25" s="1">
        <f ca="1">IFERROR(__xludf.DUMMYFUNCTION("""COMPUTED_VALUE"""),864)</f>
        <v>864</v>
      </c>
      <c r="V25" s="1">
        <f ca="1">IFERROR(__xludf.DUMMYFUNCTION("""COMPUTED_VALUE"""),0.378)</f>
        <v>0.378</v>
      </c>
      <c r="W25" s="1">
        <f ca="1">IFERROR(__xludf.DUMMYFUNCTION("""COMPUTED_VALUE"""),575)</f>
        <v>575</v>
      </c>
      <c r="X25" s="1">
        <f ca="1">IFERROR(__xludf.DUMMYFUNCTION("""COMPUTED_VALUE"""),781)</f>
        <v>781</v>
      </c>
      <c r="Y25" s="1">
        <f ca="1">IFERROR(__xludf.DUMMYFUNCTION("""COMPUTED_VALUE"""),0.736)</f>
        <v>0.73599999999999999</v>
      </c>
      <c r="Z25" s="1">
        <f ca="1">IFERROR(__xludf.DUMMYFUNCTION("""COMPUTED_VALUE"""),451)</f>
        <v>451</v>
      </c>
      <c r="AA25" s="1">
        <f ca="1">IFERROR(__xludf.DUMMYFUNCTION("""COMPUTED_VALUE"""),1258)</f>
        <v>1258</v>
      </c>
      <c r="AB25" s="1">
        <f ca="1">IFERROR(__xludf.DUMMYFUNCTION("""COMPUTED_VALUE"""),575)</f>
        <v>575</v>
      </c>
      <c r="AC25" s="1">
        <f ca="1">IFERROR(__xludf.DUMMYFUNCTION("""COMPUTED_VALUE"""),338)</f>
        <v>338</v>
      </c>
      <c r="AD25" s="1">
        <f ca="1">IFERROR(__xludf.DUMMYFUNCTION("""COMPUTED_VALUE"""),118)</f>
        <v>118</v>
      </c>
      <c r="AE25" s="1">
        <f ca="1">IFERROR(__xludf.DUMMYFUNCTION("""COMPUTED_VALUE"""),480)</f>
        <v>480</v>
      </c>
      <c r="AF25" s="1">
        <f ca="1">IFERROR(__xludf.DUMMYFUNCTION("""COMPUTED_VALUE"""),729)</f>
        <v>729</v>
      </c>
    </row>
    <row r="26" spans="1:32" ht="12.5" x14ac:dyDescent="0.25">
      <c r="A26" s="1" t="str">
        <f ca="1">IFERROR(__xludf.DUMMYFUNCTION("""COMPUTED_VALUE"""),"Bethune-Cookman")</f>
        <v>Bethune-Cookman</v>
      </c>
      <c r="B26" s="1">
        <f ca="1">IFERROR(__xludf.DUMMYFUNCTION("""COMPUTED_VALUE"""),34)</f>
        <v>34</v>
      </c>
      <c r="C26" s="1">
        <f ca="1">IFERROR(__xludf.DUMMYFUNCTION("""COMPUTED_VALUE"""),21)</f>
        <v>21</v>
      </c>
      <c r="D26" s="1">
        <f ca="1">IFERROR(__xludf.DUMMYFUNCTION("""COMPUTED_VALUE"""),13)</f>
        <v>13</v>
      </c>
      <c r="E26" s="1">
        <f ca="1">IFERROR(__xludf.DUMMYFUNCTION("""COMPUTED_VALUE"""),0.618)</f>
        <v>0.61799999999999999</v>
      </c>
      <c r="F26" s="1">
        <f ca="1">IFERROR(__xludf.DUMMYFUNCTION("""COMPUTED_VALUE"""),-11.11)</f>
        <v>-11.11</v>
      </c>
      <c r="G26" s="1">
        <f ca="1">IFERROR(__xludf.DUMMYFUNCTION("""COMPUTED_VALUE"""),-8.04)</f>
        <v>-8.0399999999999991</v>
      </c>
      <c r="H26" s="1">
        <f ca="1">IFERROR(__xludf.DUMMYFUNCTION("""COMPUTED_VALUE"""),13)</f>
        <v>13</v>
      </c>
      <c r="I26" s="1">
        <f ca="1">IFERROR(__xludf.DUMMYFUNCTION("""COMPUTED_VALUE"""),3)</f>
        <v>3</v>
      </c>
      <c r="J26" s="1">
        <f ca="1">IFERROR(__xludf.DUMMYFUNCTION("""COMPUTED_VALUE"""),11)</f>
        <v>11</v>
      </c>
      <c r="K26" s="1">
        <f ca="1">IFERROR(__xludf.DUMMYFUNCTION("""COMPUTED_VALUE"""),3)</f>
        <v>3</v>
      </c>
      <c r="L26" s="1">
        <f ca="1">IFERROR(__xludf.DUMMYFUNCTION("""COMPUTED_VALUE"""),9)</f>
        <v>9</v>
      </c>
      <c r="M26" s="1">
        <f ca="1">IFERROR(__xludf.DUMMYFUNCTION("""COMPUTED_VALUE"""),7)</f>
        <v>7</v>
      </c>
      <c r="N26" s="1">
        <f ca="1">IFERROR(__xludf.DUMMYFUNCTION("""COMPUTED_VALUE"""),2241)</f>
        <v>2241</v>
      </c>
      <c r="O26" s="1">
        <f ca="1">IFERROR(__xludf.DUMMYFUNCTION("""COMPUTED_VALUE"""),2240)</f>
        <v>2240</v>
      </c>
      <c r="P26" s="1">
        <f ca="1">IFERROR(__xludf.DUMMYFUNCTION("""COMPUTED_VALUE"""),1390)</f>
        <v>1390</v>
      </c>
      <c r="Q26" s="1">
        <f ca="1">IFERROR(__xludf.DUMMYFUNCTION("""COMPUTED_VALUE"""),796)</f>
        <v>796</v>
      </c>
      <c r="R26" s="1">
        <f ca="1">IFERROR(__xludf.DUMMYFUNCTION("""COMPUTED_VALUE"""),1814)</f>
        <v>1814</v>
      </c>
      <c r="S26" s="1">
        <f ca="1">IFERROR(__xludf.DUMMYFUNCTION("""COMPUTED_VALUE"""),0.439)</f>
        <v>0.439</v>
      </c>
      <c r="T26" s="1">
        <f ca="1">IFERROR(__xludf.DUMMYFUNCTION("""COMPUTED_VALUE"""),140)</f>
        <v>140</v>
      </c>
      <c r="U26" s="1">
        <f ca="1">IFERROR(__xludf.DUMMYFUNCTION("""COMPUTED_VALUE"""),443)</f>
        <v>443</v>
      </c>
      <c r="V26" s="1">
        <f ca="1">IFERROR(__xludf.DUMMYFUNCTION("""COMPUTED_VALUE"""),0.316)</f>
        <v>0.316</v>
      </c>
      <c r="W26" s="1">
        <f ca="1">IFERROR(__xludf.DUMMYFUNCTION("""COMPUTED_VALUE"""),509)</f>
        <v>509</v>
      </c>
      <c r="X26" s="1">
        <f ca="1">IFERROR(__xludf.DUMMYFUNCTION("""COMPUTED_VALUE"""),719)</f>
        <v>719</v>
      </c>
      <c r="Y26" s="1">
        <f ca="1">IFERROR(__xludf.DUMMYFUNCTION("""COMPUTED_VALUE"""),0.708)</f>
        <v>0.70799999999999996</v>
      </c>
      <c r="Z26" s="1">
        <f ca="1">IFERROR(__xludf.DUMMYFUNCTION("""COMPUTED_VALUE"""),365)</f>
        <v>365</v>
      </c>
      <c r="AA26" s="1">
        <f ca="1">IFERROR(__xludf.DUMMYFUNCTION("""COMPUTED_VALUE"""),1094)</f>
        <v>1094</v>
      </c>
      <c r="AB26" s="1">
        <f ca="1">IFERROR(__xludf.DUMMYFUNCTION("""COMPUTED_VALUE"""),393)</f>
        <v>393</v>
      </c>
      <c r="AC26" s="1">
        <f ca="1">IFERROR(__xludf.DUMMYFUNCTION("""COMPUTED_VALUE"""),242)</f>
        <v>242</v>
      </c>
      <c r="AD26" s="1">
        <f ca="1">IFERROR(__xludf.DUMMYFUNCTION("""COMPUTED_VALUE"""),90)</f>
        <v>90</v>
      </c>
      <c r="AE26" s="1">
        <f ca="1">IFERROR(__xludf.DUMMYFUNCTION("""COMPUTED_VALUE"""),415)</f>
        <v>415</v>
      </c>
      <c r="AF26" s="1">
        <f ca="1">IFERROR(__xludf.DUMMYFUNCTION("""COMPUTED_VALUE"""),654)</f>
        <v>654</v>
      </c>
    </row>
    <row r="27" spans="1:32" ht="12.5" x14ac:dyDescent="0.25">
      <c r="A27" s="1" t="str">
        <f ca="1">IFERROR(__xludf.DUMMYFUNCTION("""COMPUTED_VALUE"""),"Binghamton")</f>
        <v>Binghamton</v>
      </c>
      <c r="B27" s="1">
        <f ca="1">IFERROR(__xludf.DUMMYFUNCTION("""COMPUTED_VALUE"""),31)</f>
        <v>31</v>
      </c>
      <c r="C27" s="1">
        <f ca="1">IFERROR(__xludf.DUMMYFUNCTION("""COMPUTED_VALUE"""),8)</f>
        <v>8</v>
      </c>
      <c r="D27" s="1">
        <f ca="1">IFERROR(__xludf.DUMMYFUNCTION("""COMPUTED_VALUE"""),23)</f>
        <v>23</v>
      </c>
      <c r="E27" s="1">
        <f ca="1">IFERROR(__xludf.DUMMYFUNCTION("""COMPUTED_VALUE"""),0.258)</f>
        <v>0.25800000000000001</v>
      </c>
      <c r="F27" s="1">
        <f ca="1">IFERROR(__xludf.DUMMYFUNCTION("""COMPUTED_VALUE"""),-13.81)</f>
        <v>-13.81</v>
      </c>
      <c r="G27" s="1">
        <f ca="1">IFERROR(__xludf.DUMMYFUNCTION("""COMPUTED_VALUE"""),-5.35)</f>
        <v>-5.35</v>
      </c>
      <c r="H27" s="1">
        <f ca="1">IFERROR(__xludf.DUMMYFUNCTION("""COMPUTED_VALUE"""),4)</f>
        <v>4</v>
      </c>
      <c r="I27" s="1">
        <f ca="1">IFERROR(__xludf.DUMMYFUNCTION("""COMPUTED_VALUE"""),12)</f>
        <v>12</v>
      </c>
      <c r="J27" s="1">
        <f ca="1">IFERROR(__xludf.DUMMYFUNCTION("""COMPUTED_VALUE"""),3)</f>
        <v>3</v>
      </c>
      <c r="K27" s="1">
        <f ca="1">IFERROR(__xludf.DUMMYFUNCTION("""COMPUTED_VALUE"""),10)</f>
        <v>10</v>
      </c>
      <c r="L27" s="1">
        <f ca="1">IFERROR(__xludf.DUMMYFUNCTION("""COMPUTED_VALUE"""),4)</f>
        <v>4</v>
      </c>
      <c r="M27" s="1">
        <f ca="1">IFERROR(__xludf.DUMMYFUNCTION("""COMPUTED_VALUE"""),12)</f>
        <v>12</v>
      </c>
      <c r="N27" s="1">
        <f ca="1">IFERROR(__xludf.DUMMYFUNCTION("""COMPUTED_VALUE"""),1861)</f>
        <v>1861</v>
      </c>
      <c r="O27" s="1">
        <f ca="1">IFERROR(__xludf.DUMMYFUNCTION("""COMPUTED_VALUE"""),2123)</f>
        <v>2123</v>
      </c>
      <c r="P27" s="1">
        <f ca="1">IFERROR(__xludf.DUMMYFUNCTION("""COMPUTED_VALUE"""),1250)</f>
        <v>1250</v>
      </c>
      <c r="Q27" s="1">
        <f ca="1">IFERROR(__xludf.DUMMYFUNCTION("""COMPUTED_VALUE"""),651)</f>
        <v>651</v>
      </c>
      <c r="R27" s="1">
        <f ca="1">IFERROR(__xludf.DUMMYFUNCTION("""COMPUTED_VALUE"""),1641)</f>
        <v>1641</v>
      </c>
      <c r="S27" s="1">
        <f ca="1">IFERROR(__xludf.DUMMYFUNCTION("""COMPUTED_VALUE"""),0.397)</f>
        <v>0.39700000000000002</v>
      </c>
      <c r="T27" s="1">
        <f ca="1">IFERROR(__xludf.DUMMYFUNCTION("""COMPUTED_VALUE"""),233)</f>
        <v>233</v>
      </c>
      <c r="U27" s="1">
        <f ca="1">IFERROR(__xludf.DUMMYFUNCTION("""COMPUTED_VALUE"""),659)</f>
        <v>659</v>
      </c>
      <c r="V27" s="1">
        <f ca="1">IFERROR(__xludf.DUMMYFUNCTION("""COMPUTED_VALUE"""),0.354)</f>
        <v>0.35399999999999998</v>
      </c>
      <c r="W27" s="1">
        <f ca="1">IFERROR(__xludf.DUMMYFUNCTION("""COMPUTED_VALUE"""),326)</f>
        <v>326</v>
      </c>
      <c r="X27" s="1">
        <f ca="1">IFERROR(__xludf.DUMMYFUNCTION("""COMPUTED_VALUE"""),465)</f>
        <v>465</v>
      </c>
      <c r="Y27" s="1">
        <f ca="1">IFERROR(__xludf.DUMMYFUNCTION("""COMPUTED_VALUE"""),0.701)</f>
        <v>0.70099999999999996</v>
      </c>
      <c r="Z27" s="1">
        <f ca="1">IFERROR(__xludf.DUMMYFUNCTION("""COMPUTED_VALUE"""),316)</f>
        <v>316</v>
      </c>
      <c r="AA27" s="1">
        <f ca="1">IFERROR(__xludf.DUMMYFUNCTION("""COMPUTED_VALUE"""),959)</f>
        <v>959</v>
      </c>
      <c r="AB27" s="1">
        <f ca="1">IFERROR(__xludf.DUMMYFUNCTION("""COMPUTED_VALUE"""),338)</f>
        <v>338</v>
      </c>
      <c r="AC27" s="1">
        <f ca="1">IFERROR(__xludf.DUMMYFUNCTION("""COMPUTED_VALUE"""),157)</f>
        <v>157</v>
      </c>
      <c r="AD27" s="1">
        <f ca="1">IFERROR(__xludf.DUMMYFUNCTION("""COMPUTED_VALUE"""),102)</f>
        <v>102</v>
      </c>
      <c r="AE27" s="1">
        <f ca="1">IFERROR(__xludf.DUMMYFUNCTION("""COMPUTED_VALUE"""),384)</f>
        <v>384</v>
      </c>
      <c r="AF27" s="1">
        <f ca="1">IFERROR(__xludf.DUMMYFUNCTION("""COMPUTED_VALUE"""),503)</f>
        <v>503</v>
      </c>
    </row>
    <row r="28" spans="1:32" ht="12.5" x14ac:dyDescent="0.25">
      <c r="A28" s="1" t="str">
        <f ca="1">IFERROR(__xludf.DUMMYFUNCTION("""COMPUTED_VALUE"""),"Boise State")</f>
        <v>Boise State</v>
      </c>
      <c r="B28" s="1">
        <f ca="1">IFERROR(__xludf.DUMMYFUNCTION("""COMPUTED_VALUE"""),35)</f>
        <v>35</v>
      </c>
      <c r="C28" s="1">
        <f ca="1">IFERROR(__xludf.DUMMYFUNCTION("""COMPUTED_VALUE"""),22)</f>
        <v>22</v>
      </c>
      <c r="D28" s="1">
        <f ca="1">IFERROR(__xludf.DUMMYFUNCTION("""COMPUTED_VALUE"""),13)</f>
        <v>13</v>
      </c>
      <c r="E28" s="1">
        <f ca="1">IFERROR(__xludf.DUMMYFUNCTION("""COMPUTED_VALUE"""),0.629)</f>
        <v>0.629</v>
      </c>
      <c r="F28" s="1">
        <f ca="1">IFERROR(__xludf.DUMMYFUNCTION("""COMPUTED_VALUE"""),5.48)</f>
        <v>5.48</v>
      </c>
      <c r="G28" s="1">
        <f ca="1">IFERROR(__xludf.DUMMYFUNCTION("""COMPUTED_VALUE"""),0.01)</f>
        <v>0.01</v>
      </c>
      <c r="H28" s="1">
        <f ca="1">IFERROR(__xludf.DUMMYFUNCTION("""COMPUTED_VALUE"""),10)</f>
        <v>10</v>
      </c>
      <c r="I28" s="1">
        <f ca="1">IFERROR(__xludf.DUMMYFUNCTION("""COMPUTED_VALUE"""),6)</f>
        <v>6</v>
      </c>
      <c r="J28" s="1">
        <f ca="1">IFERROR(__xludf.DUMMYFUNCTION("""COMPUTED_VALUE"""),12)</f>
        <v>12</v>
      </c>
      <c r="K28" s="1">
        <f ca="1">IFERROR(__xludf.DUMMYFUNCTION("""COMPUTED_VALUE"""),4)</f>
        <v>4</v>
      </c>
      <c r="L28" s="1">
        <f ca="1">IFERROR(__xludf.DUMMYFUNCTION("""COMPUTED_VALUE"""),9)</f>
        <v>9</v>
      </c>
      <c r="M28" s="1">
        <f ca="1">IFERROR(__xludf.DUMMYFUNCTION("""COMPUTED_VALUE"""),7)</f>
        <v>7</v>
      </c>
      <c r="N28" s="1">
        <f ca="1">IFERROR(__xludf.DUMMYFUNCTION("""COMPUTED_VALUE"""),2594)</f>
        <v>2594</v>
      </c>
      <c r="O28" s="1">
        <f ca="1">IFERROR(__xludf.DUMMYFUNCTION("""COMPUTED_VALUE"""),2382)</f>
        <v>2382</v>
      </c>
      <c r="P28" s="1">
        <f ca="1">IFERROR(__xludf.DUMMYFUNCTION("""COMPUTED_VALUE"""),1430)</f>
        <v>1430</v>
      </c>
      <c r="Q28" s="1">
        <f ca="1">IFERROR(__xludf.DUMMYFUNCTION("""COMPUTED_VALUE"""),876)</f>
        <v>876</v>
      </c>
      <c r="R28" s="1">
        <f ca="1">IFERROR(__xludf.DUMMYFUNCTION("""COMPUTED_VALUE"""),2002)</f>
        <v>2002</v>
      </c>
      <c r="S28" s="1">
        <f ca="1">IFERROR(__xludf.DUMMYFUNCTION("""COMPUTED_VALUE"""),0.438)</f>
        <v>0.438</v>
      </c>
      <c r="T28" s="1">
        <f ca="1">IFERROR(__xludf.DUMMYFUNCTION("""COMPUTED_VALUE"""),237)</f>
        <v>237</v>
      </c>
      <c r="U28" s="1">
        <f ca="1">IFERROR(__xludf.DUMMYFUNCTION("""COMPUTED_VALUE"""),689)</f>
        <v>689</v>
      </c>
      <c r="V28" s="1">
        <f ca="1">IFERROR(__xludf.DUMMYFUNCTION("""COMPUTED_VALUE"""),0.344)</f>
        <v>0.34399999999999997</v>
      </c>
      <c r="W28" s="1">
        <f ca="1">IFERROR(__xludf.DUMMYFUNCTION("""COMPUTED_VALUE"""),605)</f>
        <v>605</v>
      </c>
      <c r="X28" s="1">
        <f ca="1">IFERROR(__xludf.DUMMYFUNCTION("""COMPUTED_VALUE"""),838)</f>
        <v>838</v>
      </c>
      <c r="Y28" s="1">
        <f ca="1">IFERROR(__xludf.DUMMYFUNCTION("""COMPUTED_VALUE"""),0.722)</f>
        <v>0.72199999999999998</v>
      </c>
      <c r="Z28" s="1">
        <f ca="1">IFERROR(__xludf.DUMMYFUNCTION("""COMPUTED_VALUE"""),390)</f>
        <v>390</v>
      </c>
      <c r="AA28" s="1">
        <f ca="1">IFERROR(__xludf.DUMMYFUNCTION("""COMPUTED_VALUE"""),1158)</f>
        <v>1158</v>
      </c>
      <c r="AB28" s="1">
        <f ca="1">IFERROR(__xludf.DUMMYFUNCTION("""COMPUTED_VALUE"""),449)</f>
        <v>449</v>
      </c>
      <c r="AC28" s="1">
        <f ca="1">IFERROR(__xludf.DUMMYFUNCTION("""COMPUTED_VALUE"""),302)</f>
        <v>302</v>
      </c>
      <c r="AD28" s="1">
        <f ca="1">IFERROR(__xludf.DUMMYFUNCTION("""COMPUTED_VALUE"""),94)</f>
        <v>94</v>
      </c>
      <c r="AE28" s="1">
        <f ca="1">IFERROR(__xludf.DUMMYFUNCTION("""COMPUTED_VALUE"""),425)</f>
        <v>425</v>
      </c>
      <c r="AF28" s="1">
        <f ca="1">IFERROR(__xludf.DUMMYFUNCTION("""COMPUTED_VALUE"""),661)</f>
        <v>661</v>
      </c>
    </row>
    <row r="29" spans="1:32" ht="12.5" x14ac:dyDescent="0.25">
      <c r="A29" s="1" t="str">
        <f ca="1">IFERROR(__xludf.DUMMYFUNCTION("""COMPUTED_VALUE"""),"Boston College")</f>
        <v>Boston College</v>
      </c>
      <c r="B29" s="1">
        <f ca="1">IFERROR(__xludf.DUMMYFUNCTION("""COMPUTED_VALUE"""),34)</f>
        <v>34</v>
      </c>
      <c r="C29" s="1">
        <f ca="1">IFERROR(__xludf.DUMMYFUNCTION("""COMPUTED_VALUE"""),21)</f>
        <v>21</v>
      </c>
      <c r="D29" s="1">
        <f ca="1">IFERROR(__xludf.DUMMYFUNCTION("""COMPUTED_VALUE"""),13)</f>
        <v>13</v>
      </c>
      <c r="E29" s="1">
        <f ca="1">IFERROR(__xludf.DUMMYFUNCTION("""COMPUTED_VALUE"""),0.618)</f>
        <v>0.61799999999999999</v>
      </c>
      <c r="F29" s="1">
        <f ca="1">IFERROR(__xludf.DUMMYFUNCTION("""COMPUTED_VALUE"""),9.78)</f>
        <v>9.7799999999999994</v>
      </c>
      <c r="G29" s="1">
        <f ca="1">IFERROR(__xludf.DUMMYFUNCTION("""COMPUTED_VALUE"""),7.31)</f>
        <v>7.31</v>
      </c>
      <c r="H29" s="1">
        <f ca="1">IFERROR(__xludf.DUMMYFUNCTION("""COMPUTED_VALUE"""),9)</f>
        <v>9</v>
      </c>
      <c r="I29" s="1">
        <f ca="1">IFERROR(__xludf.DUMMYFUNCTION("""COMPUTED_VALUE"""),7)</f>
        <v>7</v>
      </c>
      <c r="J29" s="1">
        <f ca="1">IFERROR(__xludf.DUMMYFUNCTION("""COMPUTED_VALUE"""),12)</f>
        <v>12</v>
      </c>
      <c r="K29" s="1">
        <f ca="1">IFERROR(__xludf.DUMMYFUNCTION("""COMPUTED_VALUE"""),5)</f>
        <v>5</v>
      </c>
      <c r="L29" s="1">
        <f ca="1">IFERROR(__xludf.DUMMYFUNCTION("""COMPUTED_VALUE"""),5)</f>
        <v>5</v>
      </c>
      <c r="M29" s="1">
        <f ca="1">IFERROR(__xludf.DUMMYFUNCTION("""COMPUTED_VALUE"""),6)</f>
        <v>6</v>
      </c>
      <c r="N29" s="1">
        <f ca="1">IFERROR(__xludf.DUMMYFUNCTION("""COMPUTED_VALUE"""),2440)</f>
        <v>2440</v>
      </c>
      <c r="O29" s="1">
        <f ca="1">IFERROR(__xludf.DUMMYFUNCTION("""COMPUTED_VALUE"""),2356)</f>
        <v>2356</v>
      </c>
      <c r="P29" s="1">
        <f ca="1">IFERROR(__xludf.DUMMYFUNCTION("""COMPUTED_VALUE"""),1360)</f>
        <v>1360</v>
      </c>
      <c r="Q29" s="1">
        <f ca="1">IFERROR(__xludf.DUMMYFUNCTION("""COMPUTED_VALUE"""),856)</f>
        <v>856</v>
      </c>
      <c r="R29" s="1">
        <f ca="1">IFERROR(__xludf.DUMMYFUNCTION("""COMPUTED_VALUE"""),1852)</f>
        <v>1852</v>
      </c>
      <c r="S29" s="1">
        <f ca="1">IFERROR(__xludf.DUMMYFUNCTION("""COMPUTED_VALUE"""),0.462)</f>
        <v>0.46200000000000002</v>
      </c>
      <c r="T29" s="1">
        <f ca="1">IFERROR(__xludf.DUMMYFUNCTION("""COMPUTED_VALUE"""),306)</f>
        <v>306</v>
      </c>
      <c r="U29" s="1">
        <f ca="1">IFERROR(__xludf.DUMMYFUNCTION("""COMPUTED_VALUE"""),802)</f>
        <v>802</v>
      </c>
      <c r="V29" s="1">
        <f ca="1">IFERROR(__xludf.DUMMYFUNCTION("""COMPUTED_VALUE"""),0.382)</f>
        <v>0.38200000000000001</v>
      </c>
      <c r="W29" s="1">
        <f ca="1">IFERROR(__xludf.DUMMYFUNCTION("""COMPUTED_VALUE"""),422)</f>
        <v>422</v>
      </c>
      <c r="X29" s="1">
        <f ca="1">IFERROR(__xludf.DUMMYFUNCTION("""COMPUTED_VALUE"""),583)</f>
        <v>583</v>
      </c>
      <c r="Y29" s="1">
        <f ca="1">IFERROR(__xludf.DUMMYFUNCTION("""COMPUTED_VALUE"""),0.724)</f>
        <v>0.72399999999999998</v>
      </c>
      <c r="Z29" s="1">
        <f ca="1">IFERROR(__xludf.DUMMYFUNCTION("""COMPUTED_VALUE"""),320)</f>
        <v>320</v>
      </c>
      <c r="AA29" s="1">
        <f ca="1">IFERROR(__xludf.DUMMYFUNCTION("""COMPUTED_VALUE"""),1091)</f>
        <v>1091</v>
      </c>
      <c r="AB29" s="1">
        <f ca="1">IFERROR(__xludf.DUMMYFUNCTION("""COMPUTED_VALUE"""),517)</f>
        <v>517</v>
      </c>
      <c r="AC29" s="1">
        <f ca="1">IFERROR(__xludf.DUMMYFUNCTION("""COMPUTED_VALUE"""),167)</f>
        <v>167</v>
      </c>
      <c r="AD29" s="1">
        <f ca="1">IFERROR(__xludf.DUMMYFUNCTION("""COMPUTED_VALUE"""),86)</f>
        <v>86</v>
      </c>
      <c r="AE29" s="1">
        <f ca="1">IFERROR(__xludf.DUMMYFUNCTION("""COMPUTED_VALUE"""),376)</f>
        <v>376</v>
      </c>
      <c r="AF29" s="1">
        <f ca="1">IFERROR(__xludf.DUMMYFUNCTION("""COMPUTED_VALUE"""),503)</f>
        <v>503</v>
      </c>
    </row>
    <row r="30" spans="1:32" ht="12.5" x14ac:dyDescent="0.25">
      <c r="A30" s="1" t="str">
        <f ca="1">IFERROR(__xludf.DUMMYFUNCTION("""COMPUTED_VALUE"""),"Boston UniversityNCAA")</f>
        <v>Boston UniversityNCAA</v>
      </c>
      <c r="B30" s="1">
        <f ca="1">IFERROR(__xludf.DUMMYFUNCTION("""COMPUTED_VALUE"""),35)</f>
        <v>35</v>
      </c>
      <c r="C30" s="1">
        <f ca="1">IFERROR(__xludf.DUMMYFUNCTION("""COMPUTED_VALUE"""),21)</f>
        <v>21</v>
      </c>
      <c r="D30" s="1">
        <f ca="1">IFERROR(__xludf.DUMMYFUNCTION("""COMPUTED_VALUE"""),14)</f>
        <v>14</v>
      </c>
      <c r="E30" s="1">
        <f ca="1">IFERROR(__xludf.DUMMYFUNCTION("""COMPUTED_VALUE"""),0.6)</f>
        <v>0.6</v>
      </c>
      <c r="F30" s="1">
        <f ca="1">IFERROR(__xludf.DUMMYFUNCTION("""COMPUTED_VALUE"""),-2.48)</f>
        <v>-2.48</v>
      </c>
      <c r="G30" s="1">
        <f ca="1">IFERROR(__xludf.DUMMYFUNCTION("""COMPUTED_VALUE"""),-3.85)</f>
        <v>-3.85</v>
      </c>
      <c r="H30" s="1">
        <f ca="1">IFERROR(__xludf.DUMMYFUNCTION("""COMPUTED_VALUE"""),12)</f>
        <v>12</v>
      </c>
      <c r="I30" s="1">
        <f ca="1">IFERROR(__xludf.DUMMYFUNCTION("""COMPUTED_VALUE"""),4)</f>
        <v>4</v>
      </c>
      <c r="J30" s="1">
        <f ca="1">IFERROR(__xludf.DUMMYFUNCTION("""COMPUTED_VALUE"""),12)</f>
        <v>12</v>
      </c>
      <c r="K30" s="1">
        <f ca="1">IFERROR(__xludf.DUMMYFUNCTION("""COMPUTED_VALUE"""),2)</f>
        <v>2</v>
      </c>
      <c r="L30" s="1">
        <f ca="1">IFERROR(__xludf.DUMMYFUNCTION("""COMPUTED_VALUE"""),4)</f>
        <v>4</v>
      </c>
      <c r="M30" s="1">
        <f ca="1">IFERROR(__xludf.DUMMYFUNCTION("""COMPUTED_VALUE"""),10)</f>
        <v>10</v>
      </c>
      <c r="N30" s="1">
        <f ca="1">IFERROR(__xludf.DUMMYFUNCTION("""COMPUTED_VALUE"""),2270)</f>
        <v>2270</v>
      </c>
      <c r="O30" s="1">
        <f ca="1">IFERROR(__xludf.DUMMYFUNCTION("""COMPUTED_VALUE"""),2222)</f>
        <v>2222</v>
      </c>
      <c r="P30" s="1">
        <f ca="1">IFERROR(__xludf.DUMMYFUNCTION("""COMPUTED_VALUE"""),1405)</f>
        <v>1405</v>
      </c>
      <c r="Q30" s="1">
        <f ca="1">IFERROR(__xludf.DUMMYFUNCTION("""COMPUTED_VALUE"""),749)</f>
        <v>749</v>
      </c>
      <c r="R30" s="1">
        <f ca="1">IFERROR(__xludf.DUMMYFUNCTION("""COMPUTED_VALUE"""),1865)</f>
        <v>1865</v>
      </c>
      <c r="S30" s="1">
        <f ca="1">IFERROR(__xludf.DUMMYFUNCTION("""COMPUTED_VALUE"""),0.402)</f>
        <v>0.40200000000000002</v>
      </c>
      <c r="T30" s="1">
        <f ca="1">IFERROR(__xludf.DUMMYFUNCTION("""COMPUTED_VALUE"""),265)</f>
        <v>265</v>
      </c>
      <c r="U30" s="1">
        <f ca="1">IFERROR(__xludf.DUMMYFUNCTION("""COMPUTED_VALUE"""),747)</f>
        <v>747</v>
      </c>
      <c r="V30" s="1">
        <f ca="1">IFERROR(__xludf.DUMMYFUNCTION("""COMPUTED_VALUE"""),0.355)</f>
        <v>0.35499999999999998</v>
      </c>
      <c r="W30" s="1">
        <f ca="1">IFERROR(__xludf.DUMMYFUNCTION("""COMPUTED_VALUE"""),507)</f>
        <v>507</v>
      </c>
      <c r="X30" s="1">
        <f ca="1">IFERROR(__xludf.DUMMYFUNCTION("""COMPUTED_VALUE"""),695)</f>
        <v>695</v>
      </c>
      <c r="Y30" s="1">
        <f ca="1">IFERROR(__xludf.DUMMYFUNCTION("""COMPUTED_VALUE"""),0.729)</f>
        <v>0.72899999999999998</v>
      </c>
      <c r="Z30" s="1">
        <f ca="1">IFERROR(__xludf.DUMMYFUNCTION("""COMPUTED_VALUE"""),414)</f>
        <v>414</v>
      </c>
      <c r="AA30" s="1">
        <f ca="1">IFERROR(__xludf.DUMMYFUNCTION("""COMPUTED_VALUE"""),1249)</f>
        <v>1249</v>
      </c>
      <c r="AB30" s="1">
        <f ca="1">IFERROR(__xludf.DUMMYFUNCTION("""COMPUTED_VALUE"""),345)</f>
        <v>345</v>
      </c>
      <c r="AC30" s="1">
        <f ca="1">IFERROR(__xludf.DUMMYFUNCTION("""COMPUTED_VALUE"""),189)</f>
        <v>189</v>
      </c>
      <c r="AD30" s="1">
        <f ca="1">IFERROR(__xludf.DUMMYFUNCTION("""COMPUTED_VALUE"""),129)</f>
        <v>129</v>
      </c>
      <c r="AE30" s="1">
        <f ca="1">IFERROR(__xludf.DUMMYFUNCTION("""COMPUTED_VALUE"""),418)</f>
        <v>418</v>
      </c>
      <c r="AF30" s="1">
        <f ca="1">IFERROR(__xludf.DUMMYFUNCTION("""COMPUTED_VALUE"""),635)</f>
        <v>635</v>
      </c>
    </row>
    <row r="31" spans="1:32" ht="12.5" x14ac:dyDescent="0.25">
      <c r="A31" s="1" t="str">
        <f ca="1">IFERROR(__xludf.DUMMYFUNCTION("""COMPUTED_VALUE"""),"Bowling Green State")</f>
        <v>Bowling Green State</v>
      </c>
      <c r="B31" s="1">
        <f ca="1">IFERROR(__xludf.DUMMYFUNCTION("""COMPUTED_VALUE"""),33)</f>
        <v>33</v>
      </c>
      <c r="C31" s="1">
        <f ca="1">IFERROR(__xludf.DUMMYFUNCTION("""COMPUTED_VALUE"""),14)</f>
        <v>14</v>
      </c>
      <c r="D31" s="1">
        <f ca="1">IFERROR(__xludf.DUMMYFUNCTION("""COMPUTED_VALUE"""),19)</f>
        <v>19</v>
      </c>
      <c r="E31" s="1">
        <f ca="1">IFERROR(__xludf.DUMMYFUNCTION("""COMPUTED_VALUE"""),0.424)</f>
        <v>0.42399999999999999</v>
      </c>
      <c r="F31" s="1">
        <f ca="1">IFERROR(__xludf.DUMMYFUNCTION("""COMPUTED_VALUE"""),-5.94)</f>
        <v>-5.94</v>
      </c>
      <c r="G31" s="1">
        <f ca="1">IFERROR(__xludf.DUMMYFUNCTION("""COMPUTED_VALUE"""),-2.03)</f>
        <v>-2.0299999999999998</v>
      </c>
      <c r="H31" s="1">
        <f ca="1">IFERROR(__xludf.DUMMYFUNCTION("""COMPUTED_VALUE"""),8)</f>
        <v>8</v>
      </c>
      <c r="I31" s="1">
        <f ca="1">IFERROR(__xludf.DUMMYFUNCTION("""COMPUTED_VALUE"""),8)</f>
        <v>8</v>
      </c>
      <c r="J31" s="1">
        <f ca="1">IFERROR(__xludf.DUMMYFUNCTION("""COMPUTED_VALUE"""),10)</f>
        <v>10</v>
      </c>
      <c r="K31" s="1">
        <f ca="1">IFERROR(__xludf.DUMMYFUNCTION("""COMPUTED_VALUE"""),5)</f>
        <v>5</v>
      </c>
      <c r="L31" s="1">
        <f ca="1">IFERROR(__xludf.DUMMYFUNCTION("""COMPUTED_VALUE"""),4)</f>
        <v>4</v>
      </c>
      <c r="M31" s="1">
        <f ca="1">IFERROR(__xludf.DUMMYFUNCTION("""COMPUTED_VALUE"""),11)</f>
        <v>11</v>
      </c>
      <c r="N31" s="1">
        <f ca="1">IFERROR(__xludf.DUMMYFUNCTION("""COMPUTED_VALUE"""),2116)</f>
        <v>2116</v>
      </c>
      <c r="O31" s="1">
        <f ca="1">IFERROR(__xludf.DUMMYFUNCTION("""COMPUTED_VALUE"""),2215)</f>
        <v>2215</v>
      </c>
      <c r="P31" s="1">
        <f ca="1">IFERROR(__xludf.DUMMYFUNCTION("""COMPUTED_VALUE"""),1335)</f>
        <v>1335</v>
      </c>
      <c r="Q31" s="1">
        <f ca="1">IFERROR(__xludf.DUMMYFUNCTION("""COMPUTED_VALUE"""),803)</f>
        <v>803</v>
      </c>
      <c r="R31" s="1">
        <f ca="1">IFERROR(__xludf.DUMMYFUNCTION("""COMPUTED_VALUE"""),1859)</f>
        <v>1859</v>
      </c>
      <c r="S31" s="1">
        <f ca="1">IFERROR(__xludf.DUMMYFUNCTION("""COMPUTED_VALUE"""),0.432)</f>
        <v>0.432</v>
      </c>
      <c r="T31" s="1">
        <f ca="1">IFERROR(__xludf.DUMMYFUNCTION("""COMPUTED_VALUE"""),146)</f>
        <v>146</v>
      </c>
      <c r="U31" s="1">
        <f ca="1">IFERROR(__xludf.DUMMYFUNCTION("""COMPUTED_VALUE"""),491)</f>
        <v>491</v>
      </c>
      <c r="V31" s="1">
        <f ca="1">IFERROR(__xludf.DUMMYFUNCTION("""COMPUTED_VALUE"""),0.297)</f>
        <v>0.29699999999999999</v>
      </c>
      <c r="W31" s="1">
        <f ca="1">IFERROR(__xludf.DUMMYFUNCTION("""COMPUTED_VALUE"""),364)</f>
        <v>364</v>
      </c>
      <c r="X31" s="1">
        <f ca="1">IFERROR(__xludf.DUMMYFUNCTION("""COMPUTED_VALUE"""),567)</f>
        <v>567</v>
      </c>
      <c r="Y31" s="1">
        <f ca="1">IFERROR(__xludf.DUMMYFUNCTION("""COMPUTED_VALUE"""),0.642)</f>
        <v>0.64200000000000002</v>
      </c>
      <c r="Z31" s="1">
        <f ca="1">IFERROR(__xludf.DUMMYFUNCTION("""COMPUTED_VALUE"""),360)</f>
        <v>360</v>
      </c>
      <c r="AA31" s="1">
        <f ca="1">IFERROR(__xludf.DUMMYFUNCTION("""COMPUTED_VALUE"""),1099)</f>
        <v>1099</v>
      </c>
      <c r="AB31" s="1">
        <f ca="1">IFERROR(__xludf.DUMMYFUNCTION("""COMPUTED_VALUE"""),450)</f>
        <v>450</v>
      </c>
      <c r="AC31" s="1">
        <f ca="1">IFERROR(__xludf.DUMMYFUNCTION("""COMPUTED_VALUE"""),283)</f>
        <v>283</v>
      </c>
      <c r="AD31" s="1">
        <f ca="1">IFERROR(__xludf.DUMMYFUNCTION("""COMPUTED_VALUE"""),105)</f>
        <v>105</v>
      </c>
      <c r="AE31" s="1">
        <f ca="1">IFERROR(__xludf.DUMMYFUNCTION("""COMPUTED_VALUE"""),444)</f>
        <v>444</v>
      </c>
      <c r="AF31" s="1">
        <f ca="1">IFERROR(__xludf.DUMMYFUNCTION("""COMPUTED_VALUE"""),608)</f>
        <v>608</v>
      </c>
    </row>
    <row r="32" spans="1:32" ht="12.5" x14ac:dyDescent="0.25">
      <c r="A32" s="1" t="str">
        <f ca="1">IFERROR(__xludf.DUMMYFUNCTION("""COMPUTED_VALUE"""),"Bradley")</f>
        <v>Bradley</v>
      </c>
      <c r="B32" s="1">
        <f ca="1">IFERROR(__xludf.DUMMYFUNCTION("""COMPUTED_VALUE"""),32)</f>
        <v>32</v>
      </c>
      <c r="C32" s="1">
        <f ca="1">IFERROR(__xludf.DUMMYFUNCTION("""COMPUTED_VALUE"""),12)</f>
        <v>12</v>
      </c>
      <c r="D32" s="1">
        <f ca="1">IFERROR(__xludf.DUMMYFUNCTION("""COMPUTED_VALUE"""),20)</f>
        <v>20</v>
      </c>
      <c r="E32" s="1">
        <f ca="1">IFERROR(__xludf.DUMMYFUNCTION("""COMPUTED_VALUE"""),0.375)</f>
        <v>0.375</v>
      </c>
      <c r="F32" s="1">
        <f ca="1">IFERROR(__xludf.DUMMYFUNCTION("""COMPUTED_VALUE"""),-1.52)</f>
        <v>-1.52</v>
      </c>
      <c r="G32" s="1">
        <f ca="1">IFERROR(__xludf.DUMMYFUNCTION("""COMPUTED_VALUE"""),1.67)</f>
        <v>1.67</v>
      </c>
      <c r="H32" s="1">
        <f ca="1">IFERROR(__xludf.DUMMYFUNCTION("""COMPUTED_VALUE"""),4)</f>
        <v>4</v>
      </c>
      <c r="I32" s="1">
        <f ca="1">IFERROR(__xludf.DUMMYFUNCTION("""COMPUTED_VALUE"""),14)</f>
        <v>14</v>
      </c>
      <c r="J32" s="1">
        <f ca="1">IFERROR(__xludf.DUMMYFUNCTION("""COMPUTED_VALUE"""),8)</f>
        <v>8</v>
      </c>
      <c r="K32" s="1">
        <f ca="1">IFERROR(__xludf.DUMMYFUNCTION("""COMPUTED_VALUE"""),8)</f>
        <v>8</v>
      </c>
      <c r="L32" s="1">
        <f ca="1">IFERROR(__xludf.DUMMYFUNCTION("""COMPUTED_VALUE"""),2)</f>
        <v>2</v>
      </c>
      <c r="M32" s="1">
        <f ca="1">IFERROR(__xludf.DUMMYFUNCTION("""COMPUTED_VALUE"""),10)</f>
        <v>10</v>
      </c>
      <c r="N32" s="1">
        <f ca="1">IFERROR(__xludf.DUMMYFUNCTION("""COMPUTED_VALUE"""),2076)</f>
        <v>2076</v>
      </c>
      <c r="O32" s="1">
        <f ca="1">IFERROR(__xludf.DUMMYFUNCTION("""COMPUTED_VALUE"""),2164)</f>
        <v>2164</v>
      </c>
      <c r="P32" s="1">
        <f ca="1">IFERROR(__xludf.DUMMYFUNCTION("""COMPUTED_VALUE"""),1285)</f>
        <v>1285</v>
      </c>
      <c r="Q32" s="1">
        <f ca="1">IFERROR(__xludf.DUMMYFUNCTION("""COMPUTED_VALUE"""),748)</f>
        <v>748</v>
      </c>
      <c r="R32" s="1">
        <f ca="1">IFERROR(__xludf.DUMMYFUNCTION("""COMPUTED_VALUE"""),1751)</f>
        <v>1751</v>
      </c>
      <c r="S32" s="1">
        <f ca="1">IFERROR(__xludf.DUMMYFUNCTION("""COMPUTED_VALUE"""),0.427)</f>
        <v>0.42699999999999999</v>
      </c>
      <c r="T32" s="1">
        <f ca="1">IFERROR(__xludf.DUMMYFUNCTION("""COMPUTED_VALUE"""),159)</f>
        <v>159</v>
      </c>
      <c r="U32" s="1">
        <f ca="1">IFERROR(__xludf.DUMMYFUNCTION("""COMPUTED_VALUE"""),476)</f>
        <v>476</v>
      </c>
      <c r="V32" s="1">
        <f ca="1">IFERROR(__xludf.DUMMYFUNCTION("""COMPUTED_VALUE"""),0.334)</f>
        <v>0.33400000000000002</v>
      </c>
      <c r="W32" s="1">
        <f ca="1">IFERROR(__xludf.DUMMYFUNCTION("""COMPUTED_VALUE"""),421)</f>
        <v>421</v>
      </c>
      <c r="X32" s="1">
        <f ca="1">IFERROR(__xludf.DUMMYFUNCTION("""COMPUTED_VALUE"""),583)</f>
        <v>583</v>
      </c>
      <c r="Y32" s="1">
        <f ca="1">IFERROR(__xludf.DUMMYFUNCTION("""COMPUTED_VALUE"""),0.722)</f>
        <v>0.72199999999999998</v>
      </c>
      <c r="Z32" s="1">
        <f ca="1">IFERROR(__xludf.DUMMYFUNCTION("""COMPUTED_VALUE"""),294)</f>
        <v>294</v>
      </c>
      <c r="AA32" s="1">
        <f ca="1">IFERROR(__xludf.DUMMYFUNCTION("""COMPUTED_VALUE"""),1048)</f>
        <v>1048</v>
      </c>
      <c r="AB32" s="1">
        <f ca="1">IFERROR(__xludf.DUMMYFUNCTION("""COMPUTED_VALUE"""),374)</f>
        <v>374</v>
      </c>
      <c r="AC32" s="1">
        <f ca="1">IFERROR(__xludf.DUMMYFUNCTION("""COMPUTED_VALUE"""),202)</f>
        <v>202</v>
      </c>
      <c r="AD32" s="1">
        <f ca="1">IFERROR(__xludf.DUMMYFUNCTION("""COMPUTED_VALUE"""),79)</f>
        <v>79</v>
      </c>
      <c r="AE32" s="1">
        <f ca="1">IFERROR(__xludf.DUMMYFUNCTION("""COMPUTED_VALUE"""),390)</f>
        <v>390</v>
      </c>
      <c r="AF32" s="1">
        <f ca="1">IFERROR(__xludf.DUMMYFUNCTION("""COMPUTED_VALUE"""),584)</f>
        <v>584</v>
      </c>
    </row>
    <row r="33" spans="1:32" ht="12.5" x14ac:dyDescent="0.25">
      <c r="A33" s="1" t="str">
        <f ca="1">IFERROR(__xludf.DUMMYFUNCTION("""COMPUTED_VALUE"""),"Brigham YoungNCAA")</f>
        <v>Brigham YoungNCAA</v>
      </c>
      <c r="B33" s="1">
        <f ca="1">IFERROR(__xludf.DUMMYFUNCTION("""COMPUTED_VALUE"""),37)</f>
        <v>37</v>
      </c>
      <c r="C33" s="1">
        <f ca="1">IFERROR(__xludf.DUMMYFUNCTION("""COMPUTED_VALUE"""),32)</f>
        <v>32</v>
      </c>
      <c r="D33" s="1">
        <f ca="1">IFERROR(__xludf.DUMMYFUNCTION("""COMPUTED_VALUE"""),5)</f>
        <v>5</v>
      </c>
      <c r="E33" s="1">
        <f ca="1">IFERROR(__xludf.DUMMYFUNCTION("""COMPUTED_VALUE"""),0.865)</f>
        <v>0.86499999999999999</v>
      </c>
      <c r="F33" s="1">
        <f ca="1">IFERROR(__xludf.DUMMYFUNCTION("""COMPUTED_VALUE"""),18.65)</f>
        <v>18.649999999999999</v>
      </c>
      <c r="G33" s="1">
        <f ca="1">IFERROR(__xludf.DUMMYFUNCTION("""COMPUTED_VALUE"""),5.76)</f>
        <v>5.76</v>
      </c>
      <c r="H33" s="1">
        <f ca="1">IFERROR(__xludf.DUMMYFUNCTION("""COMPUTED_VALUE"""),14)</f>
        <v>14</v>
      </c>
      <c r="I33" s="1">
        <f ca="1">IFERROR(__xludf.DUMMYFUNCTION("""COMPUTED_VALUE"""),2)</f>
        <v>2</v>
      </c>
      <c r="J33" s="1">
        <f ca="1">IFERROR(__xludf.DUMMYFUNCTION("""COMPUTED_VALUE"""),13)</f>
        <v>13</v>
      </c>
      <c r="K33" s="1">
        <f ca="1">IFERROR(__xludf.DUMMYFUNCTION("""COMPUTED_VALUE"""),1)</f>
        <v>1</v>
      </c>
      <c r="L33" s="1">
        <f ca="1">IFERROR(__xludf.DUMMYFUNCTION("""COMPUTED_VALUE"""),10)</f>
        <v>10</v>
      </c>
      <c r="M33" s="1">
        <f ca="1">IFERROR(__xludf.DUMMYFUNCTION("""COMPUTED_VALUE"""),1)</f>
        <v>1</v>
      </c>
      <c r="N33" s="1">
        <f ca="1">IFERROR(__xludf.DUMMYFUNCTION("""COMPUTED_VALUE"""),3012)</f>
        <v>3012</v>
      </c>
      <c r="O33" s="1">
        <f ca="1">IFERROR(__xludf.DUMMYFUNCTION("""COMPUTED_VALUE"""),2512)</f>
        <v>2512</v>
      </c>
      <c r="P33" s="1">
        <f ca="1">IFERROR(__xludf.DUMMYFUNCTION("""COMPUTED_VALUE"""),1495)</f>
        <v>1495</v>
      </c>
      <c r="Q33" s="1">
        <f ca="1">IFERROR(__xludf.DUMMYFUNCTION("""COMPUTED_VALUE"""),1019)</f>
        <v>1019</v>
      </c>
      <c r="R33" s="1">
        <f ca="1">IFERROR(__xludf.DUMMYFUNCTION("""COMPUTED_VALUE"""),2267)</f>
        <v>2267</v>
      </c>
      <c r="S33" s="1">
        <f ca="1">IFERROR(__xludf.DUMMYFUNCTION("""COMPUTED_VALUE"""),0.449)</f>
        <v>0.44900000000000001</v>
      </c>
      <c r="T33" s="1">
        <f ca="1">IFERROR(__xludf.DUMMYFUNCTION("""COMPUTED_VALUE"""),312)</f>
        <v>312</v>
      </c>
      <c r="U33" s="1">
        <f ca="1">IFERROR(__xludf.DUMMYFUNCTION("""COMPUTED_VALUE"""),865)</f>
        <v>865</v>
      </c>
      <c r="V33" s="1">
        <f ca="1">IFERROR(__xludf.DUMMYFUNCTION("""COMPUTED_VALUE"""),0.361)</f>
        <v>0.36099999999999999</v>
      </c>
      <c r="W33" s="1">
        <f ca="1">IFERROR(__xludf.DUMMYFUNCTION("""COMPUTED_VALUE"""),662)</f>
        <v>662</v>
      </c>
      <c r="X33" s="1">
        <f ca="1">IFERROR(__xludf.DUMMYFUNCTION("""COMPUTED_VALUE"""),865)</f>
        <v>865</v>
      </c>
      <c r="Y33" s="1">
        <f ca="1">IFERROR(__xludf.DUMMYFUNCTION("""COMPUTED_VALUE"""),0.765)</f>
        <v>0.76500000000000001</v>
      </c>
      <c r="Z33" s="1">
        <f ca="1">IFERROR(__xludf.DUMMYFUNCTION("""COMPUTED_VALUE"""),420)</f>
        <v>420</v>
      </c>
      <c r="AA33" s="1">
        <f ca="1">IFERROR(__xludf.DUMMYFUNCTION("""COMPUTED_VALUE"""),1425)</f>
        <v>1425</v>
      </c>
      <c r="AB33" s="1">
        <f ca="1">IFERROR(__xludf.DUMMYFUNCTION("""COMPUTED_VALUE"""),538)</f>
        <v>538</v>
      </c>
      <c r="AC33" s="1">
        <f ca="1">IFERROR(__xludf.DUMMYFUNCTION("""COMPUTED_VALUE"""),298)</f>
        <v>298</v>
      </c>
      <c r="AD33" s="1">
        <f ca="1">IFERROR(__xludf.DUMMYFUNCTION("""COMPUTED_VALUE"""),150)</f>
        <v>150</v>
      </c>
      <c r="AE33" s="1">
        <f ca="1">IFERROR(__xludf.DUMMYFUNCTION("""COMPUTED_VALUE"""),404)</f>
        <v>404</v>
      </c>
      <c r="AF33" s="1">
        <f ca="1">IFERROR(__xludf.DUMMYFUNCTION("""COMPUTED_VALUE"""),647)</f>
        <v>647</v>
      </c>
    </row>
    <row r="34" spans="1:32" ht="12.5" x14ac:dyDescent="0.25">
      <c r="A34" s="1" t="str">
        <f ca="1">IFERROR(__xludf.DUMMYFUNCTION("""COMPUTED_VALUE"""),"Brown")</f>
        <v>Brown</v>
      </c>
      <c r="B34" s="1">
        <f ca="1">IFERROR(__xludf.DUMMYFUNCTION("""COMPUTED_VALUE"""),28)</f>
        <v>28</v>
      </c>
      <c r="C34" s="1">
        <f ca="1">IFERROR(__xludf.DUMMYFUNCTION("""COMPUTED_VALUE"""),11)</f>
        <v>11</v>
      </c>
      <c r="D34" s="1">
        <f ca="1">IFERROR(__xludf.DUMMYFUNCTION("""COMPUTED_VALUE"""),17)</f>
        <v>17</v>
      </c>
      <c r="E34" s="1">
        <f ca="1">IFERROR(__xludf.DUMMYFUNCTION("""COMPUTED_VALUE"""),0.393)</f>
        <v>0.39300000000000002</v>
      </c>
      <c r="F34" s="1">
        <f ca="1">IFERROR(__xludf.DUMMYFUNCTION("""COMPUTED_VALUE"""),-7.27)</f>
        <v>-7.27</v>
      </c>
      <c r="G34" s="1">
        <f ca="1">IFERROR(__xludf.DUMMYFUNCTION("""COMPUTED_VALUE"""),-4.12)</f>
        <v>-4.12</v>
      </c>
      <c r="H34" s="1">
        <f ca="1">IFERROR(__xludf.DUMMYFUNCTION("""COMPUTED_VALUE"""),4)</f>
        <v>4</v>
      </c>
      <c r="I34" s="1">
        <f ca="1">IFERROR(__xludf.DUMMYFUNCTION("""COMPUTED_VALUE"""),10)</f>
        <v>10</v>
      </c>
      <c r="J34" s="1">
        <f ca="1">IFERROR(__xludf.DUMMYFUNCTION("""COMPUTED_VALUE"""),8)</f>
        <v>8</v>
      </c>
      <c r="K34" s="1">
        <f ca="1">IFERROR(__xludf.DUMMYFUNCTION("""COMPUTED_VALUE"""),5)</f>
        <v>5</v>
      </c>
      <c r="L34" s="1">
        <f ca="1">IFERROR(__xludf.DUMMYFUNCTION("""COMPUTED_VALUE"""),3)</f>
        <v>3</v>
      </c>
      <c r="M34" s="1">
        <f ca="1">IFERROR(__xludf.DUMMYFUNCTION("""COMPUTED_VALUE"""),12)</f>
        <v>12</v>
      </c>
      <c r="N34" s="1">
        <f ca="1">IFERROR(__xludf.DUMMYFUNCTION("""COMPUTED_VALUE"""),2002)</f>
        <v>2002</v>
      </c>
      <c r="O34" s="1">
        <f ca="1">IFERROR(__xludf.DUMMYFUNCTION("""COMPUTED_VALUE"""),2054)</f>
        <v>2054</v>
      </c>
      <c r="P34" s="1">
        <f ca="1">IFERROR(__xludf.DUMMYFUNCTION("""COMPUTED_VALUE"""),1125)</f>
        <v>1125</v>
      </c>
      <c r="Q34" s="1">
        <f ca="1">IFERROR(__xludf.DUMMYFUNCTION("""COMPUTED_VALUE"""),688)</f>
        <v>688</v>
      </c>
      <c r="R34" s="1">
        <f ca="1">IFERROR(__xludf.DUMMYFUNCTION("""COMPUTED_VALUE"""),1567)</f>
        <v>1567</v>
      </c>
      <c r="S34" s="1">
        <f ca="1">IFERROR(__xludf.DUMMYFUNCTION("""COMPUTED_VALUE"""),0.439)</f>
        <v>0.439</v>
      </c>
      <c r="T34" s="1">
        <f ca="1">IFERROR(__xludf.DUMMYFUNCTION("""COMPUTED_VALUE"""),209)</f>
        <v>209</v>
      </c>
      <c r="U34" s="1">
        <f ca="1">IFERROR(__xludf.DUMMYFUNCTION("""COMPUTED_VALUE"""),610)</f>
        <v>610</v>
      </c>
      <c r="V34" s="1">
        <f ca="1">IFERROR(__xludf.DUMMYFUNCTION("""COMPUTED_VALUE"""),0.343)</f>
        <v>0.34300000000000003</v>
      </c>
      <c r="W34" s="1">
        <f ca="1">IFERROR(__xludf.DUMMYFUNCTION("""COMPUTED_VALUE"""),417)</f>
        <v>417</v>
      </c>
      <c r="X34" s="1">
        <f ca="1">IFERROR(__xludf.DUMMYFUNCTION("""COMPUTED_VALUE"""),558)</f>
        <v>558</v>
      </c>
      <c r="Y34" s="1">
        <f ca="1">IFERROR(__xludf.DUMMYFUNCTION("""COMPUTED_VALUE"""),0.747)</f>
        <v>0.747</v>
      </c>
      <c r="Z34" s="1">
        <f ca="1">IFERROR(__xludf.DUMMYFUNCTION("""COMPUTED_VALUE"""),221)</f>
        <v>221</v>
      </c>
      <c r="AA34" s="1">
        <f ca="1">IFERROR(__xludf.DUMMYFUNCTION("""COMPUTED_VALUE"""),959)</f>
        <v>959</v>
      </c>
      <c r="AB34" s="1">
        <f ca="1">IFERROR(__xludf.DUMMYFUNCTION("""COMPUTED_VALUE"""),399)</f>
        <v>399</v>
      </c>
      <c r="AC34" s="1">
        <f ca="1">IFERROR(__xludf.DUMMYFUNCTION("""COMPUTED_VALUE"""),147)</f>
        <v>147</v>
      </c>
      <c r="AD34" s="1">
        <f ca="1">IFERROR(__xludf.DUMMYFUNCTION("""COMPUTED_VALUE"""),76)</f>
        <v>76</v>
      </c>
      <c r="AE34" s="1">
        <f ca="1">IFERROR(__xludf.DUMMYFUNCTION("""COMPUTED_VALUE"""),343)</f>
        <v>343</v>
      </c>
      <c r="AF34" s="1">
        <f ca="1">IFERROR(__xludf.DUMMYFUNCTION("""COMPUTED_VALUE"""),464)</f>
        <v>464</v>
      </c>
    </row>
    <row r="35" spans="1:32" ht="12.5" x14ac:dyDescent="0.25">
      <c r="A35" s="1" t="str">
        <f ca="1">IFERROR(__xludf.DUMMYFUNCTION("""COMPUTED_VALUE"""),"Bryant")</f>
        <v>Bryant</v>
      </c>
      <c r="B35" s="1">
        <f ca="1">IFERROR(__xludf.DUMMYFUNCTION("""COMPUTED_VALUE"""),30)</f>
        <v>30</v>
      </c>
      <c r="C35" s="1">
        <f ca="1">IFERROR(__xludf.DUMMYFUNCTION("""COMPUTED_VALUE"""),9)</f>
        <v>9</v>
      </c>
      <c r="D35" s="1">
        <f ca="1">IFERROR(__xludf.DUMMYFUNCTION("""COMPUTED_VALUE"""),21)</f>
        <v>21</v>
      </c>
      <c r="E35" s="1">
        <f ca="1">IFERROR(__xludf.DUMMYFUNCTION("""COMPUTED_VALUE"""),0.3)</f>
        <v>0.3</v>
      </c>
      <c r="F35" s="1">
        <f ca="1">IFERROR(__xludf.DUMMYFUNCTION("""COMPUTED_VALUE"""),-12.98)</f>
        <v>-12.98</v>
      </c>
      <c r="G35" s="1">
        <f ca="1">IFERROR(__xludf.DUMMYFUNCTION("""COMPUTED_VALUE"""),-3.12)</f>
        <v>-3.12</v>
      </c>
      <c r="H35" s="1">
        <f ca="1">IFERROR(__xludf.DUMMYFUNCTION("""COMPUTED_VALUE"""),7)</f>
        <v>7</v>
      </c>
      <c r="I35" s="1">
        <f ca="1">IFERROR(__xludf.DUMMYFUNCTION("""COMPUTED_VALUE"""),11)</f>
        <v>11</v>
      </c>
      <c r="J35" s="1">
        <f ca="1">IFERROR(__xludf.DUMMYFUNCTION("""COMPUTED_VALUE"""),5)</f>
        <v>5</v>
      </c>
      <c r="K35" s="1">
        <f ca="1">IFERROR(__xludf.DUMMYFUNCTION("""COMPUTED_VALUE"""),8)</f>
        <v>8</v>
      </c>
      <c r="L35" s="1">
        <f ca="1">IFERROR(__xludf.DUMMYFUNCTION("""COMPUTED_VALUE"""),3)</f>
        <v>3</v>
      </c>
      <c r="M35" s="1">
        <f ca="1">IFERROR(__xludf.DUMMYFUNCTION("""COMPUTED_VALUE"""),12)</f>
        <v>12</v>
      </c>
      <c r="N35" s="1">
        <f ca="1">IFERROR(__xludf.DUMMYFUNCTION("""COMPUTED_VALUE"""),2001)</f>
        <v>2001</v>
      </c>
      <c r="O35" s="1">
        <f ca="1">IFERROR(__xludf.DUMMYFUNCTION("""COMPUTED_VALUE"""),2258)</f>
        <v>2258</v>
      </c>
      <c r="P35" s="1">
        <f ca="1">IFERROR(__xludf.DUMMYFUNCTION("""COMPUTED_VALUE"""),1215)</f>
        <v>1215</v>
      </c>
      <c r="Q35" s="1">
        <f ca="1">IFERROR(__xludf.DUMMYFUNCTION("""COMPUTED_VALUE"""),704)</f>
        <v>704</v>
      </c>
      <c r="R35" s="1">
        <f ca="1">IFERROR(__xludf.DUMMYFUNCTION("""COMPUTED_VALUE"""),1683)</f>
        <v>1683</v>
      </c>
      <c r="S35" s="1">
        <f ca="1">IFERROR(__xludf.DUMMYFUNCTION("""COMPUTED_VALUE"""),0.418)</f>
        <v>0.41799999999999998</v>
      </c>
      <c r="T35" s="1">
        <f ca="1">IFERROR(__xludf.DUMMYFUNCTION("""COMPUTED_VALUE"""),243)</f>
        <v>243</v>
      </c>
      <c r="U35" s="1">
        <f ca="1">IFERROR(__xludf.DUMMYFUNCTION("""COMPUTED_VALUE"""),673)</f>
        <v>673</v>
      </c>
      <c r="V35" s="1">
        <f ca="1">IFERROR(__xludf.DUMMYFUNCTION("""COMPUTED_VALUE"""),0.361)</f>
        <v>0.36099999999999999</v>
      </c>
      <c r="W35" s="1">
        <f ca="1">IFERROR(__xludf.DUMMYFUNCTION("""COMPUTED_VALUE"""),350)</f>
        <v>350</v>
      </c>
      <c r="X35" s="1">
        <f ca="1">IFERROR(__xludf.DUMMYFUNCTION("""COMPUTED_VALUE"""),537)</f>
        <v>537</v>
      </c>
      <c r="Y35" s="1">
        <f ca="1">IFERROR(__xludf.DUMMYFUNCTION("""COMPUTED_VALUE"""),0.652)</f>
        <v>0.65200000000000002</v>
      </c>
      <c r="Z35" s="1">
        <f ca="1">IFERROR(__xludf.DUMMYFUNCTION("""COMPUTED_VALUE"""),315)</f>
        <v>315</v>
      </c>
      <c r="AA35" s="1">
        <f ca="1">IFERROR(__xludf.DUMMYFUNCTION("""COMPUTED_VALUE"""),990)</f>
        <v>990</v>
      </c>
      <c r="AB35" s="1">
        <f ca="1">IFERROR(__xludf.DUMMYFUNCTION("""COMPUTED_VALUE"""),400)</f>
        <v>400</v>
      </c>
      <c r="AC35" s="1">
        <f ca="1">IFERROR(__xludf.DUMMYFUNCTION("""COMPUTED_VALUE"""),167)</f>
        <v>167</v>
      </c>
      <c r="AD35" s="1">
        <f ca="1">IFERROR(__xludf.DUMMYFUNCTION("""COMPUTED_VALUE"""),82)</f>
        <v>82</v>
      </c>
      <c r="AE35" s="1">
        <f ca="1">IFERROR(__xludf.DUMMYFUNCTION("""COMPUTED_VALUE"""),409)</f>
        <v>409</v>
      </c>
      <c r="AF35" s="1">
        <f ca="1">IFERROR(__xludf.DUMMYFUNCTION("""COMPUTED_VALUE"""),565)</f>
        <v>565</v>
      </c>
    </row>
    <row r="36" spans="1:32" ht="12.5" x14ac:dyDescent="0.25">
      <c r="A36" s="1" t="str">
        <f ca="1">IFERROR(__xludf.DUMMYFUNCTION("""COMPUTED_VALUE"""),"BucknellNCAA")</f>
        <v>BucknellNCAA</v>
      </c>
      <c r="B36" s="1">
        <f ca="1">IFERROR(__xludf.DUMMYFUNCTION("""COMPUTED_VALUE"""),34)</f>
        <v>34</v>
      </c>
      <c r="C36" s="1">
        <f ca="1">IFERROR(__xludf.DUMMYFUNCTION("""COMPUTED_VALUE"""),25)</f>
        <v>25</v>
      </c>
      <c r="D36" s="1">
        <f ca="1">IFERROR(__xludf.DUMMYFUNCTION("""COMPUTED_VALUE"""),9)</f>
        <v>9</v>
      </c>
      <c r="E36" s="1">
        <f ca="1">IFERROR(__xludf.DUMMYFUNCTION("""COMPUTED_VALUE"""),0.735)</f>
        <v>0.73499999999999999</v>
      </c>
      <c r="F36" s="1">
        <f ca="1">IFERROR(__xludf.DUMMYFUNCTION("""COMPUTED_VALUE"""),2.39)</f>
        <v>2.39</v>
      </c>
      <c r="G36" s="1">
        <f ca="1">IFERROR(__xludf.DUMMYFUNCTION("""COMPUTED_VALUE"""),-3.87)</f>
        <v>-3.87</v>
      </c>
      <c r="H36" s="1">
        <f ca="1">IFERROR(__xludf.DUMMYFUNCTION("""COMPUTED_VALUE"""),13)</f>
        <v>13</v>
      </c>
      <c r="I36" s="1">
        <f ca="1">IFERROR(__xludf.DUMMYFUNCTION("""COMPUTED_VALUE"""),1)</f>
        <v>1</v>
      </c>
      <c r="J36" s="1">
        <f ca="1">IFERROR(__xludf.DUMMYFUNCTION("""COMPUTED_VALUE"""),14)</f>
        <v>14</v>
      </c>
      <c r="K36" s="1">
        <f ca="1">IFERROR(__xludf.DUMMYFUNCTION("""COMPUTED_VALUE"""),1)</f>
        <v>1</v>
      </c>
      <c r="L36" s="1">
        <f ca="1">IFERROR(__xludf.DUMMYFUNCTION("""COMPUTED_VALUE"""),10)</f>
        <v>10</v>
      </c>
      <c r="M36" s="1">
        <f ca="1">IFERROR(__xludf.DUMMYFUNCTION("""COMPUTED_VALUE"""),6)</f>
        <v>6</v>
      </c>
      <c r="N36" s="1">
        <f ca="1">IFERROR(__xludf.DUMMYFUNCTION("""COMPUTED_VALUE"""),2387)</f>
        <v>2387</v>
      </c>
      <c r="O36" s="1">
        <f ca="1">IFERROR(__xludf.DUMMYFUNCTION("""COMPUTED_VALUE"""),2174)</f>
        <v>2174</v>
      </c>
      <c r="P36" s="1">
        <f ca="1">IFERROR(__xludf.DUMMYFUNCTION("""COMPUTED_VALUE"""),1365)</f>
        <v>1365</v>
      </c>
      <c r="Q36" s="1">
        <f ca="1">IFERROR(__xludf.DUMMYFUNCTION("""COMPUTED_VALUE"""),827)</f>
        <v>827</v>
      </c>
      <c r="R36" s="1">
        <f ca="1">IFERROR(__xludf.DUMMYFUNCTION("""COMPUTED_VALUE"""),1855)</f>
        <v>1855</v>
      </c>
      <c r="S36" s="1">
        <f ca="1">IFERROR(__xludf.DUMMYFUNCTION("""COMPUTED_VALUE"""),0.446)</f>
        <v>0.44600000000000001</v>
      </c>
      <c r="T36" s="1">
        <f ca="1">IFERROR(__xludf.DUMMYFUNCTION("""COMPUTED_VALUE"""),234)</f>
        <v>234</v>
      </c>
      <c r="U36" s="1">
        <f ca="1">IFERROR(__xludf.DUMMYFUNCTION("""COMPUTED_VALUE"""),585)</f>
        <v>585</v>
      </c>
      <c r="V36" s="1">
        <f ca="1">IFERROR(__xludf.DUMMYFUNCTION("""COMPUTED_VALUE"""),0.4)</f>
        <v>0.4</v>
      </c>
      <c r="W36" s="1">
        <f ca="1">IFERROR(__xludf.DUMMYFUNCTION("""COMPUTED_VALUE"""),499)</f>
        <v>499</v>
      </c>
      <c r="X36" s="1">
        <f ca="1">IFERROR(__xludf.DUMMYFUNCTION("""COMPUTED_VALUE"""),633)</f>
        <v>633</v>
      </c>
      <c r="Y36" s="1">
        <f ca="1">IFERROR(__xludf.DUMMYFUNCTION("""COMPUTED_VALUE"""),0.788)</f>
        <v>0.78800000000000003</v>
      </c>
      <c r="Z36" s="1">
        <f ca="1">IFERROR(__xludf.DUMMYFUNCTION("""COMPUTED_VALUE"""),270)</f>
        <v>270</v>
      </c>
      <c r="AA36" s="1">
        <f ca="1">IFERROR(__xludf.DUMMYFUNCTION("""COMPUTED_VALUE"""),1149)</f>
        <v>1149</v>
      </c>
      <c r="AB36" s="1">
        <f ca="1">IFERROR(__xludf.DUMMYFUNCTION("""COMPUTED_VALUE"""),491)</f>
        <v>491</v>
      </c>
      <c r="AC36" s="1">
        <f ca="1">IFERROR(__xludf.DUMMYFUNCTION("""COMPUTED_VALUE"""),160)</f>
        <v>160</v>
      </c>
      <c r="AD36" s="1">
        <f ca="1">IFERROR(__xludf.DUMMYFUNCTION("""COMPUTED_VALUE"""),106)</f>
        <v>106</v>
      </c>
      <c r="AE36" s="1">
        <f ca="1">IFERROR(__xludf.DUMMYFUNCTION("""COMPUTED_VALUE"""),380)</f>
        <v>380</v>
      </c>
      <c r="AF36" s="1">
        <f ca="1">IFERROR(__xludf.DUMMYFUNCTION("""COMPUTED_VALUE"""),612)</f>
        <v>612</v>
      </c>
    </row>
    <row r="37" spans="1:32" ht="12.5" x14ac:dyDescent="0.25">
      <c r="A37" s="1" t="str">
        <f ca="1">IFERROR(__xludf.DUMMYFUNCTION("""COMPUTED_VALUE"""),"Buffalo")</f>
        <v>Buffalo</v>
      </c>
      <c r="B37" s="1">
        <f ca="1">IFERROR(__xludf.DUMMYFUNCTION("""COMPUTED_VALUE"""),34)</f>
        <v>34</v>
      </c>
      <c r="C37" s="1">
        <f ca="1">IFERROR(__xludf.DUMMYFUNCTION("""COMPUTED_VALUE"""),20)</f>
        <v>20</v>
      </c>
      <c r="D37" s="1">
        <f ca="1">IFERROR(__xludf.DUMMYFUNCTION("""COMPUTED_VALUE"""),14)</f>
        <v>14</v>
      </c>
      <c r="E37" s="1">
        <f ca="1">IFERROR(__xludf.DUMMYFUNCTION("""COMPUTED_VALUE"""),0.588)</f>
        <v>0.58799999999999997</v>
      </c>
      <c r="F37" s="1">
        <f ca="1">IFERROR(__xludf.DUMMYFUNCTION("""COMPUTED_VALUE"""),2.93)</f>
        <v>2.93</v>
      </c>
      <c r="G37" s="1">
        <f ca="1">IFERROR(__xludf.DUMMYFUNCTION("""COMPUTED_VALUE"""),-2.22)</f>
        <v>-2.2200000000000002</v>
      </c>
      <c r="H37" s="1">
        <f ca="1">IFERROR(__xludf.DUMMYFUNCTION("""COMPUTED_VALUE"""),8)</f>
        <v>8</v>
      </c>
      <c r="I37" s="1">
        <f ca="1">IFERROR(__xludf.DUMMYFUNCTION("""COMPUTED_VALUE"""),8)</f>
        <v>8</v>
      </c>
      <c r="J37" s="1">
        <f ca="1">IFERROR(__xludf.DUMMYFUNCTION("""COMPUTED_VALUE"""),13)</f>
        <v>13</v>
      </c>
      <c r="K37" s="1">
        <f ca="1">IFERROR(__xludf.DUMMYFUNCTION("""COMPUTED_VALUE"""),3)</f>
        <v>3</v>
      </c>
      <c r="L37" s="1">
        <f ca="1">IFERROR(__xludf.DUMMYFUNCTION("""COMPUTED_VALUE"""),7)</f>
        <v>7</v>
      </c>
      <c r="M37" s="1">
        <f ca="1">IFERROR(__xludf.DUMMYFUNCTION("""COMPUTED_VALUE"""),10)</f>
        <v>10</v>
      </c>
      <c r="N37" s="1">
        <f ca="1">IFERROR(__xludf.DUMMYFUNCTION("""COMPUTED_VALUE"""),2399)</f>
        <v>2399</v>
      </c>
      <c r="O37" s="1">
        <f ca="1">IFERROR(__xludf.DUMMYFUNCTION("""COMPUTED_VALUE"""),2197)</f>
        <v>2197</v>
      </c>
      <c r="P37" s="1">
        <f ca="1">IFERROR(__xludf.DUMMYFUNCTION("""COMPUTED_VALUE"""),1370)</f>
        <v>1370</v>
      </c>
      <c r="Q37" s="1">
        <f ca="1">IFERROR(__xludf.DUMMYFUNCTION("""COMPUTED_VALUE"""),879)</f>
        <v>879</v>
      </c>
      <c r="R37" s="1">
        <f ca="1">IFERROR(__xludf.DUMMYFUNCTION("""COMPUTED_VALUE"""),1863)</f>
        <v>1863</v>
      </c>
      <c r="S37" s="1">
        <f ca="1">IFERROR(__xludf.DUMMYFUNCTION("""COMPUTED_VALUE"""),0.472)</f>
        <v>0.47199999999999998</v>
      </c>
      <c r="T37" s="1">
        <f ca="1">IFERROR(__xludf.DUMMYFUNCTION("""COMPUTED_VALUE"""),206)</f>
        <v>206</v>
      </c>
      <c r="U37" s="1">
        <f ca="1">IFERROR(__xludf.DUMMYFUNCTION("""COMPUTED_VALUE"""),548)</f>
        <v>548</v>
      </c>
      <c r="V37" s="1">
        <f ca="1">IFERROR(__xludf.DUMMYFUNCTION("""COMPUTED_VALUE"""),0.376)</f>
        <v>0.376</v>
      </c>
      <c r="W37" s="1">
        <f ca="1">IFERROR(__xludf.DUMMYFUNCTION("""COMPUTED_VALUE"""),435)</f>
        <v>435</v>
      </c>
      <c r="X37" s="1">
        <f ca="1">IFERROR(__xludf.DUMMYFUNCTION("""COMPUTED_VALUE"""),668)</f>
        <v>668</v>
      </c>
      <c r="Y37" s="1">
        <f ca="1">IFERROR(__xludf.DUMMYFUNCTION("""COMPUTED_VALUE"""),0.651)</f>
        <v>0.65100000000000002</v>
      </c>
      <c r="Z37" s="1">
        <f ca="1">IFERROR(__xludf.DUMMYFUNCTION("""COMPUTED_VALUE"""),408)</f>
        <v>408</v>
      </c>
      <c r="AA37" s="1">
        <f ca="1">IFERROR(__xludf.DUMMYFUNCTION("""COMPUTED_VALUE"""),1205)</f>
        <v>1205</v>
      </c>
      <c r="AB37" s="1">
        <f ca="1">IFERROR(__xludf.DUMMYFUNCTION("""COMPUTED_VALUE"""),478)</f>
        <v>478</v>
      </c>
      <c r="AC37" s="1">
        <f ca="1">IFERROR(__xludf.DUMMYFUNCTION("""COMPUTED_VALUE"""),268)</f>
        <v>268</v>
      </c>
      <c r="AD37" s="1">
        <f ca="1">IFERROR(__xludf.DUMMYFUNCTION("""COMPUTED_VALUE"""),183)</f>
        <v>183</v>
      </c>
      <c r="AE37" s="1">
        <f ca="1">IFERROR(__xludf.DUMMYFUNCTION("""COMPUTED_VALUE"""),524)</f>
        <v>524</v>
      </c>
      <c r="AF37" s="1">
        <f ca="1">IFERROR(__xludf.DUMMYFUNCTION("""COMPUTED_VALUE"""),645)</f>
        <v>645</v>
      </c>
    </row>
    <row r="38" spans="1:32" ht="12.5" x14ac:dyDescent="0.25">
      <c r="A38" s="1" t="str">
        <f ca="1">IFERROR(__xludf.DUMMYFUNCTION("""COMPUTED_VALUE"""),"ButlerNCAA")</f>
        <v>ButlerNCAA</v>
      </c>
      <c r="B38" s="1">
        <f ca="1">IFERROR(__xludf.DUMMYFUNCTION("""COMPUTED_VALUE"""),38)</f>
        <v>38</v>
      </c>
      <c r="C38" s="1">
        <f ca="1">IFERROR(__xludf.DUMMYFUNCTION("""COMPUTED_VALUE"""),28)</f>
        <v>28</v>
      </c>
      <c r="D38" s="1">
        <f ca="1">IFERROR(__xludf.DUMMYFUNCTION("""COMPUTED_VALUE"""),10)</f>
        <v>10</v>
      </c>
      <c r="E38" s="1">
        <f ca="1">IFERROR(__xludf.DUMMYFUNCTION("""COMPUTED_VALUE"""),0.737)</f>
        <v>0.73699999999999999</v>
      </c>
      <c r="F38" s="1">
        <f ca="1">IFERROR(__xludf.DUMMYFUNCTION("""COMPUTED_VALUE"""),11.53)</f>
        <v>11.53</v>
      </c>
      <c r="G38" s="1">
        <f ca="1">IFERROR(__xludf.DUMMYFUNCTION("""COMPUTED_VALUE"""),5.02)</f>
        <v>5.0199999999999996</v>
      </c>
      <c r="H38" s="1">
        <f ca="1">IFERROR(__xludf.DUMMYFUNCTION("""COMPUTED_VALUE"""),13)</f>
        <v>13</v>
      </c>
      <c r="I38" s="1">
        <f ca="1">IFERROR(__xludf.DUMMYFUNCTION("""COMPUTED_VALUE"""),5)</f>
        <v>5</v>
      </c>
      <c r="J38" s="1">
        <f ca="1">IFERROR(__xludf.DUMMYFUNCTION("""COMPUTED_VALUE"""),12)</f>
        <v>12</v>
      </c>
      <c r="K38" s="1">
        <f ca="1">IFERROR(__xludf.DUMMYFUNCTION("""COMPUTED_VALUE"""),2)</f>
        <v>2</v>
      </c>
      <c r="L38" s="1">
        <f ca="1">IFERROR(__xludf.DUMMYFUNCTION("""COMPUTED_VALUE"""),7)</f>
        <v>7</v>
      </c>
      <c r="M38" s="1">
        <f ca="1">IFERROR(__xludf.DUMMYFUNCTION("""COMPUTED_VALUE"""),6)</f>
        <v>6</v>
      </c>
      <c r="N38" s="1">
        <f ca="1">IFERROR(__xludf.DUMMYFUNCTION("""COMPUTED_VALUE"""),2707)</f>
        <v>2707</v>
      </c>
      <c r="O38" s="1">
        <f ca="1">IFERROR(__xludf.DUMMYFUNCTION("""COMPUTED_VALUE"""),2437)</f>
        <v>2437</v>
      </c>
      <c r="P38" s="1">
        <f ca="1">IFERROR(__xludf.DUMMYFUNCTION("""COMPUTED_VALUE"""),1540)</f>
        <v>1540</v>
      </c>
      <c r="Q38" s="1">
        <f ca="1">IFERROR(__xludf.DUMMYFUNCTION("""COMPUTED_VALUE"""),919)</f>
        <v>919</v>
      </c>
      <c r="R38" s="1">
        <f ca="1">IFERROR(__xludf.DUMMYFUNCTION("""COMPUTED_VALUE"""),2122)</f>
        <v>2122</v>
      </c>
      <c r="S38" s="1">
        <f ca="1">IFERROR(__xludf.DUMMYFUNCTION("""COMPUTED_VALUE"""),0.433)</f>
        <v>0.433</v>
      </c>
      <c r="T38" s="1">
        <f ca="1">IFERROR(__xludf.DUMMYFUNCTION("""COMPUTED_VALUE"""),289)</f>
        <v>289</v>
      </c>
      <c r="U38" s="1">
        <f ca="1">IFERROR(__xludf.DUMMYFUNCTION("""COMPUTED_VALUE"""),822)</f>
        <v>822</v>
      </c>
      <c r="V38" s="1">
        <f ca="1">IFERROR(__xludf.DUMMYFUNCTION("""COMPUTED_VALUE"""),0.352)</f>
        <v>0.35199999999999998</v>
      </c>
      <c r="W38" s="1">
        <f ca="1">IFERROR(__xludf.DUMMYFUNCTION("""COMPUTED_VALUE"""),580)</f>
        <v>580</v>
      </c>
      <c r="X38" s="1">
        <f ca="1">IFERROR(__xludf.DUMMYFUNCTION("""COMPUTED_VALUE"""),799)</f>
        <v>799</v>
      </c>
      <c r="Y38" s="1">
        <f ca="1">IFERROR(__xludf.DUMMYFUNCTION("""COMPUTED_VALUE"""),0.726)</f>
        <v>0.72599999999999998</v>
      </c>
      <c r="Z38" s="1">
        <f ca="1">IFERROR(__xludf.DUMMYFUNCTION("""COMPUTED_VALUE"""),431)</f>
        <v>431</v>
      </c>
      <c r="AA38" s="1">
        <f ca="1">IFERROR(__xludf.DUMMYFUNCTION("""COMPUTED_VALUE"""),1337)</f>
        <v>1337</v>
      </c>
      <c r="AB38" s="1">
        <f ca="1">IFERROR(__xludf.DUMMYFUNCTION("""COMPUTED_VALUE"""),452)</f>
        <v>452</v>
      </c>
      <c r="AC38" s="1">
        <f ca="1">IFERROR(__xludf.DUMMYFUNCTION("""COMPUTED_VALUE"""),226)</f>
        <v>226</v>
      </c>
      <c r="AD38" s="1">
        <f ca="1">IFERROR(__xludf.DUMMYFUNCTION("""COMPUTED_VALUE"""),61)</f>
        <v>61</v>
      </c>
      <c r="AE38" s="1">
        <f ca="1">IFERROR(__xludf.DUMMYFUNCTION("""COMPUTED_VALUE"""),416)</f>
        <v>416</v>
      </c>
      <c r="AF38" s="1">
        <f ca="1">IFERROR(__xludf.DUMMYFUNCTION("""COMPUTED_VALUE"""),718)</f>
        <v>718</v>
      </c>
    </row>
    <row r="39" spans="1:32" ht="12.5" x14ac:dyDescent="0.25">
      <c r="A39" s="1" t="str">
        <f ca="1">IFERROR(__xludf.DUMMYFUNCTION("""COMPUTED_VALUE"""),"Cal Poly")</f>
        <v>Cal Poly</v>
      </c>
      <c r="B39" s="1">
        <f ca="1">IFERROR(__xludf.DUMMYFUNCTION("""COMPUTED_VALUE"""),30)</f>
        <v>30</v>
      </c>
      <c r="C39" s="1">
        <f ca="1">IFERROR(__xludf.DUMMYFUNCTION("""COMPUTED_VALUE"""),15)</f>
        <v>15</v>
      </c>
      <c r="D39" s="1">
        <f ca="1">IFERROR(__xludf.DUMMYFUNCTION("""COMPUTED_VALUE"""),15)</f>
        <v>15</v>
      </c>
      <c r="E39" s="1">
        <f ca="1">IFERROR(__xludf.DUMMYFUNCTION("""COMPUTED_VALUE"""),0.5)</f>
        <v>0.5</v>
      </c>
      <c r="F39" s="1">
        <f ca="1">IFERROR(__xludf.DUMMYFUNCTION("""COMPUTED_VALUE"""),-1.84)</f>
        <v>-1.84</v>
      </c>
      <c r="G39" s="1">
        <f ca="1">IFERROR(__xludf.DUMMYFUNCTION("""COMPUTED_VALUE"""),-2.39)</f>
        <v>-2.39</v>
      </c>
      <c r="H39" s="1">
        <f ca="1">IFERROR(__xludf.DUMMYFUNCTION("""COMPUTED_VALUE"""),10)</f>
        <v>10</v>
      </c>
      <c r="I39" s="1">
        <f ca="1">IFERROR(__xludf.DUMMYFUNCTION("""COMPUTED_VALUE"""),6)</f>
        <v>6</v>
      </c>
      <c r="J39" s="1">
        <f ca="1">IFERROR(__xludf.DUMMYFUNCTION("""COMPUTED_VALUE"""),7)</f>
        <v>7</v>
      </c>
      <c r="K39" s="1">
        <f ca="1">IFERROR(__xludf.DUMMYFUNCTION("""COMPUTED_VALUE"""),5)</f>
        <v>5</v>
      </c>
      <c r="L39" s="1">
        <f ca="1">IFERROR(__xludf.DUMMYFUNCTION("""COMPUTED_VALUE"""),8)</f>
        <v>8</v>
      </c>
      <c r="M39" s="1">
        <f ca="1">IFERROR(__xludf.DUMMYFUNCTION("""COMPUTED_VALUE"""),9)</f>
        <v>9</v>
      </c>
      <c r="N39" s="1">
        <f ca="1">IFERROR(__xludf.DUMMYFUNCTION("""COMPUTED_VALUE"""),1779)</f>
        <v>1779</v>
      </c>
      <c r="O39" s="1">
        <f ca="1">IFERROR(__xludf.DUMMYFUNCTION("""COMPUTED_VALUE"""),1766)</f>
        <v>1766</v>
      </c>
      <c r="P39" s="1">
        <f ca="1">IFERROR(__xludf.DUMMYFUNCTION("""COMPUTED_VALUE"""),1205)</f>
        <v>1205</v>
      </c>
      <c r="Q39" s="1">
        <f ca="1">IFERROR(__xludf.DUMMYFUNCTION("""COMPUTED_VALUE"""),603)</f>
        <v>603</v>
      </c>
      <c r="R39" s="1">
        <f ca="1">IFERROR(__xludf.DUMMYFUNCTION("""COMPUTED_VALUE"""),1551)</f>
        <v>1551</v>
      </c>
      <c r="S39" s="1">
        <f ca="1">IFERROR(__xludf.DUMMYFUNCTION("""COMPUTED_VALUE"""),0.389)</f>
        <v>0.38900000000000001</v>
      </c>
      <c r="T39" s="1">
        <f ca="1">IFERROR(__xludf.DUMMYFUNCTION("""COMPUTED_VALUE"""),190)</f>
        <v>190</v>
      </c>
      <c r="U39" s="1">
        <f ca="1">IFERROR(__xludf.DUMMYFUNCTION("""COMPUTED_VALUE"""),610)</f>
        <v>610</v>
      </c>
      <c r="V39" s="1">
        <f ca="1">IFERROR(__xludf.DUMMYFUNCTION("""COMPUTED_VALUE"""),0.311)</f>
        <v>0.311</v>
      </c>
      <c r="W39" s="1">
        <f ca="1">IFERROR(__xludf.DUMMYFUNCTION("""COMPUTED_VALUE"""),383)</f>
        <v>383</v>
      </c>
      <c r="X39" s="1">
        <f ca="1">IFERROR(__xludf.DUMMYFUNCTION("""COMPUTED_VALUE"""),577)</f>
        <v>577</v>
      </c>
      <c r="Y39" s="1">
        <f ca="1">IFERROR(__xludf.DUMMYFUNCTION("""COMPUTED_VALUE"""),0.664)</f>
        <v>0.66400000000000003</v>
      </c>
      <c r="Z39" s="1">
        <f ca="1">IFERROR(__xludf.DUMMYFUNCTION("""COMPUTED_VALUE"""),343)</f>
        <v>343</v>
      </c>
      <c r="AA39" s="1">
        <f ca="1">IFERROR(__xludf.DUMMYFUNCTION("""COMPUTED_VALUE"""),1020)</f>
        <v>1020</v>
      </c>
      <c r="AB39" s="1">
        <f ca="1">IFERROR(__xludf.DUMMYFUNCTION("""COMPUTED_VALUE"""),336)</f>
        <v>336</v>
      </c>
      <c r="AC39" s="1">
        <f ca="1">IFERROR(__xludf.DUMMYFUNCTION("""COMPUTED_VALUE"""),181)</f>
        <v>181</v>
      </c>
      <c r="AD39" s="1">
        <f ca="1">IFERROR(__xludf.DUMMYFUNCTION("""COMPUTED_VALUE"""),62)</f>
        <v>62</v>
      </c>
      <c r="AE39" s="1">
        <f ca="1">IFERROR(__xludf.DUMMYFUNCTION("""COMPUTED_VALUE"""),356)</f>
        <v>356</v>
      </c>
      <c r="AF39" s="1">
        <f ca="1">IFERROR(__xludf.DUMMYFUNCTION("""COMPUTED_VALUE"""),557)</f>
        <v>557</v>
      </c>
    </row>
    <row r="40" spans="1:32" ht="12.5" x14ac:dyDescent="0.25">
      <c r="A40" s="1" t="str">
        <f ca="1">IFERROR(__xludf.DUMMYFUNCTION("""COMPUTED_VALUE"""),"Cal State Bakersfield")</f>
        <v>Cal State Bakersfield</v>
      </c>
      <c r="B40" s="1">
        <f ca="1">IFERROR(__xludf.DUMMYFUNCTION("""COMPUTED_VALUE"""),28)</f>
        <v>28</v>
      </c>
      <c r="C40" s="1">
        <f ca="1">IFERROR(__xludf.DUMMYFUNCTION("""COMPUTED_VALUE"""),9)</f>
        <v>9</v>
      </c>
      <c r="D40" s="1">
        <f ca="1">IFERROR(__xludf.DUMMYFUNCTION("""COMPUTED_VALUE"""),19)</f>
        <v>19</v>
      </c>
      <c r="E40" s="1">
        <f ca="1">IFERROR(__xludf.DUMMYFUNCTION("""COMPUTED_VALUE"""),0.321)</f>
        <v>0.32100000000000001</v>
      </c>
      <c r="F40" s="1">
        <f ca="1">IFERROR(__xludf.DUMMYFUNCTION("""COMPUTED_VALUE"""),-11.44)</f>
        <v>-11.44</v>
      </c>
      <c r="G40" s="1">
        <f ca="1">IFERROR(__xludf.DUMMYFUNCTION("""COMPUTED_VALUE"""),-2.16)</f>
        <v>-2.16</v>
      </c>
      <c r="H40" s="1" t="str">
        <f ca="1">IFERROR(__xludf.DUMMYFUNCTION("""COMPUTED_VALUE"""),"")</f>
        <v/>
      </c>
      <c r="I40" s="1" t="str">
        <f ca="1">IFERROR(__xludf.DUMMYFUNCTION("""COMPUTED_VALUE"""),"")</f>
        <v/>
      </c>
      <c r="J40" s="1">
        <f ca="1">IFERROR(__xludf.DUMMYFUNCTION("""COMPUTED_VALUE"""),7)</f>
        <v>7</v>
      </c>
      <c r="K40" s="1">
        <f ca="1">IFERROR(__xludf.DUMMYFUNCTION("""COMPUTED_VALUE"""),8)</f>
        <v>8</v>
      </c>
      <c r="L40" s="1">
        <f ca="1">IFERROR(__xludf.DUMMYFUNCTION("""COMPUTED_VALUE"""),2)</f>
        <v>2</v>
      </c>
      <c r="M40" s="1">
        <f ca="1">IFERROR(__xludf.DUMMYFUNCTION("""COMPUTED_VALUE"""),11)</f>
        <v>11</v>
      </c>
      <c r="N40" s="1">
        <f ca="1">IFERROR(__xludf.DUMMYFUNCTION("""COMPUTED_VALUE"""),1907)</f>
        <v>1907</v>
      </c>
      <c r="O40" s="1">
        <f ca="1">IFERROR(__xludf.DUMMYFUNCTION("""COMPUTED_VALUE"""),2167)</f>
        <v>2167</v>
      </c>
      <c r="P40" s="1">
        <f ca="1">IFERROR(__xludf.DUMMYFUNCTION("""COMPUTED_VALUE"""),1131)</f>
        <v>1131</v>
      </c>
      <c r="Q40" s="1">
        <f ca="1">IFERROR(__xludf.DUMMYFUNCTION("""COMPUTED_VALUE"""),657)</f>
        <v>657</v>
      </c>
      <c r="R40" s="1">
        <f ca="1">IFERROR(__xludf.DUMMYFUNCTION("""COMPUTED_VALUE"""),1661)</f>
        <v>1661</v>
      </c>
      <c r="S40" s="1">
        <f ca="1">IFERROR(__xludf.DUMMYFUNCTION("""COMPUTED_VALUE"""),0.396)</f>
        <v>0.39600000000000002</v>
      </c>
      <c r="T40" s="1">
        <f ca="1">IFERROR(__xludf.DUMMYFUNCTION("""COMPUTED_VALUE"""),181)</f>
        <v>181</v>
      </c>
      <c r="U40" s="1">
        <f ca="1">IFERROR(__xludf.DUMMYFUNCTION("""COMPUTED_VALUE"""),546)</f>
        <v>546</v>
      </c>
      <c r="V40" s="1">
        <f ca="1">IFERROR(__xludf.DUMMYFUNCTION("""COMPUTED_VALUE"""),0.332)</f>
        <v>0.33200000000000002</v>
      </c>
      <c r="W40" s="1">
        <f ca="1">IFERROR(__xludf.DUMMYFUNCTION("""COMPUTED_VALUE"""),412)</f>
        <v>412</v>
      </c>
      <c r="X40" s="1">
        <f ca="1">IFERROR(__xludf.DUMMYFUNCTION("""COMPUTED_VALUE"""),598)</f>
        <v>598</v>
      </c>
      <c r="Y40" s="1">
        <f ca="1">IFERROR(__xludf.DUMMYFUNCTION("""COMPUTED_VALUE"""),0.689)</f>
        <v>0.68899999999999995</v>
      </c>
      <c r="Z40" s="1">
        <f ca="1">IFERROR(__xludf.DUMMYFUNCTION("""COMPUTED_VALUE"""),355)</f>
        <v>355</v>
      </c>
      <c r="AA40" s="1">
        <f ca="1">IFERROR(__xludf.DUMMYFUNCTION("""COMPUTED_VALUE"""),947)</f>
        <v>947</v>
      </c>
      <c r="AB40" s="1">
        <f ca="1">IFERROR(__xludf.DUMMYFUNCTION("""COMPUTED_VALUE"""),329)</f>
        <v>329</v>
      </c>
      <c r="AC40" s="1">
        <f ca="1">IFERROR(__xludf.DUMMYFUNCTION("""COMPUTED_VALUE"""),204)</f>
        <v>204</v>
      </c>
      <c r="AD40" s="1">
        <f ca="1">IFERROR(__xludf.DUMMYFUNCTION("""COMPUTED_VALUE"""),89)</f>
        <v>89</v>
      </c>
      <c r="AE40" s="1">
        <f ca="1">IFERROR(__xludf.DUMMYFUNCTION("""COMPUTED_VALUE"""),382)</f>
        <v>382</v>
      </c>
      <c r="AF40" s="1">
        <f ca="1">IFERROR(__xludf.DUMMYFUNCTION("""COMPUTED_VALUE"""),535)</f>
        <v>535</v>
      </c>
    </row>
    <row r="41" spans="1:32" ht="12.5" x14ac:dyDescent="0.25">
      <c r="A41" s="1" t="str">
        <f ca="1">IFERROR(__xludf.DUMMYFUNCTION("""COMPUTED_VALUE"""),"Cal State Fullerton")</f>
        <v>Cal State Fullerton</v>
      </c>
      <c r="B41" s="1">
        <f ca="1">IFERROR(__xludf.DUMMYFUNCTION("""COMPUTED_VALUE"""),31)</f>
        <v>31</v>
      </c>
      <c r="C41" s="1">
        <f ca="1">IFERROR(__xludf.DUMMYFUNCTION("""COMPUTED_VALUE"""),11)</f>
        <v>11</v>
      </c>
      <c r="D41" s="1">
        <f ca="1">IFERROR(__xludf.DUMMYFUNCTION("""COMPUTED_VALUE"""),20)</f>
        <v>20</v>
      </c>
      <c r="E41" s="1">
        <f ca="1">IFERROR(__xludf.DUMMYFUNCTION("""COMPUTED_VALUE"""),0.355)</f>
        <v>0.35499999999999998</v>
      </c>
      <c r="F41" s="1">
        <f ca="1">IFERROR(__xludf.DUMMYFUNCTION("""COMPUTED_VALUE"""),-7.68)</f>
        <v>-7.68</v>
      </c>
      <c r="G41" s="1">
        <f ca="1">IFERROR(__xludf.DUMMYFUNCTION("""COMPUTED_VALUE"""),-2.81)</f>
        <v>-2.81</v>
      </c>
      <c r="H41" s="1">
        <f ca="1">IFERROR(__xludf.DUMMYFUNCTION("""COMPUTED_VALUE"""),7)</f>
        <v>7</v>
      </c>
      <c r="I41" s="1">
        <f ca="1">IFERROR(__xludf.DUMMYFUNCTION("""COMPUTED_VALUE"""),9)</f>
        <v>9</v>
      </c>
      <c r="J41" s="1">
        <f ca="1">IFERROR(__xludf.DUMMYFUNCTION("""COMPUTED_VALUE"""),7)</f>
        <v>7</v>
      </c>
      <c r="K41" s="1">
        <f ca="1">IFERROR(__xludf.DUMMYFUNCTION("""COMPUTED_VALUE"""),5)</f>
        <v>5</v>
      </c>
      <c r="L41" s="1">
        <f ca="1">IFERROR(__xludf.DUMMYFUNCTION("""COMPUTED_VALUE"""),4)</f>
        <v>4</v>
      </c>
      <c r="M41" s="1">
        <f ca="1">IFERROR(__xludf.DUMMYFUNCTION("""COMPUTED_VALUE"""),12)</f>
        <v>12</v>
      </c>
      <c r="N41" s="1">
        <f ca="1">IFERROR(__xludf.DUMMYFUNCTION("""COMPUTED_VALUE"""),2208)</f>
        <v>2208</v>
      </c>
      <c r="O41" s="1">
        <f ca="1">IFERROR(__xludf.DUMMYFUNCTION("""COMPUTED_VALUE"""),2326)</f>
        <v>2326</v>
      </c>
      <c r="P41" s="1">
        <f ca="1">IFERROR(__xludf.DUMMYFUNCTION("""COMPUTED_VALUE"""),1245)</f>
        <v>1245</v>
      </c>
      <c r="Q41" s="1">
        <f ca="1">IFERROR(__xludf.DUMMYFUNCTION("""COMPUTED_VALUE"""),752)</f>
        <v>752</v>
      </c>
      <c r="R41" s="1">
        <f ca="1">IFERROR(__xludf.DUMMYFUNCTION("""COMPUTED_VALUE"""),1675)</f>
        <v>1675</v>
      </c>
      <c r="S41" s="1">
        <f ca="1">IFERROR(__xludf.DUMMYFUNCTION("""COMPUTED_VALUE"""),0.449)</f>
        <v>0.44900000000000001</v>
      </c>
      <c r="T41" s="1">
        <f ca="1">IFERROR(__xludf.DUMMYFUNCTION("""COMPUTED_VALUE"""),198)</f>
        <v>198</v>
      </c>
      <c r="U41" s="1">
        <f ca="1">IFERROR(__xludf.DUMMYFUNCTION("""COMPUTED_VALUE"""),540)</f>
        <v>540</v>
      </c>
      <c r="V41" s="1">
        <f ca="1">IFERROR(__xludf.DUMMYFUNCTION("""COMPUTED_VALUE"""),0.367)</f>
        <v>0.36699999999999999</v>
      </c>
      <c r="W41" s="1">
        <f ca="1">IFERROR(__xludf.DUMMYFUNCTION("""COMPUTED_VALUE"""),506)</f>
        <v>506</v>
      </c>
      <c r="X41" s="1">
        <f ca="1">IFERROR(__xludf.DUMMYFUNCTION("""COMPUTED_VALUE"""),704)</f>
        <v>704</v>
      </c>
      <c r="Y41" s="1">
        <f ca="1">IFERROR(__xludf.DUMMYFUNCTION("""COMPUTED_VALUE"""),0.719)</f>
        <v>0.71899999999999997</v>
      </c>
      <c r="Z41" s="1">
        <f ca="1">IFERROR(__xludf.DUMMYFUNCTION("""COMPUTED_VALUE"""),325)</f>
        <v>325</v>
      </c>
      <c r="AA41" s="1">
        <f ca="1">IFERROR(__xludf.DUMMYFUNCTION("""COMPUTED_VALUE"""),1036)</f>
        <v>1036</v>
      </c>
      <c r="AB41" s="1">
        <f ca="1">IFERROR(__xludf.DUMMYFUNCTION("""COMPUTED_VALUE"""),393)</f>
        <v>393</v>
      </c>
      <c r="AC41" s="1">
        <f ca="1">IFERROR(__xludf.DUMMYFUNCTION("""COMPUTED_VALUE"""),162)</f>
        <v>162</v>
      </c>
      <c r="AD41" s="1">
        <f ca="1">IFERROR(__xludf.DUMMYFUNCTION("""COMPUTED_VALUE"""),44)</f>
        <v>44</v>
      </c>
      <c r="AE41" s="1">
        <f ca="1">IFERROR(__xludf.DUMMYFUNCTION("""COMPUTED_VALUE"""),439)</f>
        <v>439</v>
      </c>
      <c r="AF41" s="1">
        <f ca="1">IFERROR(__xludf.DUMMYFUNCTION("""COMPUTED_VALUE"""),636)</f>
        <v>636</v>
      </c>
    </row>
    <row r="42" spans="1:32" ht="12.5" x14ac:dyDescent="0.25">
      <c r="A42" s="1" t="str">
        <f ca="1">IFERROR(__xludf.DUMMYFUNCTION("""COMPUTED_VALUE"""),"Cal State Northridge")</f>
        <v>Cal State Northridge</v>
      </c>
      <c r="B42" s="1">
        <f ca="1">IFERROR(__xludf.DUMMYFUNCTION("""COMPUTED_VALUE"""),32)</f>
        <v>32</v>
      </c>
      <c r="C42" s="1">
        <f ca="1">IFERROR(__xludf.DUMMYFUNCTION("""COMPUTED_VALUE"""),14)</f>
        <v>14</v>
      </c>
      <c r="D42" s="1">
        <f ca="1">IFERROR(__xludf.DUMMYFUNCTION("""COMPUTED_VALUE"""),18)</f>
        <v>18</v>
      </c>
      <c r="E42" s="1">
        <f ca="1">IFERROR(__xludf.DUMMYFUNCTION("""COMPUTED_VALUE"""),0.438)</f>
        <v>0.438</v>
      </c>
      <c r="F42" s="1">
        <f ca="1">IFERROR(__xludf.DUMMYFUNCTION("""COMPUTED_VALUE"""),-5.35)</f>
        <v>-5.35</v>
      </c>
      <c r="G42" s="1">
        <f ca="1">IFERROR(__xludf.DUMMYFUNCTION("""COMPUTED_VALUE"""),-1.55)</f>
        <v>-1.55</v>
      </c>
      <c r="H42" s="1">
        <f ca="1">IFERROR(__xludf.DUMMYFUNCTION("""COMPUTED_VALUE"""),9)</f>
        <v>9</v>
      </c>
      <c r="I42" s="1">
        <f ca="1">IFERROR(__xludf.DUMMYFUNCTION("""COMPUTED_VALUE"""),7)</f>
        <v>7</v>
      </c>
      <c r="J42" s="1">
        <f ca="1">IFERROR(__xludf.DUMMYFUNCTION("""COMPUTED_VALUE"""),7)</f>
        <v>7</v>
      </c>
      <c r="K42" s="1">
        <f ca="1">IFERROR(__xludf.DUMMYFUNCTION("""COMPUTED_VALUE"""),5)</f>
        <v>5</v>
      </c>
      <c r="L42" s="1">
        <f ca="1">IFERROR(__xludf.DUMMYFUNCTION("""COMPUTED_VALUE"""),5)</f>
        <v>5</v>
      </c>
      <c r="M42" s="1">
        <f ca="1">IFERROR(__xludf.DUMMYFUNCTION("""COMPUTED_VALUE"""),10)</f>
        <v>10</v>
      </c>
      <c r="N42" s="1">
        <f ca="1">IFERROR(__xludf.DUMMYFUNCTION("""COMPUTED_VALUE"""),2232)</f>
        <v>2232</v>
      </c>
      <c r="O42" s="1">
        <f ca="1">IFERROR(__xludf.DUMMYFUNCTION("""COMPUTED_VALUE"""),2280)</f>
        <v>2280</v>
      </c>
      <c r="P42" s="1">
        <f ca="1">IFERROR(__xludf.DUMMYFUNCTION("""COMPUTED_VALUE"""),1280)</f>
        <v>1280</v>
      </c>
      <c r="Q42" s="1">
        <f ca="1">IFERROR(__xludf.DUMMYFUNCTION("""COMPUTED_VALUE"""),752)</f>
        <v>752</v>
      </c>
      <c r="R42" s="1">
        <f ca="1">IFERROR(__xludf.DUMMYFUNCTION("""COMPUTED_VALUE"""),1725)</f>
        <v>1725</v>
      </c>
      <c r="S42" s="1">
        <f ca="1">IFERROR(__xludf.DUMMYFUNCTION("""COMPUTED_VALUE"""),0.436)</f>
        <v>0.436</v>
      </c>
      <c r="T42" s="1">
        <f ca="1">IFERROR(__xludf.DUMMYFUNCTION("""COMPUTED_VALUE"""),176)</f>
        <v>176</v>
      </c>
      <c r="U42" s="1">
        <f ca="1">IFERROR(__xludf.DUMMYFUNCTION("""COMPUTED_VALUE"""),542)</f>
        <v>542</v>
      </c>
      <c r="V42" s="1">
        <f ca="1">IFERROR(__xludf.DUMMYFUNCTION("""COMPUTED_VALUE"""),0.325)</f>
        <v>0.32500000000000001</v>
      </c>
      <c r="W42" s="1">
        <f ca="1">IFERROR(__xludf.DUMMYFUNCTION("""COMPUTED_VALUE"""),552)</f>
        <v>552</v>
      </c>
      <c r="X42" s="1">
        <f ca="1">IFERROR(__xludf.DUMMYFUNCTION("""COMPUTED_VALUE"""),820)</f>
        <v>820</v>
      </c>
      <c r="Y42" s="1">
        <f ca="1">IFERROR(__xludf.DUMMYFUNCTION("""COMPUTED_VALUE"""),0.673)</f>
        <v>0.67300000000000004</v>
      </c>
      <c r="Z42" s="1">
        <f ca="1">IFERROR(__xludf.DUMMYFUNCTION("""COMPUTED_VALUE"""),365)</f>
        <v>365</v>
      </c>
      <c r="AA42" s="1">
        <f ca="1">IFERROR(__xludf.DUMMYFUNCTION("""COMPUTED_VALUE"""),1111)</f>
        <v>1111</v>
      </c>
      <c r="AB42" s="1">
        <f ca="1">IFERROR(__xludf.DUMMYFUNCTION("""COMPUTED_VALUE"""),407)</f>
        <v>407</v>
      </c>
      <c r="AC42" s="1">
        <f ca="1">IFERROR(__xludf.DUMMYFUNCTION("""COMPUTED_VALUE"""),208)</f>
        <v>208</v>
      </c>
      <c r="AD42" s="1">
        <f ca="1">IFERROR(__xludf.DUMMYFUNCTION("""COMPUTED_VALUE"""),111)</f>
        <v>111</v>
      </c>
      <c r="AE42" s="1">
        <f ca="1">IFERROR(__xludf.DUMMYFUNCTION("""COMPUTED_VALUE"""),504)</f>
        <v>504</v>
      </c>
      <c r="AF42" s="1">
        <f ca="1">IFERROR(__xludf.DUMMYFUNCTION("""COMPUTED_VALUE"""),738)</f>
        <v>738</v>
      </c>
    </row>
    <row r="43" spans="1:32" ht="12.5" x14ac:dyDescent="0.25">
      <c r="A43" s="1" t="str">
        <f ca="1">IFERROR(__xludf.DUMMYFUNCTION("""COMPUTED_VALUE"""),"UC-Davis")</f>
        <v>UC-Davis</v>
      </c>
      <c r="B43" s="1">
        <f ca="1">IFERROR(__xludf.DUMMYFUNCTION("""COMPUTED_VALUE"""),30)</f>
        <v>30</v>
      </c>
      <c r="C43" s="1">
        <f ca="1">IFERROR(__xludf.DUMMYFUNCTION("""COMPUTED_VALUE"""),10)</f>
        <v>10</v>
      </c>
      <c r="D43" s="1">
        <f ca="1">IFERROR(__xludf.DUMMYFUNCTION("""COMPUTED_VALUE"""),20)</f>
        <v>20</v>
      </c>
      <c r="E43" s="1">
        <f ca="1">IFERROR(__xludf.DUMMYFUNCTION("""COMPUTED_VALUE"""),0.333)</f>
        <v>0.33300000000000002</v>
      </c>
      <c r="F43" s="1">
        <f ca="1">IFERROR(__xludf.DUMMYFUNCTION("""COMPUTED_VALUE"""),-5.69)</f>
        <v>-5.69</v>
      </c>
      <c r="G43" s="1">
        <f ca="1">IFERROR(__xludf.DUMMYFUNCTION("""COMPUTED_VALUE"""),-1.9)</f>
        <v>-1.9</v>
      </c>
      <c r="H43" s="1">
        <f ca="1">IFERROR(__xludf.DUMMYFUNCTION("""COMPUTED_VALUE"""),4)</f>
        <v>4</v>
      </c>
      <c r="I43" s="1">
        <f ca="1">IFERROR(__xludf.DUMMYFUNCTION("""COMPUTED_VALUE"""),12)</f>
        <v>12</v>
      </c>
      <c r="J43" s="1">
        <f ca="1">IFERROR(__xludf.DUMMYFUNCTION("""COMPUTED_VALUE"""),7)</f>
        <v>7</v>
      </c>
      <c r="K43" s="1">
        <f ca="1">IFERROR(__xludf.DUMMYFUNCTION("""COMPUTED_VALUE"""),7)</f>
        <v>7</v>
      </c>
      <c r="L43" s="1">
        <f ca="1">IFERROR(__xludf.DUMMYFUNCTION("""COMPUTED_VALUE"""),3)</f>
        <v>3</v>
      </c>
      <c r="M43" s="1">
        <f ca="1">IFERROR(__xludf.DUMMYFUNCTION("""COMPUTED_VALUE"""),11)</f>
        <v>11</v>
      </c>
      <c r="N43" s="1">
        <f ca="1">IFERROR(__xludf.DUMMYFUNCTION("""COMPUTED_VALUE"""),2136)</f>
        <v>2136</v>
      </c>
      <c r="O43" s="1">
        <f ca="1">IFERROR(__xludf.DUMMYFUNCTION("""COMPUTED_VALUE"""),2194)</f>
        <v>2194</v>
      </c>
      <c r="P43" s="1">
        <f ca="1">IFERROR(__xludf.DUMMYFUNCTION("""COMPUTED_VALUE"""),1227)</f>
        <v>1227</v>
      </c>
      <c r="Q43" s="1">
        <f ca="1">IFERROR(__xludf.DUMMYFUNCTION("""COMPUTED_VALUE"""),744)</f>
        <v>744</v>
      </c>
      <c r="R43" s="1">
        <f ca="1">IFERROR(__xludf.DUMMYFUNCTION("""COMPUTED_VALUE"""),1619)</f>
        <v>1619</v>
      </c>
      <c r="S43" s="1">
        <f ca="1">IFERROR(__xludf.DUMMYFUNCTION("""COMPUTED_VALUE"""),0.46)</f>
        <v>0.46</v>
      </c>
      <c r="T43" s="1">
        <f ca="1">IFERROR(__xludf.DUMMYFUNCTION("""COMPUTED_VALUE"""),241)</f>
        <v>241</v>
      </c>
      <c r="U43" s="1">
        <f ca="1">IFERROR(__xludf.DUMMYFUNCTION("""COMPUTED_VALUE"""),637)</f>
        <v>637</v>
      </c>
      <c r="V43" s="1">
        <f ca="1">IFERROR(__xludf.DUMMYFUNCTION("""COMPUTED_VALUE"""),0.378)</f>
        <v>0.378</v>
      </c>
      <c r="W43" s="1">
        <f ca="1">IFERROR(__xludf.DUMMYFUNCTION("""COMPUTED_VALUE"""),407)</f>
        <v>407</v>
      </c>
      <c r="X43" s="1">
        <f ca="1">IFERROR(__xludf.DUMMYFUNCTION("""COMPUTED_VALUE"""),559)</f>
        <v>559</v>
      </c>
      <c r="Y43" s="1">
        <f ca="1">IFERROR(__xludf.DUMMYFUNCTION("""COMPUTED_VALUE"""),0.728)</f>
        <v>0.72799999999999998</v>
      </c>
      <c r="Z43" s="1">
        <f ca="1">IFERROR(__xludf.DUMMYFUNCTION("""COMPUTED_VALUE"""),225)</f>
        <v>225</v>
      </c>
      <c r="AA43" s="1">
        <f ca="1">IFERROR(__xludf.DUMMYFUNCTION("""COMPUTED_VALUE"""),920)</f>
        <v>920</v>
      </c>
      <c r="AB43" s="1">
        <f ca="1">IFERROR(__xludf.DUMMYFUNCTION("""COMPUTED_VALUE"""),450)</f>
        <v>450</v>
      </c>
      <c r="AC43" s="1">
        <f ca="1">IFERROR(__xludf.DUMMYFUNCTION("""COMPUTED_VALUE"""),196)</f>
        <v>196</v>
      </c>
      <c r="AD43" s="1">
        <f ca="1">IFERROR(__xludf.DUMMYFUNCTION("""COMPUTED_VALUE"""),76)</f>
        <v>76</v>
      </c>
      <c r="AE43" s="1">
        <f ca="1">IFERROR(__xludf.DUMMYFUNCTION("""COMPUTED_VALUE"""),423)</f>
        <v>423</v>
      </c>
      <c r="AF43" s="1">
        <f ca="1">IFERROR(__xludf.DUMMYFUNCTION("""COMPUTED_VALUE"""),589)</f>
        <v>589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IFERROR(__xludf.DUMMYFUNCTION("""COMPUTED_VALUE"""),"UC-Irvine")</f>
        <v>UC-Irvine</v>
      </c>
      <c r="B46" s="1">
        <f ca="1">IFERROR(__xludf.DUMMYFUNCTION("""COMPUTED_VALUE"""),32)</f>
        <v>32</v>
      </c>
      <c r="C46" s="1">
        <f ca="1">IFERROR(__xludf.DUMMYFUNCTION("""COMPUTED_VALUE"""),13)</f>
        <v>13</v>
      </c>
      <c r="D46" s="1">
        <f ca="1">IFERROR(__xludf.DUMMYFUNCTION("""COMPUTED_VALUE"""),19)</f>
        <v>19</v>
      </c>
      <c r="E46" s="1">
        <f ca="1">IFERROR(__xludf.DUMMYFUNCTION("""COMPUTED_VALUE"""),0.406)</f>
        <v>0.40600000000000003</v>
      </c>
      <c r="F46" s="1">
        <f ca="1">IFERROR(__xludf.DUMMYFUNCTION("""COMPUTED_VALUE"""),-3.78)</f>
        <v>-3.78</v>
      </c>
      <c r="G46" s="1">
        <f ca="1">IFERROR(__xludf.DUMMYFUNCTION("""COMPUTED_VALUE"""),-2.36)</f>
        <v>-2.36</v>
      </c>
      <c r="H46" s="1">
        <f ca="1">IFERROR(__xludf.DUMMYFUNCTION("""COMPUTED_VALUE"""),6)</f>
        <v>6</v>
      </c>
      <c r="I46" s="1">
        <f ca="1">IFERROR(__xludf.DUMMYFUNCTION("""COMPUTED_VALUE"""),10)</f>
        <v>10</v>
      </c>
      <c r="J46" s="1">
        <f ca="1">IFERROR(__xludf.DUMMYFUNCTION("""COMPUTED_VALUE"""),9)</f>
        <v>9</v>
      </c>
      <c r="K46" s="1">
        <f ca="1">IFERROR(__xludf.DUMMYFUNCTION("""COMPUTED_VALUE"""),6)</f>
        <v>6</v>
      </c>
      <c r="L46" s="1">
        <f ca="1">IFERROR(__xludf.DUMMYFUNCTION("""COMPUTED_VALUE"""),4)</f>
        <v>4</v>
      </c>
      <c r="M46" s="1">
        <f ca="1">IFERROR(__xludf.DUMMYFUNCTION("""COMPUTED_VALUE"""),12)</f>
        <v>12</v>
      </c>
      <c r="N46" s="1">
        <f ca="1">IFERROR(__xludf.DUMMYFUNCTION("""COMPUTED_VALUE"""),2411)</f>
        <v>2411</v>
      </c>
      <c r="O46" s="1">
        <f ca="1">IFERROR(__xludf.DUMMYFUNCTION("""COMPUTED_VALUE"""),2419)</f>
        <v>2419</v>
      </c>
      <c r="P46" s="1">
        <f ca="1">IFERROR(__xludf.DUMMYFUNCTION("""COMPUTED_VALUE"""),1310)</f>
        <v>1310</v>
      </c>
      <c r="Q46" s="1">
        <f ca="1">IFERROR(__xludf.DUMMYFUNCTION("""COMPUTED_VALUE"""),798)</f>
        <v>798</v>
      </c>
      <c r="R46" s="1">
        <f ca="1">IFERROR(__xludf.DUMMYFUNCTION("""COMPUTED_VALUE"""),1892)</f>
        <v>1892</v>
      </c>
      <c r="S46" s="1">
        <f ca="1">IFERROR(__xludf.DUMMYFUNCTION("""COMPUTED_VALUE"""),0.422)</f>
        <v>0.42199999999999999</v>
      </c>
      <c r="T46" s="1">
        <f ca="1">IFERROR(__xludf.DUMMYFUNCTION("""COMPUTED_VALUE"""),239)</f>
        <v>239</v>
      </c>
      <c r="U46" s="1">
        <f ca="1">IFERROR(__xludf.DUMMYFUNCTION("""COMPUTED_VALUE"""),675)</f>
        <v>675</v>
      </c>
      <c r="V46" s="1">
        <f ca="1">IFERROR(__xludf.DUMMYFUNCTION("""COMPUTED_VALUE"""),0.354)</f>
        <v>0.35399999999999998</v>
      </c>
      <c r="W46" s="1">
        <f ca="1">IFERROR(__xludf.DUMMYFUNCTION("""COMPUTED_VALUE"""),576)</f>
        <v>576</v>
      </c>
      <c r="X46" s="1">
        <f ca="1">IFERROR(__xludf.DUMMYFUNCTION("""COMPUTED_VALUE"""),784)</f>
        <v>784</v>
      </c>
      <c r="Y46" s="1">
        <f ca="1">IFERROR(__xludf.DUMMYFUNCTION("""COMPUTED_VALUE"""),0.735)</f>
        <v>0.73499999999999999</v>
      </c>
      <c r="Z46" s="1">
        <f ca="1">IFERROR(__xludf.DUMMYFUNCTION("""COMPUTED_VALUE"""),309)</f>
        <v>309</v>
      </c>
      <c r="AA46" s="1">
        <f ca="1">IFERROR(__xludf.DUMMYFUNCTION("""COMPUTED_VALUE"""),1148)</f>
        <v>1148</v>
      </c>
      <c r="AB46" s="1">
        <f ca="1">IFERROR(__xludf.DUMMYFUNCTION("""COMPUTED_VALUE"""),390)</f>
        <v>390</v>
      </c>
      <c r="AC46" s="1">
        <f ca="1">IFERROR(__xludf.DUMMYFUNCTION("""COMPUTED_VALUE"""),213)</f>
        <v>213</v>
      </c>
      <c r="AD46" s="1">
        <f ca="1">IFERROR(__xludf.DUMMYFUNCTION("""COMPUTED_VALUE"""),57)</f>
        <v>57</v>
      </c>
      <c r="AE46" s="1">
        <f ca="1">IFERROR(__xludf.DUMMYFUNCTION("""COMPUTED_VALUE"""),412)</f>
        <v>412</v>
      </c>
      <c r="AF46" s="1">
        <f ca="1">IFERROR(__xludf.DUMMYFUNCTION("""COMPUTED_VALUE"""),691)</f>
        <v>691</v>
      </c>
    </row>
    <row r="47" spans="1:32" ht="12.5" x14ac:dyDescent="0.25">
      <c r="A47" s="1" t="str">
        <f ca="1">IFERROR(__xludf.DUMMYFUNCTION("""COMPUTED_VALUE"""),"UC-Riverside")</f>
        <v>UC-Riverside</v>
      </c>
      <c r="B47" s="1">
        <f ca="1">IFERROR(__xludf.DUMMYFUNCTION("""COMPUTED_VALUE"""),31)</f>
        <v>31</v>
      </c>
      <c r="C47" s="1">
        <f ca="1">IFERROR(__xludf.DUMMYFUNCTION("""COMPUTED_VALUE"""),12)</f>
        <v>12</v>
      </c>
      <c r="D47" s="1">
        <f ca="1">IFERROR(__xludf.DUMMYFUNCTION("""COMPUTED_VALUE"""),19)</f>
        <v>19</v>
      </c>
      <c r="E47" s="1">
        <f ca="1">IFERROR(__xludf.DUMMYFUNCTION("""COMPUTED_VALUE"""),0.387)</f>
        <v>0.38700000000000001</v>
      </c>
      <c r="F47" s="1">
        <f ca="1">IFERROR(__xludf.DUMMYFUNCTION("""COMPUTED_VALUE"""),-8.26)</f>
        <v>-8.26</v>
      </c>
      <c r="G47" s="1">
        <f ca="1">IFERROR(__xludf.DUMMYFUNCTION("""COMPUTED_VALUE"""),-1.4)</f>
        <v>-1.4</v>
      </c>
      <c r="H47" s="1">
        <f ca="1">IFERROR(__xludf.DUMMYFUNCTION("""COMPUTED_VALUE"""),6)</f>
        <v>6</v>
      </c>
      <c r="I47" s="1">
        <f ca="1">IFERROR(__xludf.DUMMYFUNCTION("""COMPUTED_VALUE"""),10)</f>
        <v>10</v>
      </c>
      <c r="J47" s="1">
        <f ca="1">IFERROR(__xludf.DUMMYFUNCTION("""COMPUTED_VALUE"""),7)</f>
        <v>7</v>
      </c>
      <c r="K47" s="1">
        <f ca="1">IFERROR(__xludf.DUMMYFUNCTION("""COMPUTED_VALUE"""),5)</f>
        <v>5</v>
      </c>
      <c r="L47" s="1">
        <f ca="1">IFERROR(__xludf.DUMMYFUNCTION("""COMPUTED_VALUE"""),4)</f>
        <v>4</v>
      </c>
      <c r="M47" s="1">
        <f ca="1">IFERROR(__xludf.DUMMYFUNCTION("""COMPUTED_VALUE"""),11)</f>
        <v>11</v>
      </c>
      <c r="N47" s="1">
        <f ca="1">IFERROR(__xludf.DUMMYFUNCTION("""COMPUTED_VALUE"""),2044)</f>
        <v>2044</v>
      </c>
      <c r="O47" s="1">
        <f ca="1">IFERROR(__xludf.DUMMYFUNCTION("""COMPUTED_VALUE"""),2164)</f>
        <v>2164</v>
      </c>
      <c r="P47" s="1">
        <f ca="1">IFERROR(__xludf.DUMMYFUNCTION("""COMPUTED_VALUE"""),1255)</f>
        <v>1255</v>
      </c>
      <c r="Q47" s="1">
        <f ca="1">IFERROR(__xludf.DUMMYFUNCTION("""COMPUTED_VALUE"""),745)</f>
        <v>745</v>
      </c>
      <c r="R47" s="1">
        <f ca="1">IFERROR(__xludf.DUMMYFUNCTION("""COMPUTED_VALUE"""),1757)</f>
        <v>1757</v>
      </c>
      <c r="S47" s="1">
        <f ca="1">IFERROR(__xludf.DUMMYFUNCTION("""COMPUTED_VALUE"""),0.424)</f>
        <v>0.42399999999999999</v>
      </c>
      <c r="T47" s="1">
        <f ca="1">IFERROR(__xludf.DUMMYFUNCTION("""COMPUTED_VALUE"""),161)</f>
        <v>161</v>
      </c>
      <c r="U47" s="1">
        <f ca="1">IFERROR(__xludf.DUMMYFUNCTION("""COMPUTED_VALUE"""),464)</f>
        <v>464</v>
      </c>
      <c r="V47" s="1">
        <f ca="1">IFERROR(__xludf.DUMMYFUNCTION("""COMPUTED_VALUE"""),0.347)</f>
        <v>0.34699999999999998</v>
      </c>
      <c r="W47" s="1">
        <f ca="1">IFERROR(__xludf.DUMMYFUNCTION("""COMPUTED_VALUE"""),393)</f>
        <v>393</v>
      </c>
      <c r="X47" s="1">
        <f ca="1">IFERROR(__xludf.DUMMYFUNCTION("""COMPUTED_VALUE"""),576)</f>
        <v>576</v>
      </c>
      <c r="Y47" s="1">
        <f ca="1">IFERROR(__xludf.DUMMYFUNCTION("""COMPUTED_VALUE"""),0.682)</f>
        <v>0.68200000000000005</v>
      </c>
      <c r="Z47" s="1">
        <f ca="1">IFERROR(__xludf.DUMMYFUNCTION("""COMPUTED_VALUE"""),370)</f>
        <v>370</v>
      </c>
      <c r="AA47" s="1">
        <f ca="1">IFERROR(__xludf.DUMMYFUNCTION("""COMPUTED_VALUE"""),1087)</f>
        <v>1087</v>
      </c>
      <c r="AB47" s="1">
        <f ca="1">IFERROR(__xludf.DUMMYFUNCTION("""COMPUTED_VALUE"""),374)</f>
        <v>374</v>
      </c>
      <c r="AC47" s="1">
        <f ca="1">IFERROR(__xludf.DUMMYFUNCTION("""COMPUTED_VALUE"""),183)</f>
        <v>183</v>
      </c>
      <c r="AD47" s="1">
        <f ca="1">IFERROR(__xludf.DUMMYFUNCTION("""COMPUTED_VALUE"""),119)</f>
        <v>119</v>
      </c>
      <c r="AE47" s="1">
        <f ca="1">IFERROR(__xludf.DUMMYFUNCTION("""COMPUTED_VALUE"""),432)</f>
        <v>432</v>
      </c>
      <c r="AF47" s="1">
        <f ca="1">IFERROR(__xludf.DUMMYFUNCTION("""COMPUTED_VALUE"""),581)</f>
        <v>581</v>
      </c>
    </row>
    <row r="48" spans="1:32" ht="12.5" x14ac:dyDescent="0.25">
      <c r="A48" s="1" t="str">
        <f ca="1">IFERROR(__xludf.DUMMYFUNCTION("""COMPUTED_VALUE"""),"UC-Santa BarbaraNCAA")</f>
        <v>UC-Santa BarbaraNCAA</v>
      </c>
      <c r="B48" s="1">
        <f ca="1">IFERROR(__xludf.DUMMYFUNCTION("""COMPUTED_VALUE"""),32)</f>
        <v>32</v>
      </c>
      <c r="C48" s="1">
        <f ca="1">IFERROR(__xludf.DUMMYFUNCTION("""COMPUTED_VALUE"""),18)</f>
        <v>18</v>
      </c>
      <c r="D48" s="1">
        <f ca="1">IFERROR(__xludf.DUMMYFUNCTION("""COMPUTED_VALUE"""),14)</f>
        <v>14</v>
      </c>
      <c r="E48" s="1">
        <f ca="1">IFERROR(__xludf.DUMMYFUNCTION("""COMPUTED_VALUE"""),0.563)</f>
        <v>0.56299999999999994</v>
      </c>
      <c r="F48" s="1">
        <f ca="1">IFERROR(__xludf.DUMMYFUNCTION("""COMPUTED_VALUE"""),1.22)</f>
        <v>1.22</v>
      </c>
      <c r="G48" s="1">
        <f ca="1">IFERROR(__xludf.DUMMYFUNCTION("""COMPUTED_VALUE"""),0.12)</f>
        <v>0.12</v>
      </c>
      <c r="H48" s="1">
        <f ca="1">IFERROR(__xludf.DUMMYFUNCTION("""COMPUTED_VALUE"""),8)</f>
        <v>8</v>
      </c>
      <c r="I48" s="1">
        <f ca="1">IFERROR(__xludf.DUMMYFUNCTION("""COMPUTED_VALUE"""),8)</f>
        <v>8</v>
      </c>
      <c r="J48" s="1">
        <f ca="1">IFERROR(__xludf.DUMMYFUNCTION("""COMPUTED_VALUE"""),9)</f>
        <v>9</v>
      </c>
      <c r="K48" s="1">
        <f ca="1">IFERROR(__xludf.DUMMYFUNCTION("""COMPUTED_VALUE"""),4)</f>
        <v>4</v>
      </c>
      <c r="L48" s="1">
        <f ca="1">IFERROR(__xludf.DUMMYFUNCTION("""COMPUTED_VALUE"""),5)</f>
        <v>5</v>
      </c>
      <c r="M48" s="1">
        <f ca="1">IFERROR(__xludf.DUMMYFUNCTION("""COMPUTED_VALUE"""),8)</f>
        <v>8</v>
      </c>
      <c r="N48" s="1">
        <f ca="1">IFERROR(__xludf.DUMMYFUNCTION("""COMPUTED_VALUE"""),2170)</f>
        <v>2170</v>
      </c>
      <c r="O48" s="1">
        <f ca="1">IFERROR(__xludf.DUMMYFUNCTION("""COMPUTED_VALUE"""),2105)</f>
        <v>2105</v>
      </c>
      <c r="P48" s="1">
        <f ca="1">IFERROR(__xludf.DUMMYFUNCTION("""COMPUTED_VALUE"""),1295)</f>
        <v>1295</v>
      </c>
      <c r="Q48" s="1">
        <f ca="1">IFERROR(__xludf.DUMMYFUNCTION("""COMPUTED_VALUE"""),742)</f>
        <v>742</v>
      </c>
      <c r="R48" s="1">
        <f ca="1">IFERROR(__xludf.DUMMYFUNCTION("""COMPUTED_VALUE"""),1636)</f>
        <v>1636</v>
      </c>
      <c r="S48" s="1">
        <f ca="1">IFERROR(__xludf.DUMMYFUNCTION("""COMPUTED_VALUE"""),0.454)</f>
        <v>0.45400000000000001</v>
      </c>
      <c r="T48" s="1">
        <f ca="1">IFERROR(__xludf.DUMMYFUNCTION("""COMPUTED_VALUE"""),227)</f>
        <v>227</v>
      </c>
      <c r="U48" s="1">
        <f ca="1">IFERROR(__xludf.DUMMYFUNCTION("""COMPUTED_VALUE"""),611)</f>
        <v>611</v>
      </c>
      <c r="V48" s="1">
        <f ca="1">IFERROR(__xludf.DUMMYFUNCTION("""COMPUTED_VALUE"""),0.372)</f>
        <v>0.372</v>
      </c>
      <c r="W48" s="1">
        <f ca="1">IFERROR(__xludf.DUMMYFUNCTION("""COMPUTED_VALUE"""),459)</f>
        <v>459</v>
      </c>
      <c r="X48" s="1">
        <f ca="1">IFERROR(__xludf.DUMMYFUNCTION("""COMPUTED_VALUE"""),610)</f>
        <v>610</v>
      </c>
      <c r="Y48" s="1">
        <f ca="1">IFERROR(__xludf.DUMMYFUNCTION("""COMPUTED_VALUE"""),0.752)</f>
        <v>0.752</v>
      </c>
      <c r="Z48" s="1">
        <f ca="1">IFERROR(__xludf.DUMMYFUNCTION("""COMPUTED_VALUE"""),277)</f>
        <v>277</v>
      </c>
      <c r="AA48" s="1">
        <f ca="1">IFERROR(__xludf.DUMMYFUNCTION("""COMPUTED_VALUE"""),1038)</f>
        <v>1038</v>
      </c>
      <c r="AB48" s="1">
        <f ca="1">IFERROR(__xludf.DUMMYFUNCTION("""COMPUTED_VALUE"""),457)</f>
        <v>457</v>
      </c>
      <c r="AC48" s="1">
        <f ca="1">IFERROR(__xludf.DUMMYFUNCTION("""COMPUTED_VALUE"""),233)</f>
        <v>233</v>
      </c>
      <c r="AD48" s="1">
        <f ca="1">IFERROR(__xludf.DUMMYFUNCTION("""COMPUTED_VALUE"""),133)</f>
        <v>133</v>
      </c>
      <c r="AE48" s="1">
        <f ca="1">IFERROR(__xludf.DUMMYFUNCTION("""COMPUTED_VALUE"""),456)</f>
        <v>456</v>
      </c>
      <c r="AF48" s="1">
        <f ca="1">IFERROR(__xludf.DUMMYFUNCTION("""COMPUTED_VALUE"""),611)</f>
        <v>611</v>
      </c>
    </row>
    <row r="49" spans="1:32" ht="12.5" x14ac:dyDescent="0.25">
      <c r="A49" s="1" t="str">
        <f ca="1">IFERROR(__xludf.DUMMYFUNCTION("""COMPUTED_VALUE"""),"University of California")</f>
        <v>University of California</v>
      </c>
      <c r="B49" s="1">
        <f ca="1">IFERROR(__xludf.DUMMYFUNCTION("""COMPUTED_VALUE"""),33)</f>
        <v>33</v>
      </c>
      <c r="C49" s="1">
        <f ca="1">IFERROR(__xludf.DUMMYFUNCTION("""COMPUTED_VALUE"""),18)</f>
        <v>18</v>
      </c>
      <c r="D49" s="1">
        <f ca="1">IFERROR(__xludf.DUMMYFUNCTION("""COMPUTED_VALUE"""),15)</f>
        <v>15</v>
      </c>
      <c r="E49" s="1">
        <f ca="1">IFERROR(__xludf.DUMMYFUNCTION("""COMPUTED_VALUE"""),0.545)</f>
        <v>0.54500000000000004</v>
      </c>
      <c r="F49" s="1">
        <f ca="1">IFERROR(__xludf.DUMMYFUNCTION("""COMPUTED_VALUE"""),9.45)</f>
        <v>9.4499999999999993</v>
      </c>
      <c r="G49" s="1">
        <f ca="1">IFERROR(__xludf.DUMMYFUNCTION("""COMPUTED_VALUE"""),9.17)</f>
        <v>9.17</v>
      </c>
      <c r="H49" s="1">
        <f ca="1">IFERROR(__xludf.DUMMYFUNCTION("""COMPUTED_VALUE"""),10)</f>
        <v>10</v>
      </c>
      <c r="I49" s="1">
        <f ca="1">IFERROR(__xludf.DUMMYFUNCTION("""COMPUTED_VALUE"""),8)</f>
        <v>8</v>
      </c>
      <c r="J49" s="1">
        <f ca="1">IFERROR(__xludf.DUMMYFUNCTION("""COMPUTED_VALUE"""),12)</f>
        <v>12</v>
      </c>
      <c r="K49" s="1">
        <f ca="1">IFERROR(__xludf.DUMMYFUNCTION("""COMPUTED_VALUE"""),6)</f>
        <v>6</v>
      </c>
      <c r="L49" s="1">
        <f ca="1">IFERROR(__xludf.DUMMYFUNCTION("""COMPUTED_VALUE"""),5)</f>
        <v>5</v>
      </c>
      <c r="M49" s="1">
        <f ca="1">IFERROR(__xludf.DUMMYFUNCTION("""COMPUTED_VALUE"""),6)</f>
        <v>6</v>
      </c>
      <c r="N49" s="1">
        <f ca="1">IFERROR(__xludf.DUMMYFUNCTION("""COMPUTED_VALUE"""),2391)</f>
        <v>2391</v>
      </c>
      <c r="O49" s="1">
        <f ca="1">IFERROR(__xludf.DUMMYFUNCTION("""COMPUTED_VALUE"""),2382)</f>
        <v>2382</v>
      </c>
      <c r="P49" s="1">
        <f ca="1">IFERROR(__xludf.DUMMYFUNCTION("""COMPUTED_VALUE"""),1345)</f>
        <v>1345</v>
      </c>
      <c r="Q49" s="1">
        <f ca="1">IFERROR(__xludf.DUMMYFUNCTION("""COMPUTED_VALUE"""),820)</f>
        <v>820</v>
      </c>
      <c r="R49" s="1">
        <f ca="1">IFERROR(__xludf.DUMMYFUNCTION("""COMPUTED_VALUE"""),1779)</f>
        <v>1779</v>
      </c>
      <c r="S49" s="1">
        <f ca="1">IFERROR(__xludf.DUMMYFUNCTION("""COMPUTED_VALUE"""),0.461)</f>
        <v>0.46100000000000002</v>
      </c>
      <c r="T49" s="1">
        <f ca="1">IFERROR(__xludf.DUMMYFUNCTION("""COMPUTED_VALUE"""),169)</f>
        <v>169</v>
      </c>
      <c r="U49" s="1">
        <f ca="1">IFERROR(__xludf.DUMMYFUNCTION("""COMPUTED_VALUE"""),481)</f>
        <v>481</v>
      </c>
      <c r="V49" s="1">
        <f ca="1">IFERROR(__xludf.DUMMYFUNCTION("""COMPUTED_VALUE"""),0.351)</f>
        <v>0.35099999999999998</v>
      </c>
      <c r="W49" s="1">
        <f ca="1">IFERROR(__xludf.DUMMYFUNCTION("""COMPUTED_VALUE"""),582)</f>
        <v>582</v>
      </c>
      <c r="X49" s="1">
        <f ca="1">IFERROR(__xludf.DUMMYFUNCTION("""COMPUTED_VALUE"""),838)</f>
        <v>838</v>
      </c>
      <c r="Y49" s="1">
        <f ca="1">IFERROR(__xludf.DUMMYFUNCTION("""COMPUTED_VALUE"""),0.695)</f>
        <v>0.69499999999999995</v>
      </c>
      <c r="Z49" s="1">
        <f ca="1">IFERROR(__xludf.DUMMYFUNCTION("""COMPUTED_VALUE"""),325)</f>
        <v>325</v>
      </c>
      <c r="AA49" s="1">
        <f ca="1">IFERROR(__xludf.DUMMYFUNCTION("""COMPUTED_VALUE"""),1153)</f>
        <v>1153</v>
      </c>
      <c r="AB49" s="1">
        <f ca="1">IFERROR(__xludf.DUMMYFUNCTION("""COMPUTED_VALUE"""),493)</f>
        <v>493</v>
      </c>
      <c r="AC49" s="1">
        <f ca="1">IFERROR(__xludf.DUMMYFUNCTION("""COMPUTED_VALUE"""),188)</f>
        <v>188</v>
      </c>
      <c r="AD49" s="1">
        <f ca="1">IFERROR(__xludf.DUMMYFUNCTION("""COMPUTED_VALUE"""),84)</f>
        <v>84</v>
      </c>
      <c r="AE49" s="1">
        <f ca="1">IFERROR(__xludf.DUMMYFUNCTION("""COMPUTED_VALUE"""),449)</f>
        <v>449</v>
      </c>
      <c r="AF49" s="1">
        <f ca="1">IFERROR(__xludf.DUMMYFUNCTION("""COMPUTED_VALUE"""),588)</f>
        <v>588</v>
      </c>
    </row>
    <row r="50" spans="1:32" ht="12.5" x14ac:dyDescent="0.25">
      <c r="A50" s="1" t="str">
        <f ca="1">IFERROR(__xludf.DUMMYFUNCTION("""COMPUTED_VALUE"""),"Campbell")</f>
        <v>Campbell</v>
      </c>
      <c r="B50" s="1">
        <f ca="1">IFERROR(__xludf.DUMMYFUNCTION("""COMPUTED_VALUE"""),31)</f>
        <v>31</v>
      </c>
      <c r="C50" s="1">
        <f ca="1">IFERROR(__xludf.DUMMYFUNCTION("""COMPUTED_VALUE"""),12)</f>
        <v>12</v>
      </c>
      <c r="D50" s="1">
        <f ca="1">IFERROR(__xludf.DUMMYFUNCTION("""COMPUTED_VALUE"""),19)</f>
        <v>19</v>
      </c>
      <c r="E50" s="1">
        <f ca="1">IFERROR(__xludf.DUMMYFUNCTION("""COMPUTED_VALUE"""),0.387)</f>
        <v>0.38700000000000001</v>
      </c>
      <c r="F50" s="1">
        <f ca="1">IFERROR(__xludf.DUMMYFUNCTION("""COMPUTED_VALUE"""),-6.67)</f>
        <v>-6.67</v>
      </c>
      <c r="G50" s="1">
        <f ca="1">IFERROR(__xludf.DUMMYFUNCTION("""COMPUTED_VALUE"""),-4.27)</f>
        <v>-4.2699999999999996</v>
      </c>
      <c r="H50" s="1">
        <f ca="1">IFERROR(__xludf.DUMMYFUNCTION("""COMPUTED_VALUE"""),6)</f>
        <v>6</v>
      </c>
      <c r="I50" s="1">
        <f ca="1">IFERROR(__xludf.DUMMYFUNCTION("""COMPUTED_VALUE"""),14)</f>
        <v>14</v>
      </c>
      <c r="J50" s="1">
        <f ca="1">IFERROR(__xludf.DUMMYFUNCTION("""COMPUTED_VALUE"""),7)</f>
        <v>7</v>
      </c>
      <c r="K50" s="1">
        <f ca="1">IFERROR(__xludf.DUMMYFUNCTION("""COMPUTED_VALUE"""),7)</f>
        <v>7</v>
      </c>
      <c r="L50" s="1">
        <f ca="1">IFERROR(__xludf.DUMMYFUNCTION("""COMPUTED_VALUE"""),4)</f>
        <v>4</v>
      </c>
      <c r="M50" s="1">
        <f ca="1">IFERROR(__xludf.DUMMYFUNCTION("""COMPUTED_VALUE"""),10)</f>
        <v>10</v>
      </c>
      <c r="N50" s="1">
        <f ca="1">IFERROR(__xludf.DUMMYFUNCTION("""COMPUTED_VALUE"""),2032)</f>
        <v>2032</v>
      </c>
      <c r="O50" s="1">
        <f ca="1">IFERROR(__xludf.DUMMYFUNCTION("""COMPUTED_VALUE"""),2091)</f>
        <v>2091</v>
      </c>
      <c r="P50" s="1">
        <f ca="1">IFERROR(__xludf.DUMMYFUNCTION("""COMPUTED_VALUE"""),1245)</f>
        <v>1245</v>
      </c>
      <c r="Q50" s="1">
        <f ca="1">IFERROR(__xludf.DUMMYFUNCTION("""COMPUTED_VALUE"""),742)</f>
        <v>742</v>
      </c>
      <c r="R50" s="1">
        <f ca="1">IFERROR(__xludf.DUMMYFUNCTION("""COMPUTED_VALUE"""),1640)</f>
        <v>1640</v>
      </c>
      <c r="S50" s="1">
        <f ca="1">IFERROR(__xludf.DUMMYFUNCTION("""COMPUTED_VALUE"""),0.452)</f>
        <v>0.45200000000000001</v>
      </c>
      <c r="T50" s="1">
        <f ca="1">IFERROR(__xludf.DUMMYFUNCTION("""COMPUTED_VALUE"""),123)</f>
        <v>123</v>
      </c>
      <c r="U50" s="1">
        <f ca="1">IFERROR(__xludf.DUMMYFUNCTION("""COMPUTED_VALUE"""),351)</f>
        <v>351</v>
      </c>
      <c r="V50" s="1">
        <f ca="1">IFERROR(__xludf.DUMMYFUNCTION("""COMPUTED_VALUE"""),0.35)</f>
        <v>0.35</v>
      </c>
      <c r="W50" s="1">
        <f ca="1">IFERROR(__xludf.DUMMYFUNCTION("""COMPUTED_VALUE"""),425)</f>
        <v>425</v>
      </c>
      <c r="X50" s="1">
        <f ca="1">IFERROR(__xludf.DUMMYFUNCTION("""COMPUTED_VALUE"""),663)</f>
        <v>663</v>
      </c>
      <c r="Y50" s="1">
        <f ca="1">IFERROR(__xludf.DUMMYFUNCTION("""COMPUTED_VALUE"""),0.641)</f>
        <v>0.64100000000000001</v>
      </c>
      <c r="Z50" s="1">
        <f ca="1">IFERROR(__xludf.DUMMYFUNCTION("""COMPUTED_VALUE"""),353)</f>
        <v>353</v>
      </c>
      <c r="AA50" s="1">
        <f ca="1">IFERROR(__xludf.DUMMYFUNCTION("""COMPUTED_VALUE"""),1023)</f>
        <v>1023</v>
      </c>
      <c r="AB50" s="1">
        <f ca="1">IFERROR(__xludf.DUMMYFUNCTION("""COMPUTED_VALUE"""),425)</f>
        <v>425</v>
      </c>
      <c r="AC50" s="1">
        <f ca="1">IFERROR(__xludf.DUMMYFUNCTION("""COMPUTED_VALUE"""),219)</f>
        <v>219</v>
      </c>
      <c r="AD50" s="1">
        <f ca="1">IFERROR(__xludf.DUMMYFUNCTION("""COMPUTED_VALUE"""),155)</f>
        <v>155</v>
      </c>
      <c r="AE50" s="1">
        <f ca="1">IFERROR(__xludf.DUMMYFUNCTION("""COMPUTED_VALUE"""),446)</f>
        <v>446</v>
      </c>
      <c r="AF50" s="1">
        <f ca="1">IFERROR(__xludf.DUMMYFUNCTION("""COMPUTED_VALUE"""),680)</f>
        <v>680</v>
      </c>
    </row>
    <row r="51" spans="1:32" ht="12.5" x14ac:dyDescent="0.25">
      <c r="A51" s="1" t="str">
        <f ca="1">IFERROR(__xludf.DUMMYFUNCTION("""COMPUTED_VALUE"""),"Canisius")</f>
        <v>Canisius</v>
      </c>
      <c r="B51" s="1">
        <f ca="1">IFERROR(__xludf.DUMMYFUNCTION("""COMPUTED_VALUE"""),30)</f>
        <v>30</v>
      </c>
      <c r="C51" s="1">
        <f ca="1">IFERROR(__xludf.DUMMYFUNCTION("""COMPUTED_VALUE"""),15)</f>
        <v>15</v>
      </c>
      <c r="D51" s="1">
        <f ca="1">IFERROR(__xludf.DUMMYFUNCTION("""COMPUTED_VALUE"""),15)</f>
        <v>15</v>
      </c>
      <c r="E51" s="1">
        <f ca="1">IFERROR(__xludf.DUMMYFUNCTION("""COMPUTED_VALUE"""),0.5)</f>
        <v>0.5</v>
      </c>
      <c r="F51" s="1">
        <f ca="1">IFERROR(__xludf.DUMMYFUNCTION("""COMPUTED_VALUE"""),-2.92)</f>
        <v>-2.92</v>
      </c>
      <c r="G51" s="1">
        <f ca="1">IFERROR(__xludf.DUMMYFUNCTION("""COMPUTED_VALUE"""),-3.55)</f>
        <v>-3.55</v>
      </c>
      <c r="H51" s="1">
        <f ca="1">IFERROR(__xludf.DUMMYFUNCTION("""COMPUTED_VALUE"""),9)</f>
        <v>9</v>
      </c>
      <c r="I51" s="1">
        <f ca="1">IFERROR(__xludf.DUMMYFUNCTION("""COMPUTED_VALUE"""),9)</f>
        <v>9</v>
      </c>
      <c r="J51" s="1">
        <f ca="1">IFERROR(__xludf.DUMMYFUNCTION("""COMPUTED_VALUE"""),10)</f>
        <v>10</v>
      </c>
      <c r="K51" s="1">
        <f ca="1">IFERROR(__xludf.DUMMYFUNCTION("""COMPUTED_VALUE"""),4)</f>
        <v>4</v>
      </c>
      <c r="L51" s="1">
        <f ca="1">IFERROR(__xludf.DUMMYFUNCTION("""COMPUTED_VALUE"""),5)</f>
        <v>5</v>
      </c>
      <c r="M51" s="1">
        <f ca="1">IFERROR(__xludf.DUMMYFUNCTION("""COMPUTED_VALUE"""),10)</f>
        <v>10</v>
      </c>
      <c r="N51" s="1">
        <f ca="1">IFERROR(__xludf.DUMMYFUNCTION("""COMPUTED_VALUE"""),2043)</f>
        <v>2043</v>
      </c>
      <c r="O51" s="1">
        <f ca="1">IFERROR(__xludf.DUMMYFUNCTION("""COMPUTED_VALUE"""),2024)</f>
        <v>2024</v>
      </c>
      <c r="P51" s="1">
        <f ca="1">IFERROR(__xludf.DUMMYFUNCTION("""COMPUTED_VALUE"""),1200)</f>
        <v>1200</v>
      </c>
      <c r="Q51" s="1">
        <f ca="1">IFERROR(__xludf.DUMMYFUNCTION("""COMPUTED_VALUE"""),739)</f>
        <v>739</v>
      </c>
      <c r="R51" s="1">
        <f ca="1">IFERROR(__xludf.DUMMYFUNCTION("""COMPUTED_VALUE"""),1742)</f>
        <v>1742</v>
      </c>
      <c r="S51" s="1">
        <f ca="1">IFERROR(__xludf.DUMMYFUNCTION("""COMPUTED_VALUE"""),0.424)</f>
        <v>0.42399999999999999</v>
      </c>
      <c r="T51" s="1">
        <f ca="1">IFERROR(__xludf.DUMMYFUNCTION("""COMPUTED_VALUE"""),231)</f>
        <v>231</v>
      </c>
      <c r="U51" s="1">
        <f ca="1">IFERROR(__xludf.DUMMYFUNCTION("""COMPUTED_VALUE"""),662)</f>
        <v>662</v>
      </c>
      <c r="V51" s="1">
        <f ca="1">IFERROR(__xludf.DUMMYFUNCTION("""COMPUTED_VALUE"""),0.349)</f>
        <v>0.34899999999999998</v>
      </c>
      <c r="W51" s="1">
        <f ca="1">IFERROR(__xludf.DUMMYFUNCTION("""COMPUTED_VALUE"""),334)</f>
        <v>334</v>
      </c>
      <c r="X51" s="1">
        <f ca="1">IFERROR(__xludf.DUMMYFUNCTION("""COMPUTED_VALUE"""),478)</f>
        <v>478</v>
      </c>
      <c r="Y51" s="1">
        <f ca="1">IFERROR(__xludf.DUMMYFUNCTION("""COMPUTED_VALUE"""),0.699)</f>
        <v>0.69899999999999995</v>
      </c>
      <c r="Z51" s="1">
        <f ca="1">IFERROR(__xludf.DUMMYFUNCTION("""COMPUTED_VALUE"""),364)</f>
        <v>364</v>
      </c>
      <c r="AA51" s="1">
        <f ca="1">IFERROR(__xludf.DUMMYFUNCTION("""COMPUTED_VALUE"""),1063)</f>
        <v>1063</v>
      </c>
      <c r="AB51" s="1">
        <f ca="1">IFERROR(__xludf.DUMMYFUNCTION("""COMPUTED_VALUE"""),449)</f>
        <v>449</v>
      </c>
      <c r="AC51" s="1">
        <f ca="1">IFERROR(__xludf.DUMMYFUNCTION("""COMPUTED_VALUE"""),207)</f>
        <v>207</v>
      </c>
      <c r="AD51" s="1">
        <f ca="1">IFERROR(__xludf.DUMMYFUNCTION("""COMPUTED_VALUE"""),145)</f>
        <v>145</v>
      </c>
      <c r="AE51" s="1">
        <f ca="1">IFERROR(__xludf.DUMMYFUNCTION("""COMPUTED_VALUE"""),414)</f>
        <v>414</v>
      </c>
      <c r="AF51" s="1">
        <f ca="1">IFERROR(__xludf.DUMMYFUNCTION("""COMPUTED_VALUE"""),580)</f>
        <v>580</v>
      </c>
    </row>
    <row r="52" spans="1:32" ht="12.5" x14ac:dyDescent="0.25">
      <c r="A52" s="1" t="str">
        <f ca="1">IFERROR(__xludf.DUMMYFUNCTION("""COMPUTED_VALUE"""),"Centenary (LA)")</f>
        <v>Centenary (LA)</v>
      </c>
      <c r="B52" s="1">
        <f ca="1">IFERROR(__xludf.DUMMYFUNCTION("""COMPUTED_VALUE"""),30)</f>
        <v>30</v>
      </c>
      <c r="C52" s="1">
        <f ca="1">IFERROR(__xludf.DUMMYFUNCTION("""COMPUTED_VALUE"""),1)</f>
        <v>1</v>
      </c>
      <c r="D52" s="1">
        <f ca="1">IFERROR(__xludf.DUMMYFUNCTION("""COMPUTED_VALUE"""),29)</f>
        <v>29</v>
      </c>
      <c r="E52" s="1">
        <f ca="1">IFERROR(__xludf.DUMMYFUNCTION("""COMPUTED_VALUE"""),0.033)</f>
        <v>3.3000000000000002E-2</v>
      </c>
      <c r="F52" s="1">
        <f ca="1">IFERROR(__xludf.DUMMYFUNCTION("""COMPUTED_VALUE"""),-25.21)</f>
        <v>-25.21</v>
      </c>
      <c r="G52" s="1">
        <f ca="1">IFERROR(__xludf.DUMMYFUNCTION("""COMPUTED_VALUE"""),-2.85)</f>
        <v>-2.85</v>
      </c>
      <c r="H52" s="1">
        <f ca="1">IFERROR(__xludf.DUMMYFUNCTION("""COMPUTED_VALUE"""),1)</f>
        <v>1</v>
      </c>
      <c r="I52" s="1">
        <f ca="1">IFERROR(__xludf.DUMMYFUNCTION("""COMPUTED_VALUE"""),17)</f>
        <v>17</v>
      </c>
      <c r="J52" s="1">
        <f ca="1">IFERROR(__xludf.DUMMYFUNCTION("""COMPUTED_VALUE"""),1)</f>
        <v>1</v>
      </c>
      <c r="K52" s="1">
        <f ca="1">IFERROR(__xludf.DUMMYFUNCTION("""COMPUTED_VALUE"""),10)</f>
        <v>10</v>
      </c>
      <c r="L52" s="1">
        <f ca="1">IFERROR(__xludf.DUMMYFUNCTION("""COMPUTED_VALUE"""),0)</f>
        <v>0</v>
      </c>
      <c r="M52" s="1">
        <f ca="1">IFERROR(__xludf.DUMMYFUNCTION("""COMPUTED_VALUE"""),19)</f>
        <v>19</v>
      </c>
      <c r="N52" s="1">
        <f ca="1">IFERROR(__xludf.DUMMYFUNCTION("""COMPUTED_VALUE"""),1775)</f>
        <v>1775</v>
      </c>
      <c r="O52" s="1">
        <f ca="1">IFERROR(__xludf.DUMMYFUNCTION("""COMPUTED_VALUE"""),2422)</f>
        <v>2422</v>
      </c>
      <c r="P52" s="1">
        <f ca="1">IFERROR(__xludf.DUMMYFUNCTION("""COMPUTED_VALUE"""),1200)</f>
        <v>1200</v>
      </c>
      <c r="Q52" s="1">
        <f ca="1">IFERROR(__xludf.DUMMYFUNCTION("""COMPUTED_VALUE"""),598)</f>
        <v>598</v>
      </c>
      <c r="R52" s="1">
        <f ca="1">IFERROR(__xludf.DUMMYFUNCTION("""COMPUTED_VALUE"""),1507)</f>
        <v>1507</v>
      </c>
      <c r="S52" s="1">
        <f ca="1">IFERROR(__xludf.DUMMYFUNCTION("""COMPUTED_VALUE"""),0.397)</f>
        <v>0.39700000000000002</v>
      </c>
      <c r="T52" s="1">
        <f ca="1">IFERROR(__xludf.DUMMYFUNCTION("""COMPUTED_VALUE"""),131)</f>
        <v>131</v>
      </c>
      <c r="U52" s="1">
        <f ca="1">IFERROR(__xludf.DUMMYFUNCTION("""COMPUTED_VALUE"""),436)</f>
        <v>436</v>
      </c>
      <c r="V52" s="1">
        <f ca="1">IFERROR(__xludf.DUMMYFUNCTION("""COMPUTED_VALUE"""),0.3)</f>
        <v>0.3</v>
      </c>
      <c r="W52" s="1">
        <f ca="1">IFERROR(__xludf.DUMMYFUNCTION("""COMPUTED_VALUE"""),448)</f>
        <v>448</v>
      </c>
      <c r="X52" s="1">
        <f ca="1">IFERROR(__xludf.DUMMYFUNCTION("""COMPUTED_VALUE"""),715)</f>
        <v>715</v>
      </c>
      <c r="Y52" s="1">
        <f ca="1">IFERROR(__xludf.DUMMYFUNCTION("""COMPUTED_VALUE"""),0.627)</f>
        <v>0.627</v>
      </c>
      <c r="Z52" s="1">
        <f ca="1">IFERROR(__xludf.DUMMYFUNCTION("""COMPUTED_VALUE"""),281)</f>
        <v>281</v>
      </c>
      <c r="AA52" s="1">
        <f ca="1">IFERROR(__xludf.DUMMYFUNCTION("""COMPUTED_VALUE"""),892)</f>
        <v>892</v>
      </c>
      <c r="AB52" s="1">
        <f ca="1">IFERROR(__xludf.DUMMYFUNCTION("""COMPUTED_VALUE"""),294)</f>
        <v>294</v>
      </c>
      <c r="AC52" s="1">
        <f ca="1">IFERROR(__xludf.DUMMYFUNCTION("""COMPUTED_VALUE"""),212)</f>
        <v>212</v>
      </c>
      <c r="AD52" s="1">
        <f ca="1">IFERROR(__xludf.DUMMYFUNCTION("""COMPUTED_VALUE"""),73)</f>
        <v>73</v>
      </c>
      <c r="AE52" s="1">
        <f ca="1">IFERROR(__xludf.DUMMYFUNCTION("""COMPUTED_VALUE"""),543)</f>
        <v>543</v>
      </c>
      <c r="AF52" s="1">
        <f ca="1">IFERROR(__xludf.DUMMYFUNCTION("""COMPUTED_VALUE"""),656)</f>
        <v>656</v>
      </c>
    </row>
    <row r="53" spans="1:32" ht="12.5" x14ac:dyDescent="0.25">
      <c r="A53" s="1" t="str">
        <f ca="1">IFERROR(__xludf.DUMMYFUNCTION("""COMPUTED_VALUE"""),"Central Arkansas")</f>
        <v>Central Arkansas</v>
      </c>
      <c r="B53" s="1">
        <f ca="1">IFERROR(__xludf.DUMMYFUNCTION("""COMPUTED_VALUE"""),29)</f>
        <v>29</v>
      </c>
      <c r="C53" s="1">
        <f ca="1">IFERROR(__xludf.DUMMYFUNCTION("""COMPUTED_VALUE"""),5)</f>
        <v>5</v>
      </c>
      <c r="D53" s="1">
        <f ca="1">IFERROR(__xludf.DUMMYFUNCTION("""COMPUTED_VALUE"""),24)</f>
        <v>24</v>
      </c>
      <c r="E53" s="1">
        <f ca="1">IFERROR(__xludf.DUMMYFUNCTION("""COMPUTED_VALUE"""),0.172)</f>
        <v>0.17199999999999999</v>
      </c>
      <c r="F53" s="1">
        <f ca="1">IFERROR(__xludf.DUMMYFUNCTION("""COMPUTED_VALUE"""),-19.16)</f>
        <v>-19.16</v>
      </c>
      <c r="G53" s="1">
        <f ca="1">IFERROR(__xludf.DUMMYFUNCTION("""COMPUTED_VALUE"""),-5.39)</f>
        <v>-5.39</v>
      </c>
      <c r="H53" s="1">
        <f ca="1">IFERROR(__xludf.DUMMYFUNCTION("""COMPUTED_VALUE"""),1)</f>
        <v>1</v>
      </c>
      <c r="I53" s="1">
        <f ca="1">IFERROR(__xludf.DUMMYFUNCTION("""COMPUTED_VALUE"""),15)</f>
        <v>15</v>
      </c>
      <c r="J53" s="1">
        <f ca="1">IFERROR(__xludf.DUMMYFUNCTION("""COMPUTED_VALUE"""),4)</f>
        <v>4</v>
      </c>
      <c r="K53" s="1">
        <f ca="1">IFERROR(__xludf.DUMMYFUNCTION("""COMPUTED_VALUE"""),9)</f>
        <v>9</v>
      </c>
      <c r="L53" s="1">
        <f ca="1">IFERROR(__xludf.DUMMYFUNCTION("""COMPUTED_VALUE"""),0)</f>
        <v>0</v>
      </c>
      <c r="M53" s="1">
        <f ca="1">IFERROR(__xludf.DUMMYFUNCTION("""COMPUTED_VALUE"""),14)</f>
        <v>14</v>
      </c>
      <c r="N53" s="1">
        <f ca="1">IFERROR(__xludf.DUMMYFUNCTION("""COMPUTED_VALUE"""),1984)</f>
        <v>1984</v>
      </c>
      <c r="O53" s="1">
        <f ca="1">IFERROR(__xludf.DUMMYFUNCTION("""COMPUTED_VALUE"""),2216)</f>
        <v>2216</v>
      </c>
      <c r="P53" s="1">
        <f ca="1">IFERROR(__xludf.DUMMYFUNCTION("""COMPUTED_VALUE"""),1165)</f>
        <v>1165</v>
      </c>
      <c r="Q53" s="1">
        <f ca="1">IFERROR(__xludf.DUMMYFUNCTION("""COMPUTED_VALUE"""),690)</f>
        <v>690</v>
      </c>
      <c r="R53" s="1">
        <f ca="1">IFERROR(__xludf.DUMMYFUNCTION("""COMPUTED_VALUE"""),1657)</f>
        <v>1657</v>
      </c>
      <c r="S53" s="1">
        <f ca="1">IFERROR(__xludf.DUMMYFUNCTION("""COMPUTED_VALUE"""),0.416)</f>
        <v>0.41599999999999998</v>
      </c>
      <c r="T53" s="1">
        <f ca="1">IFERROR(__xludf.DUMMYFUNCTION("""COMPUTED_VALUE"""),165)</f>
        <v>165</v>
      </c>
      <c r="U53" s="1">
        <f ca="1">IFERROR(__xludf.DUMMYFUNCTION("""COMPUTED_VALUE"""),527)</f>
        <v>527</v>
      </c>
      <c r="V53" s="1">
        <f ca="1">IFERROR(__xludf.DUMMYFUNCTION("""COMPUTED_VALUE"""),0.313)</f>
        <v>0.313</v>
      </c>
      <c r="W53" s="1">
        <f ca="1">IFERROR(__xludf.DUMMYFUNCTION("""COMPUTED_VALUE"""),439)</f>
        <v>439</v>
      </c>
      <c r="X53" s="1">
        <f ca="1">IFERROR(__xludf.DUMMYFUNCTION("""COMPUTED_VALUE"""),684)</f>
        <v>684</v>
      </c>
      <c r="Y53" s="1">
        <f ca="1">IFERROR(__xludf.DUMMYFUNCTION("""COMPUTED_VALUE"""),0.642)</f>
        <v>0.64200000000000002</v>
      </c>
      <c r="Z53" s="1">
        <f ca="1">IFERROR(__xludf.DUMMYFUNCTION("""COMPUTED_VALUE"""),344)</f>
        <v>344</v>
      </c>
      <c r="AA53" s="1">
        <f ca="1">IFERROR(__xludf.DUMMYFUNCTION("""COMPUTED_VALUE"""),965)</f>
        <v>965</v>
      </c>
      <c r="AB53" s="1">
        <f ca="1">IFERROR(__xludf.DUMMYFUNCTION("""COMPUTED_VALUE"""),346)</f>
        <v>346</v>
      </c>
      <c r="AC53" s="1">
        <f ca="1">IFERROR(__xludf.DUMMYFUNCTION("""COMPUTED_VALUE"""),221)</f>
        <v>221</v>
      </c>
      <c r="AD53" s="1">
        <f ca="1">IFERROR(__xludf.DUMMYFUNCTION("""COMPUTED_VALUE"""),76)</f>
        <v>76</v>
      </c>
      <c r="AE53" s="1">
        <f ca="1">IFERROR(__xludf.DUMMYFUNCTION("""COMPUTED_VALUE"""),468)</f>
        <v>468</v>
      </c>
      <c r="AF53" s="1">
        <f ca="1">IFERROR(__xludf.DUMMYFUNCTION("""COMPUTED_VALUE"""),571)</f>
        <v>571</v>
      </c>
    </row>
    <row r="54" spans="1:32" ht="12.5" x14ac:dyDescent="0.25">
      <c r="A54" s="1" t="str">
        <f ca="1">IFERROR(__xludf.DUMMYFUNCTION("""COMPUTED_VALUE"""),"Central Connecticut State")</f>
        <v>Central Connecticut State</v>
      </c>
      <c r="B54" s="1">
        <f ca="1">IFERROR(__xludf.DUMMYFUNCTION("""COMPUTED_VALUE"""),31)</f>
        <v>31</v>
      </c>
      <c r="C54" s="1">
        <f ca="1">IFERROR(__xludf.DUMMYFUNCTION("""COMPUTED_VALUE"""),19)</f>
        <v>19</v>
      </c>
      <c r="D54" s="1">
        <f ca="1">IFERROR(__xludf.DUMMYFUNCTION("""COMPUTED_VALUE"""),12)</f>
        <v>12</v>
      </c>
      <c r="E54" s="1">
        <f ca="1">IFERROR(__xludf.DUMMYFUNCTION("""COMPUTED_VALUE"""),0.613)</f>
        <v>0.61299999999999999</v>
      </c>
      <c r="F54" s="1">
        <f ca="1">IFERROR(__xludf.DUMMYFUNCTION("""COMPUTED_VALUE"""),-1.94)</f>
        <v>-1.94</v>
      </c>
      <c r="G54" s="1">
        <f ca="1">IFERROR(__xludf.DUMMYFUNCTION("""COMPUTED_VALUE"""),-5.97)</f>
        <v>-5.97</v>
      </c>
      <c r="H54" s="1">
        <f ca="1">IFERROR(__xludf.DUMMYFUNCTION("""COMPUTED_VALUE"""),11)</f>
        <v>11</v>
      </c>
      <c r="I54" s="1">
        <f ca="1">IFERROR(__xludf.DUMMYFUNCTION("""COMPUTED_VALUE"""),7)</f>
        <v>7</v>
      </c>
      <c r="J54" s="1">
        <f ca="1">IFERROR(__xludf.DUMMYFUNCTION("""COMPUTED_VALUE"""),12)</f>
        <v>12</v>
      </c>
      <c r="K54" s="1">
        <f ca="1">IFERROR(__xludf.DUMMYFUNCTION("""COMPUTED_VALUE"""),2)</f>
        <v>2</v>
      </c>
      <c r="L54" s="1">
        <f ca="1">IFERROR(__xludf.DUMMYFUNCTION("""COMPUTED_VALUE"""),6)</f>
        <v>6</v>
      </c>
      <c r="M54" s="1">
        <f ca="1">IFERROR(__xludf.DUMMYFUNCTION("""COMPUTED_VALUE"""),10)</f>
        <v>10</v>
      </c>
      <c r="N54" s="1">
        <f ca="1">IFERROR(__xludf.DUMMYFUNCTION("""COMPUTED_VALUE"""),2170)</f>
        <v>2170</v>
      </c>
      <c r="O54" s="1">
        <f ca="1">IFERROR(__xludf.DUMMYFUNCTION("""COMPUTED_VALUE"""),2045)</f>
        <v>2045</v>
      </c>
      <c r="P54" s="1">
        <f ca="1">IFERROR(__xludf.DUMMYFUNCTION("""COMPUTED_VALUE"""),1255)</f>
        <v>1255</v>
      </c>
      <c r="Q54" s="1">
        <f ca="1">IFERROR(__xludf.DUMMYFUNCTION("""COMPUTED_VALUE"""),766)</f>
        <v>766</v>
      </c>
      <c r="R54" s="1">
        <f ca="1">IFERROR(__xludf.DUMMYFUNCTION("""COMPUTED_VALUE"""),1758)</f>
        <v>1758</v>
      </c>
      <c r="S54" s="1">
        <f ca="1">IFERROR(__xludf.DUMMYFUNCTION("""COMPUTED_VALUE"""),0.436)</f>
        <v>0.436</v>
      </c>
      <c r="T54" s="1">
        <f ca="1">IFERROR(__xludf.DUMMYFUNCTION("""COMPUTED_VALUE"""),152)</f>
        <v>152</v>
      </c>
      <c r="U54" s="1">
        <f ca="1">IFERROR(__xludf.DUMMYFUNCTION("""COMPUTED_VALUE"""),464)</f>
        <v>464</v>
      </c>
      <c r="V54" s="1">
        <f ca="1">IFERROR(__xludf.DUMMYFUNCTION("""COMPUTED_VALUE"""),0.328)</f>
        <v>0.32800000000000001</v>
      </c>
      <c r="W54" s="1">
        <f ca="1">IFERROR(__xludf.DUMMYFUNCTION("""COMPUTED_VALUE"""),486)</f>
        <v>486</v>
      </c>
      <c r="X54" s="1">
        <f ca="1">IFERROR(__xludf.DUMMYFUNCTION("""COMPUTED_VALUE"""),634)</f>
        <v>634</v>
      </c>
      <c r="Y54" s="1">
        <f ca="1">IFERROR(__xludf.DUMMYFUNCTION("""COMPUTED_VALUE"""),0.767)</f>
        <v>0.76700000000000002</v>
      </c>
      <c r="Z54" s="1">
        <f ca="1">IFERROR(__xludf.DUMMYFUNCTION("""COMPUTED_VALUE"""),393)</f>
        <v>393</v>
      </c>
      <c r="AA54" s="1">
        <f ca="1">IFERROR(__xludf.DUMMYFUNCTION("""COMPUTED_VALUE"""),1123)</f>
        <v>1123</v>
      </c>
      <c r="AB54" s="1">
        <f ca="1">IFERROR(__xludf.DUMMYFUNCTION("""COMPUTED_VALUE"""),452)</f>
        <v>452</v>
      </c>
      <c r="AC54" s="1">
        <f ca="1">IFERROR(__xludf.DUMMYFUNCTION("""COMPUTED_VALUE"""),233)</f>
        <v>233</v>
      </c>
      <c r="AD54" s="1">
        <f ca="1">IFERROR(__xludf.DUMMYFUNCTION("""COMPUTED_VALUE"""),121)</f>
        <v>121</v>
      </c>
      <c r="AE54" s="1">
        <f ca="1">IFERROR(__xludf.DUMMYFUNCTION("""COMPUTED_VALUE"""),447)</f>
        <v>447</v>
      </c>
      <c r="AF54" s="1">
        <f ca="1">IFERROR(__xludf.DUMMYFUNCTION("""COMPUTED_VALUE"""),548)</f>
        <v>548</v>
      </c>
    </row>
    <row r="55" spans="1:32" ht="12.5" x14ac:dyDescent="0.25">
      <c r="A55" s="1" t="str">
        <f ca="1">IFERROR(__xludf.DUMMYFUNCTION("""COMPUTED_VALUE"""),"Central Florida")</f>
        <v>Central Florida</v>
      </c>
      <c r="B55" s="1">
        <f ca="1">IFERROR(__xludf.DUMMYFUNCTION("""COMPUTED_VALUE"""),33)</f>
        <v>33</v>
      </c>
      <c r="C55" s="1">
        <f ca="1">IFERROR(__xludf.DUMMYFUNCTION("""COMPUTED_VALUE"""),21)</f>
        <v>21</v>
      </c>
      <c r="D55" s="1">
        <f ca="1">IFERROR(__xludf.DUMMYFUNCTION("""COMPUTED_VALUE"""),12)</f>
        <v>12</v>
      </c>
      <c r="E55" s="1">
        <f ca="1">IFERROR(__xludf.DUMMYFUNCTION("""COMPUTED_VALUE"""),0.636)</f>
        <v>0.63600000000000001</v>
      </c>
      <c r="F55" s="1">
        <f ca="1">IFERROR(__xludf.DUMMYFUNCTION("""COMPUTED_VALUE"""),6.25)</f>
        <v>6.25</v>
      </c>
      <c r="G55" s="1">
        <f ca="1">IFERROR(__xludf.DUMMYFUNCTION("""COMPUTED_VALUE"""),1.97)</f>
        <v>1.97</v>
      </c>
      <c r="H55" s="1">
        <f ca="1">IFERROR(__xludf.DUMMYFUNCTION("""COMPUTED_VALUE"""),6)</f>
        <v>6</v>
      </c>
      <c r="I55" s="1">
        <f ca="1">IFERROR(__xludf.DUMMYFUNCTION("""COMPUTED_VALUE"""),10)</f>
        <v>10</v>
      </c>
      <c r="J55" s="1">
        <f ca="1">IFERROR(__xludf.DUMMYFUNCTION("""COMPUTED_VALUE"""),15)</f>
        <v>15</v>
      </c>
      <c r="K55" s="1">
        <f ca="1">IFERROR(__xludf.DUMMYFUNCTION("""COMPUTED_VALUE"""),4)</f>
        <v>4</v>
      </c>
      <c r="L55" s="1">
        <f ca="1">IFERROR(__xludf.DUMMYFUNCTION("""COMPUTED_VALUE"""),4)</f>
        <v>4</v>
      </c>
      <c r="M55" s="1">
        <f ca="1">IFERROR(__xludf.DUMMYFUNCTION("""COMPUTED_VALUE"""),7)</f>
        <v>7</v>
      </c>
      <c r="N55" s="1">
        <f ca="1">IFERROR(__xludf.DUMMYFUNCTION("""COMPUTED_VALUE"""),2271)</f>
        <v>2271</v>
      </c>
      <c r="O55" s="1">
        <f ca="1">IFERROR(__xludf.DUMMYFUNCTION("""COMPUTED_VALUE"""),2080)</f>
        <v>2080</v>
      </c>
      <c r="P55" s="1">
        <f ca="1">IFERROR(__xludf.DUMMYFUNCTION("""COMPUTED_VALUE"""),1320)</f>
        <v>1320</v>
      </c>
      <c r="Q55" s="1">
        <f ca="1">IFERROR(__xludf.DUMMYFUNCTION("""COMPUTED_VALUE"""),767)</f>
        <v>767</v>
      </c>
      <c r="R55" s="1">
        <f ca="1">IFERROR(__xludf.DUMMYFUNCTION("""COMPUTED_VALUE"""),1690)</f>
        <v>1690</v>
      </c>
      <c r="S55" s="1">
        <f ca="1">IFERROR(__xludf.DUMMYFUNCTION("""COMPUTED_VALUE"""),0.454)</f>
        <v>0.45400000000000001</v>
      </c>
      <c r="T55" s="1">
        <f ca="1">IFERROR(__xludf.DUMMYFUNCTION("""COMPUTED_VALUE"""),195)</f>
        <v>195</v>
      </c>
      <c r="U55" s="1">
        <f ca="1">IFERROR(__xludf.DUMMYFUNCTION("""COMPUTED_VALUE"""),582)</f>
        <v>582</v>
      </c>
      <c r="V55" s="1">
        <f ca="1">IFERROR(__xludf.DUMMYFUNCTION("""COMPUTED_VALUE"""),0.335)</f>
        <v>0.33500000000000002</v>
      </c>
      <c r="W55" s="1">
        <f ca="1">IFERROR(__xludf.DUMMYFUNCTION("""COMPUTED_VALUE"""),542)</f>
        <v>542</v>
      </c>
      <c r="X55" s="1">
        <f ca="1">IFERROR(__xludf.DUMMYFUNCTION("""COMPUTED_VALUE"""),785)</f>
        <v>785</v>
      </c>
      <c r="Y55" s="1">
        <f ca="1">IFERROR(__xludf.DUMMYFUNCTION("""COMPUTED_VALUE"""),0.69)</f>
        <v>0.69</v>
      </c>
      <c r="Z55" s="1">
        <f ca="1">IFERROR(__xludf.DUMMYFUNCTION("""COMPUTED_VALUE"""),358)</f>
        <v>358</v>
      </c>
      <c r="AA55" s="1">
        <f ca="1">IFERROR(__xludf.DUMMYFUNCTION("""COMPUTED_VALUE"""),1153)</f>
        <v>1153</v>
      </c>
      <c r="AB55" s="1">
        <f ca="1">IFERROR(__xludf.DUMMYFUNCTION("""COMPUTED_VALUE"""),405)</f>
        <v>405</v>
      </c>
      <c r="AC55" s="1">
        <f ca="1">IFERROR(__xludf.DUMMYFUNCTION("""COMPUTED_VALUE"""),200)</f>
        <v>200</v>
      </c>
      <c r="AD55" s="1">
        <f ca="1">IFERROR(__xludf.DUMMYFUNCTION("""COMPUTED_VALUE"""),190)</f>
        <v>190</v>
      </c>
      <c r="AE55" s="1">
        <f ca="1">IFERROR(__xludf.DUMMYFUNCTION("""COMPUTED_VALUE"""),454)</f>
        <v>454</v>
      </c>
      <c r="AF55" s="1">
        <f ca="1">IFERROR(__xludf.DUMMYFUNCTION("""COMPUTED_VALUE"""),575)</f>
        <v>575</v>
      </c>
    </row>
    <row r="56" spans="1:32" ht="12.5" x14ac:dyDescent="0.25">
      <c r="A56" s="1" t="str">
        <f ca="1">IFERROR(__xludf.DUMMYFUNCTION("""COMPUTED_VALUE"""),"Central Michigan")</f>
        <v>Central Michigan</v>
      </c>
      <c r="B56" s="1">
        <f ca="1">IFERROR(__xludf.DUMMYFUNCTION("""COMPUTED_VALUE"""),31)</f>
        <v>31</v>
      </c>
      <c r="C56" s="1">
        <f ca="1">IFERROR(__xludf.DUMMYFUNCTION("""COMPUTED_VALUE"""),10)</f>
        <v>10</v>
      </c>
      <c r="D56" s="1">
        <f ca="1">IFERROR(__xludf.DUMMYFUNCTION("""COMPUTED_VALUE"""),21)</f>
        <v>21</v>
      </c>
      <c r="E56" s="1">
        <f ca="1">IFERROR(__xludf.DUMMYFUNCTION("""COMPUTED_VALUE"""),0.323)</f>
        <v>0.32300000000000001</v>
      </c>
      <c r="F56" s="1">
        <f ca="1">IFERROR(__xludf.DUMMYFUNCTION("""COMPUTED_VALUE"""),-8.01)</f>
        <v>-8.01</v>
      </c>
      <c r="G56" s="1">
        <f ca="1">IFERROR(__xludf.DUMMYFUNCTION("""COMPUTED_VALUE"""),-2.41)</f>
        <v>-2.41</v>
      </c>
      <c r="H56" s="1">
        <f ca="1">IFERROR(__xludf.DUMMYFUNCTION("""COMPUTED_VALUE"""),7)</f>
        <v>7</v>
      </c>
      <c r="I56" s="1">
        <f ca="1">IFERROR(__xludf.DUMMYFUNCTION("""COMPUTED_VALUE"""),9)</f>
        <v>9</v>
      </c>
      <c r="J56" s="1">
        <f ca="1">IFERROR(__xludf.DUMMYFUNCTION("""COMPUTED_VALUE"""),6)</f>
        <v>6</v>
      </c>
      <c r="K56" s="1">
        <f ca="1">IFERROR(__xludf.DUMMYFUNCTION("""COMPUTED_VALUE"""),7)</f>
        <v>7</v>
      </c>
      <c r="L56" s="1">
        <f ca="1">IFERROR(__xludf.DUMMYFUNCTION("""COMPUTED_VALUE"""),3)</f>
        <v>3</v>
      </c>
      <c r="M56" s="1">
        <f ca="1">IFERROR(__xludf.DUMMYFUNCTION("""COMPUTED_VALUE"""),13)</f>
        <v>13</v>
      </c>
      <c r="N56" s="1">
        <f ca="1">IFERROR(__xludf.DUMMYFUNCTION("""COMPUTED_VALUE"""),1841)</f>
        <v>1841</v>
      </c>
      <c r="O56" s="1">
        <f ca="1">IFERROR(__xludf.DUMMYFUNCTION("""COMPUTED_VALUE"""),2006)</f>
        <v>2006</v>
      </c>
      <c r="P56" s="1">
        <f ca="1">IFERROR(__xludf.DUMMYFUNCTION("""COMPUTED_VALUE"""),1255)</f>
        <v>1255</v>
      </c>
      <c r="Q56" s="1">
        <f ca="1">IFERROR(__xludf.DUMMYFUNCTION("""COMPUTED_VALUE"""),661)</f>
        <v>661</v>
      </c>
      <c r="R56" s="1">
        <f ca="1">IFERROR(__xludf.DUMMYFUNCTION("""COMPUTED_VALUE"""),1720)</f>
        <v>1720</v>
      </c>
      <c r="S56" s="1">
        <f ca="1">IFERROR(__xludf.DUMMYFUNCTION("""COMPUTED_VALUE"""),0.384)</f>
        <v>0.38400000000000001</v>
      </c>
      <c r="T56" s="1">
        <f ca="1">IFERROR(__xludf.DUMMYFUNCTION("""COMPUTED_VALUE"""),156)</f>
        <v>156</v>
      </c>
      <c r="U56" s="1">
        <f ca="1">IFERROR(__xludf.DUMMYFUNCTION("""COMPUTED_VALUE"""),479)</f>
        <v>479</v>
      </c>
      <c r="V56" s="1">
        <f ca="1">IFERROR(__xludf.DUMMYFUNCTION("""COMPUTED_VALUE"""),0.326)</f>
        <v>0.32600000000000001</v>
      </c>
      <c r="W56" s="1">
        <f ca="1">IFERROR(__xludf.DUMMYFUNCTION("""COMPUTED_VALUE"""),363)</f>
        <v>363</v>
      </c>
      <c r="X56" s="1">
        <f ca="1">IFERROR(__xludf.DUMMYFUNCTION("""COMPUTED_VALUE"""),577)</f>
        <v>577</v>
      </c>
      <c r="Y56" s="1">
        <f ca="1">IFERROR(__xludf.DUMMYFUNCTION("""COMPUTED_VALUE"""),0.629)</f>
        <v>0.629</v>
      </c>
      <c r="Z56" s="1">
        <f ca="1">IFERROR(__xludf.DUMMYFUNCTION("""COMPUTED_VALUE"""),374)</f>
        <v>374</v>
      </c>
      <c r="AA56" s="1">
        <f ca="1">IFERROR(__xludf.DUMMYFUNCTION("""COMPUTED_VALUE"""),1026)</f>
        <v>1026</v>
      </c>
      <c r="AB56" s="1">
        <f ca="1">IFERROR(__xludf.DUMMYFUNCTION("""COMPUTED_VALUE"""),272)</f>
        <v>272</v>
      </c>
      <c r="AC56" s="1">
        <f ca="1">IFERROR(__xludf.DUMMYFUNCTION("""COMPUTED_VALUE"""),223)</f>
        <v>223</v>
      </c>
      <c r="AD56" s="1">
        <f ca="1">IFERROR(__xludf.DUMMYFUNCTION("""COMPUTED_VALUE"""),112)</f>
        <v>112</v>
      </c>
      <c r="AE56" s="1">
        <f ca="1">IFERROR(__xludf.DUMMYFUNCTION("""COMPUTED_VALUE"""),419)</f>
        <v>419</v>
      </c>
      <c r="AF56" s="1">
        <f ca="1">IFERROR(__xludf.DUMMYFUNCTION("""COMPUTED_VALUE"""),665)</f>
        <v>665</v>
      </c>
    </row>
    <row r="57" spans="1:32" ht="12.5" x14ac:dyDescent="0.25">
      <c r="A57" s="1" t="str">
        <f ca="1">IFERROR(__xludf.DUMMYFUNCTION("""COMPUTED_VALUE"""),"Charleston Southern")</f>
        <v>Charleston Southern</v>
      </c>
      <c r="B57" s="1">
        <f ca="1">IFERROR(__xludf.DUMMYFUNCTION("""COMPUTED_VALUE"""),32)</f>
        <v>32</v>
      </c>
      <c r="C57" s="1">
        <f ca="1">IFERROR(__xludf.DUMMYFUNCTION("""COMPUTED_VALUE"""),16)</f>
        <v>16</v>
      </c>
      <c r="D57" s="1">
        <f ca="1">IFERROR(__xludf.DUMMYFUNCTION("""COMPUTED_VALUE"""),16)</f>
        <v>16</v>
      </c>
      <c r="E57" s="1">
        <f ca="1">IFERROR(__xludf.DUMMYFUNCTION("""COMPUTED_VALUE"""),0.5)</f>
        <v>0.5</v>
      </c>
      <c r="F57" s="1">
        <f ca="1">IFERROR(__xludf.DUMMYFUNCTION("""COMPUTED_VALUE"""),-4.86)</f>
        <v>-4.8600000000000003</v>
      </c>
      <c r="G57" s="1">
        <f ca="1">IFERROR(__xludf.DUMMYFUNCTION("""COMPUTED_VALUE"""),-4.57)</f>
        <v>-4.57</v>
      </c>
      <c r="H57" s="1">
        <f ca="1">IFERROR(__xludf.DUMMYFUNCTION("""COMPUTED_VALUE"""),9)</f>
        <v>9</v>
      </c>
      <c r="I57" s="1">
        <f ca="1">IFERROR(__xludf.DUMMYFUNCTION("""COMPUTED_VALUE"""),9)</f>
        <v>9</v>
      </c>
      <c r="J57" s="1">
        <f ca="1">IFERROR(__xludf.DUMMYFUNCTION("""COMPUTED_VALUE"""),12)</f>
        <v>12</v>
      </c>
      <c r="K57" s="1">
        <f ca="1">IFERROR(__xludf.DUMMYFUNCTION("""COMPUTED_VALUE"""),2)</f>
        <v>2</v>
      </c>
      <c r="L57" s="1">
        <f ca="1">IFERROR(__xludf.DUMMYFUNCTION("""COMPUTED_VALUE"""),3)</f>
        <v>3</v>
      </c>
      <c r="M57" s="1">
        <f ca="1">IFERROR(__xludf.DUMMYFUNCTION("""COMPUTED_VALUE"""),12)</f>
        <v>12</v>
      </c>
      <c r="N57" s="1">
        <f ca="1">IFERROR(__xludf.DUMMYFUNCTION("""COMPUTED_VALUE"""),2362)</f>
        <v>2362</v>
      </c>
      <c r="O57" s="1">
        <f ca="1">IFERROR(__xludf.DUMMYFUNCTION("""COMPUTED_VALUE"""),2197)</f>
        <v>2197</v>
      </c>
      <c r="P57" s="1">
        <f ca="1">IFERROR(__xludf.DUMMYFUNCTION("""COMPUTED_VALUE"""),1285)</f>
        <v>1285</v>
      </c>
      <c r="Q57" s="1">
        <f ca="1">IFERROR(__xludf.DUMMYFUNCTION("""COMPUTED_VALUE"""),849)</f>
        <v>849</v>
      </c>
      <c r="R57" s="1">
        <f ca="1">IFERROR(__xludf.DUMMYFUNCTION("""COMPUTED_VALUE"""),1898)</f>
        <v>1898</v>
      </c>
      <c r="S57" s="1">
        <f ca="1">IFERROR(__xludf.DUMMYFUNCTION("""COMPUTED_VALUE"""),0.447)</f>
        <v>0.44700000000000001</v>
      </c>
      <c r="T57" s="1">
        <f ca="1">IFERROR(__xludf.DUMMYFUNCTION("""COMPUTED_VALUE"""),208)</f>
        <v>208</v>
      </c>
      <c r="U57" s="1">
        <f ca="1">IFERROR(__xludf.DUMMYFUNCTION("""COMPUTED_VALUE"""),573)</f>
        <v>573</v>
      </c>
      <c r="V57" s="1">
        <f ca="1">IFERROR(__xludf.DUMMYFUNCTION("""COMPUTED_VALUE"""),0.363)</f>
        <v>0.36299999999999999</v>
      </c>
      <c r="W57" s="1">
        <f ca="1">IFERROR(__xludf.DUMMYFUNCTION("""COMPUTED_VALUE"""),456)</f>
        <v>456</v>
      </c>
      <c r="X57" s="1">
        <f ca="1">IFERROR(__xludf.DUMMYFUNCTION("""COMPUTED_VALUE"""),604)</f>
        <v>604</v>
      </c>
      <c r="Y57" s="1">
        <f ca="1">IFERROR(__xludf.DUMMYFUNCTION("""COMPUTED_VALUE"""),0.755)</f>
        <v>0.755</v>
      </c>
      <c r="Z57" s="1">
        <f ca="1">IFERROR(__xludf.DUMMYFUNCTION("""COMPUTED_VALUE"""),422)</f>
        <v>422</v>
      </c>
      <c r="AA57" s="1">
        <f ca="1">IFERROR(__xludf.DUMMYFUNCTION("""COMPUTED_VALUE"""),1177)</f>
        <v>1177</v>
      </c>
      <c r="AB57" s="1">
        <f ca="1">IFERROR(__xludf.DUMMYFUNCTION("""COMPUTED_VALUE"""),401)</f>
        <v>401</v>
      </c>
      <c r="AC57" s="1">
        <f ca="1">IFERROR(__xludf.DUMMYFUNCTION("""COMPUTED_VALUE"""),276)</f>
        <v>276</v>
      </c>
      <c r="AD57" s="1">
        <f ca="1">IFERROR(__xludf.DUMMYFUNCTION("""COMPUTED_VALUE"""),98)</f>
        <v>98</v>
      </c>
      <c r="AE57" s="1">
        <f ca="1">IFERROR(__xludf.DUMMYFUNCTION("""COMPUTED_VALUE"""),455)</f>
        <v>455</v>
      </c>
      <c r="AF57" s="1">
        <f ca="1">IFERROR(__xludf.DUMMYFUNCTION("""COMPUTED_VALUE"""),587)</f>
        <v>587</v>
      </c>
    </row>
    <row r="58" spans="1:32" ht="12.5" x14ac:dyDescent="0.25">
      <c r="A58" s="1" t="str">
        <f ca="1">IFERROR(__xludf.DUMMYFUNCTION("""COMPUTED_VALUE"""),"Charlotte")</f>
        <v>Charlotte</v>
      </c>
      <c r="B58" s="1">
        <f ca="1">IFERROR(__xludf.DUMMYFUNCTION("""COMPUTED_VALUE"""),30)</f>
        <v>30</v>
      </c>
      <c r="C58" s="1">
        <f ca="1">IFERROR(__xludf.DUMMYFUNCTION("""COMPUTED_VALUE"""),10)</f>
        <v>10</v>
      </c>
      <c r="D58" s="1">
        <f ca="1">IFERROR(__xludf.DUMMYFUNCTION("""COMPUTED_VALUE"""),20)</f>
        <v>20</v>
      </c>
      <c r="E58" s="1">
        <f ca="1">IFERROR(__xludf.DUMMYFUNCTION("""COMPUTED_VALUE"""),0.333)</f>
        <v>0.33300000000000002</v>
      </c>
      <c r="F58" s="1">
        <f ca="1">IFERROR(__xludf.DUMMYFUNCTION("""COMPUTED_VALUE"""),-2.54)</f>
        <v>-2.54</v>
      </c>
      <c r="G58" s="1">
        <f ca="1">IFERROR(__xludf.DUMMYFUNCTION("""COMPUTED_VALUE"""),1.89)</f>
        <v>1.89</v>
      </c>
      <c r="H58" s="1">
        <f ca="1">IFERROR(__xludf.DUMMYFUNCTION("""COMPUTED_VALUE"""),2)</f>
        <v>2</v>
      </c>
      <c r="I58" s="1">
        <f ca="1">IFERROR(__xludf.DUMMYFUNCTION("""COMPUTED_VALUE"""),14)</f>
        <v>14</v>
      </c>
      <c r="J58" s="1">
        <f ca="1">IFERROR(__xludf.DUMMYFUNCTION("""COMPUTED_VALUE"""),6)</f>
        <v>6</v>
      </c>
      <c r="K58" s="1">
        <f ca="1">IFERROR(__xludf.DUMMYFUNCTION("""COMPUTED_VALUE"""),7)</f>
        <v>7</v>
      </c>
      <c r="L58" s="1">
        <f ca="1">IFERROR(__xludf.DUMMYFUNCTION("""COMPUTED_VALUE"""),2)</f>
        <v>2</v>
      </c>
      <c r="M58" s="1">
        <f ca="1">IFERROR(__xludf.DUMMYFUNCTION("""COMPUTED_VALUE"""),11)</f>
        <v>11</v>
      </c>
      <c r="N58" s="1">
        <f ca="1">IFERROR(__xludf.DUMMYFUNCTION("""COMPUTED_VALUE"""),1997)</f>
        <v>1997</v>
      </c>
      <c r="O58" s="1">
        <f ca="1">IFERROR(__xludf.DUMMYFUNCTION("""COMPUTED_VALUE"""),2130)</f>
        <v>2130</v>
      </c>
      <c r="P58" s="1">
        <f ca="1">IFERROR(__xludf.DUMMYFUNCTION("""COMPUTED_VALUE"""),1250)</f>
        <v>1250</v>
      </c>
      <c r="Q58" s="1">
        <f ca="1">IFERROR(__xludf.DUMMYFUNCTION("""COMPUTED_VALUE"""),674)</f>
        <v>674</v>
      </c>
      <c r="R58" s="1">
        <f ca="1">IFERROR(__xludf.DUMMYFUNCTION("""COMPUTED_VALUE"""),1629)</f>
        <v>1629</v>
      </c>
      <c r="S58" s="1">
        <f ca="1">IFERROR(__xludf.DUMMYFUNCTION("""COMPUTED_VALUE"""),0.414)</f>
        <v>0.41399999999999998</v>
      </c>
      <c r="T58" s="1">
        <f ca="1">IFERROR(__xludf.DUMMYFUNCTION("""COMPUTED_VALUE"""),202)</f>
        <v>202</v>
      </c>
      <c r="U58" s="1">
        <f ca="1">IFERROR(__xludf.DUMMYFUNCTION("""COMPUTED_VALUE"""),606)</f>
        <v>606</v>
      </c>
      <c r="V58" s="1">
        <f ca="1">IFERROR(__xludf.DUMMYFUNCTION("""COMPUTED_VALUE"""),0.333)</f>
        <v>0.33300000000000002</v>
      </c>
      <c r="W58" s="1">
        <f ca="1">IFERROR(__xludf.DUMMYFUNCTION("""COMPUTED_VALUE"""),447)</f>
        <v>447</v>
      </c>
      <c r="X58" s="1">
        <f ca="1">IFERROR(__xludf.DUMMYFUNCTION("""COMPUTED_VALUE"""),613)</f>
        <v>613</v>
      </c>
      <c r="Y58" s="1">
        <f ca="1">IFERROR(__xludf.DUMMYFUNCTION("""COMPUTED_VALUE"""),0.729)</f>
        <v>0.72899999999999998</v>
      </c>
      <c r="Z58" s="1">
        <f ca="1">IFERROR(__xludf.DUMMYFUNCTION("""COMPUTED_VALUE"""),326)</f>
        <v>326</v>
      </c>
      <c r="AA58" s="1">
        <f ca="1">IFERROR(__xludf.DUMMYFUNCTION("""COMPUTED_VALUE"""),1057)</f>
        <v>1057</v>
      </c>
      <c r="AB58" s="1">
        <f ca="1">IFERROR(__xludf.DUMMYFUNCTION("""COMPUTED_VALUE"""),353)</f>
        <v>353</v>
      </c>
      <c r="AC58" s="1">
        <f ca="1">IFERROR(__xludf.DUMMYFUNCTION("""COMPUTED_VALUE"""),193)</f>
        <v>193</v>
      </c>
      <c r="AD58" s="1">
        <f ca="1">IFERROR(__xludf.DUMMYFUNCTION("""COMPUTED_VALUE"""),96)</f>
        <v>96</v>
      </c>
      <c r="AE58" s="1">
        <f ca="1">IFERROR(__xludf.DUMMYFUNCTION("""COMPUTED_VALUE"""),447)</f>
        <v>447</v>
      </c>
      <c r="AF58" s="1">
        <f ca="1">IFERROR(__xludf.DUMMYFUNCTION("""COMPUTED_VALUE"""),529)</f>
        <v>529</v>
      </c>
    </row>
    <row r="59" spans="1:32" ht="12.5" x14ac:dyDescent="0.25">
      <c r="A59" s="1" t="str">
        <f ca="1">IFERROR(__xludf.DUMMYFUNCTION("""COMPUTED_VALUE"""),"Chattanooga")</f>
        <v>Chattanooga</v>
      </c>
      <c r="B59" s="1">
        <f ca="1">IFERROR(__xludf.DUMMYFUNCTION("""COMPUTED_VALUE"""),32)</f>
        <v>32</v>
      </c>
      <c r="C59" s="1">
        <f ca="1">IFERROR(__xludf.DUMMYFUNCTION("""COMPUTED_VALUE"""),16)</f>
        <v>16</v>
      </c>
      <c r="D59" s="1">
        <f ca="1">IFERROR(__xludf.DUMMYFUNCTION("""COMPUTED_VALUE"""),16)</f>
        <v>16</v>
      </c>
      <c r="E59" s="1">
        <f ca="1">IFERROR(__xludf.DUMMYFUNCTION("""COMPUTED_VALUE"""),0.5)</f>
        <v>0.5</v>
      </c>
      <c r="F59" s="1">
        <f ca="1">IFERROR(__xludf.DUMMYFUNCTION("""COMPUTED_VALUE"""),-9.44)</f>
        <v>-9.44</v>
      </c>
      <c r="G59" s="1">
        <f ca="1">IFERROR(__xludf.DUMMYFUNCTION("""COMPUTED_VALUE"""),-2.67)</f>
        <v>-2.67</v>
      </c>
      <c r="H59" s="1">
        <f ca="1">IFERROR(__xludf.DUMMYFUNCTION("""COMPUTED_VALUE"""),12)</f>
        <v>12</v>
      </c>
      <c r="I59" s="1">
        <f ca="1">IFERROR(__xludf.DUMMYFUNCTION("""COMPUTED_VALUE"""),6)</f>
        <v>6</v>
      </c>
      <c r="J59" s="1">
        <f ca="1">IFERROR(__xludf.DUMMYFUNCTION("""COMPUTED_VALUE"""),10)</f>
        <v>10</v>
      </c>
      <c r="K59" s="1">
        <f ca="1">IFERROR(__xludf.DUMMYFUNCTION("""COMPUTED_VALUE"""),6)</f>
        <v>6</v>
      </c>
      <c r="L59" s="1">
        <f ca="1">IFERROR(__xludf.DUMMYFUNCTION("""COMPUTED_VALUE"""),6)</f>
        <v>6</v>
      </c>
      <c r="M59" s="1">
        <f ca="1">IFERROR(__xludf.DUMMYFUNCTION("""COMPUTED_VALUE"""),10)</f>
        <v>10</v>
      </c>
      <c r="N59" s="1">
        <f ca="1">IFERROR(__xludf.DUMMYFUNCTION("""COMPUTED_VALUE"""),2274)</f>
        <v>2274</v>
      </c>
      <c r="O59" s="1">
        <f ca="1">IFERROR(__xludf.DUMMYFUNCTION("""COMPUTED_VALUE"""),2380)</f>
        <v>2380</v>
      </c>
      <c r="P59" s="1">
        <f ca="1">IFERROR(__xludf.DUMMYFUNCTION("""COMPUTED_VALUE"""),1295)</f>
        <v>1295</v>
      </c>
      <c r="Q59" s="1">
        <f ca="1">IFERROR(__xludf.DUMMYFUNCTION("""COMPUTED_VALUE"""),761)</f>
        <v>761</v>
      </c>
      <c r="R59" s="1">
        <f ca="1">IFERROR(__xludf.DUMMYFUNCTION("""COMPUTED_VALUE"""),1827)</f>
        <v>1827</v>
      </c>
      <c r="S59" s="1">
        <f ca="1">IFERROR(__xludf.DUMMYFUNCTION("""COMPUTED_VALUE"""),0.417)</f>
        <v>0.41699999999999998</v>
      </c>
      <c r="T59" s="1">
        <f ca="1">IFERROR(__xludf.DUMMYFUNCTION("""COMPUTED_VALUE"""),272)</f>
        <v>272</v>
      </c>
      <c r="U59" s="1">
        <f ca="1">IFERROR(__xludf.DUMMYFUNCTION("""COMPUTED_VALUE"""),846)</f>
        <v>846</v>
      </c>
      <c r="V59" s="1">
        <f ca="1">IFERROR(__xludf.DUMMYFUNCTION("""COMPUTED_VALUE"""),0.322)</f>
        <v>0.32200000000000001</v>
      </c>
      <c r="W59" s="1">
        <f ca="1">IFERROR(__xludf.DUMMYFUNCTION("""COMPUTED_VALUE"""),480)</f>
        <v>480</v>
      </c>
      <c r="X59" s="1">
        <f ca="1">IFERROR(__xludf.DUMMYFUNCTION("""COMPUTED_VALUE"""),740)</f>
        <v>740</v>
      </c>
      <c r="Y59" s="1">
        <f ca="1">IFERROR(__xludf.DUMMYFUNCTION("""COMPUTED_VALUE"""),0.649)</f>
        <v>0.64900000000000002</v>
      </c>
      <c r="Z59" s="1">
        <f ca="1">IFERROR(__xludf.DUMMYFUNCTION("""COMPUTED_VALUE"""),373)</f>
        <v>373</v>
      </c>
      <c r="AA59" s="1">
        <f ca="1">IFERROR(__xludf.DUMMYFUNCTION("""COMPUTED_VALUE"""),1232)</f>
        <v>1232</v>
      </c>
      <c r="AB59" s="1">
        <f ca="1">IFERROR(__xludf.DUMMYFUNCTION("""COMPUTED_VALUE"""),447)</f>
        <v>447</v>
      </c>
      <c r="AC59" s="1">
        <f ca="1">IFERROR(__xludf.DUMMYFUNCTION("""COMPUTED_VALUE"""),163)</f>
        <v>163</v>
      </c>
      <c r="AD59" s="1">
        <f ca="1">IFERROR(__xludf.DUMMYFUNCTION("""COMPUTED_VALUE"""),47)</f>
        <v>47</v>
      </c>
      <c r="AE59" s="1">
        <f ca="1">IFERROR(__xludf.DUMMYFUNCTION("""COMPUTED_VALUE"""),484)</f>
        <v>484</v>
      </c>
      <c r="AF59" s="1">
        <f ca="1">IFERROR(__xludf.DUMMYFUNCTION("""COMPUTED_VALUE"""),593)</f>
        <v>593</v>
      </c>
    </row>
    <row r="60" spans="1:32" ht="12.5" x14ac:dyDescent="0.25">
      <c r="A60" s="1" t="str">
        <f ca="1">IFERROR(__xludf.DUMMYFUNCTION("""COMPUTED_VALUE"""),"Chicago State")</f>
        <v>Chicago State</v>
      </c>
      <c r="B60" s="1">
        <f ca="1">IFERROR(__xludf.DUMMYFUNCTION("""COMPUTED_VALUE"""),32)</f>
        <v>32</v>
      </c>
      <c r="C60" s="1">
        <f ca="1">IFERROR(__xludf.DUMMYFUNCTION("""COMPUTED_VALUE"""),6)</f>
        <v>6</v>
      </c>
      <c r="D60" s="1">
        <f ca="1">IFERROR(__xludf.DUMMYFUNCTION("""COMPUTED_VALUE"""),26)</f>
        <v>26</v>
      </c>
      <c r="E60" s="1">
        <f ca="1">IFERROR(__xludf.DUMMYFUNCTION("""COMPUTED_VALUE"""),0.188)</f>
        <v>0.188</v>
      </c>
      <c r="F60" s="1">
        <f ca="1">IFERROR(__xludf.DUMMYFUNCTION("""COMPUTED_VALUE"""),-27.71)</f>
        <v>-27.71</v>
      </c>
      <c r="G60" s="1">
        <f ca="1">IFERROR(__xludf.DUMMYFUNCTION("""COMPUTED_VALUE"""),-4.88)</f>
        <v>-4.88</v>
      </c>
      <c r="H60" s="1">
        <f ca="1">IFERROR(__xludf.DUMMYFUNCTION("""COMPUTED_VALUE"""),3)</f>
        <v>3</v>
      </c>
      <c r="I60" s="1">
        <f ca="1">IFERROR(__xludf.DUMMYFUNCTION("""COMPUTED_VALUE"""),9)</f>
        <v>9</v>
      </c>
      <c r="J60" s="1">
        <f ca="1">IFERROR(__xludf.DUMMYFUNCTION("""COMPUTED_VALUE"""),4)</f>
        <v>4</v>
      </c>
      <c r="K60" s="1">
        <f ca="1">IFERROR(__xludf.DUMMYFUNCTION("""COMPUTED_VALUE"""),6)</f>
        <v>6</v>
      </c>
      <c r="L60" s="1">
        <f ca="1">IFERROR(__xludf.DUMMYFUNCTION("""COMPUTED_VALUE"""),1)</f>
        <v>1</v>
      </c>
      <c r="M60" s="1">
        <f ca="1">IFERROR(__xludf.DUMMYFUNCTION("""COMPUTED_VALUE"""),17)</f>
        <v>17</v>
      </c>
      <c r="N60" s="1">
        <f ca="1">IFERROR(__xludf.DUMMYFUNCTION("""COMPUTED_VALUE"""),2128)</f>
        <v>2128</v>
      </c>
      <c r="O60" s="1">
        <f ca="1">IFERROR(__xludf.DUMMYFUNCTION("""COMPUTED_VALUE"""),2772)</f>
        <v>2772</v>
      </c>
      <c r="P60" s="1">
        <f ca="1">IFERROR(__xludf.DUMMYFUNCTION("""COMPUTED_VALUE"""),1295)</f>
        <v>1295</v>
      </c>
      <c r="Q60" s="1">
        <f ca="1">IFERROR(__xludf.DUMMYFUNCTION("""COMPUTED_VALUE"""),759)</f>
        <v>759</v>
      </c>
      <c r="R60" s="1">
        <f ca="1">IFERROR(__xludf.DUMMYFUNCTION("""COMPUTED_VALUE"""),1893)</f>
        <v>1893</v>
      </c>
      <c r="S60" s="1">
        <f ca="1">IFERROR(__xludf.DUMMYFUNCTION("""COMPUTED_VALUE"""),0.401)</f>
        <v>0.40100000000000002</v>
      </c>
      <c r="T60" s="1">
        <f ca="1">IFERROR(__xludf.DUMMYFUNCTION("""COMPUTED_VALUE"""),145)</f>
        <v>145</v>
      </c>
      <c r="U60" s="1">
        <f ca="1">IFERROR(__xludf.DUMMYFUNCTION("""COMPUTED_VALUE"""),491)</f>
        <v>491</v>
      </c>
      <c r="V60" s="1">
        <f ca="1">IFERROR(__xludf.DUMMYFUNCTION("""COMPUTED_VALUE"""),0.295)</f>
        <v>0.29499999999999998</v>
      </c>
      <c r="W60" s="1">
        <f ca="1">IFERROR(__xludf.DUMMYFUNCTION("""COMPUTED_VALUE"""),465)</f>
        <v>465</v>
      </c>
      <c r="X60" s="1">
        <f ca="1">IFERROR(__xludf.DUMMYFUNCTION("""COMPUTED_VALUE"""),718)</f>
        <v>718</v>
      </c>
      <c r="Y60" s="1">
        <f ca="1">IFERROR(__xludf.DUMMYFUNCTION("""COMPUTED_VALUE"""),0.648)</f>
        <v>0.64800000000000002</v>
      </c>
      <c r="Z60" s="1">
        <f ca="1">IFERROR(__xludf.DUMMYFUNCTION("""COMPUTED_VALUE"""),362)</f>
        <v>362</v>
      </c>
      <c r="AA60" s="1">
        <f ca="1">IFERROR(__xludf.DUMMYFUNCTION("""COMPUTED_VALUE"""),1137)</f>
        <v>1137</v>
      </c>
      <c r="AB60" s="1">
        <f ca="1">IFERROR(__xludf.DUMMYFUNCTION("""COMPUTED_VALUE"""),392)</f>
        <v>392</v>
      </c>
      <c r="AC60" s="1">
        <f ca="1">IFERROR(__xludf.DUMMYFUNCTION("""COMPUTED_VALUE"""),206)</f>
        <v>206</v>
      </c>
      <c r="AD60" s="1">
        <f ca="1">IFERROR(__xludf.DUMMYFUNCTION("""COMPUTED_VALUE"""),81)</f>
        <v>81</v>
      </c>
      <c r="AE60" s="1">
        <f ca="1">IFERROR(__xludf.DUMMYFUNCTION("""COMPUTED_VALUE"""),550)</f>
        <v>550</v>
      </c>
      <c r="AF60" s="1">
        <f ca="1">IFERROR(__xludf.DUMMYFUNCTION("""COMPUTED_VALUE"""),764)</f>
        <v>764</v>
      </c>
    </row>
    <row r="61" spans="1:32" ht="12.5" x14ac:dyDescent="0.25">
      <c r="A61" s="1" t="str">
        <f ca="1">IFERROR(__xludf.DUMMYFUNCTION("""COMPUTED_VALUE"""),"CincinnatiNCAA")</f>
        <v>CincinnatiNCAA</v>
      </c>
      <c r="B61" s="1">
        <f ca="1">IFERROR(__xludf.DUMMYFUNCTION("""COMPUTED_VALUE"""),35)</f>
        <v>35</v>
      </c>
      <c r="C61" s="1">
        <f ca="1">IFERROR(__xludf.DUMMYFUNCTION("""COMPUTED_VALUE"""),26)</f>
        <v>26</v>
      </c>
      <c r="D61" s="1">
        <f ca="1">IFERROR(__xludf.DUMMYFUNCTION("""COMPUTED_VALUE"""),9)</f>
        <v>9</v>
      </c>
      <c r="E61" s="1">
        <f ca="1">IFERROR(__xludf.DUMMYFUNCTION("""COMPUTED_VALUE"""),0.743)</f>
        <v>0.74299999999999999</v>
      </c>
      <c r="F61" s="1">
        <f ca="1">IFERROR(__xludf.DUMMYFUNCTION("""COMPUTED_VALUE"""),15.41)</f>
        <v>15.41</v>
      </c>
      <c r="G61" s="1">
        <f ca="1">IFERROR(__xludf.DUMMYFUNCTION("""COMPUTED_VALUE"""),6.1)</f>
        <v>6.1</v>
      </c>
      <c r="H61" s="1">
        <f ca="1">IFERROR(__xludf.DUMMYFUNCTION("""COMPUTED_VALUE"""),11)</f>
        <v>11</v>
      </c>
      <c r="I61" s="1">
        <f ca="1">IFERROR(__xludf.DUMMYFUNCTION("""COMPUTED_VALUE"""),7)</f>
        <v>7</v>
      </c>
      <c r="J61" s="1">
        <f ca="1">IFERROR(__xludf.DUMMYFUNCTION("""COMPUTED_VALUE"""),15)</f>
        <v>15</v>
      </c>
      <c r="K61" s="1">
        <f ca="1">IFERROR(__xludf.DUMMYFUNCTION("""COMPUTED_VALUE"""),3)</f>
        <v>3</v>
      </c>
      <c r="L61" s="1">
        <f ca="1">IFERROR(__xludf.DUMMYFUNCTION("""COMPUTED_VALUE"""),7)</f>
        <v>7</v>
      </c>
      <c r="M61" s="1">
        <f ca="1">IFERROR(__xludf.DUMMYFUNCTION("""COMPUTED_VALUE"""),4)</f>
        <v>4</v>
      </c>
      <c r="N61" s="1">
        <f ca="1">IFERROR(__xludf.DUMMYFUNCTION("""COMPUTED_VALUE"""),2412)</f>
        <v>2412</v>
      </c>
      <c r="O61" s="1">
        <f ca="1">IFERROR(__xludf.DUMMYFUNCTION("""COMPUTED_VALUE"""),2086)</f>
        <v>2086</v>
      </c>
      <c r="P61" s="1">
        <f ca="1">IFERROR(__xludf.DUMMYFUNCTION("""COMPUTED_VALUE"""),1405)</f>
        <v>1405</v>
      </c>
      <c r="Q61" s="1">
        <f ca="1">IFERROR(__xludf.DUMMYFUNCTION("""COMPUTED_VALUE"""),848)</f>
        <v>848</v>
      </c>
      <c r="R61" s="1">
        <f ca="1">IFERROR(__xludf.DUMMYFUNCTION("""COMPUTED_VALUE"""),1939)</f>
        <v>1939</v>
      </c>
      <c r="S61" s="1">
        <f ca="1">IFERROR(__xludf.DUMMYFUNCTION("""COMPUTED_VALUE"""),0.437)</f>
        <v>0.437</v>
      </c>
      <c r="T61" s="1">
        <f ca="1">IFERROR(__xludf.DUMMYFUNCTION("""COMPUTED_VALUE"""),220)</f>
        <v>220</v>
      </c>
      <c r="U61" s="1">
        <f ca="1">IFERROR(__xludf.DUMMYFUNCTION("""COMPUTED_VALUE"""),651)</f>
        <v>651</v>
      </c>
      <c r="V61" s="1">
        <f ca="1">IFERROR(__xludf.DUMMYFUNCTION("""COMPUTED_VALUE"""),0.338)</f>
        <v>0.33800000000000002</v>
      </c>
      <c r="W61" s="1">
        <f ca="1">IFERROR(__xludf.DUMMYFUNCTION("""COMPUTED_VALUE"""),496)</f>
        <v>496</v>
      </c>
      <c r="X61" s="1">
        <f ca="1">IFERROR(__xludf.DUMMYFUNCTION("""COMPUTED_VALUE"""),742)</f>
        <v>742</v>
      </c>
      <c r="Y61" s="1">
        <f ca="1">IFERROR(__xludf.DUMMYFUNCTION("""COMPUTED_VALUE"""),0.668)</f>
        <v>0.66800000000000004</v>
      </c>
      <c r="Z61" s="1">
        <f ca="1">IFERROR(__xludf.DUMMYFUNCTION("""COMPUTED_VALUE"""),454)</f>
        <v>454</v>
      </c>
      <c r="AA61" s="1">
        <f ca="1">IFERROR(__xludf.DUMMYFUNCTION("""COMPUTED_VALUE"""),1237)</f>
        <v>1237</v>
      </c>
      <c r="AB61" s="1">
        <f ca="1">IFERROR(__xludf.DUMMYFUNCTION("""COMPUTED_VALUE"""),497)</f>
        <v>497</v>
      </c>
      <c r="AC61" s="1">
        <f ca="1">IFERROR(__xludf.DUMMYFUNCTION("""COMPUTED_VALUE"""),258)</f>
        <v>258</v>
      </c>
      <c r="AD61" s="1">
        <f ca="1">IFERROR(__xludf.DUMMYFUNCTION("""COMPUTED_VALUE"""),129)</f>
        <v>129</v>
      </c>
      <c r="AE61" s="1">
        <f ca="1">IFERROR(__xludf.DUMMYFUNCTION("""COMPUTED_VALUE"""),401)</f>
        <v>401</v>
      </c>
      <c r="AF61" s="1">
        <f ca="1">IFERROR(__xludf.DUMMYFUNCTION("""COMPUTED_VALUE"""),605)</f>
        <v>605</v>
      </c>
    </row>
    <row r="62" spans="1:32" ht="12.5" x14ac:dyDescent="0.25">
      <c r="A62" s="1" t="str">
        <f ca="1">IFERROR(__xludf.DUMMYFUNCTION("""COMPUTED_VALUE"""),"Citadel")</f>
        <v>Citadel</v>
      </c>
      <c r="B62" s="1">
        <f ca="1">IFERROR(__xludf.DUMMYFUNCTION("""COMPUTED_VALUE"""),32)</f>
        <v>32</v>
      </c>
      <c r="C62" s="1">
        <f ca="1">IFERROR(__xludf.DUMMYFUNCTION("""COMPUTED_VALUE"""),10)</f>
        <v>10</v>
      </c>
      <c r="D62" s="1">
        <f ca="1">IFERROR(__xludf.DUMMYFUNCTION("""COMPUTED_VALUE"""),22)</f>
        <v>22</v>
      </c>
      <c r="E62" s="1">
        <f ca="1">IFERROR(__xludf.DUMMYFUNCTION("""COMPUTED_VALUE"""),0.313)</f>
        <v>0.313</v>
      </c>
      <c r="F62" s="1">
        <f ca="1">IFERROR(__xludf.DUMMYFUNCTION("""COMPUTED_VALUE"""),-9.84)</f>
        <v>-9.84</v>
      </c>
      <c r="G62" s="1">
        <f ca="1">IFERROR(__xludf.DUMMYFUNCTION("""COMPUTED_VALUE"""),-2.84)</f>
        <v>-2.84</v>
      </c>
      <c r="H62" s="1">
        <f ca="1">IFERROR(__xludf.DUMMYFUNCTION("""COMPUTED_VALUE"""),6)</f>
        <v>6</v>
      </c>
      <c r="I62" s="1">
        <f ca="1">IFERROR(__xludf.DUMMYFUNCTION("""COMPUTED_VALUE"""),12)</f>
        <v>12</v>
      </c>
      <c r="J62" s="1">
        <f ca="1">IFERROR(__xludf.DUMMYFUNCTION("""COMPUTED_VALUE"""),6)</f>
        <v>6</v>
      </c>
      <c r="K62" s="1">
        <f ca="1">IFERROR(__xludf.DUMMYFUNCTION("""COMPUTED_VALUE"""),8)</f>
        <v>8</v>
      </c>
      <c r="L62" s="1">
        <f ca="1">IFERROR(__xludf.DUMMYFUNCTION("""COMPUTED_VALUE"""),3)</f>
        <v>3</v>
      </c>
      <c r="M62" s="1">
        <f ca="1">IFERROR(__xludf.DUMMYFUNCTION("""COMPUTED_VALUE"""),12)</f>
        <v>12</v>
      </c>
      <c r="N62" s="1">
        <f ca="1">IFERROR(__xludf.DUMMYFUNCTION("""COMPUTED_VALUE"""),2049)</f>
        <v>2049</v>
      </c>
      <c r="O62" s="1">
        <f ca="1">IFERROR(__xludf.DUMMYFUNCTION("""COMPUTED_VALUE"""),2237)</f>
        <v>2237</v>
      </c>
      <c r="P62" s="1">
        <f ca="1">IFERROR(__xludf.DUMMYFUNCTION("""COMPUTED_VALUE"""),1285)</f>
        <v>1285</v>
      </c>
      <c r="Q62" s="1">
        <f ca="1">IFERROR(__xludf.DUMMYFUNCTION("""COMPUTED_VALUE"""),752)</f>
        <v>752</v>
      </c>
      <c r="R62" s="1">
        <f ca="1">IFERROR(__xludf.DUMMYFUNCTION("""COMPUTED_VALUE"""),1758)</f>
        <v>1758</v>
      </c>
      <c r="S62" s="1">
        <f ca="1">IFERROR(__xludf.DUMMYFUNCTION("""COMPUTED_VALUE"""),0.428)</f>
        <v>0.42799999999999999</v>
      </c>
      <c r="T62" s="1">
        <f ca="1">IFERROR(__xludf.DUMMYFUNCTION("""COMPUTED_VALUE"""),157)</f>
        <v>157</v>
      </c>
      <c r="U62" s="1">
        <f ca="1">IFERROR(__xludf.DUMMYFUNCTION("""COMPUTED_VALUE"""),488)</f>
        <v>488</v>
      </c>
      <c r="V62" s="1">
        <f ca="1">IFERROR(__xludf.DUMMYFUNCTION("""COMPUTED_VALUE"""),0.322)</f>
        <v>0.32200000000000001</v>
      </c>
      <c r="W62" s="1">
        <f ca="1">IFERROR(__xludf.DUMMYFUNCTION("""COMPUTED_VALUE"""),388)</f>
        <v>388</v>
      </c>
      <c r="X62" s="1">
        <f ca="1">IFERROR(__xludf.DUMMYFUNCTION("""COMPUTED_VALUE"""),542)</f>
        <v>542</v>
      </c>
      <c r="Y62" s="1">
        <f ca="1">IFERROR(__xludf.DUMMYFUNCTION("""COMPUTED_VALUE"""),0.716)</f>
        <v>0.71599999999999997</v>
      </c>
      <c r="Z62" s="1">
        <f ca="1">IFERROR(__xludf.DUMMYFUNCTION("""COMPUTED_VALUE"""),361)</f>
        <v>361</v>
      </c>
      <c r="AA62" s="1">
        <f ca="1">IFERROR(__xludf.DUMMYFUNCTION("""COMPUTED_VALUE"""),1120)</f>
        <v>1120</v>
      </c>
      <c r="AB62" s="1">
        <f ca="1">IFERROR(__xludf.DUMMYFUNCTION("""COMPUTED_VALUE"""),402)</f>
        <v>402</v>
      </c>
      <c r="AC62" s="1">
        <f ca="1">IFERROR(__xludf.DUMMYFUNCTION("""COMPUTED_VALUE"""),151)</f>
        <v>151</v>
      </c>
      <c r="AD62" s="1">
        <f ca="1">IFERROR(__xludf.DUMMYFUNCTION("""COMPUTED_VALUE"""),47)</f>
        <v>47</v>
      </c>
      <c r="AE62" s="1">
        <f ca="1">IFERROR(__xludf.DUMMYFUNCTION("""COMPUTED_VALUE"""),406)</f>
        <v>406</v>
      </c>
      <c r="AF62" s="1">
        <f ca="1">IFERROR(__xludf.DUMMYFUNCTION("""COMPUTED_VALUE"""),529)</f>
        <v>529</v>
      </c>
    </row>
    <row r="63" spans="1:32" ht="12.5" x14ac:dyDescent="0.25">
      <c r="A63" s="1" t="str">
        <f ca="1">IFERROR(__xludf.DUMMYFUNCTION("""COMPUTED_VALUE"""),"ClemsonNCAA")</f>
        <v>ClemsonNCAA</v>
      </c>
      <c r="B63" s="1">
        <f ca="1">IFERROR(__xludf.DUMMYFUNCTION("""COMPUTED_VALUE"""),34)</f>
        <v>34</v>
      </c>
      <c r="C63" s="1">
        <f ca="1">IFERROR(__xludf.DUMMYFUNCTION("""COMPUTED_VALUE"""),22)</f>
        <v>22</v>
      </c>
      <c r="D63" s="1">
        <f ca="1">IFERROR(__xludf.DUMMYFUNCTION("""COMPUTED_VALUE"""),12)</f>
        <v>12</v>
      </c>
      <c r="E63" s="1">
        <f ca="1">IFERROR(__xludf.DUMMYFUNCTION("""COMPUTED_VALUE"""),0.647)</f>
        <v>0.64700000000000002</v>
      </c>
      <c r="F63" s="1">
        <f ca="1">IFERROR(__xludf.DUMMYFUNCTION("""COMPUTED_VALUE"""),13.76)</f>
        <v>13.76</v>
      </c>
      <c r="G63" s="1">
        <f ca="1">IFERROR(__xludf.DUMMYFUNCTION("""COMPUTED_VALUE"""),6.58)</f>
        <v>6.58</v>
      </c>
      <c r="H63" s="1">
        <f ca="1">IFERROR(__xludf.DUMMYFUNCTION("""COMPUTED_VALUE"""),9)</f>
        <v>9</v>
      </c>
      <c r="I63" s="1">
        <f ca="1">IFERROR(__xludf.DUMMYFUNCTION("""COMPUTED_VALUE"""),7)</f>
        <v>7</v>
      </c>
      <c r="J63" s="1">
        <f ca="1">IFERROR(__xludf.DUMMYFUNCTION("""COMPUTED_VALUE"""),15)</f>
        <v>15</v>
      </c>
      <c r="K63" s="1">
        <f ca="1">IFERROR(__xludf.DUMMYFUNCTION("""COMPUTED_VALUE"""),2)</f>
        <v>2</v>
      </c>
      <c r="L63" s="1">
        <f ca="1">IFERROR(__xludf.DUMMYFUNCTION("""COMPUTED_VALUE"""),3)</f>
        <v>3</v>
      </c>
      <c r="M63" s="1">
        <f ca="1">IFERROR(__xludf.DUMMYFUNCTION("""COMPUTED_VALUE"""),7)</f>
        <v>7</v>
      </c>
      <c r="N63" s="1">
        <f ca="1">IFERROR(__xludf.DUMMYFUNCTION("""COMPUTED_VALUE"""),2330)</f>
        <v>2330</v>
      </c>
      <c r="O63" s="1">
        <f ca="1">IFERROR(__xludf.DUMMYFUNCTION("""COMPUTED_VALUE"""),2086)</f>
        <v>2086</v>
      </c>
      <c r="P63" s="1">
        <f ca="1">IFERROR(__xludf.DUMMYFUNCTION("""COMPUTED_VALUE"""),1370)</f>
        <v>1370</v>
      </c>
      <c r="Q63" s="1">
        <f ca="1">IFERROR(__xludf.DUMMYFUNCTION("""COMPUTED_VALUE"""),810)</f>
        <v>810</v>
      </c>
      <c r="R63" s="1">
        <f ca="1">IFERROR(__xludf.DUMMYFUNCTION("""COMPUTED_VALUE"""),1827)</f>
        <v>1827</v>
      </c>
      <c r="S63" s="1">
        <f ca="1">IFERROR(__xludf.DUMMYFUNCTION("""COMPUTED_VALUE"""),0.443)</f>
        <v>0.443</v>
      </c>
      <c r="T63" s="1">
        <f ca="1">IFERROR(__xludf.DUMMYFUNCTION("""COMPUTED_VALUE"""),217)</f>
        <v>217</v>
      </c>
      <c r="U63" s="1">
        <f ca="1">IFERROR(__xludf.DUMMYFUNCTION("""COMPUTED_VALUE"""),630)</f>
        <v>630</v>
      </c>
      <c r="V63" s="1">
        <f ca="1">IFERROR(__xludf.DUMMYFUNCTION("""COMPUTED_VALUE"""),0.344)</f>
        <v>0.34399999999999997</v>
      </c>
      <c r="W63" s="1">
        <f ca="1">IFERROR(__xludf.DUMMYFUNCTION("""COMPUTED_VALUE"""),493)</f>
        <v>493</v>
      </c>
      <c r="X63" s="1">
        <f ca="1">IFERROR(__xludf.DUMMYFUNCTION("""COMPUTED_VALUE"""),703)</f>
        <v>703</v>
      </c>
      <c r="Y63" s="1">
        <f ca="1">IFERROR(__xludf.DUMMYFUNCTION("""COMPUTED_VALUE"""),0.701)</f>
        <v>0.70099999999999996</v>
      </c>
      <c r="Z63" s="1">
        <f ca="1">IFERROR(__xludf.DUMMYFUNCTION("""COMPUTED_VALUE"""),384)</f>
        <v>384</v>
      </c>
      <c r="AA63" s="1">
        <f ca="1">IFERROR(__xludf.DUMMYFUNCTION("""COMPUTED_VALUE"""),1177)</f>
        <v>1177</v>
      </c>
      <c r="AB63" s="1">
        <f ca="1">IFERROR(__xludf.DUMMYFUNCTION("""COMPUTED_VALUE"""),445)</f>
        <v>445</v>
      </c>
      <c r="AC63" s="1">
        <f ca="1">IFERROR(__xludf.DUMMYFUNCTION("""COMPUTED_VALUE"""),272)</f>
        <v>272</v>
      </c>
      <c r="AD63" s="1">
        <f ca="1">IFERROR(__xludf.DUMMYFUNCTION("""COMPUTED_VALUE"""),161)</f>
        <v>161</v>
      </c>
      <c r="AE63" s="1">
        <f ca="1">IFERROR(__xludf.DUMMYFUNCTION("""COMPUTED_VALUE"""),449)</f>
        <v>449</v>
      </c>
      <c r="AF63" s="1">
        <f ca="1">IFERROR(__xludf.DUMMYFUNCTION("""COMPUTED_VALUE"""),624)</f>
        <v>624</v>
      </c>
    </row>
    <row r="64" spans="1:32" ht="12.5" x14ac:dyDescent="0.25">
      <c r="A64" s="1" t="str">
        <f ca="1">IFERROR(__xludf.DUMMYFUNCTION("""COMPUTED_VALUE"""),"Cleveland State")</f>
        <v>Cleveland State</v>
      </c>
      <c r="B64" s="1">
        <f ca="1">IFERROR(__xludf.DUMMYFUNCTION("""COMPUTED_VALUE"""),36)</f>
        <v>36</v>
      </c>
      <c r="C64" s="1">
        <f ca="1">IFERROR(__xludf.DUMMYFUNCTION("""COMPUTED_VALUE"""),27)</f>
        <v>27</v>
      </c>
      <c r="D64" s="1">
        <f ca="1">IFERROR(__xludf.DUMMYFUNCTION("""COMPUTED_VALUE"""),9)</f>
        <v>9</v>
      </c>
      <c r="E64" s="1">
        <f ca="1">IFERROR(__xludf.DUMMYFUNCTION("""COMPUTED_VALUE"""),0.75)</f>
        <v>0.75</v>
      </c>
      <c r="F64" s="1">
        <f ca="1">IFERROR(__xludf.DUMMYFUNCTION("""COMPUTED_VALUE"""),7.59)</f>
        <v>7.59</v>
      </c>
      <c r="G64" s="1">
        <f ca="1">IFERROR(__xludf.DUMMYFUNCTION("""COMPUTED_VALUE"""),1.74)</f>
        <v>1.74</v>
      </c>
      <c r="H64" s="1">
        <f ca="1">IFERROR(__xludf.DUMMYFUNCTION("""COMPUTED_VALUE"""),13)</f>
        <v>13</v>
      </c>
      <c r="I64" s="1">
        <f ca="1">IFERROR(__xludf.DUMMYFUNCTION("""COMPUTED_VALUE"""),5)</f>
        <v>5</v>
      </c>
      <c r="J64" s="1">
        <f ca="1">IFERROR(__xludf.DUMMYFUNCTION("""COMPUTED_VALUE"""),17)</f>
        <v>17</v>
      </c>
      <c r="K64" s="1">
        <f ca="1">IFERROR(__xludf.DUMMYFUNCTION("""COMPUTED_VALUE"""),3)</f>
        <v>3</v>
      </c>
      <c r="L64" s="1">
        <f ca="1">IFERROR(__xludf.DUMMYFUNCTION("""COMPUTED_VALUE"""),9)</f>
        <v>9</v>
      </c>
      <c r="M64" s="1">
        <f ca="1">IFERROR(__xludf.DUMMYFUNCTION("""COMPUTED_VALUE"""),5)</f>
        <v>5</v>
      </c>
      <c r="N64" s="1">
        <f ca="1">IFERROR(__xludf.DUMMYFUNCTION("""COMPUTED_VALUE"""),2556)</f>
        <v>2556</v>
      </c>
      <c r="O64" s="1">
        <f ca="1">IFERROR(__xludf.DUMMYFUNCTION("""COMPUTED_VALUE"""),2291)</f>
        <v>2291</v>
      </c>
      <c r="P64" s="1">
        <f ca="1">IFERROR(__xludf.DUMMYFUNCTION("""COMPUTED_VALUE"""),1440)</f>
        <v>1440</v>
      </c>
      <c r="Q64" s="1">
        <f ca="1">IFERROR(__xludf.DUMMYFUNCTION("""COMPUTED_VALUE"""),859)</f>
        <v>859</v>
      </c>
      <c r="R64" s="1">
        <f ca="1">IFERROR(__xludf.DUMMYFUNCTION("""COMPUTED_VALUE"""),1980)</f>
        <v>1980</v>
      </c>
      <c r="S64" s="1">
        <f ca="1">IFERROR(__xludf.DUMMYFUNCTION("""COMPUTED_VALUE"""),0.434)</f>
        <v>0.434</v>
      </c>
      <c r="T64" s="1">
        <f ca="1">IFERROR(__xludf.DUMMYFUNCTION("""COMPUTED_VALUE"""),237)</f>
        <v>237</v>
      </c>
      <c r="U64" s="1">
        <f ca="1">IFERROR(__xludf.DUMMYFUNCTION("""COMPUTED_VALUE"""),695)</f>
        <v>695</v>
      </c>
      <c r="V64" s="1">
        <f ca="1">IFERROR(__xludf.DUMMYFUNCTION("""COMPUTED_VALUE"""),0.341)</f>
        <v>0.34100000000000003</v>
      </c>
      <c r="W64" s="1">
        <f ca="1">IFERROR(__xludf.DUMMYFUNCTION("""COMPUTED_VALUE"""),601)</f>
        <v>601</v>
      </c>
      <c r="X64" s="1">
        <f ca="1">IFERROR(__xludf.DUMMYFUNCTION("""COMPUTED_VALUE"""),822)</f>
        <v>822</v>
      </c>
      <c r="Y64" s="1">
        <f ca="1">IFERROR(__xludf.DUMMYFUNCTION("""COMPUTED_VALUE"""),0.731)</f>
        <v>0.73099999999999998</v>
      </c>
      <c r="Z64" s="1">
        <f ca="1">IFERROR(__xludf.DUMMYFUNCTION("""COMPUTED_VALUE"""),383)</f>
        <v>383</v>
      </c>
      <c r="AA64" s="1">
        <f ca="1">IFERROR(__xludf.DUMMYFUNCTION("""COMPUTED_VALUE"""),1214)</f>
        <v>1214</v>
      </c>
      <c r="AB64" s="1">
        <f ca="1">IFERROR(__xludf.DUMMYFUNCTION("""COMPUTED_VALUE"""),427)</f>
        <v>427</v>
      </c>
      <c r="AC64" s="1">
        <f ca="1">IFERROR(__xludf.DUMMYFUNCTION("""COMPUTED_VALUE"""),269)</f>
        <v>269</v>
      </c>
      <c r="AD64" s="1">
        <f ca="1">IFERROR(__xludf.DUMMYFUNCTION("""COMPUTED_VALUE"""),97)</f>
        <v>97</v>
      </c>
      <c r="AE64" s="1">
        <f ca="1">IFERROR(__xludf.DUMMYFUNCTION("""COMPUTED_VALUE"""),412)</f>
        <v>412</v>
      </c>
      <c r="AF64" s="1">
        <f ca="1">IFERROR(__xludf.DUMMYFUNCTION("""COMPUTED_VALUE"""),718)</f>
        <v>718</v>
      </c>
    </row>
    <row r="65" spans="1:32" ht="12.5" x14ac:dyDescent="0.25">
      <c r="A65" s="1" t="str">
        <f ca="1">IFERROR(__xludf.DUMMYFUNCTION("""COMPUTED_VALUE"""),"Coastal Carolina")</f>
        <v>Coastal Carolina</v>
      </c>
      <c r="B65" s="1">
        <f ca="1">IFERROR(__xludf.DUMMYFUNCTION("""COMPUTED_VALUE"""),34)</f>
        <v>34</v>
      </c>
      <c r="C65" s="1">
        <f ca="1">IFERROR(__xludf.DUMMYFUNCTION("""COMPUTED_VALUE"""),28)</f>
        <v>28</v>
      </c>
      <c r="D65" s="1">
        <f ca="1">IFERROR(__xludf.DUMMYFUNCTION("""COMPUTED_VALUE"""),6)</f>
        <v>6</v>
      </c>
      <c r="E65" s="1">
        <f ca="1">IFERROR(__xludf.DUMMYFUNCTION("""COMPUTED_VALUE"""),0.824)</f>
        <v>0.82399999999999995</v>
      </c>
      <c r="F65" s="1">
        <f ca="1">IFERROR(__xludf.DUMMYFUNCTION("""COMPUTED_VALUE"""),2.35)</f>
        <v>2.35</v>
      </c>
      <c r="G65" s="1">
        <f ca="1">IFERROR(__xludf.DUMMYFUNCTION("""COMPUTED_VALUE"""),-5.15)</f>
        <v>-5.15</v>
      </c>
      <c r="H65" s="1">
        <f ca="1">IFERROR(__xludf.DUMMYFUNCTION("""COMPUTED_VALUE"""),16)</f>
        <v>16</v>
      </c>
      <c r="I65" s="1">
        <f ca="1">IFERROR(__xludf.DUMMYFUNCTION("""COMPUTED_VALUE"""),2)</f>
        <v>2</v>
      </c>
      <c r="J65" s="1">
        <f ca="1">IFERROR(__xludf.DUMMYFUNCTION("""COMPUTED_VALUE"""),15)</f>
        <v>15</v>
      </c>
      <c r="K65" s="1">
        <f ca="1">IFERROR(__xludf.DUMMYFUNCTION("""COMPUTED_VALUE"""),3)</f>
        <v>3</v>
      </c>
      <c r="L65" s="1">
        <f ca="1">IFERROR(__xludf.DUMMYFUNCTION("""COMPUTED_VALUE"""),10)</f>
        <v>10</v>
      </c>
      <c r="M65" s="1">
        <f ca="1">IFERROR(__xludf.DUMMYFUNCTION("""COMPUTED_VALUE"""),2)</f>
        <v>2</v>
      </c>
      <c r="N65" s="1">
        <f ca="1">IFERROR(__xludf.DUMMYFUNCTION("""COMPUTED_VALUE"""),2597)</f>
        <v>2597</v>
      </c>
      <c r="O65" s="1">
        <f ca="1">IFERROR(__xludf.DUMMYFUNCTION("""COMPUTED_VALUE"""),2178)</f>
        <v>2178</v>
      </c>
      <c r="P65" s="1">
        <f ca="1">IFERROR(__xludf.DUMMYFUNCTION("""COMPUTED_VALUE"""),1375)</f>
        <v>1375</v>
      </c>
      <c r="Q65" s="1">
        <f ca="1">IFERROR(__xludf.DUMMYFUNCTION("""COMPUTED_VALUE"""),930)</f>
        <v>930</v>
      </c>
      <c r="R65" s="1">
        <f ca="1">IFERROR(__xludf.DUMMYFUNCTION("""COMPUTED_VALUE"""),1915)</f>
        <v>1915</v>
      </c>
      <c r="S65" s="1">
        <f ca="1">IFERROR(__xludf.DUMMYFUNCTION("""COMPUTED_VALUE"""),0.486)</f>
        <v>0.48599999999999999</v>
      </c>
      <c r="T65" s="1">
        <f ca="1">IFERROR(__xludf.DUMMYFUNCTION("""COMPUTED_VALUE"""),161)</f>
        <v>161</v>
      </c>
      <c r="U65" s="1">
        <f ca="1">IFERROR(__xludf.DUMMYFUNCTION("""COMPUTED_VALUE"""),484)</f>
        <v>484</v>
      </c>
      <c r="V65" s="1">
        <f ca="1">IFERROR(__xludf.DUMMYFUNCTION("""COMPUTED_VALUE"""),0.333)</f>
        <v>0.33300000000000002</v>
      </c>
      <c r="W65" s="1">
        <f ca="1">IFERROR(__xludf.DUMMYFUNCTION("""COMPUTED_VALUE"""),576)</f>
        <v>576</v>
      </c>
      <c r="X65" s="1">
        <f ca="1">IFERROR(__xludf.DUMMYFUNCTION("""COMPUTED_VALUE"""),832)</f>
        <v>832</v>
      </c>
      <c r="Y65" s="1">
        <f ca="1">IFERROR(__xludf.DUMMYFUNCTION("""COMPUTED_VALUE"""),0.692)</f>
        <v>0.69199999999999995</v>
      </c>
      <c r="Z65" s="1">
        <f ca="1">IFERROR(__xludf.DUMMYFUNCTION("""COMPUTED_VALUE"""),413)</f>
        <v>413</v>
      </c>
      <c r="AA65" s="1">
        <f ca="1">IFERROR(__xludf.DUMMYFUNCTION("""COMPUTED_VALUE"""),1339)</f>
        <v>1339</v>
      </c>
      <c r="AB65" s="1">
        <f ca="1">IFERROR(__xludf.DUMMYFUNCTION("""COMPUTED_VALUE"""),521)</f>
        <v>521</v>
      </c>
      <c r="AC65" s="1">
        <f ca="1">IFERROR(__xludf.DUMMYFUNCTION("""COMPUTED_VALUE"""),227)</f>
        <v>227</v>
      </c>
      <c r="AD65" s="1">
        <f ca="1">IFERROR(__xludf.DUMMYFUNCTION("""COMPUTED_VALUE"""),153)</f>
        <v>153</v>
      </c>
      <c r="AE65" s="1">
        <f ca="1">IFERROR(__xludf.DUMMYFUNCTION("""COMPUTED_VALUE"""),443)</f>
        <v>443</v>
      </c>
      <c r="AF65" s="1">
        <f ca="1">IFERROR(__xludf.DUMMYFUNCTION("""COMPUTED_VALUE"""),517)</f>
        <v>517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IFERROR(__xludf.DUMMYFUNCTION("""COMPUTED_VALUE"""),"Colgate")</f>
        <v>Colgate</v>
      </c>
      <c r="B68" s="1">
        <f ca="1">IFERROR(__xludf.DUMMYFUNCTION("""COMPUTED_VALUE"""),30)</f>
        <v>30</v>
      </c>
      <c r="C68" s="1">
        <f ca="1">IFERROR(__xludf.DUMMYFUNCTION("""COMPUTED_VALUE"""),7)</f>
        <v>7</v>
      </c>
      <c r="D68" s="1">
        <f ca="1">IFERROR(__xludf.DUMMYFUNCTION("""COMPUTED_VALUE"""),23)</f>
        <v>23</v>
      </c>
      <c r="E68" s="1">
        <f ca="1">IFERROR(__xludf.DUMMYFUNCTION("""COMPUTED_VALUE"""),0.233)</f>
        <v>0.23300000000000001</v>
      </c>
      <c r="F68" s="1">
        <f ca="1">IFERROR(__xludf.DUMMYFUNCTION("""COMPUTED_VALUE"""),-15.8)</f>
        <v>-15.8</v>
      </c>
      <c r="G68" s="1">
        <f ca="1">IFERROR(__xludf.DUMMYFUNCTION("""COMPUTED_VALUE"""),-5.03)</f>
        <v>-5.03</v>
      </c>
      <c r="H68" s="1">
        <f ca="1">IFERROR(__xludf.DUMMYFUNCTION("""COMPUTED_VALUE"""),4)</f>
        <v>4</v>
      </c>
      <c r="I68" s="1">
        <f ca="1">IFERROR(__xludf.DUMMYFUNCTION("""COMPUTED_VALUE"""),10)</f>
        <v>10</v>
      </c>
      <c r="J68" s="1">
        <f ca="1">IFERROR(__xludf.DUMMYFUNCTION("""COMPUTED_VALUE"""),3)</f>
        <v>3</v>
      </c>
      <c r="K68" s="1">
        <f ca="1">IFERROR(__xludf.DUMMYFUNCTION("""COMPUTED_VALUE"""),9)</f>
        <v>9</v>
      </c>
      <c r="L68" s="1">
        <f ca="1">IFERROR(__xludf.DUMMYFUNCTION("""COMPUTED_VALUE"""),4)</f>
        <v>4</v>
      </c>
      <c r="M68" s="1">
        <f ca="1">IFERROR(__xludf.DUMMYFUNCTION("""COMPUTED_VALUE"""),14)</f>
        <v>14</v>
      </c>
      <c r="N68" s="1">
        <f ca="1">IFERROR(__xludf.DUMMYFUNCTION("""COMPUTED_VALUE"""),1947)</f>
        <v>1947</v>
      </c>
      <c r="O68" s="1">
        <f ca="1">IFERROR(__xludf.DUMMYFUNCTION("""COMPUTED_VALUE"""),2270)</f>
        <v>2270</v>
      </c>
      <c r="P68" s="1">
        <f ca="1">IFERROR(__xludf.DUMMYFUNCTION("""COMPUTED_VALUE"""),1215)</f>
        <v>1215</v>
      </c>
      <c r="Q68" s="1">
        <f ca="1">IFERROR(__xludf.DUMMYFUNCTION("""COMPUTED_VALUE"""),683)</f>
        <v>683</v>
      </c>
      <c r="R68" s="1">
        <f ca="1">IFERROR(__xludf.DUMMYFUNCTION("""COMPUTED_VALUE"""),1631)</f>
        <v>1631</v>
      </c>
      <c r="S68" s="1">
        <f ca="1">IFERROR(__xludf.DUMMYFUNCTION("""COMPUTED_VALUE"""),0.419)</f>
        <v>0.41899999999999998</v>
      </c>
      <c r="T68" s="1">
        <f ca="1">IFERROR(__xludf.DUMMYFUNCTION("""COMPUTED_VALUE"""),164)</f>
        <v>164</v>
      </c>
      <c r="U68" s="1">
        <f ca="1">IFERROR(__xludf.DUMMYFUNCTION("""COMPUTED_VALUE"""),490)</f>
        <v>490</v>
      </c>
      <c r="V68" s="1">
        <f ca="1">IFERROR(__xludf.DUMMYFUNCTION("""COMPUTED_VALUE"""),0.335)</f>
        <v>0.33500000000000002</v>
      </c>
      <c r="W68" s="1">
        <f ca="1">IFERROR(__xludf.DUMMYFUNCTION("""COMPUTED_VALUE"""),417)</f>
        <v>417</v>
      </c>
      <c r="X68" s="1">
        <f ca="1">IFERROR(__xludf.DUMMYFUNCTION("""COMPUTED_VALUE"""),611)</f>
        <v>611</v>
      </c>
      <c r="Y68" s="1">
        <f ca="1">IFERROR(__xludf.DUMMYFUNCTION("""COMPUTED_VALUE"""),0.682)</f>
        <v>0.68200000000000005</v>
      </c>
      <c r="Z68" s="1">
        <f ca="1">IFERROR(__xludf.DUMMYFUNCTION("""COMPUTED_VALUE"""),328)</f>
        <v>328</v>
      </c>
      <c r="AA68" s="1">
        <f ca="1">IFERROR(__xludf.DUMMYFUNCTION("""COMPUTED_VALUE"""),1023)</f>
        <v>1023</v>
      </c>
      <c r="AB68" s="1">
        <f ca="1">IFERROR(__xludf.DUMMYFUNCTION("""COMPUTED_VALUE"""),379)</f>
        <v>379</v>
      </c>
      <c r="AC68" s="1">
        <f ca="1">IFERROR(__xludf.DUMMYFUNCTION("""COMPUTED_VALUE"""),173)</f>
        <v>173</v>
      </c>
      <c r="AD68" s="1">
        <f ca="1">IFERROR(__xludf.DUMMYFUNCTION("""COMPUTED_VALUE"""),89)</f>
        <v>89</v>
      </c>
      <c r="AE68" s="1">
        <f ca="1">IFERROR(__xludf.DUMMYFUNCTION("""COMPUTED_VALUE"""),475)</f>
        <v>475</v>
      </c>
      <c r="AF68" s="1">
        <f ca="1">IFERROR(__xludf.DUMMYFUNCTION("""COMPUTED_VALUE"""),617)</f>
        <v>617</v>
      </c>
    </row>
    <row r="69" spans="1:32" ht="12.5" x14ac:dyDescent="0.25">
      <c r="A69" s="1" t="str">
        <f ca="1">IFERROR(__xludf.DUMMYFUNCTION("""COMPUTED_VALUE"""),"College of Charleston")</f>
        <v>College of Charleston</v>
      </c>
      <c r="B69" s="1">
        <f ca="1">IFERROR(__xludf.DUMMYFUNCTION("""COMPUTED_VALUE"""),37)</f>
        <v>37</v>
      </c>
      <c r="C69" s="1">
        <f ca="1">IFERROR(__xludf.DUMMYFUNCTION("""COMPUTED_VALUE"""),26)</f>
        <v>26</v>
      </c>
      <c r="D69" s="1">
        <f ca="1">IFERROR(__xludf.DUMMYFUNCTION("""COMPUTED_VALUE"""),11)</f>
        <v>11</v>
      </c>
      <c r="E69" s="1">
        <f ca="1">IFERROR(__xludf.DUMMYFUNCTION("""COMPUTED_VALUE"""),0.703)</f>
        <v>0.70299999999999996</v>
      </c>
      <c r="F69" s="1">
        <f ca="1">IFERROR(__xludf.DUMMYFUNCTION("""COMPUTED_VALUE"""),6.17)</f>
        <v>6.17</v>
      </c>
      <c r="G69" s="1">
        <f ca="1">IFERROR(__xludf.DUMMYFUNCTION("""COMPUTED_VALUE"""),-1.05)</f>
        <v>-1.05</v>
      </c>
      <c r="H69" s="1">
        <f ca="1">IFERROR(__xludf.DUMMYFUNCTION("""COMPUTED_VALUE"""),14)</f>
        <v>14</v>
      </c>
      <c r="I69" s="1">
        <f ca="1">IFERROR(__xludf.DUMMYFUNCTION("""COMPUTED_VALUE"""),4)</f>
        <v>4</v>
      </c>
      <c r="J69" s="1">
        <f ca="1">IFERROR(__xludf.DUMMYFUNCTION("""COMPUTED_VALUE"""),13)</f>
        <v>13</v>
      </c>
      <c r="K69" s="1">
        <f ca="1">IFERROR(__xludf.DUMMYFUNCTION("""COMPUTED_VALUE"""),1)</f>
        <v>1</v>
      </c>
      <c r="L69" s="1">
        <f ca="1">IFERROR(__xludf.DUMMYFUNCTION("""COMPUTED_VALUE"""),10)</f>
        <v>10</v>
      </c>
      <c r="M69" s="1">
        <f ca="1">IFERROR(__xludf.DUMMYFUNCTION("""COMPUTED_VALUE"""),8)</f>
        <v>8</v>
      </c>
      <c r="N69" s="1">
        <f ca="1">IFERROR(__xludf.DUMMYFUNCTION("""COMPUTED_VALUE"""),2821)</f>
        <v>2821</v>
      </c>
      <c r="O69" s="1">
        <f ca="1">IFERROR(__xludf.DUMMYFUNCTION("""COMPUTED_VALUE"""),2554)</f>
        <v>2554</v>
      </c>
      <c r="P69" s="1">
        <f ca="1">IFERROR(__xludf.DUMMYFUNCTION("""COMPUTED_VALUE"""),1480)</f>
        <v>1480</v>
      </c>
      <c r="Q69" s="1">
        <f ca="1">IFERROR(__xludf.DUMMYFUNCTION("""COMPUTED_VALUE"""),1037)</f>
        <v>1037</v>
      </c>
      <c r="R69" s="1">
        <f ca="1">IFERROR(__xludf.DUMMYFUNCTION("""COMPUTED_VALUE"""),2173)</f>
        <v>2173</v>
      </c>
      <c r="S69" s="1">
        <f ca="1">IFERROR(__xludf.DUMMYFUNCTION("""COMPUTED_VALUE"""),0.477)</f>
        <v>0.47699999999999998</v>
      </c>
      <c r="T69" s="1">
        <f ca="1">IFERROR(__xludf.DUMMYFUNCTION("""COMPUTED_VALUE"""),306)</f>
        <v>306</v>
      </c>
      <c r="U69" s="1">
        <f ca="1">IFERROR(__xludf.DUMMYFUNCTION("""COMPUTED_VALUE"""),835)</f>
        <v>835</v>
      </c>
      <c r="V69" s="1">
        <f ca="1">IFERROR(__xludf.DUMMYFUNCTION("""COMPUTED_VALUE"""),0.366)</f>
        <v>0.36599999999999999</v>
      </c>
      <c r="W69" s="1">
        <f ca="1">IFERROR(__xludf.DUMMYFUNCTION("""COMPUTED_VALUE"""),441)</f>
        <v>441</v>
      </c>
      <c r="X69" s="1">
        <f ca="1">IFERROR(__xludf.DUMMYFUNCTION("""COMPUTED_VALUE"""),595)</f>
        <v>595</v>
      </c>
      <c r="Y69" s="1">
        <f ca="1">IFERROR(__xludf.DUMMYFUNCTION("""COMPUTED_VALUE"""),0.741)</f>
        <v>0.74099999999999999</v>
      </c>
      <c r="Z69" s="1">
        <f ca="1">IFERROR(__xludf.DUMMYFUNCTION("""COMPUTED_VALUE"""),404)</f>
        <v>404</v>
      </c>
      <c r="AA69" s="1">
        <f ca="1">IFERROR(__xludf.DUMMYFUNCTION("""COMPUTED_VALUE"""),1278)</f>
        <v>1278</v>
      </c>
      <c r="AB69" s="1">
        <f ca="1">IFERROR(__xludf.DUMMYFUNCTION("""COMPUTED_VALUE"""),497)</f>
        <v>497</v>
      </c>
      <c r="AC69" s="1">
        <f ca="1">IFERROR(__xludf.DUMMYFUNCTION("""COMPUTED_VALUE"""),214)</f>
        <v>214</v>
      </c>
      <c r="AD69" s="1">
        <f ca="1">IFERROR(__xludf.DUMMYFUNCTION("""COMPUTED_VALUE"""),150)</f>
        <v>150</v>
      </c>
      <c r="AE69" s="1">
        <f ca="1">IFERROR(__xludf.DUMMYFUNCTION("""COMPUTED_VALUE"""),448)</f>
        <v>448</v>
      </c>
      <c r="AF69" s="1">
        <f ca="1">IFERROR(__xludf.DUMMYFUNCTION("""COMPUTED_VALUE"""),561)</f>
        <v>561</v>
      </c>
    </row>
    <row r="70" spans="1:32" ht="12.5" x14ac:dyDescent="0.25">
      <c r="A70" s="1" t="str">
        <f ca="1">IFERROR(__xludf.DUMMYFUNCTION("""COMPUTED_VALUE"""),"Colorado State")</f>
        <v>Colorado State</v>
      </c>
      <c r="B70" s="1">
        <f ca="1">IFERROR(__xludf.DUMMYFUNCTION("""COMPUTED_VALUE"""),32)</f>
        <v>32</v>
      </c>
      <c r="C70" s="1">
        <f ca="1">IFERROR(__xludf.DUMMYFUNCTION("""COMPUTED_VALUE"""),19)</f>
        <v>19</v>
      </c>
      <c r="D70" s="1">
        <f ca="1">IFERROR(__xludf.DUMMYFUNCTION("""COMPUTED_VALUE"""),13)</f>
        <v>13</v>
      </c>
      <c r="E70" s="1">
        <f ca="1">IFERROR(__xludf.DUMMYFUNCTION("""COMPUTED_VALUE"""),0.594)</f>
        <v>0.59399999999999997</v>
      </c>
      <c r="F70" s="1">
        <f ca="1">IFERROR(__xludf.DUMMYFUNCTION("""COMPUTED_VALUE"""),7.49)</f>
        <v>7.49</v>
      </c>
      <c r="G70" s="1">
        <f ca="1">IFERROR(__xludf.DUMMYFUNCTION("""COMPUTED_VALUE"""),5.26)</f>
        <v>5.26</v>
      </c>
      <c r="H70" s="1">
        <f ca="1">IFERROR(__xludf.DUMMYFUNCTION("""COMPUTED_VALUE"""),9)</f>
        <v>9</v>
      </c>
      <c r="I70" s="1">
        <f ca="1">IFERROR(__xludf.DUMMYFUNCTION("""COMPUTED_VALUE"""),7)</f>
        <v>7</v>
      </c>
      <c r="J70" s="1">
        <f ca="1">IFERROR(__xludf.DUMMYFUNCTION("""COMPUTED_VALUE"""),9)</f>
        <v>9</v>
      </c>
      <c r="K70" s="1">
        <f ca="1">IFERROR(__xludf.DUMMYFUNCTION("""COMPUTED_VALUE"""),5)</f>
        <v>5</v>
      </c>
      <c r="L70" s="1">
        <f ca="1">IFERROR(__xludf.DUMMYFUNCTION("""COMPUTED_VALUE"""),6)</f>
        <v>6</v>
      </c>
      <c r="M70" s="1">
        <f ca="1">IFERROR(__xludf.DUMMYFUNCTION("""COMPUTED_VALUE"""),5)</f>
        <v>5</v>
      </c>
      <c r="N70" s="1">
        <f ca="1">IFERROR(__xludf.DUMMYFUNCTION("""COMPUTED_VALUE"""),2279)</f>
        <v>2279</v>
      </c>
      <c r="O70" s="1">
        <f ca="1">IFERROR(__xludf.DUMMYFUNCTION("""COMPUTED_VALUE"""),2166)</f>
        <v>2166</v>
      </c>
      <c r="P70" s="1">
        <f ca="1">IFERROR(__xludf.DUMMYFUNCTION("""COMPUTED_VALUE"""),1285)</f>
        <v>1285</v>
      </c>
      <c r="Q70" s="1">
        <f ca="1">IFERROR(__xludf.DUMMYFUNCTION("""COMPUTED_VALUE"""),798)</f>
        <v>798</v>
      </c>
      <c r="R70" s="1">
        <f ca="1">IFERROR(__xludf.DUMMYFUNCTION("""COMPUTED_VALUE"""),1707)</f>
        <v>1707</v>
      </c>
      <c r="S70" s="1">
        <f ca="1">IFERROR(__xludf.DUMMYFUNCTION("""COMPUTED_VALUE"""),0.467)</f>
        <v>0.46700000000000003</v>
      </c>
      <c r="T70" s="1">
        <f ca="1">IFERROR(__xludf.DUMMYFUNCTION("""COMPUTED_VALUE"""),187)</f>
        <v>187</v>
      </c>
      <c r="U70" s="1">
        <f ca="1">IFERROR(__xludf.DUMMYFUNCTION("""COMPUTED_VALUE"""),561)</f>
        <v>561</v>
      </c>
      <c r="V70" s="1">
        <f ca="1">IFERROR(__xludf.DUMMYFUNCTION("""COMPUTED_VALUE"""),0.333)</f>
        <v>0.33300000000000002</v>
      </c>
      <c r="W70" s="1">
        <f ca="1">IFERROR(__xludf.DUMMYFUNCTION("""COMPUTED_VALUE"""),496)</f>
        <v>496</v>
      </c>
      <c r="X70" s="1">
        <f ca="1">IFERROR(__xludf.DUMMYFUNCTION("""COMPUTED_VALUE"""),717)</f>
        <v>717</v>
      </c>
      <c r="Y70" s="1">
        <f ca="1">IFERROR(__xludf.DUMMYFUNCTION("""COMPUTED_VALUE"""),0.692)</f>
        <v>0.69199999999999995</v>
      </c>
      <c r="Z70" s="1">
        <f ca="1">IFERROR(__xludf.DUMMYFUNCTION("""COMPUTED_VALUE"""),332)</f>
        <v>332</v>
      </c>
      <c r="AA70" s="1">
        <f ca="1">IFERROR(__xludf.DUMMYFUNCTION("""COMPUTED_VALUE"""),1093)</f>
        <v>1093</v>
      </c>
      <c r="AB70" s="1">
        <f ca="1">IFERROR(__xludf.DUMMYFUNCTION("""COMPUTED_VALUE"""),424)</f>
        <v>424</v>
      </c>
      <c r="AC70" s="1">
        <f ca="1">IFERROR(__xludf.DUMMYFUNCTION("""COMPUTED_VALUE"""),232)</f>
        <v>232</v>
      </c>
      <c r="AD70" s="1">
        <f ca="1">IFERROR(__xludf.DUMMYFUNCTION("""COMPUTED_VALUE"""),82)</f>
        <v>82</v>
      </c>
      <c r="AE70" s="1">
        <f ca="1">IFERROR(__xludf.DUMMYFUNCTION("""COMPUTED_VALUE"""),450)</f>
        <v>450</v>
      </c>
      <c r="AF70" s="1">
        <f ca="1">IFERROR(__xludf.DUMMYFUNCTION("""COMPUTED_VALUE"""),607)</f>
        <v>607</v>
      </c>
    </row>
    <row r="71" spans="1:32" ht="12.5" x14ac:dyDescent="0.25">
      <c r="A71" s="1" t="str">
        <f ca="1">IFERROR(__xludf.DUMMYFUNCTION("""COMPUTED_VALUE"""),"Colorado")</f>
        <v>Colorado</v>
      </c>
      <c r="B71" s="1">
        <f ca="1">IFERROR(__xludf.DUMMYFUNCTION("""COMPUTED_VALUE"""),38)</f>
        <v>38</v>
      </c>
      <c r="C71" s="1">
        <f ca="1">IFERROR(__xludf.DUMMYFUNCTION("""COMPUTED_VALUE"""),24)</f>
        <v>24</v>
      </c>
      <c r="D71" s="1">
        <f ca="1">IFERROR(__xludf.DUMMYFUNCTION("""COMPUTED_VALUE"""),14)</f>
        <v>14</v>
      </c>
      <c r="E71" s="1">
        <f ca="1">IFERROR(__xludf.DUMMYFUNCTION("""COMPUTED_VALUE"""),0.632)</f>
        <v>0.63200000000000001</v>
      </c>
      <c r="F71" s="1">
        <f ca="1">IFERROR(__xludf.DUMMYFUNCTION("""COMPUTED_VALUE"""),11.45)</f>
        <v>11.45</v>
      </c>
      <c r="G71" s="1">
        <f ca="1">IFERROR(__xludf.DUMMYFUNCTION("""COMPUTED_VALUE"""),5.61)</f>
        <v>5.61</v>
      </c>
      <c r="H71" s="1">
        <f ca="1">IFERROR(__xludf.DUMMYFUNCTION("""COMPUTED_VALUE"""),8)</f>
        <v>8</v>
      </c>
      <c r="I71" s="1">
        <f ca="1">IFERROR(__xludf.DUMMYFUNCTION("""COMPUTED_VALUE"""),8)</f>
        <v>8</v>
      </c>
      <c r="J71" s="1">
        <f ca="1">IFERROR(__xludf.DUMMYFUNCTION("""COMPUTED_VALUE"""),18)</f>
        <v>18</v>
      </c>
      <c r="K71" s="1">
        <f ca="1">IFERROR(__xludf.DUMMYFUNCTION("""COMPUTED_VALUE"""),2)</f>
        <v>2</v>
      </c>
      <c r="L71" s="1">
        <f ca="1">IFERROR(__xludf.DUMMYFUNCTION("""COMPUTED_VALUE"""),3)</f>
        <v>3</v>
      </c>
      <c r="M71" s="1">
        <f ca="1">IFERROR(__xludf.DUMMYFUNCTION("""COMPUTED_VALUE"""),9)</f>
        <v>9</v>
      </c>
      <c r="N71" s="1">
        <f ca="1">IFERROR(__xludf.DUMMYFUNCTION("""COMPUTED_VALUE"""),3025)</f>
        <v>3025</v>
      </c>
      <c r="O71" s="1">
        <f ca="1">IFERROR(__xludf.DUMMYFUNCTION("""COMPUTED_VALUE"""),2787)</f>
        <v>2787</v>
      </c>
      <c r="P71" s="1">
        <f ca="1">IFERROR(__xludf.DUMMYFUNCTION("""COMPUTED_VALUE"""),1535)</f>
        <v>1535</v>
      </c>
      <c r="Q71" s="1">
        <f ca="1">IFERROR(__xludf.DUMMYFUNCTION("""COMPUTED_VALUE"""),1058)</f>
        <v>1058</v>
      </c>
      <c r="R71" s="1">
        <f ca="1">IFERROR(__xludf.DUMMYFUNCTION("""COMPUTED_VALUE"""),2237)</f>
        <v>2237</v>
      </c>
      <c r="S71" s="1">
        <f ca="1">IFERROR(__xludf.DUMMYFUNCTION("""COMPUTED_VALUE"""),0.473)</f>
        <v>0.47299999999999998</v>
      </c>
      <c r="T71" s="1">
        <f ca="1">IFERROR(__xludf.DUMMYFUNCTION("""COMPUTED_VALUE"""),230)</f>
        <v>230</v>
      </c>
      <c r="U71" s="1">
        <f ca="1">IFERROR(__xludf.DUMMYFUNCTION("""COMPUTED_VALUE"""),618)</f>
        <v>618</v>
      </c>
      <c r="V71" s="1">
        <f ca="1">IFERROR(__xludf.DUMMYFUNCTION("""COMPUTED_VALUE"""),0.372)</f>
        <v>0.372</v>
      </c>
      <c r="W71" s="1">
        <f ca="1">IFERROR(__xludf.DUMMYFUNCTION("""COMPUTED_VALUE"""),679)</f>
        <v>679</v>
      </c>
      <c r="X71" s="1">
        <f ca="1">IFERROR(__xludf.DUMMYFUNCTION("""COMPUTED_VALUE"""),873)</f>
        <v>873</v>
      </c>
      <c r="Y71" s="1">
        <f ca="1">IFERROR(__xludf.DUMMYFUNCTION("""COMPUTED_VALUE"""),0.778)</f>
        <v>0.77800000000000002</v>
      </c>
      <c r="Z71" s="1">
        <f ca="1">IFERROR(__xludf.DUMMYFUNCTION("""COMPUTED_VALUE"""),447)</f>
        <v>447</v>
      </c>
      <c r="AA71" s="1">
        <f ca="1">IFERROR(__xludf.DUMMYFUNCTION("""COMPUTED_VALUE"""),1367)</f>
        <v>1367</v>
      </c>
      <c r="AB71" s="1">
        <f ca="1">IFERROR(__xludf.DUMMYFUNCTION("""COMPUTED_VALUE"""),524)</f>
        <v>524</v>
      </c>
      <c r="AC71" s="1">
        <f ca="1">IFERROR(__xludf.DUMMYFUNCTION("""COMPUTED_VALUE"""),259)</f>
        <v>259</v>
      </c>
      <c r="AD71" s="1">
        <f ca="1">IFERROR(__xludf.DUMMYFUNCTION("""COMPUTED_VALUE"""),111)</f>
        <v>111</v>
      </c>
      <c r="AE71" s="1">
        <f ca="1">IFERROR(__xludf.DUMMYFUNCTION("""COMPUTED_VALUE"""),445)</f>
        <v>445</v>
      </c>
      <c r="AF71" s="1">
        <f ca="1">IFERROR(__xludf.DUMMYFUNCTION("""COMPUTED_VALUE"""),697)</f>
        <v>697</v>
      </c>
    </row>
    <row r="72" spans="1:32" ht="12.5" x14ac:dyDescent="0.25">
      <c r="A72" s="1" t="str">
        <f ca="1">IFERROR(__xludf.DUMMYFUNCTION("""COMPUTED_VALUE"""),"Columbia")</f>
        <v>Columbia</v>
      </c>
      <c r="B72" s="1">
        <f ca="1">IFERROR(__xludf.DUMMYFUNCTION("""COMPUTED_VALUE"""),28)</f>
        <v>28</v>
      </c>
      <c r="C72" s="1">
        <f ca="1">IFERROR(__xludf.DUMMYFUNCTION("""COMPUTED_VALUE"""),15)</f>
        <v>15</v>
      </c>
      <c r="D72" s="1">
        <f ca="1">IFERROR(__xludf.DUMMYFUNCTION("""COMPUTED_VALUE"""),13)</f>
        <v>13</v>
      </c>
      <c r="E72" s="1">
        <f ca="1">IFERROR(__xludf.DUMMYFUNCTION("""COMPUTED_VALUE"""),0.536)</f>
        <v>0.53600000000000003</v>
      </c>
      <c r="F72" s="1">
        <f ca="1">IFERROR(__xludf.DUMMYFUNCTION("""COMPUTED_VALUE"""),-5.22)</f>
        <v>-5.22</v>
      </c>
      <c r="G72" s="1">
        <f ca="1">IFERROR(__xludf.DUMMYFUNCTION("""COMPUTED_VALUE"""),-4.81)</f>
        <v>-4.8099999999999996</v>
      </c>
      <c r="H72" s="1">
        <f ca="1">IFERROR(__xludf.DUMMYFUNCTION("""COMPUTED_VALUE"""),6)</f>
        <v>6</v>
      </c>
      <c r="I72" s="1">
        <f ca="1">IFERROR(__xludf.DUMMYFUNCTION("""COMPUTED_VALUE"""),8)</f>
        <v>8</v>
      </c>
      <c r="J72" s="1">
        <f ca="1">IFERROR(__xludf.DUMMYFUNCTION("""COMPUTED_VALUE"""),10)</f>
        <v>10</v>
      </c>
      <c r="K72" s="1">
        <f ca="1">IFERROR(__xludf.DUMMYFUNCTION("""COMPUTED_VALUE"""),4)</f>
        <v>4</v>
      </c>
      <c r="L72" s="1">
        <f ca="1">IFERROR(__xludf.DUMMYFUNCTION("""COMPUTED_VALUE"""),5)</f>
        <v>5</v>
      </c>
      <c r="M72" s="1">
        <f ca="1">IFERROR(__xludf.DUMMYFUNCTION("""COMPUTED_VALUE"""),9)</f>
        <v>9</v>
      </c>
      <c r="N72" s="1">
        <f ca="1">IFERROR(__xludf.DUMMYFUNCTION("""COMPUTED_VALUE"""),1982)</f>
        <v>1982</v>
      </c>
      <c r="O72" s="1">
        <f ca="1">IFERROR(__xludf.DUMMYFUNCTION("""COMPUTED_VALUE"""),1988)</f>
        <v>1988</v>
      </c>
      <c r="P72" s="1">
        <f ca="1">IFERROR(__xludf.DUMMYFUNCTION("""COMPUTED_VALUE"""),1130)</f>
        <v>1130</v>
      </c>
      <c r="Q72" s="1">
        <f ca="1">IFERROR(__xludf.DUMMYFUNCTION("""COMPUTED_VALUE"""),702)</f>
        <v>702</v>
      </c>
      <c r="R72" s="1">
        <f ca="1">IFERROR(__xludf.DUMMYFUNCTION("""COMPUTED_VALUE"""),1642)</f>
        <v>1642</v>
      </c>
      <c r="S72" s="1">
        <f ca="1">IFERROR(__xludf.DUMMYFUNCTION("""COMPUTED_VALUE"""),0.428)</f>
        <v>0.42799999999999999</v>
      </c>
      <c r="T72" s="1">
        <f ca="1">IFERROR(__xludf.DUMMYFUNCTION("""COMPUTED_VALUE"""),158)</f>
        <v>158</v>
      </c>
      <c r="U72" s="1">
        <f ca="1">IFERROR(__xludf.DUMMYFUNCTION("""COMPUTED_VALUE"""),468)</f>
        <v>468</v>
      </c>
      <c r="V72" s="1">
        <f ca="1">IFERROR(__xludf.DUMMYFUNCTION("""COMPUTED_VALUE"""),0.338)</f>
        <v>0.33800000000000002</v>
      </c>
      <c r="W72" s="1">
        <f ca="1">IFERROR(__xludf.DUMMYFUNCTION("""COMPUTED_VALUE"""),420)</f>
        <v>420</v>
      </c>
      <c r="X72" s="1">
        <f ca="1">IFERROR(__xludf.DUMMYFUNCTION("""COMPUTED_VALUE"""),588)</f>
        <v>588</v>
      </c>
      <c r="Y72" s="1">
        <f ca="1">IFERROR(__xludf.DUMMYFUNCTION("""COMPUTED_VALUE"""),0.714)</f>
        <v>0.71399999999999997</v>
      </c>
      <c r="Z72" s="1">
        <f ca="1">IFERROR(__xludf.DUMMYFUNCTION("""COMPUTED_VALUE"""),353)</f>
        <v>353</v>
      </c>
      <c r="AA72" s="1">
        <f ca="1">IFERROR(__xludf.DUMMYFUNCTION("""COMPUTED_VALUE"""),1026)</f>
        <v>1026</v>
      </c>
      <c r="AB72" s="1">
        <f ca="1">IFERROR(__xludf.DUMMYFUNCTION("""COMPUTED_VALUE"""),324)</f>
        <v>324</v>
      </c>
      <c r="AC72" s="1">
        <f ca="1">IFERROR(__xludf.DUMMYFUNCTION("""COMPUTED_VALUE"""),180)</f>
        <v>180</v>
      </c>
      <c r="AD72" s="1">
        <f ca="1">IFERROR(__xludf.DUMMYFUNCTION("""COMPUTED_VALUE"""),84)</f>
        <v>84</v>
      </c>
      <c r="AE72" s="1">
        <f ca="1">IFERROR(__xludf.DUMMYFUNCTION("""COMPUTED_VALUE"""),348)</f>
        <v>348</v>
      </c>
      <c r="AF72" s="1">
        <f ca="1">IFERROR(__xludf.DUMMYFUNCTION("""COMPUTED_VALUE"""),536)</f>
        <v>536</v>
      </c>
    </row>
    <row r="73" spans="1:32" ht="12.5" x14ac:dyDescent="0.25">
      <c r="A73" s="1" t="str">
        <f ca="1">IFERROR(__xludf.DUMMYFUNCTION("""COMPUTED_VALUE"""),"ConnecticutNCAA")</f>
        <v>ConnecticutNCAA</v>
      </c>
      <c r="B73" s="1">
        <f ca="1">IFERROR(__xludf.DUMMYFUNCTION("""COMPUTED_VALUE"""),41)</f>
        <v>41</v>
      </c>
      <c r="C73" s="1">
        <f ca="1">IFERROR(__xludf.DUMMYFUNCTION("""COMPUTED_VALUE"""),32)</f>
        <v>32</v>
      </c>
      <c r="D73" s="1">
        <f ca="1">IFERROR(__xludf.DUMMYFUNCTION("""COMPUTED_VALUE"""),9)</f>
        <v>9</v>
      </c>
      <c r="E73" s="1">
        <f ca="1">IFERROR(__xludf.DUMMYFUNCTION("""COMPUTED_VALUE"""),0.78)</f>
        <v>0.78</v>
      </c>
      <c r="F73" s="1">
        <f ca="1">IFERROR(__xludf.DUMMYFUNCTION("""COMPUTED_VALUE"""),17.95)</f>
        <v>17.95</v>
      </c>
      <c r="G73" s="1">
        <f ca="1">IFERROR(__xludf.DUMMYFUNCTION("""COMPUTED_VALUE"""),10.44)</f>
        <v>10.44</v>
      </c>
      <c r="H73" s="1">
        <f ca="1">IFERROR(__xludf.DUMMYFUNCTION("""COMPUTED_VALUE"""),9)</f>
        <v>9</v>
      </c>
      <c r="I73" s="1">
        <f ca="1">IFERROR(__xludf.DUMMYFUNCTION("""COMPUTED_VALUE"""),9)</f>
        <v>9</v>
      </c>
      <c r="J73" s="1">
        <f ca="1">IFERROR(__xludf.DUMMYFUNCTION("""COMPUTED_VALUE"""),13)</f>
        <v>13</v>
      </c>
      <c r="K73" s="1">
        <f ca="1">IFERROR(__xludf.DUMMYFUNCTION("""COMPUTED_VALUE"""),4)</f>
        <v>4</v>
      </c>
      <c r="L73" s="1">
        <f ca="1">IFERROR(__xludf.DUMMYFUNCTION("""COMPUTED_VALUE"""),5)</f>
        <v>5</v>
      </c>
      <c r="M73" s="1">
        <f ca="1">IFERROR(__xludf.DUMMYFUNCTION("""COMPUTED_VALUE"""),5)</f>
        <v>5</v>
      </c>
      <c r="N73" s="1">
        <f ca="1">IFERROR(__xludf.DUMMYFUNCTION("""COMPUTED_VALUE"""),2967)</f>
        <v>2967</v>
      </c>
      <c r="O73" s="1">
        <f ca="1">IFERROR(__xludf.DUMMYFUNCTION("""COMPUTED_VALUE"""),2659)</f>
        <v>2659</v>
      </c>
      <c r="P73" s="1">
        <f ca="1">IFERROR(__xludf.DUMMYFUNCTION("""COMPUTED_VALUE"""),1670)</f>
        <v>1670</v>
      </c>
      <c r="Q73" s="1">
        <f ca="1">IFERROR(__xludf.DUMMYFUNCTION("""COMPUTED_VALUE"""),1053)</f>
        <v>1053</v>
      </c>
      <c r="R73" s="1">
        <f ca="1">IFERROR(__xludf.DUMMYFUNCTION("""COMPUTED_VALUE"""),2429)</f>
        <v>2429</v>
      </c>
      <c r="S73" s="1">
        <f ca="1">IFERROR(__xludf.DUMMYFUNCTION("""COMPUTED_VALUE"""),0.434)</f>
        <v>0.434</v>
      </c>
      <c r="T73" s="1">
        <f ca="1">IFERROR(__xludf.DUMMYFUNCTION("""COMPUTED_VALUE"""),234)</f>
        <v>234</v>
      </c>
      <c r="U73" s="1">
        <f ca="1">IFERROR(__xludf.DUMMYFUNCTION("""COMPUTED_VALUE"""),711)</f>
        <v>711</v>
      </c>
      <c r="V73" s="1">
        <f ca="1">IFERROR(__xludf.DUMMYFUNCTION("""COMPUTED_VALUE"""),0.329)</f>
        <v>0.32900000000000001</v>
      </c>
      <c r="W73" s="1">
        <f ca="1">IFERROR(__xludf.DUMMYFUNCTION("""COMPUTED_VALUE"""),627)</f>
        <v>627</v>
      </c>
      <c r="X73" s="1">
        <f ca="1">IFERROR(__xludf.DUMMYFUNCTION("""COMPUTED_VALUE"""),822)</f>
        <v>822</v>
      </c>
      <c r="Y73" s="1">
        <f ca="1">IFERROR(__xludf.DUMMYFUNCTION("""COMPUTED_VALUE"""),0.763)</f>
        <v>0.76300000000000001</v>
      </c>
      <c r="Z73" s="1">
        <f ca="1">IFERROR(__xludf.DUMMYFUNCTION("""COMPUTED_VALUE"""),570)</f>
        <v>570</v>
      </c>
      <c r="AA73" s="1">
        <f ca="1">IFERROR(__xludf.DUMMYFUNCTION("""COMPUTED_VALUE"""),1626)</f>
        <v>1626</v>
      </c>
      <c r="AB73" s="1">
        <f ca="1">IFERROR(__xludf.DUMMYFUNCTION("""COMPUTED_VALUE"""),534)</f>
        <v>534</v>
      </c>
      <c r="AC73" s="1">
        <f ca="1">IFERROR(__xludf.DUMMYFUNCTION("""COMPUTED_VALUE"""),259)</f>
        <v>259</v>
      </c>
      <c r="AD73" s="1">
        <f ca="1">IFERROR(__xludf.DUMMYFUNCTION("""COMPUTED_VALUE"""),228)</f>
        <v>228</v>
      </c>
      <c r="AE73" s="1">
        <f ca="1">IFERROR(__xludf.DUMMYFUNCTION("""COMPUTED_VALUE"""),466)</f>
        <v>466</v>
      </c>
      <c r="AF73" s="1">
        <f ca="1">IFERROR(__xludf.DUMMYFUNCTION("""COMPUTED_VALUE"""),646)</f>
        <v>646</v>
      </c>
    </row>
    <row r="74" spans="1:32" ht="12.5" x14ac:dyDescent="0.25">
      <c r="A74" s="1" t="str">
        <f ca="1">IFERROR(__xludf.DUMMYFUNCTION("""COMPUTED_VALUE"""),"Coppin State")</f>
        <v>Coppin State</v>
      </c>
      <c r="B74" s="1">
        <f ca="1">IFERROR(__xludf.DUMMYFUNCTION("""COMPUTED_VALUE"""),30)</f>
        <v>30</v>
      </c>
      <c r="C74" s="1">
        <f ca="1">IFERROR(__xludf.DUMMYFUNCTION("""COMPUTED_VALUE"""),16)</f>
        <v>16</v>
      </c>
      <c r="D74" s="1">
        <f ca="1">IFERROR(__xludf.DUMMYFUNCTION("""COMPUTED_VALUE"""),14)</f>
        <v>14</v>
      </c>
      <c r="E74" s="1">
        <f ca="1">IFERROR(__xludf.DUMMYFUNCTION("""COMPUTED_VALUE"""),0.533)</f>
        <v>0.53300000000000003</v>
      </c>
      <c r="F74" s="1">
        <f ca="1">IFERROR(__xludf.DUMMYFUNCTION("""COMPUTED_VALUE"""),-8.7)</f>
        <v>-8.6999999999999993</v>
      </c>
      <c r="G74" s="1">
        <f ca="1">IFERROR(__xludf.DUMMYFUNCTION("""COMPUTED_VALUE"""),-7.66)</f>
        <v>-7.66</v>
      </c>
      <c r="H74" s="1">
        <f ca="1">IFERROR(__xludf.DUMMYFUNCTION("""COMPUTED_VALUE"""),11)</f>
        <v>11</v>
      </c>
      <c r="I74" s="1">
        <f ca="1">IFERROR(__xludf.DUMMYFUNCTION("""COMPUTED_VALUE"""),5)</f>
        <v>5</v>
      </c>
      <c r="J74" s="1">
        <f ca="1">IFERROR(__xludf.DUMMYFUNCTION("""COMPUTED_VALUE"""),11)</f>
        <v>11</v>
      </c>
      <c r="K74" s="1">
        <f ca="1">IFERROR(__xludf.DUMMYFUNCTION("""COMPUTED_VALUE"""),3)</f>
        <v>3</v>
      </c>
      <c r="L74" s="1">
        <f ca="1">IFERROR(__xludf.DUMMYFUNCTION("""COMPUTED_VALUE"""),5)</f>
        <v>5</v>
      </c>
      <c r="M74" s="1">
        <f ca="1">IFERROR(__xludf.DUMMYFUNCTION("""COMPUTED_VALUE"""),10)</f>
        <v>10</v>
      </c>
      <c r="N74" s="1">
        <f ca="1">IFERROR(__xludf.DUMMYFUNCTION("""COMPUTED_VALUE"""),2175)</f>
        <v>2175</v>
      </c>
      <c r="O74" s="1">
        <f ca="1">IFERROR(__xludf.DUMMYFUNCTION("""COMPUTED_VALUE"""),2169)</f>
        <v>2169</v>
      </c>
      <c r="P74" s="1">
        <f ca="1">IFERROR(__xludf.DUMMYFUNCTION("""COMPUTED_VALUE"""),1220)</f>
        <v>1220</v>
      </c>
      <c r="Q74" s="1">
        <f ca="1">IFERROR(__xludf.DUMMYFUNCTION("""COMPUTED_VALUE"""),760)</f>
        <v>760</v>
      </c>
      <c r="R74" s="1">
        <f ca="1">IFERROR(__xludf.DUMMYFUNCTION("""COMPUTED_VALUE"""),1770)</f>
        <v>1770</v>
      </c>
      <c r="S74" s="1">
        <f ca="1">IFERROR(__xludf.DUMMYFUNCTION("""COMPUTED_VALUE"""),0.429)</f>
        <v>0.42899999999999999</v>
      </c>
      <c r="T74" s="1">
        <f ca="1">IFERROR(__xludf.DUMMYFUNCTION("""COMPUTED_VALUE"""),232)</f>
        <v>232</v>
      </c>
      <c r="U74" s="1">
        <f ca="1">IFERROR(__xludf.DUMMYFUNCTION("""COMPUTED_VALUE"""),639)</f>
        <v>639</v>
      </c>
      <c r="V74" s="1">
        <f ca="1">IFERROR(__xludf.DUMMYFUNCTION("""COMPUTED_VALUE"""),0.363)</f>
        <v>0.36299999999999999</v>
      </c>
      <c r="W74" s="1">
        <f ca="1">IFERROR(__xludf.DUMMYFUNCTION("""COMPUTED_VALUE"""),423)</f>
        <v>423</v>
      </c>
      <c r="X74" s="1">
        <f ca="1">IFERROR(__xludf.DUMMYFUNCTION("""COMPUTED_VALUE"""),603)</f>
        <v>603</v>
      </c>
      <c r="Y74" s="1">
        <f ca="1">IFERROR(__xludf.DUMMYFUNCTION("""COMPUTED_VALUE"""),0.701)</f>
        <v>0.70099999999999996</v>
      </c>
      <c r="Z74" s="1">
        <f ca="1">IFERROR(__xludf.DUMMYFUNCTION("""COMPUTED_VALUE"""),343)</f>
        <v>343</v>
      </c>
      <c r="AA74" s="1">
        <f ca="1">IFERROR(__xludf.DUMMYFUNCTION("""COMPUTED_VALUE"""),1084)</f>
        <v>1084</v>
      </c>
      <c r="AB74" s="1">
        <f ca="1">IFERROR(__xludf.DUMMYFUNCTION("""COMPUTED_VALUE"""),344)</f>
        <v>344</v>
      </c>
      <c r="AC74" s="1">
        <f ca="1">IFERROR(__xludf.DUMMYFUNCTION("""COMPUTED_VALUE"""),219)</f>
        <v>219</v>
      </c>
      <c r="AD74" s="1">
        <f ca="1">IFERROR(__xludf.DUMMYFUNCTION("""COMPUTED_VALUE"""),68)</f>
        <v>68</v>
      </c>
      <c r="AE74" s="1">
        <f ca="1">IFERROR(__xludf.DUMMYFUNCTION("""COMPUTED_VALUE"""),410)</f>
        <v>410</v>
      </c>
      <c r="AF74" s="1">
        <f ca="1">IFERROR(__xludf.DUMMYFUNCTION("""COMPUTED_VALUE"""),540)</f>
        <v>540</v>
      </c>
    </row>
    <row r="75" spans="1:32" ht="12.5" x14ac:dyDescent="0.25">
      <c r="A75" s="1" t="str">
        <f ca="1">IFERROR(__xludf.DUMMYFUNCTION("""COMPUTED_VALUE"""),"Cornell")</f>
        <v>Cornell</v>
      </c>
      <c r="B75" s="1">
        <f ca="1">IFERROR(__xludf.DUMMYFUNCTION("""COMPUTED_VALUE"""),28)</f>
        <v>28</v>
      </c>
      <c r="C75" s="1">
        <f ca="1">IFERROR(__xludf.DUMMYFUNCTION("""COMPUTED_VALUE"""),10)</f>
        <v>10</v>
      </c>
      <c r="D75" s="1">
        <f ca="1">IFERROR(__xludf.DUMMYFUNCTION("""COMPUTED_VALUE"""),18)</f>
        <v>18</v>
      </c>
      <c r="E75" s="1">
        <f ca="1">IFERROR(__xludf.DUMMYFUNCTION("""COMPUTED_VALUE"""),0.357)</f>
        <v>0.35699999999999998</v>
      </c>
      <c r="F75" s="1">
        <f ca="1">IFERROR(__xludf.DUMMYFUNCTION("""COMPUTED_VALUE"""),-3.6)</f>
        <v>-3.6</v>
      </c>
      <c r="G75" s="1">
        <f ca="1">IFERROR(__xludf.DUMMYFUNCTION("""COMPUTED_VALUE"""),-1.6)</f>
        <v>-1.6</v>
      </c>
      <c r="H75" s="1">
        <f ca="1">IFERROR(__xludf.DUMMYFUNCTION("""COMPUTED_VALUE"""),6)</f>
        <v>6</v>
      </c>
      <c r="I75" s="1">
        <f ca="1">IFERROR(__xludf.DUMMYFUNCTION("""COMPUTED_VALUE"""),8)</f>
        <v>8</v>
      </c>
      <c r="J75" s="1">
        <f ca="1">IFERROR(__xludf.DUMMYFUNCTION("""COMPUTED_VALUE"""),6)</f>
        <v>6</v>
      </c>
      <c r="K75" s="1">
        <f ca="1">IFERROR(__xludf.DUMMYFUNCTION("""COMPUTED_VALUE"""),6)</f>
        <v>6</v>
      </c>
      <c r="L75" s="1">
        <f ca="1">IFERROR(__xludf.DUMMYFUNCTION("""COMPUTED_VALUE"""),3)</f>
        <v>3</v>
      </c>
      <c r="M75" s="1">
        <f ca="1">IFERROR(__xludf.DUMMYFUNCTION("""COMPUTED_VALUE"""),11)</f>
        <v>11</v>
      </c>
      <c r="N75" s="1">
        <f ca="1">IFERROR(__xludf.DUMMYFUNCTION("""COMPUTED_VALUE"""),1906)</f>
        <v>1906</v>
      </c>
      <c r="O75" s="1">
        <f ca="1">IFERROR(__xludf.DUMMYFUNCTION("""COMPUTED_VALUE"""),1962)</f>
        <v>1962</v>
      </c>
      <c r="P75" s="1">
        <f ca="1">IFERROR(__xludf.DUMMYFUNCTION("""COMPUTED_VALUE"""),1125)</f>
        <v>1125</v>
      </c>
      <c r="Q75" s="1">
        <f ca="1">IFERROR(__xludf.DUMMYFUNCTION("""COMPUTED_VALUE"""),658)</f>
        <v>658</v>
      </c>
      <c r="R75" s="1">
        <f ca="1">IFERROR(__xludf.DUMMYFUNCTION("""COMPUTED_VALUE"""),1580)</f>
        <v>1580</v>
      </c>
      <c r="S75" s="1">
        <f ca="1">IFERROR(__xludf.DUMMYFUNCTION("""COMPUTED_VALUE"""),0.416)</f>
        <v>0.41599999999999998</v>
      </c>
      <c r="T75" s="1">
        <f ca="1">IFERROR(__xludf.DUMMYFUNCTION("""COMPUTED_VALUE"""),251)</f>
        <v>251</v>
      </c>
      <c r="U75" s="1">
        <f ca="1">IFERROR(__xludf.DUMMYFUNCTION("""COMPUTED_VALUE"""),671)</f>
        <v>671</v>
      </c>
      <c r="V75" s="1">
        <f ca="1">IFERROR(__xludf.DUMMYFUNCTION("""COMPUTED_VALUE"""),0.374)</f>
        <v>0.374</v>
      </c>
      <c r="W75" s="1">
        <f ca="1">IFERROR(__xludf.DUMMYFUNCTION("""COMPUTED_VALUE"""),339)</f>
        <v>339</v>
      </c>
      <c r="X75" s="1">
        <f ca="1">IFERROR(__xludf.DUMMYFUNCTION("""COMPUTED_VALUE"""),492)</f>
        <v>492</v>
      </c>
      <c r="Y75" s="1">
        <f ca="1">IFERROR(__xludf.DUMMYFUNCTION("""COMPUTED_VALUE"""),0.689)</f>
        <v>0.68899999999999995</v>
      </c>
      <c r="Z75" s="1">
        <f ca="1">IFERROR(__xludf.DUMMYFUNCTION("""COMPUTED_VALUE"""),301)</f>
        <v>301</v>
      </c>
      <c r="AA75" s="1">
        <f ca="1">IFERROR(__xludf.DUMMYFUNCTION("""COMPUTED_VALUE"""),906)</f>
        <v>906</v>
      </c>
      <c r="AB75" s="1">
        <f ca="1">IFERROR(__xludf.DUMMYFUNCTION("""COMPUTED_VALUE"""),406)</f>
        <v>406</v>
      </c>
      <c r="AC75" s="1">
        <f ca="1">IFERROR(__xludf.DUMMYFUNCTION("""COMPUTED_VALUE"""),186)</f>
        <v>186</v>
      </c>
      <c r="AD75" s="1">
        <f ca="1">IFERROR(__xludf.DUMMYFUNCTION("""COMPUTED_VALUE"""),70)</f>
        <v>70</v>
      </c>
      <c r="AE75" s="1">
        <f ca="1">IFERROR(__xludf.DUMMYFUNCTION("""COMPUTED_VALUE"""),338)</f>
        <v>338</v>
      </c>
      <c r="AF75" s="1">
        <f ca="1">IFERROR(__xludf.DUMMYFUNCTION("""COMPUTED_VALUE"""),578)</f>
        <v>578</v>
      </c>
    </row>
    <row r="76" spans="1:32" ht="12.5" x14ac:dyDescent="0.25">
      <c r="A76" s="1" t="str">
        <f ca="1">IFERROR(__xludf.DUMMYFUNCTION("""COMPUTED_VALUE"""),"Creighton")</f>
        <v>Creighton</v>
      </c>
      <c r="B76" s="1">
        <f ca="1">IFERROR(__xludf.DUMMYFUNCTION("""COMPUTED_VALUE"""),39)</f>
        <v>39</v>
      </c>
      <c r="C76" s="1">
        <f ca="1">IFERROR(__xludf.DUMMYFUNCTION("""COMPUTED_VALUE"""),23)</f>
        <v>23</v>
      </c>
      <c r="D76" s="1">
        <f ca="1">IFERROR(__xludf.DUMMYFUNCTION("""COMPUTED_VALUE"""),16)</f>
        <v>16</v>
      </c>
      <c r="E76" s="1">
        <f ca="1">IFERROR(__xludf.DUMMYFUNCTION("""COMPUTED_VALUE"""),0.59)</f>
        <v>0.59</v>
      </c>
      <c r="F76" s="1">
        <f ca="1">IFERROR(__xludf.DUMMYFUNCTION("""COMPUTED_VALUE"""),4.87)</f>
        <v>4.87</v>
      </c>
      <c r="G76" s="1">
        <f ca="1">IFERROR(__xludf.DUMMYFUNCTION("""COMPUTED_VALUE"""),1.41)</f>
        <v>1.41</v>
      </c>
      <c r="H76" s="1">
        <f ca="1">IFERROR(__xludf.DUMMYFUNCTION("""COMPUTED_VALUE"""),10)</f>
        <v>10</v>
      </c>
      <c r="I76" s="1">
        <f ca="1">IFERROR(__xludf.DUMMYFUNCTION("""COMPUTED_VALUE"""),8)</f>
        <v>8</v>
      </c>
      <c r="J76" s="1">
        <f ca="1">IFERROR(__xludf.DUMMYFUNCTION("""COMPUTED_VALUE"""),19)</f>
        <v>19</v>
      </c>
      <c r="K76" s="1">
        <f ca="1">IFERROR(__xludf.DUMMYFUNCTION("""COMPUTED_VALUE"""),3)</f>
        <v>3</v>
      </c>
      <c r="L76" s="1">
        <f ca="1">IFERROR(__xludf.DUMMYFUNCTION("""COMPUTED_VALUE"""),3)</f>
        <v>3</v>
      </c>
      <c r="M76" s="1">
        <f ca="1">IFERROR(__xludf.DUMMYFUNCTION("""COMPUTED_VALUE"""),11)</f>
        <v>11</v>
      </c>
      <c r="N76" s="1">
        <f ca="1">IFERROR(__xludf.DUMMYFUNCTION("""COMPUTED_VALUE"""),2684)</f>
        <v>2684</v>
      </c>
      <c r="O76" s="1">
        <f ca="1">IFERROR(__xludf.DUMMYFUNCTION("""COMPUTED_VALUE"""),2549)</f>
        <v>2549</v>
      </c>
      <c r="P76" s="1">
        <f ca="1">IFERROR(__xludf.DUMMYFUNCTION("""COMPUTED_VALUE"""),1565)</f>
        <v>1565</v>
      </c>
      <c r="Q76" s="1">
        <f ca="1">IFERROR(__xludf.DUMMYFUNCTION("""COMPUTED_VALUE"""),935)</f>
        <v>935</v>
      </c>
      <c r="R76" s="1">
        <f ca="1">IFERROR(__xludf.DUMMYFUNCTION("""COMPUTED_VALUE"""),2034)</f>
        <v>2034</v>
      </c>
      <c r="S76" s="1">
        <f ca="1">IFERROR(__xludf.DUMMYFUNCTION("""COMPUTED_VALUE"""),0.46)</f>
        <v>0.46</v>
      </c>
      <c r="T76" s="1">
        <f ca="1">IFERROR(__xludf.DUMMYFUNCTION("""COMPUTED_VALUE"""),280)</f>
        <v>280</v>
      </c>
      <c r="U76" s="1">
        <f ca="1">IFERROR(__xludf.DUMMYFUNCTION("""COMPUTED_VALUE"""),759)</f>
        <v>759</v>
      </c>
      <c r="V76" s="1">
        <f ca="1">IFERROR(__xludf.DUMMYFUNCTION("""COMPUTED_VALUE"""),0.369)</f>
        <v>0.36899999999999999</v>
      </c>
      <c r="W76" s="1">
        <f ca="1">IFERROR(__xludf.DUMMYFUNCTION("""COMPUTED_VALUE"""),534)</f>
        <v>534</v>
      </c>
      <c r="X76" s="1">
        <f ca="1">IFERROR(__xludf.DUMMYFUNCTION("""COMPUTED_VALUE"""),732)</f>
        <v>732</v>
      </c>
      <c r="Y76" s="1">
        <f ca="1">IFERROR(__xludf.DUMMYFUNCTION("""COMPUTED_VALUE"""),0.73)</f>
        <v>0.73</v>
      </c>
      <c r="Z76" s="1">
        <f ca="1">IFERROR(__xludf.DUMMYFUNCTION("""COMPUTED_VALUE"""),372)</f>
        <v>372</v>
      </c>
      <c r="AA76" s="1">
        <f ca="1">IFERROR(__xludf.DUMMYFUNCTION("""COMPUTED_VALUE"""),1350)</f>
        <v>1350</v>
      </c>
      <c r="AB76" s="1">
        <f ca="1">IFERROR(__xludf.DUMMYFUNCTION("""COMPUTED_VALUE"""),568)</f>
        <v>568</v>
      </c>
      <c r="AC76" s="1">
        <f ca="1">IFERROR(__xludf.DUMMYFUNCTION("""COMPUTED_VALUE"""),167)</f>
        <v>167</v>
      </c>
      <c r="AD76" s="1">
        <f ca="1">IFERROR(__xludf.DUMMYFUNCTION("""COMPUTED_VALUE"""),122)</f>
        <v>122</v>
      </c>
      <c r="AE76" s="1">
        <f ca="1">IFERROR(__xludf.DUMMYFUNCTION("""COMPUTED_VALUE"""),470)</f>
        <v>470</v>
      </c>
      <c r="AF76" s="1">
        <f ca="1">IFERROR(__xludf.DUMMYFUNCTION("""COMPUTED_VALUE"""),592)</f>
        <v>592</v>
      </c>
    </row>
    <row r="77" spans="1:32" ht="12.5" x14ac:dyDescent="0.25">
      <c r="A77" s="1" t="str">
        <f ca="1">IFERROR(__xludf.DUMMYFUNCTION("""COMPUTED_VALUE"""),"Dartmouth")</f>
        <v>Dartmouth</v>
      </c>
      <c r="B77" s="1">
        <f ca="1">IFERROR(__xludf.DUMMYFUNCTION("""COMPUTED_VALUE"""),28)</f>
        <v>28</v>
      </c>
      <c r="C77" s="1">
        <f ca="1">IFERROR(__xludf.DUMMYFUNCTION("""COMPUTED_VALUE"""),5)</f>
        <v>5</v>
      </c>
      <c r="D77" s="1">
        <f ca="1">IFERROR(__xludf.DUMMYFUNCTION("""COMPUTED_VALUE"""),23)</f>
        <v>23</v>
      </c>
      <c r="E77" s="1">
        <f ca="1">IFERROR(__xludf.DUMMYFUNCTION("""COMPUTED_VALUE"""),0.179)</f>
        <v>0.17899999999999999</v>
      </c>
      <c r="F77" s="1">
        <f ca="1">IFERROR(__xludf.DUMMYFUNCTION("""COMPUTED_VALUE"""),-14.86)</f>
        <v>-14.86</v>
      </c>
      <c r="G77" s="1">
        <f ca="1">IFERROR(__xludf.DUMMYFUNCTION("""COMPUTED_VALUE"""),-3.39)</f>
        <v>-3.39</v>
      </c>
      <c r="H77" s="1">
        <f ca="1">IFERROR(__xludf.DUMMYFUNCTION("""COMPUTED_VALUE"""),1)</f>
        <v>1</v>
      </c>
      <c r="I77" s="1">
        <f ca="1">IFERROR(__xludf.DUMMYFUNCTION("""COMPUTED_VALUE"""),13)</f>
        <v>13</v>
      </c>
      <c r="J77" s="1">
        <f ca="1">IFERROR(__xludf.DUMMYFUNCTION("""COMPUTED_VALUE"""),3)</f>
        <v>3</v>
      </c>
      <c r="K77" s="1">
        <f ca="1">IFERROR(__xludf.DUMMYFUNCTION("""COMPUTED_VALUE"""),8)</f>
        <v>8</v>
      </c>
      <c r="L77" s="1">
        <f ca="1">IFERROR(__xludf.DUMMYFUNCTION("""COMPUTED_VALUE"""),2)</f>
        <v>2</v>
      </c>
      <c r="M77" s="1">
        <f ca="1">IFERROR(__xludf.DUMMYFUNCTION("""COMPUTED_VALUE"""),15)</f>
        <v>15</v>
      </c>
      <c r="N77" s="1">
        <f ca="1">IFERROR(__xludf.DUMMYFUNCTION("""COMPUTED_VALUE"""),1667)</f>
        <v>1667</v>
      </c>
      <c r="O77" s="1">
        <f ca="1">IFERROR(__xludf.DUMMYFUNCTION("""COMPUTED_VALUE"""),1988)</f>
        <v>1988</v>
      </c>
      <c r="P77" s="1">
        <f ca="1">IFERROR(__xludf.DUMMYFUNCTION("""COMPUTED_VALUE"""),1126)</f>
        <v>1126</v>
      </c>
      <c r="Q77" s="1">
        <f ca="1">IFERROR(__xludf.DUMMYFUNCTION("""COMPUTED_VALUE"""),605)</f>
        <v>605</v>
      </c>
      <c r="R77" s="1">
        <f ca="1">IFERROR(__xludf.DUMMYFUNCTION("""COMPUTED_VALUE"""),1530)</f>
        <v>1530</v>
      </c>
      <c r="S77" s="1">
        <f ca="1">IFERROR(__xludf.DUMMYFUNCTION("""COMPUTED_VALUE"""),0.395)</f>
        <v>0.39500000000000002</v>
      </c>
      <c r="T77" s="1">
        <f ca="1">IFERROR(__xludf.DUMMYFUNCTION("""COMPUTED_VALUE"""),142)</f>
        <v>142</v>
      </c>
      <c r="U77" s="1">
        <f ca="1">IFERROR(__xludf.DUMMYFUNCTION("""COMPUTED_VALUE"""),435)</f>
        <v>435</v>
      </c>
      <c r="V77" s="1">
        <f ca="1">IFERROR(__xludf.DUMMYFUNCTION("""COMPUTED_VALUE"""),0.326)</f>
        <v>0.32600000000000001</v>
      </c>
      <c r="W77" s="1">
        <f ca="1">IFERROR(__xludf.DUMMYFUNCTION("""COMPUTED_VALUE"""),315)</f>
        <v>315</v>
      </c>
      <c r="X77" s="1">
        <f ca="1">IFERROR(__xludf.DUMMYFUNCTION("""COMPUTED_VALUE"""),452)</f>
        <v>452</v>
      </c>
      <c r="Y77" s="1">
        <f ca="1">IFERROR(__xludf.DUMMYFUNCTION("""COMPUTED_VALUE"""),0.697)</f>
        <v>0.69699999999999995</v>
      </c>
      <c r="Z77" s="1">
        <f ca="1">IFERROR(__xludf.DUMMYFUNCTION("""COMPUTED_VALUE"""),266)</f>
        <v>266</v>
      </c>
      <c r="AA77" s="1">
        <f ca="1">IFERROR(__xludf.DUMMYFUNCTION("""COMPUTED_VALUE"""),860)</f>
        <v>860</v>
      </c>
      <c r="AB77" s="1">
        <f ca="1">IFERROR(__xludf.DUMMYFUNCTION("""COMPUTED_VALUE"""),257)</f>
        <v>257</v>
      </c>
      <c r="AC77" s="1">
        <f ca="1">IFERROR(__xludf.DUMMYFUNCTION("""COMPUTED_VALUE"""),180)</f>
        <v>180</v>
      </c>
      <c r="AD77" s="1">
        <f ca="1">IFERROR(__xludf.DUMMYFUNCTION("""COMPUTED_VALUE"""),72)</f>
        <v>72</v>
      </c>
      <c r="AE77" s="1">
        <f ca="1">IFERROR(__xludf.DUMMYFUNCTION("""COMPUTED_VALUE"""),383)</f>
        <v>383</v>
      </c>
      <c r="AF77" s="1">
        <f ca="1">IFERROR(__xludf.DUMMYFUNCTION("""COMPUTED_VALUE"""),530)</f>
        <v>530</v>
      </c>
    </row>
    <row r="78" spans="1:32" ht="12.5" x14ac:dyDescent="0.25">
      <c r="A78" s="1" t="str">
        <f ca="1">IFERROR(__xludf.DUMMYFUNCTION("""COMPUTED_VALUE"""),"Davidson")</f>
        <v>Davidson</v>
      </c>
      <c r="B78" s="1">
        <f ca="1">IFERROR(__xludf.DUMMYFUNCTION("""COMPUTED_VALUE"""),33)</f>
        <v>33</v>
      </c>
      <c r="C78" s="1">
        <f ca="1">IFERROR(__xludf.DUMMYFUNCTION("""COMPUTED_VALUE"""),18)</f>
        <v>18</v>
      </c>
      <c r="D78" s="1">
        <f ca="1">IFERROR(__xludf.DUMMYFUNCTION("""COMPUTED_VALUE"""),15)</f>
        <v>15</v>
      </c>
      <c r="E78" s="1">
        <f ca="1">IFERROR(__xludf.DUMMYFUNCTION("""COMPUTED_VALUE"""),0.545)</f>
        <v>0.54500000000000004</v>
      </c>
      <c r="F78" s="1">
        <f ca="1">IFERROR(__xludf.DUMMYFUNCTION("""COMPUTED_VALUE"""),-0.39)</f>
        <v>-0.39</v>
      </c>
      <c r="G78" s="1">
        <f ca="1">IFERROR(__xludf.DUMMYFUNCTION("""COMPUTED_VALUE"""),-2.17)</f>
        <v>-2.17</v>
      </c>
      <c r="H78" s="1">
        <f ca="1">IFERROR(__xludf.DUMMYFUNCTION("""COMPUTED_VALUE"""),10)</f>
        <v>10</v>
      </c>
      <c r="I78" s="1">
        <f ca="1">IFERROR(__xludf.DUMMYFUNCTION("""COMPUTED_VALUE"""),8)</f>
        <v>8</v>
      </c>
      <c r="J78" s="1">
        <f ca="1">IFERROR(__xludf.DUMMYFUNCTION("""COMPUTED_VALUE"""),10)</f>
        <v>10</v>
      </c>
      <c r="K78" s="1">
        <f ca="1">IFERROR(__xludf.DUMMYFUNCTION("""COMPUTED_VALUE"""),3)</f>
        <v>3</v>
      </c>
      <c r="L78" s="1">
        <f ca="1">IFERROR(__xludf.DUMMYFUNCTION("""COMPUTED_VALUE"""),5)</f>
        <v>5</v>
      </c>
      <c r="M78" s="1">
        <f ca="1">IFERROR(__xludf.DUMMYFUNCTION("""COMPUTED_VALUE"""),10)</f>
        <v>10</v>
      </c>
      <c r="N78" s="1">
        <f ca="1">IFERROR(__xludf.DUMMYFUNCTION("""COMPUTED_VALUE"""),2392)</f>
        <v>2392</v>
      </c>
      <c r="O78" s="1">
        <f ca="1">IFERROR(__xludf.DUMMYFUNCTION("""COMPUTED_VALUE"""),2266)</f>
        <v>2266</v>
      </c>
      <c r="P78" s="1">
        <f ca="1">IFERROR(__xludf.DUMMYFUNCTION("""COMPUTED_VALUE"""),1320)</f>
        <v>1320</v>
      </c>
      <c r="Q78" s="1">
        <f ca="1">IFERROR(__xludf.DUMMYFUNCTION("""COMPUTED_VALUE"""),819)</f>
        <v>819</v>
      </c>
      <c r="R78" s="1">
        <f ca="1">IFERROR(__xludf.DUMMYFUNCTION("""COMPUTED_VALUE"""),1887)</f>
        <v>1887</v>
      </c>
      <c r="S78" s="1">
        <f ca="1">IFERROR(__xludf.DUMMYFUNCTION("""COMPUTED_VALUE"""),0.434)</f>
        <v>0.434</v>
      </c>
      <c r="T78" s="1">
        <f ca="1">IFERROR(__xludf.DUMMYFUNCTION("""COMPUTED_VALUE"""),258)</f>
        <v>258</v>
      </c>
      <c r="U78" s="1">
        <f ca="1">IFERROR(__xludf.DUMMYFUNCTION("""COMPUTED_VALUE"""),750)</f>
        <v>750</v>
      </c>
      <c r="V78" s="1">
        <f ca="1">IFERROR(__xludf.DUMMYFUNCTION("""COMPUTED_VALUE"""),0.344)</f>
        <v>0.34399999999999997</v>
      </c>
      <c r="W78" s="1">
        <f ca="1">IFERROR(__xludf.DUMMYFUNCTION("""COMPUTED_VALUE"""),496)</f>
        <v>496</v>
      </c>
      <c r="X78" s="1">
        <f ca="1">IFERROR(__xludf.DUMMYFUNCTION("""COMPUTED_VALUE"""),677)</f>
        <v>677</v>
      </c>
      <c r="Y78" s="1">
        <f ca="1">IFERROR(__xludf.DUMMYFUNCTION("""COMPUTED_VALUE"""),0.733)</f>
        <v>0.73299999999999998</v>
      </c>
      <c r="Z78" s="1">
        <f ca="1">IFERROR(__xludf.DUMMYFUNCTION("""COMPUTED_VALUE"""),419)</f>
        <v>419</v>
      </c>
      <c r="AA78" s="1">
        <f ca="1">IFERROR(__xludf.DUMMYFUNCTION("""COMPUTED_VALUE"""),1214)</f>
        <v>1214</v>
      </c>
      <c r="AB78" s="1">
        <f ca="1">IFERROR(__xludf.DUMMYFUNCTION("""COMPUTED_VALUE"""),425)</f>
        <v>425</v>
      </c>
      <c r="AC78" s="1">
        <f ca="1">IFERROR(__xludf.DUMMYFUNCTION("""COMPUTED_VALUE"""),162)</f>
        <v>162</v>
      </c>
      <c r="AD78" s="1">
        <f ca="1">IFERROR(__xludf.DUMMYFUNCTION("""COMPUTED_VALUE"""),98)</f>
        <v>98</v>
      </c>
      <c r="AE78" s="1">
        <f ca="1">IFERROR(__xludf.DUMMYFUNCTION("""COMPUTED_VALUE"""),463)</f>
        <v>463</v>
      </c>
      <c r="AF78" s="1">
        <f ca="1">IFERROR(__xludf.DUMMYFUNCTION("""COMPUTED_VALUE"""),729)</f>
        <v>729</v>
      </c>
    </row>
    <row r="79" spans="1:32" ht="12.5" x14ac:dyDescent="0.25">
      <c r="A79" s="1" t="str">
        <f ca="1">IFERROR(__xludf.DUMMYFUNCTION("""COMPUTED_VALUE"""),"Dayton")</f>
        <v>Dayton</v>
      </c>
      <c r="B79" s="1">
        <f ca="1">IFERROR(__xludf.DUMMYFUNCTION("""COMPUTED_VALUE"""),36)</f>
        <v>36</v>
      </c>
      <c r="C79" s="1">
        <f ca="1">IFERROR(__xludf.DUMMYFUNCTION("""COMPUTED_VALUE"""),22)</f>
        <v>22</v>
      </c>
      <c r="D79" s="1">
        <f ca="1">IFERROR(__xludf.DUMMYFUNCTION("""COMPUTED_VALUE"""),14)</f>
        <v>14</v>
      </c>
      <c r="E79" s="1">
        <f ca="1">IFERROR(__xludf.DUMMYFUNCTION("""COMPUTED_VALUE"""),0.611)</f>
        <v>0.61099999999999999</v>
      </c>
      <c r="F79" s="1">
        <f ca="1">IFERROR(__xludf.DUMMYFUNCTION("""COMPUTED_VALUE"""),4.87)</f>
        <v>4.87</v>
      </c>
      <c r="G79" s="1">
        <f ca="1">IFERROR(__xludf.DUMMYFUNCTION("""COMPUTED_VALUE"""),3.2)</f>
        <v>3.2</v>
      </c>
      <c r="H79" s="1">
        <f ca="1">IFERROR(__xludf.DUMMYFUNCTION("""COMPUTED_VALUE"""),7)</f>
        <v>7</v>
      </c>
      <c r="I79" s="1">
        <f ca="1">IFERROR(__xludf.DUMMYFUNCTION("""COMPUTED_VALUE"""),9)</f>
        <v>9</v>
      </c>
      <c r="J79" s="1">
        <f ca="1">IFERROR(__xludf.DUMMYFUNCTION("""COMPUTED_VALUE"""),14)</f>
        <v>14</v>
      </c>
      <c r="K79" s="1">
        <f ca="1">IFERROR(__xludf.DUMMYFUNCTION("""COMPUTED_VALUE"""),5)</f>
        <v>5</v>
      </c>
      <c r="L79" s="1">
        <f ca="1">IFERROR(__xludf.DUMMYFUNCTION("""COMPUTED_VALUE"""),6)</f>
        <v>6</v>
      </c>
      <c r="M79" s="1">
        <f ca="1">IFERROR(__xludf.DUMMYFUNCTION("""COMPUTED_VALUE"""),6)</f>
        <v>6</v>
      </c>
      <c r="N79" s="1">
        <f ca="1">IFERROR(__xludf.DUMMYFUNCTION("""COMPUTED_VALUE"""),2413)</f>
        <v>2413</v>
      </c>
      <c r="O79" s="1">
        <f ca="1">IFERROR(__xludf.DUMMYFUNCTION("""COMPUTED_VALUE"""),2353)</f>
        <v>2353</v>
      </c>
      <c r="P79" s="1">
        <f ca="1">IFERROR(__xludf.DUMMYFUNCTION("""COMPUTED_VALUE"""),1455)</f>
        <v>1455</v>
      </c>
      <c r="Q79" s="1">
        <f ca="1">IFERROR(__xludf.DUMMYFUNCTION("""COMPUTED_VALUE"""),851)</f>
        <v>851</v>
      </c>
      <c r="R79" s="1">
        <f ca="1">IFERROR(__xludf.DUMMYFUNCTION("""COMPUTED_VALUE"""),2079)</f>
        <v>2079</v>
      </c>
      <c r="S79" s="1">
        <f ca="1">IFERROR(__xludf.DUMMYFUNCTION("""COMPUTED_VALUE"""),0.409)</f>
        <v>0.40899999999999997</v>
      </c>
      <c r="T79" s="1">
        <f ca="1">IFERROR(__xludf.DUMMYFUNCTION("""COMPUTED_VALUE"""),243)</f>
        <v>243</v>
      </c>
      <c r="U79" s="1">
        <f ca="1">IFERROR(__xludf.DUMMYFUNCTION("""COMPUTED_VALUE"""),684)</f>
        <v>684</v>
      </c>
      <c r="V79" s="1">
        <f ca="1">IFERROR(__xludf.DUMMYFUNCTION("""COMPUTED_VALUE"""),0.355)</f>
        <v>0.35499999999999998</v>
      </c>
      <c r="W79" s="1">
        <f ca="1">IFERROR(__xludf.DUMMYFUNCTION("""COMPUTED_VALUE"""),468)</f>
        <v>468</v>
      </c>
      <c r="X79" s="1">
        <f ca="1">IFERROR(__xludf.DUMMYFUNCTION("""COMPUTED_VALUE"""),691)</f>
        <v>691</v>
      </c>
      <c r="Y79" s="1">
        <f ca="1">IFERROR(__xludf.DUMMYFUNCTION("""COMPUTED_VALUE"""),0.677)</f>
        <v>0.67700000000000005</v>
      </c>
      <c r="Z79" s="1">
        <f ca="1">IFERROR(__xludf.DUMMYFUNCTION("""COMPUTED_VALUE"""),478)</f>
        <v>478</v>
      </c>
      <c r="AA79" s="1">
        <f ca="1">IFERROR(__xludf.DUMMYFUNCTION("""COMPUTED_VALUE"""),1392)</f>
        <v>1392</v>
      </c>
      <c r="AB79" s="1">
        <f ca="1">IFERROR(__xludf.DUMMYFUNCTION("""COMPUTED_VALUE"""),525)</f>
        <v>525</v>
      </c>
      <c r="AC79" s="1">
        <f ca="1">IFERROR(__xludf.DUMMYFUNCTION("""COMPUTED_VALUE"""),171)</f>
        <v>171</v>
      </c>
      <c r="AD79" s="1">
        <f ca="1">IFERROR(__xludf.DUMMYFUNCTION("""COMPUTED_VALUE"""),105)</f>
        <v>105</v>
      </c>
      <c r="AE79" s="1">
        <f ca="1">IFERROR(__xludf.DUMMYFUNCTION("""COMPUTED_VALUE"""),477)</f>
        <v>477</v>
      </c>
      <c r="AF79" s="1">
        <f ca="1">IFERROR(__xludf.DUMMYFUNCTION("""COMPUTED_VALUE"""),699)</f>
        <v>699</v>
      </c>
    </row>
    <row r="80" spans="1:32" ht="12.5" x14ac:dyDescent="0.25">
      <c r="A80" s="1" t="str">
        <f ca="1">IFERROR(__xludf.DUMMYFUNCTION("""COMPUTED_VALUE"""),"Delaware State")</f>
        <v>Delaware State</v>
      </c>
      <c r="B80" s="1">
        <f ca="1">IFERROR(__xludf.DUMMYFUNCTION("""COMPUTED_VALUE"""),30)</f>
        <v>30</v>
      </c>
      <c r="C80" s="1">
        <f ca="1">IFERROR(__xludf.DUMMYFUNCTION("""COMPUTED_VALUE"""),9)</f>
        <v>9</v>
      </c>
      <c r="D80" s="1">
        <f ca="1">IFERROR(__xludf.DUMMYFUNCTION("""COMPUTED_VALUE"""),21)</f>
        <v>21</v>
      </c>
      <c r="E80" s="1">
        <f ca="1">IFERROR(__xludf.DUMMYFUNCTION("""COMPUTED_VALUE"""),0.3)</f>
        <v>0.3</v>
      </c>
      <c r="F80" s="1">
        <f ca="1">IFERROR(__xludf.DUMMYFUNCTION("""COMPUTED_VALUE"""),-12.18)</f>
        <v>-12.18</v>
      </c>
      <c r="G80" s="1">
        <f ca="1">IFERROR(__xludf.DUMMYFUNCTION("""COMPUTED_VALUE"""),-6.39)</f>
        <v>-6.39</v>
      </c>
      <c r="H80" s="1">
        <f ca="1">IFERROR(__xludf.DUMMYFUNCTION("""COMPUTED_VALUE"""),5)</f>
        <v>5</v>
      </c>
      <c r="I80" s="1">
        <f ca="1">IFERROR(__xludf.DUMMYFUNCTION("""COMPUTED_VALUE"""),11)</f>
        <v>11</v>
      </c>
      <c r="J80" s="1">
        <f ca="1">IFERROR(__xludf.DUMMYFUNCTION("""COMPUTED_VALUE"""),6)</f>
        <v>6</v>
      </c>
      <c r="K80" s="1">
        <f ca="1">IFERROR(__xludf.DUMMYFUNCTION("""COMPUTED_VALUE"""),4)</f>
        <v>4</v>
      </c>
      <c r="L80" s="1">
        <f ca="1">IFERROR(__xludf.DUMMYFUNCTION("""COMPUTED_VALUE"""),3)</f>
        <v>3</v>
      </c>
      <c r="M80" s="1">
        <f ca="1">IFERROR(__xludf.DUMMYFUNCTION("""COMPUTED_VALUE"""),16)</f>
        <v>16</v>
      </c>
      <c r="N80" s="1">
        <f ca="1">IFERROR(__xludf.DUMMYFUNCTION("""COMPUTED_VALUE"""),1874)</f>
        <v>1874</v>
      </c>
      <c r="O80" s="1">
        <f ca="1">IFERROR(__xludf.DUMMYFUNCTION("""COMPUTED_VALUE"""),1967)</f>
        <v>1967</v>
      </c>
      <c r="P80" s="1">
        <f ca="1">IFERROR(__xludf.DUMMYFUNCTION("""COMPUTED_VALUE"""),1210)</f>
        <v>1210</v>
      </c>
      <c r="Q80" s="1">
        <f ca="1">IFERROR(__xludf.DUMMYFUNCTION("""COMPUTED_VALUE"""),674)</f>
        <v>674</v>
      </c>
      <c r="R80" s="1">
        <f ca="1">IFERROR(__xludf.DUMMYFUNCTION("""COMPUTED_VALUE"""),1576)</f>
        <v>1576</v>
      </c>
      <c r="S80" s="1">
        <f ca="1">IFERROR(__xludf.DUMMYFUNCTION("""COMPUTED_VALUE"""),0.428)</f>
        <v>0.42799999999999999</v>
      </c>
      <c r="T80" s="1">
        <f ca="1">IFERROR(__xludf.DUMMYFUNCTION("""COMPUTED_VALUE"""),206)</f>
        <v>206</v>
      </c>
      <c r="U80" s="1">
        <f ca="1">IFERROR(__xludf.DUMMYFUNCTION("""COMPUTED_VALUE"""),594)</f>
        <v>594</v>
      </c>
      <c r="V80" s="1">
        <f ca="1">IFERROR(__xludf.DUMMYFUNCTION("""COMPUTED_VALUE"""),0.347)</f>
        <v>0.34699999999999998</v>
      </c>
      <c r="W80" s="1">
        <f ca="1">IFERROR(__xludf.DUMMYFUNCTION("""COMPUTED_VALUE"""),320)</f>
        <v>320</v>
      </c>
      <c r="X80" s="1">
        <f ca="1">IFERROR(__xludf.DUMMYFUNCTION("""COMPUTED_VALUE"""),448)</f>
        <v>448</v>
      </c>
      <c r="Y80" s="1">
        <f ca="1">IFERROR(__xludf.DUMMYFUNCTION("""COMPUTED_VALUE"""),0.714)</f>
        <v>0.71399999999999997</v>
      </c>
      <c r="Z80" s="1">
        <f ca="1">IFERROR(__xludf.DUMMYFUNCTION("""COMPUTED_VALUE"""),269)</f>
        <v>269</v>
      </c>
      <c r="AA80" s="1">
        <f ca="1">IFERROR(__xludf.DUMMYFUNCTION("""COMPUTED_VALUE"""),759)</f>
        <v>759</v>
      </c>
      <c r="AB80" s="1">
        <f ca="1">IFERROR(__xludf.DUMMYFUNCTION("""COMPUTED_VALUE"""),347)</f>
        <v>347</v>
      </c>
      <c r="AC80" s="1">
        <f ca="1">IFERROR(__xludf.DUMMYFUNCTION("""COMPUTED_VALUE"""),253)</f>
        <v>253</v>
      </c>
      <c r="AD80" s="1">
        <f ca="1">IFERROR(__xludf.DUMMYFUNCTION("""COMPUTED_VALUE"""),109)</f>
        <v>109</v>
      </c>
      <c r="AE80" s="1">
        <f ca="1">IFERROR(__xludf.DUMMYFUNCTION("""COMPUTED_VALUE"""),335)</f>
        <v>335</v>
      </c>
      <c r="AF80" s="1">
        <f ca="1">IFERROR(__xludf.DUMMYFUNCTION("""COMPUTED_VALUE"""),464)</f>
        <v>464</v>
      </c>
    </row>
    <row r="81" spans="1:32" ht="12.5" x14ac:dyDescent="0.25">
      <c r="A81" s="1" t="str">
        <f ca="1">IFERROR(__xludf.DUMMYFUNCTION("""COMPUTED_VALUE"""),"Delaware")</f>
        <v>Delaware</v>
      </c>
      <c r="B81" s="1">
        <f ca="1">IFERROR(__xludf.DUMMYFUNCTION("""COMPUTED_VALUE"""),31)</f>
        <v>31</v>
      </c>
      <c r="C81" s="1">
        <f ca="1">IFERROR(__xludf.DUMMYFUNCTION("""COMPUTED_VALUE"""),14)</f>
        <v>14</v>
      </c>
      <c r="D81" s="1">
        <f ca="1">IFERROR(__xludf.DUMMYFUNCTION("""COMPUTED_VALUE"""),17)</f>
        <v>17</v>
      </c>
      <c r="E81" s="1">
        <f ca="1">IFERROR(__xludf.DUMMYFUNCTION("""COMPUTED_VALUE"""),0.452)</f>
        <v>0.45200000000000001</v>
      </c>
      <c r="F81" s="1">
        <f ca="1">IFERROR(__xludf.DUMMYFUNCTION("""COMPUTED_VALUE"""),-3.79)</f>
        <v>-3.79</v>
      </c>
      <c r="G81" s="1">
        <f ca="1">IFERROR(__xludf.DUMMYFUNCTION("""COMPUTED_VALUE"""),-0.11)</f>
        <v>-0.11</v>
      </c>
      <c r="H81" s="1">
        <f ca="1">IFERROR(__xludf.DUMMYFUNCTION("""COMPUTED_VALUE"""),8)</f>
        <v>8</v>
      </c>
      <c r="I81" s="1">
        <f ca="1">IFERROR(__xludf.DUMMYFUNCTION("""COMPUTED_VALUE"""),10)</f>
        <v>10</v>
      </c>
      <c r="J81" s="1">
        <f ca="1">IFERROR(__xludf.DUMMYFUNCTION("""COMPUTED_VALUE"""),6)</f>
        <v>6</v>
      </c>
      <c r="K81" s="1">
        <f ca="1">IFERROR(__xludf.DUMMYFUNCTION("""COMPUTED_VALUE"""),6)</f>
        <v>6</v>
      </c>
      <c r="L81" s="1">
        <f ca="1">IFERROR(__xludf.DUMMYFUNCTION("""COMPUTED_VALUE"""),7)</f>
        <v>7</v>
      </c>
      <c r="M81" s="1">
        <f ca="1">IFERROR(__xludf.DUMMYFUNCTION("""COMPUTED_VALUE"""),9)</f>
        <v>9</v>
      </c>
      <c r="N81" s="1">
        <f ca="1">IFERROR(__xludf.DUMMYFUNCTION("""COMPUTED_VALUE"""),1951)</f>
        <v>1951</v>
      </c>
      <c r="O81" s="1">
        <f ca="1">IFERROR(__xludf.DUMMYFUNCTION("""COMPUTED_VALUE"""),2065)</f>
        <v>2065</v>
      </c>
      <c r="P81" s="1">
        <f ca="1">IFERROR(__xludf.DUMMYFUNCTION("""COMPUTED_VALUE"""),1250)</f>
        <v>1250</v>
      </c>
      <c r="Q81" s="1">
        <f ca="1">IFERROR(__xludf.DUMMYFUNCTION("""COMPUTED_VALUE"""),663)</f>
        <v>663</v>
      </c>
      <c r="R81" s="1">
        <f ca="1">IFERROR(__xludf.DUMMYFUNCTION("""COMPUTED_VALUE"""),1593)</f>
        <v>1593</v>
      </c>
      <c r="S81" s="1">
        <f ca="1">IFERROR(__xludf.DUMMYFUNCTION("""COMPUTED_VALUE"""),0.416)</f>
        <v>0.41599999999999998</v>
      </c>
      <c r="T81" s="1">
        <f ca="1">IFERROR(__xludf.DUMMYFUNCTION("""COMPUTED_VALUE"""),182)</f>
        <v>182</v>
      </c>
      <c r="U81" s="1">
        <f ca="1">IFERROR(__xludf.DUMMYFUNCTION("""COMPUTED_VALUE"""),523)</f>
        <v>523</v>
      </c>
      <c r="V81" s="1">
        <f ca="1">IFERROR(__xludf.DUMMYFUNCTION("""COMPUTED_VALUE"""),0.348)</f>
        <v>0.34799999999999998</v>
      </c>
      <c r="W81" s="1">
        <f ca="1">IFERROR(__xludf.DUMMYFUNCTION("""COMPUTED_VALUE"""),443)</f>
        <v>443</v>
      </c>
      <c r="X81" s="1">
        <f ca="1">IFERROR(__xludf.DUMMYFUNCTION("""COMPUTED_VALUE"""),641)</f>
        <v>641</v>
      </c>
      <c r="Y81" s="1">
        <f ca="1">IFERROR(__xludf.DUMMYFUNCTION("""COMPUTED_VALUE"""),0.691)</f>
        <v>0.69099999999999995</v>
      </c>
      <c r="Z81" s="1">
        <f ca="1">IFERROR(__xludf.DUMMYFUNCTION("""COMPUTED_VALUE"""),290)</f>
        <v>290</v>
      </c>
      <c r="AA81" s="1">
        <f ca="1">IFERROR(__xludf.DUMMYFUNCTION("""COMPUTED_VALUE"""),1024)</f>
        <v>1024</v>
      </c>
      <c r="AB81" s="1">
        <f ca="1">IFERROR(__xludf.DUMMYFUNCTION("""COMPUTED_VALUE"""),323)</f>
        <v>323</v>
      </c>
      <c r="AC81" s="1">
        <f ca="1">IFERROR(__xludf.DUMMYFUNCTION("""COMPUTED_VALUE"""),115)</f>
        <v>115</v>
      </c>
      <c r="AD81" s="1">
        <f ca="1">IFERROR(__xludf.DUMMYFUNCTION("""COMPUTED_VALUE"""),125)</f>
        <v>125</v>
      </c>
      <c r="AE81" s="1">
        <f ca="1">IFERROR(__xludf.DUMMYFUNCTION("""COMPUTED_VALUE"""),365)</f>
        <v>365</v>
      </c>
      <c r="AF81" s="1">
        <f ca="1">IFERROR(__xludf.DUMMYFUNCTION("""COMPUTED_VALUE"""),615)</f>
        <v>615</v>
      </c>
    </row>
    <row r="82" spans="1:32" ht="12.5" x14ac:dyDescent="0.25">
      <c r="A82" s="1" t="str">
        <f ca="1">IFERROR(__xludf.DUMMYFUNCTION("""COMPUTED_VALUE"""),"Denver")</f>
        <v>Denver</v>
      </c>
      <c r="B82" s="1">
        <f ca="1">IFERROR(__xludf.DUMMYFUNCTION("""COMPUTED_VALUE"""),30)</f>
        <v>30</v>
      </c>
      <c r="C82" s="1">
        <f ca="1">IFERROR(__xludf.DUMMYFUNCTION("""COMPUTED_VALUE"""),13)</f>
        <v>13</v>
      </c>
      <c r="D82" s="1">
        <f ca="1">IFERROR(__xludf.DUMMYFUNCTION("""COMPUTED_VALUE"""),17)</f>
        <v>17</v>
      </c>
      <c r="E82" s="1">
        <f ca="1">IFERROR(__xludf.DUMMYFUNCTION("""COMPUTED_VALUE"""),0.433)</f>
        <v>0.433</v>
      </c>
      <c r="F82" s="1">
        <f ca="1">IFERROR(__xludf.DUMMYFUNCTION("""COMPUTED_VALUE"""),-4.04)</f>
        <v>-4.04</v>
      </c>
      <c r="G82" s="1">
        <f ca="1">IFERROR(__xludf.DUMMYFUNCTION("""COMPUTED_VALUE"""),-3.48)</f>
        <v>-3.48</v>
      </c>
      <c r="H82" s="1">
        <f ca="1">IFERROR(__xludf.DUMMYFUNCTION("""COMPUTED_VALUE"""),9)</f>
        <v>9</v>
      </c>
      <c r="I82" s="1">
        <f ca="1">IFERROR(__xludf.DUMMYFUNCTION("""COMPUTED_VALUE"""),7)</f>
        <v>7</v>
      </c>
      <c r="J82" s="1">
        <f ca="1">IFERROR(__xludf.DUMMYFUNCTION("""COMPUTED_VALUE"""),11)</f>
        <v>11</v>
      </c>
      <c r="K82" s="1">
        <f ca="1">IFERROR(__xludf.DUMMYFUNCTION("""COMPUTED_VALUE"""),4)</f>
        <v>4</v>
      </c>
      <c r="L82" s="1">
        <f ca="1">IFERROR(__xludf.DUMMYFUNCTION("""COMPUTED_VALUE"""),2)</f>
        <v>2</v>
      </c>
      <c r="M82" s="1">
        <f ca="1">IFERROR(__xludf.DUMMYFUNCTION("""COMPUTED_VALUE"""),10)</f>
        <v>10</v>
      </c>
      <c r="N82" s="1">
        <f ca="1">IFERROR(__xludf.DUMMYFUNCTION("""COMPUTED_VALUE"""),1800)</f>
        <v>1800</v>
      </c>
      <c r="O82" s="1">
        <f ca="1">IFERROR(__xludf.DUMMYFUNCTION("""COMPUTED_VALUE"""),1817)</f>
        <v>1817</v>
      </c>
      <c r="P82" s="1">
        <f ca="1">IFERROR(__xludf.DUMMYFUNCTION("""COMPUTED_VALUE"""),1220)</f>
        <v>1220</v>
      </c>
      <c r="Q82" s="1">
        <f ca="1">IFERROR(__xludf.DUMMYFUNCTION("""COMPUTED_VALUE"""),601)</f>
        <v>601</v>
      </c>
      <c r="R82" s="1">
        <f ca="1">IFERROR(__xludf.DUMMYFUNCTION("""COMPUTED_VALUE"""),1324)</f>
        <v>1324</v>
      </c>
      <c r="S82" s="1">
        <f ca="1">IFERROR(__xludf.DUMMYFUNCTION("""COMPUTED_VALUE"""),0.454)</f>
        <v>0.45400000000000001</v>
      </c>
      <c r="T82" s="1">
        <f ca="1">IFERROR(__xludf.DUMMYFUNCTION("""COMPUTED_VALUE"""),232)</f>
        <v>232</v>
      </c>
      <c r="U82" s="1">
        <f ca="1">IFERROR(__xludf.DUMMYFUNCTION("""COMPUTED_VALUE"""),578)</f>
        <v>578</v>
      </c>
      <c r="V82" s="1">
        <f ca="1">IFERROR(__xludf.DUMMYFUNCTION("""COMPUTED_VALUE"""),0.401)</f>
        <v>0.40100000000000002</v>
      </c>
      <c r="W82" s="1">
        <f ca="1">IFERROR(__xludf.DUMMYFUNCTION("""COMPUTED_VALUE"""),366)</f>
        <v>366</v>
      </c>
      <c r="X82" s="1">
        <f ca="1">IFERROR(__xludf.DUMMYFUNCTION("""COMPUTED_VALUE"""),505)</f>
        <v>505</v>
      </c>
      <c r="Y82" s="1">
        <f ca="1">IFERROR(__xludf.DUMMYFUNCTION("""COMPUTED_VALUE"""),0.725)</f>
        <v>0.72499999999999998</v>
      </c>
      <c r="Z82" s="1">
        <f ca="1">IFERROR(__xludf.DUMMYFUNCTION("""COMPUTED_VALUE"""),158)</f>
        <v>158</v>
      </c>
      <c r="AA82" s="1">
        <f ca="1">IFERROR(__xludf.DUMMYFUNCTION("""COMPUTED_VALUE"""),718)</f>
        <v>718</v>
      </c>
      <c r="AB82" s="1">
        <f ca="1">IFERROR(__xludf.DUMMYFUNCTION("""COMPUTED_VALUE"""),397)</f>
        <v>397</v>
      </c>
      <c r="AC82" s="1">
        <f ca="1">IFERROR(__xludf.DUMMYFUNCTION("""COMPUTED_VALUE"""),166)</f>
        <v>166</v>
      </c>
      <c r="AD82" s="1">
        <f ca="1">IFERROR(__xludf.DUMMYFUNCTION("""COMPUTED_VALUE"""),106)</f>
        <v>106</v>
      </c>
      <c r="AE82" s="1">
        <f ca="1">IFERROR(__xludf.DUMMYFUNCTION("""COMPUTED_VALUE"""),371)</f>
        <v>371</v>
      </c>
      <c r="AF82" s="1">
        <f ca="1">IFERROR(__xludf.DUMMYFUNCTION("""COMPUTED_VALUE"""),653)</f>
        <v>653</v>
      </c>
    </row>
    <row r="83" spans="1:32" ht="12.5" x14ac:dyDescent="0.25">
      <c r="A83" s="1" t="str">
        <f ca="1">IFERROR(__xludf.DUMMYFUNCTION("""COMPUTED_VALUE"""),"DePaul")</f>
        <v>DePaul</v>
      </c>
      <c r="B83" s="1">
        <f ca="1">IFERROR(__xludf.DUMMYFUNCTION("""COMPUTED_VALUE"""),31)</f>
        <v>31</v>
      </c>
      <c r="C83" s="1">
        <f ca="1">IFERROR(__xludf.DUMMYFUNCTION("""COMPUTED_VALUE"""),7)</f>
        <v>7</v>
      </c>
      <c r="D83" s="1">
        <f ca="1">IFERROR(__xludf.DUMMYFUNCTION("""COMPUTED_VALUE"""),24)</f>
        <v>24</v>
      </c>
      <c r="E83" s="1">
        <f ca="1">IFERROR(__xludf.DUMMYFUNCTION("""COMPUTED_VALUE"""),0.226)</f>
        <v>0.22600000000000001</v>
      </c>
      <c r="F83" s="1">
        <f ca="1">IFERROR(__xludf.DUMMYFUNCTION("""COMPUTED_VALUE"""),-1.31)</f>
        <v>-1.31</v>
      </c>
      <c r="G83" s="1">
        <f ca="1">IFERROR(__xludf.DUMMYFUNCTION("""COMPUTED_VALUE"""),7.53)</f>
        <v>7.53</v>
      </c>
      <c r="H83" s="1">
        <f ca="1">IFERROR(__xludf.DUMMYFUNCTION("""COMPUTED_VALUE"""),1)</f>
        <v>1</v>
      </c>
      <c r="I83" s="1">
        <f ca="1">IFERROR(__xludf.DUMMYFUNCTION("""COMPUTED_VALUE"""),17)</f>
        <v>17</v>
      </c>
      <c r="J83" s="1">
        <f ca="1">IFERROR(__xludf.DUMMYFUNCTION("""COMPUTED_VALUE"""),6)</f>
        <v>6</v>
      </c>
      <c r="K83" s="1">
        <f ca="1">IFERROR(__xludf.DUMMYFUNCTION("""COMPUTED_VALUE"""),11)</f>
        <v>11</v>
      </c>
      <c r="L83" s="1">
        <f ca="1">IFERROR(__xludf.DUMMYFUNCTION("""COMPUTED_VALUE"""),1)</f>
        <v>1</v>
      </c>
      <c r="M83" s="1">
        <f ca="1">IFERROR(__xludf.DUMMYFUNCTION("""COMPUTED_VALUE"""),9)</f>
        <v>9</v>
      </c>
      <c r="N83" s="1">
        <f ca="1">IFERROR(__xludf.DUMMYFUNCTION("""COMPUTED_VALUE"""),2104)</f>
        <v>2104</v>
      </c>
      <c r="O83" s="1">
        <f ca="1">IFERROR(__xludf.DUMMYFUNCTION("""COMPUTED_VALUE"""),2378)</f>
        <v>2378</v>
      </c>
      <c r="P83" s="1">
        <f ca="1">IFERROR(__xludf.DUMMYFUNCTION("""COMPUTED_VALUE"""),1255)</f>
        <v>1255</v>
      </c>
      <c r="Q83" s="1">
        <f ca="1">IFERROR(__xludf.DUMMYFUNCTION("""COMPUTED_VALUE"""),766)</f>
        <v>766</v>
      </c>
      <c r="R83" s="1">
        <f ca="1">IFERROR(__xludf.DUMMYFUNCTION("""COMPUTED_VALUE"""),1800)</f>
        <v>1800</v>
      </c>
      <c r="S83" s="1">
        <f ca="1">IFERROR(__xludf.DUMMYFUNCTION("""COMPUTED_VALUE"""),0.426)</f>
        <v>0.42599999999999999</v>
      </c>
      <c r="T83" s="1">
        <f ca="1">IFERROR(__xludf.DUMMYFUNCTION("""COMPUTED_VALUE"""),163)</f>
        <v>163</v>
      </c>
      <c r="U83" s="1">
        <f ca="1">IFERROR(__xludf.DUMMYFUNCTION("""COMPUTED_VALUE"""),519)</f>
        <v>519</v>
      </c>
      <c r="V83" s="1">
        <f ca="1">IFERROR(__xludf.DUMMYFUNCTION("""COMPUTED_VALUE"""),0.314)</f>
        <v>0.314</v>
      </c>
      <c r="W83" s="1">
        <f ca="1">IFERROR(__xludf.DUMMYFUNCTION("""COMPUTED_VALUE"""),409)</f>
        <v>409</v>
      </c>
      <c r="X83" s="1">
        <f ca="1">IFERROR(__xludf.DUMMYFUNCTION("""COMPUTED_VALUE"""),599)</f>
        <v>599</v>
      </c>
      <c r="Y83" s="1">
        <f ca="1">IFERROR(__xludf.DUMMYFUNCTION("""COMPUTED_VALUE"""),0.683)</f>
        <v>0.68300000000000005</v>
      </c>
      <c r="Z83" s="1">
        <f ca="1">IFERROR(__xludf.DUMMYFUNCTION("""COMPUTED_VALUE"""),340)</f>
        <v>340</v>
      </c>
      <c r="AA83" s="1">
        <f ca="1">IFERROR(__xludf.DUMMYFUNCTION("""COMPUTED_VALUE"""),944)</f>
        <v>944</v>
      </c>
      <c r="AB83" s="1">
        <f ca="1">IFERROR(__xludf.DUMMYFUNCTION("""COMPUTED_VALUE"""),446)</f>
        <v>446</v>
      </c>
      <c r="AC83" s="1">
        <f ca="1">IFERROR(__xludf.DUMMYFUNCTION("""COMPUTED_VALUE"""),231)</f>
        <v>231</v>
      </c>
      <c r="AD83" s="1">
        <f ca="1">IFERROR(__xludf.DUMMYFUNCTION("""COMPUTED_VALUE"""),103)</f>
        <v>103</v>
      </c>
      <c r="AE83" s="1">
        <f ca="1">IFERROR(__xludf.DUMMYFUNCTION("""COMPUTED_VALUE"""),420)</f>
        <v>420</v>
      </c>
      <c r="AF83" s="1">
        <f ca="1">IFERROR(__xludf.DUMMYFUNCTION("""COMPUTED_VALUE"""),617)</f>
        <v>617</v>
      </c>
    </row>
    <row r="84" spans="1:32" ht="12.5" x14ac:dyDescent="0.25">
      <c r="A84" s="1" t="str">
        <f ca="1">IFERROR(__xludf.DUMMYFUNCTION("""COMPUTED_VALUE"""),"Detroit Mercy")</f>
        <v>Detroit Mercy</v>
      </c>
      <c r="B84" s="1">
        <f ca="1">IFERROR(__xludf.DUMMYFUNCTION("""COMPUTED_VALUE"""),33)</f>
        <v>33</v>
      </c>
      <c r="C84" s="1">
        <f ca="1">IFERROR(__xludf.DUMMYFUNCTION("""COMPUTED_VALUE"""),17)</f>
        <v>17</v>
      </c>
      <c r="D84" s="1">
        <f ca="1">IFERROR(__xludf.DUMMYFUNCTION("""COMPUTED_VALUE"""),16)</f>
        <v>16</v>
      </c>
      <c r="E84" s="1">
        <f ca="1">IFERROR(__xludf.DUMMYFUNCTION("""COMPUTED_VALUE"""),0.515)</f>
        <v>0.51500000000000001</v>
      </c>
      <c r="F84" s="1">
        <f ca="1">IFERROR(__xludf.DUMMYFUNCTION("""COMPUTED_VALUE"""),1.88)</f>
        <v>1.88</v>
      </c>
      <c r="G84" s="1">
        <f ca="1">IFERROR(__xludf.DUMMYFUNCTION("""COMPUTED_VALUE"""),0.91)</f>
        <v>0.91</v>
      </c>
      <c r="H84" s="1">
        <f ca="1">IFERROR(__xludf.DUMMYFUNCTION("""COMPUTED_VALUE"""),10)</f>
        <v>10</v>
      </c>
      <c r="I84" s="1">
        <f ca="1">IFERROR(__xludf.DUMMYFUNCTION("""COMPUTED_VALUE"""),8)</f>
        <v>8</v>
      </c>
      <c r="J84" s="1">
        <f ca="1">IFERROR(__xludf.DUMMYFUNCTION("""COMPUTED_VALUE"""),11)</f>
        <v>11</v>
      </c>
      <c r="K84" s="1">
        <f ca="1">IFERROR(__xludf.DUMMYFUNCTION("""COMPUTED_VALUE"""),4)</f>
        <v>4</v>
      </c>
      <c r="L84" s="1">
        <f ca="1">IFERROR(__xludf.DUMMYFUNCTION("""COMPUTED_VALUE"""),6)</f>
        <v>6</v>
      </c>
      <c r="M84" s="1">
        <f ca="1">IFERROR(__xludf.DUMMYFUNCTION("""COMPUTED_VALUE"""),11)</f>
        <v>11</v>
      </c>
      <c r="N84" s="1">
        <f ca="1">IFERROR(__xludf.DUMMYFUNCTION("""COMPUTED_VALUE"""),2459)</f>
        <v>2459</v>
      </c>
      <c r="O84" s="1">
        <f ca="1">IFERROR(__xludf.DUMMYFUNCTION("""COMPUTED_VALUE"""),2397)</f>
        <v>2397</v>
      </c>
      <c r="P84" s="1">
        <f ca="1">IFERROR(__xludf.DUMMYFUNCTION("""COMPUTED_VALUE"""),1340)</f>
        <v>1340</v>
      </c>
      <c r="Q84" s="1">
        <f ca="1">IFERROR(__xludf.DUMMYFUNCTION("""COMPUTED_VALUE"""),849)</f>
        <v>849</v>
      </c>
      <c r="R84" s="1">
        <f ca="1">IFERROR(__xludf.DUMMYFUNCTION("""COMPUTED_VALUE"""),1832)</f>
        <v>1832</v>
      </c>
      <c r="S84" s="1">
        <f ca="1">IFERROR(__xludf.DUMMYFUNCTION("""COMPUTED_VALUE"""),0.463)</f>
        <v>0.46300000000000002</v>
      </c>
      <c r="T84" s="1">
        <f ca="1">IFERROR(__xludf.DUMMYFUNCTION("""COMPUTED_VALUE"""),168)</f>
        <v>168</v>
      </c>
      <c r="U84" s="1">
        <f ca="1">IFERROR(__xludf.DUMMYFUNCTION("""COMPUTED_VALUE"""),477)</f>
        <v>477</v>
      </c>
      <c r="V84" s="1">
        <f ca="1">IFERROR(__xludf.DUMMYFUNCTION("""COMPUTED_VALUE"""),0.352)</f>
        <v>0.35199999999999998</v>
      </c>
      <c r="W84" s="1">
        <f ca="1">IFERROR(__xludf.DUMMYFUNCTION("""COMPUTED_VALUE"""),593)</f>
        <v>593</v>
      </c>
      <c r="X84" s="1">
        <f ca="1">IFERROR(__xludf.DUMMYFUNCTION("""COMPUTED_VALUE"""),863)</f>
        <v>863</v>
      </c>
      <c r="Y84" s="1">
        <f ca="1">IFERROR(__xludf.DUMMYFUNCTION("""COMPUTED_VALUE"""),0.687)</f>
        <v>0.68700000000000006</v>
      </c>
      <c r="Z84" s="1">
        <f ca="1">IFERROR(__xludf.DUMMYFUNCTION("""COMPUTED_VALUE"""),400)</f>
        <v>400</v>
      </c>
      <c r="AA84" s="1">
        <f ca="1">IFERROR(__xludf.DUMMYFUNCTION("""COMPUTED_VALUE"""),1237)</f>
        <v>1237</v>
      </c>
      <c r="AB84" s="1">
        <f ca="1">IFERROR(__xludf.DUMMYFUNCTION("""COMPUTED_VALUE"""),405)</f>
        <v>405</v>
      </c>
      <c r="AC84" s="1">
        <f ca="1">IFERROR(__xludf.DUMMYFUNCTION("""COMPUTED_VALUE"""),251)</f>
        <v>251</v>
      </c>
      <c r="AD84" s="1">
        <f ca="1">IFERROR(__xludf.DUMMYFUNCTION("""COMPUTED_VALUE"""),165)</f>
        <v>165</v>
      </c>
      <c r="AE84" s="1">
        <f ca="1">IFERROR(__xludf.DUMMYFUNCTION("""COMPUTED_VALUE"""),517)</f>
        <v>517</v>
      </c>
      <c r="AF84" s="1">
        <f ca="1">IFERROR(__xludf.DUMMYFUNCTION("""COMPUTED_VALUE"""),640)</f>
        <v>640</v>
      </c>
    </row>
    <row r="85" spans="1:32" ht="12.5" x14ac:dyDescent="0.25">
      <c r="A85" s="1" t="str">
        <f ca="1">IFERROR(__xludf.DUMMYFUNCTION("""COMPUTED_VALUE"""),"Drake")</f>
        <v>Drake</v>
      </c>
      <c r="B85" s="1">
        <f ca="1">IFERROR(__xludf.DUMMYFUNCTION("""COMPUTED_VALUE"""),31)</f>
        <v>31</v>
      </c>
      <c r="C85" s="1">
        <f ca="1">IFERROR(__xludf.DUMMYFUNCTION("""COMPUTED_VALUE"""),13)</f>
        <v>13</v>
      </c>
      <c r="D85" s="1">
        <f ca="1">IFERROR(__xludf.DUMMYFUNCTION("""COMPUTED_VALUE"""),18)</f>
        <v>18</v>
      </c>
      <c r="E85" s="1">
        <f ca="1">IFERROR(__xludf.DUMMYFUNCTION("""COMPUTED_VALUE"""),0.419)</f>
        <v>0.41899999999999998</v>
      </c>
      <c r="F85" s="1">
        <f ca="1">IFERROR(__xludf.DUMMYFUNCTION("""COMPUTED_VALUE"""),-2.56)</f>
        <v>-2.56</v>
      </c>
      <c r="G85" s="1">
        <f ca="1">IFERROR(__xludf.DUMMYFUNCTION("""COMPUTED_VALUE"""),0.76)</f>
        <v>0.76</v>
      </c>
      <c r="H85" s="1">
        <f ca="1">IFERROR(__xludf.DUMMYFUNCTION("""COMPUTED_VALUE"""),7)</f>
        <v>7</v>
      </c>
      <c r="I85" s="1">
        <f ca="1">IFERROR(__xludf.DUMMYFUNCTION("""COMPUTED_VALUE"""),11)</f>
        <v>11</v>
      </c>
      <c r="J85" s="1">
        <f ca="1">IFERROR(__xludf.DUMMYFUNCTION("""COMPUTED_VALUE"""),10)</f>
        <v>10</v>
      </c>
      <c r="K85" s="1">
        <f ca="1">IFERROR(__xludf.DUMMYFUNCTION("""COMPUTED_VALUE"""),5)</f>
        <v>5</v>
      </c>
      <c r="L85" s="1">
        <f ca="1">IFERROR(__xludf.DUMMYFUNCTION("""COMPUTED_VALUE"""),2)</f>
        <v>2</v>
      </c>
      <c r="M85" s="1">
        <f ca="1">IFERROR(__xludf.DUMMYFUNCTION("""COMPUTED_VALUE"""),10)</f>
        <v>10</v>
      </c>
      <c r="N85" s="1">
        <f ca="1">IFERROR(__xludf.DUMMYFUNCTION("""COMPUTED_VALUE"""),1997)</f>
        <v>1997</v>
      </c>
      <c r="O85" s="1">
        <f ca="1">IFERROR(__xludf.DUMMYFUNCTION("""COMPUTED_VALUE"""),2100)</f>
        <v>2100</v>
      </c>
      <c r="P85" s="1">
        <f ca="1">IFERROR(__xludf.DUMMYFUNCTION("""COMPUTED_VALUE"""),1245)</f>
        <v>1245</v>
      </c>
      <c r="Q85" s="1">
        <f ca="1">IFERROR(__xludf.DUMMYFUNCTION("""COMPUTED_VALUE"""),687)</f>
        <v>687</v>
      </c>
      <c r="R85" s="1">
        <f ca="1">IFERROR(__xludf.DUMMYFUNCTION("""COMPUTED_VALUE"""),1608)</f>
        <v>1608</v>
      </c>
      <c r="S85" s="1">
        <f ca="1">IFERROR(__xludf.DUMMYFUNCTION("""COMPUTED_VALUE"""),0.427)</f>
        <v>0.42699999999999999</v>
      </c>
      <c r="T85" s="1">
        <f ca="1">IFERROR(__xludf.DUMMYFUNCTION("""COMPUTED_VALUE"""),203)</f>
        <v>203</v>
      </c>
      <c r="U85" s="1">
        <f ca="1">IFERROR(__xludf.DUMMYFUNCTION("""COMPUTED_VALUE"""),573)</f>
        <v>573</v>
      </c>
      <c r="V85" s="1">
        <f ca="1">IFERROR(__xludf.DUMMYFUNCTION("""COMPUTED_VALUE"""),0.354)</f>
        <v>0.35399999999999998</v>
      </c>
      <c r="W85" s="1">
        <f ca="1">IFERROR(__xludf.DUMMYFUNCTION("""COMPUTED_VALUE"""),420)</f>
        <v>420</v>
      </c>
      <c r="X85" s="1">
        <f ca="1">IFERROR(__xludf.DUMMYFUNCTION("""COMPUTED_VALUE"""),613)</f>
        <v>613</v>
      </c>
      <c r="Y85" s="1">
        <f ca="1">IFERROR(__xludf.DUMMYFUNCTION("""COMPUTED_VALUE"""),0.685)</f>
        <v>0.68500000000000005</v>
      </c>
      <c r="Z85" s="1">
        <f ca="1">IFERROR(__xludf.DUMMYFUNCTION("""COMPUTED_VALUE"""),247)</f>
        <v>247</v>
      </c>
      <c r="AA85" s="1">
        <f ca="1">IFERROR(__xludf.DUMMYFUNCTION("""COMPUTED_VALUE"""),931)</f>
        <v>931</v>
      </c>
      <c r="AB85" s="1">
        <f ca="1">IFERROR(__xludf.DUMMYFUNCTION("""COMPUTED_VALUE"""),359)</f>
        <v>359</v>
      </c>
      <c r="AC85" s="1">
        <f ca="1">IFERROR(__xludf.DUMMYFUNCTION("""COMPUTED_VALUE"""),175)</f>
        <v>175</v>
      </c>
      <c r="AD85" s="1">
        <f ca="1">IFERROR(__xludf.DUMMYFUNCTION("""COMPUTED_VALUE"""),87)</f>
        <v>87</v>
      </c>
      <c r="AE85" s="1">
        <f ca="1">IFERROR(__xludf.DUMMYFUNCTION("""COMPUTED_VALUE"""),377)</f>
        <v>377</v>
      </c>
      <c r="AF85" s="1">
        <f ca="1">IFERROR(__xludf.DUMMYFUNCTION("""COMPUTED_VALUE"""),568)</f>
        <v>568</v>
      </c>
    </row>
    <row r="86" spans="1:32" ht="12.5" x14ac:dyDescent="0.25">
      <c r="A86" s="1" t="str">
        <f ca="1">IFERROR(__xludf.DUMMYFUNCTION("""COMPUTED_VALUE"""),"Drexel")</f>
        <v>Drexel</v>
      </c>
      <c r="B86" s="1">
        <f ca="1">IFERROR(__xludf.DUMMYFUNCTION("""COMPUTED_VALUE"""),31)</f>
        <v>31</v>
      </c>
      <c r="C86" s="1">
        <f ca="1">IFERROR(__xludf.DUMMYFUNCTION("""COMPUTED_VALUE"""),21)</f>
        <v>21</v>
      </c>
      <c r="D86" s="1">
        <f ca="1">IFERROR(__xludf.DUMMYFUNCTION("""COMPUTED_VALUE"""),10)</f>
        <v>10</v>
      </c>
      <c r="E86" s="1">
        <f ca="1">IFERROR(__xludf.DUMMYFUNCTION("""COMPUTED_VALUE"""),0.677)</f>
        <v>0.67700000000000005</v>
      </c>
      <c r="F86" s="1">
        <f ca="1">IFERROR(__xludf.DUMMYFUNCTION("""COMPUTED_VALUE"""),4.02)</f>
        <v>4.0199999999999996</v>
      </c>
      <c r="G86" s="1">
        <f ca="1">IFERROR(__xludf.DUMMYFUNCTION("""COMPUTED_VALUE"""),-0.01)</f>
        <v>-0.01</v>
      </c>
      <c r="H86" s="1">
        <f ca="1">IFERROR(__xludf.DUMMYFUNCTION("""COMPUTED_VALUE"""),11)</f>
        <v>11</v>
      </c>
      <c r="I86" s="1">
        <f ca="1">IFERROR(__xludf.DUMMYFUNCTION("""COMPUTED_VALUE"""),7)</f>
        <v>7</v>
      </c>
      <c r="J86" s="1">
        <f ca="1">IFERROR(__xludf.DUMMYFUNCTION("""COMPUTED_VALUE"""),12)</f>
        <v>12</v>
      </c>
      <c r="K86" s="1">
        <f ca="1">IFERROR(__xludf.DUMMYFUNCTION("""COMPUTED_VALUE"""),2)</f>
        <v>2</v>
      </c>
      <c r="L86" s="1">
        <f ca="1">IFERROR(__xludf.DUMMYFUNCTION("""COMPUTED_VALUE"""),7)</f>
        <v>7</v>
      </c>
      <c r="M86" s="1">
        <f ca="1">IFERROR(__xludf.DUMMYFUNCTION("""COMPUTED_VALUE"""),7)</f>
        <v>7</v>
      </c>
      <c r="N86" s="1">
        <f ca="1">IFERROR(__xludf.DUMMYFUNCTION("""COMPUTED_VALUE"""),1975)</f>
        <v>1975</v>
      </c>
      <c r="O86" s="1">
        <f ca="1">IFERROR(__xludf.DUMMYFUNCTION("""COMPUTED_VALUE"""),1850)</f>
        <v>1850</v>
      </c>
      <c r="P86" s="1">
        <f ca="1">IFERROR(__xludf.DUMMYFUNCTION("""COMPUTED_VALUE"""),1245)</f>
        <v>1245</v>
      </c>
      <c r="Q86" s="1">
        <f ca="1">IFERROR(__xludf.DUMMYFUNCTION("""COMPUTED_VALUE"""),719)</f>
        <v>719</v>
      </c>
      <c r="R86" s="1">
        <f ca="1">IFERROR(__xludf.DUMMYFUNCTION("""COMPUTED_VALUE"""),1696)</f>
        <v>1696</v>
      </c>
      <c r="S86" s="1">
        <f ca="1">IFERROR(__xludf.DUMMYFUNCTION("""COMPUTED_VALUE"""),0.424)</f>
        <v>0.42399999999999999</v>
      </c>
      <c r="T86" s="1">
        <f ca="1">IFERROR(__xludf.DUMMYFUNCTION("""COMPUTED_VALUE"""),117)</f>
        <v>117</v>
      </c>
      <c r="U86" s="1">
        <f ca="1">IFERROR(__xludf.DUMMYFUNCTION("""COMPUTED_VALUE"""),378)</f>
        <v>378</v>
      </c>
      <c r="V86" s="1">
        <f ca="1">IFERROR(__xludf.DUMMYFUNCTION("""COMPUTED_VALUE"""),0.31)</f>
        <v>0.31</v>
      </c>
      <c r="W86" s="1">
        <f ca="1">IFERROR(__xludf.DUMMYFUNCTION("""COMPUTED_VALUE"""),420)</f>
        <v>420</v>
      </c>
      <c r="X86" s="1">
        <f ca="1">IFERROR(__xludf.DUMMYFUNCTION("""COMPUTED_VALUE"""),683)</f>
        <v>683</v>
      </c>
      <c r="Y86" s="1">
        <f ca="1">IFERROR(__xludf.DUMMYFUNCTION("""COMPUTED_VALUE"""),0.615)</f>
        <v>0.61499999999999999</v>
      </c>
      <c r="Z86" s="1">
        <f ca="1">IFERROR(__xludf.DUMMYFUNCTION("""COMPUTED_VALUE"""),423)</f>
        <v>423</v>
      </c>
      <c r="AA86" s="1">
        <f ca="1">IFERROR(__xludf.DUMMYFUNCTION("""COMPUTED_VALUE"""),1249)</f>
        <v>1249</v>
      </c>
      <c r="AB86" s="1">
        <f ca="1">IFERROR(__xludf.DUMMYFUNCTION("""COMPUTED_VALUE"""),348)</f>
        <v>348</v>
      </c>
      <c r="AC86" s="1">
        <f ca="1">IFERROR(__xludf.DUMMYFUNCTION("""COMPUTED_VALUE"""),127)</f>
        <v>127</v>
      </c>
      <c r="AD86" s="1">
        <f ca="1">IFERROR(__xludf.DUMMYFUNCTION("""COMPUTED_VALUE"""),85)</f>
        <v>85</v>
      </c>
      <c r="AE86" s="1">
        <f ca="1">IFERROR(__xludf.DUMMYFUNCTION("""COMPUTED_VALUE"""),370)</f>
        <v>370</v>
      </c>
      <c r="AF86" s="1">
        <f ca="1">IFERROR(__xludf.DUMMYFUNCTION("""COMPUTED_VALUE"""),583)</f>
        <v>583</v>
      </c>
    </row>
    <row r="87" spans="1:32" ht="12.5" x14ac:dyDescent="0.25">
      <c r="A87" s="1" t="str">
        <f ca="1">IFERROR(__xludf.DUMMYFUNCTION("""COMPUTED_VALUE"""),"DukeNCAA")</f>
        <v>DukeNCAA</v>
      </c>
      <c r="B87" s="1">
        <f ca="1">IFERROR(__xludf.DUMMYFUNCTION("""COMPUTED_VALUE"""),37)</f>
        <v>37</v>
      </c>
      <c r="C87" s="1">
        <f ca="1">IFERROR(__xludf.DUMMYFUNCTION("""COMPUTED_VALUE"""),32)</f>
        <v>32</v>
      </c>
      <c r="D87" s="1">
        <f ca="1">IFERROR(__xludf.DUMMYFUNCTION("""COMPUTED_VALUE"""),5)</f>
        <v>5</v>
      </c>
      <c r="E87" s="1">
        <f ca="1">IFERROR(__xludf.DUMMYFUNCTION("""COMPUTED_VALUE"""),0.865)</f>
        <v>0.86499999999999999</v>
      </c>
      <c r="F87" s="1">
        <f ca="1">IFERROR(__xludf.DUMMYFUNCTION("""COMPUTED_VALUE"""),24.51)</f>
        <v>24.51</v>
      </c>
      <c r="G87" s="1">
        <f ca="1">IFERROR(__xludf.DUMMYFUNCTION("""COMPUTED_VALUE"""),8.32)</f>
        <v>8.32</v>
      </c>
      <c r="H87" s="1">
        <f ca="1">IFERROR(__xludf.DUMMYFUNCTION("""COMPUTED_VALUE"""),13)</f>
        <v>13</v>
      </c>
      <c r="I87" s="1">
        <f ca="1">IFERROR(__xludf.DUMMYFUNCTION("""COMPUTED_VALUE"""),3)</f>
        <v>3</v>
      </c>
      <c r="J87" s="1">
        <f ca="1">IFERROR(__xludf.DUMMYFUNCTION("""COMPUTED_VALUE"""),17)</f>
        <v>17</v>
      </c>
      <c r="K87" s="1">
        <f ca="1">IFERROR(__xludf.DUMMYFUNCTION("""COMPUTED_VALUE"""),0)</f>
        <v>0</v>
      </c>
      <c r="L87" s="1">
        <f ca="1">IFERROR(__xludf.DUMMYFUNCTION("""COMPUTED_VALUE"""),6)</f>
        <v>6</v>
      </c>
      <c r="M87" s="1">
        <f ca="1">IFERROR(__xludf.DUMMYFUNCTION("""COMPUTED_VALUE"""),4)</f>
        <v>4</v>
      </c>
      <c r="N87" s="1">
        <f ca="1">IFERROR(__xludf.DUMMYFUNCTION("""COMPUTED_VALUE"""),2993)</f>
        <v>2993</v>
      </c>
      <c r="O87" s="1">
        <f ca="1">IFERROR(__xludf.DUMMYFUNCTION("""COMPUTED_VALUE"""),2394)</f>
        <v>2394</v>
      </c>
      <c r="P87" s="1">
        <f ca="1">IFERROR(__xludf.DUMMYFUNCTION("""COMPUTED_VALUE"""),1480)</f>
        <v>1480</v>
      </c>
      <c r="Q87" s="1">
        <f ca="1">IFERROR(__xludf.DUMMYFUNCTION("""COMPUTED_VALUE"""),1040)</f>
        <v>1040</v>
      </c>
      <c r="R87" s="1">
        <f ca="1">IFERROR(__xludf.DUMMYFUNCTION("""COMPUTED_VALUE"""),2206)</f>
        <v>2206</v>
      </c>
      <c r="S87" s="1">
        <f ca="1">IFERROR(__xludf.DUMMYFUNCTION("""COMPUTED_VALUE"""),0.471)</f>
        <v>0.47099999999999997</v>
      </c>
      <c r="T87" s="1">
        <f ca="1">IFERROR(__xludf.DUMMYFUNCTION("""COMPUTED_VALUE"""),291)</f>
        <v>291</v>
      </c>
      <c r="U87" s="1">
        <f ca="1">IFERROR(__xludf.DUMMYFUNCTION("""COMPUTED_VALUE"""),778)</f>
        <v>778</v>
      </c>
      <c r="V87" s="1">
        <f ca="1">IFERROR(__xludf.DUMMYFUNCTION("""COMPUTED_VALUE"""),0.374)</f>
        <v>0.374</v>
      </c>
      <c r="W87" s="1">
        <f ca="1">IFERROR(__xludf.DUMMYFUNCTION("""COMPUTED_VALUE"""),622)</f>
        <v>622</v>
      </c>
      <c r="X87" s="1">
        <f ca="1">IFERROR(__xludf.DUMMYFUNCTION("""COMPUTED_VALUE"""),826)</f>
        <v>826</v>
      </c>
      <c r="Y87" s="1">
        <f ca="1">IFERROR(__xludf.DUMMYFUNCTION("""COMPUTED_VALUE"""),0.753)</f>
        <v>0.753</v>
      </c>
      <c r="Z87" s="1">
        <f ca="1">IFERROR(__xludf.DUMMYFUNCTION("""COMPUTED_VALUE"""),446)</f>
        <v>446</v>
      </c>
      <c r="AA87" s="1">
        <f ca="1">IFERROR(__xludf.DUMMYFUNCTION("""COMPUTED_VALUE"""),1399)</f>
        <v>1399</v>
      </c>
      <c r="AB87" s="1">
        <f ca="1">IFERROR(__xludf.DUMMYFUNCTION("""COMPUTED_VALUE"""),529)</f>
        <v>529</v>
      </c>
      <c r="AC87" s="1">
        <f ca="1">IFERROR(__xludf.DUMMYFUNCTION("""COMPUTED_VALUE"""),269)</f>
        <v>269</v>
      </c>
      <c r="AD87" s="1">
        <f ca="1">IFERROR(__xludf.DUMMYFUNCTION("""COMPUTED_VALUE"""),162)</f>
        <v>162</v>
      </c>
      <c r="AE87" s="1">
        <f ca="1">IFERROR(__xludf.DUMMYFUNCTION("""COMPUTED_VALUE"""),447)</f>
        <v>447</v>
      </c>
      <c r="AF87" s="1">
        <f ca="1">IFERROR(__xludf.DUMMYFUNCTION("""COMPUTED_VALUE"""),657)</f>
        <v>657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IFERROR(__xludf.DUMMYFUNCTION("""COMPUTED_VALUE"""),"Duquesne")</f>
        <v>Duquesne</v>
      </c>
      <c r="B90" s="1">
        <f ca="1">IFERROR(__xludf.DUMMYFUNCTION("""COMPUTED_VALUE"""),32)</f>
        <v>32</v>
      </c>
      <c r="C90" s="1">
        <f ca="1">IFERROR(__xludf.DUMMYFUNCTION("""COMPUTED_VALUE"""),19)</f>
        <v>19</v>
      </c>
      <c r="D90" s="1">
        <f ca="1">IFERROR(__xludf.DUMMYFUNCTION("""COMPUTED_VALUE"""),13)</f>
        <v>13</v>
      </c>
      <c r="E90" s="1">
        <f ca="1">IFERROR(__xludf.DUMMYFUNCTION("""COMPUTED_VALUE"""),0.594)</f>
        <v>0.59399999999999997</v>
      </c>
      <c r="F90" s="1">
        <f ca="1">IFERROR(__xludf.DUMMYFUNCTION("""COMPUTED_VALUE"""),10.33)</f>
        <v>10.33</v>
      </c>
      <c r="G90" s="1">
        <f ca="1">IFERROR(__xludf.DUMMYFUNCTION("""COMPUTED_VALUE"""),1.49)</f>
        <v>1.49</v>
      </c>
      <c r="H90" s="1">
        <f ca="1">IFERROR(__xludf.DUMMYFUNCTION("""COMPUTED_VALUE"""),10)</f>
        <v>10</v>
      </c>
      <c r="I90" s="1">
        <f ca="1">IFERROR(__xludf.DUMMYFUNCTION("""COMPUTED_VALUE"""),6)</f>
        <v>6</v>
      </c>
      <c r="J90" s="1">
        <f ca="1">IFERROR(__xludf.DUMMYFUNCTION("""COMPUTED_VALUE"""),10)</f>
        <v>10</v>
      </c>
      <c r="K90" s="1">
        <f ca="1">IFERROR(__xludf.DUMMYFUNCTION("""COMPUTED_VALUE"""),2)</f>
        <v>2</v>
      </c>
      <c r="L90" s="1">
        <f ca="1">IFERROR(__xludf.DUMMYFUNCTION("""COMPUTED_VALUE"""),8)</f>
        <v>8</v>
      </c>
      <c r="M90" s="1">
        <f ca="1">IFERROR(__xludf.DUMMYFUNCTION("""COMPUTED_VALUE"""),7)</f>
        <v>7</v>
      </c>
      <c r="N90" s="1">
        <f ca="1">IFERROR(__xludf.DUMMYFUNCTION("""COMPUTED_VALUE"""),2494)</f>
        <v>2494</v>
      </c>
      <c r="O90" s="1">
        <f ca="1">IFERROR(__xludf.DUMMYFUNCTION("""COMPUTED_VALUE"""),2177)</f>
        <v>2177</v>
      </c>
      <c r="P90" s="1">
        <f ca="1">IFERROR(__xludf.DUMMYFUNCTION("""COMPUTED_VALUE"""),1295)</f>
        <v>1295</v>
      </c>
      <c r="Q90" s="1">
        <f ca="1">IFERROR(__xludf.DUMMYFUNCTION("""COMPUTED_VALUE"""),872)</f>
        <v>872</v>
      </c>
      <c r="R90" s="1">
        <f ca="1">IFERROR(__xludf.DUMMYFUNCTION("""COMPUTED_VALUE"""),1905)</f>
        <v>1905</v>
      </c>
      <c r="S90" s="1">
        <f ca="1">IFERROR(__xludf.DUMMYFUNCTION("""COMPUTED_VALUE"""),0.458)</f>
        <v>0.45800000000000002</v>
      </c>
      <c r="T90" s="1">
        <f ca="1">IFERROR(__xludf.DUMMYFUNCTION("""COMPUTED_VALUE"""),256)</f>
        <v>256</v>
      </c>
      <c r="U90" s="1">
        <f ca="1">IFERROR(__xludf.DUMMYFUNCTION("""COMPUTED_VALUE"""),712)</f>
        <v>712</v>
      </c>
      <c r="V90" s="1">
        <f ca="1">IFERROR(__xludf.DUMMYFUNCTION("""COMPUTED_VALUE"""),0.36)</f>
        <v>0.36</v>
      </c>
      <c r="W90" s="1">
        <f ca="1">IFERROR(__xludf.DUMMYFUNCTION("""COMPUTED_VALUE"""),494)</f>
        <v>494</v>
      </c>
      <c r="X90" s="1">
        <f ca="1">IFERROR(__xludf.DUMMYFUNCTION("""COMPUTED_VALUE"""),794)</f>
        <v>794</v>
      </c>
      <c r="Y90" s="1">
        <f ca="1">IFERROR(__xludf.DUMMYFUNCTION("""COMPUTED_VALUE"""),0.622)</f>
        <v>0.622</v>
      </c>
      <c r="Z90" s="1">
        <f ca="1">IFERROR(__xludf.DUMMYFUNCTION("""COMPUTED_VALUE"""),405)</f>
        <v>405</v>
      </c>
      <c r="AA90" s="1">
        <f ca="1">IFERROR(__xludf.DUMMYFUNCTION("""COMPUTED_VALUE"""),1128)</f>
        <v>1128</v>
      </c>
      <c r="AB90" s="1">
        <f ca="1">IFERROR(__xludf.DUMMYFUNCTION("""COMPUTED_VALUE"""),571)</f>
        <v>571</v>
      </c>
      <c r="AC90" s="1">
        <f ca="1">IFERROR(__xludf.DUMMYFUNCTION("""COMPUTED_VALUE"""),317)</f>
        <v>317</v>
      </c>
      <c r="AD90" s="1">
        <f ca="1">IFERROR(__xludf.DUMMYFUNCTION("""COMPUTED_VALUE"""),170)</f>
        <v>170</v>
      </c>
      <c r="AE90" s="1">
        <f ca="1">IFERROR(__xludf.DUMMYFUNCTION("""COMPUTED_VALUE"""),428)</f>
        <v>428</v>
      </c>
      <c r="AF90" s="1">
        <f ca="1">IFERROR(__xludf.DUMMYFUNCTION("""COMPUTED_VALUE"""),616)</f>
        <v>616</v>
      </c>
    </row>
    <row r="91" spans="1:32" ht="12.5" x14ac:dyDescent="0.25">
      <c r="A91" s="1" t="str">
        <f ca="1">IFERROR(__xludf.DUMMYFUNCTION("""COMPUTED_VALUE"""),"East Carolina")</f>
        <v>East Carolina</v>
      </c>
      <c r="B91" s="1">
        <f ca="1">IFERROR(__xludf.DUMMYFUNCTION("""COMPUTED_VALUE"""),34)</f>
        <v>34</v>
      </c>
      <c r="C91" s="1">
        <f ca="1">IFERROR(__xludf.DUMMYFUNCTION("""COMPUTED_VALUE"""),18)</f>
        <v>18</v>
      </c>
      <c r="D91" s="1">
        <f ca="1">IFERROR(__xludf.DUMMYFUNCTION("""COMPUTED_VALUE"""),16)</f>
        <v>16</v>
      </c>
      <c r="E91" s="1">
        <f ca="1">IFERROR(__xludf.DUMMYFUNCTION("""COMPUTED_VALUE"""),0.529)</f>
        <v>0.52900000000000003</v>
      </c>
      <c r="F91" s="1">
        <f ca="1">IFERROR(__xludf.DUMMYFUNCTION("""COMPUTED_VALUE"""),1.67)</f>
        <v>1.67</v>
      </c>
      <c r="G91" s="1">
        <f ca="1">IFERROR(__xludf.DUMMYFUNCTION("""COMPUTED_VALUE"""),2.99)</f>
        <v>2.99</v>
      </c>
      <c r="H91" s="1">
        <f ca="1">IFERROR(__xludf.DUMMYFUNCTION("""COMPUTED_VALUE"""),8)</f>
        <v>8</v>
      </c>
      <c r="I91" s="1">
        <f ca="1">IFERROR(__xludf.DUMMYFUNCTION("""COMPUTED_VALUE"""),8)</f>
        <v>8</v>
      </c>
      <c r="J91" s="1">
        <f ca="1">IFERROR(__xludf.DUMMYFUNCTION("""COMPUTED_VALUE"""),11)</f>
        <v>11</v>
      </c>
      <c r="K91" s="1">
        <f ca="1">IFERROR(__xludf.DUMMYFUNCTION("""COMPUTED_VALUE"""),5)</f>
        <v>5</v>
      </c>
      <c r="L91" s="1">
        <f ca="1">IFERROR(__xludf.DUMMYFUNCTION("""COMPUTED_VALUE"""),4)</f>
        <v>4</v>
      </c>
      <c r="M91" s="1">
        <f ca="1">IFERROR(__xludf.DUMMYFUNCTION("""COMPUTED_VALUE"""),7)</f>
        <v>7</v>
      </c>
      <c r="N91" s="1">
        <f ca="1">IFERROR(__xludf.DUMMYFUNCTION("""COMPUTED_VALUE"""),2319)</f>
        <v>2319</v>
      </c>
      <c r="O91" s="1">
        <f ca="1">IFERROR(__xludf.DUMMYFUNCTION("""COMPUTED_VALUE"""),2288)</f>
        <v>2288</v>
      </c>
      <c r="P91" s="1">
        <f ca="1">IFERROR(__xludf.DUMMYFUNCTION("""COMPUTED_VALUE"""),1370)</f>
        <v>1370</v>
      </c>
      <c r="Q91" s="1">
        <f ca="1">IFERROR(__xludf.DUMMYFUNCTION("""COMPUTED_VALUE"""),735)</f>
        <v>735</v>
      </c>
      <c r="R91" s="1">
        <f ca="1">IFERROR(__xludf.DUMMYFUNCTION("""COMPUTED_VALUE"""),1728)</f>
        <v>1728</v>
      </c>
      <c r="S91" s="1">
        <f ca="1">IFERROR(__xludf.DUMMYFUNCTION("""COMPUTED_VALUE"""),0.425)</f>
        <v>0.42499999999999999</v>
      </c>
      <c r="T91" s="1">
        <f ca="1">IFERROR(__xludf.DUMMYFUNCTION("""COMPUTED_VALUE"""),258)</f>
        <v>258</v>
      </c>
      <c r="U91" s="1">
        <f ca="1">IFERROR(__xludf.DUMMYFUNCTION("""COMPUTED_VALUE"""),721)</f>
        <v>721</v>
      </c>
      <c r="V91" s="1">
        <f ca="1">IFERROR(__xludf.DUMMYFUNCTION("""COMPUTED_VALUE"""),0.358)</f>
        <v>0.35799999999999998</v>
      </c>
      <c r="W91" s="1">
        <f ca="1">IFERROR(__xludf.DUMMYFUNCTION("""COMPUTED_VALUE"""),591)</f>
        <v>591</v>
      </c>
      <c r="X91" s="1">
        <f ca="1">IFERROR(__xludf.DUMMYFUNCTION("""COMPUTED_VALUE"""),854)</f>
        <v>854</v>
      </c>
      <c r="Y91" s="1">
        <f ca="1">IFERROR(__xludf.DUMMYFUNCTION("""COMPUTED_VALUE"""),0.692)</f>
        <v>0.69199999999999995</v>
      </c>
      <c r="Z91" s="1">
        <f ca="1">IFERROR(__xludf.DUMMYFUNCTION("""COMPUTED_VALUE"""),357)</f>
        <v>357</v>
      </c>
      <c r="AA91" s="1">
        <f ca="1">IFERROR(__xludf.DUMMYFUNCTION("""COMPUTED_VALUE"""),1139)</f>
        <v>1139</v>
      </c>
      <c r="AB91" s="1">
        <f ca="1">IFERROR(__xludf.DUMMYFUNCTION("""COMPUTED_VALUE"""),440)</f>
        <v>440</v>
      </c>
      <c r="AC91" s="1">
        <f ca="1">IFERROR(__xludf.DUMMYFUNCTION("""COMPUTED_VALUE"""),221)</f>
        <v>221</v>
      </c>
      <c r="AD91" s="1">
        <f ca="1">IFERROR(__xludf.DUMMYFUNCTION("""COMPUTED_VALUE"""),95)</f>
        <v>95</v>
      </c>
      <c r="AE91" s="1">
        <f ca="1">IFERROR(__xludf.DUMMYFUNCTION("""COMPUTED_VALUE"""),478)</f>
        <v>478</v>
      </c>
      <c r="AF91" s="1">
        <f ca="1">IFERROR(__xludf.DUMMYFUNCTION("""COMPUTED_VALUE"""),666)</f>
        <v>666</v>
      </c>
    </row>
    <row r="92" spans="1:32" ht="12.5" x14ac:dyDescent="0.25">
      <c r="A92" s="1" t="str">
        <f ca="1">IFERROR(__xludf.DUMMYFUNCTION("""COMPUTED_VALUE"""),"East Tennessee State")</f>
        <v>East Tennessee State</v>
      </c>
      <c r="B92" s="1">
        <f ca="1">IFERROR(__xludf.DUMMYFUNCTION("""COMPUTED_VALUE"""),36)</f>
        <v>36</v>
      </c>
      <c r="C92" s="1">
        <f ca="1">IFERROR(__xludf.DUMMYFUNCTION("""COMPUTED_VALUE"""),24)</f>
        <v>24</v>
      </c>
      <c r="D92" s="1">
        <f ca="1">IFERROR(__xludf.DUMMYFUNCTION("""COMPUTED_VALUE"""),12)</f>
        <v>12</v>
      </c>
      <c r="E92" s="1">
        <f ca="1">IFERROR(__xludf.DUMMYFUNCTION("""COMPUTED_VALUE"""),0.667)</f>
        <v>0.66700000000000004</v>
      </c>
      <c r="F92" s="1">
        <f ca="1">IFERROR(__xludf.DUMMYFUNCTION("""COMPUTED_VALUE"""),2.08)</f>
        <v>2.08</v>
      </c>
      <c r="G92" s="1">
        <f ca="1">IFERROR(__xludf.DUMMYFUNCTION("""COMPUTED_VALUE"""),-2.12)</f>
        <v>-2.12</v>
      </c>
      <c r="H92" s="1">
        <f ca="1">IFERROR(__xludf.DUMMYFUNCTION("""COMPUTED_VALUE"""),16)</f>
        <v>16</v>
      </c>
      <c r="I92" s="1">
        <f ca="1">IFERROR(__xludf.DUMMYFUNCTION("""COMPUTED_VALUE"""),4)</f>
        <v>4</v>
      </c>
      <c r="J92" s="1">
        <f ca="1">IFERROR(__xludf.DUMMYFUNCTION("""COMPUTED_VALUE"""),13)</f>
        <v>13</v>
      </c>
      <c r="K92" s="1">
        <f ca="1">IFERROR(__xludf.DUMMYFUNCTION("""COMPUTED_VALUE"""),2)</f>
        <v>2</v>
      </c>
      <c r="L92" s="1">
        <f ca="1">IFERROR(__xludf.DUMMYFUNCTION("""COMPUTED_VALUE"""),9)</f>
        <v>9</v>
      </c>
      <c r="M92" s="1">
        <f ca="1">IFERROR(__xludf.DUMMYFUNCTION("""COMPUTED_VALUE"""),7)</f>
        <v>7</v>
      </c>
      <c r="N92" s="1">
        <f ca="1">IFERROR(__xludf.DUMMYFUNCTION("""COMPUTED_VALUE"""),2515)</f>
        <v>2515</v>
      </c>
      <c r="O92" s="1">
        <f ca="1">IFERROR(__xludf.DUMMYFUNCTION("""COMPUTED_VALUE"""),2320)</f>
        <v>2320</v>
      </c>
      <c r="P92" s="1">
        <f ca="1">IFERROR(__xludf.DUMMYFUNCTION("""COMPUTED_VALUE"""),1450)</f>
        <v>1450</v>
      </c>
      <c r="Q92" s="1">
        <f ca="1">IFERROR(__xludf.DUMMYFUNCTION("""COMPUTED_VALUE"""),873)</f>
        <v>873</v>
      </c>
      <c r="R92" s="1">
        <f ca="1">IFERROR(__xludf.DUMMYFUNCTION("""COMPUTED_VALUE"""),1924)</f>
        <v>1924</v>
      </c>
      <c r="S92" s="1">
        <f ca="1">IFERROR(__xludf.DUMMYFUNCTION("""COMPUTED_VALUE"""),0.454)</f>
        <v>0.45400000000000001</v>
      </c>
      <c r="T92" s="1">
        <f ca="1">IFERROR(__xludf.DUMMYFUNCTION("""COMPUTED_VALUE"""),189)</f>
        <v>189</v>
      </c>
      <c r="U92" s="1">
        <f ca="1">IFERROR(__xludf.DUMMYFUNCTION("""COMPUTED_VALUE"""),540)</f>
        <v>540</v>
      </c>
      <c r="V92" s="1">
        <f ca="1">IFERROR(__xludf.DUMMYFUNCTION("""COMPUTED_VALUE"""),0.35)</f>
        <v>0.35</v>
      </c>
      <c r="W92" s="1">
        <f ca="1">IFERROR(__xludf.DUMMYFUNCTION("""COMPUTED_VALUE"""),580)</f>
        <v>580</v>
      </c>
      <c r="X92" s="1">
        <f ca="1">IFERROR(__xludf.DUMMYFUNCTION("""COMPUTED_VALUE"""),856)</f>
        <v>856</v>
      </c>
      <c r="Y92" s="1">
        <f ca="1">IFERROR(__xludf.DUMMYFUNCTION("""COMPUTED_VALUE"""),0.678)</f>
        <v>0.67800000000000005</v>
      </c>
      <c r="Z92" s="1">
        <f ca="1">IFERROR(__xludf.DUMMYFUNCTION("""COMPUTED_VALUE"""),406)</f>
        <v>406</v>
      </c>
      <c r="AA92" s="1">
        <f ca="1">IFERROR(__xludf.DUMMYFUNCTION("""COMPUTED_VALUE"""),1288)</f>
        <v>1288</v>
      </c>
      <c r="AB92" s="1">
        <f ca="1">IFERROR(__xludf.DUMMYFUNCTION("""COMPUTED_VALUE"""),390)</f>
        <v>390</v>
      </c>
      <c r="AC92" s="1">
        <f ca="1">IFERROR(__xludf.DUMMYFUNCTION("""COMPUTED_VALUE"""),243)</f>
        <v>243</v>
      </c>
      <c r="AD92" s="1">
        <f ca="1">IFERROR(__xludf.DUMMYFUNCTION("""COMPUTED_VALUE"""),137)</f>
        <v>137</v>
      </c>
      <c r="AE92" s="1">
        <f ca="1">IFERROR(__xludf.DUMMYFUNCTION("""COMPUTED_VALUE"""),477)</f>
        <v>477</v>
      </c>
      <c r="AF92" s="1">
        <f ca="1">IFERROR(__xludf.DUMMYFUNCTION("""COMPUTED_VALUE"""),663)</f>
        <v>663</v>
      </c>
    </row>
    <row r="93" spans="1:32" ht="12.5" x14ac:dyDescent="0.25">
      <c r="A93" s="1" t="str">
        <f ca="1">IFERROR(__xludf.DUMMYFUNCTION("""COMPUTED_VALUE"""),"Eastern Illinois")</f>
        <v>Eastern Illinois</v>
      </c>
      <c r="B93" s="1">
        <f ca="1">IFERROR(__xludf.DUMMYFUNCTION("""COMPUTED_VALUE"""),29)</f>
        <v>29</v>
      </c>
      <c r="C93" s="1">
        <f ca="1">IFERROR(__xludf.DUMMYFUNCTION("""COMPUTED_VALUE"""),9)</f>
        <v>9</v>
      </c>
      <c r="D93" s="1">
        <f ca="1">IFERROR(__xludf.DUMMYFUNCTION("""COMPUTED_VALUE"""),20)</f>
        <v>20</v>
      </c>
      <c r="E93" s="1">
        <f ca="1">IFERROR(__xludf.DUMMYFUNCTION("""COMPUTED_VALUE"""),0.31)</f>
        <v>0.31</v>
      </c>
      <c r="F93" s="1">
        <f ca="1">IFERROR(__xludf.DUMMYFUNCTION("""COMPUTED_VALUE"""),-11.41)</f>
        <v>-11.41</v>
      </c>
      <c r="G93" s="1">
        <f ca="1">IFERROR(__xludf.DUMMYFUNCTION("""COMPUTED_VALUE"""),-4.89)</f>
        <v>-4.8899999999999997</v>
      </c>
      <c r="H93" s="1">
        <f ca="1">IFERROR(__xludf.DUMMYFUNCTION("""COMPUTED_VALUE"""),4)</f>
        <v>4</v>
      </c>
      <c r="I93" s="1">
        <f ca="1">IFERROR(__xludf.DUMMYFUNCTION("""COMPUTED_VALUE"""),14)</f>
        <v>14</v>
      </c>
      <c r="J93" s="1">
        <f ca="1">IFERROR(__xludf.DUMMYFUNCTION("""COMPUTED_VALUE"""),5)</f>
        <v>5</v>
      </c>
      <c r="K93" s="1">
        <f ca="1">IFERROR(__xludf.DUMMYFUNCTION("""COMPUTED_VALUE"""),9)</f>
        <v>9</v>
      </c>
      <c r="L93" s="1">
        <f ca="1">IFERROR(__xludf.DUMMYFUNCTION("""COMPUTED_VALUE"""),4)</f>
        <v>4</v>
      </c>
      <c r="M93" s="1">
        <f ca="1">IFERROR(__xludf.DUMMYFUNCTION("""COMPUTED_VALUE"""),11)</f>
        <v>11</v>
      </c>
      <c r="N93" s="1">
        <f ca="1">IFERROR(__xludf.DUMMYFUNCTION("""COMPUTED_VALUE"""),1749)</f>
        <v>1749</v>
      </c>
      <c r="O93" s="1">
        <f ca="1">IFERROR(__xludf.DUMMYFUNCTION("""COMPUTED_VALUE"""),1875)</f>
        <v>1875</v>
      </c>
      <c r="P93" s="1">
        <f ca="1">IFERROR(__xludf.DUMMYFUNCTION("""COMPUTED_VALUE"""),1165)</f>
        <v>1165</v>
      </c>
      <c r="Q93" s="1">
        <f ca="1">IFERROR(__xludf.DUMMYFUNCTION("""COMPUTED_VALUE"""),640)</f>
        <v>640</v>
      </c>
      <c r="R93" s="1">
        <f ca="1">IFERROR(__xludf.DUMMYFUNCTION("""COMPUTED_VALUE"""),1519)</f>
        <v>1519</v>
      </c>
      <c r="S93" s="1">
        <f ca="1">IFERROR(__xludf.DUMMYFUNCTION("""COMPUTED_VALUE"""),0.421)</f>
        <v>0.42099999999999999</v>
      </c>
      <c r="T93" s="1">
        <f ca="1">IFERROR(__xludf.DUMMYFUNCTION("""COMPUTED_VALUE"""),117)</f>
        <v>117</v>
      </c>
      <c r="U93" s="1">
        <f ca="1">IFERROR(__xludf.DUMMYFUNCTION("""COMPUTED_VALUE"""),363)</f>
        <v>363</v>
      </c>
      <c r="V93" s="1">
        <f ca="1">IFERROR(__xludf.DUMMYFUNCTION("""COMPUTED_VALUE"""),0.322)</f>
        <v>0.32200000000000001</v>
      </c>
      <c r="W93" s="1">
        <f ca="1">IFERROR(__xludf.DUMMYFUNCTION("""COMPUTED_VALUE"""),352)</f>
        <v>352</v>
      </c>
      <c r="X93" s="1">
        <f ca="1">IFERROR(__xludf.DUMMYFUNCTION("""COMPUTED_VALUE"""),486)</f>
        <v>486</v>
      </c>
      <c r="Y93" s="1">
        <f ca="1">IFERROR(__xludf.DUMMYFUNCTION("""COMPUTED_VALUE"""),0.724)</f>
        <v>0.72399999999999998</v>
      </c>
      <c r="Z93" s="1">
        <f ca="1">IFERROR(__xludf.DUMMYFUNCTION("""COMPUTED_VALUE"""),309)</f>
        <v>309</v>
      </c>
      <c r="AA93" s="1">
        <f ca="1">IFERROR(__xludf.DUMMYFUNCTION("""COMPUTED_VALUE"""),986)</f>
        <v>986</v>
      </c>
      <c r="AB93" s="1">
        <f ca="1">IFERROR(__xludf.DUMMYFUNCTION("""COMPUTED_VALUE"""),366)</f>
        <v>366</v>
      </c>
      <c r="AC93" s="1">
        <f ca="1">IFERROR(__xludf.DUMMYFUNCTION("""COMPUTED_VALUE"""),173)</f>
        <v>173</v>
      </c>
      <c r="AD93" s="1">
        <f ca="1">IFERROR(__xludf.DUMMYFUNCTION("""COMPUTED_VALUE"""),72)</f>
        <v>72</v>
      </c>
      <c r="AE93" s="1">
        <f ca="1">IFERROR(__xludf.DUMMYFUNCTION("""COMPUTED_VALUE"""),405)</f>
        <v>405</v>
      </c>
      <c r="AF93" s="1">
        <f ca="1">IFERROR(__xludf.DUMMYFUNCTION("""COMPUTED_VALUE"""),550)</f>
        <v>550</v>
      </c>
    </row>
    <row r="94" spans="1:32" ht="12.5" x14ac:dyDescent="0.25">
      <c r="A94" s="1" t="str">
        <f ca="1">IFERROR(__xludf.DUMMYFUNCTION("""COMPUTED_VALUE"""),"Eastern Kentucky")</f>
        <v>Eastern Kentucky</v>
      </c>
      <c r="B94" s="1">
        <f ca="1">IFERROR(__xludf.DUMMYFUNCTION("""COMPUTED_VALUE"""),31)</f>
        <v>31</v>
      </c>
      <c r="C94" s="1">
        <f ca="1">IFERROR(__xludf.DUMMYFUNCTION("""COMPUTED_VALUE"""),15)</f>
        <v>15</v>
      </c>
      <c r="D94" s="1">
        <f ca="1">IFERROR(__xludf.DUMMYFUNCTION("""COMPUTED_VALUE"""),16)</f>
        <v>16</v>
      </c>
      <c r="E94" s="1">
        <f ca="1">IFERROR(__xludf.DUMMYFUNCTION("""COMPUTED_VALUE"""),0.484)</f>
        <v>0.48399999999999999</v>
      </c>
      <c r="F94" s="1">
        <f ca="1">IFERROR(__xludf.DUMMYFUNCTION("""COMPUTED_VALUE"""),-7.34)</f>
        <v>-7.34</v>
      </c>
      <c r="G94" s="1">
        <f ca="1">IFERROR(__xludf.DUMMYFUNCTION("""COMPUTED_VALUE"""),-6.48)</f>
        <v>-6.48</v>
      </c>
      <c r="H94" s="1">
        <f ca="1">IFERROR(__xludf.DUMMYFUNCTION("""COMPUTED_VALUE"""),9)</f>
        <v>9</v>
      </c>
      <c r="I94" s="1">
        <f ca="1">IFERROR(__xludf.DUMMYFUNCTION("""COMPUTED_VALUE"""),9)</f>
        <v>9</v>
      </c>
      <c r="J94" s="1">
        <f ca="1">IFERROR(__xludf.DUMMYFUNCTION("""COMPUTED_VALUE"""),8)</f>
        <v>8</v>
      </c>
      <c r="K94" s="1">
        <f ca="1">IFERROR(__xludf.DUMMYFUNCTION("""COMPUTED_VALUE"""),5)</f>
        <v>5</v>
      </c>
      <c r="L94" s="1">
        <f ca="1">IFERROR(__xludf.DUMMYFUNCTION("""COMPUTED_VALUE"""),6)</f>
        <v>6</v>
      </c>
      <c r="M94" s="1">
        <f ca="1">IFERROR(__xludf.DUMMYFUNCTION("""COMPUTED_VALUE"""),9)</f>
        <v>9</v>
      </c>
      <c r="N94" s="1">
        <f ca="1">IFERROR(__xludf.DUMMYFUNCTION("""COMPUTED_VALUE"""),2046)</f>
        <v>2046</v>
      </c>
      <c r="O94" s="1">
        <f ca="1">IFERROR(__xludf.DUMMYFUNCTION("""COMPUTED_VALUE"""),1957)</f>
        <v>1957</v>
      </c>
      <c r="P94" s="1">
        <f ca="1">IFERROR(__xludf.DUMMYFUNCTION("""COMPUTED_VALUE"""),1250)</f>
        <v>1250</v>
      </c>
      <c r="Q94" s="1">
        <f ca="1">IFERROR(__xludf.DUMMYFUNCTION("""COMPUTED_VALUE"""),707)</f>
        <v>707</v>
      </c>
      <c r="R94" s="1">
        <f ca="1">IFERROR(__xludf.DUMMYFUNCTION("""COMPUTED_VALUE"""),1584)</f>
        <v>1584</v>
      </c>
      <c r="S94" s="1">
        <f ca="1">IFERROR(__xludf.DUMMYFUNCTION("""COMPUTED_VALUE"""),0.446)</f>
        <v>0.44600000000000001</v>
      </c>
      <c r="T94" s="1">
        <f ca="1">IFERROR(__xludf.DUMMYFUNCTION("""COMPUTED_VALUE"""),247)</f>
        <v>247</v>
      </c>
      <c r="U94" s="1">
        <f ca="1">IFERROR(__xludf.DUMMYFUNCTION("""COMPUTED_VALUE"""),671)</f>
        <v>671</v>
      </c>
      <c r="V94" s="1">
        <f ca="1">IFERROR(__xludf.DUMMYFUNCTION("""COMPUTED_VALUE"""),0.368)</f>
        <v>0.36799999999999999</v>
      </c>
      <c r="W94" s="1">
        <f ca="1">IFERROR(__xludf.DUMMYFUNCTION("""COMPUTED_VALUE"""),385)</f>
        <v>385</v>
      </c>
      <c r="X94" s="1">
        <f ca="1">IFERROR(__xludf.DUMMYFUNCTION("""COMPUTED_VALUE"""),519)</f>
        <v>519</v>
      </c>
      <c r="Y94" s="1">
        <f ca="1">IFERROR(__xludf.DUMMYFUNCTION("""COMPUTED_VALUE"""),0.742)</f>
        <v>0.74199999999999999</v>
      </c>
      <c r="Z94" s="1">
        <f ca="1">IFERROR(__xludf.DUMMYFUNCTION("""COMPUTED_VALUE"""),253)</f>
        <v>253</v>
      </c>
      <c r="AA94" s="1">
        <f ca="1">IFERROR(__xludf.DUMMYFUNCTION("""COMPUTED_VALUE"""),889)</f>
        <v>889</v>
      </c>
      <c r="AB94" s="1">
        <f ca="1">IFERROR(__xludf.DUMMYFUNCTION("""COMPUTED_VALUE"""),436)</f>
        <v>436</v>
      </c>
      <c r="AC94" s="1">
        <f ca="1">IFERROR(__xludf.DUMMYFUNCTION("""COMPUTED_VALUE"""),187)</f>
        <v>187</v>
      </c>
      <c r="AD94" s="1">
        <f ca="1">IFERROR(__xludf.DUMMYFUNCTION("""COMPUTED_VALUE"""),85)</f>
        <v>85</v>
      </c>
      <c r="AE94" s="1">
        <f ca="1">IFERROR(__xludf.DUMMYFUNCTION("""COMPUTED_VALUE"""),374)</f>
        <v>374</v>
      </c>
      <c r="AF94" s="1">
        <f ca="1">IFERROR(__xludf.DUMMYFUNCTION("""COMPUTED_VALUE"""),561)</f>
        <v>561</v>
      </c>
    </row>
    <row r="95" spans="1:32" ht="12.5" x14ac:dyDescent="0.25">
      <c r="A95" s="1" t="str">
        <f ca="1">IFERROR(__xludf.DUMMYFUNCTION("""COMPUTED_VALUE"""),"Eastern Michigan")</f>
        <v>Eastern Michigan</v>
      </c>
      <c r="B95" s="1">
        <f ca="1">IFERROR(__xludf.DUMMYFUNCTION("""COMPUTED_VALUE"""),31)</f>
        <v>31</v>
      </c>
      <c r="C95" s="1">
        <f ca="1">IFERROR(__xludf.DUMMYFUNCTION("""COMPUTED_VALUE"""),9)</f>
        <v>9</v>
      </c>
      <c r="D95" s="1">
        <f ca="1">IFERROR(__xludf.DUMMYFUNCTION("""COMPUTED_VALUE"""),22)</f>
        <v>22</v>
      </c>
      <c r="E95" s="1">
        <f ca="1">IFERROR(__xludf.DUMMYFUNCTION("""COMPUTED_VALUE"""),0.29)</f>
        <v>0.28999999999999998</v>
      </c>
      <c r="F95" s="1">
        <f ca="1">IFERROR(__xludf.DUMMYFUNCTION("""COMPUTED_VALUE"""),-9.11)</f>
        <v>-9.11</v>
      </c>
      <c r="G95" s="1">
        <f ca="1">IFERROR(__xludf.DUMMYFUNCTION("""COMPUTED_VALUE"""),-3.11)</f>
        <v>-3.11</v>
      </c>
      <c r="H95" s="1">
        <f ca="1">IFERROR(__xludf.DUMMYFUNCTION("""COMPUTED_VALUE"""),5)</f>
        <v>5</v>
      </c>
      <c r="I95" s="1">
        <f ca="1">IFERROR(__xludf.DUMMYFUNCTION("""COMPUTED_VALUE"""),11)</f>
        <v>11</v>
      </c>
      <c r="J95" s="1">
        <f ca="1">IFERROR(__xludf.DUMMYFUNCTION("""COMPUTED_VALUE"""),7)</f>
        <v>7</v>
      </c>
      <c r="K95" s="1">
        <f ca="1">IFERROR(__xludf.DUMMYFUNCTION("""COMPUTED_VALUE"""),6)</f>
        <v>6</v>
      </c>
      <c r="L95" s="1">
        <f ca="1">IFERROR(__xludf.DUMMYFUNCTION("""COMPUTED_VALUE"""),1)</f>
        <v>1</v>
      </c>
      <c r="M95" s="1">
        <f ca="1">IFERROR(__xludf.DUMMYFUNCTION("""COMPUTED_VALUE"""),13)</f>
        <v>13</v>
      </c>
      <c r="N95" s="1">
        <f ca="1">IFERROR(__xludf.DUMMYFUNCTION("""COMPUTED_VALUE"""),1906)</f>
        <v>1906</v>
      </c>
      <c r="O95" s="1">
        <f ca="1">IFERROR(__xludf.DUMMYFUNCTION("""COMPUTED_VALUE"""),2030)</f>
        <v>2030</v>
      </c>
      <c r="P95" s="1">
        <f ca="1">IFERROR(__xludf.DUMMYFUNCTION("""COMPUTED_VALUE"""),1245)</f>
        <v>1245</v>
      </c>
      <c r="Q95" s="1">
        <f ca="1">IFERROR(__xludf.DUMMYFUNCTION("""COMPUTED_VALUE"""),659)</f>
        <v>659</v>
      </c>
      <c r="R95" s="1">
        <f ca="1">IFERROR(__xludf.DUMMYFUNCTION("""COMPUTED_VALUE"""),1696)</f>
        <v>1696</v>
      </c>
      <c r="S95" s="1">
        <f ca="1">IFERROR(__xludf.DUMMYFUNCTION("""COMPUTED_VALUE"""),0.389)</f>
        <v>0.38900000000000001</v>
      </c>
      <c r="T95" s="1">
        <f ca="1">IFERROR(__xludf.DUMMYFUNCTION("""COMPUTED_VALUE"""),214)</f>
        <v>214</v>
      </c>
      <c r="U95" s="1">
        <f ca="1">IFERROR(__xludf.DUMMYFUNCTION("""COMPUTED_VALUE"""),664)</f>
        <v>664</v>
      </c>
      <c r="V95" s="1">
        <f ca="1">IFERROR(__xludf.DUMMYFUNCTION("""COMPUTED_VALUE"""),0.322)</f>
        <v>0.32200000000000001</v>
      </c>
      <c r="W95" s="1">
        <f ca="1">IFERROR(__xludf.DUMMYFUNCTION("""COMPUTED_VALUE"""),374)</f>
        <v>374</v>
      </c>
      <c r="X95" s="1">
        <f ca="1">IFERROR(__xludf.DUMMYFUNCTION("""COMPUTED_VALUE"""),599)</f>
        <v>599</v>
      </c>
      <c r="Y95" s="1">
        <f ca="1">IFERROR(__xludf.DUMMYFUNCTION("""COMPUTED_VALUE"""),0.624)</f>
        <v>0.624</v>
      </c>
      <c r="Z95" s="1">
        <f ca="1">IFERROR(__xludf.DUMMYFUNCTION("""COMPUTED_VALUE"""),332)</f>
        <v>332</v>
      </c>
      <c r="AA95" s="1">
        <f ca="1">IFERROR(__xludf.DUMMYFUNCTION("""COMPUTED_VALUE"""),1086)</f>
        <v>1086</v>
      </c>
      <c r="AB95" s="1">
        <f ca="1">IFERROR(__xludf.DUMMYFUNCTION("""COMPUTED_VALUE"""),404)</f>
        <v>404</v>
      </c>
      <c r="AC95" s="1">
        <f ca="1">IFERROR(__xludf.DUMMYFUNCTION("""COMPUTED_VALUE"""),203)</f>
        <v>203</v>
      </c>
      <c r="AD95" s="1">
        <f ca="1">IFERROR(__xludf.DUMMYFUNCTION("""COMPUTED_VALUE"""),115)</f>
        <v>115</v>
      </c>
      <c r="AE95" s="1">
        <f ca="1">IFERROR(__xludf.DUMMYFUNCTION("""COMPUTED_VALUE"""),449)</f>
        <v>449</v>
      </c>
      <c r="AF95" s="1">
        <f ca="1">IFERROR(__xludf.DUMMYFUNCTION("""COMPUTED_VALUE"""),607)</f>
        <v>607</v>
      </c>
    </row>
    <row r="96" spans="1:32" ht="12.5" x14ac:dyDescent="0.25">
      <c r="A96" s="1" t="str">
        <f ca="1">IFERROR(__xludf.DUMMYFUNCTION("""COMPUTED_VALUE"""),"Eastern Washington")</f>
        <v>Eastern Washington</v>
      </c>
      <c r="B96" s="1">
        <f ca="1">IFERROR(__xludf.DUMMYFUNCTION("""COMPUTED_VALUE"""),30)</f>
        <v>30</v>
      </c>
      <c r="C96" s="1">
        <f ca="1">IFERROR(__xludf.DUMMYFUNCTION("""COMPUTED_VALUE"""),10)</f>
        <v>10</v>
      </c>
      <c r="D96" s="1">
        <f ca="1">IFERROR(__xludf.DUMMYFUNCTION("""COMPUTED_VALUE"""),20)</f>
        <v>20</v>
      </c>
      <c r="E96" s="1">
        <f ca="1">IFERROR(__xludf.DUMMYFUNCTION("""COMPUTED_VALUE"""),0.333)</f>
        <v>0.33300000000000002</v>
      </c>
      <c r="F96" s="1">
        <f ca="1">IFERROR(__xludf.DUMMYFUNCTION("""COMPUTED_VALUE"""),-8.5)</f>
        <v>-8.5</v>
      </c>
      <c r="G96" s="1">
        <f ca="1">IFERROR(__xludf.DUMMYFUNCTION("""COMPUTED_VALUE"""),-2.22)</f>
        <v>-2.2200000000000002</v>
      </c>
      <c r="H96" s="1">
        <f ca="1">IFERROR(__xludf.DUMMYFUNCTION("""COMPUTED_VALUE"""),7)</f>
        <v>7</v>
      </c>
      <c r="I96" s="1">
        <f ca="1">IFERROR(__xludf.DUMMYFUNCTION("""COMPUTED_VALUE"""),9)</f>
        <v>9</v>
      </c>
      <c r="J96" s="1">
        <f ca="1">IFERROR(__xludf.DUMMYFUNCTION("""COMPUTED_VALUE"""),8)</f>
        <v>8</v>
      </c>
      <c r="K96" s="1">
        <f ca="1">IFERROR(__xludf.DUMMYFUNCTION("""COMPUTED_VALUE"""),6)</f>
        <v>6</v>
      </c>
      <c r="L96" s="1">
        <f ca="1">IFERROR(__xludf.DUMMYFUNCTION("""COMPUTED_VALUE"""),2)</f>
        <v>2</v>
      </c>
      <c r="M96" s="1">
        <f ca="1">IFERROR(__xludf.DUMMYFUNCTION("""COMPUTED_VALUE"""),14)</f>
        <v>14</v>
      </c>
      <c r="N96" s="1">
        <f ca="1">IFERROR(__xludf.DUMMYFUNCTION("""COMPUTED_VALUE"""),2023)</f>
        <v>2023</v>
      </c>
      <c r="O96" s="1">
        <f ca="1">IFERROR(__xludf.DUMMYFUNCTION("""COMPUTED_VALUE"""),2119)</f>
        <v>2119</v>
      </c>
      <c r="P96" s="1">
        <f ca="1">IFERROR(__xludf.DUMMYFUNCTION("""COMPUTED_VALUE"""),1210)</f>
        <v>1210</v>
      </c>
      <c r="Q96" s="1">
        <f ca="1">IFERROR(__xludf.DUMMYFUNCTION("""COMPUTED_VALUE"""),688)</f>
        <v>688</v>
      </c>
      <c r="R96" s="1">
        <f ca="1">IFERROR(__xludf.DUMMYFUNCTION("""COMPUTED_VALUE"""),1685)</f>
        <v>1685</v>
      </c>
      <c r="S96" s="1">
        <f ca="1">IFERROR(__xludf.DUMMYFUNCTION("""COMPUTED_VALUE"""),0.408)</f>
        <v>0.40799999999999997</v>
      </c>
      <c r="T96" s="1">
        <f ca="1">IFERROR(__xludf.DUMMYFUNCTION("""COMPUTED_VALUE"""),242)</f>
        <v>242</v>
      </c>
      <c r="U96" s="1">
        <f ca="1">IFERROR(__xludf.DUMMYFUNCTION("""COMPUTED_VALUE"""),656)</f>
        <v>656</v>
      </c>
      <c r="V96" s="1">
        <f ca="1">IFERROR(__xludf.DUMMYFUNCTION("""COMPUTED_VALUE"""),0.369)</f>
        <v>0.36899999999999999</v>
      </c>
      <c r="W96" s="1">
        <f ca="1">IFERROR(__xludf.DUMMYFUNCTION("""COMPUTED_VALUE"""),405)</f>
        <v>405</v>
      </c>
      <c r="X96" s="1">
        <f ca="1">IFERROR(__xludf.DUMMYFUNCTION("""COMPUTED_VALUE"""),611)</f>
        <v>611</v>
      </c>
      <c r="Y96" s="1">
        <f ca="1">IFERROR(__xludf.DUMMYFUNCTION("""COMPUTED_VALUE"""),0.663)</f>
        <v>0.66300000000000003</v>
      </c>
      <c r="Z96" s="1">
        <f ca="1">IFERROR(__xludf.DUMMYFUNCTION("""COMPUTED_VALUE"""),370)</f>
        <v>370</v>
      </c>
      <c r="AA96" s="1">
        <f ca="1">IFERROR(__xludf.DUMMYFUNCTION("""COMPUTED_VALUE"""),1032)</f>
        <v>1032</v>
      </c>
      <c r="AB96" s="1">
        <f ca="1">IFERROR(__xludf.DUMMYFUNCTION("""COMPUTED_VALUE"""),356)</f>
        <v>356</v>
      </c>
      <c r="AC96" s="1">
        <f ca="1">IFERROR(__xludf.DUMMYFUNCTION("""COMPUTED_VALUE"""),174)</f>
        <v>174</v>
      </c>
      <c r="AD96" s="1">
        <f ca="1">IFERROR(__xludf.DUMMYFUNCTION("""COMPUTED_VALUE"""),120)</f>
        <v>120</v>
      </c>
      <c r="AE96" s="1">
        <f ca="1">IFERROR(__xludf.DUMMYFUNCTION("""COMPUTED_VALUE"""),412)</f>
        <v>412</v>
      </c>
      <c r="AF96" s="1">
        <f ca="1">IFERROR(__xludf.DUMMYFUNCTION("""COMPUTED_VALUE"""),612)</f>
        <v>612</v>
      </c>
    </row>
    <row r="97" spans="1:32" ht="12.5" x14ac:dyDescent="0.25">
      <c r="A97" s="1" t="str">
        <f ca="1">IFERROR(__xludf.DUMMYFUNCTION("""COMPUTED_VALUE"""),"Elon")</f>
        <v>Elon</v>
      </c>
      <c r="B97" s="1">
        <f ca="1">IFERROR(__xludf.DUMMYFUNCTION("""COMPUTED_VALUE"""),31)</f>
        <v>31</v>
      </c>
      <c r="C97" s="1">
        <f ca="1">IFERROR(__xludf.DUMMYFUNCTION("""COMPUTED_VALUE"""),14)</f>
        <v>14</v>
      </c>
      <c r="D97" s="1">
        <f ca="1">IFERROR(__xludf.DUMMYFUNCTION("""COMPUTED_VALUE"""),17)</f>
        <v>17</v>
      </c>
      <c r="E97" s="1">
        <f ca="1">IFERROR(__xludf.DUMMYFUNCTION("""COMPUTED_VALUE"""),0.452)</f>
        <v>0.45200000000000001</v>
      </c>
      <c r="F97" s="1">
        <f ca="1">IFERROR(__xludf.DUMMYFUNCTION("""COMPUTED_VALUE"""),-6.54)</f>
        <v>-6.54</v>
      </c>
      <c r="G97" s="1">
        <f ca="1">IFERROR(__xludf.DUMMYFUNCTION("""COMPUTED_VALUE"""),-3.32)</f>
        <v>-3.32</v>
      </c>
      <c r="H97" s="1">
        <f ca="1">IFERROR(__xludf.DUMMYFUNCTION("""COMPUTED_VALUE"""),7)</f>
        <v>7</v>
      </c>
      <c r="I97" s="1">
        <f ca="1">IFERROR(__xludf.DUMMYFUNCTION("""COMPUTED_VALUE"""),11)</f>
        <v>11</v>
      </c>
      <c r="J97" s="1">
        <f ca="1">IFERROR(__xludf.DUMMYFUNCTION("""COMPUTED_VALUE"""),8)</f>
        <v>8</v>
      </c>
      <c r="K97" s="1">
        <f ca="1">IFERROR(__xludf.DUMMYFUNCTION("""COMPUTED_VALUE"""),5)</f>
        <v>5</v>
      </c>
      <c r="L97" s="1">
        <f ca="1">IFERROR(__xludf.DUMMYFUNCTION("""COMPUTED_VALUE"""),5)</f>
        <v>5</v>
      </c>
      <c r="M97" s="1">
        <f ca="1">IFERROR(__xludf.DUMMYFUNCTION("""COMPUTED_VALUE"""),9)</f>
        <v>9</v>
      </c>
      <c r="N97" s="1">
        <f ca="1">IFERROR(__xludf.DUMMYFUNCTION("""COMPUTED_VALUE"""),2301)</f>
        <v>2301</v>
      </c>
      <c r="O97" s="1">
        <f ca="1">IFERROR(__xludf.DUMMYFUNCTION("""COMPUTED_VALUE"""),2301)</f>
        <v>2301</v>
      </c>
      <c r="P97" s="1">
        <f ca="1">IFERROR(__xludf.DUMMYFUNCTION("""COMPUTED_VALUE"""),1240)</f>
        <v>1240</v>
      </c>
      <c r="Q97" s="1">
        <f ca="1">IFERROR(__xludf.DUMMYFUNCTION("""COMPUTED_VALUE"""),765)</f>
        <v>765</v>
      </c>
      <c r="R97" s="1">
        <f ca="1">IFERROR(__xludf.DUMMYFUNCTION("""COMPUTED_VALUE"""),1785)</f>
        <v>1785</v>
      </c>
      <c r="S97" s="1">
        <f ca="1">IFERROR(__xludf.DUMMYFUNCTION("""COMPUTED_VALUE"""),0.429)</f>
        <v>0.42899999999999999</v>
      </c>
      <c r="T97" s="1">
        <f ca="1">IFERROR(__xludf.DUMMYFUNCTION("""COMPUTED_VALUE"""),285)</f>
        <v>285</v>
      </c>
      <c r="U97" s="1">
        <f ca="1">IFERROR(__xludf.DUMMYFUNCTION("""COMPUTED_VALUE"""),783)</f>
        <v>783</v>
      </c>
      <c r="V97" s="1">
        <f ca="1">IFERROR(__xludf.DUMMYFUNCTION("""COMPUTED_VALUE"""),0.364)</f>
        <v>0.36399999999999999</v>
      </c>
      <c r="W97" s="1">
        <f ca="1">IFERROR(__xludf.DUMMYFUNCTION("""COMPUTED_VALUE"""),486)</f>
        <v>486</v>
      </c>
      <c r="X97" s="1">
        <f ca="1">IFERROR(__xludf.DUMMYFUNCTION("""COMPUTED_VALUE"""),681)</f>
        <v>681</v>
      </c>
      <c r="Y97" s="1">
        <f ca="1">IFERROR(__xludf.DUMMYFUNCTION("""COMPUTED_VALUE"""),0.714)</f>
        <v>0.71399999999999997</v>
      </c>
      <c r="Z97" s="1">
        <f ca="1">IFERROR(__xludf.DUMMYFUNCTION("""COMPUTED_VALUE"""),321)</f>
        <v>321</v>
      </c>
      <c r="AA97" s="1">
        <f ca="1">IFERROR(__xludf.DUMMYFUNCTION("""COMPUTED_VALUE"""),1063)</f>
        <v>1063</v>
      </c>
      <c r="AB97" s="1">
        <f ca="1">IFERROR(__xludf.DUMMYFUNCTION("""COMPUTED_VALUE"""),435)</f>
        <v>435</v>
      </c>
      <c r="AC97" s="1">
        <f ca="1">IFERROR(__xludf.DUMMYFUNCTION("""COMPUTED_VALUE"""),171)</f>
        <v>171</v>
      </c>
      <c r="AD97" s="1">
        <f ca="1">IFERROR(__xludf.DUMMYFUNCTION("""COMPUTED_VALUE"""),81)</f>
        <v>81</v>
      </c>
      <c r="AE97" s="1">
        <f ca="1">IFERROR(__xludf.DUMMYFUNCTION("""COMPUTED_VALUE"""),391)</f>
        <v>391</v>
      </c>
      <c r="AF97" s="1">
        <f ca="1">IFERROR(__xludf.DUMMYFUNCTION("""COMPUTED_VALUE"""),599)</f>
        <v>599</v>
      </c>
    </row>
    <row r="98" spans="1:32" ht="12.5" x14ac:dyDescent="0.25">
      <c r="A98" s="1" t="str">
        <f ca="1">IFERROR(__xludf.DUMMYFUNCTION("""COMPUTED_VALUE"""),"Evansville")</f>
        <v>Evansville</v>
      </c>
      <c r="B98" s="1">
        <f ca="1">IFERROR(__xludf.DUMMYFUNCTION("""COMPUTED_VALUE"""),32)</f>
        <v>32</v>
      </c>
      <c r="C98" s="1">
        <f ca="1">IFERROR(__xludf.DUMMYFUNCTION("""COMPUTED_VALUE"""),16)</f>
        <v>16</v>
      </c>
      <c r="D98" s="1">
        <f ca="1">IFERROR(__xludf.DUMMYFUNCTION("""COMPUTED_VALUE"""),16)</f>
        <v>16</v>
      </c>
      <c r="E98" s="1">
        <f ca="1">IFERROR(__xludf.DUMMYFUNCTION("""COMPUTED_VALUE"""),0.5)</f>
        <v>0.5</v>
      </c>
      <c r="F98" s="1">
        <f ca="1">IFERROR(__xludf.DUMMYFUNCTION("""COMPUTED_VALUE"""),-0.3)</f>
        <v>-0.3</v>
      </c>
      <c r="G98" s="1">
        <f ca="1">IFERROR(__xludf.DUMMYFUNCTION("""COMPUTED_VALUE"""),1.8)</f>
        <v>1.8</v>
      </c>
      <c r="H98" s="1">
        <f ca="1">IFERROR(__xludf.DUMMYFUNCTION("""COMPUTED_VALUE"""),9)</f>
        <v>9</v>
      </c>
      <c r="I98" s="1">
        <f ca="1">IFERROR(__xludf.DUMMYFUNCTION("""COMPUTED_VALUE"""),9)</f>
        <v>9</v>
      </c>
      <c r="J98" s="1">
        <f ca="1">IFERROR(__xludf.DUMMYFUNCTION("""COMPUTED_VALUE"""),13)</f>
        <v>13</v>
      </c>
      <c r="K98" s="1">
        <f ca="1">IFERROR(__xludf.DUMMYFUNCTION("""COMPUTED_VALUE"""),3)</f>
        <v>3</v>
      </c>
      <c r="L98" s="1">
        <f ca="1">IFERROR(__xludf.DUMMYFUNCTION("""COMPUTED_VALUE"""),3)</f>
        <v>3</v>
      </c>
      <c r="M98" s="1">
        <f ca="1">IFERROR(__xludf.DUMMYFUNCTION("""COMPUTED_VALUE"""),12)</f>
        <v>12</v>
      </c>
      <c r="N98" s="1">
        <f ca="1">IFERROR(__xludf.DUMMYFUNCTION("""COMPUTED_VALUE"""),2122)</f>
        <v>2122</v>
      </c>
      <c r="O98" s="1">
        <f ca="1">IFERROR(__xludf.DUMMYFUNCTION("""COMPUTED_VALUE"""),2147)</f>
        <v>2147</v>
      </c>
      <c r="P98" s="1">
        <f ca="1">IFERROR(__xludf.DUMMYFUNCTION("""COMPUTED_VALUE"""),1285)</f>
        <v>1285</v>
      </c>
      <c r="Q98" s="1">
        <f ca="1">IFERROR(__xludf.DUMMYFUNCTION("""COMPUTED_VALUE"""),723)</f>
        <v>723</v>
      </c>
      <c r="R98" s="1">
        <f ca="1">IFERROR(__xludf.DUMMYFUNCTION("""COMPUTED_VALUE"""),1606)</f>
        <v>1606</v>
      </c>
      <c r="S98" s="1">
        <f ca="1">IFERROR(__xludf.DUMMYFUNCTION("""COMPUTED_VALUE"""),0.45)</f>
        <v>0.45</v>
      </c>
      <c r="T98" s="1">
        <f ca="1">IFERROR(__xludf.DUMMYFUNCTION("""COMPUTED_VALUE"""),147)</f>
        <v>147</v>
      </c>
      <c r="U98" s="1">
        <f ca="1">IFERROR(__xludf.DUMMYFUNCTION("""COMPUTED_VALUE"""),412)</f>
        <v>412</v>
      </c>
      <c r="V98" s="1">
        <f ca="1">IFERROR(__xludf.DUMMYFUNCTION("""COMPUTED_VALUE"""),0.357)</f>
        <v>0.35699999999999998</v>
      </c>
      <c r="W98" s="1">
        <f ca="1">IFERROR(__xludf.DUMMYFUNCTION("""COMPUTED_VALUE"""),529)</f>
        <v>529</v>
      </c>
      <c r="X98" s="1">
        <f ca="1">IFERROR(__xludf.DUMMYFUNCTION("""COMPUTED_VALUE"""),746)</f>
        <v>746</v>
      </c>
      <c r="Y98" s="1">
        <f ca="1">IFERROR(__xludf.DUMMYFUNCTION("""COMPUTED_VALUE"""),0.709)</f>
        <v>0.70899999999999996</v>
      </c>
      <c r="Z98" s="1">
        <f ca="1">IFERROR(__xludf.DUMMYFUNCTION("""COMPUTED_VALUE"""),255)</f>
        <v>255</v>
      </c>
      <c r="AA98" s="1">
        <f ca="1">IFERROR(__xludf.DUMMYFUNCTION("""COMPUTED_VALUE"""),959)</f>
        <v>959</v>
      </c>
      <c r="AB98" s="1">
        <f ca="1">IFERROR(__xludf.DUMMYFUNCTION("""COMPUTED_VALUE"""),452)</f>
        <v>452</v>
      </c>
      <c r="AC98" s="1">
        <f ca="1">IFERROR(__xludf.DUMMYFUNCTION("""COMPUTED_VALUE"""),177)</f>
        <v>177</v>
      </c>
      <c r="AD98" s="1">
        <f ca="1">IFERROR(__xludf.DUMMYFUNCTION("""COMPUTED_VALUE"""),59)</f>
        <v>59</v>
      </c>
      <c r="AE98" s="1">
        <f ca="1">IFERROR(__xludf.DUMMYFUNCTION("""COMPUTED_VALUE"""),415)</f>
        <v>415</v>
      </c>
      <c r="AF98" s="1">
        <f ca="1">IFERROR(__xludf.DUMMYFUNCTION("""COMPUTED_VALUE"""),668)</f>
        <v>668</v>
      </c>
    </row>
    <row r="99" spans="1:32" ht="12.5" x14ac:dyDescent="0.25">
      <c r="A99" s="1" t="str">
        <f ca="1">IFERROR(__xludf.DUMMYFUNCTION("""COMPUTED_VALUE"""),"Fairfield")</f>
        <v>Fairfield</v>
      </c>
      <c r="B99" s="1">
        <f ca="1">IFERROR(__xludf.DUMMYFUNCTION("""COMPUTED_VALUE"""),33)</f>
        <v>33</v>
      </c>
      <c r="C99" s="1">
        <f ca="1">IFERROR(__xludf.DUMMYFUNCTION("""COMPUTED_VALUE"""),25)</f>
        <v>25</v>
      </c>
      <c r="D99" s="1">
        <f ca="1">IFERROR(__xludf.DUMMYFUNCTION("""COMPUTED_VALUE"""),8)</f>
        <v>8</v>
      </c>
      <c r="E99" s="1">
        <f ca="1">IFERROR(__xludf.DUMMYFUNCTION("""COMPUTED_VALUE"""),0.758)</f>
        <v>0.75800000000000001</v>
      </c>
      <c r="F99" s="1">
        <f ca="1">IFERROR(__xludf.DUMMYFUNCTION("""COMPUTED_VALUE"""),2.94)</f>
        <v>2.94</v>
      </c>
      <c r="G99" s="1">
        <f ca="1">IFERROR(__xludf.DUMMYFUNCTION("""COMPUTED_VALUE"""),-3.91)</f>
        <v>-3.91</v>
      </c>
      <c r="H99" s="1">
        <f ca="1">IFERROR(__xludf.DUMMYFUNCTION("""COMPUTED_VALUE"""),15)</f>
        <v>15</v>
      </c>
      <c r="I99" s="1">
        <f ca="1">IFERROR(__xludf.DUMMYFUNCTION("""COMPUTED_VALUE"""),3)</f>
        <v>3</v>
      </c>
      <c r="J99" s="1">
        <f ca="1">IFERROR(__xludf.DUMMYFUNCTION("""COMPUTED_VALUE"""),13)</f>
        <v>13</v>
      </c>
      <c r="K99" s="1">
        <f ca="1">IFERROR(__xludf.DUMMYFUNCTION("""COMPUTED_VALUE"""),3)</f>
        <v>3</v>
      </c>
      <c r="L99" s="1">
        <f ca="1">IFERROR(__xludf.DUMMYFUNCTION("""COMPUTED_VALUE"""),10)</f>
        <v>10</v>
      </c>
      <c r="M99" s="1">
        <f ca="1">IFERROR(__xludf.DUMMYFUNCTION("""COMPUTED_VALUE"""),4)</f>
        <v>4</v>
      </c>
      <c r="N99" s="1">
        <f ca="1">IFERROR(__xludf.DUMMYFUNCTION("""COMPUTED_VALUE"""),2150)</f>
        <v>2150</v>
      </c>
      <c r="O99" s="1">
        <f ca="1">IFERROR(__xludf.DUMMYFUNCTION("""COMPUTED_VALUE"""),1924)</f>
        <v>1924</v>
      </c>
      <c r="P99" s="1">
        <f ca="1">IFERROR(__xludf.DUMMYFUNCTION("""COMPUTED_VALUE"""),1325)</f>
        <v>1325</v>
      </c>
      <c r="Q99" s="1">
        <f ca="1">IFERROR(__xludf.DUMMYFUNCTION("""COMPUTED_VALUE"""),777)</f>
        <v>777</v>
      </c>
      <c r="R99" s="1">
        <f ca="1">IFERROR(__xludf.DUMMYFUNCTION("""COMPUTED_VALUE"""),1795)</f>
        <v>1795</v>
      </c>
      <c r="S99" s="1">
        <f ca="1">IFERROR(__xludf.DUMMYFUNCTION("""COMPUTED_VALUE"""),0.433)</f>
        <v>0.433</v>
      </c>
      <c r="T99" s="1">
        <f ca="1">IFERROR(__xludf.DUMMYFUNCTION("""COMPUTED_VALUE"""),139)</f>
        <v>139</v>
      </c>
      <c r="U99" s="1">
        <f ca="1">IFERROR(__xludf.DUMMYFUNCTION("""COMPUTED_VALUE"""),463)</f>
        <v>463</v>
      </c>
      <c r="V99" s="1">
        <f ca="1">IFERROR(__xludf.DUMMYFUNCTION("""COMPUTED_VALUE"""),0.3)</f>
        <v>0.3</v>
      </c>
      <c r="W99" s="1">
        <f ca="1">IFERROR(__xludf.DUMMYFUNCTION("""COMPUTED_VALUE"""),457)</f>
        <v>457</v>
      </c>
      <c r="X99" s="1">
        <f ca="1">IFERROR(__xludf.DUMMYFUNCTION("""COMPUTED_VALUE"""),699)</f>
        <v>699</v>
      </c>
      <c r="Y99" s="1">
        <f ca="1">IFERROR(__xludf.DUMMYFUNCTION("""COMPUTED_VALUE"""),0.654)</f>
        <v>0.65400000000000003</v>
      </c>
      <c r="Z99" s="1">
        <f ca="1">IFERROR(__xludf.DUMMYFUNCTION("""COMPUTED_VALUE"""),399)</f>
        <v>399</v>
      </c>
      <c r="AA99" s="1">
        <f ca="1">IFERROR(__xludf.DUMMYFUNCTION("""COMPUTED_VALUE"""),1195)</f>
        <v>1195</v>
      </c>
      <c r="AB99" s="1">
        <f ca="1">IFERROR(__xludf.DUMMYFUNCTION("""COMPUTED_VALUE"""),452)</f>
        <v>452</v>
      </c>
      <c r="AC99" s="1">
        <f ca="1">IFERROR(__xludf.DUMMYFUNCTION("""COMPUTED_VALUE"""),271)</f>
        <v>271</v>
      </c>
      <c r="AD99" s="1">
        <f ca="1">IFERROR(__xludf.DUMMYFUNCTION("""COMPUTED_VALUE"""),118)</f>
        <v>118</v>
      </c>
      <c r="AE99" s="1">
        <f ca="1">IFERROR(__xludf.DUMMYFUNCTION("""COMPUTED_VALUE"""),457)</f>
        <v>457</v>
      </c>
      <c r="AF99" s="1">
        <f ca="1">IFERROR(__xludf.DUMMYFUNCTION("""COMPUTED_VALUE"""),577)</f>
        <v>577</v>
      </c>
    </row>
    <row r="100" spans="1:32" ht="12.5" x14ac:dyDescent="0.25">
      <c r="A100" s="1" t="str">
        <f ca="1">IFERROR(__xludf.DUMMYFUNCTION("""COMPUTED_VALUE"""),"Fairleigh Dickinson")</f>
        <v>Fairleigh Dickinson</v>
      </c>
      <c r="B100" s="1">
        <f ca="1">IFERROR(__xludf.DUMMYFUNCTION("""COMPUTED_VALUE"""),29)</f>
        <v>29</v>
      </c>
      <c r="C100" s="1">
        <f ca="1">IFERROR(__xludf.DUMMYFUNCTION("""COMPUTED_VALUE"""),5)</f>
        <v>5</v>
      </c>
      <c r="D100" s="1">
        <f ca="1">IFERROR(__xludf.DUMMYFUNCTION("""COMPUTED_VALUE"""),24)</f>
        <v>24</v>
      </c>
      <c r="E100" s="1">
        <f ca="1">IFERROR(__xludf.DUMMYFUNCTION("""COMPUTED_VALUE"""),0.172)</f>
        <v>0.17199999999999999</v>
      </c>
      <c r="F100" s="1">
        <f ca="1">IFERROR(__xludf.DUMMYFUNCTION("""COMPUTED_VALUE"""),-13.34)</f>
        <v>-13.34</v>
      </c>
      <c r="G100" s="1">
        <f ca="1">IFERROR(__xludf.DUMMYFUNCTION("""COMPUTED_VALUE"""),-5)</f>
        <v>-5</v>
      </c>
      <c r="H100" s="1">
        <f ca="1">IFERROR(__xludf.DUMMYFUNCTION("""COMPUTED_VALUE"""),3)</f>
        <v>3</v>
      </c>
      <c r="I100" s="1">
        <f ca="1">IFERROR(__xludf.DUMMYFUNCTION("""COMPUTED_VALUE"""),15)</f>
        <v>15</v>
      </c>
      <c r="J100" s="1">
        <f ca="1">IFERROR(__xludf.DUMMYFUNCTION("""COMPUTED_VALUE"""),3)</f>
        <v>3</v>
      </c>
      <c r="K100" s="1">
        <f ca="1">IFERROR(__xludf.DUMMYFUNCTION("""COMPUTED_VALUE"""),11)</f>
        <v>11</v>
      </c>
      <c r="L100" s="1">
        <f ca="1">IFERROR(__xludf.DUMMYFUNCTION("""COMPUTED_VALUE"""),2)</f>
        <v>2</v>
      </c>
      <c r="M100" s="1">
        <f ca="1">IFERROR(__xludf.DUMMYFUNCTION("""COMPUTED_VALUE"""),13)</f>
        <v>13</v>
      </c>
      <c r="N100" s="1">
        <f ca="1">IFERROR(__xludf.DUMMYFUNCTION("""COMPUTED_VALUE"""),1866)</f>
        <v>1866</v>
      </c>
      <c r="O100" s="1">
        <f ca="1">IFERROR(__xludf.DUMMYFUNCTION("""COMPUTED_VALUE"""),2108)</f>
        <v>2108</v>
      </c>
      <c r="P100" s="1">
        <f ca="1">IFERROR(__xludf.DUMMYFUNCTION("""COMPUTED_VALUE"""),1180)</f>
        <v>1180</v>
      </c>
      <c r="Q100" s="1">
        <f ca="1">IFERROR(__xludf.DUMMYFUNCTION("""COMPUTED_VALUE"""),643)</f>
        <v>643</v>
      </c>
      <c r="R100" s="1">
        <f ca="1">IFERROR(__xludf.DUMMYFUNCTION("""COMPUTED_VALUE"""),1618)</f>
        <v>1618</v>
      </c>
      <c r="S100" s="1">
        <f ca="1">IFERROR(__xludf.DUMMYFUNCTION("""COMPUTED_VALUE"""),0.397)</f>
        <v>0.39700000000000002</v>
      </c>
      <c r="T100" s="1">
        <f ca="1">IFERROR(__xludf.DUMMYFUNCTION("""COMPUTED_VALUE"""),150)</f>
        <v>150</v>
      </c>
      <c r="U100" s="1">
        <f ca="1">IFERROR(__xludf.DUMMYFUNCTION("""COMPUTED_VALUE"""),468)</f>
        <v>468</v>
      </c>
      <c r="V100" s="1">
        <f ca="1">IFERROR(__xludf.DUMMYFUNCTION("""COMPUTED_VALUE"""),0.321)</f>
        <v>0.32100000000000001</v>
      </c>
      <c r="W100" s="1">
        <f ca="1">IFERROR(__xludf.DUMMYFUNCTION("""COMPUTED_VALUE"""),430)</f>
        <v>430</v>
      </c>
      <c r="X100" s="1">
        <f ca="1">IFERROR(__xludf.DUMMYFUNCTION("""COMPUTED_VALUE"""),637)</f>
        <v>637</v>
      </c>
      <c r="Y100" s="1">
        <f ca="1">IFERROR(__xludf.DUMMYFUNCTION("""COMPUTED_VALUE"""),0.675)</f>
        <v>0.67500000000000004</v>
      </c>
      <c r="Z100" s="1">
        <f ca="1">IFERROR(__xludf.DUMMYFUNCTION("""COMPUTED_VALUE"""),366)</f>
        <v>366</v>
      </c>
      <c r="AA100" s="1">
        <f ca="1">IFERROR(__xludf.DUMMYFUNCTION("""COMPUTED_VALUE"""),1082)</f>
        <v>1082</v>
      </c>
      <c r="AB100" s="1">
        <f ca="1">IFERROR(__xludf.DUMMYFUNCTION("""COMPUTED_VALUE"""),338)</f>
        <v>338</v>
      </c>
      <c r="AC100" s="1">
        <f ca="1">IFERROR(__xludf.DUMMYFUNCTION("""COMPUTED_VALUE"""),166)</f>
        <v>166</v>
      </c>
      <c r="AD100" s="1">
        <f ca="1">IFERROR(__xludf.DUMMYFUNCTION("""COMPUTED_VALUE"""),102)</f>
        <v>102</v>
      </c>
      <c r="AE100" s="1">
        <f ca="1">IFERROR(__xludf.DUMMYFUNCTION("""COMPUTED_VALUE"""),439)</f>
        <v>439</v>
      </c>
      <c r="AF100" s="1">
        <f ca="1">IFERROR(__xludf.DUMMYFUNCTION("""COMPUTED_VALUE"""),555)</f>
        <v>555</v>
      </c>
    </row>
    <row r="101" spans="1:32" ht="12.5" x14ac:dyDescent="0.25">
      <c r="A101" s="1" t="str">
        <f ca="1">IFERROR(__xludf.DUMMYFUNCTION("""COMPUTED_VALUE"""),"Florida A&amp;M")</f>
        <v>Florida A&amp;M</v>
      </c>
      <c r="B101" s="1">
        <f ca="1">IFERROR(__xludf.DUMMYFUNCTION("""COMPUTED_VALUE"""),32)</f>
        <v>32</v>
      </c>
      <c r="C101" s="1">
        <f ca="1">IFERROR(__xludf.DUMMYFUNCTION("""COMPUTED_VALUE"""),12)</f>
        <v>12</v>
      </c>
      <c r="D101" s="1">
        <f ca="1">IFERROR(__xludf.DUMMYFUNCTION("""COMPUTED_VALUE"""),20)</f>
        <v>20</v>
      </c>
      <c r="E101" s="1">
        <f ca="1">IFERROR(__xludf.DUMMYFUNCTION("""COMPUTED_VALUE"""),0.375)</f>
        <v>0.375</v>
      </c>
      <c r="F101" s="1">
        <f ca="1">IFERROR(__xludf.DUMMYFUNCTION("""COMPUTED_VALUE"""),-16.82)</f>
        <v>-16.82</v>
      </c>
      <c r="G101" s="1">
        <f ca="1">IFERROR(__xludf.DUMMYFUNCTION("""COMPUTED_VALUE"""),-8.71)</f>
        <v>-8.7100000000000009</v>
      </c>
      <c r="H101" s="1">
        <f ca="1">IFERROR(__xludf.DUMMYFUNCTION("""COMPUTED_VALUE"""),7)</f>
        <v>7</v>
      </c>
      <c r="I101" s="1">
        <f ca="1">IFERROR(__xludf.DUMMYFUNCTION("""COMPUTED_VALUE"""),9)</f>
        <v>9</v>
      </c>
      <c r="J101" s="1">
        <f ca="1">IFERROR(__xludf.DUMMYFUNCTION("""COMPUTED_VALUE"""),11)</f>
        <v>11</v>
      </c>
      <c r="K101" s="1">
        <f ca="1">IFERROR(__xludf.DUMMYFUNCTION("""COMPUTED_VALUE"""),3)</f>
        <v>3</v>
      </c>
      <c r="L101" s="1">
        <f ca="1">IFERROR(__xludf.DUMMYFUNCTION("""COMPUTED_VALUE"""),1)</f>
        <v>1</v>
      </c>
      <c r="M101" s="1">
        <f ca="1">IFERROR(__xludf.DUMMYFUNCTION("""COMPUTED_VALUE"""),16)</f>
        <v>16</v>
      </c>
      <c r="N101" s="1">
        <f ca="1">IFERROR(__xludf.DUMMYFUNCTION("""COMPUTED_VALUE"""),2055)</f>
        <v>2055</v>
      </c>
      <c r="O101" s="1">
        <f ca="1">IFERROR(__xludf.DUMMYFUNCTION("""COMPUTED_VALUE"""),2196)</f>
        <v>2196</v>
      </c>
      <c r="P101" s="1">
        <f ca="1">IFERROR(__xludf.DUMMYFUNCTION("""COMPUTED_VALUE"""),1300)</f>
        <v>1300</v>
      </c>
      <c r="Q101" s="1">
        <f ca="1">IFERROR(__xludf.DUMMYFUNCTION("""COMPUTED_VALUE"""),713)</f>
        <v>713</v>
      </c>
      <c r="R101" s="1">
        <f ca="1">IFERROR(__xludf.DUMMYFUNCTION("""COMPUTED_VALUE"""),1787)</f>
        <v>1787</v>
      </c>
      <c r="S101" s="1">
        <f ca="1">IFERROR(__xludf.DUMMYFUNCTION("""COMPUTED_VALUE"""),0.399)</f>
        <v>0.39900000000000002</v>
      </c>
      <c r="T101" s="1">
        <f ca="1">IFERROR(__xludf.DUMMYFUNCTION("""COMPUTED_VALUE"""),194)</f>
        <v>194</v>
      </c>
      <c r="U101" s="1">
        <f ca="1">IFERROR(__xludf.DUMMYFUNCTION("""COMPUTED_VALUE"""),624)</f>
        <v>624</v>
      </c>
      <c r="V101" s="1">
        <f ca="1">IFERROR(__xludf.DUMMYFUNCTION("""COMPUTED_VALUE"""),0.311)</f>
        <v>0.311</v>
      </c>
      <c r="W101" s="1">
        <f ca="1">IFERROR(__xludf.DUMMYFUNCTION("""COMPUTED_VALUE"""),435)</f>
        <v>435</v>
      </c>
      <c r="X101" s="1">
        <f ca="1">IFERROR(__xludf.DUMMYFUNCTION("""COMPUTED_VALUE"""),718)</f>
        <v>718</v>
      </c>
      <c r="Y101" s="1">
        <f ca="1">IFERROR(__xludf.DUMMYFUNCTION("""COMPUTED_VALUE"""),0.606)</f>
        <v>0.60599999999999998</v>
      </c>
      <c r="Z101" s="1">
        <f ca="1">IFERROR(__xludf.DUMMYFUNCTION("""COMPUTED_VALUE"""),433)</f>
        <v>433</v>
      </c>
      <c r="AA101" s="1">
        <f ca="1">IFERROR(__xludf.DUMMYFUNCTION("""COMPUTED_VALUE"""),1218)</f>
        <v>1218</v>
      </c>
      <c r="AB101" s="1">
        <f ca="1">IFERROR(__xludf.DUMMYFUNCTION("""COMPUTED_VALUE"""),298)</f>
        <v>298</v>
      </c>
      <c r="AC101" s="1">
        <f ca="1">IFERROR(__xludf.DUMMYFUNCTION("""COMPUTED_VALUE"""),247)</f>
        <v>247</v>
      </c>
      <c r="AD101" s="1">
        <f ca="1">IFERROR(__xludf.DUMMYFUNCTION("""COMPUTED_VALUE"""),129)</f>
        <v>129</v>
      </c>
      <c r="AE101" s="1">
        <f ca="1">IFERROR(__xludf.DUMMYFUNCTION("""COMPUTED_VALUE"""),527)</f>
        <v>527</v>
      </c>
      <c r="AF101" s="1">
        <f ca="1">IFERROR(__xludf.DUMMYFUNCTION("""COMPUTED_VALUE"""),620)</f>
        <v>620</v>
      </c>
    </row>
    <row r="102" spans="1:32" ht="12.5" x14ac:dyDescent="0.25">
      <c r="A102" s="1" t="str">
        <f ca="1">IFERROR(__xludf.DUMMYFUNCTION("""COMPUTED_VALUE"""),"Florida Atlantic")</f>
        <v>Florida Atlantic</v>
      </c>
      <c r="B102" s="1">
        <f ca="1">IFERROR(__xludf.DUMMYFUNCTION("""COMPUTED_VALUE"""),32)</f>
        <v>32</v>
      </c>
      <c r="C102" s="1">
        <f ca="1">IFERROR(__xludf.DUMMYFUNCTION("""COMPUTED_VALUE"""),21)</f>
        <v>21</v>
      </c>
      <c r="D102" s="1">
        <f ca="1">IFERROR(__xludf.DUMMYFUNCTION("""COMPUTED_VALUE"""),11)</f>
        <v>11</v>
      </c>
      <c r="E102" s="1">
        <f ca="1">IFERROR(__xludf.DUMMYFUNCTION("""COMPUTED_VALUE"""),0.656)</f>
        <v>0.65600000000000003</v>
      </c>
      <c r="F102" s="1">
        <f ca="1">IFERROR(__xludf.DUMMYFUNCTION("""COMPUTED_VALUE"""),-2.41)</f>
        <v>-2.41</v>
      </c>
      <c r="G102" s="1">
        <f ca="1">IFERROR(__xludf.DUMMYFUNCTION("""COMPUTED_VALUE"""),-2.61)</f>
        <v>-2.61</v>
      </c>
      <c r="H102" s="1">
        <f ca="1">IFERROR(__xludf.DUMMYFUNCTION("""COMPUTED_VALUE"""),13)</f>
        <v>13</v>
      </c>
      <c r="I102" s="1">
        <f ca="1">IFERROR(__xludf.DUMMYFUNCTION("""COMPUTED_VALUE"""),3)</f>
        <v>3</v>
      </c>
      <c r="J102" s="1">
        <f ca="1">IFERROR(__xludf.DUMMYFUNCTION("""COMPUTED_VALUE"""),10)</f>
        <v>10</v>
      </c>
      <c r="K102" s="1">
        <f ca="1">IFERROR(__xludf.DUMMYFUNCTION("""COMPUTED_VALUE"""),3)</f>
        <v>3</v>
      </c>
      <c r="L102" s="1">
        <f ca="1">IFERROR(__xludf.DUMMYFUNCTION("""COMPUTED_VALUE"""),9)</f>
        <v>9</v>
      </c>
      <c r="M102" s="1">
        <f ca="1">IFERROR(__xludf.DUMMYFUNCTION("""COMPUTED_VALUE"""),7)</f>
        <v>7</v>
      </c>
      <c r="N102" s="1">
        <f ca="1">IFERROR(__xludf.DUMMYFUNCTION("""COMPUTED_VALUE"""),2191)</f>
        <v>2191</v>
      </c>
      <c r="O102" s="1">
        <f ca="1">IFERROR(__xludf.DUMMYFUNCTION("""COMPUTED_VALUE"""),2137)</f>
        <v>2137</v>
      </c>
      <c r="P102" s="1">
        <f ca="1">IFERROR(__xludf.DUMMYFUNCTION("""COMPUTED_VALUE"""),1290)</f>
        <v>1290</v>
      </c>
      <c r="Q102" s="1">
        <f ca="1">IFERROR(__xludf.DUMMYFUNCTION("""COMPUTED_VALUE"""),784)</f>
        <v>784</v>
      </c>
      <c r="R102" s="1">
        <f ca="1">IFERROR(__xludf.DUMMYFUNCTION("""COMPUTED_VALUE"""),1765)</f>
        <v>1765</v>
      </c>
      <c r="S102" s="1">
        <f ca="1">IFERROR(__xludf.DUMMYFUNCTION("""COMPUTED_VALUE"""),0.444)</f>
        <v>0.44400000000000001</v>
      </c>
      <c r="T102" s="1">
        <f ca="1">IFERROR(__xludf.DUMMYFUNCTION("""COMPUTED_VALUE"""),167)</f>
        <v>167</v>
      </c>
      <c r="U102" s="1">
        <f ca="1">IFERROR(__xludf.DUMMYFUNCTION("""COMPUTED_VALUE"""),515)</f>
        <v>515</v>
      </c>
      <c r="V102" s="1">
        <f ca="1">IFERROR(__xludf.DUMMYFUNCTION("""COMPUTED_VALUE"""),0.324)</f>
        <v>0.32400000000000001</v>
      </c>
      <c r="W102" s="1">
        <f ca="1">IFERROR(__xludf.DUMMYFUNCTION("""COMPUTED_VALUE"""),456)</f>
        <v>456</v>
      </c>
      <c r="X102" s="1">
        <f ca="1">IFERROR(__xludf.DUMMYFUNCTION("""COMPUTED_VALUE"""),692)</f>
        <v>692</v>
      </c>
      <c r="Y102" s="1">
        <f ca="1">IFERROR(__xludf.DUMMYFUNCTION("""COMPUTED_VALUE"""),0.659)</f>
        <v>0.65900000000000003</v>
      </c>
      <c r="Z102" s="1">
        <f ca="1">IFERROR(__xludf.DUMMYFUNCTION("""COMPUTED_VALUE"""),361)</f>
        <v>361</v>
      </c>
      <c r="AA102" s="1">
        <f ca="1">IFERROR(__xludf.DUMMYFUNCTION("""COMPUTED_VALUE"""),1070)</f>
        <v>1070</v>
      </c>
      <c r="AB102" s="1">
        <f ca="1">IFERROR(__xludf.DUMMYFUNCTION("""COMPUTED_VALUE"""),396)</f>
        <v>396</v>
      </c>
      <c r="AC102" s="1">
        <f ca="1">IFERROR(__xludf.DUMMYFUNCTION("""COMPUTED_VALUE"""),191)</f>
        <v>191</v>
      </c>
      <c r="AD102" s="1">
        <f ca="1">IFERROR(__xludf.DUMMYFUNCTION("""COMPUTED_VALUE"""),158)</f>
        <v>158</v>
      </c>
      <c r="AE102" s="1">
        <f ca="1">IFERROR(__xludf.DUMMYFUNCTION("""COMPUTED_VALUE"""),360)</f>
        <v>360</v>
      </c>
      <c r="AF102" s="1">
        <f ca="1">IFERROR(__xludf.DUMMYFUNCTION("""COMPUTED_VALUE"""),587)</f>
        <v>587</v>
      </c>
    </row>
    <row r="103" spans="1:32" ht="12.5" x14ac:dyDescent="0.25">
      <c r="A103" s="1" t="str">
        <f ca="1">IFERROR(__xludf.DUMMYFUNCTION("""COMPUTED_VALUE"""),"Florida Gulf Coast")</f>
        <v>Florida Gulf Coast</v>
      </c>
      <c r="B103" s="1">
        <f ca="1">IFERROR(__xludf.DUMMYFUNCTION("""COMPUTED_VALUE"""),30)</f>
        <v>30</v>
      </c>
      <c r="C103" s="1">
        <f ca="1">IFERROR(__xludf.DUMMYFUNCTION("""COMPUTED_VALUE"""),10)</f>
        <v>10</v>
      </c>
      <c r="D103" s="1">
        <f ca="1">IFERROR(__xludf.DUMMYFUNCTION("""COMPUTED_VALUE"""),20)</f>
        <v>20</v>
      </c>
      <c r="E103" s="1">
        <f ca="1">IFERROR(__xludf.DUMMYFUNCTION("""COMPUTED_VALUE"""),0.333)</f>
        <v>0.33300000000000002</v>
      </c>
      <c r="F103" s="1">
        <f ca="1">IFERROR(__xludf.DUMMYFUNCTION("""COMPUTED_VALUE"""),-10.27)</f>
        <v>-10.27</v>
      </c>
      <c r="G103" s="1">
        <f ca="1">IFERROR(__xludf.DUMMYFUNCTION("""COMPUTED_VALUE"""),-3.11)</f>
        <v>-3.11</v>
      </c>
      <c r="H103" s="1">
        <f ca="1">IFERROR(__xludf.DUMMYFUNCTION("""COMPUTED_VALUE"""),7)</f>
        <v>7</v>
      </c>
      <c r="I103" s="1">
        <f ca="1">IFERROR(__xludf.DUMMYFUNCTION("""COMPUTED_VALUE"""),13)</f>
        <v>13</v>
      </c>
      <c r="J103" s="1">
        <f ca="1">IFERROR(__xludf.DUMMYFUNCTION("""COMPUTED_VALUE"""),6)</f>
        <v>6</v>
      </c>
      <c r="K103" s="1">
        <f ca="1">IFERROR(__xludf.DUMMYFUNCTION("""COMPUTED_VALUE"""),8)</f>
        <v>8</v>
      </c>
      <c r="L103" s="1">
        <f ca="1">IFERROR(__xludf.DUMMYFUNCTION("""COMPUTED_VALUE"""),4)</f>
        <v>4</v>
      </c>
      <c r="M103" s="1">
        <f ca="1">IFERROR(__xludf.DUMMYFUNCTION("""COMPUTED_VALUE"""),12)</f>
        <v>12</v>
      </c>
      <c r="N103" s="1">
        <f ca="1">IFERROR(__xludf.DUMMYFUNCTION("""COMPUTED_VALUE"""),1970)</f>
        <v>1970</v>
      </c>
      <c r="O103" s="1">
        <f ca="1">IFERROR(__xludf.DUMMYFUNCTION("""COMPUTED_VALUE"""),2185)</f>
        <v>2185</v>
      </c>
      <c r="P103" s="1">
        <f ca="1">IFERROR(__xludf.DUMMYFUNCTION("""COMPUTED_VALUE"""),1215)</f>
        <v>1215</v>
      </c>
      <c r="Q103" s="1">
        <f ca="1">IFERROR(__xludf.DUMMYFUNCTION("""COMPUTED_VALUE"""),667)</f>
        <v>667</v>
      </c>
      <c r="R103" s="1">
        <f ca="1">IFERROR(__xludf.DUMMYFUNCTION("""COMPUTED_VALUE"""),1662)</f>
        <v>1662</v>
      </c>
      <c r="S103" s="1">
        <f ca="1">IFERROR(__xludf.DUMMYFUNCTION("""COMPUTED_VALUE"""),0.401)</f>
        <v>0.40100000000000002</v>
      </c>
      <c r="T103" s="1">
        <f ca="1">IFERROR(__xludf.DUMMYFUNCTION("""COMPUTED_VALUE"""),175)</f>
        <v>175</v>
      </c>
      <c r="U103" s="1">
        <f ca="1">IFERROR(__xludf.DUMMYFUNCTION("""COMPUTED_VALUE"""),531)</f>
        <v>531</v>
      </c>
      <c r="V103" s="1">
        <f ca="1">IFERROR(__xludf.DUMMYFUNCTION("""COMPUTED_VALUE"""),0.33)</f>
        <v>0.33</v>
      </c>
      <c r="W103" s="1">
        <f ca="1">IFERROR(__xludf.DUMMYFUNCTION("""COMPUTED_VALUE"""),461)</f>
        <v>461</v>
      </c>
      <c r="X103" s="1">
        <f ca="1">IFERROR(__xludf.DUMMYFUNCTION("""COMPUTED_VALUE"""),708)</f>
        <v>708</v>
      </c>
      <c r="Y103" s="1">
        <f ca="1">IFERROR(__xludf.DUMMYFUNCTION("""COMPUTED_VALUE"""),0.651)</f>
        <v>0.65100000000000002</v>
      </c>
      <c r="Z103" s="1">
        <f ca="1">IFERROR(__xludf.DUMMYFUNCTION("""COMPUTED_VALUE"""),397)</f>
        <v>397</v>
      </c>
      <c r="AA103" s="1">
        <f ca="1">IFERROR(__xludf.DUMMYFUNCTION("""COMPUTED_VALUE"""),1098)</f>
        <v>1098</v>
      </c>
      <c r="AB103" s="1">
        <f ca="1">IFERROR(__xludf.DUMMYFUNCTION("""COMPUTED_VALUE"""),362)</f>
        <v>362</v>
      </c>
      <c r="AC103" s="1">
        <f ca="1">IFERROR(__xludf.DUMMYFUNCTION("""COMPUTED_VALUE"""),189)</f>
        <v>189</v>
      </c>
      <c r="AD103" s="1">
        <f ca="1">IFERROR(__xludf.DUMMYFUNCTION("""COMPUTED_VALUE"""),65)</f>
        <v>65</v>
      </c>
      <c r="AE103" s="1">
        <f ca="1">IFERROR(__xludf.DUMMYFUNCTION("""COMPUTED_VALUE"""),500)</f>
        <v>500</v>
      </c>
      <c r="AF103" s="1">
        <f ca="1">IFERROR(__xludf.DUMMYFUNCTION("""COMPUTED_VALUE"""),559)</f>
        <v>559</v>
      </c>
    </row>
    <row r="104" spans="1:32" ht="12.5" x14ac:dyDescent="0.25">
      <c r="A104" s="1" t="str">
        <f ca="1">IFERROR(__xludf.DUMMYFUNCTION("""COMPUTED_VALUE"""),"Florida International")</f>
        <v>Florida International</v>
      </c>
      <c r="B104" s="1">
        <f ca="1">IFERROR(__xludf.DUMMYFUNCTION("""COMPUTED_VALUE"""),30)</f>
        <v>30</v>
      </c>
      <c r="C104" s="1">
        <f ca="1">IFERROR(__xludf.DUMMYFUNCTION("""COMPUTED_VALUE"""),11)</f>
        <v>11</v>
      </c>
      <c r="D104" s="1">
        <f ca="1">IFERROR(__xludf.DUMMYFUNCTION("""COMPUTED_VALUE"""),19)</f>
        <v>19</v>
      </c>
      <c r="E104" s="1">
        <f ca="1">IFERROR(__xludf.DUMMYFUNCTION("""COMPUTED_VALUE"""),0.367)</f>
        <v>0.36699999999999999</v>
      </c>
      <c r="F104" s="1">
        <f ca="1">IFERROR(__xludf.DUMMYFUNCTION("""COMPUTED_VALUE"""),-9.33)</f>
        <v>-9.33</v>
      </c>
      <c r="G104" s="1">
        <f ca="1">IFERROR(__xludf.DUMMYFUNCTION("""COMPUTED_VALUE"""),-4.23)</f>
        <v>-4.2300000000000004</v>
      </c>
      <c r="H104" s="1">
        <f ca="1">IFERROR(__xludf.DUMMYFUNCTION("""COMPUTED_VALUE"""),5)</f>
        <v>5</v>
      </c>
      <c r="I104" s="1">
        <f ca="1">IFERROR(__xludf.DUMMYFUNCTION("""COMPUTED_VALUE"""),11)</f>
        <v>11</v>
      </c>
      <c r="J104" s="1">
        <f ca="1">IFERROR(__xludf.DUMMYFUNCTION("""COMPUTED_VALUE"""),8)</f>
        <v>8</v>
      </c>
      <c r="K104" s="1">
        <f ca="1">IFERROR(__xludf.DUMMYFUNCTION("""COMPUTED_VALUE"""),7)</f>
        <v>7</v>
      </c>
      <c r="L104" s="1">
        <f ca="1">IFERROR(__xludf.DUMMYFUNCTION("""COMPUTED_VALUE"""),2)</f>
        <v>2</v>
      </c>
      <c r="M104" s="1">
        <f ca="1">IFERROR(__xludf.DUMMYFUNCTION("""COMPUTED_VALUE"""),11)</f>
        <v>11</v>
      </c>
      <c r="N104" s="1">
        <f ca="1">IFERROR(__xludf.DUMMYFUNCTION("""COMPUTED_VALUE"""),2150)</f>
        <v>2150</v>
      </c>
      <c r="O104" s="1">
        <f ca="1">IFERROR(__xludf.DUMMYFUNCTION("""COMPUTED_VALUE"""),2262)</f>
        <v>2262</v>
      </c>
      <c r="P104" s="1">
        <f ca="1">IFERROR(__xludf.DUMMYFUNCTION("""COMPUTED_VALUE"""),1220)</f>
        <v>1220</v>
      </c>
      <c r="Q104" s="1">
        <f ca="1">IFERROR(__xludf.DUMMYFUNCTION("""COMPUTED_VALUE"""),718)</f>
        <v>718</v>
      </c>
      <c r="R104" s="1">
        <f ca="1">IFERROR(__xludf.DUMMYFUNCTION("""COMPUTED_VALUE"""),1638)</f>
        <v>1638</v>
      </c>
      <c r="S104" s="1">
        <f ca="1">IFERROR(__xludf.DUMMYFUNCTION("""COMPUTED_VALUE"""),0.438)</f>
        <v>0.438</v>
      </c>
      <c r="T104" s="1">
        <f ca="1">IFERROR(__xludf.DUMMYFUNCTION("""COMPUTED_VALUE"""),164)</f>
        <v>164</v>
      </c>
      <c r="U104" s="1">
        <f ca="1">IFERROR(__xludf.DUMMYFUNCTION("""COMPUTED_VALUE"""),500)</f>
        <v>500</v>
      </c>
      <c r="V104" s="1">
        <f ca="1">IFERROR(__xludf.DUMMYFUNCTION("""COMPUTED_VALUE"""),0.328)</f>
        <v>0.32800000000000001</v>
      </c>
      <c r="W104" s="1">
        <f ca="1">IFERROR(__xludf.DUMMYFUNCTION("""COMPUTED_VALUE"""),550)</f>
        <v>550</v>
      </c>
      <c r="X104" s="1">
        <f ca="1">IFERROR(__xludf.DUMMYFUNCTION("""COMPUTED_VALUE"""),802)</f>
        <v>802</v>
      </c>
      <c r="Y104" s="1">
        <f ca="1">IFERROR(__xludf.DUMMYFUNCTION("""COMPUTED_VALUE"""),0.686)</f>
        <v>0.68600000000000005</v>
      </c>
      <c r="Z104" s="1">
        <f ca="1">IFERROR(__xludf.DUMMYFUNCTION("""COMPUTED_VALUE"""),346)</f>
        <v>346</v>
      </c>
      <c r="AA104" s="1">
        <f ca="1">IFERROR(__xludf.DUMMYFUNCTION("""COMPUTED_VALUE"""),1017)</f>
        <v>1017</v>
      </c>
      <c r="AB104" s="1">
        <f ca="1">IFERROR(__xludf.DUMMYFUNCTION("""COMPUTED_VALUE"""),320)</f>
        <v>320</v>
      </c>
      <c r="AC104" s="1">
        <f ca="1">IFERROR(__xludf.DUMMYFUNCTION("""COMPUTED_VALUE"""),248)</f>
        <v>248</v>
      </c>
      <c r="AD104" s="1">
        <f ca="1">IFERROR(__xludf.DUMMYFUNCTION("""COMPUTED_VALUE"""),112)</f>
        <v>112</v>
      </c>
      <c r="AE104" s="1">
        <f ca="1">IFERROR(__xludf.DUMMYFUNCTION("""COMPUTED_VALUE"""),441)</f>
        <v>441</v>
      </c>
      <c r="AF104" s="1">
        <f ca="1">IFERROR(__xludf.DUMMYFUNCTION("""COMPUTED_VALUE"""),625)</f>
        <v>625</v>
      </c>
    </row>
    <row r="105" spans="1:32" ht="12.5" x14ac:dyDescent="0.25">
      <c r="A105" s="1" t="str">
        <f ca="1">IFERROR(__xludf.DUMMYFUNCTION("""COMPUTED_VALUE"""),"Florida StateNCAA")</f>
        <v>Florida StateNCAA</v>
      </c>
      <c r="B105" s="1">
        <f ca="1">IFERROR(__xludf.DUMMYFUNCTION("""COMPUTED_VALUE"""),34)</f>
        <v>34</v>
      </c>
      <c r="C105" s="1">
        <f ca="1">IFERROR(__xludf.DUMMYFUNCTION("""COMPUTED_VALUE"""),23)</f>
        <v>23</v>
      </c>
      <c r="D105" s="1">
        <f ca="1">IFERROR(__xludf.DUMMYFUNCTION("""COMPUTED_VALUE"""),11)</f>
        <v>11</v>
      </c>
      <c r="E105" s="1">
        <f ca="1">IFERROR(__xludf.DUMMYFUNCTION("""COMPUTED_VALUE"""),0.676)</f>
        <v>0.67600000000000005</v>
      </c>
      <c r="F105" s="1">
        <f ca="1">IFERROR(__xludf.DUMMYFUNCTION("""COMPUTED_VALUE"""),13.48)</f>
        <v>13.48</v>
      </c>
      <c r="G105" s="1">
        <f ca="1">IFERROR(__xludf.DUMMYFUNCTION("""COMPUTED_VALUE"""),6.45)</f>
        <v>6.45</v>
      </c>
      <c r="H105" s="1">
        <f ca="1">IFERROR(__xludf.DUMMYFUNCTION("""COMPUTED_VALUE"""),11)</f>
        <v>11</v>
      </c>
      <c r="I105" s="1">
        <f ca="1">IFERROR(__xludf.DUMMYFUNCTION("""COMPUTED_VALUE"""),5)</f>
        <v>5</v>
      </c>
      <c r="J105" s="1">
        <f ca="1">IFERROR(__xludf.DUMMYFUNCTION("""COMPUTED_VALUE"""),12)</f>
        <v>12</v>
      </c>
      <c r="K105" s="1">
        <f ca="1">IFERROR(__xludf.DUMMYFUNCTION("""COMPUTED_VALUE"""),3)</f>
        <v>3</v>
      </c>
      <c r="L105" s="1">
        <f ca="1">IFERROR(__xludf.DUMMYFUNCTION("""COMPUTED_VALUE"""),8)</f>
        <v>8</v>
      </c>
      <c r="M105" s="1">
        <f ca="1">IFERROR(__xludf.DUMMYFUNCTION("""COMPUTED_VALUE"""),5)</f>
        <v>5</v>
      </c>
      <c r="N105" s="1">
        <f ca="1">IFERROR(__xludf.DUMMYFUNCTION("""COMPUTED_VALUE"""),2348)</f>
        <v>2348</v>
      </c>
      <c r="O105" s="1">
        <f ca="1">IFERROR(__xludf.DUMMYFUNCTION("""COMPUTED_VALUE"""),2109)</f>
        <v>2109</v>
      </c>
      <c r="P105" s="1">
        <f ca="1">IFERROR(__xludf.DUMMYFUNCTION("""COMPUTED_VALUE"""),1365)</f>
        <v>1365</v>
      </c>
      <c r="Q105" s="1">
        <f ca="1">IFERROR(__xludf.DUMMYFUNCTION("""COMPUTED_VALUE"""),827)</f>
        <v>827</v>
      </c>
      <c r="R105" s="1">
        <f ca="1">IFERROR(__xludf.DUMMYFUNCTION("""COMPUTED_VALUE"""),1903)</f>
        <v>1903</v>
      </c>
      <c r="S105" s="1">
        <f ca="1">IFERROR(__xludf.DUMMYFUNCTION("""COMPUTED_VALUE"""),0.435)</f>
        <v>0.435</v>
      </c>
      <c r="T105" s="1">
        <f ca="1">IFERROR(__xludf.DUMMYFUNCTION("""COMPUTED_VALUE"""),212)</f>
        <v>212</v>
      </c>
      <c r="U105" s="1">
        <f ca="1">IFERROR(__xludf.DUMMYFUNCTION("""COMPUTED_VALUE"""),634)</f>
        <v>634</v>
      </c>
      <c r="V105" s="1">
        <f ca="1">IFERROR(__xludf.DUMMYFUNCTION("""COMPUTED_VALUE"""),0.334)</f>
        <v>0.33400000000000002</v>
      </c>
      <c r="W105" s="1">
        <f ca="1">IFERROR(__xludf.DUMMYFUNCTION("""COMPUTED_VALUE"""),482)</f>
        <v>482</v>
      </c>
      <c r="X105" s="1">
        <f ca="1">IFERROR(__xludf.DUMMYFUNCTION("""COMPUTED_VALUE"""),725)</f>
        <v>725</v>
      </c>
      <c r="Y105" s="1">
        <f ca="1">IFERROR(__xludf.DUMMYFUNCTION("""COMPUTED_VALUE"""),0.665)</f>
        <v>0.66500000000000004</v>
      </c>
      <c r="Z105" s="1">
        <f ca="1">IFERROR(__xludf.DUMMYFUNCTION("""COMPUTED_VALUE"""),422)</f>
        <v>422</v>
      </c>
      <c r="AA105" s="1">
        <f ca="1">IFERROR(__xludf.DUMMYFUNCTION("""COMPUTED_VALUE"""),1332)</f>
        <v>1332</v>
      </c>
      <c r="AB105" s="1">
        <f ca="1">IFERROR(__xludf.DUMMYFUNCTION("""COMPUTED_VALUE"""),423)</f>
        <v>423</v>
      </c>
      <c r="AC105" s="1">
        <f ca="1">IFERROR(__xludf.DUMMYFUNCTION("""COMPUTED_VALUE"""),288)</f>
        <v>288</v>
      </c>
      <c r="AD105" s="1">
        <f ca="1">IFERROR(__xludf.DUMMYFUNCTION("""COMPUTED_VALUE"""),203)</f>
        <v>203</v>
      </c>
      <c r="AE105" s="1">
        <f ca="1">IFERROR(__xludf.DUMMYFUNCTION("""COMPUTED_VALUE"""),541)</f>
        <v>541</v>
      </c>
      <c r="AF105" s="1">
        <f ca="1">IFERROR(__xludf.DUMMYFUNCTION("""COMPUTED_VALUE"""),651)</f>
        <v>651</v>
      </c>
    </row>
    <row r="106" spans="1:32" ht="12.5" x14ac:dyDescent="0.25">
      <c r="A106" s="1" t="str">
        <f ca="1">IFERROR(__xludf.DUMMYFUNCTION("""COMPUTED_VALUE"""),"FloridaNCAA")</f>
        <v>FloridaNCAA</v>
      </c>
      <c r="B106" s="1">
        <f ca="1">IFERROR(__xludf.DUMMYFUNCTION("""COMPUTED_VALUE"""),37)</f>
        <v>37</v>
      </c>
      <c r="C106" s="1">
        <f ca="1">IFERROR(__xludf.DUMMYFUNCTION("""COMPUTED_VALUE"""),29)</f>
        <v>29</v>
      </c>
      <c r="D106" s="1">
        <f ca="1">IFERROR(__xludf.DUMMYFUNCTION("""COMPUTED_VALUE"""),8)</f>
        <v>8</v>
      </c>
      <c r="E106" s="1">
        <f ca="1">IFERROR(__xludf.DUMMYFUNCTION("""COMPUTED_VALUE"""),0.784)</f>
        <v>0.78400000000000003</v>
      </c>
      <c r="F106" s="1">
        <f ca="1">IFERROR(__xludf.DUMMYFUNCTION("""COMPUTED_VALUE"""),16.27)</f>
        <v>16.27</v>
      </c>
      <c r="G106" s="1">
        <f ca="1">IFERROR(__xludf.DUMMYFUNCTION("""COMPUTED_VALUE"""),7.57)</f>
        <v>7.57</v>
      </c>
      <c r="H106" s="1">
        <f ca="1">IFERROR(__xludf.DUMMYFUNCTION("""COMPUTED_VALUE"""),13)</f>
        <v>13</v>
      </c>
      <c r="I106" s="1">
        <f ca="1">IFERROR(__xludf.DUMMYFUNCTION("""COMPUTED_VALUE"""),3)</f>
        <v>3</v>
      </c>
      <c r="J106" s="1">
        <f ca="1">IFERROR(__xludf.DUMMYFUNCTION("""COMPUTED_VALUE"""),14)</f>
        <v>14</v>
      </c>
      <c r="K106" s="1">
        <f ca="1">IFERROR(__xludf.DUMMYFUNCTION("""COMPUTED_VALUE"""),3)</f>
        <v>3</v>
      </c>
      <c r="L106" s="1">
        <f ca="1">IFERROR(__xludf.DUMMYFUNCTION("""COMPUTED_VALUE"""),8)</f>
        <v>8</v>
      </c>
      <c r="M106" s="1">
        <f ca="1">IFERROR(__xludf.DUMMYFUNCTION("""COMPUTED_VALUE"""),2)</f>
        <v>2</v>
      </c>
      <c r="N106" s="1">
        <f ca="1">IFERROR(__xludf.DUMMYFUNCTION("""COMPUTED_VALUE"""),2667)</f>
        <v>2667</v>
      </c>
      <c r="O106" s="1">
        <f ca="1">IFERROR(__xludf.DUMMYFUNCTION("""COMPUTED_VALUE"""),2345)</f>
        <v>2345</v>
      </c>
      <c r="P106" s="1">
        <f ca="1">IFERROR(__xludf.DUMMYFUNCTION("""COMPUTED_VALUE"""),1515)</f>
        <v>1515</v>
      </c>
      <c r="Q106" s="1">
        <f ca="1">IFERROR(__xludf.DUMMYFUNCTION("""COMPUTED_VALUE"""),968)</f>
        <v>968</v>
      </c>
      <c r="R106" s="1">
        <f ca="1">IFERROR(__xludf.DUMMYFUNCTION("""COMPUTED_VALUE"""),2083)</f>
        <v>2083</v>
      </c>
      <c r="S106" s="1">
        <f ca="1">IFERROR(__xludf.DUMMYFUNCTION("""COMPUTED_VALUE"""),0.465)</f>
        <v>0.46500000000000002</v>
      </c>
      <c r="T106" s="1">
        <f ca="1">IFERROR(__xludf.DUMMYFUNCTION("""COMPUTED_VALUE"""),233)</f>
        <v>233</v>
      </c>
      <c r="U106" s="1">
        <f ca="1">IFERROR(__xludf.DUMMYFUNCTION("""COMPUTED_VALUE"""),661)</f>
        <v>661</v>
      </c>
      <c r="V106" s="1">
        <f ca="1">IFERROR(__xludf.DUMMYFUNCTION("""COMPUTED_VALUE"""),0.352)</f>
        <v>0.35199999999999998</v>
      </c>
      <c r="W106" s="1">
        <f ca="1">IFERROR(__xludf.DUMMYFUNCTION("""COMPUTED_VALUE"""),498)</f>
        <v>498</v>
      </c>
      <c r="X106" s="1">
        <f ca="1">IFERROR(__xludf.DUMMYFUNCTION("""COMPUTED_VALUE"""),744)</f>
        <v>744</v>
      </c>
      <c r="Y106" s="1">
        <f ca="1">IFERROR(__xludf.DUMMYFUNCTION("""COMPUTED_VALUE"""),0.669)</f>
        <v>0.66900000000000004</v>
      </c>
      <c r="Z106" s="1">
        <f ca="1">IFERROR(__xludf.DUMMYFUNCTION("""COMPUTED_VALUE"""),467)</f>
        <v>467</v>
      </c>
      <c r="AA106" s="1">
        <f ca="1">IFERROR(__xludf.DUMMYFUNCTION("""COMPUTED_VALUE"""),1384)</f>
        <v>1384</v>
      </c>
      <c r="AB106" s="1">
        <f ca="1">IFERROR(__xludf.DUMMYFUNCTION("""COMPUTED_VALUE"""),521)</f>
        <v>521</v>
      </c>
      <c r="AC106" s="1">
        <f ca="1">IFERROR(__xludf.DUMMYFUNCTION("""COMPUTED_VALUE"""),221)</f>
        <v>221</v>
      </c>
      <c r="AD106" s="1">
        <f ca="1">IFERROR(__xludf.DUMMYFUNCTION("""COMPUTED_VALUE"""),131)</f>
        <v>131</v>
      </c>
      <c r="AE106" s="1">
        <f ca="1">IFERROR(__xludf.DUMMYFUNCTION("""COMPUTED_VALUE"""),452)</f>
        <v>452</v>
      </c>
      <c r="AF106" s="1">
        <f ca="1">IFERROR(__xludf.DUMMYFUNCTION("""COMPUTED_VALUE"""),545)</f>
        <v>545</v>
      </c>
    </row>
    <row r="107" spans="1:32" ht="12.5" x14ac:dyDescent="0.25">
      <c r="A107" s="1" t="str">
        <f ca="1">IFERROR(__xludf.DUMMYFUNCTION("""COMPUTED_VALUE"""),"Fordham")</f>
        <v>Fordham</v>
      </c>
      <c r="B107" s="1">
        <f ca="1">IFERROR(__xludf.DUMMYFUNCTION("""COMPUTED_VALUE"""),28)</f>
        <v>28</v>
      </c>
      <c r="C107" s="1">
        <f ca="1">IFERROR(__xludf.DUMMYFUNCTION("""COMPUTED_VALUE"""),7)</f>
        <v>7</v>
      </c>
      <c r="D107" s="1">
        <f ca="1">IFERROR(__xludf.DUMMYFUNCTION("""COMPUTED_VALUE"""),21)</f>
        <v>21</v>
      </c>
      <c r="E107" s="1">
        <f ca="1">IFERROR(__xludf.DUMMYFUNCTION("""COMPUTED_VALUE"""),0.25)</f>
        <v>0.25</v>
      </c>
      <c r="F107" s="1">
        <f ca="1">IFERROR(__xludf.DUMMYFUNCTION("""COMPUTED_VALUE"""),-8.77)</f>
        <v>-8.77</v>
      </c>
      <c r="G107" s="1">
        <f ca="1">IFERROR(__xludf.DUMMYFUNCTION("""COMPUTED_VALUE"""),1.01)</f>
        <v>1.01</v>
      </c>
      <c r="H107" s="1">
        <f ca="1">IFERROR(__xludf.DUMMYFUNCTION("""COMPUTED_VALUE"""),1)</f>
        <v>1</v>
      </c>
      <c r="I107" s="1">
        <f ca="1">IFERROR(__xludf.DUMMYFUNCTION("""COMPUTED_VALUE"""),15)</f>
        <v>15</v>
      </c>
      <c r="J107" s="1">
        <f ca="1">IFERROR(__xludf.DUMMYFUNCTION("""COMPUTED_VALUE"""),6)</f>
        <v>6</v>
      </c>
      <c r="K107" s="1">
        <f ca="1">IFERROR(__xludf.DUMMYFUNCTION("""COMPUTED_VALUE"""),6)</f>
        <v>6</v>
      </c>
      <c r="L107" s="1">
        <f ca="1">IFERROR(__xludf.DUMMYFUNCTION("""COMPUTED_VALUE"""),1)</f>
        <v>1</v>
      </c>
      <c r="M107" s="1">
        <f ca="1">IFERROR(__xludf.DUMMYFUNCTION("""COMPUTED_VALUE"""),10)</f>
        <v>10</v>
      </c>
      <c r="N107" s="1">
        <f ca="1">IFERROR(__xludf.DUMMYFUNCTION("""COMPUTED_VALUE"""),1795)</f>
        <v>1795</v>
      </c>
      <c r="O107" s="1">
        <f ca="1">IFERROR(__xludf.DUMMYFUNCTION("""COMPUTED_VALUE"""),2069)</f>
        <v>2069</v>
      </c>
      <c r="P107" s="1">
        <f ca="1">IFERROR(__xludf.DUMMYFUNCTION("""COMPUTED_VALUE"""),1120)</f>
        <v>1120</v>
      </c>
      <c r="Q107" s="1">
        <f ca="1">IFERROR(__xludf.DUMMYFUNCTION("""COMPUTED_VALUE"""),648)</f>
        <v>648</v>
      </c>
      <c r="R107" s="1">
        <f ca="1">IFERROR(__xludf.DUMMYFUNCTION("""COMPUTED_VALUE"""),1636)</f>
        <v>1636</v>
      </c>
      <c r="S107" s="1">
        <f ca="1">IFERROR(__xludf.DUMMYFUNCTION("""COMPUTED_VALUE"""),0.396)</f>
        <v>0.39600000000000002</v>
      </c>
      <c r="T107" s="1">
        <f ca="1">IFERROR(__xludf.DUMMYFUNCTION("""COMPUTED_VALUE"""),182)</f>
        <v>182</v>
      </c>
      <c r="U107" s="1">
        <f ca="1">IFERROR(__xludf.DUMMYFUNCTION("""COMPUTED_VALUE"""),541)</f>
        <v>541</v>
      </c>
      <c r="V107" s="1">
        <f ca="1">IFERROR(__xludf.DUMMYFUNCTION("""COMPUTED_VALUE"""),0.336)</f>
        <v>0.33600000000000002</v>
      </c>
      <c r="W107" s="1">
        <f ca="1">IFERROR(__xludf.DUMMYFUNCTION("""COMPUTED_VALUE"""),317)</f>
        <v>317</v>
      </c>
      <c r="X107" s="1">
        <f ca="1">IFERROR(__xludf.DUMMYFUNCTION("""COMPUTED_VALUE"""),503)</f>
        <v>503</v>
      </c>
      <c r="Y107" s="1">
        <f ca="1">IFERROR(__xludf.DUMMYFUNCTION("""COMPUTED_VALUE"""),0.63)</f>
        <v>0.63</v>
      </c>
      <c r="Z107" s="1">
        <f ca="1">IFERROR(__xludf.DUMMYFUNCTION("""COMPUTED_VALUE"""),369)</f>
        <v>369</v>
      </c>
      <c r="AA107" s="1">
        <f ca="1">IFERROR(__xludf.DUMMYFUNCTION("""COMPUTED_VALUE"""),1061)</f>
        <v>1061</v>
      </c>
      <c r="AB107" s="1">
        <f ca="1">IFERROR(__xludf.DUMMYFUNCTION("""COMPUTED_VALUE"""),350)</f>
        <v>350</v>
      </c>
      <c r="AC107" s="1">
        <f ca="1">IFERROR(__xludf.DUMMYFUNCTION("""COMPUTED_VALUE"""),117)</f>
        <v>117</v>
      </c>
      <c r="AD107" s="1">
        <f ca="1">IFERROR(__xludf.DUMMYFUNCTION("""COMPUTED_VALUE"""),123)</f>
        <v>123</v>
      </c>
      <c r="AE107" s="1">
        <f ca="1">IFERROR(__xludf.DUMMYFUNCTION("""COMPUTED_VALUE"""),393)</f>
        <v>393</v>
      </c>
      <c r="AF107" s="1">
        <f ca="1">IFERROR(__xludf.DUMMYFUNCTION("""COMPUTED_VALUE"""),514)</f>
        <v>514</v>
      </c>
    </row>
    <row r="108" spans="1:32" ht="12.5" x14ac:dyDescent="0.25">
      <c r="A108" s="1" t="str">
        <f ca="1">IFERROR(__xludf.DUMMYFUNCTION("""COMPUTED_VALUE"""),"Fresno State")</f>
        <v>Fresno State</v>
      </c>
      <c r="B108" s="1">
        <f ca="1">IFERROR(__xludf.DUMMYFUNCTION("""COMPUTED_VALUE"""),31)</f>
        <v>31</v>
      </c>
      <c r="C108" s="1">
        <f ca="1">IFERROR(__xludf.DUMMYFUNCTION("""COMPUTED_VALUE"""),14)</f>
        <v>14</v>
      </c>
      <c r="D108" s="1">
        <f ca="1">IFERROR(__xludf.DUMMYFUNCTION("""COMPUTED_VALUE"""),17)</f>
        <v>17</v>
      </c>
      <c r="E108" s="1">
        <f ca="1">IFERROR(__xludf.DUMMYFUNCTION("""COMPUTED_VALUE"""),0.452)</f>
        <v>0.45200000000000001</v>
      </c>
      <c r="F108" s="1">
        <f ca="1">IFERROR(__xludf.DUMMYFUNCTION("""COMPUTED_VALUE"""),-0.25)</f>
        <v>-0.25</v>
      </c>
      <c r="G108" s="1">
        <f ca="1">IFERROR(__xludf.DUMMYFUNCTION("""COMPUTED_VALUE"""),0.58)</f>
        <v>0.57999999999999996</v>
      </c>
      <c r="H108" s="1">
        <f ca="1">IFERROR(__xludf.DUMMYFUNCTION("""COMPUTED_VALUE"""),6)</f>
        <v>6</v>
      </c>
      <c r="I108" s="1">
        <f ca="1">IFERROR(__xludf.DUMMYFUNCTION("""COMPUTED_VALUE"""),10)</f>
        <v>10</v>
      </c>
      <c r="J108" s="1">
        <f ca="1">IFERROR(__xludf.DUMMYFUNCTION("""COMPUTED_VALUE"""),11)</f>
        <v>11</v>
      </c>
      <c r="K108" s="1">
        <f ca="1">IFERROR(__xludf.DUMMYFUNCTION("""COMPUTED_VALUE"""),5)</f>
        <v>5</v>
      </c>
      <c r="L108" s="1">
        <f ca="1">IFERROR(__xludf.DUMMYFUNCTION("""COMPUTED_VALUE"""),3)</f>
        <v>3</v>
      </c>
      <c r="M108" s="1">
        <f ca="1">IFERROR(__xludf.DUMMYFUNCTION("""COMPUTED_VALUE"""),11)</f>
        <v>11</v>
      </c>
      <c r="N108" s="1">
        <f ca="1">IFERROR(__xludf.DUMMYFUNCTION("""COMPUTED_VALUE"""),2096)</f>
        <v>2096</v>
      </c>
      <c r="O108" s="1">
        <f ca="1">IFERROR(__xludf.DUMMYFUNCTION("""COMPUTED_VALUE"""),2089)</f>
        <v>2089</v>
      </c>
      <c r="P108" s="1">
        <f ca="1">IFERROR(__xludf.DUMMYFUNCTION("""COMPUTED_VALUE"""),1245)</f>
        <v>1245</v>
      </c>
      <c r="Q108" s="1">
        <f ca="1">IFERROR(__xludf.DUMMYFUNCTION("""COMPUTED_VALUE"""),743)</f>
        <v>743</v>
      </c>
      <c r="R108" s="1">
        <f ca="1">IFERROR(__xludf.DUMMYFUNCTION("""COMPUTED_VALUE"""),1740)</f>
        <v>1740</v>
      </c>
      <c r="S108" s="1">
        <f ca="1">IFERROR(__xludf.DUMMYFUNCTION("""COMPUTED_VALUE"""),0.427)</f>
        <v>0.42699999999999999</v>
      </c>
      <c r="T108" s="1">
        <f ca="1">IFERROR(__xludf.DUMMYFUNCTION("""COMPUTED_VALUE"""),183)</f>
        <v>183</v>
      </c>
      <c r="U108" s="1">
        <f ca="1">IFERROR(__xludf.DUMMYFUNCTION("""COMPUTED_VALUE"""),621)</f>
        <v>621</v>
      </c>
      <c r="V108" s="1">
        <f ca="1">IFERROR(__xludf.DUMMYFUNCTION("""COMPUTED_VALUE"""),0.295)</f>
        <v>0.29499999999999998</v>
      </c>
      <c r="W108" s="1">
        <f ca="1">IFERROR(__xludf.DUMMYFUNCTION("""COMPUTED_VALUE"""),427)</f>
        <v>427</v>
      </c>
      <c r="X108" s="1">
        <f ca="1">IFERROR(__xludf.DUMMYFUNCTION("""COMPUTED_VALUE"""),679)</f>
        <v>679</v>
      </c>
      <c r="Y108" s="1">
        <f ca="1">IFERROR(__xludf.DUMMYFUNCTION("""COMPUTED_VALUE"""),0.629)</f>
        <v>0.629</v>
      </c>
      <c r="Z108" s="1">
        <f ca="1">IFERROR(__xludf.DUMMYFUNCTION("""COMPUTED_VALUE"""),375)</f>
        <v>375</v>
      </c>
      <c r="AA108" s="1">
        <f ca="1">IFERROR(__xludf.DUMMYFUNCTION("""COMPUTED_VALUE"""),1117)</f>
        <v>1117</v>
      </c>
      <c r="AB108" s="1">
        <f ca="1">IFERROR(__xludf.DUMMYFUNCTION("""COMPUTED_VALUE"""),441)</f>
        <v>441</v>
      </c>
      <c r="AC108" s="1">
        <f ca="1">IFERROR(__xludf.DUMMYFUNCTION("""COMPUTED_VALUE"""),264)</f>
        <v>264</v>
      </c>
      <c r="AD108" s="1">
        <f ca="1">IFERROR(__xludf.DUMMYFUNCTION("""COMPUTED_VALUE"""),115)</f>
        <v>115</v>
      </c>
      <c r="AE108" s="1">
        <f ca="1">IFERROR(__xludf.DUMMYFUNCTION("""COMPUTED_VALUE"""),430)</f>
        <v>430</v>
      </c>
      <c r="AF108" s="1">
        <f ca="1">IFERROR(__xludf.DUMMYFUNCTION("""COMPUTED_VALUE"""),566)</f>
        <v>566</v>
      </c>
    </row>
    <row r="109" spans="1:32" ht="12.5" x14ac:dyDescent="0.25">
      <c r="A109" s="1" t="str">
        <f ca="1">IFERROR(__xludf.DUMMYFUNCTION("""COMPUTED_VALUE"""),"Furman")</f>
        <v>Furman</v>
      </c>
      <c r="B109" s="1">
        <f ca="1">IFERROR(__xludf.DUMMYFUNCTION("""COMPUTED_VALUE"""),33)</f>
        <v>33</v>
      </c>
      <c r="C109" s="1">
        <f ca="1">IFERROR(__xludf.DUMMYFUNCTION("""COMPUTED_VALUE"""),22)</f>
        <v>22</v>
      </c>
      <c r="D109" s="1">
        <f ca="1">IFERROR(__xludf.DUMMYFUNCTION("""COMPUTED_VALUE"""),11)</f>
        <v>11</v>
      </c>
      <c r="E109" s="1">
        <f ca="1">IFERROR(__xludf.DUMMYFUNCTION("""COMPUTED_VALUE"""),0.667)</f>
        <v>0.66700000000000004</v>
      </c>
      <c r="F109" s="1">
        <f ca="1">IFERROR(__xludf.DUMMYFUNCTION("""COMPUTED_VALUE"""),-0.36)</f>
        <v>-0.36</v>
      </c>
      <c r="G109" s="1">
        <f ca="1">IFERROR(__xludf.DUMMYFUNCTION("""COMPUTED_VALUE"""),-3.65)</f>
        <v>-3.65</v>
      </c>
      <c r="H109" s="1">
        <f ca="1">IFERROR(__xludf.DUMMYFUNCTION("""COMPUTED_VALUE"""),12)</f>
        <v>12</v>
      </c>
      <c r="I109" s="1">
        <f ca="1">IFERROR(__xludf.DUMMYFUNCTION("""COMPUTED_VALUE"""),6)</f>
        <v>6</v>
      </c>
      <c r="J109" s="1">
        <f ca="1">IFERROR(__xludf.DUMMYFUNCTION("""COMPUTED_VALUE"""),11)</f>
        <v>11</v>
      </c>
      <c r="K109" s="1">
        <f ca="1">IFERROR(__xludf.DUMMYFUNCTION("""COMPUTED_VALUE"""),2)</f>
        <v>2</v>
      </c>
      <c r="L109" s="1">
        <f ca="1">IFERROR(__xludf.DUMMYFUNCTION("""COMPUTED_VALUE"""),9)</f>
        <v>9</v>
      </c>
      <c r="M109" s="1">
        <f ca="1">IFERROR(__xludf.DUMMYFUNCTION("""COMPUTED_VALUE"""),8)</f>
        <v>8</v>
      </c>
      <c r="N109" s="1">
        <f ca="1">IFERROR(__xludf.DUMMYFUNCTION("""COMPUTED_VALUE"""),2271)</f>
        <v>2271</v>
      </c>
      <c r="O109" s="1">
        <f ca="1">IFERROR(__xludf.DUMMYFUNCTION("""COMPUTED_VALUE"""),2124)</f>
        <v>2124</v>
      </c>
      <c r="P109" s="1">
        <f ca="1">IFERROR(__xludf.DUMMYFUNCTION("""COMPUTED_VALUE"""),1330)</f>
        <v>1330</v>
      </c>
      <c r="Q109" s="1">
        <f ca="1">IFERROR(__xludf.DUMMYFUNCTION("""COMPUTED_VALUE"""),765)</f>
        <v>765</v>
      </c>
      <c r="R109" s="1">
        <f ca="1">IFERROR(__xludf.DUMMYFUNCTION("""COMPUTED_VALUE"""),1712)</f>
        <v>1712</v>
      </c>
      <c r="S109" s="1">
        <f ca="1">IFERROR(__xludf.DUMMYFUNCTION("""COMPUTED_VALUE"""),0.447)</f>
        <v>0.44700000000000001</v>
      </c>
      <c r="T109" s="1">
        <f ca="1">IFERROR(__xludf.DUMMYFUNCTION("""COMPUTED_VALUE"""),238)</f>
        <v>238</v>
      </c>
      <c r="U109" s="1">
        <f ca="1">IFERROR(__xludf.DUMMYFUNCTION("""COMPUTED_VALUE"""),636)</f>
        <v>636</v>
      </c>
      <c r="V109" s="1">
        <f ca="1">IFERROR(__xludf.DUMMYFUNCTION("""COMPUTED_VALUE"""),0.374)</f>
        <v>0.374</v>
      </c>
      <c r="W109" s="1">
        <f ca="1">IFERROR(__xludf.DUMMYFUNCTION("""COMPUTED_VALUE"""),503)</f>
        <v>503</v>
      </c>
      <c r="X109" s="1">
        <f ca="1">IFERROR(__xludf.DUMMYFUNCTION("""COMPUTED_VALUE"""),694)</f>
        <v>694</v>
      </c>
      <c r="Y109" s="1">
        <f ca="1">IFERROR(__xludf.DUMMYFUNCTION("""COMPUTED_VALUE"""),0.725)</f>
        <v>0.72499999999999998</v>
      </c>
      <c r="Z109" s="1">
        <f ca="1">IFERROR(__xludf.DUMMYFUNCTION("""COMPUTED_VALUE"""),368)</f>
        <v>368</v>
      </c>
      <c r="AA109" s="1">
        <f ca="1">IFERROR(__xludf.DUMMYFUNCTION("""COMPUTED_VALUE"""),1135)</f>
        <v>1135</v>
      </c>
      <c r="AB109" s="1">
        <f ca="1">IFERROR(__xludf.DUMMYFUNCTION("""COMPUTED_VALUE"""),404)</f>
        <v>404</v>
      </c>
      <c r="AC109" s="1">
        <f ca="1">IFERROR(__xludf.DUMMYFUNCTION("""COMPUTED_VALUE"""),170)</f>
        <v>170</v>
      </c>
      <c r="AD109" s="1">
        <f ca="1">IFERROR(__xludf.DUMMYFUNCTION("""COMPUTED_VALUE"""),114)</f>
        <v>114</v>
      </c>
      <c r="AE109" s="1">
        <f ca="1">IFERROR(__xludf.DUMMYFUNCTION("""COMPUTED_VALUE"""),436)</f>
        <v>436</v>
      </c>
      <c r="AF109" s="1">
        <f ca="1">IFERROR(__xludf.DUMMYFUNCTION("""COMPUTED_VALUE"""),621)</f>
        <v>621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IFERROR(__xludf.DUMMYFUNCTION("""COMPUTED_VALUE"""),"Gardner-Webb")</f>
        <v>Gardner-Webb</v>
      </c>
      <c r="B112" s="1">
        <f ca="1">IFERROR(__xludf.DUMMYFUNCTION("""COMPUTED_VALUE"""),32)</f>
        <v>32</v>
      </c>
      <c r="C112" s="1">
        <f ca="1">IFERROR(__xludf.DUMMYFUNCTION("""COMPUTED_VALUE"""),11)</f>
        <v>11</v>
      </c>
      <c r="D112" s="1">
        <f ca="1">IFERROR(__xludf.DUMMYFUNCTION("""COMPUTED_VALUE"""),21)</f>
        <v>21</v>
      </c>
      <c r="E112" s="1">
        <f ca="1">IFERROR(__xludf.DUMMYFUNCTION("""COMPUTED_VALUE"""),0.344)</f>
        <v>0.34399999999999997</v>
      </c>
      <c r="F112" s="1">
        <f ca="1">IFERROR(__xludf.DUMMYFUNCTION("""COMPUTED_VALUE"""),-9.22)</f>
        <v>-9.2200000000000006</v>
      </c>
      <c r="G112" s="1">
        <f ca="1">IFERROR(__xludf.DUMMYFUNCTION("""COMPUTED_VALUE"""),-2.72)</f>
        <v>-2.72</v>
      </c>
      <c r="H112" s="1">
        <f ca="1">IFERROR(__xludf.DUMMYFUNCTION("""COMPUTED_VALUE"""),6)</f>
        <v>6</v>
      </c>
      <c r="I112" s="1">
        <f ca="1">IFERROR(__xludf.DUMMYFUNCTION("""COMPUTED_VALUE"""),12)</f>
        <v>12</v>
      </c>
      <c r="J112" s="1">
        <f ca="1">IFERROR(__xludf.DUMMYFUNCTION("""COMPUTED_VALUE"""),6)</f>
        <v>6</v>
      </c>
      <c r="K112" s="1">
        <f ca="1">IFERROR(__xludf.DUMMYFUNCTION("""COMPUTED_VALUE"""),5)</f>
        <v>5</v>
      </c>
      <c r="L112" s="1">
        <f ca="1">IFERROR(__xludf.DUMMYFUNCTION("""COMPUTED_VALUE"""),3)</f>
        <v>3</v>
      </c>
      <c r="M112" s="1">
        <f ca="1">IFERROR(__xludf.DUMMYFUNCTION("""COMPUTED_VALUE"""),16)</f>
        <v>16</v>
      </c>
      <c r="N112" s="1">
        <f ca="1">IFERROR(__xludf.DUMMYFUNCTION("""COMPUTED_VALUE"""),1985)</f>
        <v>1985</v>
      </c>
      <c r="O112" s="1">
        <f ca="1">IFERROR(__xludf.DUMMYFUNCTION("""COMPUTED_VALUE"""),2129)</f>
        <v>2129</v>
      </c>
      <c r="P112" s="1">
        <f ca="1">IFERROR(__xludf.DUMMYFUNCTION("""COMPUTED_VALUE"""),1285)</f>
        <v>1285</v>
      </c>
      <c r="Q112" s="1">
        <f ca="1">IFERROR(__xludf.DUMMYFUNCTION("""COMPUTED_VALUE"""),716)</f>
        <v>716</v>
      </c>
      <c r="R112" s="1">
        <f ca="1">IFERROR(__xludf.DUMMYFUNCTION("""COMPUTED_VALUE"""),1742)</f>
        <v>1742</v>
      </c>
      <c r="S112" s="1">
        <f ca="1">IFERROR(__xludf.DUMMYFUNCTION("""COMPUTED_VALUE"""),0.411)</f>
        <v>0.41099999999999998</v>
      </c>
      <c r="T112" s="1">
        <f ca="1">IFERROR(__xludf.DUMMYFUNCTION("""COMPUTED_VALUE"""),203)</f>
        <v>203</v>
      </c>
      <c r="U112" s="1">
        <f ca="1">IFERROR(__xludf.DUMMYFUNCTION("""COMPUTED_VALUE"""),626)</f>
        <v>626</v>
      </c>
      <c r="V112" s="1">
        <f ca="1">IFERROR(__xludf.DUMMYFUNCTION("""COMPUTED_VALUE"""),0.324)</f>
        <v>0.32400000000000001</v>
      </c>
      <c r="W112" s="1">
        <f ca="1">IFERROR(__xludf.DUMMYFUNCTION("""COMPUTED_VALUE"""),350)</f>
        <v>350</v>
      </c>
      <c r="X112" s="1">
        <f ca="1">IFERROR(__xludf.DUMMYFUNCTION("""COMPUTED_VALUE"""),545)</f>
        <v>545</v>
      </c>
      <c r="Y112" s="1">
        <f ca="1">IFERROR(__xludf.DUMMYFUNCTION("""COMPUTED_VALUE"""),0.642)</f>
        <v>0.64200000000000002</v>
      </c>
      <c r="Z112" s="1">
        <f ca="1">IFERROR(__xludf.DUMMYFUNCTION("""COMPUTED_VALUE"""),362)</f>
        <v>362</v>
      </c>
      <c r="AA112" s="1">
        <f ca="1">IFERROR(__xludf.DUMMYFUNCTION("""COMPUTED_VALUE"""),1094)</f>
        <v>1094</v>
      </c>
      <c r="AB112" s="1">
        <f ca="1">IFERROR(__xludf.DUMMYFUNCTION("""COMPUTED_VALUE"""),334)</f>
        <v>334</v>
      </c>
      <c r="AC112" s="1">
        <f ca="1">IFERROR(__xludf.DUMMYFUNCTION("""COMPUTED_VALUE"""),224)</f>
        <v>224</v>
      </c>
      <c r="AD112" s="1">
        <f ca="1">IFERROR(__xludf.DUMMYFUNCTION("""COMPUTED_VALUE"""),77)</f>
        <v>77</v>
      </c>
      <c r="AE112" s="1">
        <f ca="1">IFERROR(__xludf.DUMMYFUNCTION("""COMPUTED_VALUE"""),475)</f>
        <v>475</v>
      </c>
      <c r="AF112" s="1">
        <f ca="1">IFERROR(__xludf.DUMMYFUNCTION("""COMPUTED_VALUE"""),600)</f>
        <v>600</v>
      </c>
    </row>
    <row r="113" spans="1:32" ht="12.5" x14ac:dyDescent="0.25">
      <c r="A113" s="1" t="str">
        <f ca="1">IFERROR(__xludf.DUMMYFUNCTION("""COMPUTED_VALUE"""),"George MasonNCAA")</f>
        <v>George MasonNCAA</v>
      </c>
      <c r="B113" s="1">
        <f ca="1">IFERROR(__xludf.DUMMYFUNCTION("""COMPUTED_VALUE"""),34)</f>
        <v>34</v>
      </c>
      <c r="C113" s="1">
        <f ca="1">IFERROR(__xludf.DUMMYFUNCTION("""COMPUTED_VALUE"""),27)</f>
        <v>27</v>
      </c>
      <c r="D113" s="1">
        <f ca="1">IFERROR(__xludf.DUMMYFUNCTION("""COMPUTED_VALUE"""),7)</f>
        <v>7</v>
      </c>
      <c r="E113" s="1">
        <f ca="1">IFERROR(__xludf.DUMMYFUNCTION("""COMPUTED_VALUE"""),0.794)</f>
        <v>0.79400000000000004</v>
      </c>
      <c r="F113" s="1">
        <f ca="1">IFERROR(__xludf.DUMMYFUNCTION("""COMPUTED_VALUE"""),11.66)</f>
        <v>11.66</v>
      </c>
      <c r="G113" s="1">
        <f ca="1">IFERROR(__xludf.DUMMYFUNCTION("""COMPUTED_VALUE"""),1.37)</f>
        <v>1.37</v>
      </c>
      <c r="H113" s="1">
        <f ca="1">IFERROR(__xludf.DUMMYFUNCTION("""COMPUTED_VALUE"""),16)</f>
        <v>16</v>
      </c>
      <c r="I113" s="1">
        <f ca="1">IFERROR(__xludf.DUMMYFUNCTION("""COMPUTED_VALUE"""),2)</f>
        <v>2</v>
      </c>
      <c r="J113" s="1">
        <f ca="1">IFERROR(__xludf.DUMMYFUNCTION("""COMPUTED_VALUE"""),14)</f>
        <v>14</v>
      </c>
      <c r="K113" s="1">
        <f ca="1">IFERROR(__xludf.DUMMYFUNCTION("""COMPUTED_VALUE"""),0)</f>
        <v>0</v>
      </c>
      <c r="L113" s="1">
        <f ca="1">IFERROR(__xludf.DUMMYFUNCTION("""COMPUTED_VALUE"""),10)</f>
        <v>10</v>
      </c>
      <c r="M113" s="1">
        <f ca="1">IFERROR(__xludf.DUMMYFUNCTION("""COMPUTED_VALUE"""),3)</f>
        <v>3</v>
      </c>
      <c r="N113" s="1">
        <f ca="1">IFERROR(__xludf.DUMMYFUNCTION("""COMPUTED_VALUE"""),2474)</f>
        <v>2474</v>
      </c>
      <c r="O113" s="1">
        <f ca="1">IFERROR(__xludf.DUMMYFUNCTION("""COMPUTED_VALUE"""),2124)</f>
        <v>2124</v>
      </c>
      <c r="P113" s="1">
        <f ca="1">IFERROR(__xludf.DUMMYFUNCTION("""COMPUTED_VALUE"""),1375)</f>
        <v>1375</v>
      </c>
      <c r="Q113" s="1">
        <f ca="1">IFERROR(__xludf.DUMMYFUNCTION("""COMPUTED_VALUE"""),876)</f>
        <v>876</v>
      </c>
      <c r="R113" s="1">
        <f ca="1">IFERROR(__xludf.DUMMYFUNCTION("""COMPUTED_VALUE"""),1861)</f>
        <v>1861</v>
      </c>
      <c r="S113" s="1">
        <f ca="1">IFERROR(__xludf.DUMMYFUNCTION("""COMPUTED_VALUE"""),0.471)</f>
        <v>0.47099999999999997</v>
      </c>
      <c r="T113" s="1">
        <f ca="1">IFERROR(__xludf.DUMMYFUNCTION("""COMPUTED_VALUE"""),227)</f>
        <v>227</v>
      </c>
      <c r="U113" s="1">
        <f ca="1">IFERROR(__xludf.DUMMYFUNCTION("""COMPUTED_VALUE"""),574)</f>
        <v>574</v>
      </c>
      <c r="V113" s="1">
        <f ca="1">IFERROR(__xludf.DUMMYFUNCTION("""COMPUTED_VALUE"""),0.395)</f>
        <v>0.39500000000000002</v>
      </c>
      <c r="W113" s="1">
        <f ca="1">IFERROR(__xludf.DUMMYFUNCTION("""COMPUTED_VALUE"""),495)</f>
        <v>495</v>
      </c>
      <c r="X113" s="1">
        <f ca="1">IFERROR(__xludf.DUMMYFUNCTION("""COMPUTED_VALUE"""),718)</f>
        <v>718</v>
      </c>
      <c r="Y113" s="1">
        <f ca="1">IFERROR(__xludf.DUMMYFUNCTION("""COMPUTED_VALUE"""),0.689)</f>
        <v>0.68899999999999995</v>
      </c>
      <c r="Z113" s="1">
        <f ca="1">IFERROR(__xludf.DUMMYFUNCTION("""COMPUTED_VALUE"""),364)</f>
        <v>364</v>
      </c>
      <c r="AA113" s="1">
        <f ca="1">IFERROR(__xludf.DUMMYFUNCTION("""COMPUTED_VALUE"""),1188)</f>
        <v>1188</v>
      </c>
      <c r="AB113" s="1">
        <f ca="1">IFERROR(__xludf.DUMMYFUNCTION("""COMPUTED_VALUE"""),483)</f>
        <v>483</v>
      </c>
      <c r="AC113" s="1">
        <f ca="1">IFERROR(__xludf.DUMMYFUNCTION("""COMPUTED_VALUE"""),224)</f>
        <v>224</v>
      </c>
      <c r="AD113" s="1">
        <f ca="1">IFERROR(__xludf.DUMMYFUNCTION("""COMPUTED_VALUE"""),110)</f>
        <v>110</v>
      </c>
      <c r="AE113" s="1">
        <f ca="1">IFERROR(__xludf.DUMMYFUNCTION("""COMPUTED_VALUE"""),376)</f>
        <v>376</v>
      </c>
      <c r="AF113" s="1">
        <f ca="1">IFERROR(__xludf.DUMMYFUNCTION("""COMPUTED_VALUE"""),581)</f>
        <v>581</v>
      </c>
    </row>
    <row r="114" spans="1:32" ht="12.5" x14ac:dyDescent="0.25">
      <c r="A114" s="1" t="str">
        <f ca="1">IFERROR(__xludf.DUMMYFUNCTION("""COMPUTED_VALUE"""),"George Washington")</f>
        <v>George Washington</v>
      </c>
      <c r="B114" s="1">
        <f ca="1">IFERROR(__xludf.DUMMYFUNCTION("""COMPUTED_VALUE"""),31)</f>
        <v>31</v>
      </c>
      <c r="C114" s="1">
        <f ca="1">IFERROR(__xludf.DUMMYFUNCTION("""COMPUTED_VALUE"""),17)</f>
        <v>17</v>
      </c>
      <c r="D114" s="1">
        <f ca="1">IFERROR(__xludf.DUMMYFUNCTION("""COMPUTED_VALUE"""),14)</f>
        <v>14</v>
      </c>
      <c r="E114" s="1">
        <f ca="1">IFERROR(__xludf.DUMMYFUNCTION("""COMPUTED_VALUE"""),0.548)</f>
        <v>0.54800000000000004</v>
      </c>
      <c r="F114" s="1">
        <f ca="1">IFERROR(__xludf.DUMMYFUNCTION("""COMPUTED_VALUE"""),-0.1)</f>
        <v>-0.1</v>
      </c>
      <c r="G114" s="1">
        <f ca="1">IFERROR(__xludf.DUMMYFUNCTION("""COMPUTED_VALUE"""),0.36)</f>
        <v>0.36</v>
      </c>
      <c r="H114" s="1">
        <f ca="1">IFERROR(__xludf.DUMMYFUNCTION("""COMPUTED_VALUE"""),10)</f>
        <v>10</v>
      </c>
      <c r="I114" s="1">
        <f ca="1">IFERROR(__xludf.DUMMYFUNCTION("""COMPUTED_VALUE"""),6)</f>
        <v>6</v>
      </c>
      <c r="J114" s="1">
        <f ca="1">IFERROR(__xludf.DUMMYFUNCTION("""COMPUTED_VALUE"""),9)</f>
        <v>9</v>
      </c>
      <c r="K114" s="1">
        <f ca="1">IFERROR(__xludf.DUMMYFUNCTION("""COMPUTED_VALUE"""),7)</f>
        <v>7</v>
      </c>
      <c r="L114" s="1">
        <f ca="1">IFERROR(__xludf.DUMMYFUNCTION("""COMPUTED_VALUE"""),7)</f>
        <v>7</v>
      </c>
      <c r="M114" s="1">
        <f ca="1">IFERROR(__xludf.DUMMYFUNCTION("""COMPUTED_VALUE"""),5)</f>
        <v>5</v>
      </c>
      <c r="N114" s="1">
        <f ca="1">IFERROR(__xludf.DUMMYFUNCTION("""COMPUTED_VALUE"""),2011)</f>
        <v>2011</v>
      </c>
      <c r="O114" s="1">
        <f ca="1">IFERROR(__xludf.DUMMYFUNCTION("""COMPUTED_VALUE"""),2025)</f>
        <v>2025</v>
      </c>
      <c r="P114" s="1">
        <f ca="1">IFERROR(__xludf.DUMMYFUNCTION("""COMPUTED_VALUE"""),1245)</f>
        <v>1245</v>
      </c>
      <c r="Q114" s="1">
        <f ca="1">IFERROR(__xludf.DUMMYFUNCTION("""COMPUTED_VALUE"""),712)</f>
        <v>712</v>
      </c>
      <c r="R114" s="1">
        <f ca="1">IFERROR(__xludf.DUMMYFUNCTION("""COMPUTED_VALUE"""),1716)</f>
        <v>1716</v>
      </c>
      <c r="S114" s="1">
        <f ca="1">IFERROR(__xludf.DUMMYFUNCTION("""COMPUTED_VALUE"""),0.415)</f>
        <v>0.41499999999999998</v>
      </c>
      <c r="T114" s="1">
        <f ca="1">IFERROR(__xludf.DUMMYFUNCTION("""COMPUTED_VALUE"""),182)</f>
        <v>182</v>
      </c>
      <c r="U114" s="1">
        <f ca="1">IFERROR(__xludf.DUMMYFUNCTION("""COMPUTED_VALUE"""),541)</f>
        <v>541</v>
      </c>
      <c r="V114" s="1">
        <f ca="1">IFERROR(__xludf.DUMMYFUNCTION("""COMPUTED_VALUE"""),0.336)</f>
        <v>0.33600000000000002</v>
      </c>
      <c r="W114" s="1">
        <f ca="1">IFERROR(__xludf.DUMMYFUNCTION("""COMPUTED_VALUE"""),405)</f>
        <v>405</v>
      </c>
      <c r="X114" s="1">
        <f ca="1">IFERROR(__xludf.DUMMYFUNCTION("""COMPUTED_VALUE"""),646)</f>
        <v>646</v>
      </c>
      <c r="Y114" s="1">
        <f ca="1">IFERROR(__xludf.DUMMYFUNCTION("""COMPUTED_VALUE"""),0.627)</f>
        <v>0.627</v>
      </c>
      <c r="Z114" s="1">
        <f ca="1">IFERROR(__xludf.DUMMYFUNCTION("""COMPUTED_VALUE"""),411)</f>
        <v>411</v>
      </c>
      <c r="AA114" s="1">
        <f ca="1">IFERROR(__xludf.DUMMYFUNCTION("""COMPUTED_VALUE"""),1101)</f>
        <v>1101</v>
      </c>
      <c r="AB114" s="1">
        <f ca="1">IFERROR(__xludf.DUMMYFUNCTION("""COMPUTED_VALUE"""),371)</f>
        <v>371</v>
      </c>
      <c r="AC114" s="1">
        <f ca="1">IFERROR(__xludf.DUMMYFUNCTION("""COMPUTED_VALUE"""),199)</f>
        <v>199</v>
      </c>
      <c r="AD114" s="1">
        <f ca="1">IFERROR(__xludf.DUMMYFUNCTION("""COMPUTED_VALUE"""),123)</f>
        <v>123</v>
      </c>
      <c r="AE114" s="1">
        <f ca="1">IFERROR(__xludf.DUMMYFUNCTION("""COMPUTED_VALUE"""),396)</f>
        <v>396</v>
      </c>
      <c r="AF114" s="1">
        <f ca="1">IFERROR(__xludf.DUMMYFUNCTION("""COMPUTED_VALUE"""),569)</f>
        <v>569</v>
      </c>
    </row>
    <row r="115" spans="1:32" ht="12.5" x14ac:dyDescent="0.25">
      <c r="A115" s="1" t="str">
        <f ca="1">IFERROR(__xludf.DUMMYFUNCTION("""COMPUTED_VALUE"""),"GeorgetownNCAA")</f>
        <v>GeorgetownNCAA</v>
      </c>
      <c r="B115" s="1">
        <f ca="1">IFERROR(__xludf.DUMMYFUNCTION("""COMPUTED_VALUE"""),32)</f>
        <v>32</v>
      </c>
      <c r="C115" s="1">
        <f ca="1">IFERROR(__xludf.DUMMYFUNCTION("""COMPUTED_VALUE"""),21)</f>
        <v>21</v>
      </c>
      <c r="D115" s="1">
        <f ca="1">IFERROR(__xludf.DUMMYFUNCTION("""COMPUTED_VALUE"""),11)</f>
        <v>11</v>
      </c>
      <c r="E115" s="1">
        <f ca="1">IFERROR(__xludf.DUMMYFUNCTION("""COMPUTED_VALUE"""),0.656)</f>
        <v>0.65600000000000003</v>
      </c>
      <c r="F115" s="1">
        <f ca="1">IFERROR(__xludf.DUMMYFUNCTION("""COMPUTED_VALUE"""),14.61)</f>
        <v>14.61</v>
      </c>
      <c r="G115" s="1">
        <f ca="1">IFERROR(__xludf.DUMMYFUNCTION("""COMPUTED_VALUE"""),10.39)</f>
        <v>10.39</v>
      </c>
      <c r="H115" s="1">
        <f ca="1">IFERROR(__xludf.DUMMYFUNCTION("""COMPUTED_VALUE"""),10)</f>
        <v>10</v>
      </c>
      <c r="I115" s="1">
        <f ca="1">IFERROR(__xludf.DUMMYFUNCTION("""COMPUTED_VALUE"""),8)</f>
        <v>8</v>
      </c>
      <c r="J115" s="1">
        <f ca="1">IFERROR(__xludf.DUMMYFUNCTION("""COMPUTED_VALUE"""),10)</f>
        <v>10</v>
      </c>
      <c r="K115" s="1">
        <f ca="1">IFERROR(__xludf.DUMMYFUNCTION("""COMPUTED_VALUE"""),4)</f>
        <v>4</v>
      </c>
      <c r="L115" s="1">
        <f ca="1">IFERROR(__xludf.DUMMYFUNCTION("""COMPUTED_VALUE"""),7)</f>
        <v>7</v>
      </c>
      <c r="M115" s="1">
        <f ca="1">IFERROR(__xludf.DUMMYFUNCTION("""COMPUTED_VALUE"""),5)</f>
        <v>5</v>
      </c>
      <c r="N115" s="1">
        <f ca="1">IFERROR(__xludf.DUMMYFUNCTION("""COMPUTED_VALUE"""),2258)</f>
        <v>2258</v>
      </c>
      <c r="O115" s="1">
        <f ca="1">IFERROR(__xludf.DUMMYFUNCTION("""COMPUTED_VALUE"""),2123)</f>
        <v>2123</v>
      </c>
      <c r="P115" s="1">
        <f ca="1">IFERROR(__xludf.DUMMYFUNCTION("""COMPUTED_VALUE"""),1285)</f>
        <v>1285</v>
      </c>
      <c r="Q115" s="1">
        <f ca="1">IFERROR(__xludf.DUMMYFUNCTION("""COMPUTED_VALUE"""),809)</f>
        <v>809</v>
      </c>
      <c r="R115" s="1">
        <f ca="1">IFERROR(__xludf.DUMMYFUNCTION("""COMPUTED_VALUE"""),1703)</f>
        <v>1703</v>
      </c>
      <c r="S115" s="1">
        <f ca="1">IFERROR(__xludf.DUMMYFUNCTION("""COMPUTED_VALUE"""),0.475)</f>
        <v>0.47499999999999998</v>
      </c>
      <c r="T115" s="1">
        <f ca="1">IFERROR(__xludf.DUMMYFUNCTION("""COMPUTED_VALUE"""),223)</f>
        <v>223</v>
      </c>
      <c r="U115" s="1">
        <f ca="1">IFERROR(__xludf.DUMMYFUNCTION("""COMPUTED_VALUE"""),631)</f>
        <v>631</v>
      </c>
      <c r="V115" s="1">
        <f ca="1">IFERROR(__xludf.DUMMYFUNCTION("""COMPUTED_VALUE"""),0.353)</f>
        <v>0.35299999999999998</v>
      </c>
      <c r="W115" s="1">
        <f ca="1">IFERROR(__xludf.DUMMYFUNCTION("""COMPUTED_VALUE"""),417)</f>
        <v>417</v>
      </c>
      <c r="X115" s="1">
        <f ca="1">IFERROR(__xludf.DUMMYFUNCTION("""COMPUTED_VALUE"""),568)</f>
        <v>568</v>
      </c>
      <c r="Y115" s="1">
        <f ca="1">IFERROR(__xludf.DUMMYFUNCTION("""COMPUTED_VALUE"""),0.734)</f>
        <v>0.73399999999999999</v>
      </c>
      <c r="Z115" s="1">
        <f ca="1">IFERROR(__xludf.DUMMYFUNCTION("""COMPUTED_VALUE"""),324)</f>
        <v>324</v>
      </c>
      <c r="AA115" s="1">
        <f ca="1">IFERROR(__xludf.DUMMYFUNCTION("""COMPUTED_VALUE"""),1081)</f>
        <v>1081</v>
      </c>
      <c r="AB115" s="1">
        <f ca="1">IFERROR(__xludf.DUMMYFUNCTION("""COMPUTED_VALUE"""),481)</f>
        <v>481</v>
      </c>
      <c r="AC115" s="1">
        <f ca="1">IFERROR(__xludf.DUMMYFUNCTION("""COMPUTED_VALUE"""),193)</f>
        <v>193</v>
      </c>
      <c r="AD115" s="1">
        <f ca="1">IFERROR(__xludf.DUMMYFUNCTION("""COMPUTED_VALUE"""),139)</f>
        <v>139</v>
      </c>
      <c r="AE115" s="1">
        <f ca="1">IFERROR(__xludf.DUMMYFUNCTION("""COMPUTED_VALUE"""),433)</f>
        <v>433</v>
      </c>
      <c r="AF115" s="1">
        <f ca="1">IFERROR(__xludf.DUMMYFUNCTION("""COMPUTED_VALUE"""),603)</f>
        <v>603</v>
      </c>
    </row>
    <row r="116" spans="1:32" ht="12.5" x14ac:dyDescent="0.25">
      <c r="A116" s="1" t="str">
        <f ca="1">IFERROR(__xludf.DUMMYFUNCTION("""COMPUTED_VALUE"""),"Georgia Southern")</f>
        <v>Georgia Southern</v>
      </c>
      <c r="B116" s="1">
        <f ca="1">IFERROR(__xludf.DUMMYFUNCTION("""COMPUTED_VALUE"""),32)</f>
        <v>32</v>
      </c>
      <c r="C116" s="1">
        <f ca="1">IFERROR(__xludf.DUMMYFUNCTION("""COMPUTED_VALUE"""),5)</f>
        <v>5</v>
      </c>
      <c r="D116" s="1">
        <f ca="1">IFERROR(__xludf.DUMMYFUNCTION("""COMPUTED_VALUE"""),27)</f>
        <v>27</v>
      </c>
      <c r="E116" s="1">
        <f ca="1">IFERROR(__xludf.DUMMYFUNCTION("""COMPUTED_VALUE"""),0.156)</f>
        <v>0.156</v>
      </c>
      <c r="F116" s="1">
        <f ca="1">IFERROR(__xludf.DUMMYFUNCTION("""COMPUTED_VALUE"""),-15.88)</f>
        <v>-15.88</v>
      </c>
      <c r="G116" s="1">
        <f ca="1">IFERROR(__xludf.DUMMYFUNCTION("""COMPUTED_VALUE"""),-3.13)</f>
        <v>-3.13</v>
      </c>
      <c r="H116" s="1">
        <f ca="1">IFERROR(__xludf.DUMMYFUNCTION("""COMPUTED_VALUE"""),1)</f>
        <v>1</v>
      </c>
      <c r="I116" s="1">
        <f ca="1">IFERROR(__xludf.DUMMYFUNCTION("""COMPUTED_VALUE"""),17)</f>
        <v>17</v>
      </c>
      <c r="J116" s="1">
        <f ca="1">IFERROR(__xludf.DUMMYFUNCTION("""COMPUTED_VALUE"""),5)</f>
        <v>5</v>
      </c>
      <c r="K116" s="1">
        <f ca="1">IFERROR(__xludf.DUMMYFUNCTION("""COMPUTED_VALUE"""),10)</f>
        <v>10</v>
      </c>
      <c r="L116" s="1">
        <f ca="1">IFERROR(__xludf.DUMMYFUNCTION("""COMPUTED_VALUE"""),0)</f>
        <v>0</v>
      </c>
      <c r="M116" s="1">
        <f ca="1">IFERROR(__xludf.DUMMYFUNCTION("""COMPUTED_VALUE"""),14)</f>
        <v>14</v>
      </c>
      <c r="N116" s="1">
        <f ca="1">IFERROR(__xludf.DUMMYFUNCTION("""COMPUTED_VALUE"""),2090)</f>
        <v>2090</v>
      </c>
      <c r="O116" s="1">
        <f ca="1">IFERROR(__xludf.DUMMYFUNCTION("""COMPUTED_VALUE"""),2423)</f>
        <v>2423</v>
      </c>
      <c r="P116" s="1">
        <f ca="1">IFERROR(__xludf.DUMMYFUNCTION("""COMPUTED_VALUE"""),1290)</f>
        <v>1290</v>
      </c>
      <c r="Q116" s="1">
        <f ca="1">IFERROR(__xludf.DUMMYFUNCTION("""COMPUTED_VALUE"""),745)</f>
        <v>745</v>
      </c>
      <c r="R116" s="1">
        <f ca="1">IFERROR(__xludf.DUMMYFUNCTION("""COMPUTED_VALUE"""),1661)</f>
        <v>1661</v>
      </c>
      <c r="S116" s="1">
        <f ca="1">IFERROR(__xludf.DUMMYFUNCTION("""COMPUTED_VALUE"""),0.449)</f>
        <v>0.44900000000000001</v>
      </c>
      <c r="T116" s="1">
        <f ca="1">IFERROR(__xludf.DUMMYFUNCTION("""COMPUTED_VALUE"""),142)</f>
        <v>142</v>
      </c>
      <c r="U116" s="1">
        <f ca="1">IFERROR(__xludf.DUMMYFUNCTION("""COMPUTED_VALUE"""),435)</f>
        <v>435</v>
      </c>
      <c r="V116" s="1">
        <f ca="1">IFERROR(__xludf.DUMMYFUNCTION("""COMPUTED_VALUE"""),0.326)</f>
        <v>0.32600000000000001</v>
      </c>
      <c r="W116" s="1">
        <f ca="1">IFERROR(__xludf.DUMMYFUNCTION("""COMPUTED_VALUE"""),458)</f>
        <v>458</v>
      </c>
      <c r="X116" s="1">
        <f ca="1">IFERROR(__xludf.DUMMYFUNCTION("""COMPUTED_VALUE"""),666)</f>
        <v>666</v>
      </c>
      <c r="Y116" s="1">
        <f ca="1">IFERROR(__xludf.DUMMYFUNCTION("""COMPUTED_VALUE"""),0.688)</f>
        <v>0.68799999999999994</v>
      </c>
      <c r="Z116" s="1">
        <f ca="1">IFERROR(__xludf.DUMMYFUNCTION("""COMPUTED_VALUE"""),316)</f>
        <v>316</v>
      </c>
      <c r="AA116" s="1">
        <f ca="1">IFERROR(__xludf.DUMMYFUNCTION("""COMPUTED_VALUE"""),971)</f>
        <v>971</v>
      </c>
      <c r="AB116" s="1">
        <f ca="1">IFERROR(__xludf.DUMMYFUNCTION("""COMPUTED_VALUE"""),381)</f>
        <v>381</v>
      </c>
      <c r="AC116" s="1">
        <f ca="1">IFERROR(__xludf.DUMMYFUNCTION("""COMPUTED_VALUE"""),276)</f>
        <v>276</v>
      </c>
      <c r="AD116" s="1">
        <f ca="1">IFERROR(__xludf.DUMMYFUNCTION("""COMPUTED_VALUE"""),88)</f>
        <v>88</v>
      </c>
      <c r="AE116" s="1">
        <f ca="1">IFERROR(__xludf.DUMMYFUNCTION("""COMPUTED_VALUE"""),574)</f>
        <v>574</v>
      </c>
      <c r="AF116" s="1">
        <f ca="1">IFERROR(__xludf.DUMMYFUNCTION("""COMPUTED_VALUE"""),703)</f>
        <v>703</v>
      </c>
    </row>
    <row r="117" spans="1:32" ht="12.5" x14ac:dyDescent="0.25">
      <c r="A117" s="1" t="str">
        <f ca="1">IFERROR(__xludf.DUMMYFUNCTION("""COMPUTED_VALUE"""),"Georgia State")</f>
        <v>Georgia State</v>
      </c>
      <c r="B117" s="1">
        <f ca="1">IFERROR(__xludf.DUMMYFUNCTION("""COMPUTED_VALUE"""),31)</f>
        <v>31</v>
      </c>
      <c r="C117" s="1">
        <f ca="1">IFERROR(__xludf.DUMMYFUNCTION("""COMPUTED_VALUE"""),12)</f>
        <v>12</v>
      </c>
      <c r="D117" s="1">
        <f ca="1">IFERROR(__xludf.DUMMYFUNCTION("""COMPUTED_VALUE"""),19)</f>
        <v>19</v>
      </c>
      <c r="E117" s="1">
        <f ca="1">IFERROR(__xludf.DUMMYFUNCTION("""COMPUTED_VALUE"""),0.387)</f>
        <v>0.38700000000000001</v>
      </c>
      <c r="F117" s="1">
        <f ca="1">IFERROR(__xludf.DUMMYFUNCTION("""COMPUTED_VALUE"""),-4.15)</f>
        <v>-4.1500000000000004</v>
      </c>
      <c r="G117" s="1">
        <f ca="1">IFERROR(__xludf.DUMMYFUNCTION("""COMPUTED_VALUE"""),-1.92)</f>
        <v>-1.92</v>
      </c>
      <c r="H117" s="1">
        <f ca="1">IFERROR(__xludf.DUMMYFUNCTION("""COMPUTED_VALUE"""),6)</f>
        <v>6</v>
      </c>
      <c r="I117" s="1">
        <f ca="1">IFERROR(__xludf.DUMMYFUNCTION("""COMPUTED_VALUE"""),12)</f>
        <v>12</v>
      </c>
      <c r="J117" s="1">
        <f ca="1">IFERROR(__xludf.DUMMYFUNCTION("""COMPUTED_VALUE"""),8)</f>
        <v>8</v>
      </c>
      <c r="K117" s="1">
        <f ca="1">IFERROR(__xludf.DUMMYFUNCTION("""COMPUTED_VALUE"""),6)</f>
        <v>6</v>
      </c>
      <c r="L117" s="1">
        <f ca="1">IFERROR(__xludf.DUMMYFUNCTION("""COMPUTED_VALUE"""),2)</f>
        <v>2</v>
      </c>
      <c r="M117" s="1">
        <f ca="1">IFERROR(__xludf.DUMMYFUNCTION("""COMPUTED_VALUE"""),12)</f>
        <v>12</v>
      </c>
      <c r="N117" s="1">
        <f ca="1">IFERROR(__xludf.DUMMYFUNCTION("""COMPUTED_VALUE"""),1919)</f>
        <v>1919</v>
      </c>
      <c r="O117" s="1">
        <f ca="1">IFERROR(__xludf.DUMMYFUNCTION("""COMPUTED_VALUE"""),1988)</f>
        <v>1988</v>
      </c>
      <c r="P117" s="1">
        <f ca="1">IFERROR(__xludf.DUMMYFUNCTION("""COMPUTED_VALUE"""),1265)</f>
        <v>1265</v>
      </c>
      <c r="Q117" s="1">
        <f ca="1">IFERROR(__xludf.DUMMYFUNCTION("""COMPUTED_VALUE"""),707)</f>
        <v>707</v>
      </c>
      <c r="R117" s="1">
        <f ca="1">IFERROR(__xludf.DUMMYFUNCTION("""COMPUTED_VALUE"""),1676)</f>
        <v>1676</v>
      </c>
      <c r="S117" s="1">
        <f ca="1">IFERROR(__xludf.DUMMYFUNCTION("""COMPUTED_VALUE"""),0.422)</f>
        <v>0.42199999999999999</v>
      </c>
      <c r="T117" s="1">
        <f ca="1">IFERROR(__xludf.DUMMYFUNCTION("""COMPUTED_VALUE"""),179)</f>
        <v>179</v>
      </c>
      <c r="U117" s="1">
        <f ca="1">IFERROR(__xludf.DUMMYFUNCTION("""COMPUTED_VALUE"""),512)</f>
        <v>512</v>
      </c>
      <c r="V117" s="1">
        <f ca="1">IFERROR(__xludf.DUMMYFUNCTION("""COMPUTED_VALUE"""),0.35)</f>
        <v>0.35</v>
      </c>
      <c r="W117" s="1">
        <f ca="1">IFERROR(__xludf.DUMMYFUNCTION("""COMPUTED_VALUE"""),326)</f>
        <v>326</v>
      </c>
      <c r="X117" s="1">
        <f ca="1">IFERROR(__xludf.DUMMYFUNCTION("""COMPUTED_VALUE"""),549)</f>
        <v>549</v>
      </c>
      <c r="Y117" s="1">
        <f ca="1">IFERROR(__xludf.DUMMYFUNCTION("""COMPUTED_VALUE"""),0.594)</f>
        <v>0.59399999999999997</v>
      </c>
      <c r="Z117" s="1">
        <f ca="1">IFERROR(__xludf.DUMMYFUNCTION("""COMPUTED_VALUE"""),386)</f>
        <v>386</v>
      </c>
      <c r="AA117" s="1">
        <f ca="1">IFERROR(__xludf.DUMMYFUNCTION("""COMPUTED_VALUE"""),1103)</f>
        <v>1103</v>
      </c>
      <c r="AB117" s="1">
        <f ca="1">IFERROR(__xludf.DUMMYFUNCTION("""COMPUTED_VALUE"""),404)</f>
        <v>404</v>
      </c>
      <c r="AC117" s="1">
        <f ca="1">IFERROR(__xludf.DUMMYFUNCTION("""COMPUTED_VALUE"""),201)</f>
        <v>201</v>
      </c>
      <c r="AD117" s="1">
        <f ca="1">IFERROR(__xludf.DUMMYFUNCTION("""COMPUTED_VALUE"""),148)</f>
        <v>148</v>
      </c>
      <c r="AE117" s="1">
        <f ca="1">IFERROR(__xludf.DUMMYFUNCTION("""COMPUTED_VALUE"""),463)</f>
        <v>463</v>
      </c>
      <c r="AF117" s="1">
        <f ca="1">IFERROR(__xludf.DUMMYFUNCTION("""COMPUTED_VALUE"""),658)</f>
        <v>658</v>
      </c>
    </row>
    <row r="118" spans="1:32" ht="12.5" x14ac:dyDescent="0.25">
      <c r="A118" s="1" t="str">
        <f ca="1">IFERROR(__xludf.DUMMYFUNCTION("""COMPUTED_VALUE"""),"Georgia Tech")</f>
        <v>Georgia Tech</v>
      </c>
      <c r="B118" s="1">
        <f ca="1">IFERROR(__xludf.DUMMYFUNCTION("""COMPUTED_VALUE"""),31)</f>
        <v>31</v>
      </c>
      <c r="C118" s="1">
        <f ca="1">IFERROR(__xludf.DUMMYFUNCTION("""COMPUTED_VALUE"""),13)</f>
        <v>13</v>
      </c>
      <c r="D118" s="1">
        <f ca="1">IFERROR(__xludf.DUMMYFUNCTION("""COMPUTED_VALUE"""),18)</f>
        <v>18</v>
      </c>
      <c r="E118" s="1">
        <f ca="1">IFERROR(__xludf.DUMMYFUNCTION("""COMPUTED_VALUE"""),0.419)</f>
        <v>0.41899999999999998</v>
      </c>
      <c r="F118" s="1">
        <f ca="1">IFERROR(__xludf.DUMMYFUNCTION("""COMPUTED_VALUE"""),6.42)</f>
        <v>6.42</v>
      </c>
      <c r="G118" s="1">
        <f ca="1">IFERROR(__xludf.DUMMYFUNCTION("""COMPUTED_VALUE"""),5.68)</f>
        <v>5.68</v>
      </c>
      <c r="H118" s="1">
        <f ca="1">IFERROR(__xludf.DUMMYFUNCTION("""COMPUTED_VALUE"""),5)</f>
        <v>5</v>
      </c>
      <c r="I118" s="1">
        <f ca="1">IFERROR(__xludf.DUMMYFUNCTION("""COMPUTED_VALUE"""),11)</f>
        <v>11</v>
      </c>
      <c r="J118" s="1">
        <f ca="1">IFERROR(__xludf.DUMMYFUNCTION("""COMPUTED_VALUE"""),10)</f>
        <v>10</v>
      </c>
      <c r="K118" s="1">
        <f ca="1">IFERROR(__xludf.DUMMYFUNCTION("""COMPUTED_VALUE"""),6)</f>
        <v>6</v>
      </c>
      <c r="L118" s="1">
        <f ca="1">IFERROR(__xludf.DUMMYFUNCTION("""COMPUTED_VALUE"""),1)</f>
        <v>1</v>
      </c>
      <c r="M118" s="1">
        <f ca="1">IFERROR(__xludf.DUMMYFUNCTION("""COMPUTED_VALUE"""),10)</f>
        <v>10</v>
      </c>
      <c r="N118" s="1">
        <f ca="1">IFERROR(__xludf.DUMMYFUNCTION("""COMPUTED_VALUE"""),2102)</f>
        <v>2102</v>
      </c>
      <c r="O118" s="1">
        <f ca="1">IFERROR(__xludf.DUMMYFUNCTION("""COMPUTED_VALUE"""),2079)</f>
        <v>2079</v>
      </c>
      <c r="P118" s="1">
        <f ca="1">IFERROR(__xludf.DUMMYFUNCTION("""COMPUTED_VALUE"""),1250)</f>
        <v>1250</v>
      </c>
      <c r="Q118" s="1">
        <f ca="1">IFERROR(__xludf.DUMMYFUNCTION("""COMPUTED_VALUE"""),752)</f>
        <v>752</v>
      </c>
      <c r="R118" s="1">
        <f ca="1">IFERROR(__xludf.DUMMYFUNCTION("""COMPUTED_VALUE"""),1855)</f>
        <v>1855</v>
      </c>
      <c r="S118" s="1">
        <f ca="1">IFERROR(__xludf.DUMMYFUNCTION("""COMPUTED_VALUE"""),0.405)</f>
        <v>0.40500000000000003</v>
      </c>
      <c r="T118" s="1">
        <f ca="1">IFERROR(__xludf.DUMMYFUNCTION("""COMPUTED_VALUE"""),192)</f>
        <v>192</v>
      </c>
      <c r="U118" s="1">
        <f ca="1">IFERROR(__xludf.DUMMYFUNCTION("""COMPUTED_VALUE"""),643)</f>
        <v>643</v>
      </c>
      <c r="V118" s="1">
        <f ca="1">IFERROR(__xludf.DUMMYFUNCTION("""COMPUTED_VALUE"""),0.299)</f>
        <v>0.29899999999999999</v>
      </c>
      <c r="W118" s="1">
        <f ca="1">IFERROR(__xludf.DUMMYFUNCTION("""COMPUTED_VALUE"""),406)</f>
        <v>406</v>
      </c>
      <c r="X118" s="1">
        <f ca="1">IFERROR(__xludf.DUMMYFUNCTION("""COMPUTED_VALUE"""),589)</f>
        <v>589</v>
      </c>
      <c r="Y118" s="1">
        <f ca="1">IFERROR(__xludf.DUMMYFUNCTION("""COMPUTED_VALUE"""),0.689)</f>
        <v>0.68899999999999995</v>
      </c>
      <c r="Z118" s="1">
        <f ca="1">IFERROR(__xludf.DUMMYFUNCTION("""COMPUTED_VALUE"""),394)</f>
        <v>394</v>
      </c>
      <c r="AA118" s="1">
        <f ca="1">IFERROR(__xludf.DUMMYFUNCTION("""COMPUTED_VALUE"""),1101)</f>
        <v>1101</v>
      </c>
      <c r="AB118" s="1">
        <f ca="1">IFERROR(__xludf.DUMMYFUNCTION("""COMPUTED_VALUE"""),408)</f>
        <v>408</v>
      </c>
      <c r="AC118" s="1">
        <f ca="1">IFERROR(__xludf.DUMMYFUNCTION("""COMPUTED_VALUE"""),297)</f>
        <v>297</v>
      </c>
      <c r="AD118" s="1">
        <f ca="1">IFERROR(__xludf.DUMMYFUNCTION("""COMPUTED_VALUE"""),126)</f>
        <v>126</v>
      </c>
      <c r="AE118" s="1">
        <f ca="1">IFERROR(__xludf.DUMMYFUNCTION("""COMPUTED_VALUE"""),424)</f>
        <v>424</v>
      </c>
      <c r="AF118" s="1">
        <f ca="1">IFERROR(__xludf.DUMMYFUNCTION("""COMPUTED_VALUE"""),639)</f>
        <v>639</v>
      </c>
    </row>
    <row r="119" spans="1:32" ht="12.5" x14ac:dyDescent="0.25">
      <c r="A119" s="1" t="str">
        <f ca="1">IFERROR(__xludf.DUMMYFUNCTION("""COMPUTED_VALUE"""),"GeorgiaNCAA")</f>
        <v>GeorgiaNCAA</v>
      </c>
      <c r="B119" s="1">
        <f ca="1">IFERROR(__xludf.DUMMYFUNCTION("""COMPUTED_VALUE"""),33)</f>
        <v>33</v>
      </c>
      <c r="C119" s="1">
        <f ca="1">IFERROR(__xludf.DUMMYFUNCTION("""COMPUTED_VALUE"""),21)</f>
        <v>21</v>
      </c>
      <c r="D119" s="1">
        <f ca="1">IFERROR(__xludf.DUMMYFUNCTION("""COMPUTED_VALUE"""),12)</f>
        <v>12</v>
      </c>
      <c r="E119" s="1">
        <f ca="1">IFERROR(__xludf.DUMMYFUNCTION("""COMPUTED_VALUE"""),0.636)</f>
        <v>0.63600000000000001</v>
      </c>
      <c r="F119" s="1">
        <f ca="1">IFERROR(__xludf.DUMMYFUNCTION("""COMPUTED_VALUE"""),10.43)</f>
        <v>10.43</v>
      </c>
      <c r="G119" s="1">
        <f ca="1">IFERROR(__xludf.DUMMYFUNCTION("""COMPUTED_VALUE"""),6.13)</f>
        <v>6.13</v>
      </c>
      <c r="H119" s="1">
        <f ca="1">IFERROR(__xludf.DUMMYFUNCTION("""COMPUTED_VALUE"""),9)</f>
        <v>9</v>
      </c>
      <c r="I119" s="1">
        <f ca="1">IFERROR(__xludf.DUMMYFUNCTION("""COMPUTED_VALUE"""),7)</f>
        <v>7</v>
      </c>
      <c r="J119" s="1">
        <f ca="1">IFERROR(__xludf.DUMMYFUNCTION("""COMPUTED_VALUE"""),12)</f>
        <v>12</v>
      </c>
      <c r="K119" s="1">
        <f ca="1">IFERROR(__xludf.DUMMYFUNCTION("""COMPUTED_VALUE"""),4)</f>
        <v>4</v>
      </c>
      <c r="L119" s="1">
        <f ca="1">IFERROR(__xludf.DUMMYFUNCTION("""COMPUTED_VALUE"""),7)</f>
        <v>7</v>
      </c>
      <c r="M119" s="1">
        <f ca="1">IFERROR(__xludf.DUMMYFUNCTION("""COMPUTED_VALUE"""),4)</f>
        <v>4</v>
      </c>
      <c r="N119" s="1">
        <f ca="1">IFERROR(__xludf.DUMMYFUNCTION("""COMPUTED_VALUE"""),2267)</f>
        <v>2267</v>
      </c>
      <c r="O119" s="1">
        <f ca="1">IFERROR(__xludf.DUMMYFUNCTION("""COMPUTED_VALUE"""),2125)</f>
        <v>2125</v>
      </c>
      <c r="P119" s="1">
        <f ca="1">IFERROR(__xludf.DUMMYFUNCTION("""COMPUTED_VALUE"""),1350)</f>
        <v>1350</v>
      </c>
      <c r="Q119" s="1">
        <f ca="1">IFERROR(__xludf.DUMMYFUNCTION("""COMPUTED_VALUE"""),823)</f>
        <v>823</v>
      </c>
      <c r="R119" s="1">
        <f ca="1">IFERROR(__xludf.DUMMYFUNCTION("""COMPUTED_VALUE"""),1822)</f>
        <v>1822</v>
      </c>
      <c r="S119" s="1">
        <f ca="1">IFERROR(__xludf.DUMMYFUNCTION("""COMPUTED_VALUE"""),0.452)</f>
        <v>0.45200000000000001</v>
      </c>
      <c r="T119" s="1">
        <f ca="1">IFERROR(__xludf.DUMMYFUNCTION("""COMPUTED_VALUE"""),156)</f>
        <v>156</v>
      </c>
      <c r="U119" s="1">
        <f ca="1">IFERROR(__xludf.DUMMYFUNCTION("""COMPUTED_VALUE"""),456)</f>
        <v>456</v>
      </c>
      <c r="V119" s="1">
        <f ca="1">IFERROR(__xludf.DUMMYFUNCTION("""COMPUTED_VALUE"""),0.342)</f>
        <v>0.34200000000000003</v>
      </c>
      <c r="W119" s="1">
        <f ca="1">IFERROR(__xludf.DUMMYFUNCTION("""COMPUTED_VALUE"""),465)</f>
        <v>465</v>
      </c>
      <c r="X119" s="1">
        <f ca="1">IFERROR(__xludf.DUMMYFUNCTION("""COMPUTED_VALUE"""),667)</f>
        <v>667</v>
      </c>
      <c r="Y119" s="1">
        <f ca="1">IFERROR(__xludf.DUMMYFUNCTION("""COMPUTED_VALUE"""),0.697)</f>
        <v>0.69699999999999995</v>
      </c>
      <c r="Z119" s="1">
        <f ca="1">IFERROR(__xludf.DUMMYFUNCTION("""COMPUTED_VALUE"""),407)</f>
        <v>407</v>
      </c>
      <c r="AA119" s="1">
        <f ca="1">IFERROR(__xludf.DUMMYFUNCTION("""COMPUTED_VALUE"""),1243)</f>
        <v>1243</v>
      </c>
      <c r="AB119" s="1">
        <f ca="1">IFERROR(__xludf.DUMMYFUNCTION("""COMPUTED_VALUE"""),495)</f>
        <v>495</v>
      </c>
      <c r="AC119" s="1">
        <f ca="1">IFERROR(__xludf.DUMMYFUNCTION("""COMPUTED_VALUE"""),211)</f>
        <v>211</v>
      </c>
      <c r="AD119" s="1">
        <f ca="1">IFERROR(__xludf.DUMMYFUNCTION("""COMPUTED_VALUE"""),162)</f>
        <v>162</v>
      </c>
      <c r="AE119" s="1">
        <f ca="1">IFERROR(__xludf.DUMMYFUNCTION("""COMPUTED_VALUE"""),444)</f>
        <v>444</v>
      </c>
      <c r="AF119" s="1">
        <f ca="1">IFERROR(__xludf.DUMMYFUNCTION("""COMPUTED_VALUE"""),541)</f>
        <v>541</v>
      </c>
    </row>
    <row r="120" spans="1:32" ht="12.5" x14ac:dyDescent="0.25">
      <c r="A120" s="1" t="str">
        <f ca="1">IFERROR(__xludf.DUMMYFUNCTION("""COMPUTED_VALUE"""),"GonzagaNCAA")</f>
        <v>GonzagaNCAA</v>
      </c>
      <c r="B120" s="1">
        <f ca="1">IFERROR(__xludf.DUMMYFUNCTION("""COMPUTED_VALUE"""),35)</f>
        <v>35</v>
      </c>
      <c r="C120" s="1">
        <f ca="1">IFERROR(__xludf.DUMMYFUNCTION("""COMPUTED_VALUE"""),25)</f>
        <v>25</v>
      </c>
      <c r="D120" s="1">
        <f ca="1">IFERROR(__xludf.DUMMYFUNCTION("""COMPUTED_VALUE"""),10)</f>
        <v>10</v>
      </c>
      <c r="E120" s="1">
        <f ca="1">IFERROR(__xludf.DUMMYFUNCTION("""COMPUTED_VALUE"""),0.714)</f>
        <v>0.71399999999999997</v>
      </c>
      <c r="F120" s="1">
        <f ca="1">IFERROR(__xludf.DUMMYFUNCTION("""COMPUTED_VALUE"""),13.86)</f>
        <v>13.86</v>
      </c>
      <c r="G120" s="1">
        <f ca="1">IFERROR(__xludf.DUMMYFUNCTION("""COMPUTED_VALUE"""),4.01)</f>
        <v>4.01</v>
      </c>
      <c r="H120" s="1">
        <f ca="1">IFERROR(__xludf.DUMMYFUNCTION("""COMPUTED_VALUE"""),11)</f>
        <v>11</v>
      </c>
      <c r="I120" s="1">
        <f ca="1">IFERROR(__xludf.DUMMYFUNCTION("""COMPUTED_VALUE"""),3)</f>
        <v>3</v>
      </c>
      <c r="J120" s="1">
        <f ca="1">IFERROR(__xludf.DUMMYFUNCTION("""COMPUTED_VALUE"""),14)</f>
        <v>14</v>
      </c>
      <c r="K120" s="1">
        <f ca="1">IFERROR(__xludf.DUMMYFUNCTION("""COMPUTED_VALUE"""),2)</f>
        <v>2</v>
      </c>
      <c r="L120" s="1">
        <f ca="1">IFERROR(__xludf.DUMMYFUNCTION("""COMPUTED_VALUE"""),6)</f>
        <v>6</v>
      </c>
      <c r="M120" s="1">
        <f ca="1">IFERROR(__xludf.DUMMYFUNCTION("""COMPUTED_VALUE"""),4)</f>
        <v>4</v>
      </c>
      <c r="N120" s="1">
        <f ca="1">IFERROR(__xludf.DUMMYFUNCTION("""COMPUTED_VALUE"""),2684)</f>
        <v>2684</v>
      </c>
      <c r="O120" s="1">
        <f ca="1">IFERROR(__xludf.DUMMYFUNCTION("""COMPUTED_VALUE"""),2307)</f>
        <v>2307</v>
      </c>
      <c r="P120" s="1">
        <f ca="1">IFERROR(__xludf.DUMMYFUNCTION("""COMPUTED_VALUE"""),1410)</f>
        <v>1410</v>
      </c>
      <c r="Q120" s="1">
        <f ca="1">IFERROR(__xludf.DUMMYFUNCTION("""COMPUTED_VALUE"""),932)</f>
        <v>932</v>
      </c>
      <c r="R120" s="1">
        <f ca="1">IFERROR(__xludf.DUMMYFUNCTION("""COMPUTED_VALUE"""),1947)</f>
        <v>1947</v>
      </c>
      <c r="S120" s="1">
        <f ca="1">IFERROR(__xludf.DUMMYFUNCTION("""COMPUTED_VALUE"""),0.479)</f>
        <v>0.47899999999999998</v>
      </c>
      <c r="T120" s="1">
        <f ca="1">IFERROR(__xludf.DUMMYFUNCTION("""COMPUTED_VALUE"""),203)</f>
        <v>203</v>
      </c>
      <c r="U120" s="1">
        <f ca="1">IFERROR(__xludf.DUMMYFUNCTION("""COMPUTED_VALUE"""),548)</f>
        <v>548</v>
      </c>
      <c r="V120" s="1">
        <f ca="1">IFERROR(__xludf.DUMMYFUNCTION("""COMPUTED_VALUE"""),0.37)</f>
        <v>0.37</v>
      </c>
      <c r="W120" s="1">
        <f ca="1">IFERROR(__xludf.DUMMYFUNCTION("""COMPUTED_VALUE"""),617)</f>
        <v>617</v>
      </c>
      <c r="X120" s="1">
        <f ca="1">IFERROR(__xludf.DUMMYFUNCTION("""COMPUTED_VALUE"""),810)</f>
        <v>810</v>
      </c>
      <c r="Y120" s="1">
        <f ca="1">IFERROR(__xludf.DUMMYFUNCTION("""COMPUTED_VALUE"""),0.762)</f>
        <v>0.76200000000000001</v>
      </c>
      <c r="Z120" s="1">
        <f ca="1">IFERROR(__xludf.DUMMYFUNCTION("""COMPUTED_VALUE"""),398)</f>
        <v>398</v>
      </c>
      <c r="AA120" s="1">
        <f ca="1">IFERROR(__xludf.DUMMYFUNCTION("""COMPUTED_VALUE"""),1314)</f>
        <v>1314</v>
      </c>
      <c r="AB120" s="1">
        <f ca="1">IFERROR(__xludf.DUMMYFUNCTION("""COMPUTED_VALUE"""),542)</f>
        <v>542</v>
      </c>
      <c r="AC120" s="1">
        <f ca="1">IFERROR(__xludf.DUMMYFUNCTION("""COMPUTED_VALUE"""),254)</f>
        <v>254</v>
      </c>
      <c r="AD120" s="1">
        <f ca="1">IFERROR(__xludf.DUMMYFUNCTION("""COMPUTED_VALUE"""),132)</f>
        <v>132</v>
      </c>
      <c r="AE120" s="1">
        <f ca="1">IFERROR(__xludf.DUMMYFUNCTION("""COMPUTED_VALUE"""),474)</f>
        <v>474</v>
      </c>
      <c r="AF120" s="1">
        <f ca="1">IFERROR(__xludf.DUMMYFUNCTION("""COMPUTED_VALUE"""),649)</f>
        <v>649</v>
      </c>
    </row>
    <row r="121" spans="1:32" ht="12.5" x14ac:dyDescent="0.25">
      <c r="A121" s="1" t="str">
        <f ca="1">IFERROR(__xludf.DUMMYFUNCTION("""COMPUTED_VALUE"""),"Grambling")</f>
        <v>Grambling</v>
      </c>
      <c r="B121" s="1">
        <f ca="1">IFERROR(__xludf.DUMMYFUNCTION("""COMPUTED_VALUE"""),33)</f>
        <v>33</v>
      </c>
      <c r="C121" s="1">
        <f ca="1">IFERROR(__xludf.DUMMYFUNCTION("""COMPUTED_VALUE"""),12)</f>
        <v>12</v>
      </c>
      <c r="D121" s="1">
        <f ca="1">IFERROR(__xludf.DUMMYFUNCTION("""COMPUTED_VALUE"""),21)</f>
        <v>21</v>
      </c>
      <c r="E121" s="1">
        <f ca="1">IFERROR(__xludf.DUMMYFUNCTION("""COMPUTED_VALUE"""),0.364)</f>
        <v>0.36399999999999999</v>
      </c>
      <c r="F121" s="1">
        <f ca="1">IFERROR(__xludf.DUMMYFUNCTION("""COMPUTED_VALUE"""),-18.45)</f>
        <v>-18.45</v>
      </c>
      <c r="G121" s="1">
        <f ca="1">IFERROR(__xludf.DUMMYFUNCTION("""COMPUTED_VALUE"""),-10.45)</f>
        <v>-10.45</v>
      </c>
      <c r="H121" s="1">
        <f ca="1">IFERROR(__xludf.DUMMYFUNCTION("""COMPUTED_VALUE"""),8)</f>
        <v>8</v>
      </c>
      <c r="I121" s="1">
        <f ca="1">IFERROR(__xludf.DUMMYFUNCTION("""COMPUTED_VALUE"""),10)</f>
        <v>10</v>
      </c>
      <c r="J121" s="1">
        <f ca="1">IFERROR(__xludf.DUMMYFUNCTION("""COMPUTED_VALUE"""),4)</f>
        <v>4</v>
      </c>
      <c r="K121" s="1">
        <f ca="1">IFERROR(__xludf.DUMMYFUNCTION("""COMPUTED_VALUE"""),6)</f>
        <v>6</v>
      </c>
      <c r="L121" s="1">
        <f ca="1">IFERROR(__xludf.DUMMYFUNCTION("""COMPUTED_VALUE"""),5)</f>
        <v>5</v>
      </c>
      <c r="M121" s="1">
        <f ca="1">IFERROR(__xludf.DUMMYFUNCTION("""COMPUTED_VALUE"""),13)</f>
        <v>13</v>
      </c>
      <c r="N121" s="1">
        <f ca="1">IFERROR(__xludf.DUMMYFUNCTION("""COMPUTED_VALUE"""),1998)</f>
        <v>1998</v>
      </c>
      <c r="O121" s="1">
        <f ca="1">IFERROR(__xludf.DUMMYFUNCTION("""COMPUTED_VALUE"""),2262)</f>
        <v>2262</v>
      </c>
      <c r="P121" s="1">
        <f ca="1">IFERROR(__xludf.DUMMYFUNCTION("""COMPUTED_VALUE"""),1340)</f>
        <v>1340</v>
      </c>
      <c r="Q121" s="1">
        <f ca="1">IFERROR(__xludf.DUMMYFUNCTION("""COMPUTED_VALUE"""),699)</f>
        <v>699</v>
      </c>
      <c r="R121" s="1">
        <f ca="1">IFERROR(__xludf.DUMMYFUNCTION("""COMPUTED_VALUE"""),1838)</f>
        <v>1838</v>
      </c>
      <c r="S121" s="1">
        <f ca="1">IFERROR(__xludf.DUMMYFUNCTION("""COMPUTED_VALUE"""),0.38)</f>
        <v>0.38</v>
      </c>
      <c r="T121" s="1">
        <f ca="1">IFERROR(__xludf.DUMMYFUNCTION("""COMPUTED_VALUE"""),166)</f>
        <v>166</v>
      </c>
      <c r="U121" s="1">
        <f ca="1">IFERROR(__xludf.DUMMYFUNCTION("""COMPUTED_VALUE"""),556)</f>
        <v>556</v>
      </c>
      <c r="V121" s="1">
        <f ca="1">IFERROR(__xludf.DUMMYFUNCTION("""COMPUTED_VALUE"""),0.299)</f>
        <v>0.29899999999999999</v>
      </c>
      <c r="W121" s="1">
        <f ca="1">IFERROR(__xludf.DUMMYFUNCTION("""COMPUTED_VALUE"""),434)</f>
        <v>434</v>
      </c>
      <c r="X121" s="1">
        <f ca="1">IFERROR(__xludf.DUMMYFUNCTION("""COMPUTED_VALUE"""),707)</f>
        <v>707</v>
      </c>
      <c r="Y121" s="1">
        <f ca="1">IFERROR(__xludf.DUMMYFUNCTION("""COMPUTED_VALUE"""),0.614)</f>
        <v>0.61399999999999999</v>
      </c>
      <c r="Z121" s="1">
        <f ca="1">IFERROR(__xludf.DUMMYFUNCTION("""COMPUTED_VALUE"""),375)</f>
        <v>375</v>
      </c>
      <c r="AA121" s="1">
        <f ca="1">IFERROR(__xludf.DUMMYFUNCTION("""COMPUTED_VALUE"""),1197)</f>
        <v>1197</v>
      </c>
      <c r="AB121" s="1">
        <f ca="1">IFERROR(__xludf.DUMMYFUNCTION("""COMPUTED_VALUE"""),338)</f>
        <v>338</v>
      </c>
      <c r="AC121" s="1">
        <f ca="1">IFERROR(__xludf.DUMMYFUNCTION("""COMPUTED_VALUE"""),214)</f>
        <v>214</v>
      </c>
      <c r="AD121" s="1">
        <f ca="1">IFERROR(__xludf.DUMMYFUNCTION("""COMPUTED_VALUE"""),91)</f>
        <v>91</v>
      </c>
      <c r="AE121" s="1">
        <f ca="1">IFERROR(__xludf.DUMMYFUNCTION("""COMPUTED_VALUE"""),506)</f>
        <v>506</v>
      </c>
      <c r="AF121" s="1">
        <f ca="1">IFERROR(__xludf.DUMMYFUNCTION("""COMPUTED_VALUE"""),690)</f>
        <v>690</v>
      </c>
    </row>
    <row r="122" spans="1:32" ht="12.5" x14ac:dyDescent="0.25">
      <c r="A122" s="1" t="str">
        <f ca="1">IFERROR(__xludf.DUMMYFUNCTION("""COMPUTED_VALUE"""),"Green Bay")</f>
        <v>Green Bay</v>
      </c>
      <c r="B122" s="1">
        <f ca="1">IFERROR(__xludf.DUMMYFUNCTION("""COMPUTED_VALUE"""),32)</f>
        <v>32</v>
      </c>
      <c r="C122" s="1">
        <f ca="1">IFERROR(__xludf.DUMMYFUNCTION("""COMPUTED_VALUE"""),14)</f>
        <v>14</v>
      </c>
      <c r="D122" s="1">
        <f ca="1">IFERROR(__xludf.DUMMYFUNCTION("""COMPUTED_VALUE"""),18)</f>
        <v>18</v>
      </c>
      <c r="E122" s="1">
        <f ca="1">IFERROR(__xludf.DUMMYFUNCTION("""COMPUTED_VALUE"""),0.438)</f>
        <v>0.438</v>
      </c>
      <c r="F122" s="1">
        <f ca="1">IFERROR(__xludf.DUMMYFUNCTION("""COMPUTED_VALUE"""),-0.21)</f>
        <v>-0.21</v>
      </c>
      <c r="G122" s="1">
        <f ca="1">IFERROR(__xludf.DUMMYFUNCTION("""COMPUTED_VALUE"""),2.18)</f>
        <v>2.1800000000000002</v>
      </c>
      <c r="H122" s="1">
        <f ca="1">IFERROR(__xludf.DUMMYFUNCTION("""COMPUTED_VALUE"""),8)</f>
        <v>8</v>
      </c>
      <c r="I122" s="1">
        <f ca="1">IFERROR(__xludf.DUMMYFUNCTION("""COMPUTED_VALUE"""),10)</f>
        <v>10</v>
      </c>
      <c r="J122" s="1">
        <f ca="1">IFERROR(__xludf.DUMMYFUNCTION("""COMPUTED_VALUE"""),10)</f>
        <v>10</v>
      </c>
      <c r="K122" s="1">
        <f ca="1">IFERROR(__xludf.DUMMYFUNCTION("""COMPUTED_VALUE"""),4)</f>
        <v>4</v>
      </c>
      <c r="L122" s="1">
        <f ca="1">IFERROR(__xludf.DUMMYFUNCTION("""COMPUTED_VALUE"""),4)</f>
        <v>4</v>
      </c>
      <c r="M122" s="1">
        <f ca="1">IFERROR(__xludf.DUMMYFUNCTION("""COMPUTED_VALUE"""),12)</f>
        <v>12</v>
      </c>
      <c r="N122" s="1">
        <f ca="1">IFERROR(__xludf.DUMMYFUNCTION("""COMPUTED_VALUE"""),2154)</f>
        <v>2154</v>
      </c>
      <c r="O122" s="1">
        <f ca="1">IFERROR(__xludf.DUMMYFUNCTION("""COMPUTED_VALUE"""),2189)</f>
        <v>2189</v>
      </c>
      <c r="P122" s="1">
        <f ca="1">IFERROR(__xludf.DUMMYFUNCTION("""COMPUTED_VALUE"""),1290)</f>
        <v>1290</v>
      </c>
      <c r="Q122" s="1">
        <f ca="1">IFERROR(__xludf.DUMMYFUNCTION("""COMPUTED_VALUE"""),787)</f>
        <v>787</v>
      </c>
      <c r="R122" s="1">
        <f ca="1">IFERROR(__xludf.DUMMYFUNCTION("""COMPUTED_VALUE"""),1801)</f>
        <v>1801</v>
      </c>
      <c r="S122" s="1">
        <f ca="1">IFERROR(__xludf.DUMMYFUNCTION("""COMPUTED_VALUE"""),0.437)</f>
        <v>0.437</v>
      </c>
      <c r="T122" s="1">
        <f ca="1">IFERROR(__xludf.DUMMYFUNCTION("""COMPUTED_VALUE"""),152)</f>
        <v>152</v>
      </c>
      <c r="U122" s="1">
        <f ca="1">IFERROR(__xludf.DUMMYFUNCTION("""COMPUTED_VALUE"""),477)</f>
        <v>477</v>
      </c>
      <c r="V122" s="1">
        <f ca="1">IFERROR(__xludf.DUMMYFUNCTION("""COMPUTED_VALUE"""),0.319)</f>
        <v>0.31900000000000001</v>
      </c>
      <c r="W122" s="1">
        <f ca="1">IFERROR(__xludf.DUMMYFUNCTION("""COMPUTED_VALUE"""),428)</f>
        <v>428</v>
      </c>
      <c r="X122" s="1">
        <f ca="1">IFERROR(__xludf.DUMMYFUNCTION("""COMPUTED_VALUE"""),621)</f>
        <v>621</v>
      </c>
      <c r="Y122" s="1">
        <f ca="1">IFERROR(__xludf.DUMMYFUNCTION("""COMPUTED_VALUE"""),0.689)</f>
        <v>0.68899999999999995</v>
      </c>
      <c r="Z122" s="1">
        <f ca="1">IFERROR(__xludf.DUMMYFUNCTION("""COMPUTED_VALUE"""),406)</f>
        <v>406</v>
      </c>
      <c r="AA122" s="1">
        <f ca="1">IFERROR(__xludf.DUMMYFUNCTION("""COMPUTED_VALUE"""),1102)</f>
        <v>1102</v>
      </c>
      <c r="AB122" s="1">
        <f ca="1">IFERROR(__xludf.DUMMYFUNCTION("""COMPUTED_VALUE"""),377)</f>
        <v>377</v>
      </c>
      <c r="AC122" s="1">
        <f ca="1">IFERROR(__xludf.DUMMYFUNCTION("""COMPUTED_VALUE"""),198)</f>
        <v>198</v>
      </c>
      <c r="AD122" s="1">
        <f ca="1">IFERROR(__xludf.DUMMYFUNCTION("""COMPUTED_VALUE"""),119)</f>
        <v>119</v>
      </c>
      <c r="AE122" s="1">
        <f ca="1">IFERROR(__xludf.DUMMYFUNCTION("""COMPUTED_VALUE"""),421)</f>
        <v>421</v>
      </c>
      <c r="AF122" s="1">
        <f ca="1">IFERROR(__xludf.DUMMYFUNCTION("""COMPUTED_VALUE"""),650)</f>
        <v>650</v>
      </c>
    </row>
    <row r="123" spans="1:32" ht="12.5" x14ac:dyDescent="0.25">
      <c r="A123" s="1" t="str">
        <f ca="1">IFERROR(__xludf.DUMMYFUNCTION("""COMPUTED_VALUE"""),"HamptonNCAA")</f>
        <v>HamptonNCAA</v>
      </c>
      <c r="B123" s="1">
        <f ca="1">IFERROR(__xludf.DUMMYFUNCTION("""COMPUTED_VALUE"""),33)</f>
        <v>33</v>
      </c>
      <c r="C123" s="1">
        <f ca="1">IFERROR(__xludf.DUMMYFUNCTION("""COMPUTED_VALUE"""),24)</f>
        <v>24</v>
      </c>
      <c r="D123" s="1">
        <f ca="1">IFERROR(__xludf.DUMMYFUNCTION("""COMPUTED_VALUE"""),9)</f>
        <v>9</v>
      </c>
      <c r="E123" s="1">
        <f ca="1">IFERROR(__xludf.DUMMYFUNCTION("""COMPUTED_VALUE"""),0.727)</f>
        <v>0.72699999999999998</v>
      </c>
      <c r="F123" s="1">
        <f ca="1">IFERROR(__xludf.DUMMYFUNCTION("""COMPUTED_VALUE"""),-5.2)</f>
        <v>-5.2</v>
      </c>
      <c r="G123" s="1">
        <f ca="1">IFERROR(__xludf.DUMMYFUNCTION("""COMPUTED_VALUE"""),-8.77)</f>
        <v>-8.77</v>
      </c>
      <c r="H123" s="1">
        <f ca="1">IFERROR(__xludf.DUMMYFUNCTION("""COMPUTED_VALUE"""),11)</f>
        <v>11</v>
      </c>
      <c r="I123" s="1">
        <f ca="1">IFERROR(__xludf.DUMMYFUNCTION("""COMPUTED_VALUE"""),5)</f>
        <v>5</v>
      </c>
      <c r="J123" s="1">
        <f ca="1">IFERROR(__xludf.DUMMYFUNCTION("""COMPUTED_VALUE"""),8)</f>
        <v>8</v>
      </c>
      <c r="K123" s="1">
        <f ca="1">IFERROR(__xludf.DUMMYFUNCTION("""COMPUTED_VALUE"""),3)</f>
        <v>3</v>
      </c>
      <c r="L123" s="1">
        <f ca="1">IFERROR(__xludf.DUMMYFUNCTION("""COMPUTED_VALUE"""),8)</f>
        <v>8</v>
      </c>
      <c r="M123" s="1">
        <f ca="1">IFERROR(__xludf.DUMMYFUNCTION("""COMPUTED_VALUE"""),5)</f>
        <v>5</v>
      </c>
      <c r="N123" s="1">
        <f ca="1">IFERROR(__xludf.DUMMYFUNCTION("""COMPUTED_VALUE"""),2197)</f>
        <v>2197</v>
      </c>
      <c r="O123" s="1">
        <f ca="1">IFERROR(__xludf.DUMMYFUNCTION("""COMPUTED_VALUE"""),2070)</f>
        <v>2070</v>
      </c>
      <c r="P123" s="1">
        <f ca="1">IFERROR(__xludf.DUMMYFUNCTION("""COMPUTED_VALUE"""),1340)</f>
        <v>1340</v>
      </c>
      <c r="Q123" s="1">
        <f ca="1">IFERROR(__xludf.DUMMYFUNCTION("""COMPUTED_VALUE"""),746)</f>
        <v>746</v>
      </c>
      <c r="R123" s="1">
        <f ca="1">IFERROR(__xludf.DUMMYFUNCTION("""COMPUTED_VALUE"""),1843)</f>
        <v>1843</v>
      </c>
      <c r="S123" s="1">
        <f ca="1">IFERROR(__xludf.DUMMYFUNCTION("""COMPUTED_VALUE"""),0.405)</f>
        <v>0.40500000000000003</v>
      </c>
      <c r="T123" s="1">
        <f ca="1">IFERROR(__xludf.DUMMYFUNCTION("""COMPUTED_VALUE"""),213)</f>
        <v>213</v>
      </c>
      <c r="U123" s="1">
        <f ca="1">IFERROR(__xludf.DUMMYFUNCTION("""COMPUTED_VALUE"""),658)</f>
        <v>658</v>
      </c>
      <c r="V123" s="1">
        <f ca="1">IFERROR(__xludf.DUMMYFUNCTION("""COMPUTED_VALUE"""),0.324)</f>
        <v>0.32400000000000001</v>
      </c>
      <c r="W123" s="1">
        <f ca="1">IFERROR(__xludf.DUMMYFUNCTION("""COMPUTED_VALUE"""),492)</f>
        <v>492</v>
      </c>
      <c r="X123" s="1">
        <f ca="1">IFERROR(__xludf.DUMMYFUNCTION("""COMPUTED_VALUE"""),759)</f>
        <v>759</v>
      </c>
      <c r="Y123" s="1">
        <f ca="1">IFERROR(__xludf.DUMMYFUNCTION("""COMPUTED_VALUE"""),0.648)</f>
        <v>0.64800000000000002</v>
      </c>
      <c r="Z123" s="1">
        <f ca="1">IFERROR(__xludf.DUMMYFUNCTION("""COMPUTED_VALUE"""),367)</f>
        <v>367</v>
      </c>
      <c r="AA123" s="1">
        <f ca="1">IFERROR(__xludf.DUMMYFUNCTION("""COMPUTED_VALUE"""),1170)</f>
        <v>1170</v>
      </c>
      <c r="AB123" s="1">
        <f ca="1">IFERROR(__xludf.DUMMYFUNCTION("""COMPUTED_VALUE"""),387)</f>
        <v>387</v>
      </c>
      <c r="AC123" s="1">
        <f ca="1">IFERROR(__xludf.DUMMYFUNCTION("""COMPUTED_VALUE"""),241)</f>
        <v>241</v>
      </c>
      <c r="AD123" s="1">
        <f ca="1">IFERROR(__xludf.DUMMYFUNCTION("""COMPUTED_VALUE"""),185)</f>
        <v>185</v>
      </c>
      <c r="AE123" s="1">
        <f ca="1">IFERROR(__xludf.DUMMYFUNCTION("""COMPUTED_VALUE"""),412)</f>
        <v>412</v>
      </c>
      <c r="AF123" s="1">
        <f ca="1">IFERROR(__xludf.DUMMYFUNCTION("""COMPUTED_VALUE"""),604)</f>
        <v>604</v>
      </c>
    </row>
    <row r="124" spans="1:32" ht="12.5" x14ac:dyDescent="0.25">
      <c r="A124" s="1" t="str">
        <f ca="1">IFERROR(__xludf.DUMMYFUNCTION("""COMPUTED_VALUE"""),"Hartford")</f>
        <v>Hartford</v>
      </c>
      <c r="B124" s="1">
        <f ca="1">IFERROR(__xludf.DUMMYFUNCTION("""COMPUTED_VALUE"""),31)</f>
        <v>31</v>
      </c>
      <c r="C124" s="1">
        <f ca="1">IFERROR(__xludf.DUMMYFUNCTION("""COMPUTED_VALUE"""),11)</f>
        <v>11</v>
      </c>
      <c r="D124" s="1">
        <f ca="1">IFERROR(__xludf.DUMMYFUNCTION("""COMPUTED_VALUE"""),20)</f>
        <v>20</v>
      </c>
      <c r="E124" s="1">
        <f ca="1">IFERROR(__xludf.DUMMYFUNCTION("""COMPUTED_VALUE"""),0.355)</f>
        <v>0.35499999999999998</v>
      </c>
      <c r="F124" s="1">
        <f ca="1">IFERROR(__xludf.DUMMYFUNCTION("""COMPUTED_VALUE"""),-10.04)</f>
        <v>-10.039999999999999</v>
      </c>
      <c r="G124" s="1">
        <f ca="1">IFERROR(__xludf.DUMMYFUNCTION("""COMPUTED_VALUE"""),-5.55)</f>
        <v>-5.55</v>
      </c>
      <c r="H124" s="1">
        <f ca="1">IFERROR(__xludf.DUMMYFUNCTION("""COMPUTED_VALUE"""),7)</f>
        <v>7</v>
      </c>
      <c r="I124" s="1">
        <f ca="1">IFERROR(__xludf.DUMMYFUNCTION("""COMPUTED_VALUE"""),9)</f>
        <v>9</v>
      </c>
      <c r="J124" s="1">
        <f ca="1">IFERROR(__xludf.DUMMYFUNCTION("""COMPUTED_VALUE"""),7)</f>
        <v>7</v>
      </c>
      <c r="K124" s="1">
        <f ca="1">IFERROR(__xludf.DUMMYFUNCTION("""COMPUTED_VALUE"""),5)</f>
        <v>5</v>
      </c>
      <c r="L124" s="1">
        <f ca="1">IFERROR(__xludf.DUMMYFUNCTION("""COMPUTED_VALUE"""),3)</f>
        <v>3</v>
      </c>
      <c r="M124" s="1">
        <f ca="1">IFERROR(__xludf.DUMMYFUNCTION("""COMPUTED_VALUE"""),13)</f>
        <v>13</v>
      </c>
      <c r="N124" s="1">
        <f ca="1">IFERROR(__xludf.DUMMYFUNCTION("""COMPUTED_VALUE"""),1857)</f>
        <v>1857</v>
      </c>
      <c r="O124" s="1">
        <f ca="1">IFERROR(__xludf.DUMMYFUNCTION("""COMPUTED_VALUE"""),1996)</f>
        <v>1996</v>
      </c>
      <c r="P124" s="1">
        <f ca="1">IFERROR(__xludf.DUMMYFUNCTION("""COMPUTED_VALUE"""),1265)</f>
        <v>1265</v>
      </c>
      <c r="Q124" s="1">
        <f ca="1">IFERROR(__xludf.DUMMYFUNCTION("""COMPUTED_VALUE"""),672)</f>
        <v>672</v>
      </c>
      <c r="R124" s="1">
        <f ca="1">IFERROR(__xludf.DUMMYFUNCTION("""COMPUTED_VALUE"""),1756)</f>
        <v>1756</v>
      </c>
      <c r="S124" s="1">
        <f ca="1">IFERROR(__xludf.DUMMYFUNCTION("""COMPUTED_VALUE"""),0.383)</f>
        <v>0.38300000000000001</v>
      </c>
      <c r="T124" s="1">
        <f ca="1">IFERROR(__xludf.DUMMYFUNCTION("""COMPUTED_VALUE"""),265)</f>
        <v>265</v>
      </c>
      <c r="U124" s="1">
        <f ca="1">IFERROR(__xludf.DUMMYFUNCTION("""COMPUTED_VALUE"""),869)</f>
        <v>869</v>
      </c>
      <c r="V124" s="1">
        <f ca="1">IFERROR(__xludf.DUMMYFUNCTION("""COMPUTED_VALUE"""),0.305)</f>
        <v>0.30499999999999999</v>
      </c>
      <c r="W124" s="1">
        <f ca="1">IFERROR(__xludf.DUMMYFUNCTION("""COMPUTED_VALUE"""),248)</f>
        <v>248</v>
      </c>
      <c r="X124" s="1">
        <f ca="1">IFERROR(__xludf.DUMMYFUNCTION("""COMPUTED_VALUE"""),413)</f>
        <v>413</v>
      </c>
      <c r="Y124" s="1">
        <f ca="1">IFERROR(__xludf.DUMMYFUNCTION("""COMPUTED_VALUE"""),0.6)</f>
        <v>0.6</v>
      </c>
      <c r="Z124" s="1">
        <f ca="1">IFERROR(__xludf.DUMMYFUNCTION("""COMPUTED_VALUE"""),324)</f>
        <v>324</v>
      </c>
      <c r="AA124" s="1">
        <f ca="1">IFERROR(__xludf.DUMMYFUNCTION("""COMPUTED_VALUE"""),960)</f>
        <v>960</v>
      </c>
      <c r="AB124" s="1">
        <f ca="1">IFERROR(__xludf.DUMMYFUNCTION("""COMPUTED_VALUE"""),367)</f>
        <v>367</v>
      </c>
      <c r="AC124" s="1">
        <f ca="1">IFERROR(__xludf.DUMMYFUNCTION("""COMPUTED_VALUE"""),244)</f>
        <v>244</v>
      </c>
      <c r="AD124" s="1">
        <f ca="1">IFERROR(__xludf.DUMMYFUNCTION("""COMPUTED_VALUE"""),77)</f>
        <v>77</v>
      </c>
      <c r="AE124" s="1">
        <f ca="1">IFERROR(__xludf.DUMMYFUNCTION("""COMPUTED_VALUE"""),388)</f>
        <v>388</v>
      </c>
      <c r="AF124" s="1">
        <f ca="1">IFERROR(__xludf.DUMMYFUNCTION("""COMPUTED_VALUE"""),573)</f>
        <v>573</v>
      </c>
    </row>
    <row r="125" spans="1:32" ht="12.5" x14ac:dyDescent="0.25">
      <c r="A125" s="1" t="str">
        <f ca="1">IFERROR(__xludf.DUMMYFUNCTION("""COMPUTED_VALUE"""),"Harvard")</f>
        <v>Harvard</v>
      </c>
      <c r="B125" s="1">
        <f ca="1">IFERROR(__xludf.DUMMYFUNCTION("""COMPUTED_VALUE"""),30)</f>
        <v>30</v>
      </c>
      <c r="C125" s="1">
        <f ca="1">IFERROR(__xludf.DUMMYFUNCTION("""COMPUTED_VALUE"""),23)</f>
        <v>23</v>
      </c>
      <c r="D125" s="1">
        <f ca="1">IFERROR(__xludf.DUMMYFUNCTION("""COMPUTED_VALUE"""),7)</f>
        <v>7</v>
      </c>
      <c r="E125" s="1">
        <f ca="1">IFERROR(__xludf.DUMMYFUNCTION("""COMPUTED_VALUE"""),0.767)</f>
        <v>0.76700000000000002</v>
      </c>
      <c r="F125" s="1">
        <f ca="1">IFERROR(__xludf.DUMMYFUNCTION("""COMPUTED_VALUE"""),4.88)</f>
        <v>4.88</v>
      </c>
      <c r="G125" s="1">
        <f ca="1">IFERROR(__xludf.DUMMYFUNCTION("""COMPUTED_VALUE"""),-1.19)</f>
        <v>-1.19</v>
      </c>
      <c r="H125" s="1">
        <f ca="1">IFERROR(__xludf.DUMMYFUNCTION("""COMPUTED_VALUE"""),12)</f>
        <v>12</v>
      </c>
      <c r="I125" s="1">
        <f ca="1">IFERROR(__xludf.DUMMYFUNCTION("""COMPUTED_VALUE"""),3)</f>
        <v>3</v>
      </c>
      <c r="J125" s="1">
        <f ca="1">IFERROR(__xludf.DUMMYFUNCTION("""COMPUTED_VALUE"""),14)</f>
        <v>14</v>
      </c>
      <c r="K125" s="1">
        <f ca="1">IFERROR(__xludf.DUMMYFUNCTION("""COMPUTED_VALUE"""),0)</f>
        <v>0</v>
      </c>
      <c r="L125" s="1">
        <f ca="1">IFERROR(__xludf.DUMMYFUNCTION("""COMPUTED_VALUE"""),9)</f>
        <v>9</v>
      </c>
      <c r="M125" s="1">
        <f ca="1">IFERROR(__xludf.DUMMYFUNCTION("""COMPUTED_VALUE"""),6)</f>
        <v>6</v>
      </c>
      <c r="N125" s="1">
        <f ca="1">IFERROR(__xludf.DUMMYFUNCTION("""COMPUTED_VALUE"""),2144)</f>
        <v>2144</v>
      </c>
      <c r="O125" s="1">
        <f ca="1">IFERROR(__xludf.DUMMYFUNCTION("""COMPUTED_VALUE"""),1933)</f>
        <v>1933</v>
      </c>
      <c r="P125" s="1">
        <f ca="1">IFERROR(__xludf.DUMMYFUNCTION("""COMPUTED_VALUE"""),1210)</f>
        <v>1210</v>
      </c>
      <c r="Q125" s="1">
        <f ca="1">IFERROR(__xludf.DUMMYFUNCTION("""COMPUTED_VALUE"""),708)</f>
        <v>708</v>
      </c>
      <c r="R125" s="1">
        <f ca="1">IFERROR(__xludf.DUMMYFUNCTION("""COMPUTED_VALUE"""),1492)</f>
        <v>1492</v>
      </c>
      <c r="S125" s="1">
        <f ca="1">IFERROR(__xludf.DUMMYFUNCTION("""COMPUTED_VALUE"""),0.475)</f>
        <v>0.47499999999999998</v>
      </c>
      <c r="T125" s="1">
        <f ca="1">IFERROR(__xludf.DUMMYFUNCTION("""COMPUTED_VALUE"""),205)</f>
        <v>205</v>
      </c>
      <c r="U125" s="1">
        <f ca="1">IFERROR(__xludf.DUMMYFUNCTION("""COMPUTED_VALUE"""),543)</f>
        <v>543</v>
      </c>
      <c r="V125" s="1">
        <f ca="1">IFERROR(__xludf.DUMMYFUNCTION("""COMPUTED_VALUE"""),0.378)</f>
        <v>0.378</v>
      </c>
      <c r="W125" s="1">
        <f ca="1">IFERROR(__xludf.DUMMYFUNCTION("""COMPUTED_VALUE"""),523)</f>
        <v>523</v>
      </c>
      <c r="X125" s="1">
        <f ca="1">IFERROR(__xludf.DUMMYFUNCTION("""COMPUTED_VALUE"""),646)</f>
        <v>646</v>
      </c>
      <c r="Y125" s="1">
        <f ca="1">IFERROR(__xludf.DUMMYFUNCTION("""COMPUTED_VALUE"""),0.81)</f>
        <v>0.81</v>
      </c>
      <c r="Z125" s="1">
        <f ca="1">IFERROR(__xludf.DUMMYFUNCTION("""COMPUTED_VALUE"""),270)</f>
        <v>270</v>
      </c>
      <c r="AA125" s="1">
        <f ca="1">IFERROR(__xludf.DUMMYFUNCTION("""COMPUTED_VALUE"""),965)</f>
        <v>965</v>
      </c>
      <c r="AB125" s="1">
        <f ca="1">IFERROR(__xludf.DUMMYFUNCTION("""COMPUTED_VALUE"""),429)</f>
        <v>429</v>
      </c>
      <c r="AC125" s="1">
        <f ca="1">IFERROR(__xludf.DUMMYFUNCTION("""COMPUTED_VALUE"""),178)</f>
        <v>178</v>
      </c>
      <c r="AD125" s="1">
        <f ca="1">IFERROR(__xludf.DUMMYFUNCTION("""COMPUTED_VALUE"""),134)</f>
        <v>134</v>
      </c>
      <c r="AE125" s="1">
        <f ca="1">IFERROR(__xludf.DUMMYFUNCTION("""COMPUTED_VALUE"""),398)</f>
        <v>398</v>
      </c>
      <c r="AF125" s="1">
        <f ca="1">IFERROR(__xludf.DUMMYFUNCTION("""COMPUTED_VALUE"""),466)</f>
        <v>466</v>
      </c>
    </row>
    <row r="126" spans="1:32" ht="12.5" x14ac:dyDescent="0.25">
      <c r="A126" s="1" t="str">
        <f ca="1">IFERROR(__xludf.DUMMYFUNCTION("""COMPUTED_VALUE"""),"Hawaii")</f>
        <v>Hawaii</v>
      </c>
      <c r="B126" s="1">
        <f ca="1">IFERROR(__xludf.DUMMYFUNCTION("""COMPUTED_VALUE"""),32)</f>
        <v>32</v>
      </c>
      <c r="C126" s="1">
        <f ca="1">IFERROR(__xludf.DUMMYFUNCTION("""COMPUTED_VALUE"""),19)</f>
        <v>19</v>
      </c>
      <c r="D126" s="1">
        <f ca="1">IFERROR(__xludf.DUMMYFUNCTION("""COMPUTED_VALUE"""),13)</f>
        <v>13</v>
      </c>
      <c r="E126" s="1">
        <f ca="1">IFERROR(__xludf.DUMMYFUNCTION("""COMPUTED_VALUE"""),0.594)</f>
        <v>0.59399999999999997</v>
      </c>
      <c r="F126" s="1">
        <f ca="1">IFERROR(__xludf.DUMMYFUNCTION("""COMPUTED_VALUE"""),0.51)</f>
        <v>0.51</v>
      </c>
      <c r="G126" s="1">
        <f ca="1">IFERROR(__xludf.DUMMYFUNCTION("""COMPUTED_VALUE"""),-0.87)</f>
        <v>-0.87</v>
      </c>
      <c r="H126" s="1">
        <f ca="1">IFERROR(__xludf.DUMMYFUNCTION("""COMPUTED_VALUE"""),8)</f>
        <v>8</v>
      </c>
      <c r="I126" s="1">
        <f ca="1">IFERROR(__xludf.DUMMYFUNCTION("""COMPUTED_VALUE"""),8)</f>
        <v>8</v>
      </c>
      <c r="J126" s="1">
        <f ca="1">IFERROR(__xludf.DUMMYFUNCTION("""COMPUTED_VALUE"""),15)</f>
        <v>15</v>
      </c>
      <c r="K126" s="1">
        <f ca="1">IFERROR(__xludf.DUMMYFUNCTION("""COMPUTED_VALUE"""),5)</f>
        <v>5</v>
      </c>
      <c r="L126" s="1">
        <f ca="1">IFERROR(__xludf.DUMMYFUNCTION("""COMPUTED_VALUE"""),4)</f>
        <v>4</v>
      </c>
      <c r="M126" s="1">
        <f ca="1">IFERROR(__xludf.DUMMYFUNCTION("""COMPUTED_VALUE"""),6)</f>
        <v>6</v>
      </c>
      <c r="N126" s="1">
        <f ca="1">IFERROR(__xludf.DUMMYFUNCTION("""COMPUTED_VALUE"""),2216)</f>
        <v>2216</v>
      </c>
      <c r="O126" s="1">
        <f ca="1">IFERROR(__xludf.DUMMYFUNCTION("""COMPUTED_VALUE"""),2151)</f>
        <v>2151</v>
      </c>
      <c r="P126" s="1">
        <f ca="1">IFERROR(__xludf.DUMMYFUNCTION("""COMPUTED_VALUE"""),1295)</f>
        <v>1295</v>
      </c>
      <c r="Q126" s="1">
        <f ca="1">IFERROR(__xludf.DUMMYFUNCTION("""COMPUTED_VALUE"""),760)</f>
        <v>760</v>
      </c>
      <c r="R126" s="1">
        <f ca="1">IFERROR(__xludf.DUMMYFUNCTION("""COMPUTED_VALUE"""),1685)</f>
        <v>1685</v>
      </c>
      <c r="S126" s="1">
        <f ca="1">IFERROR(__xludf.DUMMYFUNCTION("""COMPUTED_VALUE"""),0.451)</f>
        <v>0.45100000000000001</v>
      </c>
      <c r="T126" s="1">
        <f ca="1">IFERROR(__xludf.DUMMYFUNCTION("""COMPUTED_VALUE"""),193)</f>
        <v>193</v>
      </c>
      <c r="U126" s="1">
        <f ca="1">IFERROR(__xludf.DUMMYFUNCTION("""COMPUTED_VALUE"""),541)</f>
        <v>541</v>
      </c>
      <c r="V126" s="1">
        <f ca="1">IFERROR(__xludf.DUMMYFUNCTION("""COMPUTED_VALUE"""),0.357)</f>
        <v>0.35699999999999998</v>
      </c>
      <c r="W126" s="1">
        <f ca="1">IFERROR(__xludf.DUMMYFUNCTION("""COMPUTED_VALUE"""),503)</f>
        <v>503</v>
      </c>
      <c r="X126" s="1">
        <f ca="1">IFERROR(__xludf.DUMMYFUNCTION("""COMPUTED_VALUE"""),734)</f>
        <v>734</v>
      </c>
      <c r="Y126" s="1">
        <f ca="1">IFERROR(__xludf.DUMMYFUNCTION("""COMPUTED_VALUE"""),0.685)</f>
        <v>0.68500000000000005</v>
      </c>
      <c r="Z126" s="1">
        <f ca="1">IFERROR(__xludf.DUMMYFUNCTION("""COMPUTED_VALUE"""),318)</f>
        <v>318</v>
      </c>
      <c r="AA126" s="1">
        <f ca="1">IFERROR(__xludf.DUMMYFUNCTION("""COMPUTED_VALUE"""),1155)</f>
        <v>1155</v>
      </c>
      <c r="AB126" s="1">
        <f ca="1">IFERROR(__xludf.DUMMYFUNCTION("""COMPUTED_VALUE"""),380)</f>
        <v>380</v>
      </c>
      <c r="AC126" s="1">
        <f ca="1">IFERROR(__xludf.DUMMYFUNCTION("""COMPUTED_VALUE"""),177)</f>
        <v>177</v>
      </c>
      <c r="AD126" s="1">
        <f ca="1">IFERROR(__xludf.DUMMYFUNCTION("""COMPUTED_VALUE"""),134)</f>
        <v>134</v>
      </c>
      <c r="AE126" s="1">
        <f ca="1">IFERROR(__xludf.DUMMYFUNCTION("""COMPUTED_VALUE"""),497)</f>
        <v>497</v>
      </c>
      <c r="AF126" s="1">
        <f ca="1">IFERROR(__xludf.DUMMYFUNCTION("""COMPUTED_VALUE"""),622)</f>
        <v>622</v>
      </c>
    </row>
    <row r="127" spans="1:32" ht="12.5" x14ac:dyDescent="0.25">
      <c r="A127" s="1" t="str">
        <f ca="1">IFERROR(__xludf.DUMMYFUNCTION("""COMPUTED_VALUE"""),"High Point")</f>
        <v>High Point</v>
      </c>
      <c r="B127" s="1">
        <f ca="1">IFERROR(__xludf.DUMMYFUNCTION("""COMPUTED_VALUE"""),31)</f>
        <v>31</v>
      </c>
      <c r="C127" s="1">
        <f ca="1">IFERROR(__xludf.DUMMYFUNCTION("""COMPUTED_VALUE"""),12)</f>
        <v>12</v>
      </c>
      <c r="D127" s="1">
        <f ca="1">IFERROR(__xludf.DUMMYFUNCTION("""COMPUTED_VALUE"""),19)</f>
        <v>19</v>
      </c>
      <c r="E127" s="1">
        <f ca="1">IFERROR(__xludf.DUMMYFUNCTION("""COMPUTED_VALUE"""),0.387)</f>
        <v>0.38700000000000001</v>
      </c>
      <c r="F127" s="1">
        <f ca="1">IFERROR(__xludf.DUMMYFUNCTION("""COMPUTED_VALUE"""),-12.82)</f>
        <v>-12.82</v>
      </c>
      <c r="G127" s="1">
        <f ca="1">IFERROR(__xludf.DUMMYFUNCTION("""COMPUTED_VALUE"""),-4.47)</f>
        <v>-4.47</v>
      </c>
      <c r="H127" s="1">
        <f ca="1">IFERROR(__xludf.DUMMYFUNCTION("""COMPUTED_VALUE"""),7)</f>
        <v>7</v>
      </c>
      <c r="I127" s="1">
        <f ca="1">IFERROR(__xludf.DUMMYFUNCTION("""COMPUTED_VALUE"""),11)</f>
        <v>11</v>
      </c>
      <c r="J127" s="1">
        <f ca="1">IFERROR(__xludf.DUMMYFUNCTION("""COMPUTED_VALUE"""),9)</f>
        <v>9</v>
      </c>
      <c r="K127" s="1">
        <f ca="1">IFERROR(__xludf.DUMMYFUNCTION("""COMPUTED_VALUE"""),5)</f>
        <v>5</v>
      </c>
      <c r="L127" s="1">
        <f ca="1">IFERROR(__xludf.DUMMYFUNCTION("""COMPUTED_VALUE"""),3)</f>
        <v>3</v>
      </c>
      <c r="M127" s="1">
        <f ca="1">IFERROR(__xludf.DUMMYFUNCTION("""COMPUTED_VALUE"""),13)</f>
        <v>13</v>
      </c>
      <c r="N127" s="1">
        <f ca="1">IFERROR(__xludf.DUMMYFUNCTION("""COMPUTED_VALUE"""),2050)</f>
        <v>2050</v>
      </c>
      <c r="O127" s="1">
        <f ca="1">IFERROR(__xludf.DUMMYFUNCTION("""COMPUTED_VALUE"""),2250)</f>
        <v>2250</v>
      </c>
      <c r="P127" s="1">
        <f ca="1">IFERROR(__xludf.DUMMYFUNCTION("""COMPUTED_VALUE"""),1255)</f>
        <v>1255</v>
      </c>
      <c r="Q127" s="1">
        <f ca="1">IFERROR(__xludf.DUMMYFUNCTION("""COMPUTED_VALUE"""),705)</f>
        <v>705</v>
      </c>
      <c r="R127" s="1">
        <f ca="1">IFERROR(__xludf.DUMMYFUNCTION("""COMPUTED_VALUE"""),1711)</f>
        <v>1711</v>
      </c>
      <c r="S127" s="1">
        <f ca="1">IFERROR(__xludf.DUMMYFUNCTION("""COMPUTED_VALUE"""),0.412)</f>
        <v>0.41199999999999998</v>
      </c>
      <c r="T127" s="1">
        <f ca="1">IFERROR(__xludf.DUMMYFUNCTION("""COMPUTED_VALUE"""),170)</f>
        <v>170</v>
      </c>
      <c r="U127" s="1">
        <f ca="1">IFERROR(__xludf.DUMMYFUNCTION("""COMPUTED_VALUE"""),491)</f>
        <v>491</v>
      </c>
      <c r="V127" s="1">
        <f ca="1">IFERROR(__xludf.DUMMYFUNCTION("""COMPUTED_VALUE"""),0.346)</f>
        <v>0.34599999999999997</v>
      </c>
      <c r="W127" s="1">
        <f ca="1">IFERROR(__xludf.DUMMYFUNCTION("""COMPUTED_VALUE"""),470)</f>
        <v>470</v>
      </c>
      <c r="X127" s="1">
        <f ca="1">IFERROR(__xludf.DUMMYFUNCTION("""COMPUTED_VALUE"""),707)</f>
        <v>707</v>
      </c>
      <c r="Y127" s="1">
        <f ca="1">IFERROR(__xludf.DUMMYFUNCTION("""COMPUTED_VALUE"""),0.665)</f>
        <v>0.66500000000000004</v>
      </c>
      <c r="Z127" s="1">
        <f ca="1">IFERROR(__xludf.DUMMYFUNCTION("""COMPUTED_VALUE"""),369)</f>
        <v>369</v>
      </c>
      <c r="AA127" s="1">
        <f ca="1">IFERROR(__xludf.DUMMYFUNCTION("""COMPUTED_VALUE"""),1055)</f>
        <v>1055</v>
      </c>
      <c r="AB127" s="1">
        <f ca="1">IFERROR(__xludf.DUMMYFUNCTION("""COMPUTED_VALUE"""),342)</f>
        <v>342</v>
      </c>
      <c r="AC127" s="1">
        <f ca="1">IFERROR(__xludf.DUMMYFUNCTION("""COMPUTED_VALUE"""),226)</f>
        <v>226</v>
      </c>
      <c r="AD127" s="1">
        <f ca="1">IFERROR(__xludf.DUMMYFUNCTION("""COMPUTED_VALUE"""),88)</f>
        <v>88</v>
      </c>
      <c r="AE127" s="1">
        <f ca="1">IFERROR(__xludf.DUMMYFUNCTION("""COMPUTED_VALUE"""),469)</f>
        <v>469</v>
      </c>
      <c r="AF127" s="1">
        <f ca="1">IFERROR(__xludf.DUMMYFUNCTION("""COMPUTED_VALUE"""),669)</f>
        <v>669</v>
      </c>
    </row>
    <row r="128" spans="1:32" ht="12.5" x14ac:dyDescent="0.25">
      <c r="A128" s="1" t="str">
        <f ca="1">IFERROR(__xludf.DUMMYFUNCTION("""COMPUTED_VALUE"""),"Hofstra")</f>
        <v>Hofstra</v>
      </c>
      <c r="B128" s="1">
        <f ca="1">IFERROR(__xludf.DUMMYFUNCTION("""COMPUTED_VALUE"""),33)</f>
        <v>33</v>
      </c>
      <c r="C128" s="1">
        <f ca="1">IFERROR(__xludf.DUMMYFUNCTION("""COMPUTED_VALUE"""),21)</f>
        <v>21</v>
      </c>
      <c r="D128" s="1">
        <f ca="1">IFERROR(__xludf.DUMMYFUNCTION("""COMPUTED_VALUE"""),12)</f>
        <v>12</v>
      </c>
      <c r="E128" s="1">
        <f ca="1">IFERROR(__xludf.DUMMYFUNCTION("""COMPUTED_VALUE"""),0.636)</f>
        <v>0.63600000000000001</v>
      </c>
      <c r="F128" s="1">
        <f ca="1">IFERROR(__xludf.DUMMYFUNCTION("""COMPUTED_VALUE"""),-0.03)</f>
        <v>-0.03</v>
      </c>
      <c r="G128" s="1">
        <f ca="1">IFERROR(__xludf.DUMMYFUNCTION("""COMPUTED_VALUE"""),0.13)</f>
        <v>0.13</v>
      </c>
      <c r="H128" s="1">
        <f ca="1">IFERROR(__xludf.DUMMYFUNCTION("""COMPUTED_VALUE"""),14)</f>
        <v>14</v>
      </c>
      <c r="I128" s="1">
        <f ca="1">IFERROR(__xludf.DUMMYFUNCTION("""COMPUTED_VALUE"""),4)</f>
        <v>4</v>
      </c>
      <c r="J128" s="1">
        <f ca="1">IFERROR(__xludf.DUMMYFUNCTION("""COMPUTED_VALUE"""),10)</f>
        <v>10</v>
      </c>
      <c r="K128" s="1">
        <f ca="1">IFERROR(__xludf.DUMMYFUNCTION("""COMPUTED_VALUE"""),3)</f>
        <v>3</v>
      </c>
      <c r="L128" s="1">
        <f ca="1">IFERROR(__xludf.DUMMYFUNCTION("""COMPUTED_VALUE"""),10)</f>
        <v>10</v>
      </c>
      <c r="M128" s="1">
        <f ca="1">IFERROR(__xludf.DUMMYFUNCTION("""COMPUTED_VALUE"""),5)</f>
        <v>5</v>
      </c>
      <c r="N128" s="1">
        <f ca="1">IFERROR(__xludf.DUMMYFUNCTION("""COMPUTED_VALUE"""),2335)</f>
        <v>2335</v>
      </c>
      <c r="O128" s="1">
        <f ca="1">IFERROR(__xludf.DUMMYFUNCTION("""COMPUTED_VALUE"""),2300)</f>
        <v>2300</v>
      </c>
      <c r="P128" s="1">
        <f ca="1">IFERROR(__xludf.DUMMYFUNCTION("""COMPUTED_VALUE"""),1335)</f>
        <v>1335</v>
      </c>
      <c r="Q128" s="1">
        <f ca="1">IFERROR(__xludf.DUMMYFUNCTION("""COMPUTED_VALUE"""),813)</f>
        <v>813</v>
      </c>
      <c r="R128" s="1">
        <f ca="1">IFERROR(__xludf.DUMMYFUNCTION("""COMPUTED_VALUE"""),1835)</f>
        <v>1835</v>
      </c>
      <c r="S128" s="1">
        <f ca="1">IFERROR(__xludf.DUMMYFUNCTION("""COMPUTED_VALUE"""),0.443)</f>
        <v>0.443</v>
      </c>
      <c r="T128" s="1">
        <f ca="1">IFERROR(__xludf.DUMMYFUNCTION("""COMPUTED_VALUE"""),208)</f>
        <v>208</v>
      </c>
      <c r="U128" s="1">
        <f ca="1">IFERROR(__xludf.DUMMYFUNCTION("""COMPUTED_VALUE"""),583)</f>
        <v>583</v>
      </c>
      <c r="V128" s="1">
        <f ca="1">IFERROR(__xludf.DUMMYFUNCTION("""COMPUTED_VALUE"""),0.357)</f>
        <v>0.35699999999999998</v>
      </c>
      <c r="W128" s="1">
        <f ca="1">IFERROR(__xludf.DUMMYFUNCTION("""COMPUTED_VALUE"""),501)</f>
        <v>501</v>
      </c>
      <c r="X128" s="1">
        <f ca="1">IFERROR(__xludf.DUMMYFUNCTION("""COMPUTED_VALUE"""),658)</f>
        <v>658</v>
      </c>
      <c r="Y128" s="1">
        <f ca="1">IFERROR(__xludf.DUMMYFUNCTION("""COMPUTED_VALUE"""),0.761)</f>
        <v>0.76100000000000001</v>
      </c>
      <c r="Z128" s="1">
        <f ca="1">IFERROR(__xludf.DUMMYFUNCTION("""COMPUTED_VALUE"""),330)</f>
        <v>330</v>
      </c>
      <c r="AA128" s="1">
        <f ca="1">IFERROR(__xludf.DUMMYFUNCTION("""COMPUTED_VALUE"""),1062)</f>
        <v>1062</v>
      </c>
      <c r="AB128" s="1">
        <f ca="1">IFERROR(__xludf.DUMMYFUNCTION("""COMPUTED_VALUE"""),448)</f>
        <v>448</v>
      </c>
      <c r="AC128" s="1">
        <f ca="1">IFERROR(__xludf.DUMMYFUNCTION("""COMPUTED_VALUE"""),211)</f>
        <v>211</v>
      </c>
      <c r="AD128" s="1">
        <f ca="1">IFERROR(__xludf.DUMMYFUNCTION("""COMPUTED_VALUE"""),141)</f>
        <v>141</v>
      </c>
      <c r="AE128" s="1">
        <f ca="1">IFERROR(__xludf.DUMMYFUNCTION("""COMPUTED_VALUE"""),346)</f>
        <v>346</v>
      </c>
      <c r="AF128" s="1">
        <f ca="1">IFERROR(__xludf.DUMMYFUNCTION("""COMPUTED_VALUE"""),595)</f>
        <v>595</v>
      </c>
    </row>
    <row r="129" spans="1:32" ht="12.5" x14ac:dyDescent="0.25">
      <c r="A129" s="1" t="str">
        <f ca="1">IFERROR(__xludf.DUMMYFUNCTION("""COMPUTED_VALUE"""),"Holy Cross")</f>
        <v>Holy Cross</v>
      </c>
      <c r="B129" s="1">
        <f ca="1">IFERROR(__xludf.DUMMYFUNCTION("""COMPUTED_VALUE"""),29)</f>
        <v>29</v>
      </c>
      <c r="C129" s="1">
        <f ca="1">IFERROR(__xludf.DUMMYFUNCTION("""COMPUTED_VALUE"""),8)</f>
        <v>8</v>
      </c>
      <c r="D129" s="1">
        <f ca="1">IFERROR(__xludf.DUMMYFUNCTION("""COMPUTED_VALUE"""),21)</f>
        <v>21</v>
      </c>
      <c r="E129" s="1">
        <f ca="1">IFERROR(__xludf.DUMMYFUNCTION("""COMPUTED_VALUE"""),0.276)</f>
        <v>0.27600000000000002</v>
      </c>
      <c r="F129" s="1">
        <f ca="1">IFERROR(__xludf.DUMMYFUNCTION("""COMPUTED_VALUE"""),-6.38)</f>
        <v>-6.38</v>
      </c>
      <c r="G129" s="1">
        <f ca="1">IFERROR(__xludf.DUMMYFUNCTION("""COMPUTED_VALUE"""),-4.55)</f>
        <v>-4.55</v>
      </c>
      <c r="H129" s="1">
        <f ca="1">IFERROR(__xludf.DUMMYFUNCTION("""COMPUTED_VALUE"""),7)</f>
        <v>7</v>
      </c>
      <c r="I129" s="1">
        <f ca="1">IFERROR(__xludf.DUMMYFUNCTION("""COMPUTED_VALUE"""),7)</f>
        <v>7</v>
      </c>
      <c r="J129" s="1">
        <f ca="1">IFERROR(__xludf.DUMMYFUNCTION("""COMPUTED_VALUE"""),4)</f>
        <v>4</v>
      </c>
      <c r="K129" s="1">
        <f ca="1">IFERROR(__xludf.DUMMYFUNCTION("""COMPUTED_VALUE"""),9)</f>
        <v>9</v>
      </c>
      <c r="L129" s="1">
        <f ca="1">IFERROR(__xludf.DUMMYFUNCTION("""COMPUTED_VALUE"""),4)</f>
        <v>4</v>
      </c>
      <c r="M129" s="1">
        <f ca="1">IFERROR(__xludf.DUMMYFUNCTION("""COMPUTED_VALUE"""),12)</f>
        <v>12</v>
      </c>
      <c r="N129" s="1">
        <f ca="1">IFERROR(__xludf.DUMMYFUNCTION("""COMPUTED_VALUE"""),1949)</f>
        <v>1949</v>
      </c>
      <c r="O129" s="1">
        <f ca="1">IFERROR(__xludf.DUMMYFUNCTION("""COMPUTED_VALUE"""),2002)</f>
        <v>2002</v>
      </c>
      <c r="P129" s="1">
        <f ca="1">IFERROR(__xludf.DUMMYFUNCTION("""COMPUTED_VALUE"""),1170)</f>
        <v>1170</v>
      </c>
      <c r="Q129" s="1">
        <f ca="1">IFERROR(__xludf.DUMMYFUNCTION("""COMPUTED_VALUE"""),713)</f>
        <v>713</v>
      </c>
      <c r="R129" s="1">
        <f ca="1">IFERROR(__xludf.DUMMYFUNCTION("""COMPUTED_VALUE"""),1618)</f>
        <v>1618</v>
      </c>
      <c r="S129" s="1">
        <f ca="1">IFERROR(__xludf.DUMMYFUNCTION("""COMPUTED_VALUE"""),0.441)</f>
        <v>0.441</v>
      </c>
      <c r="T129" s="1">
        <f ca="1">IFERROR(__xludf.DUMMYFUNCTION("""COMPUTED_VALUE"""),148)</f>
        <v>148</v>
      </c>
      <c r="U129" s="1">
        <f ca="1">IFERROR(__xludf.DUMMYFUNCTION("""COMPUTED_VALUE"""),454)</f>
        <v>454</v>
      </c>
      <c r="V129" s="1">
        <f ca="1">IFERROR(__xludf.DUMMYFUNCTION("""COMPUTED_VALUE"""),0.326)</f>
        <v>0.32600000000000001</v>
      </c>
      <c r="W129" s="1">
        <f ca="1">IFERROR(__xludf.DUMMYFUNCTION("""COMPUTED_VALUE"""),375)</f>
        <v>375</v>
      </c>
      <c r="X129" s="1">
        <f ca="1">IFERROR(__xludf.DUMMYFUNCTION("""COMPUTED_VALUE"""),577)</f>
        <v>577</v>
      </c>
      <c r="Y129" s="1">
        <f ca="1">IFERROR(__xludf.DUMMYFUNCTION("""COMPUTED_VALUE"""),0.65)</f>
        <v>0.65</v>
      </c>
      <c r="Z129" s="1">
        <f ca="1">IFERROR(__xludf.DUMMYFUNCTION("""COMPUTED_VALUE"""),340)</f>
        <v>340</v>
      </c>
      <c r="AA129" s="1">
        <f ca="1">IFERROR(__xludf.DUMMYFUNCTION("""COMPUTED_VALUE"""),1065)</f>
        <v>1065</v>
      </c>
      <c r="AB129" s="1">
        <f ca="1">IFERROR(__xludf.DUMMYFUNCTION("""COMPUTED_VALUE"""),385)</f>
        <v>385</v>
      </c>
      <c r="AC129" s="1">
        <f ca="1">IFERROR(__xludf.DUMMYFUNCTION("""COMPUTED_VALUE"""),118)</f>
        <v>118</v>
      </c>
      <c r="AD129" s="1">
        <f ca="1">IFERROR(__xludf.DUMMYFUNCTION("""COMPUTED_VALUE"""),109)</f>
        <v>109</v>
      </c>
      <c r="AE129" s="1">
        <f ca="1">IFERROR(__xludf.DUMMYFUNCTION("""COMPUTED_VALUE"""),387)</f>
        <v>387</v>
      </c>
      <c r="AF129" s="1">
        <f ca="1">IFERROR(__xludf.DUMMYFUNCTION("""COMPUTED_VALUE"""),530)</f>
        <v>530</v>
      </c>
    </row>
    <row r="130" spans="1:32" ht="12.5" x14ac:dyDescent="0.25">
      <c r="A130" s="1" t="str">
        <f ca="1">IFERROR(__xludf.DUMMYFUNCTION("""COMPUTED_VALUE"""),"Houston Baptist")</f>
        <v>Houston Baptist</v>
      </c>
      <c r="B130" s="1">
        <f ca="1">IFERROR(__xludf.DUMMYFUNCTION("""COMPUTED_VALUE"""),31)</f>
        <v>31</v>
      </c>
      <c r="C130" s="1">
        <f ca="1">IFERROR(__xludf.DUMMYFUNCTION("""COMPUTED_VALUE"""),5)</f>
        <v>5</v>
      </c>
      <c r="D130" s="1">
        <f ca="1">IFERROR(__xludf.DUMMYFUNCTION("""COMPUTED_VALUE"""),26)</f>
        <v>26</v>
      </c>
      <c r="E130" s="1">
        <f ca="1">IFERROR(__xludf.DUMMYFUNCTION("""COMPUTED_VALUE"""),0.161)</f>
        <v>0.161</v>
      </c>
      <c r="F130" s="1">
        <f ca="1">IFERROR(__xludf.DUMMYFUNCTION("""COMPUTED_VALUE"""),-18.41)</f>
        <v>-18.41</v>
      </c>
      <c r="G130" s="1">
        <f ca="1">IFERROR(__xludf.DUMMYFUNCTION("""COMPUTED_VALUE"""),-8.72)</f>
        <v>-8.7200000000000006</v>
      </c>
      <c r="H130" s="1">
        <f ca="1">IFERROR(__xludf.DUMMYFUNCTION("""COMPUTED_VALUE"""),2)</f>
        <v>2</v>
      </c>
      <c r="I130" s="1">
        <f ca="1">IFERROR(__xludf.DUMMYFUNCTION("""COMPUTED_VALUE"""),10)</f>
        <v>10</v>
      </c>
      <c r="J130" s="1">
        <f ca="1">IFERROR(__xludf.DUMMYFUNCTION("""COMPUTED_VALUE"""),4)</f>
        <v>4</v>
      </c>
      <c r="K130" s="1">
        <f ca="1">IFERROR(__xludf.DUMMYFUNCTION("""COMPUTED_VALUE"""),8)</f>
        <v>8</v>
      </c>
      <c r="L130" s="1">
        <f ca="1">IFERROR(__xludf.DUMMYFUNCTION("""COMPUTED_VALUE"""),0)</f>
        <v>0</v>
      </c>
      <c r="M130" s="1">
        <f ca="1">IFERROR(__xludf.DUMMYFUNCTION("""COMPUTED_VALUE"""),15)</f>
        <v>15</v>
      </c>
      <c r="N130" s="1">
        <f ca="1">IFERROR(__xludf.DUMMYFUNCTION("""COMPUTED_VALUE"""),2140)</f>
        <v>2140</v>
      </c>
      <c r="O130" s="1">
        <f ca="1">IFERROR(__xludf.DUMMYFUNCTION("""COMPUTED_VALUE"""),2429)</f>
        <v>2429</v>
      </c>
      <c r="P130" s="1">
        <f ca="1">IFERROR(__xludf.DUMMYFUNCTION("""COMPUTED_VALUE"""),1250)</f>
        <v>1250</v>
      </c>
      <c r="Q130" s="1">
        <f ca="1">IFERROR(__xludf.DUMMYFUNCTION("""COMPUTED_VALUE"""),735)</f>
        <v>735</v>
      </c>
      <c r="R130" s="1">
        <f ca="1">IFERROR(__xludf.DUMMYFUNCTION("""COMPUTED_VALUE"""),1818)</f>
        <v>1818</v>
      </c>
      <c r="S130" s="1">
        <f ca="1">IFERROR(__xludf.DUMMYFUNCTION("""COMPUTED_VALUE"""),0.404)</f>
        <v>0.40400000000000003</v>
      </c>
      <c r="T130" s="1">
        <f ca="1">IFERROR(__xludf.DUMMYFUNCTION("""COMPUTED_VALUE"""),180)</f>
        <v>180</v>
      </c>
      <c r="U130" s="1">
        <f ca="1">IFERROR(__xludf.DUMMYFUNCTION("""COMPUTED_VALUE"""),537)</f>
        <v>537</v>
      </c>
      <c r="V130" s="1">
        <f ca="1">IFERROR(__xludf.DUMMYFUNCTION("""COMPUTED_VALUE"""),0.335)</f>
        <v>0.33500000000000002</v>
      </c>
      <c r="W130" s="1">
        <f ca="1">IFERROR(__xludf.DUMMYFUNCTION("""COMPUTED_VALUE"""),490)</f>
        <v>490</v>
      </c>
      <c r="X130" s="1">
        <f ca="1">IFERROR(__xludf.DUMMYFUNCTION("""COMPUTED_VALUE"""),725)</f>
        <v>725</v>
      </c>
      <c r="Y130" s="1">
        <f ca="1">IFERROR(__xludf.DUMMYFUNCTION("""COMPUTED_VALUE"""),0.676)</f>
        <v>0.67600000000000005</v>
      </c>
      <c r="Z130" s="1">
        <f ca="1">IFERROR(__xludf.DUMMYFUNCTION("""COMPUTED_VALUE"""),379)</f>
        <v>379</v>
      </c>
      <c r="AA130" s="1">
        <f ca="1">IFERROR(__xludf.DUMMYFUNCTION("""COMPUTED_VALUE"""),1081)</f>
        <v>1081</v>
      </c>
      <c r="AB130" s="1">
        <f ca="1">IFERROR(__xludf.DUMMYFUNCTION("""COMPUTED_VALUE"""),362)</f>
        <v>362</v>
      </c>
      <c r="AC130" s="1">
        <f ca="1">IFERROR(__xludf.DUMMYFUNCTION("""COMPUTED_VALUE"""),257)</f>
        <v>257</v>
      </c>
      <c r="AD130" s="1">
        <f ca="1">IFERROR(__xludf.DUMMYFUNCTION("""COMPUTED_VALUE"""),82)</f>
        <v>82</v>
      </c>
      <c r="AE130" s="1">
        <f ca="1">IFERROR(__xludf.DUMMYFUNCTION("""COMPUTED_VALUE"""),513)</f>
        <v>513</v>
      </c>
      <c r="AF130" s="1">
        <f ca="1">IFERROR(__xludf.DUMMYFUNCTION("""COMPUTED_VALUE"""),681)</f>
        <v>681</v>
      </c>
    </row>
    <row r="131" spans="1:32" ht="12.5" x14ac:dyDescent="0.25">
      <c r="A131" s="1" t="str">
        <f ca="1">IFERROR(__xludf.DUMMYFUNCTION("""COMPUTED_VALUE"""),"Houston")</f>
        <v>Houston</v>
      </c>
      <c r="B131" s="1">
        <f ca="1">IFERROR(__xludf.DUMMYFUNCTION("""COMPUTED_VALUE"""),30)</f>
        <v>30</v>
      </c>
      <c r="C131" s="1">
        <f ca="1">IFERROR(__xludf.DUMMYFUNCTION("""COMPUTED_VALUE"""),12)</f>
        <v>12</v>
      </c>
      <c r="D131" s="1">
        <f ca="1">IFERROR(__xludf.DUMMYFUNCTION("""COMPUTED_VALUE"""),18)</f>
        <v>18</v>
      </c>
      <c r="E131" s="1">
        <f ca="1">IFERROR(__xludf.DUMMYFUNCTION("""COMPUTED_VALUE"""),0.4)</f>
        <v>0.4</v>
      </c>
      <c r="F131" s="1">
        <f ca="1">IFERROR(__xludf.DUMMYFUNCTION("""COMPUTED_VALUE"""),-2.71)</f>
        <v>-2.71</v>
      </c>
      <c r="G131" s="1">
        <f ca="1">IFERROR(__xludf.DUMMYFUNCTION("""COMPUTED_VALUE"""),0.55)</f>
        <v>0.55000000000000004</v>
      </c>
      <c r="H131" s="1">
        <f ca="1">IFERROR(__xludf.DUMMYFUNCTION("""COMPUTED_VALUE"""),4)</f>
        <v>4</v>
      </c>
      <c r="I131" s="1">
        <f ca="1">IFERROR(__xludf.DUMMYFUNCTION("""COMPUTED_VALUE"""),12)</f>
        <v>12</v>
      </c>
      <c r="J131" s="1">
        <f ca="1">IFERROR(__xludf.DUMMYFUNCTION("""COMPUTED_VALUE"""),10)</f>
        <v>10</v>
      </c>
      <c r="K131" s="1">
        <f ca="1">IFERROR(__xludf.DUMMYFUNCTION("""COMPUTED_VALUE"""),6)</f>
        <v>6</v>
      </c>
      <c r="L131" s="1">
        <f ca="1">IFERROR(__xludf.DUMMYFUNCTION("""COMPUTED_VALUE"""),2)</f>
        <v>2</v>
      </c>
      <c r="M131" s="1">
        <f ca="1">IFERROR(__xludf.DUMMYFUNCTION("""COMPUTED_VALUE"""),11)</f>
        <v>11</v>
      </c>
      <c r="N131" s="1">
        <f ca="1">IFERROR(__xludf.DUMMYFUNCTION("""COMPUTED_VALUE"""),2061)</f>
        <v>2061</v>
      </c>
      <c r="O131" s="1">
        <f ca="1">IFERROR(__xludf.DUMMYFUNCTION("""COMPUTED_VALUE"""),2092)</f>
        <v>2092</v>
      </c>
      <c r="P131" s="1">
        <f ca="1">IFERROR(__xludf.DUMMYFUNCTION("""COMPUTED_VALUE"""),1225)</f>
        <v>1225</v>
      </c>
      <c r="Q131" s="1">
        <f ca="1">IFERROR(__xludf.DUMMYFUNCTION("""COMPUTED_VALUE"""),726)</f>
        <v>726</v>
      </c>
      <c r="R131" s="1">
        <f ca="1">IFERROR(__xludf.DUMMYFUNCTION("""COMPUTED_VALUE"""),1580)</f>
        <v>1580</v>
      </c>
      <c r="S131" s="1">
        <f ca="1">IFERROR(__xludf.DUMMYFUNCTION("""COMPUTED_VALUE"""),0.459)</f>
        <v>0.45900000000000002</v>
      </c>
      <c r="T131" s="1">
        <f ca="1">IFERROR(__xludf.DUMMYFUNCTION("""COMPUTED_VALUE"""),176)</f>
        <v>176</v>
      </c>
      <c r="U131" s="1">
        <f ca="1">IFERROR(__xludf.DUMMYFUNCTION("""COMPUTED_VALUE"""),452)</f>
        <v>452</v>
      </c>
      <c r="V131" s="1">
        <f ca="1">IFERROR(__xludf.DUMMYFUNCTION("""COMPUTED_VALUE"""),0.389)</f>
        <v>0.38900000000000001</v>
      </c>
      <c r="W131" s="1">
        <f ca="1">IFERROR(__xludf.DUMMYFUNCTION("""COMPUTED_VALUE"""),433)</f>
        <v>433</v>
      </c>
      <c r="X131" s="1">
        <f ca="1">IFERROR(__xludf.DUMMYFUNCTION("""COMPUTED_VALUE"""),647)</f>
        <v>647</v>
      </c>
      <c r="Y131" s="1">
        <f ca="1">IFERROR(__xludf.DUMMYFUNCTION("""COMPUTED_VALUE"""),0.669)</f>
        <v>0.66900000000000004</v>
      </c>
      <c r="Z131" s="1">
        <f ca="1">IFERROR(__xludf.DUMMYFUNCTION("""COMPUTED_VALUE"""),307)</f>
        <v>307</v>
      </c>
      <c r="AA131" s="1">
        <f ca="1">IFERROR(__xludf.DUMMYFUNCTION("""COMPUTED_VALUE"""),1012)</f>
        <v>1012</v>
      </c>
      <c r="AB131" s="1">
        <f ca="1">IFERROR(__xludf.DUMMYFUNCTION("""COMPUTED_VALUE"""),404)</f>
        <v>404</v>
      </c>
      <c r="AC131" s="1">
        <f ca="1">IFERROR(__xludf.DUMMYFUNCTION("""COMPUTED_VALUE"""),169)</f>
        <v>169</v>
      </c>
      <c r="AD131" s="1">
        <f ca="1">IFERROR(__xludf.DUMMYFUNCTION("""COMPUTED_VALUE"""),125)</f>
        <v>125</v>
      </c>
      <c r="AE131" s="1">
        <f ca="1">IFERROR(__xludf.DUMMYFUNCTION("""COMPUTED_VALUE"""),456)</f>
        <v>456</v>
      </c>
      <c r="AF131" s="1">
        <f ca="1">IFERROR(__xludf.DUMMYFUNCTION("""COMPUTED_VALUE"""),605)</f>
        <v>605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IFERROR(__xludf.DUMMYFUNCTION("""COMPUTED_VALUE"""),"Howard")</f>
        <v>Howard</v>
      </c>
      <c r="B134" s="1">
        <f ca="1">IFERROR(__xludf.DUMMYFUNCTION("""COMPUTED_VALUE"""),30)</f>
        <v>30</v>
      </c>
      <c r="C134" s="1">
        <f ca="1">IFERROR(__xludf.DUMMYFUNCTION("""COMPUTED_VALUE"""),6)</f>
        <v>6</v>
      </c>
      <c r="D134" s="1">
        <f ca="1">IFERROR(__xludf.DUMMYFUNCTION("""COMPUTED_VALUE"""),24)</f>
        <v>24</v>
      </c>
      <c r="E134" s="1">
        <f ca="1">IFERROR(__xludf.DUMMYFUNCTION("""COMPUTED_VALUE"""),0.2)</f>
        <v>0.2</v>
      </c>
      <c r="F134" s="1">
        <f ca="1">IFERROR(__xludf.DUMMYFUNCTION("""COMPUTED_VALUE"""),-18.8)</f>
        <v>-18.8</v>
      </c>
      <c r="G134" s="1">
        <f ca="1">IFERROR(__xludf.DUMMYFUNCTION("""COMPUTED_VALUE"""),-7.3)</f>
        <v>-7.3</v>
      </c>
      <c r="H134" s="1">
        <f ca="1">IFERROR(__xludf.DUMMYFUNCTION("""COMPUTED_VALUE"""),4)</f>
        <v>4</v>
      </c>
      <c r="I134" s="1">
        <f ca="1">IFERROR(__xludf.DUMMYFUNCTION("""COMPUTED_VALUE"""),12)</f>
        <v>12</v>
      </c>
      <c r="J134" s="1">
        <f ca="1">IFERROR(__xludf.DUMMYFUNCTION("""COMPUTED_VALUE"""),6)</f>
        <v>6</v>
      </c>
      <c r="K134" s="1">
        <f ca="1">IFERROR(__xludf.DUMMYFUNCTION("""COMPUTED_VALUE"""),9)</f>
        <v>9</v>
      </c>
      <c r="L134" s="1">
        <f ca="1">IFERROR(__xludf.DUMMYFUNCTION("""COMPUTED_VALUE"""),0)</f>
        <v>0</v>
      </c>
      <c r="M134" s="1">
        <f ca="1">IFERROR(__xludf.DUMMYFUNCTION("""COMPUTED_VALUE"""),13)</f>
        <v>13</v>
      </c>
      <c r="N134" s="1">
        <f ca="1">IFERROR(__xludf.DUMMYFUNCTION("""COMPUTED_VALUE"""),1753)</f>
        <v>1753</v>
      </c>
      <c r="O134" s="1">
        <f ca="1">IFERROR(__xludf.DUMMYFUNCTION("""COMPUTED_VALUE"""),2098)</f>
        <v>2098</v>
      </c>
      <c r="P134" s="1">
        <f ca="1">IFERROR(__xludf.DUMMYFUNCTION("""COMPUTED_VALUE"""),1200)</f>
        <v>1200</v>
      </c>
      <c r="Q134" s="1">
        <f ca="1">IFERROR(__xludf.DUMMYFUNCTION("""COMPUTED_VALUE"""),593)</f>
        <v>593</v>
      </c>
      <c r="R134" s="1">
        <f ca="1">IFERROR(__xludf.DUMMYFUNCTION("""COMPUTED_VALUE"""),1576)</f>
        <v>1576</v>
      </c>
      <c r="S134" s="1">
        <f ca="1">IFERROR(__xludf.DUMMYFUNCTION("""COMPUTED_VALUE"""),0.376)</f>
        <v>0.376</v>
      </c>
      <c r="T134" s="1">
        <f ca="1">IFERROR(__xludf.DUMMYFUNCTION("""COMPUTED_VALUE"""),149)</f>
        <v>149</v>
      </c>
      <c r="U134" s="1">
        <f ca="1">IFERROR(__xludf.DUMMYFUNCTION("""COMPUTED_VALUE"""),480)</f>
        <v>480</v>
      </c>
      <c r="V134" s="1">
        <f ca="1">IFERROR(__xludf.DUMMYFUNCTION("""COMPUTED_VALUE"""),0.31)</f>
        <v>0.31</v>
      </c>
      <c r="W134" s="1">
        <f ca="1">IFERROR(__xludf.DUMMYFUNCTION("""COMPUTED_VALUE"""),418)</f>
        <v>418</v>
      </c>
      <c r="X134" s="1">
        <f ca="1">IFERROR(__xludf.DUMMYFUNCTION("""COMPUTED_VALUE"""),671)</f>
        <v>671</v>
      </c>
      <c r="Y134" s="1">
        <f ca="1">IFERROR(__xludf.DUMMYFUNCTION("""COMPUTED_VALUE"""),0.623)</f>
        <v>0.623</v>
      </c>
      <c r="Z134" s="1">
        <f ca="1">IFERROR(__xludf.DUMMYFUNCTION("""COMPUTED_VALUE"""),396)</f>
        <v>396</v>
      </c>
      <c r="AA134" s="1">
        <f ca="1">IFERROR(__xludf.DUMMYFUNCTION("""COMPUTED_VALUE"""),1037)</f>
        <v>1037</v>
      </c>
      <c r="AB134" s="1">
        <f ca="1">IFERROR(__xludf.DUMMYFUNCTION("""COMPUTED_VALUE"""),279)</f>
        <v>279</v>
      </c>
      <c r="AC134" s="1">
        <f ca="1">IFERROR(__xludf.DUMMYFUNCTION("""COMPUTED_VALUE"""),182)</f>
        <v>182</v>
      </c>
      <c r="AD134" s="1">
        <f ca="1">IFERROR(__xludf.DUMMYFUNCTION("""COMPUTED_VALUE"""),64)</f>
        <v>64</v>
      </c>
      <c r="AE134" s="1">
        <f ca="1">IFERROR(__xludf.DUMMYFUNCTION("""COMPUTED_VALUE"""),476)</f>
        <v>476</v>
      </c>
      <c r="AF134" s="1">
        <f ca="1">IFERROR(__xludf.DUMMYFUNCTION("""COMPUTED_VALUE"""),577)</f>
        <v>577</v>
      </c>
    </row>
    <row r="135" spans="1:32" ht="12.5" x14ac:dyDescent="0.25">
      <c r="A135" s="1" t="str">
        <f ca="1">IFERROR(__xludf.DUMMYFUNCTION("""COMPUTED_VALUE"""),"Idaho State")</f>
        <v>Idaho State</v>
      </c>
      <c r="B135" s="1">
        <f ca="1">IFERROR(__xludf.DUMMYFUNCTION("""COMPUTED_VALUE"""),29)</f>
        <v>29</v>
      </c>
      <c r="C135" s="1">
        <f ca="1">IFERROR(__xludf.DUMMYFUNCTION("""COMPUTED_VALUE"""),9)</f>
        <v>9</v>
      </c>
      <c r="D135" s="1">
        <f ca="1">IFERROR(__xludf.DUMMYFUNCTION("""COMPUTED_VALUE"""),20)</f>
        <v>20</v>
      </c>
      <c r="E135" s="1">
        <f ca="1">IFERROR(__xludf.DUMMYFUNCTION("""COMPUTED_VALUE"""),0.31)</f>
        <v>0.31</v>
      </c>
      <c r="F135" s="1">
        <f ca="1">IFERROR(__xludf.DUMMYFUNCTION("""COMPUTED_VALUE"""),-10.76)</f>
        <v>-10.76</v>
      </c>
      <c r="G135" s="1">
        <f ca="1">IFERROR(__xludf.DUMMYFUNCTION("""COMPUTED_VALUE"""),-1.87)</f>
        <v>-1.87</v>
      </c>
      <c r="H135" s="1">
        <f ca="1">IFERROR(__xludf.DUMMYFUNCTION("""COMPUTED_VALUE"""),4)</f>
        <v>4</v>
      </c>
      <c r="I135" s="1">
        <f ca="1">IFERROR(__xludf.DUMMYFUNCTION("""COMPUTED_VALUE"""),12)</f>
        <v>12</v>
      </c>
      <c r="J135" s="1">
        <f ca="1">IFERROR(__xludf.DUMMYFUNCTION("""COMPUTED_VALUE"""),7)</f>
        <v>7</v>
      </c>
      <c r="K135" s="1">
        <f ca="1">IFERROR(__xludf.DUMMYFUNCTION("""COMPUTED_VALUE"""),5)</f>
        <v>5</v>
      </c>
      <c r="L135" s="1">
        <f ca="1">IFERROR(__xludf.DUMMYFUNCTION("""COMPUTED_VALUE"""),1)</f>
        <v>1</v>
      </c>
      <c r="M135" s="1">
        <f ca="1">IFERROR(__xludf.DUMMYFUNCTION("""COMPUTED_VALUE"""),14)</f>
        <v>14</v>
      </c>
      <c r="N135" s="1">
        <f ca="1">IFERROR(__xludf.DUMMYFUNCTION("""COMPUTED_VALUE"""),1878)</f>
        <v>1878</v>
      </c>
      <c r="O135" s="1">
        <f ca="1">IFERROR(__xludf.DUMMYFUNCTION("""COMPUTED_VALUE"""),2096)</f>
        <v>2096</v>
      </c>
      <c r="P135" s="1">
        <f ca="1">IFERROR(__xludf.DUMMYFUNCTION("""COMPUTED_VALUE"""),1175)</f>
        <v>1175</v>
      </c>
      <c r="Q135" s="1">
        <f ca="1">IFERROR(__xludf.DUMMYFUNCTION("""COMPUTED_VALUE"""),646)</f>
        <v>646</v>
      </c>
      <c r="R135" s="1">
        <f ca="1">IFERROR(__xludf.DUMMYFUNCTION("""COMPUTED_VALUE"""),1560)</f>
        <v>1560</v>
      </c>
      <c r="S135" s="1">
        <f ca="1">IFERROR(__xludf.DUMMYFUNCTION("""COMPUTED_VALUE"""),0.414)</f>
        <v>0.41399999999999998</v>
      </c>
      <c r="T135" s="1">
        <f ca="1">IFERROR(__xludf.DUMMYFUNCTION("""COMPUTED_VALUE"""),133)</f>
        <v>133</v>
      </c>
      <c r="U135" s="1">
        <f ca="1">IFERROR(__xludf.DUMMYFUNCTION("""COMPUTED_VALUE"""),431)</f>
        <v>431</v>
      </c>
      <c r="V135" s="1">
        <f ca="1">IFERROR(__xludf.DUMMYFUNCTION("""COMPUTED_VALUE"""),0.309)</f>
        <v>0.309</v>
      </c>
      <c r="W135" s="1">
        <f ca="1">IFERROR(__xludf.DUMMYFUNCTION("""COMPUTED_VALUE"""),453)</f>
        <v>453</v>
      </c>
      <c r="X135" s="1">
        <f ca="1">IFERROR(__xludf.DUMMYFUNCTION("""COMPUTED_VALUE"""),646)</f>
        <v>646</v>
      </c>
      <c r="Y135" s="1">
        <f ca="1">IFERROR(__xludf.DUMMYFUNCTION("""COMPUTED_VALUE"""),0.701)</f>
        <v>0.70099999999999996</v>
      </c>
      <c r="Z135" s="1">
        <f ca="1">IFERROR(__xludf.DUMMYFUNCTION("""COMPUTED_VALUE"""),343)</f>
        <v>343</v>
      </c>
      <c r="AA135" s="1">
        <f ca="1">IFERROR(__xludf.DUMMYFUNCTION("""COMPUTED_VALUE"""),962)</f>
        <v>962</v>
      </c>
      <c r="AB135" s="1">
        <f ca="1">IFERROR(__xludf.DUMMYFUNCTION("""COMPUTED_VALUE"""),277)</f>
        <v>277</v>
      </c>
      <c r="AC135" s="1">
        <f ca="1">IFERROR(__xludf.DUMMYFUNCTION("""COMPUTED_VALUE"""),194)</f>
        <v>194</v>
      </c>
      <c r="AD135" s="1">
        <f ca="1">IFERROR(__xludf.DUMMYFUNCTION("""COMPUTED_VALUE"""),95)</f>
        <v>95</v>
      </c>
      <c r="AE135" s="1">
        <f ca="1">IFERROR(__xludf.DUMMYFUNCTION("""COMPUTED_VALUE"""),383)</f>
        <v>383</v>
      </c>
      <c r="AF135" s="1">
        <f ca="1">IFERROR(__xludf.DUMMYFUNCTION("""COMPUTED_VALUE"""),545)</f>
        <v>545</v>
      </c>
    </row>
    <row r="136" spans="1:32" ht="12.5" x14ac:dyDescent="0.25">
      <c r="A136" s="1" t="str">
        <f ca="1">IFERROR(__xludf.DUMMYFUNCTION("""COMPUTED_VALUE"""),"Idaho")</f>
        <v>Idaho</v>
      </c>
      <c r="B136" s="1">
        <f ca="1">IFERROR(__xludf.DUMMYFUNCTION("""COMPUTED_VALUE"""),32)</f>
        <v>32</v>
      </c>
      <c r="C136" s="1">
        <f ca="1">IFERROR(__xludf.DUMMYFUNCTION("""COMPUTED_VALUE"""),18)</f>
        <v>18</v>
      </c>
      <c r="D136" s="1">
        <f ca="1">IFERROR(__xludf.DUMMYFUNCTION("""COMPUTED_VALUE"""),14)</f>
        <v>14</v>
      </c>
      <c r="E136" s="1">
        <f ca="1">IFERROR(__xludf.DUMMYFUNCTION("""COMPUTED_VALUE"""),0.563)</f>
        <v>0.56299999999999994</v>
      </c>
      <c r="F136" s="1">
        <f ca="1">IFERROR(__xludf.DUMMYFUNCTION("""COMPUTED_VALUE"""),0.2)</f>
        <v>0.2</v>
      </c>
      <c r="G136" s="1">
        <f ca="1">IFERROR(__xludf.DUMMYFUNCTION("""COMPUTED_VALUE"""),-0.64)</f>
        <v>-0.64</v>
      </c>
      <c r="H136" s="1">
        <f ca="1">IFERROR(__xludf.DUMMYFUNCTION("""COMPUTED_VALUE"""),9)</f>
        <v>9</v>
      </c>
      <c r="I136" s="1">
        <f ca="1">IFERROR(__xludf.DUMMYFUNCTION("""COMPUTED_VALUE"""),7)</f>
        <v>7</v>
      </c>
      <c r="J136" s="1">
        <f ca="1">IFERROR(__xludf.DUMMYFUNCTION("""COMPUTED_VALUE"""),10)</f>
        <v>10</v>
      </c>
      <c r="K136" s="1">
        <f ca="1">IFERROR(__xludf.DUMMYFUNCTION("""COMPUTED_VALUE"""),5)</f>
        <v>5</v>
      </c>
      <c r="L136" s="1">
        <f ca="1">IFERROR(__xludf.DUMMYFUNCTION("""COMPUTED_VALUE"""),8)</f>
        <v>8</v>
      </c>
      <c r="M136" s="1">
        <f ca="1">IFERROR(__xludf.DUMMYFUNCTION("""COMPUTED_VALUE"""),8)</f>
        <v>8</v>
      </c>
      <c r="N136" s="1">
        <f ca="1">IFERROR(__xludf.DUMMYFUNCTION("""COMPUTED_VALUE"""),2172)</f>
        <v>2172</v>
      </c>
      <c r="O136" s="1">
        <f ca="1">IFERROR(__xludf.DUMMYFUNCTION("""COMPUTED_VALUE"""),2134)</f>
        <v>2134</v>
      </c>
      <c r="P136" s="1">
        <f ca="1">IFERROR(__xludf.DUMMYFUNCTION("""COMPUTED_VALUE"""),1296)</f>
        <v>1296</v>
      </c>
      <c r="Q136" s="1">
        <f ca="1">IFERROR(__xludf.DUMMYFUNCTION("""COMPUTED_VALUE"""),758)</f>
        <v>758</v>
      </c>
      <c r="R136" s="1">
        <f ca="1">IFERROR(__xludf.DUMMYFUNCTION("""COMPUTED_VALUE"""),1644)</f>
        <v>1644</v>
      </c>
      <c r="S136" s="1">
        <f ca="1">IFERROR(__xludf.DUMMYFUNCTION("""COMPUTED_VALUE"""),0.461)</f>
        <v>0.46100000000000002</v>
      </c>
      <c r="T136" s="1">
        <f ca="1">IFERROR(__xludf.DUMMYFUNCTION("""COMPUTED_VALUE"""),202)</f>
        <v>202</v>
      </c>
      <c r="U136" s="1">
        <f ca="1">IFERROR(__xludf.DUMMYFUNCTION("""COMPUTED_VALUE"""),528)</f>
        <v>528</v>
      </c>
      <c r="V136" s="1">
        <f ca="1">IFERROR(__xludf.DUMMYFUNCTION("""COMPUTED_VALUE"""),0.383)</f>
        <v>0.38300000000000001</v>
      </c>
      <c r="W136" s="1">
        <f ca="1">IFERROR(__xludf.DUMMYFUNCTION("""COMPUTED_VALUE"""),454)</f>
        <v>454</v>
      </c>
      <c r="X136" s="1">
        <f ca="1">IFERROR(__xludf.DUMMYFUNCTION("""COMPUTED_VALUE"""),629)</f>
        <v>629</v>
      </c>
      <c r="Y136" s="1">
        <f ca="1">IFERROR(__xludf.DUMMYFUNCTION("""COMPUTED_VALUE"""),0.722)</f>
        <v>0.72199999999999998</v>
      </c>
      <c r="Z136" s="1">
        <f ca="1">IFERROR(__xludf.DUMMYFUNCTION("""COMPUTED_VALUE"""),299)</f>
        <v>299</v>
      </c>
      <c r="AA136" s="1">
        <f ca="1">IFERROR(__xludf.DUMMYFUNCTION("""COMPUTED_VALUE"""),1057)</f>
        <v>1057</v>
      </c>
      <c r="AB136" s="1">
        <f ca="1">IFERROR(__xludf.DUMMYFUNCTION("""COMPUTED_VALUE"""),455)</f>
        <v>455</v>
      </c>
      <c r="AC136" s="1">
        <f ca="1">IFERROR(__xludf.DUMMYFUNCTION("""COMPUTED_VALUE"""),210)</f>
        <v>210</v>
      </c>
      <c r="AD136" s="1">
        <f ca="1">IFERROR(__xludf.DUMMYFUNCTION("""COMPUTED_VALUE"""),98)</f>
        <v>98</v>
      </c>
      <c r="AE136" s="1">
        <f ca="1">IFERROR(__xludf.DUMMYFUNCTION("""COMPUTED_VALUE"""),470)</f>
        <v>470</v>
      </c>
      <c r="AF136" s="1">
        <f ca="1">IFERROR(__xludf.DUMMYFUNCTION("""COMPUTED_VALUE"""),537)</f>
        <v>537</v>
      </c>
    </row>
    <row r="137" spans="1:32" ht="12.5" x14ac:dyDescent="0.25">
      <c r="A137" s="1" t="str">
        <f ca="1">IFERROR(__xludf.DUMMYFUNCTION("""COMPUTED_VALUE"""),"Illinois-Chicago")</f>
        <v>Illinois-Chicago</v>
      </c>
      <c r="B137" s="1">
        <f ca="1">IFERROR(__xludf.DUMMYFUNCTION("""COMPUTED_VALUE"""),31)</f>
        <v>31</v>
      </c>
      <c r="C137" s="1">
        <f ca="1">IFERROR(__xludf.DUMMYFUNCTION("""COMPUTED_VALUE"""),7)</f>
        <v>7</v>
      </c>
      <c r="D137" s="1">
        <f ca="1">IFERROR(__xludf.DUMMYFUNCTION("""COMPUTED_VALUE"""),24)</f>
        <v>24</v>
      </c>
      <c r="E137" s="1">
        <f ca="1">IFERROR(__xludf.DUMMYFUNCTION("""COMPUTED_VALUE"""),0.226)</f>
        <v>0.22600000000000001</v>
      </c>
      <c r="F137" s="1">
        <f ca="1">IFERROR(__xludf.DUMMYFUNCTION("""COMPUTED_VALUE"""),-6.32)</f>
        <v>-6.32</v>
      </c>
      <c r="G137" s="1">
        <f ca="1">IFERROR(__xludf.DUMMYFUNCTION("""COMPUTED_VALUE"""),1.98)</f>
        <v>1.98</v>
      </c>
      <c r="H137" s="1">
        <f ca="1">IFERROR(__xludf.DUMMYFUNCTION("""COMPUTED_VALUE"""),2)</f>
        <v>2</v>
      </c>
      <c r="I137" s="1">
        <f ca="1">IFERROR(__xludf.DUMMYFUNCTION("""COMPUTED_VALUE"""),16)</f>
        <v>16</v>
      </c>
      <c r="J137" s="1">
        <f ca="1">IFERROR(__xludf.DUMMYFUNCTION("""COMPUTED_VALUE"""),4)</f>
        <v>4</v>
      </c>
      <c r="K137" s="1">
        <f ca="1">IFERROR(__xludf.DUMMYFUNCTION("""COMPUTED_VALUE"""),10)</f>
        <v>10</v>
      </c>
      <c r="L137" s="1">
        <f ca="1">IFERROR(__xludf.DUMMYFUNCTION("""COMPUTED_VALUE"""),1)</f>
        <v>1</v>
      </c>
      <c r="M137" s="1">
        <f ca="1">IFERROR(__xludf.DUMMYFUNCTION("""COMPUTED_VALUE"""),14)</f>
        <v>14</v>
      </c>
      <c r="N137" s="1">
        <f ca="1">IFERROR(__xludf.DUMMYFUNCTION("""COMPUTED_VALUE"""),1943)</f>
        <v>1943</v>
      </c>
      <c r="O137" s="1">
        <f ca="1">IFERROR(__xludf.DUMMYFUNCTION("""COMPUTED_VALUE"""),2152)</f>
        <v>2152</v>
      </c>
      <c r="P137" s="1">
        <f ca="1">IFERROR(__xludf.DUMMYFUNCTION("""COMPUTED_VALUE"""),1255)</f>
        <v>1255</v>
      </c>
      <c r="Q137" s="1">
        <f ca="1">IFERROR(__xludf.DUMMYFUNCTION("""COMPUTED_VALUE"""),723)</f>
        <v>723</v>
      </c>
      <c r="R137" s="1">
        <f ca="1">IFERROR(__xludf.DUMMYFUNCTION("""COMPUTED_VALUE"""),1703)</f>
        <v>1703</v>
      </c>
      <c r="S137" s="1">
        <f ca="1">IFERROR(__xludf.DUMMYFUNCTION("""COMPUTED_VALUE"""),0.425)</f>
        <v>0.42499999999999999</v>
      </c>
      <c r="T137" s="1">
        <f ca="1">IFERROR(__xludf.DUMMYFUNCTION("""COMPUTED_VALUE"""),146)</f>
        <v>146</v>
      </c>
      <c r="U137" s="1">
        <f ca="1">IFERROR(__xludf.DUMMYFUNCTION("""COMPUTED_VALUE"""),467)</f>
        <v>467</v>
      </c>
      <c r="V137" s="1">
        <f ca="1">IFERROR(__xludf.DUMMYFUNCTION("""COMPUTED_VALUE"""),0.313)</f>
        <v>0.313</v>
      </c>
      <c r="W137" s="1">
        <f ca="1">IFERROR(__xludf.DUMMYFUNCTION("""COMPUTED_VALUE"""),351)</f>
        <v>351</v>
      </c>
      <c r="X137" s="1">
        <f ca="1">IFERROR(__xludf.DUMMYFUNCTION("""COMPUTED_VALUE"""),526)</f>
        <v>526</v>
      </c>
      <c r="Y137" s="1">
        <f ca="1">IFERROR(__xludf.DUMMYFUNCTION("""COMPUTED_VALUE"""),0.667)</f>
        <v>0.66700000000000004</v>
      </c>
      <c r="Z137" s="1">
        <f ca="1">IFERROR(__xludf.DUMMYFUNCTION("""COMPUTED_VALUE"""),396)</f>
        <v>396</v>
      </c>
      <c r="AA137" s="1">
        <f ca="1">IFERROR(__xludf.DUMMYFUNCTION("""COMPUTED_VALUE"""),1127)</f>
        <v>1127</v>
      </c>
      <c r="AB137" s="1">
        <f ca="1">IFERROR(__xludf.DUMMYFUNCTION("""COMPUTED_VALUE"""),361)</f>
        <v>361</v>
      </c>
      <c r="AC137" s="1">
        <f ca="1">IFERROR(__xludf.DUMMYFUNCTION("""COMPUTED_VALUE"""),144)</f>
        <v>144</v>
      </c>
      <c r="AD137" s="1">
        <f ca="1">IFERROR(__xludf.DUMMYFUNCTION("""COMPUTED_VALUE"""),82)</f>
        <v>82</v>
      </c>
      <c r="AE137" s="1">
        <f ca="1">IFERROR(__xludf.DUMMYFUNCTION("""COMPUTED_VALUE"""),497)</f>
        <v>497</v>
      </c>
      <c r="AF137" s="1">
        <f ca="1">IFERROR(__xludf.DUMMYFUNCTION("""COMPUTED_VALUE"""),554)</f>
        <v>554</v>
      </c>
    </row>
    <row r="138" spans="1:32" ht="12.5" x14ac:dyDescent="0.25">
      <c r="A138" s="1" t="str">
        <f ca="1">IFERROR(__xludf.DUMMYFUNCTION("""COMPUTED_VALUE"""),"Illinois State")</f>
        <v>Illinois State</v>
      </c>
      <c r="B138" s="1">
        <f ca="1">IFERROR(__xludf.DUMMYFUNCTION("""COMPUTED_VALUE"""),31)</f>
        <v>31</v>
      </c>
      <c r="C138" s="1">
        <f ca="1">IFERROR(__xludf.DUMMYFUNCTION("""COMPUTED_VALUE"""),12)</f>
        <v>12</v>
      </c>
      <c r="D138" s="1">
        <f ca="1">IFERROR(__xludf.DUMMYFUNCTION("""COMPUTED_VALUE"""),19)</f>
        <v>19</v>
      </c>
      <c r="E138" s="1">
        <f ca="1">IFERROR(__xludf.DUMMYFUNCTION("""COMPUTED_VALUE"""),0.387)</f>
        <v>0.38700000000000001</v>
      </c>
      <c r="F138" s="1">
        <f ca="1">IFERROR(__xludf.DUMMYFUNCTION("""COMPUTED_VALUE"""),-3.37)</f>
        <v>-3.37</v>
      </c>
      <c r="G138" s="1">
        <f ca="1">IFERROR(__xludf.DUMMYFUNCTION("""COMPUTED_VALUE"""),-0.66)</f>
        <v>-0.66</v>
      </c>
      <c r="H138" s="1">
        <f ca="1">IFERROR(__xludf.DUMMYFUNCTION("""COMPUTED_VALUE"""),4)</f>
        <v>4</v>
      </c>
      <c r="I138" s="1">
        <f ca="1">IFERROR(__xludf.DUMMYFUNCTION("""COMPUTED_VALUE"""),14)</f>
        <v>14</v>
      </c>
      <c r="J138" s="1">
        <f ca="1">IFERROR(__xludf.DUMMYFUNCTION("""COMPUTED_VALUE"""),10)</f>
        <v>10</v>
      </c>
      <c r="K138" s="1">
        <f ca="1">IFERROR(__xludf.DUMMYFUNCTION("""COMPUTED_VALUE"""),8)</f>
        <v>8</v>
      </c>
      <c r="L138" s="1">
        <f ca="1">IFERROR(__xludf.DUMMYFUNCTION("""COMPUTED_VALUE"""),2)</f>
        <v>2</v>
      </c>
      <c r="M138" s="1">
        <f ca="1">IFERROR(__xludf.DUMMYFUNCTION("""COMPUTED_VALUE"""),10)</f>
        <v>10</v>
      </c>
      <c r="N138" s="1">
        <f ca="1">IFERROR(__xludf.DUMMYFUNCTION("""COMPUTED_VALUE"""),1893)</f>
        <v>1893</v>
      </c>
      <c r="O138" s="1">
        <f ca="1">IFERROR(__xludf.DUMMYFUNCTION("""COMPUTED_VALUE"""),1977)</f>
        <v>1977</v>
      </c>
      <c r="P138" s="1">
        <f ca="1">IFERROR(__xludf.DUMMYFUNCTION("""COMPUTED_VALUE"""),1255)</f>
        <v>1255</v>
      </c>
      <c r="Q138" s="1">
        <f ca="1">IFERROR(__xludf.DUMMYFUNCTION("""COMPUTED_VALUE"""),680)</f>
        <v>680</v>
      </c>
      <c r="R138" s="1">
        <f ca="1">IFERROR(__xludf.DUMMYFUNCTION("""COMPUTED_VALUE"""),1599)</f>
        <v>1599</v>
      </c>
      <c r="S138" s="1">
        <f ca="1">IFERROR(__xludf.DUMMYFUNCTION("""COMPUTED_VALUE"""),0.425)</f>
        <v>0.42499999999999999</v>
      </c>
      <c r="T138" s="1">
        <f ca="1">IFERROR(__xludf.DUMMYFUNCTION("""COMPUTED_VALUE"""),153)</f>
        <v>153</v>
      </c>
      <c r="U138" s="1">
        <f ca="1">IFERROR(__xludf.DUMMYFUNCTION("""COMPUTED_VALUE"""),493)</f>
        <v>493</v>
      </c>
      <c r="V138" s="1">
        <f ca="1">IFERROR(__xludf.DUMMYFUNCTION("""COMPUTED_VALUE"""),0.31)</f>
        <v>0.31</v>
      </c>
      <c r="W138" s="1">
        <f ca="1">IFERROR(__xludf.DUMMYFUNCTION("""COMPUTED_VALUE"""),380)</f>
        <v>380</v>
      </c>
      <c r="X138" s="1">
        <f ca="1">IFERROR(__xludf.DUMMYFUNCTION("""COMPUTED_VALUE"""),537)</f>
        <v>537</v>
      </c>
      <c r="Y138" s="1">
        <f ca="1">IFERROR(__xludf.DUMMYFUNCTION("""COMPUTED_VALUE"""),0.708)</f>
        <v>0.70799999999999996</v>
      </c>
      <c r="Z138" s="1">
        <f ca="1">IFERROR(__xludf.DUMMYFUNCTION("""COMPUTED_VALUE"""),312)</f>
        <v>312</v>
      </c>
      <c r="AA138" s="1">
        <f ca="1">IFERROR(__xludf.DUMMYFUNCTION("""COMPUTED_VALUE"""),1055)</f>
        <v>1055</v>
      </c>
      <c r="AB138" s="1">
        <f ca="1">IFERROR(__xludf.DUMMYFUNCTION("""COMPUTED_VALUE"""),346)</f>
        <v>346</v>
      </c>
      <c r="AC138" s="1">
        <f ca="1">IFERROR(__xludf.DUMMYFUNCTION("""COMPUTED_VALUE"""),153)</f>
        <v>153</v>
      </c>
      <c r="AD138" s="1">
        <f ca="1">IFERROR(__xludf.DUMMYFUNCTION("""COMPUTED_VALUE"""),124)</f>
        <v>124</v>
      </c>
      <c r="AE138" s="1">
        <f ca="1">IFERROR(__xludf.DUMMYFUNCTION("""COMPUTED_VALUE"""),414)</f>
        <v>414</v>
      </c>
      <c r="AF138" s="1">
        <f ca="1">IFERROR(__xludf.DUMMYFUNCTION("""COMPUTED_VALUE"""),568)</f>
        <v>568</v>
      </c>
    </row>
    <row r="139" spans="1:32" ht="12.5" x14ac:dyDescent="0.25">
      <c r="A139" s="1" t="str">
        <f ca="1">IFERROR(__xludf.DUMMYFUNCTION("""COMPUTED_VALUE"""),"IllinoisNCAA")</f>
        <v>IllinoisNCAA</v>
      </c>
      <c r="B139" s="1">
        <f ca="1">IFERROR(__xludf.DUMMYFUNCTION("""COMPUTED_VALUE"""),34)</f>
        <v>34</v>
      </c>
      <c r="C139" s="1">
        <f ca="1">IFERROR(__xludf.DUMMYFUNCTION("""COMPUTED_VALUE"""),20)</f>
        <v>20</v>
      </c>
      <c r="D139" s="1">
        <f ca="1">IFERROR(__xludf.DUMMYFUNCTION("""COMPUTED_VALUE"""),14)</f>
        <v>14</v>
      </c>
      <c r="E139" s="1">
        <f ca="1">IFERROR(__xludf.DUMMYFUNCTION("""COMPUTED_VALUE"""),0.588)</f>
        <v>0.58799999999999997</v>
      </c>
      <c r="F139" s="1">
        <f ca="1">IFERROR(__xludf.DUMMYFUNCTION("""COMPUTED_VALUE"""),16.72)</f>
        <v>16.72</v>
      </c>
      <c r="G139" s="1">
        <f ca="1">IFERROR(__xludf.DUMMYFUNCTION("""COMPUTED_VALUE"""),11.11)</f>
        <v>11.11</v>
      </c>
      <c r="H139" s="1">
        <f ca="1">IFERROR(__xludf.DUMMYFUNCTION("""COMPUTED_VALUE"""),9)</f>
        <v>9</v>
      </c>
      <c r="I139" s="1">
        <f ca="1">IFERROR(__xludf.DUMMYFUNCTION("""COMPUTED_VALUE"""),9)</f>
        <v>9</v>
      </c>
      <c r="J139" s="1">
        <f ca="1">IFERROR(__xludf.DUMMYFUNCTION("""COMPUTED_VALUE"""),14)</f>
        <v>14</v>
      </c>
      <c r="K139" s="1">
        <f ca="1">IFERROR(__xludf.DUMMYFUNCTION("""COMPUTED_VALUE"""),2)</f>
        <v>2</v>
      </c>
      <c r="L139" s="1">
        <f ca="1">IFERROR(__xludf.DUMMYFUNCTION("""COMPUTED_VALUE"""),3)</f>
        <v>3</v>
      </c>
      <c r="M139" s="1">
        <f ca="1">IFERROR(__xludf.DUMMYFUNCTION("""COMPUTED_VALUE"""),7)</f>
        <v>7</v>
      </c>
      <c r="N139" s="1">
        <f ca="1">IFERROR(__xludf.DUMMYFUNCTION("""COMPUTED_VALUE"""),2413)</f>
        <v>2413</v>
      </c>
      <c r="O139" s="1">
        <f ca="1">IFERROR(__xludf.DUMMYFUNCTION("""COMPUTED_VALUE"""),2222)</f>
        <v>2222</v>
      </c>
      <c r="P139" s="1">
        <f ca="1">IFERROR(__xludf.DUMMYFUNCTION("""COMPUTED_VALUE"""),1365)</f>
        <v>1365</v>
      </c>
      <c r="Q139" s="1">
        <f ca="1">IFERROR(__xludf.DUMMYFUNCTION("""COMPUTED_VALUE"""),894)</f>
        <v>894</v>
      </c>
      <c r="R139" s="1">
        <f ca="1">IFERROR(__xludf.DUMMYFUNCTION("""COMPUTED_VALUE"""),1910)</f>
        <v>1910</v>
      </c>
      <c r="S139" s="1">
        <f ca="1">IFERROR(__xludf.DUMMYFUNCTION("""COMPUTED_VALUE"""),0.468)</f>
        <v>0.46800000000000003</v>
      </c>
      <c r="T139" s="1">
        <f ca="1">IFERROR(__xludf.DUMMYFUNCTION("""COMPUTED_VALUE"""),232)</f>
        <v>232</v>
      </c>
      <c r="U139" s="1">
        <f ca="1">IFERROR(__xludf.DUMMYFUNCTION("""COMPUTED_VALUE"""),600)</f>
        <v>600</v>
      </c>
      <c r="V139" s="1">
        <f ca="1">IFERROR(__xludf.DUMMYFUNCTION("""COMPUTED_VALUE"""),0.387)</f>
        <v>0.38700000000000001</v>
      </c>
      <c r="W139" s="1">
        <f ca="1">IFERROR(__xludf.DUMMYFUNCTION("""COMPUTED_VALUE"""),393)</f>
        <v>393</v>
      </c>
      <c r="X139" s="1">
        <f ca="1">IFERROR(__xludf.DUMMYFUNCTION("""COMPUTED_VALUE"""),539)</f>
        <v>539</v>
      </c>
      <c r="Y139" s="1">
        <f ca="1">IFERROR(__xludf.DUMMYFUNCTION("""COMPUTED_VALUE"""),0.729)</f>
        <v>0.72899999999999998</v>
      </c>
      <c r="Z139" s="1">
        <f ca="1">IFERROR(__xludf.DUMMYFUNCTION("""COMPUTED_VALUE"""),342)</f>
        <v>342</v>
      </c>
      <c r="AA139" s="1">
        <f ca="1">IFERROR(__xludf.DUMMYFUNCTION("""COMPUTED_VALUE"""),1178)</f>
        <v>1178</v>
      </c>
      <c r="AB139" s="1">
        <f ca="1">IFERROR(__xludf.DUMMYFUNCTION("""COMPUTED_VALUE"""),568)</f>
        <v>568</v>
      </c>
      <c r="AC139" s="1">
        <f ca="1">IFERROR(__xludf.DUMMYFUNCTION("""COMPUTED_VALUE"""),188)</f>
        <v>188</v>
      </c>
      <c r="AD139" s="1">
        <f ca="1">IFERROR(__xludf.DUMMYFUNCTION("""COMPUTED_VALUE"""),152)</f>
        <v>152</v>
      </c>
      <c r="AE139" s="1">
        <f ca="1">IFERROR(__xludf.DUMMYFUNCTION("""COMPUTED_VALUE"""),434)</f>
        <v>434</v>
      </c>
      <c r="AF139" s="1">
        <f ca="1">IFERROR(__xludf.DUMMYFUNCTION("""COMPUTED_VALUE"""),597)</f>
        <v>597</v>
      </c>
    </row>
    <row r="140" spans="1:32" ht="12.5" x14ac:dyDescent="0.25">
      <c r="A140" s="1" t="str">
        <f ca="1">IFERROR(__xludf.DUMMYFUNCTION("""COMPUTED_VALUE"""),"Indiana StateNCAA")</f>
        <v>Indiana StateNCAA</v>
      </c>
      <c r="B140" s="1">
        <f ca="1">IFERROR(__xludf.DUMMYFUNCTION("""COMPUTED_VALUE"""),34)</f>
        <v>34</v>
      </c>
      <c r="C140" s="1">
        <f ca="1">IFERROR(__xludf.DUMMYFUNCTION("""COMPUTED_VALUE"""),20)</f>
        <v>20</v>
      </c>
      <c r="D140" s="1">
        <f ca="1">IFERROR(__xludf.DUMMYFUNCTION("""COMPUTED_VALUE"""),14)</f>
        <v>14</v>
      </c>
      <c r="E140" s="1">
        <f ca="1">IFERROR(__xludf.DUMMYFUNCTION("""COMPUTED_VALUE"""),0.588)</f>
        <v>0.58799999999999997</v>
      </c>
      <c r="F140" s="1">
        <f ca="1">IFERROR(__xludf.DUMMYFUNCTION("""COMPUTED_VALUE"""),3.41)</f>
        <v>3.41</v>
      </c>
      <c r="G140" s="1">
        <f ca="1">IFERROR(__xludf.DUMMYFUNCTION("""COMPUTED_VALUE"""),2.9)</f>
        <v>2.9</v>
      </c>
      <c r="H140" s="1">
        <f ca="1">IFERROR(__xludf.DUMMYFUNCTION("""COMPUTED_VALUE"""),12)</f>
        <v>12</v>
      </c>
      <c r="I140" s="1">
        <f ca="1">IFERROR(__xludf.DUMMYFUNCTION("""COMPUTED_VALUE"""),6)</f>
        <v>6</v>
      </c>
      <c r="J140" s="1">
        <f ca="1">IFERROR(__xludf.DUMMYFUNCTION("""COMPUTED_VALUE"""),10)</f>
        <v>10</v>
      </c>
      <c r="K140" s="1">
        <f ca="1">IFERROR(__xludf.DUMMYFUNCTION("""COMPUTED_VALUE"""),3)</f>
        <v>3</v>
      </c>
      <c r="L140" s="1">
        <f ca="1">IFERROR(__xludf.DUMMYFUNCTION("""COMPUTED_VALUE"""),6)</f>
        <v>6</v>
      </c>
      <c r="M140" s="1">
        <f ca="1">IFERROR(__xludf.DUMMYFUNCTION("""COMPUTED_VALUE"""),8)</f>
        <v>8</v>
      </c>
      <c r="N140" s="1">
        <f ca="1">IFERROR(__xludf.DUMMYFUNCTION("""COMPUTED_VALUE"""),2253)</f>
        <v>2253</v>
      </c>
      <c r="O140" s="1">
        <f ca="1">IFERROR(__xludf.DUMMYFUNCTION("""COMPUTED_VALUE"""),2192)</f>
        <v>2192</v>
      </c>
      <c r="P140" s="1">
        <f ca="1">IFERROR(__xludf.DUMMYFUNCTION("""COMPUTED_VALUE"""),1380)</f>
        <v>1380</v>
      </c>
      <c r="Q140" s="1">
        <f ca="1">IFERROR(__xludf.DUMMYFUNCTION("""COMPUTED_VALUE"""),769)</f>
        <v>769</v>
      </c>
      <c r="R140" s="1">
        <f ca="1">IFERROR(__xludf.DUMMYFUNCTION("""COMPUTED_VALUE"""),1793)</f>
        <v>1793</v>
      </c>
      <c r="S140" s="1">
        <f ca="1">IFERROR(__xludf.DUMMYFUNCTION("""COMPUTED_VALUE"""),0.429)</f>
        <v>0.42899999999999999</v>
      </c>
      <c r="T140" s="1">
        <f ca="1">IFERROR(__xludf.DUMMYFUNCTION("""COMPUTED_VALUE"""),235)</f>
        <v>235</v>
      </c>
      <c r="U140" s="1">
        <f ca="1">IFERROR(__xludf.DUMMYFUNCTION("""COMPUTED_VALUE"""),649)</f>
        <v>649</v>
      </c>
      <c r="V140" s="1">
        <f ca="1">IFERROR(__xludf.DUMMYFUNCTION("""COMPUTED_VALUE"""),0.362)</f>
        <v>0.36199999999999999</v>
      </c>
      <c r="W140" s="1">
        <f ca="1">IFERROR(__xludf.DUMMYFUNCTION("""COMPUTED_VALUE"""),480)</f>
        <v>480</v>
      </c>
      <c r="X140" s="1">
        <f ca="1">IFERROR(__xludf.DUMMYFUNCTION("""COMPUTED_VALUE"""),676)</f>
        <v>676</v>
      </c>
      <c r="Y140" s="1">
        <f ca="1">IFERROR(__xludf.DUMMYFUNCTION("""COMPUTED_VALUE"""),0.71)</f>
        <v>0.71</v>
      </c>
      <c r="Z140" s="1">
        <f ca="1">IFERROR(__xludf.DUMMYFUNCTION("""COMPUTED_VALUE"""),352)</f>
        <v>352</v>
      </c>
      <c r="AA140" s="1">
        <f ca="1">IFERROR(__xludf.DUMMYFUNCTION("""COMPUTED_VALUE"""),1172)</f>
        <v>1172</v>
      </c>
      <c r="AB140" s="1">
        <f ca="1">IFERROR(__xludf.DUMMYFUNCTION("""COMPUTED_VALUE"""),431)</f>
        <v>431</v>
      </c>
      <c r="AC140" s="1">
        <f ca="1">IFERROR(__xludf.DUMMYFUNCTION("""COMPUTED_VALUE"""),212)</f>
        <v>212</v>
      </c>
      <c r="AD140" s="1">
        <f ca="1">IFERROR(__xludf.DUMMYFUNCTION("""COMPUTED_VALUE"""),145)</f>
        <v>145</v>
      </c>
      <c r="AE140" s="1">
        <f ca="1">IFERROR(__xludf.DUMMYFUNCTION("""COMPUTED_VALUE"""),477)</f>
        <v>477</v>
      </c>
      <c r="AF140" s="1">
        <f ca="1">IFERROR(__xludf.DUMMYFUNCTION("""COMPUTED_VALUE"""),684)</f>
        <v>684</v>
      </c>
    </row>
    <row r="141" spans="1:32" ht="12.5" x14ac:dyDescent="0.25">
      <c r="A141" s="1" t="str">
        <f ca="1">IFERROR(__xludf.DUMMYFUNCTION("""COMPUTED_VALUE"""),"Indiana")</f>
        <v>Indiana</v>
      </c>
      <c r="B141" s="1">
        <f ca="1">IFERROR(__xludf.DUMMYFUNCTION("""COMPUTED_VALUE"""),32)</f>
        <v>32</v>
      </c>
      <c r="C141" s="1">
        <f ca="1">IFERROR(__xludf.DUMMYFUNCTION("""COMPUTED_VALUE"""),12)</f>
        <v>12</v>
      </c>
      <c r="D141" s="1">
        <f ca="1">IFERROR(__xludf.DUMMYFUNCTION("""COMPUTED_VALUE"""),20)</f>
        <v>20</v>
      </c>
      <c r="E141" s="1">
        <f ca="1">IFERROR(__xludf.DUMMYFUNCTION("""COMPUTED_VALUE"""),0.375)</f>
        <v>0.375</v>
      </c>
      <c r="F141" s="1">
        <f ca="1">IFERROR(__xludf.DUMMYFUNCTION("""COMPUTED_VALUE"""),9.03)</f>
        <v>9.0299999999999994</v>
      </c>
      <c r="G141" s="1">
        <f ca="1">IFERROR(__xludf.DUMMYFUNCTION("""COMPUTED_VALUE"""),7.65)</f>
        <v>7.65</v>
      </c>
      <c r="H141" s="1">
        <f ca="1">IFERROR(__xludf.DUMMYFUNCTION("""COMPUTED_VALUE"""),3)</f>
        <v>3</v>
      </c>
      <c r="I141" s="1">
        <f ca="1">IFERROR(__xludf.DUMMYFUNCTION("""COMPUTED_VALUE"""),15)</f>
        <v>15</v>
      </c>
      <c r="J141" s="1">
        <f ca="1">IFERROR(__xludf.DUMMYFUNCTION("""COMPUTED_VALUE"""),12)</f>
        <v>12</v>
      </c>
      <c r="K141" s="1">
        <f ca="1">IFERROR(__xludf.DUMMYFUNCTION("""COMPUTED_VALUE"""),6)</f>
        <v>6</v>
      </c>
      <c r="L141" s="1">
        <f ca="1">IFERROR(__xludf.DUMMYFUNCTION("""COMPUTED_VALUE"""),0)</f>
        <v>0</v>
      </c>
      <c r="M141" s="1">
        <f ca="1">IFERROR(__xludf.DUMMYFUNCTION("""COMPUTED_VALUE"""),11)</f>
        <v>11</v>
      </c>
      <c r="N141" s="1">
        <f ca="1">IFERROR(__xludf.DUMMYFUNCTION("""COMPUTED_VALUE"""),2226)</f>
        <v>2226</v>
      </c>
      <c r="O141" s="1">
        <f ca="1">IFERROR(__xludf.DUMMYFUNCTION("""COMPUTED_VALUE"""),2182)</f>
        <v>2182</v>
      </c>
      <c r="P141" s="1">
        <f ca="1">IFERROR(__xludf.DUMMYFUNCTION("""COMPUTED_VALUE"""),1285)</f>
        <v>1285</v>
      </c>
      <c r="Q141" s="1">
        <f ca="1">IFERROR(__xludf.DUMMYFUNCTION("""COMPUTED_VALUE"""),789)</f>
        <v>789</v>
      </c>
      <c r="R141" s="1">
        <f ca="1">IFERROR(__xludf.DUMMYFUNCTION("""COMPUTED_VALUE"""),1713)</f>
        <v>1713</v>
      </c>
      <c r="S141" s="1">
        <f ca="1">IFERROR(__xludf.DUMMYFUNCTION("""COMPUTED_VALUE"""),0.461)</f>
        <v>0.46100000000000002</v>
      </c>
      <c r="T141" s="1">
        <f ca="1">IFERROR(__xludf.DUMMYFUNCTION("""COMPUTED_VALUE"""),189)</f>
        <v>189</v>
      </c>
      <c r="U141" s="1">
        <f ca="1">IFERROR(__xludf.DUMMYFUNCTION("""COMPUTED_VALUE"""),546)</f>
        <v>546</v>
      </c>
      <c r="V141" s="1">
        <f ca="1">IFERROR(__xludf.DUMMYFUNCTION("""COMPUTED_VALUE"""),0.346)</f>
        <v>0.34599999999999997</v>
      </c>
      <c r="W141" s="1">
        <f ca="1">IFERROR(__xludf.DUMMYFUNCTION("""COMPUTED_VALUE"""),459)</f>
        <v>459</v>
      </c>
      <c r="X141" s="1">
        <f ca="1">IFERROR(__xludf.DUMMYFUNCTION("""COMPUTED_VALUE"""),632)</f>
        <v>632</v>
      </c>
      <c r="Y141" s="1">
        <f ca="1">IFERROR(__xludf.DUMMYFUNCTION("""COMPUTED_VALUE"""),0.726)</f>
        <v>0.72599999999999998</v>
      </c>
      <c r="Z141" s="1">
        <f ca="1">IFERROR(__xludf.DUMMYFUNCTION("""COMPUTED_VALUE"""),339)</f>
        <v>339</v>
      </c>
      <c r="AA141" s="1">
        <f ca="1">IFERROR(__xludf.DUMMYFUNCTION("""COMPUTED_VALUE"""),1049)</f>
        <v>1049</v>
      </c>
      <c r="AB141" s="1">
        <f ca="1">IFERROR(__xludf.DUMMYFUNCTION("""COMPUTED_VALUE"""),393)</f>
        <v>393</v>
      </c>
      <c r="AC141" s="1">
        <f ca="1">IFERROR(__xludf.DUMMYFUNCTION("""COMPUTED_VALUE"""),201)</f>
        <v>201</v>
      </c>
      <c r="AD141" s="1">
        <f ca="1">IFERROR(__xludf.DUMMYFUNCTION("""COMPUTED_VALUE"""),84)</f>
        <v>84</v>
      </c>
      <c r="AE141" s="1">
        <f ca="1">IFERROR(__xludf.DUMMYFUNCTION("""COMPUTED_VALUE"""),415)</f>
        <v>415</v>
      </c>
      <c r="AF141" s="1">
        <f ca="1">IFERROR(__xludf.DUMMYFUNCTION("""COMPUTED_VALUE"""),685)</f>
        <v>685</v>
      </c>
    </row>
    <row r="142" spans="1:32" ht="12.5" x14ac:dyDescent="0.25">
      <c r="A142" s="1" t="str">
        <f ca="1">IFERROR(__xludf.DUMMYFUNCTION("""COMPUTED_VALUE"""),"Iona")</f>
        <v>Iona</v>
      </c>
      <c r="B142" s="1">
        <f ca="1">IFERROR(__xludf.DUMMYFUNCTION("""COMPUTED_VALUE"""),37)</f>
        <v>37</v>
      </c>
      <c r="C142" s="1">
        <f ca="1">IFERROR(__xludf.DUMMYFUNCTION("""COMPUTED_VALUE"""),25)</f>
        <v>25</v>
      </c>
      <c r="D142" s="1">
        <f ca="1">IFERROR(__xludf.DUMMYFUNCTION("""COMPUTED_VALUE"""),12)</f>
        <v>12</v>
      </c>
      <c r="E142" s="1">
        <f ca="1">IFERROR(__xludf.DUMMYFUNCTION("""COMPUTED_VALUE"""),0.676)</f>
        <v>0.67600000000000005</v>
      </c>
      <c r="F142" s="1">
        <f ca="1">IFERROR(__xludf.DUMMYFUNCTION("""COMPUTED_VALUE"""),7.01)</f>
        <v>7.01</v>
      </c>
      <c r="G142" s="1">
        <f ca="1">IFERROR(__xludf.DUMMYFUNCTION("""COMPUTED_VALUE"""),-2.26)</f>
        <v>-2.2599999999999998</v>
      </c>
      <c r="H142" s="1">
        <f ca="1">IFERROR(__xludf.DUMMYFUNCTION("""COMPUTED_VALUE"""),13)</f>
        <v>13</v>
      </c>
      <c r="I142" s="1">
        <f ca="1">IFERROR(__xludf.DUMMYFUNCTION("""COMPUTED_VALUE"""),5)</f>
        <v>5</v>
      </c>
      <c r="J142" s="1">
        <f ca="1">IFERROR(__xludf.DUMMYFUNCTION("""COMPUTED_VALUE"""),12)</f>
        <v>12</v>
      </c>
      <c r="K142" s="1">
        <f ca="1">IFERROR(__xludf.DUMMYFUNCTION("""COMPUTED_VALUE"""),3)</f>
        <v>3</v>
      </c>
      <c r="L142" s="1">
        <f ca="1">IFERROR(__xludf.DUMMYFUNCTION("""COMPUTED_VALUE"""),11)</f>
        <v>11</v>
      </c>
      <c r="M142" s="1">
        <f ca="1">IFERROR(__xludf.DUMMYFUNCTION("""COMPUTED_VALUE"""),6)</f>
        <v>6</v>
      </c>
      <c r="N142" s="1">
        <f ca="1">IFERROR(__xludf.DUMMYFUNCTION("""COMPUTED_VALUE"""),2922)</f>
        <v>2922</v>
      </c>
      <c r="O142" s="1">
        <f ca="1">IFERROR(__xludf.DUMMYFUNCTION("""COMPUTED_VALUE"""),2579)</f>
        <v>2579</v>
      </c>
      <c r="P142" s="1">
        <f ca="1">IFERROR(__xludf.DUMMYFUNCTION("""COMPUTED_VALUE"""),1500)</f>
        <v>1500</v>
      </c>
      <c r="Q142" s="1">
        <f ca="1">IFERROR(__xludf.DUMMYFUNCTION("""COMPUTED_VALUE"""),1048)</f>
        <v>1048</v>
      </c>
      <c r="R142" s="1">
        <f ca="1">IFERROR(__xludf.DUMMYFUNCTION("""COMPUTED_VALUE"""),2200)</f>
        <v>2200</v>
      </c>
      <c r="S142" s="1">
        <f ca="1">IFERROR(__xludf.DUMMYFUNCTION("""COMPUTED_VALUE"""),0.476)</f>
        <v>0.47599999999999998</v>
      </c>
      <c r="T142" s="1">
        <f ca="1">IFERROR(__xludf.DUMMYFUNCTION("""COMPUTED_VALUE"""),298)</f>
        <v>298</v>
      </c>
      <c r="U142" s="1">
        <f ca="1">IFERROR(__xludf.DUMMYFUNCTION("""COMPUTED_VALUE"""),795)</f>
        <v>795</v>
      </c>
      <c r="V142" s="1">
        <f ca="1">IFERROR(__xludf.DUMMYFUNCTION("""COMPUTED_VALUE"""),0.375)</f>
        <v>0.375</v>
      </c>
      <c r="W142" s="1">
        <f ca="1">IFERROR(__xludf.DUMMYFUNCTION("""COMPUTED_VALUE"""),528)</f>
        <v>528</v>
      </c>
      <c r="X142" s="1">
        <f ca="1">IFERROR(__xludf.DUMMYFUNCTION("""COMPUTED_VALUE"""),804)</f>
        <v>804</v>
      </c>
      <c r="Y142" s="1">
        <f ca="1">IFERROR(__xludf.DUMMYFUNCTION("""COMPUTED_VALUE"""),0.657)</f>
        <v>0.65700000000000003</v>
      </c>
      <c r="Z142" s="1">
        <f ca="1">IFERROR(__xludf.DUMMYFUNCTION("""COMPUTED_VALUE"""),435)</f>
        <v>435</v>
      </c>
      <c r="AA142" s="1">
        <f ca="1">IFERROR(__xludf.DUMMYFUNCTION("""COMPUTED_VALUE"""),1340)</f>
        <v>1340</v>
      </c>
      <c r="AB142" s="1">
        <f ca="1">IFERROR(__xludf.DUMMYFUNCTION("""COMPUTED_VALUE"""),645)</f>
        <v>645</v>
      </c>
      <c r="AC142" s="1">
        <f ca="1">IFERROR(__xludf.DUMMYFUNCTION("""COMPUTED_VALUE"""),278)</f>
        <v>278</v>
      </c>
      <c r="AD142" s="1">
        <f ca="1">IFERROR(__xludf.DUMMYFUNCTION("""COMPUTED_VALUE"""),122)</f>
        <v>122</v>
      </c>
      <c r="AE142" s="1">
        <f ca="1">IFERROR(__xludf.DUMMYFUNCTION("""COMPUTED_VALUE"""),468)</f>
        <v>468</v>
      </c>
      <c r="AF142" s="1">
        <f ca="1">IFERROR(__xludf.DUMMYFUNCTION("""COMPUTED_VALUE"""),665)</f>
        <v>665</v>
      </c>
    </row>
    <row r="143" spans="1:32" ht="12.5" x14ac:dyDescent="0.25">
      <c r="A143" s="1" t="str">
        <f ca="1">IFERROR(__xludf.DUMMYFUNCTION("""COMPUTED_VALUE"""),"Iowa State")</f>
        <v>Iowa State</v>
      </c>
      <c r="B143" s="1">
        <f ca="1">IFERROR(__xludf.DUMMYFUNCTION("""COMPUTED_VALUE"""),32)</f>
        <v>32</v>
      </c>
      <c r="C143" s="1">
        <f ca="1">IFERROR(__xludf.DUMMYFUNCTION("""COMPUTED_VALUE"""),16)</f>
        <v>16</v>
      </c>
      <c r="D143" s="1">
        <f ca="1">IFERROR(__xludf.DUMMYFUNCTION("""COMPUTED_VALUE"""),16)</f>
        <v>16</v>
      </c>
      <c r="E143" s="1">
        <f ca="1">IFERROR(__xludf.DUMMYFUNCTION("""COMPUTED_VALUE"""),0.5)</f>
        <v>0.5</v>
      </c>
      <c r="F143" s="1">
        <f ca="1">IFERROR(__xludf.DUMMYFUNCTION("""COMPUTED_VALUE"""),8.86)</f>
        <v>8.86</v>
      </c>
      <c r="G143" s="1">
        <f ca="1">IFERROR(__xludf.DUMMYFUNCTION("""COMPUTED_VALUE"""),4.55)</f>
        <v>4.55</v>
      </c>
      <c r="H143" s="1">
        <f ca="1">IFERROR(__xludf.DUMMYFUNCTION("""COMPUTED_VALUE"""),3)</f>
        <v>3</v>
      </c>
      <c r="I143" s="1">
        <f ca="1">IFERROR(__xludf.DUMMYFUNCTION("""COMPUTED_VALUE"""),13)</f>
        <v>13</v>
      </c>
      <c r="J143" s="1">
        <f ca="1">IFERROR(__xludf.DUMMYFUNCTION("""COMPUTED_VALUE"""),13)</f>
        <v>13</v>
      </c>
      <c r="K143" s="1">
        <f ca="1">IFERROR(__xludf.DUMMYFUNCTION("""COMPUTED_VALUE"""),6)</f>
        <v>6</v>
      </c>
      <c r="L143" s="1">
        <f ca="1">IFERROR(__xludf.DUMMYFUNCTION("""COMPUTED_VALUE"""),2)</f>
        <v>2</v>
      </c>
      <c r="M143" s="1">
        <f ca="1">IFERROR(__xludf.DUMMYFUNCTION("""COMPUTED_VALUE"""),9)</f>
        <v>9</v>
      </c>
      <c r="N143" s="1">
        <f ca="1">IFERROR(__xludf.DUMMYFUNCTION("""COMPUTED_VALUE"""),2395)</f>
        <v>2395</v>
      </c>
      <c r="O143" s="1">
        <f ca="1">IFERROR(__xludf.DUMMYFUNCTION("""COMPUTED_VALUE"""),2257)</f>
        <v>2257</v>
      </c>
      <c r="P143" s="1">
        <f ca="1">IFERROR(__xludf.DUMMYFUNCTION("""COMPUTED_VALUE"""),1295)</f>
        <v>1295</v>
      </c>
      <c r="Q143" s="1">
        <f ca="1">IFERROR(__xludf.DUMMYFUNCTION("""COMPUTED_VALUE"""),870)</f>
        <v>870</v>
      </c>
      <c r="R143" s="1">
        <f ca="1">IFERROR(__xludf.DUMMYFUNCTION("""COMPUTED_VALUE"""),1993)</f>
        <v>1993</v>
      </c>
      <c r="S143" s="1">
        <f ca="1">IFERROR(__xludf.DUMMYFUNCTION("""COMPUTED_VALUE"""),0.437)</f>
        <v>0.437</v>
      </c>
      <c r="T143" s="1">
        <f ca="1">IFERROR(__xludf.DUMMYFUNCTION("""COMPUTED_VALUE"""),275)</f>
        <v>275</v>
      </c>
      <c r="U143" s="1">
        <f ca="1">IFERROR(__xludf.DUMMYFUNCTION("""COMPUTED_VALUE"""),747)</f>
        <v>747</v>
      </c>
      <c r="V143" s="1">
        <f ca="1">IFERROR(__xludf.DUMMYFUNCTION("""COMPUTED_VALUE"""),0.368)</f>
        <v>0.36799999999999999</v>
      </c>
      <c r="W143" s="1">
        <f ca="1">IFERROR(__xludf.DUMMYFUNCTION("""COMPUTED_VALUE"""),380)</f>
        <v>380</v>
      </c>
      <c r="X143" s="1">
        <f ca="1">IFERROR(__xludf.DUMMYFUNCTION("""COMPUTED_VALUE"""),527)</f>
        <v>527</v>
      </c>
      <c r="Y143" s="1">
        <f ca="1">IFERROR(__xludf.DUMMYFUNCTION("""COMPUTED_VALUE"""),0.721)</f>
        <v>0.72099999999999997</v>
      </c>
      <c r="Z143" s="1">
        <f ca="1">IFERROR(__xludf.DUMMYFUNCTION("""COMPUTED_VALUE"""),352)</f>
        <v>352</v>
      </c>
      <c r="AA143" s="1">
        <f ca="1">IFERROR(__xludf.DUMMYFUNCTION("""COMPUTED_VALUE"""),1171)</f>
        <v>1171</v>
      </c>
      <c r="AB143" s="1">
        <f ca="1">IFERROR(__xludf.DUMMYFUNCTION("""COMPUTED_VALUE"""),480)</f>
        <v>480</v>
      </c>
      <c r="AC143" s="1">
        <f ca="1">IFERROR(__xludf.DUMMYFUNCTION("""COMPUTED_VALUE"""),216)</f>
        <v>216</v>
      </c>
      <c r="AD143" s="1">
        <f ca="1">IFERROR(__xludf.DUMMYFUNCTION("""COMPUTED_VALUE"""),118)</f>
        <v>118</v>
      </c>
      <c r="AE143" s="1">
        <f ca="1">IFERROR(__xludf.DUMMYFUNCTION("""COMPUTED_VALUE"""),401)</f>
        <v>401</v>
      </c>
      <c r="AF143" s="1">
        <f ca="1">IFERROR(__xludf.DUMMYFUNCTION("""COMPUTED_VALUE"""),524)</f>
        <v>524</v>
      </c>
    </row>
    <row r="144" spans="1:32" ht="12.5" x14ac:dyDescent="0.25">
      <c r="A144" s="1" t="str">
        <f ca="1">IFERROR(__xludf.DUMMYFUNCTION("""COMPUTED_VALUE"""),"Iowa")</f>
        <v>Iowa</v>
      </c>
      <c r="B144" s="1">
        <f ca="1">IFERROR(__xludf.DUMMYFUNCTION("""COMPUTED_VALUE"""),31)</f>
        <v>31</v>
      </c>
      <c r="C144" s="1">
        <f ca="1">IFERROR(__xludf.DUMMYFUNCTION("""COMPUTED_VALUE"""),11)</f>
        <v>11</v>
      </c>
      <c r="D144" s="1">
        <f ca="1">IFERROR(__xludf.DUMMYFUNCTION("""COMPUTED_VALUE"""),20)</f>
        <v>20</v>
      </c>
      <c r="E144" s="1">
        <f ca="1">IFERROR(__xludf.DUMMYFUNCTION("""COMPUTED_VALUE"""),0.355)</f>
        <v>0.35499999999999998</v>
      </c>
      <c r="F144" s="1">
        <f ca="1">IFERROR(__xludf.DUMMYFUNCTION("""COMPUTED_VALUE"""),7.95)</f>
        <v>7.95</v>
      </c>
      <c r="G144" s="1">
        <f ca="1">IFERROR(__xludf.DUMMYFUNCTION("""COMPUTED_VALUE"""),8.79)</f>
        <v>8.7899999999999991</v>
      </c>
      <c r="H144" s="1">
        <f ca="1">IFERROR(__xludf.DUMMYFUNCTION("""COMPUTED_VALUE"""),4)</f>
        <v>4</v>
      </c>
      <c r="I144" s="1">
        <f ca="1">IFERROR(__xludf.DUMMYFUNCTION("""COMPUTED_VALUE"""),14)</f>
        <v>14</v>
      </c>
      <c r="J144" s="1">
        <f ca="1">IFERROR(__xludf.DUMMYFUNCTION("""COMPUTED_VALUE"""),8)</f>
        <v>8</v>
      </c>
      <c r="K144" s="1">
        <f ca="1">IFERROR(__xludf.DUMMYFUNCTION("""COMPUTED_VALUE"""),8)</f>
        <v>8</v>
      </c>
      <c r="L144" s="1">
        <f ca="1">IFERROR(__xludf.DUMMYFUNCTION("""COMPUTED_VALUE"""),2)</f>
        <v>2</v>
      </c>
      <c r="M144" s="1">
        <f ca="1">IFERROR(__xludf.DUMMYFUNCTION("""COMPUTED_VALUE"""),9)</f>
        <v>9</v>
      </c>
      <c r="N144" s="1">
        <f ca="1">IFERROR(__xludf.DUMMYFUNCTION("""COMPUTED_VALUE"""),2084)</f>
        <v>2084</v>
      </c>
      <c r="O144" s="1">
        <f ca="1">IFERROR(__xludf.DUMMYFUNCTION("""COMPUTED_VALUE"""),2110)</f>
        <v>2110</v>
      </c>
      <c r="P144" s="1">
        <f ca="1">IFERROR(__xludf.DUMMYFUNCTION("""COMPUTED_VALUE"""),1250)</f>
        <v>1250</v>
      </c>
      <c r="Q144" s="1">
        <f ca="1">IFERROR(__xludf.DUMMYFUNCTION("""COMPUTED_VALUE"""),766)</f>
        <v>766</v>
      </c>
      <c r="R144" s="1">
        <f ca="1">IFERROR(__xludf.DUMMYFUNCTION("""COMPUTED_VALUE"""),1743)</f>
        <v>1743</v>
      </c>
      <c r="S144" s="1">
        <f ca="1">IFERROR(__xludf.DUMMYFUNCTION("""COMPUTED_VALUE"""),0.439)</f>
        <v>0.439</v>
      </c>
      <c r="T144" s="1">
        <f ca="1">IFERROR(__xludf.DUMMYFUNCTION("""COMPUTED_VALUE"""),146)</f>
        <v>146</v>
      </c>
      <c r="U144" s="1">
        <f ca="1">IFERROR(__xludf.DUMMYFUNCTION("""COMPUTED_VALUE"""),465)</f>
        <v>465</v>
      </c>
      <c r="V144" s="1">
        <f ca="1">IFERROR(__xludf.DUMMYFUNCTION("""COMPUTED_VALUE"""),0.314)</f>
        <v>0.314</v>
      </c>
      <c r="W144" s="1">
        <f ca="1">IFERROR(__xludf.DUMMYFUNCTION("""COMPUTED_VALUE"""),406)</f>
        <v>406</v>
      </c>
      <c r="X144" s="1">
        <f ca="1">IFERROR(__xludf.DUMMYFUNCTION("""COMPUTED_VALUE"""),601)</f>
        <v>601</v>
      </c>
      <c r="Y144" s="1">
        <f ca="1">IFERROR(__xludf.DUMMYFUNCTION("""COMPUTED_VALUE"""),0.676)</f>
        <v>0.67600000000000005</v>
      </c>
      <c r="Z144" s="1">
        <f ca="1">IFERROR(__xludf.DUMMYFUNCTION("""COMPUTED_VALUE"""),371)</f>
        <v>371</v>
      </c>
      <c r="AA144" s="1">
        <f ca="1">IFERROR(__xludf.DUMMYFUNCTION("""COMPUTED_VALUE"""),1085)</f>
        <v>1085</v>
      </c>
      <c r="AB144" s="1">
        <f ca="1">IFERROR(__xludf.DUMMYFUNCTION("""COMPUTED_VALUE"""),423)</f>
        <v>423</v>
      </c>
      <c r="AC144" s="1">
        <f ca="1">IFERROR(__xludf.DUMMYFUNCTION("""COMPUTED_VALUE"""),208)</f>
        <v>208</v>
      </c>
      <c r="AD144" s="1">
        <f ca="1">IFERROR(__xludf.DUMMYFUNCTION("""COMPUTED_VALUE"""),89)</f>
        <v>89</v>
      </c>
      <c r="AE144" s="1">
        <f ca="1">IFERROR(__xludf.DUMMYFUNCTION("""COMPUTED_VALUE"""),447)</f>
        <v>447</v>
      </c>
      <c r="AF144" s="1">
        <f ca="1">IFERROR(__xludf.DUMMYFUNCTION("""COMPUTED_VALUE"""),511)</f>
        <v>511</v>
      </c>
    </row>
    <row r="145" spans="1:32" ht="12.5" x14ac:dyDescent="0.25">
      <c r="A145" s="1" t="str">
        <f ca="1">IFERROR(__xludf.DUMMYFUNCTION("""COMPUTED_VALUE"""),"Purdue-Fort Wayne")</f>
        <v>Purdue-Fort Wayne</v>
      </c>
      <c r="B145" s="1">
        <f ca="1">IFERROR(__xludf.DUMMYFUNCTION("""COMPUTED_VALUE"""),30)</f>
        <v>30</v>
      </c>
      <c r="C145" s="1">
        <f ca="1">IFERROR(__xludf.DUMMYFUNCTION("""COMPUTED_VALUE"""),18)</f>
        <v>18</v>
      </c>
      <c r="D145" s="1">
        <f ca="1">IFERROR(__xludf.DUMMYFUNCTION("""COMPUTED_VALUE"""),12)</f>
        <v>12</v>
      </c>
      <c r="E145" s="1">
        <f ca="1">IFERROR(__xludf.DUMMYFUNCTION("""COMPUTED_VALUE"""),0.6)</f>
        <v>0.6</v>
      </c>
      <c r="F145" s="1">
        <f ca="1">IFERROR(__xludf.DUMMYFUNCTION("""COMPUTED_VALUE"""),-2.17)</f>
        <v>-2.17</v>
      </c>
      <c r="G145" s="1">
        <f ca="1">IFERROR(__xludf.DUMMYFUNCTION("""COMPUTED_VALUE"""),-5.17)</f>
        <v>-5.17</v>
      </c>
      <c r="H145" s="1">
        <f ca="1">IFERROR(__xludf.DUMMYFUNCTION("""COMPUTED_VALUE"""),11)</f>
        <v>11</v>
      </c>
      <c r="I145" s="1">
        <f ca="1">IFERROR(__xludf.DUMMYFUNCTION("""COMPUTED_VALUE"""),7)</f>
        <v>7</v>
      </c>
      <c r="J145" s="1">
        <f ca="1">IFERROR(__xludf.DUMMYFUNCTION("""COMPUTED_VALUE"""),11)</f>
        <v>11</v>
      </c>
      <c r="K145" s="1">
        <f ca="1">IFERROR(__xludf.DUMMYFUNCTION("""COMPUTED_VALUE"""),3)</f>
        <v>3</v>
      </c>
      <c r="L145" s="1">
        <f ca="1">IFERROR(__xludf.DUMMYFUNCTION("""COMPUTED_VALUE"""),7)</f>
        <v>7</v>
      </c>
      <c r="M145" s="1">
        <f ca="1">IFERROR(__xludf.DUMMYFUNCTION("""COMPUTED_VALUE"""),8)</f>
        <v>8</v>
      </c>
      <c r="N145" s="1">
        <f ca="1">IFERROR(__xludf.DUMMYFUNCTION("""COMPUTED_VALUE"""),2230)</f>
        <v>2230</v>
      </c>
      <c r="O145" s="1">
        <f ca="1">IFERROR(__xludf.DUMMYFUNCTION("""COMPUTED_VALUE"""),2103)</f>
        <v>2103</v>
      </c>
      <c r="P145" s="1">
        <f ca="1">IFERROR(__xludf.DUMMYFUNCTION("""COMPUTED_VALUE"""),1210)</f>
        <v>1210</v>
      </c>
      <c r="Q145" s="1">
        <f ca="1">IFERROR(__xludf.DUMMYFUNCTION("""COMPUTED_VALUE"""),766)</f>
        <v>766</v>
      </c>
      <c r="R145" s="1">
        <f ca="1">IFERROR(__xludf.DUMMYFUNCTION("""COMPUTED_VALUE"""),1676)</f>
        <v>1676</v>
      </c>
      <c r="S145" s="1">
        <f ca="1">IFERROR(__xludf.DUMMYFUNCTION("""COMPUTED_VALUE"""),0.457)</f>
        <v>0.45700000000000002</v>
      </c>
      <c r="T145" s="1">
        <f ca="1">IFERROR(__xludf.DUMMYFUNCTION("""COMPUTED_VALUE"""),240)</f>
        <v>240</v>
      </c>
      <c r="U145" s="1">
        <f ca="1">IFERROR(__xludf.DUMMYFUNCTION("""COMPUTED_VALUE"""),624)</f>
        <v>624</v>
      </c>
      <c r="V145" s="1">
        <f ca="1">IFERROR(__xludf.DUMMYFUNCTION("""COMPUTED_VALUE"""),0.385)</f>
        <v>0.38500000000000001</v>
      </c>
      <c r="W145" s="1">
        <f ca="1">IFERROR(__xludf.DUMMYFUNCTION("""COMPUTED_VALUE"""),458)</f>
        <v>458</v>
      </c>
      <c r="X145" s="1">
        <f ca="1">IFERROR(__xludf.DUMMYFUNCTION("""COMPUTED_VALUE"""),593)</f>
        <v>593</v>
      </c>
      <c r="Y145" s="1">
        <f ca="1">IFERROR(__xludf.DUMMYFUNCTION("""COMPUTED_VALUE"""),0.772)</f>
        <v>0.77200000000000002</v>
      </c>
      <c r="Z145" s="1">
        <f ca="1">IFERROR(__xludf.DUMMYFUNCTION("""COMPUTED_VALUE"""),280)</f>
        <v>280</v>
      </c>
      <c r="AA145" s="1">
        <f ca="1">IFERROR(__xludf.DUMMYFUNCTION("""COMPUTED_VALUE"""),953)</f>
        <v>953</v>
      </c>
      <c r="AB145" s="1">
        <f ca="1">IFERROR(__xludf.DUMMYFUNCTION("""COMPUTED_VALUE"""),436)</f>
        <v>436</v>
      </c>
      <c r="AC145" s="1">
        <f ca="1">IFERROR(__xludf.DUMMYFUNCTION("""COMPUTED_VALUE"""),151)</f>
        <v>151</v>
      </c>
      <c r="AD145" s="1">
        <f ca="1">IFERROR(__xludf.DUMMYFUNCTION("""COMPUTED_VALUE"""),90)</f>
        <v>90</v>
      </c>
      <c r="AE145" s="1">
        <f ca="1">IFERROR(__xludf.DUMMYFUNCTION("""COMPUTED_VALUE"""),365)</f>
        <v>365</v>
      </c>
      <c r="AF145" s="1">
        <f ca="1">IFERROR(__xludf.DUMMYFUNCTION("""COMPUTED_VALUE"""),646)</f>
        <v>646</v>
      </c>
    </row>
    <row r="146" spans="1:32" ht="12.5" x14ac:dyDescent="0.25">
      <c r="A146" s="1" t="str">
        <f ca="1">IFERROR(__xludf.DUMMYFUNCTION("""COMPUTED_VALUE"""),"IUPUI")</f>
        <v>IUPUI</v>
      </c>
      <c r="B146" s="1">
        <f ca="1">IFERROR(__xludf.DUMMYFUNCTION("""COMPUTED_VALUE"""),33)</f>
        <v>33</v>
      </c>
      <c r="C146" s="1">
        <f ca="1">IFERROR(__xludf.DUMMYFUNCTION("""COMPUTED_VALUE"""),19)</f>
        <v>19</v>
      </c>
      <c r="D146" s="1">
        <f ca="1">IFERROR(__xludf.DUMMYFUNCTION("""COMPUTED_VALUE"""),14)</f>
        <v>14</v>
      </c>
      <c r="E146" s="1">
        <f ca="1">IFERROR(__xludf.DUMMYFUNCTION("""COMPUTED_VALUE"""),0.576)</f>
        <v>0.57599999999999996</v>
      </c>
      <c r="F146" s="1">
        <f ca="1">IFERROR(__xludf.DUMMYFUNCTION("""COMPUTED_VALUE"""),0.39)</f>
        <v>0.39</v>
      </c>
      <c r="G146" s="1">
        <f ca="1">IFERROR(__xludf.DUMMYFUNCTION("""COMPUTED_VALUE"""),-0.84)</f>
        <v>-0.84</v>
      </c>
      <c r="H146" s="1">
        <f ca="1">IFERROR(__xludf.DUMMYFUNCTION("""COMPUTED_VALUE"""),12)</f>
        <v>12</v>
      </c>
      <c r="I146" s="1">
        <f ca="1">IFERROR(__xludf.DUMMYFUNCTION("""COMPUTED_VALUE"""),6)</f>
        <v>6</v>
      </c>
      <c r="J146" s="1">
        <f ca="1">IFERROR(__xludf.DUMMYFUNCTION("""COMPUTED_VALUE"""),9)</f>
        <v>9</v>
      </c>
      <c r="K146" s="1">
        <f ca="1">IFERROR(__xludf.DUMMYFUNCTION("""COMPUTED_VALUE"""),2)</f>
        <v>2</v>
      </c>
      <c r="L146" s="1">
        <f ca="1">IFERROR(__xludf.DUMMYFUNCTION("""COMPUTED_VALUE"""),7)</f>
        <v>7</v>
      </c>
      <c r="M146" s="1">
        <f ca="1">IFERROR(__xludf.DUMMYFUNCTION("""COMPUTED_VALUE"""),9)</f>
        <v>9</v>
      </c>
      <c r="N146" s="1">
        <f ca="1">IFERROR(__xludf.DUMMYFUNCTION("""COMPUTED_VALUE"""),2364)</f>
        <v>2364</v>
      </c>
      <c r="O146" s="1">
        <f ca="1">IFERROR(__xludf.DUMMYFUNCTION("""COMPUTED_VALUE"""),2282)</f>
        <v>2282</v>
      </c>
      <c r="P146" s="1">
        <f ca="1">IFERROR(__xludf.DUMMYFUNCTION("""COMPUTED_VALUE"""),1330)</f>
        <v>1330</v>
      </c>
      <c r="Q146" s="1">
        <f ca="1">IFERROR(__xludf.DUMMYFUNCTION("""COMPUTED_VALUE"""),854)</f>
        <v>854</v>
      </c>
      <c r="R146" s="1">
        <f ca="1">IFERROR(__xludf.DUMMYFUNCTION("""COMPUTED_VALUE"""),1806)</f>
        <v>1806</v>
      </c>
      <c r="S146" s="1">
        <f ca="1">IFERROR(__xludf.DUMMYFUNCTION("""COMPUTED_VALUE"""),0.473)</f>
        <v>0.47299999999999998</v>
      </c>
      <c r="T146" s="1">
        <f ca="1">IFERROR(__xludf.DUMMYFUNCTION("""COMPUTED_VALUE"""),202)</f>
        <v>202</v>
      </c>
      <c r="U146" s="1">
        <f ca="1">IFERROR(__xludf.DUMMYFUNCTION("""COMPUTED_VALUE"""),567)</f>
        <v>567</v>
      </c>
      <c r="V146" s="1">
        <f ca="1">IFERROR(__xludf.DUMMYFUNCTION("""COMPUTED_VALUE"""),0.356)</f>
        <v>0.35599999999999998</v>
      </c>
      <c r="W146" s="1">
        <f ca="1">IFERROR(__xludf.DUMMYFUNCTION("""COMPUTED_VALUE"""),454)</f>
        <v>454</v>
      </c>
      <c r="X146" s="1">
        <f ca="1">IFERROR(__xludf.DUMMYFUNCTION("""COMPUTED_VALUE"""),580)</f>
        <v>580</v>
      </c>
      <c r="Y146" s="1">
        <f ca="1">IFERROR(__xludf.DUMMYFUNCTION("""COMPUTED_VALUE"""),0.783)</f>
        <v>0.78300000000000003</v>
      </c>
      <c r="Z146" s="1">
        <f ca="1">IFERROR(__xludf.DUMMYFUNCTION("""COMPUTED_VALUE"""),347)</f>
        <v>347</v>
      </c>
      <c r="AA146" s="1">
        <f ca="1">IFERROR(__xludf.DUMMYFUNCTION("""COMPUTED_VALUE"""),1047)</f>
        <v>1047</v>
      </c>
      <c r="AB146" s="1">
        <f ca="1">IFERROR(__xludf.DUMMYFUNCTION("""COMPUTED_VALUE"""),362)</f>
        <v>362</v>
      </c>
      <c r="AC146" s="1">
        <f ca="1">IFERROR(__xludf.DUMMYFUNCTION("""COMPUTED_VALUE"""),193)</f>
        <v>193</v>
      </c>
      <c r="AD146" s="1">
        <f ca="1">IFERROR(__xludf.DUMMYFUNCTION("""COMPUTED_VALUE"""),88)</f>
        <v>88</v>
      </c>
      <c r="AE146" s="1">
        <f ca="1">IFERROR(__xludf.DUMMYFUNCTION("""COMPUTED_VALUE"""),371)</f>
        <v>371</v>
      </c>
      <c r="AF146" s="1">
        <f ca="1">IFERROR(__xludf.DUMMYFUNCTION("""COMPUTED_VALUE"""),501)</f>
        <v>501</v>
      </c>
    </row>
    <row r="147" spans="1:32" ht="12.5" x14ac:dyDescent="0.25">
      <c r="A147" s="1" t="str">
        <f ca="1">IFERROR(__xludf.DUMMYFUNCTION("""COMPUTED_VALUE"""),"Jackson State")</f>
        <v>Jackson State</v>
      </c>
      <c r="B147" s="1">
        <f ca="1">IFERROR(__xludf.DUMMYFUNCTION("""COMPUTED_VALUE"""),32)</f>
        <v>32</v>
      </c>
      <c r="C147" s="1">
        <f ca="1">IFERROR(__xludf.DUMMYFUNCTION("""COMPUTED_VALUE"""),17)</f>
        <v>17</v>
      </c>
      <c r="D147" s="1">
        <f ca="1">IFERROR(__xludf.DUMMYFUNCTION("""COMPUTED_VALUE"""),15)</f>
        <v>15</v>
      </c>
      <c r="E147" s="1">
        <f ca="1">IFERROR(__xludf.DUMMYFUNCTION("""COMPUTED_VALUE"""),0.531)</f>
        <v>0.53100000000000003</v>
      </c>
      <c r="F147" s="1">
        <f ca="1">IFERROR(__xludf.DUMMYFUNCTION("""COMPUTED_VALUE"""),-10.43)</f>
        <v>-10.43</v>
      </c>
      <c r="G147" s="1">
        <f ca="1">IFERROR(__xludf.DUMMYFUNCTION("""COMPUTED_VALUE"""),-10.86)</f>
        <v>-10.86</v>
      </c>
      <c r="H147" s="1">
        <f ca="1">IFERROR(__xludf.DUMMYFUNCTION("""COMPUTED_VALUE"""),12)</f>
        <v>12</v>
      </c>
      <c r="I147" s="1">
        <f ca="1">IFERROR(__xludf.DUMMYFUNCTION("""COMPUTED_VALUE"""),6)</f>
        <v>6</v>
      </c>
      <c r="J147" s="1">
        <f ca="1">IFERROR(__xludf.DUMMYFUNCTION("""COMPUTED_VALUE"""),9)</f>
        <v>9</v>
      </c>
      <c r="K147" s="1">
        <f ca="1">IFERROR(__xludf.DUMMYFUNCTION("""COMPUTED_VALUE"""),3)</f>
        <v>3</v>
      </c>
      <c r="L147" s="1">
        <f ca="1">IFERROR(__xludf.DUMMYFUNCTION("""COMPUTED_VALUE"""),7)</f>
        <v>7</v>
      </c>
      <c r="M147" s="1">
        <f ca="1">IFERROR(__xludf.DUMMYFUNCTION("""COMPUTED_VALUE"""),11)</f>
        <v>11</v>
      </c>
      <c r="N147" s="1">
        <f ca="1">IFERROR(__xludf.DUMMYFUNCTION("""COMPUTED_VALUE"""),2096)</f>
        <v>2096</v>
      </c>
      <c r="O147" s="1">
        <f ca="1">IFERROR(__xludf.DUMMYFUNCTION("""COMPUTED_VALUE"""),2009)</f>
        <v>2009</v>
      </c>
      <c r="P147" s="1">
        <f ca="1">IFERROR(__xludf.DUMMYFUNCTION("""COMPUTED_VALUE"""),1295)</f>
        <v>1295</v>
      </c>
      <c r="Q147" s="1">
        <f ca="1">IFERROR(__xludf.DUMMYFUNCTION("""COMPUTED_VALUE"""),721)</f>
        <v>721</v>
      </c>
      <c r="R147" s="1">
        <f ca="1">IFERROR(__xludf.DUMMYFUNCTION("""COMPUTED_VALUE"""),1719)</f>
        <v>1719</v>
      </c>
      <c r="S147" s="1">
        <f ca="1">IFERROR(__xludf.DUMMYFUNCTION("""COMPUTED_VALUE"""),0.419)</f>
        <v>0.41899999999999998</v>
      </c>
      <c r="T147" s="1">
        <f ca="1">IFERROR(__xludf.DUMMYFUNCTION("""COMPUTED_VALUE"""),188)</f>
        <v>188</v>
      </c>
      <c r="U147" s="1">
        <f ca="1">IFERROR(__xludf.DUMMYFUNCTION("""COMPUTED_VALUE"""),570)</f>
        <v>570</v>
      </c>
      <c r="V147" s="1">
        <f ca="1">IFERROR(__xludf.DUMMYFUNCTION("""COMPUTED_VALUE"""),0.33)</f>
        <v>0.33</v>
      </c>
      <c r="W147" s="1">
        <f ca="1">IFERROR(__xludf.DUMMYFUNCTION("""COMPUTED_VALUE"""),466)</f>
        <v>466</v>
      </c>
      <c r="X147" s="1">
        <f ca="1">IFERROR(__xludf.DUMMYFUNCTION("""COMPUTED_VALUE"""),731)</f>
        <v>731</v>
      </c>
      <c r="Y147" s="1">
        <f ca="1">IFERROR(__xludf.DUMMYFUNCTION("""COMPUTED_VALUE"""),0.637)</f>
        <v>0.63700000000000001</v>
      </c>
      <c r="Z147" s="1">
        <f ca="1">IFERROR(__xludf.DUMMYFUNCTION("""COMPUTED_VALUE"""),406)</f>
        <v>406</v>
      </c>
      <c r="AA147" s="1">
        <f ca="1">IFERROR(__xludf.DUMMYFUNCTION("""COMPUTED_VALUE"""),1121)</f>
        <v>1121</v>
      </c>
      <c r="AB147" s="1">
        <f ca="1">IFERROR(__xludf.DUMMYFUNCTION("""COMPUTED_VALUE"""),426)</f>
        <v>426</v>
      </c>
      <c r="AC147" s="1">
        <f ca="1">IFERROR(__xludf.DUMMYFUNCTION("""COMPUTED_VALUE"""),250)</f>
        <v>250</v>
      </c>
      <c r="AD147" s="1">
        <f ca="1">IFERROR(__xludf.DUMMYFUNCTION("""COMPUTED_VALUE"""),102)</f>
        <v>102</v>
      </c>
      <c r="AE147" s="1">
        <f ca="1">IFERROR(__xludf.DUMMYFUNCTION("""COMPUTED_VALUE"""),481)</f>
        <v>481</v>
      </c>
      <c r="AF147" s="1">
        <f ca="1">IFERROR(__xludf.DUMMYFUNCTION("""COMPUTED_VALUE"""),668)</f>
        <v>668</v>
      </c>
    </row>
    <row r="148" spans="1:32" ht="12.5" x14ac:dyDescent="0.25">
      <c r="A148" s="1" t="str">
        <f ca="1">IFERROR(__xludf.DUMMYFUNCTION("""COMPUTED_VALUE"""),"Jacksonville State")</f>
        <v>Jacksonville State</v>
      </c>
      <c r="B148" s="1">
        <f ca="1">IFERROR(__xludf.DUMMYFUNCTION("""COMPUTED_VALUE"""),30)</f>
        <v>30</v>
      </c>
      <c r="C148" s="1">
        <f ca="1">IFERROR(__xludf.DUMMYFUNCTION("""COMPUTED_VALUE"""),5)</f>
        <v>5</v>
      </c>
      <c r="D148" s="1">
        <f ca="1">IFERROR(__xludf.DUMMYFUNCTION("""COMPUTED_VALUE"""),25)</f>
        <v>25</v>
      </c>
      <c r="E148" s="1">
        <f ca="1">IFERROR(__xludf.DUMMYFUNCTION("""COMPUTED_VALUE"""),0.167)</f>
        <v>0.16700000000000001</v>
      </c>
      <c r="F148" s="1">
        <f ca="1">IFERROR(__xludf.DUMMYFUNCTION("""COMPUTED_VALUE"""),-11.16)</f>
        <v>-11.16</v>
      </c>
      <c r="G148" s="1">
        <f ca="1">IFERROR(__xludf.DUMMYFUNCTION("""COMPUTED_VALUE"""),-5.41)</f>
        <v>-5.41</v>
      </c>
      <c r="H148" s="1">
        <f ca="1">IFERROR(__xludf.DUMMYFUNCTION("""COMPUTED_VALUE"""),3)</f>
        <v>3</v>
      </c>
      <c r="I148" s="1">
        <f ca="1">IFERROR(__xludf.DUMMYFUNCTION("""COMPUTED_VALUE"""),15)</f>
        <v>15</v>
      </c>
      <c r="J148" s="1">
        <f ca="1">IFERROR(__xludf.DUMMYFUNCTION("""COMPUTED_VALUE"""),2)</f>
        <v>2</v>
      </c>
      <c r="K148" s="1">
        <f ca="1">IFERROR(__xludf.DUMMYFUNCTION("""COMPUTED_VALUE"""),9)</f>
        <v>9</v>
      </c>
      <c r="L148" s="1">
        <f ca="1">IFERROR(__xludf.DUMMYFUNCTION("""COMPUTED_VALUE"""),2)</f>
        <v>2</v>
      </c>
      <c r="M148" s="1">
        <f ca="1">IFERROR(__xludf.DUMMYFUNCTION("""COMPUTED_VALUE"""),15)</f>
        <v>15</v>
      </c>
      <c r="N148" s="1">
        <f ca="1">IFERROR(__xludf.DUMMYFUNCTION("""COMPUTED_VALUE"""),1828)</f>
        <v>1828</v>
      </c>
      <c r="O148" s="1">
        <f ca="1">IFERROR(__xludf.DUMMYFUNCTION("""COMPUTED_VALUE"""),1974)</f>
        <v>1974</v>
      </c>
      <c r="P148" s="1">
        <f ca="1">IFERROR(__xludf.DUMMYFUNCTION("""COMPUTED_VALUE"""),1215)</f>
        <v>1215</v>
      </c>
      <c r="Q148" s="1">
        <f ca="1">IFERROR(__xludf.DUMMYFUNCTION("""COMPUTED_VALUE"""),656)</f>
        <v>656</v>
      </c>
      <c r="R148" s="1">
        <f ca="1">IFERROR(__xludf.DUMMYFUNCTION("""COMPUTED_VALUE"""),1546)</f>
        <v>1546</v>
      </c>
      <c r="S148" s="1">
        <f ca="1">IFERROR(__xludf.DUMMYFUNCTION("""COMPUTED_VALUE"""),0.424)</f>
        <v>0.42399999999999999</v>
      </c>
      <c r="T148" s="1">
        <f ca="1">IFERROR(__xludf.DUMMYFUNCTION("""COMPUTED_VALUE"""),174)</f>
        <v>174</v>
      </c>
      <c r="U148" s="1">
        <f ca="1">IFERROR(__xludf.DUMMYFUNCTION("""COMPUTED_VALUE"""),473)</f>
        <v>473</v>
      </c>
      <c r="V148" s="1">
        <f ca="1">IFERROR(__xludf.DUMMYFUNCTION("""COMPUTED_VALUE"""),0.368)</f>
        <v>0.36799999999999999</v>
      </c>
      <c r="W148" s="1">
        <f ca="1">IFERROR(__xludf.DUMMYFUNCTION("""COMPUTED_VALUE"""),342)</f>
        <v>342</v>
      </c>
      <c r="X148" s="1">
        <f ca="1">IFERROR(__xludf.DUMMYFUNCTION("""COMPUTED_VALUE"""),527)</f>
        <v>527</v>
      </c>
      <c r="Y148" s="1">
        <f ca="1">IFERROR(__xludf.DUMMYFUNCTION("""COMPUTED_VALUE"""),0.649)</f>
        <v>0.64900000000000002</v>
      </c>
      <c r="Z148" s="1">
        <f ca="1">IFERROR(__xludf.DUMMYFUNCTION("""COMPUTED_VALUE"""),322)</f>
        <v>322</v>
      </c>
      <c r="AA148" s="1">
        <f ca="1">IFERROR(__xludf.DUMMYFUNCTION("""COMPUTED_VALUE"""),886)</f>
        <v>886</v>
      </c>
      <c r="AB148" s="1">
        <f ca="1">IFERROR(__xludf.DUMMYFUNCTION("""COMPUTED_VALUE"""),368)</f>
        <v>368</v>
      </c>
      <c r="AC148" s="1">
        <f ca="1">IFERROR(__xludf.DUMMYFUNCTION("""COMPUTED_VALUE"""),190)</f>
        <v>190</v>
      </c>
      <c r="AD148" s="1">
        <f ca="1">IFERROR(__xludf.DUMMYFUNCTION("""COMPUTED_VALUE"""),106)</f>
        <v>106</v>
      </c>
      <c r="AE148" s="1">
        <f ca="1">IFERROR(__xludf.DUMMYFUNCTION("""COMPUTED_VALUE"""),432)</f>
        <v>432</v>
      </c>
      <c r="AF148" s="1">
        <f ca="1">IFERROR(__xludf.DUMMYFUNCTION("""COMPUTED_VALUE"""),598)</f>
        <v>598</v>
      </c>
    </row>
    <row r="149" spans="1:32" ht="12.5" x14ac:dyDescent="0.25">
      <c r="A149" s="1" t="str">
        <f ca="1">IFERROR(__xludf.DUMMYFUNCTION("""COMPUTED_VALUE"""),"Jacksonville")</f>
        <v>Jacksonville</v>
      </c>
      <c r="B149" s="1">
        <f ca="1">IFERROR(__xludf.DUMMYFUNCTION("""COMPUTED_VALUE"""),32)</f>
        <v>32</v>
      </c>
      <c r="C149" s="1">
        <f ca="1">IFERROR(__xludf.DUMMYFUNCTION("""COMPUTED_VALUE"""),20)</f>
        <v>20</v>
      </c>
      <c r="D149" s="1">
        <f ca="1">IFERROR(__xludf.DUMMYFUNCTION("""COMPUTED_VALUE"""),12)</f>
        <v>12</v>
      </c>
      <c r="E149" s="1">
        <f ca="1">IFERROR(__xludf.DUMMYFUNCTION("""COMPUTED_VALUE"""),0.625)</f>
        <v>0.625</v>
      </c>
      <c r="F149" s="1">
        <f ca="1">IFERROR(__xludf.DUMMYFUNCTION("""COMPUTED_VALUE"""),-1.42)</f>
        <v>-1.42</v>
      </c>
      <c r="G149" s="1">
        <f ca="1">IFERROR(__xludf.DUMMYFUNCTION("""COMPUTED_VALUE"""),-3.68)</f>
        <v>-3.68</v>
      </c>
      <c r="H149" s="1">
        <f ca="1">IFERROR(__xludf.DUMMYFUNCTION("""COMPUTED_VALUE"""),13)</f>
        <v>13</v>
      </c>
      <c r="I149" s="1">
        <f ca="1">IFERROR(__xludf.DUMMYFUNCTION("""COMPUTED_VALUE"""),7)</f>
        <v>7</v>
      </c>
      <c r="J149" s="1">
        <f ca="1">IFERROR(__xludf.DUMMYFUNCTION("""COMPUTED_VALUE"""),11)</f>
        <v>11</v>
      </c>
      <c r="K149" s="1">
        <f ca="1">IFERROR(__xludf.DUMMYFUNCTION("""COMPUTED_VALUE"""),2)</f>
        <v>2</v>
      </c>
      <c r="L149" s="1">
        <f ca="1">IFERROR(__xludf.DUMMYFUNCTION("""COMPUTED_VALUE"""),9)</f>
        <v>9</v>
      </c>
      <c r="M149" s="1">
        <f ca="1">IFERROR(__xludf.DUMMYFUNCTION("""COMPUTED_VALUE"""),9)</f>
        <v>9</v>
      </c>
      <c r="N149" s="1">
        <f ca="1">IFERROR(__xludf.DUMMYFUNCTION("""COMPUTED_VALUE"""),2176)</f>
        <v>2176</v>
      </c>
      <c r="O149" s="1">
        <f ca="1">IFERROR(__xludf.DUMMYFUNCTION("""COMPUTED_VALUE"""),2094)</f>
        <v>2094</v>
      </c>
      <c r="P149" s="1">
        <f ca="1">IFERROR(__xludf.DUMMYFUNCTION("""COMPUTED_VALUE"""),1305)</f>
        <v>1305</v>
      </c>
      <c r="Q149" s="1">
        <f ca="1">IFERROR(__xludf.DUMMYFUNCTION("""COMPUTED_VALUE"""),779)</f>
        <v>779</v>
      </c>
      <c r="R149" s="1">
        <f ca="1">IFERROR(__xludf.DUMMYFUNCTION("""COMPUTED_VALUE"""),1846)</f>
        <v>1846</v>
      </c>
      <c r="S149" s="1">
        <f ca="1">IFERROR(__xludf.DUMMYFUNCTION("""COMPUTED_VALUE"""),0.422)</f>
        <v>0.42199999999999999</v>
      </c>
      <c r="T149" s="1">
        <f ca="1">IFERROR(__xludf.DUMMYFUNCTION("""COMPUTED_VALUE"""),144)</f>
        <v>144</v>
      </c>
      <c r="U149" s="1">
        <f ca="1">IFERROR(__xludf.DUMMYFUNCTION("""COMPUTED_VALUE"""),463)</f>
        <v>463</v>
      </c>
      <c r="V149" s="1">
        <f ca="1">IFERROR(__xludf.DUMMYFUNCTION("""COMPUTED_VALUE"""),0.311)</f>
        <v>0.311</v>
      </c>
      <c r="W149" s="1">
        <f ca="1">IFERROR(__xludf.DUMMYFUNCTION("""COMPUTED_VALUE"""),474)</f>
        <v>474</v>
      </c>
      <c r="X149" s="1">
        <f ca="1">IFERROR(__xludf.DUMMYFUNCTION("""COMPUTED_VALUE"""),708)</f>
        <v>708</v>
      </c>
      <c r="Y149" s="1">
        <f ca="1">IFERROR(__xludf.DUMMYFUNCTION("""COMPUTED_VALUE"""),0.669)</f>
        <v>0.66900000000000004</v>
      </c>
      <c r="Z149" s="1">
        <f ca="1">IFERROR(__xludf.DUMMYFUNCTION("""COMPUTED_VALUE"""),433)</f>
        <v>433</v>
      </c>
      <c r="AA149" s="1">
        <f ca="1">IFERROR(__xludf.DUMMYFUNCTION("""COMPUTED_VALUE"""),1187)</f>
        <v>1187</v>
      </c>
      <c r="AB149" s="1">
        <f ca="1">IFERROR(__xludf.DUMMYFUNCTION("""COMPUTED_VALUE"""),390)</f>
        <v>390</v>
      </c>
      <c r="AC149" s="1">
        <f ca="1">IFERROR(__xludf.DUMMYFUNCTION("""COMPUTED_VALUE"""),274)</f>
        <v>274</v>
      </c>
      <c r="AD149" s="1">
        <f ca="1">IFERROR(__xludf.DUMMYFUNCTION("""COMPUTED_VALUE"""),123)</f>
        <v>123</v>
      </c>
      <c r="AE149" s="1">
        <f ca="1">IFERROR(__xludf.DUMMYFUNCTION("""COMPUTED_VALUE"""),484)</f>
        <v>484</v>
      </c>
      <c r="AF149" s="1">
        <f ca="1">IFERROR(__xludf.DUMMYFUNCTION("""COMPUTED_VALUE"""),684)</f>
        <v>684</v>
      </c>
    </row>
    <row r="150" spans="1:32" ht="12.5" x14ac:dyDescent="0.25">
      <c r="A150" s="1" t="str">
        <f ca="1">IFERROR(__xludf.DUMMYFUNCTION("""COMPUTED_VALUE"""),"James Madison")</f>
        <v>James Madison</v>
      </c>
      <c r="B150" s="1">
        <f ca="1">IFERROR(__xludf.DUMMYFUNCTION("""COMPUTED_VALUE"""),33)</f>
        <v>33</v>
      </c>
      <c r="C150" s="1">
        <f ca="1">IFERROR(__xludf.DUMMYFUNCTION("""COMPUTED_VALUE"""),21)</f>
        <v>21</v>
      </c>
      <c r="D150" s="1">
        <f ca="1">IFERROR(__xludf.DUMMYFUNCTION("""COMPUTED_VALUE"""),12)</f>
        <v>12</v>
      </c>
      <c r="E150" s="1">
        <f ca="1">IFERROR(__xludf.DUMMYFUNCTION("""COMPUTED_VALUE"""),0.636)</f>
        <v>0.63600000000000001</v>
      </c>
      <c r="F150" s="1">
        <f ca="1">IFERROR(__xludf.DUMMYFUNCTION("""COMPUTED_VALUE"""),2.94)</f>
        <v>2.94</v>
      </c>
      <c r="G150" s="1">
        <f ca="1">IFERROR(__xludf.DUMMYFUNCTION("""COMPUTED_VALUE"""),-0.03)</f>
        <v>-0.03</v>
      </c>
      <c r="H150" s="1">
        <f ca="1">IFERROR(__xludf.DUMMYFUNCTION("""COMPUTED_VALUE"""),10)</f>
        <v>10</v>
      </c>
      <c r="I150" s="1">
        <f ca="1">IFERROR(__xludf.DUMMYFUNCTION("""COMPUTED_VALUE"""),8)</f>
        <v>8</v>
      </c>
      <c r="J150" s="1">
        <f ca="1">IFERROR(__xludf.DUMMYFUNCTION("""COMPUTED_VALUE"""),11)</f>
        <v>11</v>
      </c>
      <c r="K150" s="1">
        <f ca="1">IFERROR(__xludf.DUMMYFUNCTION("""COMPUTED_VALUE"""),4)</f>
        <v>4</v>
      </c>
      <c r="L150" s="1">
        <f ca="1">IFERROR(__xludf.DUMMYFUNCTION("""COMPUTED_VALUE"""),10)</f>
        <v>10</v>
      </c>
      <c r="M150" s="1">
        <f ca="1">IFERROR(__xludf.DUMMYFUNCTION("""COMPUTED_VALUE"""),7)</f>
        <v>7</v>
      </c>
      <c r="N150" s="1">
        <f ca="1">IFERROR(__xludf.DUMMYFUNCTION("""COMPUTED_VALUE"""),2355)</f>
        <v>2355</v>
      </c>
      <c r="O150" s="1">
        <f ca="1">IFERROR(__xludf.DUMMYFUNCTION("""COMPUTED_VALUE"""),2257)</f>
        <v>2257</v>
      </c>
      <c r="P150" s="1">
        <f ca="1">IFERROR(__xludf.DUMMYFUNCTION("""COMPUTED_VALUE"""),1325)</f>
        <v>1325</v>
      </c>
      <c r="Q150" s="1">
        <f ca="1">IFERROR(__xludf.DUMMYFUNCTION("""COMPUTED_VALUE"""),830)</f>
        <v>830</v>
      </c>
      <c r="R150" s="1">
        <f ca="1">IFERROR(__xludf.DUMMYFUNCTION("""COMPUTED_VALUE"""),1812)</f>
        <v>1812</v>
      </c>
      <c r="S150" s="1">
        <f ca="1">IFERROR(__xludf.DUMMYFUNCTION("""COMPUTED_VALUE"""),0.458)</f>
        <v>0.45800000000000002</v>
      </c>
      <c r="T150" s="1">
        <f ca="1">IFERROR(__xludf.DUMMYFUNCTION("""COMPUTED_VALUE"""),199)</f>
        <v>199</v>
      </c>
      <c r="U150" s="1">
        <f ca="1">IFERROR(__xludf.DUMMYFUNCTION("""COMPUTED_VALUE"""),527)</f>
        <v>527</v>
      </c>
      <c r="V150" s="1">
        <f ca="1">IFERROR(__xludf.DUMMYFUNCTION("""COMPUTED_VALUE"""),0.378)</f>
        <v>0.378</v>
      </c>
      <c r="W150" s="1">
        <f ca="1">IFERROR(__xludf.DUMMYFUNCTION("""COMPUTED_VALUE"""),496)</f>
        <v>496</v>
      </c>
      <c r="X150" s="1">
        <f ca="1">IFERROR(__xludf.DUMMYFUNCTION("""COMPUTED_VALUE"""),698)</f>
        <v>698</v>
      </c>
      <c r="Y150" s="1">
        <f ca="1">IFERROR(__xludf.DUMMYFUNCTION("""COMPUTED_VALUE"""),0.711)</f>
        <v>0.71099999999999997</v>
      </c>
      <c r="Z150" s="1">
        <f ca="1">IFERROR(__xludf.DUMMYFUNCTION("""COMPUTED_VALUE"""),347)</f>
        <v>347</v>
      </c>
      <c r="AA150" s="1">
        <f ca="1">IFERROR(__xludf.DUMMYFUNCTION("""COMPUTED_VALUE"""),1165)</f>
        <v>1165</v>
      </c>
      <c r="AB150" s="1">
        <f ca="1">IFERROR(__xludf.DUMMYFUNCTION("""COMPUTED_VALUE"""),455)</f>
        <v>455</v>
      </c>
      <c r="AC150" s="1">
        <f ca="1">IFERROR(__xludf.DUMMYFUNCTION("""COMPUTED_VALUE"""),177)</f>
        <v>177</v>
      </c>
      <c r="AD150" s="1">
        <f ca="1">IFERROR(__xludf.DUMMYFUNCTION("""COMPUTED_VALUE"""),123)</f>
        <v>123</v>
      </c>
      <c r="AE150" s="1">
        <f ca="1">IFERROR(__xludf.DUMMYFUNCTION("""COMPUTED_VALUE"""),421)</f>
        <v>421</v>
      </c>
      <c r="AF150" s="1">
        <f ca="1">IFERROR(__xludf.DUMMYFUNCTION("""COMPUTED_VALUE"""),591)</f>
        <v>591</v>
      </c>
    </row>
    <row r="151" spans="1:32" ht="12.5" x14ac:dyDescent="0.25">
      <c r="A151" s="1" t="str">
        <f ca="1">IFERROR(__xludf.DUMMYFUNCTION("""COMPUTED_VALUE"""),"Kansas StateNCAA")</f>
        <v>Kansas StateNCAA</v>
      </c>
      <c r="B151" s="1">
        <f ca="1">IFERROR(__xludf.DUMMYFUNCTION("""COMPUTED_VALUE"""),34)</f>
        <v>34</v>
      </c>
      <c r="C151" s="1">
        <f ca="1">IFERROR(__xludf.DUMMYFUNCTION("""COMPUTED_VALUE"""),23)</f>
        <v>23</v>
      </c>
      <c r="D151" s="1">
        <f ca="1">IFERROR(__xludf.DUMMYFUNCTION("""COMPUTED_VALUE"""),11)</f>
        <v>11</v>
      </c>
      <c r="E151" s="1">
        <f ca="1">IFERROR(__xludf.DUMMYFUNCTION("""COMPUTED_VALUE"""),0.676)</f>
        <v>0.67600000000000005</v>
      </c>
      <c r="F151" s="1">
        <f ca="1">IFERROR(__xludf.DUMMYFUNCTION("""COMPUTED_VALUE"""),14.59)</f>
        <v>14.59</v>
      </c>
      <c r="G151" s="1">
        <f ca="1">IFERROR(__xludf.DUMMYFUNCTION("""COMPUTED_VALUE"""),8.41)</f>
        <v>8.41</v>
      </c>
      <c r="H151" s="1">
        <f ca="1">IFERROR(__xludf.DUMMYFUNCTION("""COMPUTED_VALUE"""),10)</f>
        <v>10</v>
      </c>
      <c r="I151" s="1">
        <f ca="1">IFERROR(__xludf.DUMMYFUNCTION("""COMPUTED_VALUE"""),6)</f>
        <v>6</v>
      </c>
      <c r="J151" s="1">
        <f ca="1">IFERROR(__xludf.DUMMYFUNCTION("""COMPUTED_VALUE"""),16)</f>
        <v>16</v>
      </c>
      <c r="K151" s="1">
        <f ca="1">IFERROR(__xludf.DUMMYFUNCTION("""COMPUTED_VALUE"""),1)</f>
        <v>1</v>
      </c>
      <c r="L151" s="1">
        <f ca="1">IFERROR(__xludf.DUMMYFUNCTION("""COMPUTED_VALUE"""),5)</f>
        <v>5</v>
      </c>
      <c r="M151" s="1">
        <f ca="1">IFERROR(__xludf.DUMMYFUNCTION("""COMPUTED_VALUE"""),5)</f>
        <v>5</v>
      </c>
      <c r="N151" s="1">
        <f ca="1">IFERROR(__xludf.DUMMYFUNCTION("""COMPUTED_VALUE"""),2477)</f>
        <v>2477</v>
      </c>
      <c r="O151" s="1">
        <f ca="1">IFERROR(__xludf.DUMMYFUNCTION("""COMPUTED_VALUE"""),2249)</f>
        <v>2249</v>
      </c>
      <c r="P151" s="1">
        <f ca="1">IFERROR(__xludf.DUMMYFUNCTION("""COMPUTED_VALUE"""),1360)</f>
        <v>1360</v>
      </c>
      <c r="Q151" s="1">
        <f ca="1">IFERROR(__xludf.DUMMYFUNCTION("""COMPUTED_VALUE"""),849)</f>
        <v>849</v>
      </c>
      <c r="R151" s="1">
        <f ca="1">IFERROR(__xludf.DUMMYFUNCTION("""COMPUTED_VALUE"""),1939)</f>
        <v>1939</v>
      </c>
      <c r="S151" s="1">
        <f ca="1">IFERROR(__xludf.DUMMYFUNCTION("""COMPUTED_VALUE"""),0.438)</f>
        <v>0.438</v>
      </c>
      <c r="T151" s="1">
        <f ca="1">IFERROR(__xludf.DUMMYFUNCTION("""COMPUTED_VALUE"""),237)</f>
        <v>237</v>
      </c>
      <c r="U151" s="1">
        <f ca="1">IFERROR(__xludf.DUMMYFUNCTION("""COMPUTED_VALUE"""),631)</f>
        <v>631</v>
      </c>
      <c r="V151" s="1">
        <f ca="1">IFERROR(__xludf.DUMMYFUNCTION("""COMPUTED_VALUE"""),0.376)</f>
        <v>0.376</v>
      </c>
      <c r="W151" s="1">
        <f ca="1">IFERROR(__xludf.DUMMYFUNCTION("""COMPUTED_VALUE"""),542)</f>
        <v>542</v>
      </c>
      <c r="X151" s="1">
        <f ca="1">IFERROR(__xludf.DUMMYFUNCTION("""COMPUTED_VALUE"""),828)</f>
        <v>828</v>
      </c>
      <c r="Y151" s="1">
        <f ca="1">IFERROR(__xludf.DUMMYFUNCTION("""COMPUTED_VALUE"""),0.655)</f>
        <v>0.65500000000000003</v>
      </c>
      <c r="Z151" s="1">
        <f ca="1">IFERROR(__xludf.DUMMYFUNCTION("""COMPUTED_VALUE"""),490)</f>
        <v>490</v>
      </c>
      <c r="AA151" s="1">
        <f ca="1">IFERROR(__xludf.DUMMYFUNCTION("""COMPUTED_VALUE"""),1280)</f>
        <v>1280</v>
      </c>
      <c r="AB151" s="1">
        <f ca="1">IFERROR(__xludf.DUMMYFUNCTION("""COMPUTED_VALUE"""),474)</f>
        <v>474</v>
      </c>
      <c r="AC151" s="1">
        <f ca="1">IFERROR(__xludf.DUMMYFUNCTION("""COMPUTED_VALUE"""),208)</f>
        <v>208</v>
      </c>
      <c r="AD151" s="1">
        <f ca="1">IFERROR(__xludf.DUMMYFUNCTION("""COMPUTED_VALUE"""),154)</f>
        <v>154</v>
      </c>
      <c r="AE151" s="1">
        <f ca="1">IFERROR(__xludf.DUMMYFUNCTION("""COMPUTED_VALUE"""),498)</f>
        <v>498</v>
      </c>
      <c r="AF151" s="1">
        <f ca="1">IFERROR(__xludf.DUMMYFUNCTION("""COMPUTED_VALUE"""),692)</f>
        <v>692</v>
      </c>
    </row>
    <row r="152" spans="1:32" ht="12.5" x14ac:dyDescent="0.25">
      <c r="A152" s="1" t="str">
        <f ca="1">IFERROR(__xludf.DUMMYFUNCTION("""COMPUTED_VALUE"""),"KansasNCAA")</f>
        <v>KansasNCAA</v>
      </c>
      <c r="B152" s="1">
        <f ca="1">IFERROR(__xludf.DUMMYFUNCTION("""COMPUTED_VALUE"""),38)</f>
        <v>38</v>
      </c>
      <c r="C152" s="1">
        <f ca="1">IFERROR(__xludf.DUMMYFUNCTION("""COMPUTED_VALUE"""),35)</f>
        <v>35</v>
      </c>
      <c r="D152" s="1">
        <f ca="1">IFERROR(__xludf.DUMMYFUNCTION("""COMPUTED_VALUE"""),3)</f>
        <v>3</v>
      </c>
      <c r="E152" s="1">
        <f ca="1">IFERROR(__xludf.DUMMYFUNCTION("""COMPUTED_VALUE"""),0.921)</f>
        <v>0.92100000000000004</v>
      </c>
      <c r="F152" s="1">
        <f ca="1">IFERROR(__xludf.DUMMYFUNCTION("""COMPUTED_VALUE"""),24.1)</f>
        <v>24.1</v>
      </c>
      <c r="G152" s="1">
        <f ca="1">IFERROR(__xludf.DUMMYFUNCTION("""COMPUTED_VALUE"""),7.62)</f>
        <v>7.62</v>
      </c>
      <c r="H152" s="1">
        <f ca="1">IFERROR(__xludf.DUMMYFUNCTION("""COMPUTED_VALUE"""),14)</f>
        <v>14</v>
      </c>
      <c r="I152" s="1">
        <f ca="1">IFERROR(__xludf.DUMMYFUNCTION("""COMPUTED_VALUE"""),2)</f>
        <v>2</v>
      </c>
      <c r="J152" s="1">
        <f ca="1">IFERROR(__xludf.DUMMYFUNCTION("""COMPUTED_VALUE"""),16)</f>
        <v>16</v>
      </c>
      <c r="K152" s="1">
        <f ca="1">IFERROR(__xludf.DUMMYFUNCTION("""COMPUTED_VALUE"""),1)</f>
        <v>1</v>
      </c>
      <c r="L152" s="1">
        <f ca="1">IFERROR(__xludf.DUMMYFUNCTION("""COMPUTED_VALUE"""),9)</f>
        <v>9</v>
      </c>
      <c r="M152" s="1">
        <f ca="1">IFERROR(__xludf.DUMMYFUNCTION("""COMPUTED_VALUE"""),1)</f>
        <v>1</v>
      </c>
      <c r="N152" s="1">
        <f ca="1">IFERROR(__xludf.DUMMYFUNCTION("""COMPUTED_VALUE"""),3084)</f>
        <v>3084</v>
      </c>
      <c r="O152" s="1">
        <f ca="1">IFERROR(__xludf.DUMMYFUNCTION("""COMPUTED_VALUE"""),2458)</f>
        <v>2458</v>
      </c>
      <c r="P152" s="1">
        <f ca="1">IFERROR(__xludf.DUMMYFUNCTION("""COMPUTED_VALUE"""),1525)</f>
        <v>1525</v>
      </c>
      <c r="Q152" s="1">
        <f ca="1">IFERROR(__xludf.DUMMYFUNCTION("""COMPUTED_VALUE"""),1114)</f>
        <v>1114</v>
      </c>
      <c r="R152" s="1">
        <f ca="1">IFERROR(__xludf.DUMMYFUNCTION("""COMPUTED_VALUE"""),2193)</f>
        <v>2193</v>
      </c>
      <c r="S152" s="1">
        <f ca="1">IFERROR(__xludf.DUMMYFUNCTION("""COMPUTED_VALUE"""),0.508)</f>
        <v>0.50800000000000001</v>
      </c>
      <c r="T152" s="1">
        <f ca="1">IFERROR(__xludf.DUMMYFUNCTION("""COMPUTED_VALUE"""),271)</f>
        <v>271</v>
      </c>
      <c r="U152" s="1">
        <f ca="1">IFERROR(__xludf.DUMMYFUNCTION("""COMPUTED_VALUE"""),710)</f>
        <v>710</v>
      </c>
      <c r="V152" s="1">
        <f ca="1">IFERROR(__xludf.DUMMYFUNCTION("""COMPUTED_VALUE"""),0.382)</f>
        <v>0.38200000000000001</v>
      </c>
      <c r="W152" s="1">
        <f ca="1">IFERROR(__xludf.DUMMYFUNCTION("""COMPUTED_VALUE"""),585)</f>
        <v>585</v>
      </c>
      <c r="X152" s="1">
        <f ca="1">IFERROR(__xludf.DUMMYFUNCTION("""COMPUTED_VALUE"""),862)</f>
        <v>862</v>
      </c>
      <c r="Y152" s="1">
        <f ca="1">IFERROR(__xludf.DUMMYFUNCTION("""COMPUTED_VALUE"""),0.679)</f>
        <v>0.67900000000000005</v>
      </c>
      <c r="Z152" s="1">
        <f ca="1">IFERROR(__xludf.DUMMYFUNCTION("""COMPUTED_VALUE"""),449)</f>
        <v>449</v>
      </c>
      <c r="AA152" s="1">
        <f ca="1">IFERROR(__xludf.DUMMYFUNCTION("""COMPUTED_VALUE"""),1475)</f>
        <v>1475</v>
      </c>
      <c r="AB152" s="1">
        <f ca="1">IFERROR(__xludf.DUMMYFUNCTION("""COMPUTED_VALUE"""),674)</f>
        <v>674</v>
      </c>
      <c r="AC152" s="1">
        <f ca="1">IFERROR(__xludf.DUMMYFUNCTION("""COMPUTED_VALUE"""),295)</f>
        <v>295</v>
      </c>
      <c r="AD152" s="1">
        <f ca="1">IFERROR(__xludf.DUMMYFUNCTION("""COMPUTED_VALUE"""),153)</f>
        <v>153</v>
      </c>
      <c r="AE152" s="1">
        <f ca="1">IFERROR(__xludf.DUMMYFUNCTION("""COMPUTED_VALUE"""),507)</f>
        <v>507</v>
      </c>
      <c r="AF152" s="1">
        <f ca="1">IFERROR(__xludf.DUMMYFUNCTION("""COMPUTED_VALUE"""),666)</f>
        <v>666</v>
      </c>
    </row>
    <row r="153" spans="1:32" ht="12.5" x14ac:dyDescent="0.25">
      <c r="A153" s="1" t="str">
        <f ca="1">IFERROR(__xludf.DUMMYFUNCTION("""COMPUTED_VALUE"""),"Kennesaw State")</f>
        <v>Kennesaw State</v>
      </c>
      <c r="B153" s="1">
        <f ca="1">IFERROR(__xludf.DUMMYFUNCTION("""COMPUTED_VALUE"""),31)</f>
        <v>31</v>
      </c>
      <c r="C153" s="1">
        <f ca="1">IFERROR(__xludf.DUMMYFUNCTION("""COMPUTED_VALUE"""),8)</f>
        <v>8</v>
      </c>
      <c r="D153" s="1">
        <f ca="1">IFERROR(__xludf.DUMMYFUNCTION("""COMPUTED_VALUE"""),23)</f>
        <v>23</v>
      </c>
      <c r="E153" s="1">
        <f ca="1">IFERROR(__xludf.DUMMYFUNCTION("""COMPUTED_VALUE"""),0.258)</f>
        <v>0.25800000000000001</v>
      </c>
      <c r="F153" s="1">
        <f ca="1">IFERROR(__xludf.DUMMYFUNCTION("""COMPUTED_VALUE"""),-14.06)</f>
        <v>-14.06</v>
      </c>
      <c r="G153" s="1">
        <f ca="1">IFERROR(__xludf.DUMMYFUNCTION("""COMPUTED_VALUE"""),-3.29)</f>
        <v>-3.29</v>
      </c>
      <c r="H153" s="1">
        <f ca="1">IFERROR(__xludf.DUMMYFUNCTION("""COMPUTED_VALUE"""),6)</f>
        <v>6</v>
      </c>
      <c r="I153" s="1">
        <f ca="1">IFERROR(__xludf.DUMMYFUNCTION("""COMPUTED_VALUE"""),14)</f>
        <v>14</v>
      </c>
      <c r="J153" s="1">
        <f ca="1">IFERROR(__xludf.DUMMYFUNCTION("""COMPUTED_VALUE"""),6)</f>
        <v>6</v>
      </c>
      <c r="K153" s="1">
        <f ca="1">IFERROR(__xludf.DUMMYFUNCTION("""COMPUTED_VALUE"""),8)</f>
        <v>8</v>
      </c>
      <c r="L153" s="1">
        <f ca="1">IFERROR(__xludf.DUMMYFUNCTION("""COMPUTED_VALUE"""),2)</f>
        <v>2</v>
      </c>
      <c r="M153" s="1">
        <f ca="1">IFERROR(__xludf.DUMMYFUNCTION("""COMPUTED_VALUE"""),14)</f>
        <v>14</v>
      </c>
      <c r="N153" s="1">
        <f ca="1">IFERROR(__xludf.DUMMYFUNCTION("""COMPUTED_VALUE"""),2017)</f>
        <v>2017</v>
      </c>
      <c r="O153" s="1">
        <f ca="1">IFERROR(__xludf.DUMMYFUNCTION("""COMPUTED_VALUE"""),2320)</f>
        <v>2320</v>
      </c>
      <c r="P153" s="1">
        <f ca="1">IFERROR(__xludf.DUMMYFUNCTION("""COMPUTED_VALUE"""),1265)</f>
        <v>1265</v>
      </c>
      <c r="Q153" s="1">
        <f ca="1">IFERROR(__xludf.DUMMYFUNCTION("""COMPUTED_VALUE"""),720)</f>
        <v>720</v>
      </c>
      <c r="R153" s="1">
        <f ca="1">IFERROR(__xludf.DUMMYFUNCTION("""COMPUTED_VALUE"""),1731)</f>
        <v>1731</v>
      </c>
      <c r="S153" s="1">
        <f ca="1">IFERROR(__xludf.DUMMYFUNCTION("""COMPUTED_VALUE"""),0.416)</f>
        <v>0.41599999999999998</v>
      </c>
      <c r="T153" s="1">
        <f ca="1">IFERROR(__xludf.DUMMYFUNCTION("""COMPUTED_VALUE"""),176)</f>
        <v>176</v>
      </c>
      <c r="U153" s="1">
        <f ca="1">IFERROR(__xludf.DUMMYFUNCTION("""COMPUTED_VALUE"""),580)</f>
        <v>580</v>
      </c>
      <c r="V153" s="1">
        <f ca="1">IFERROR(__xludf.DUMMYFUNCTION("""COMPUTED_VALUE"""),0.303)</f>
        <v>0.30299999999999999</v>
      </c>
      <c r="W153" s="1">
        <f ca="1">IFERROR(__xludf.DUMMYFUNCTION("""COMPUTED_VALUE"""),401)</f>
        <v>401</v>
      </c>
      <c r="X153" s="1">
        <f ca="1">IFERROR(__xludf.DUMMYFUNCTION("""COMPUTED_VALUE"""),618)</f>
        <v>618</v>
      </c>
      <c r="Y153" s="1">
        <f ca="1">IFERROR(__xludf.DUMMYFUNCTION("""COMPUTED_VALUE"""),0.649)</f>
        <v>0.64900000000000002</v>
      </c>
      <c r="Z153" s="1">
        <f ca="1">IFERROR(__xludf.DUMMYFUNCTION("""COMPUTED_VALUE"""),384)</f>
        <v>384</v>
      </c>
      <c r="AA153" s="1">
        <f ca="1">IFERROR(__xludf.DUMMYFUNCTION("""COMPUTED_VALUE"""),1057)</f>
        <v>1057</v>
      </c>
      <c r="AB153" s="1">
        <f ca="1">IFERROR(__xludf.DUMMYFUNCTION("""COMPUTED_VALUE"""),347)</f>
        <v>347</v>
      </c>
      <c r="AC153" s="1">
        <f ca="1">IFERROR(__xludf.DUMMYFUNCTION("""COMPUTED_VALUE"""),171)</f>
        <v>171</v>
      </c>
      <c r="AD153" s="1">
        <f ca="1">IFERROR(__xludf.DUMMYFUNCTION("""COMPUTED_VALUE"""),119)</f>
        <v>119</v>
      </c>
      <c r="AE153" s="1">
        <f ca="1">IFERROR(__xludf.DUMMYFUNCTION("""COMPUTED_VALUE"""),443)</f>
        <v>443</v>
      </c>
      <c r="AF153" s="1">
        <f ca="1">IFERROR(__xludf.DUMMYFUNCTION("""COMPUTED_VALUE"""),532)</f>
        <v>532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IFERROR(__xludf.DUMMYFUNCTION("""COMPUTED_VALUE"""),"Kent State")</f>
        <v>Kent State</v>
      </c>
      <c r="B156" s="1">
        <f ca="1">IFERROR(__xludf.DUMMYFUNCTION("""COMPUTED_VALUE"""),37)</f>
        <v>37</v>
      </c>
      <c r="C156" s="1">
        <f ca="1">IFERROR(__xludf.DUMMYFUNCTION("""COMPUTED_VALUE"""),25)</f>
        <v>25</v>
      </c>
      <c r="D156" s="1">
        <f ca="1">IFERROR(__xludf.DUMMYFUNCTION("""COMPUTED_VALUE"""),12)</f>
        <v>12</v>
      </c>
      <c r="E156" s="1">
        <f ca="1">IFERROR(__xludf.DUMMYFUNCTION("""COMPUTED_VALUE"""),0.676)</f>
        <v>0.67600000000000005</v>
      </c>
      <c r="F156" s="1">
        <f ca="1">IFERROR(__xludf.DUMMYFUNCTION("""COMPUTED_VALUE"""),3.65)</f>
        <v>3.65</v>
      </c>
      <c r="G156" s="1">
        <f ca="1">IFERROR(__xludf.DUMMYFUNCTION("""COMPUTED_VALUE"""),0.04)</f>
        <v>0.04</v>
      </c>
      <c r="H156" s="1">
        <f ca="1">IFERROR(__xludf.DUMMYFUNCTION("""COMPUTED_VALUE"""),12)</f>
        <v>12</v>
      </c>
      <c r="I156" s="1">
        <f ca="1">IFERROR(__xludf.DUMMYFUNCTION("""COMPUTED_VALUE"""),4)</f>
        <v>4</v>
      </c>
      <c r="J156" s="1">
        <f ca="1">IFERROR(__xludf.DUMMYFUNCTION("""COMPUTED_VALUE"""),14)</f>
        <v>14</v>
      </c>
      <c r="K156" s="1">
        <f ca="1">IFERROR(__xludf.DUMMYFUNCTION("""COMPUTED_VALUE"""),2)</f>
        <v>2</v>
      </c>
      <c r="L156" s="1">
        <f ca="1">IFERROR(__xludf.DUMMYFUNCTION("""COMPUTED_VALUE"""),7)</f>
        <v>7</v>
      </c>
      <c r="M156" s="1">
        <f ca="1">IFERROR(__xludf.DUMMYFUNCTION("""COMPUTED_VALUE"""),9)</f>
        <v>9</v>
      </c>
      <c r="N156" s="1">
        <f ca="1">IFERROR(__xludf.DUMMYFUNCTION("""COMPUTED_VALUE"""),2626)</f>
        <v>2626</v>
      </c>
      <c r="O156" s="1">
        <f ca="1">IFERROR(__xludf.DUMMYFUNCTION("""COMPUTED_VALUE"""),2473)</f>
        <v>2473</v>
      </c>
      <c r="P156" s="1">
        <f ca="1">IFERROR(__xludf.DUMMYFUNCTION("""COMPUTED_VALUE"""),1500)</f>
        <v>1500</v>
      </c>
      <c r="Q156" s="1">
        <f ca="1">IFERROR(__xludf.DUMMYFUNCTION("""COMPUTED_VALUE"""),960)</f>
        <v>960</v>
      </c>
      <c r="R156" s="1">
        <f ca="1">IFERROR(__xludf.DUMMYFUNCTION("""COMPUTED_VALUE"""),2178)</f>
        <v>2178</v>
      </c>
      <c r="S156" s="1">
        <f ca="1">IFERROR(__xludf.DUMMYFUNCTION("""COMPUTED_VALUE"""),0.441)</f>
        <v>0.441</v>
      </c>
      <c r="T156" s="1">
        <f ca="1">IFERROR(__xludf.DUMMYFUNCTION("""COMPUTED_VALUE"""),202)</f>
        <v>202</v>
      </c>
      <c r="U156" s="1">
        <f ca="1">IFERROR(__xludf.DUMMYFUNCTION("""COMPUTED_VALUE"""),603)</f>
        <v>603</v>
      </c>
      <c r="V156" s="1">
        <f ca="1">IFERROR(__xludf.DUMMYFUNCTION("""COMPUTED_VALUE"""),0.335)</f>
        <v>0.33500000000000002</v>
      </c>
      <c r="W156" s="1">
        <f ca="1">IFERROR(__xludf.DUMMYFUNCTION("""COMPUTED_VALUE"""),504)</f>
        <v>504</v>
      </c>
      <c r="X156" s="1">
        <f ca="1">IFERROR(__xludf.DUMMYFUNCTION("""COMPUTED_VALUE"""),754)</f>
        <v>754</v>
      </c>
      <c r="Y156" s="1">
        <f ca="1">IFERROR(__xludf.DUMMYFUNCTION("""COMPUTED_VALUE"""),0.668)</f>
        <v>0.66800000000000004</v>
      </c>
      <c r="Z156" s="1">
        <f ca="1">IFERROR(__xludf.DUMMYFUNCTION("""COMPUTED_VALUE"""),490)</f>
        <v>490</v>
      </c>
      <c r="AA156" s="1">
        <f ca="1">IFERROR(__xludf.DUMMYFUNCTION("""COMPUTED_VALUE"""),1370)</f>
        <v>1370</v>
      </c>
      <c r="AB156" s="1">
        <f ca="1">IFERROR(__xludf.DUMMYFUNCTION("""COMPUTED_VALUE"""),513)</f>
        <v>513</v>
      </c>
      <c r="AC156" s="1">
        <f ca="1">IFERROR(__xludf.DUMMYFUNCTION("""COMPUTED_VALUE"""),286)</f>
        <v>286</v>
      </c>
      <c r="AD156" s="1">
        <f ca="1">IFERROR(__xludf.DUMMYFUNCTION("""COMPUTED_VALUE"""),151)</f>
        <v>151</v>
      </c>
      <c r="AE156" s="1">
        <f ca="1">IFERROR(__xludf.DUMMYFUNCTION("""COMPUTED_VALUE"""),476)</f>
        <v>476</v>
      </c>
      <c r="AF156" s="1">
        <f ca="1">IFERROR(__xludf.DUMMYFUNCTION("""COMPUTED_VALUE"""),642)</f>
        <v>642</v>
      </c>
    </row>
    <row r="157" spans="1:32" ht="12.5" x14ac:dyDescent="0.25">
      <c r="A157" s="1" t="str">
        <f ca="1">IFERROR(__xludf.DUMMYFUNCTION("""COMPUTED_VALUE"""),"KentuckyNCAA")</f>
        <v>KentuckyNCAA</v>
      </c>
      <c r="B157" s="1">
        <f ca="1">IFERROR(__xludf.DUMMYFUNCTION("""COMPUTED_VALUE"""),38)</f>
        <v>38</v>
      </c>
      <c r="C157" s="1">
        <f ca="1">IFERROR(__xludf.DUMMYFUNCTION("""COMPUTED_VALUE"""),29)</f>
        <v>29</v>
      </c>
      <c r="D157" s="1">
        <f ca="1">IFERROR(__xludf.DUMMYFUNCTION("""COMPUTED_VALUE"""),9)</f>
        <v>9</v>
      </c>
      <c r="E157" s="1">
        <f ca="1">IFERROR(__xludf.DUMMYFUNCTION("""COMPUTED_VALUE"""),0.763)</f>
        <v>0.76300000000000001</v>
      </c>
      <c r="F157" s="1">
        <f ca="1">IFERROR(__xludf.DUMMYFUNCTION("""COMPUTED_VALUE"""),20.3)</f>
        <v>20.3</v>
      </c>
      <c r="G157" s="1">
        <f ca="1">IFERROR(__xludf.DUMMYFUNCTION("""COMPUTED_VALUE"""),8.91)</f>
        <v>8.91</v>
      </c>
      <c r="H157" s="1">
        <f ca="1">IFERROR(__xludf.DUMMYFUNCTION("""COMPUTED_VALUE"""),10)</f>
        <v>10</v>
      </c>
      <c r="I157" s="1">
        <f ca="1">IFERROR(__xludf.DUMMYFUNCTION("""COMPUTED_VALUE"""),6)</f>
        <v>6</v>
      </c>
      <c r="J157" s="1">
        <f ca="1">IFERROR(__xludf.DUMMYFUNCTION("""COMPUTED_VALUE"""),15)</f>
        <v>15</v>
      </c>
      <c r="K157" s="1">
        <f ca="1">IFERROR(__xludf.DUMMYFUNCTION("""COMPUTED_VALUE"""),0)</f>
        <v>0</v>
      </c>
      <c r="L157" s="1">
        <f ca="1">IFERROR(__xludf.DUMMYFUNCTION("""COMPUTED_VALUE"""),3)</f>
        <v>3</v>
      </c>
      <c r="M157" s="1">
        <f ca="1">IFERROR(__xludf.DUMMYFUNCTION("""COMPUTED_VALUE"""),7)</f>
        <v>7</v>
      </c>
      <c r="N157" s="1">
        <f ca="1">IFERROR(__xludf.DUMMYFUNCTION("""COMPUTED_VALUE"""),2845)</f>
        <v>2845</v>
      </c>
      <c r="O157" s="1">
        <f ca="1">IFERROR(__xludf.DUMMYFUNCTION("""COMPUTED_VALUE"""),2412)</f>
        <v>2412</v>
      </c>
      <c r="P157" s="1">
        <f ca="1">IFERROR(__xludf.DUMMYFUNCTION("""COMPUTED_VALUE"""),1525)</f>
        <v>1525</v>
      </c>
      <c r="Q157" s="1">
        <f ca="1">IFERROR(__xludf.DUMMYFUNCTION("""COMPUTED_VALUE"""),1002)</f>
        <v>1002</v>
      </c>
      <c r="R157" s="1">
        <f ca="1">IFERROR(__xludf.DUMMYFUNCTION("""COMPUTED_VALUE"""),2183)</f>
        <v>2183</v>
      </c>
      <c r="S157" s="1">
        <f ca="1">IFERROR(__xludf.DUMMYFUNCTION("""COMPUTED_VALUE"""),0.459)</f>
        <v>0.45900000000000002</v>
      </c>
      <c r="T157" s="1">
        <f ca="1">IFERROR(__xludf.DUMMYFUNCTION("""COMPUTED_VALUE"""),281)</f>
        <v>281</v>
      </c>
      <c r="U157" s="1">
        <f ca="1">IFERROR(__xludf.DUMMYFUNCTION("""COMPUTED_VALUE"""),707)</f>
        <v>707</v>
      </c>
      <c r="V157" s="1">
        <f ca="1">IFERROR(__xludf.DUMMYFUNCTION("""COMPUTED_VALUE"""),0.397)</f>
        <v>0.39700000000000002</v>
      </c>
      <c r="W157" s="1">
        <f ca="1">IFERROR(__xludf.DUMMYFUNCTION("""COMPUTED_VALUE"""),560)</f>
        <v>560</v>
      </c>
      <c r="X157" s="1">
        <f ca="1">IFERROR(__xludf.DUMMYFUNCTION("""COMPUTED_VALUE"""),789)</f>
        <v>789</v>
      </c>
      <c r="Y157" s="1">
        <f ca="1">IFERROR(__xludf.DUMMYFUNCTION("""COMPUTED_VALUE"""),0.71)</f>
        <v>0.71</v>
      </c>
      <c r="Z157" s="1">
        <f ca="1">IFERROR(__xludf.DUMMYFUNCTION("""COMPUTED_VALUE"""),445)</f>
        <v>445</v>
      </c>
      <c r="AA157" s="1">
        <f ca="1">IFERROR(__xludf.DUMMYFUNCTION("""COMPUTED_VALUE"""),1420)</f>
        <v>1420</v>
      </c>
      <c r="AB157" s="1">
        <f ca="1">IFERROR(__xludf.DUMMYFUNCTION("""COMPUTED_VALUE"""),482)</f>
        <v>482</v>
      </c>
      <c r="AC157" s="1">
        <f ca="1">IFERROR(__xludf.DUMMYFUNCTION("""COMPUTED_VALUE"""),211)</f>
        <v>211</v>
      </c>
      <c r="AD157" s="1">
        <f ca="1">IFERROR(__xludf.DUMMYFUNCTION("""COMPUTED_VALUE"""),239)</f>
        <v>239</v>
      </c>
      <c r="AE157" s="1">
        <f ca="1">IFERROR(__xludf.DUMMYFUNCTION("""COMPUTED_VALUE"""),406)</f>
        <v>406</v>
      </c>
      <c r="AF157" s="1">
        <f ca="1">IFERROR(__xludf.DUMMYFUNCTION("""COMPUTED_VALUE"""),601)</f>
        <v>601</v>
      </c>
    </row>
    <row r="158" spans="1:32" ht="12.5" x14ac:dyDescent="0.25">
      <c r="A158" s="1" t="str">
        <f ca="1">IFERROR(__xludf.DUMMYFUNCTION("""COMPUTED_VALUE"""),"La Salle")</f>
        <v>La Salle</v>
      </c>
      <c r="B158" s="1">
        <f ca="1">IFERROR(__xludf.DUMMYFUNCTION("""COMPUTED_VALUE"""),33)</f>
        <v>33</v>
      </c>
      <c r="C158" s="1">
        <f ca="1">IFERROR(__xludf.DUMMYFUNCTION("""COMPUTED_VALUE"""),15)</f>
        <v>15</v>
      </c>
      <c r="D158" s="1">
        <f ca="1">IFERROR(__xludf.DUMMYFUNCTION("""COMPUTED_VALUE"""),18)</f>
        <v>18</v>
      </c>
      <c r="E158" s="1">
        <f ca="1">IFERROR(__xludf.DUMMYFUNCTION("""COMPUTED_VALUE"""),0.455)</f>
        <v>0.45500000000000002</v>
      </c>
      <c r="F158" s="1">
        <f ca="1">IFERROR(__xludf.DUMMYFUNCTION("""COMPUTED_VALUE"""),-0.08)</f>
        <v>-0.08</v>
      </c>
      <c r="G158" s="1">
        <f ca="1">IFERROR(__xludf.DUMMYFUNCTION("""COMPUTED_VALUE"""),1.7)</f>
        <v>1.7</v>
      </c>
      <c r="H158" s="1">
        <f ca="1">IFERROR(__xludf.DUMMYFUNCTION("""COMPUTED_VALUE"""),6)</f>
        <v>6</v>
      </c>
      <c r="I158" s="1">
        <f ca="1">IFERROR(__xludf.DUMMYFUNCTION("""COMPUTED_VALUE"""),10)</f>
        <v>10</v>
      </c>
      <c r="J158" s="1">
        <f ca="1">IFERROR(__xludf.DUMMYFUNCTION("""COMPUTED_VALUE"""),9)</f>
        <v>9</v>
      </c>
      <c r="K158" s="1">
        <f ca="1">IFERROR(__xludf.DUMMYFUNCTION("""COMPUTED_VALUE"""),10)</f>
        <v>10</v>
      </c>
      <c r="L158" s="1">
        <f ca="1">IFERROR(__xludf.DUMMYFUNCTION("""COMPUTED_VALUE"""),5)</f>
        <v>5</v>
      </c>
      <c r="M158" s="1">
        <f ca="1">IFERROR(__xludf.DUMMYFUNCTION("""COMPUTED_VALUE"""),5)</f>
        <v>5</v>
      </c>
      <c r="N158" s="1">
        <f ca="1">IFERROR(__xludf.DUMMYFUNCTION("""COMPUTED_VALUE"""),2536)</f>
        <v>2536</v>
      </c>
      <c r="O158" s="1">
        <f ca="1">IFERROR(__xludf.DUMMYFUNCTION("""COMPUTED_VALUE"""),2595)</f>
        <v>2595</v>
      </c>
      <c r="P158" s="1">
        <f ca="1">IFERROR(__xludf.DUMMYFUNCTION("""COMPUTED_VALUE"""),1360)</f>
        <v>1360</v>
      </c>
      <c r="Q158" s="1">
        <f ca="1">IFERROR(__xludf.DUMMYFUNCTION("""COMPUTED_VALUE"""),923)</f>
        <v>923</v>
      </c>
      <c r="R158" s="1">
        <f ca="1">IFERROR(__xludf.DUMMYFUNCTION("""COMPUTED_VALUE"""),2070)</f>
        <v>2070</v>
      </c>
      <c r="S158" s="1">
        <f ca="1">IFERROR(__xludf.DUMMYFUNCTION("""COMPUTED_VALUE"""),0.446)</f>
        <v>0.44600000000000001</v>
      </c>
      <c r="T158" s="1">
        <f ca="1">IFERROR(__xludf.DUMMYFUNCTION("""COMPUTED_VALUE"""),208)</f>
        <v>208</v>
      </c>
      <c r="U158" s="1">
        <f ca="1">IFERROR(__xludf.DUMMYFUNCTION("""COMPUTED_VALUE"""),571)</f>
        <v>571</v>
      </c>
      <c r="V158" s="1">
        <f ca="1">IFERROR(__xludf.DUMMYFUNCTION("""COMPUTED_VALUE"""),0.364)</f>
        <v>0.36399999999999999</v>
      </c>
      <c r="W158" s="1">
        <f ca="1">IFERROR(__xludf.DUMMYFUNCTION("""COMPUTED_VALUE"""),482)</f>
        <v>482</v>
      </c>
      <c r="X158" s="1">
        <f ca="1">IFERROR(__xludf.DUMMYFUNCTION("""COMPUTED_VALUE"""),680)</f>
        <v>680</v>
      </c>
      <c r="Y158" s="1">
        <f ca="1">IFERROR(__xludf.DUMMYFUNCTION("""COMPUTED_VALUE"""),0.709)</f>
        <v>0.70899999999999996</v>
      </c>
      <c r="Z158" s="1">
        <f ca="1">IFERROR(__xludf.DUMMYFUNCTION("""COMPUTED_VALUE"""),461)</f>
        <v>461</v>
      </c>
      <c r="AA158" s="1">
        <f ca="1">IFERROR(__xludf.DUMMYFUNCTION("""COMPUTED_VALUE"""),1273)</f>
        <v>1273</v>
      </c>
      <c r="AB158" s="1">
        <f ca="1">IFERROR(__xludf.DUMMYFUNCTION("""COMPUTED_VALUE"""),496)</f>
        <v>496</v>
      </c>
      <c r="AC158" s="1">
        <f ca="1">IFERROR(__xludf.DUMMYFUNCTION("""COMPUTED_VALUE"""),245)</f>
        <v>245</v>
      </c>
      <c r="AD158" s="1">
        <f ca="1">IFERROR(__xludf.DUMMYFUNCTION("""COMPUTED_VALUE"""),132)</f>
        <v>132</v>
      </c>
      <c r="AE158" s="1">
        <f ca="1">IFERROR(__xludf.DUMMYFUNCTION("""COMPUTED_VALUE"""),513)</f>
        <v>513</v>
      </c>
      <c r="AF158" s="1">
        <f ca="1">IFERROR(__xludf.DUMMYFUNCTION("""COMPUTED_VALUE"""),616)</f>
        <v>616</v>
      </c>
    </row>
    <row r="159" spans="1:32" ht="12.5" x14ac:dyDescent="0.25">
      <c r="A159" s="1" t="str">
        <f ca="1">IFERROR(__xludf.DUMMYFUNCTION("""COMPUTED_VALUE"""),"Lafayette")</f>
        <v>Lafayette</v>
      </c>
      <c r="B159" s="1">
        <f ca="1">IFERROR(__xludf.DUMMYFUNCTION("""COMPUTED_VALUE"""),32)</f>
        <v>32</v>
      </c>
      <c r="C159" s="1">
        <f ca="1">IFERROR(__xludf.DUMMYFUNCTION("""COMPUTED_VALUE"""),13)</f>
        <v>13</v>
      </c>
      <c r="D159" s="1">
        <f ca="1">IFERROR(__xludf.DUMMYFUNCTION("""COMPUTED_VALUE"""),19)</f>
        <v>19</v>
      </c>
      <c r="E159" s="1">
        <f ca="1">IFERROR(__xludf.DUMMYFUNCTION("""COMPUTED_VALUE"""),0.406)</f>
        <v>0.40600000000000003</v>
      </c>
      <c r="F159" s="1">
        <f ca="1">IFERROR(__xludf.DUMMYFUNCTION("""COMPUTED_VALUE"""),-7.26)</f>
        <v>-7.26</v>
      </c>
      <c r="G159" s="1">
        <f ca="1">IFERROR(__xludf.DUMMYFUNCTION("""COMPUTED_VALUE"""),-4.19)</f>
        <v>-4.1900000000000004</v>
      </c>
      <c r="H159" s="1">
        <f ca="1">IFERROR(__xludf.DUMMYFUNCTION("""COMPUTED_VALUE"""),6)</f>
        <v>6</v>
      </c>
      <c r="I159" s="1">
        <f ca="1">IFERROR(__xludf.DUMMYFUNCTION("""COMPUTED_VALUE"""),8)</f>
        <v>8</v>
      </c>
      <c r="J159" s="1">
        <f ca="1">IFERROR(__xludf.DUMMYFUNCTION("""COMPUTED_VALUE"""),8)</f>
        <v>8</v>
      </c>
      <c r="K159" s="1">
        <f ca="1">IFERROR(__xludf.DUMMYFUNCTION("""COMPUTED_VALUE"""),6)</f>
        <v>6</v>
      </c>
      <c r="L159" s="1">
        <f ca="1">IFERROR(__xludf.DUMMYFUNCTION("""COMPUTED_VALUE"""),5)</f>
        <v>5</v>
      </c>
      <c r="M159" s="1">
        <f ca="1">IFERROR(__xludf.DUMMYFUNCTION("""COMPUTED_VALUE"""),13)</f>
        <v>13</v>
      </c>
      <c r="N159" s="1">
        <f ca="1">IFERROR(__xludf.DUMMYFUNCTION("""COMPUTED_VALUE"""),2237)</f>
        <v>2237</v>
      </c>
      <c r="O159" s="1">
        <f ca="1">IFERROR(__xludf.DUMMYFUNCTION("""COMPUTED_VALUE"""),2310)</f>
        <v>2310</v>
      </c>
      <c r="P159" s="1">
        <f ca="1">IFERROR(__xludf.DUMMYFUNCTION("""COMPUTED_VALUE"""),1315)</f>
        <v>1315</v>
      </c>
      <c r="Q159" s="1">
        <f ca="1">IFERROR(__xludf.DUMMYFUNCTION("""COMPUTED_VALUE"""),754)</f>
        <v>754</v>
      </c>
      <c r="R159" s="1">
        <f ca="1">IFERROR(__xludf.DUMMYFUNCTION("""COMPUTED_VALUE"""),1757)</f>
        <v>1757</v>
      </c>
      <c r="S159" s="1">
        <f ca="1">IFERROR(__xludf.DUMMYFUNCTION("""COMPUTED_VALUE"""),0.429)</f>
        <v>0.42899999999999999</v>
      </c>
      <c r="T159" s="1">
        <f ca="1">IFERROR(__xludf.DUMMYFUNCTION("""COMPUTED_VALUE"""),247)</f>
        <v>247</v>
      </c>
      <c r="U159" s="1">
        <f ca="1">IFERROR(__xludf.DUMMYFUNCTION("""COMPUTED_VALUE"""),705)</f>
        <v>705</v>
      </c>
      <c r="V159" s="1">
        <f ca="1">IFERROR(__xludf.DUMMYFUNCTION("""COMPUTED_VALUE"""),0.35)</f>
        <v>0.35</v>
      </c>
      <c r="W159" s="1">
        <f ca="1">IFERROR(__xludf.DUMMYFUNCTION("""COMPUTED_VALUE"""),482)</f>
        <v>482</v>
      </c>
      <c r="X159" s="1">
        <f ca="1">IFERROR(__xludf.DUMMYFUNCTION("""COMPUTED_VALUE"""),633)</f>
        <v>633</v>
      </c>
      <c r="Y159" s="1">
        <f ca="1">IFERROR(__xludf.DUMMYFUNCTION("""COMPUTED_VALUE"""),0.761)</f>
        <v>0.76100000000000001</v>
      </c>
      <c r="Z159" s="1">
        <f ca="1">IFERROR(__xludf.DUMMYFUNCTION("""COMPUTED_VALUE"""),293)</f>
        <v>293</v>
      </c>
      <c r="AA159" s="1">
        <f ca="1">IFERROR(__xludf.DUMMYFUNCTION("""COMPUTED_VALUE"""),1031)</f>
        <v>1031</v>
      </c>
      <c r="AB159" s="1">
        <f ca="1">IFERROR(__xludf.DUMMYFUNCTION("""COMPUTED_VALUE"""),476)</f>
        <v>476</v>
      </c>
      <c r="AC159" s="1">
        <f ca="1">IFERROR(__xludf.DUMMYFUNCTION("""COMPUTED_VALUE"""),196)</f>
        <v>196</v>
      </c>
      <c r="AD159" s="1">
        <f ca="1">IFERROR(__xludf.DUMMYFUNCTION("""COMPUTED_VALUE"""),79)</f>
        <v>79</v>
      </c>
      <c r="AE159" s="1">
        <f ca="1">IFERROR(__xludf.DUMMYFUNCTION("""COMPUTED_VALUE"""),430)</f>
        <v>430</v>
      </c>
      <c r="AF159" s="1">
        <f ca="1">IFERROR(__xludf.DUMMYFUNCTION("""COMPUTED_VALUE"""),648)</f>
        <v>648</v>
      </c>
    </row>
    <row r="160" spans="1:32" ht="12.5" x14ac:dyDescent="0.25">
      <c r="A160" s="1" t="str">
        <f ca="1">IFERROR(__xludf.DUMMYFUNCTION("""COMPUTED_VALUE"""),"Lamar")</f>
        <v>Lamar</v>
      </c>
      <c r="B160" s="1">
        <f ca="1">IFERROR(__xludf.DUMMYFUNCTION("""COMPUTED_VALUE"""),30)</f>
        <v>30</v>
      </c>
      <c r="C160" s="1">
        <f ca="1">IFERROR(__xludf.DUMMYFUNCTION("""COMPUTED_VALUE"""),13)</f>
        <v>13</v>
      </c>
      <c r="D160" s="1">
        <f ca="1">IFERROR(__xludf.DUMMYFUNCTION("""COMPUTED_VALUE"""),17)</f>
        <v>17</v>
      </c>
      <c r="E160" s="1">
        <f ca="1">IFERROR(__xludf.DUMMYFUNCTION("""COMPUTED_VALUE"""),0.433)</f>
        <v>0.433</v>
      </c>
      <c r="F160" s="1">
        <f ca="1">IFERROR(__xludf.DUMMYFUNCTION("""COMPUTED_VALUE"""),-6.69)</f>
        <v>-6.69</v>
      </c>
      <c r="G160" s="1">
        <f ca="1">IFERROR(__xludf.DUMMYFUNCTION("""COMPUTED_VALUE"""),-5.96)</f>
        <v>-5.96</v>
      </c>
      <c r="H160" s="1">
        <f ca="1">IFERROR(__xludf.DUMMYFUNCTION("""COMPUTED_VALUE"""),7)</f>
        <v>7</v>
      </c>
      <c r="I160" s="1">
        <f ca="1">IFERROR(__xludf.DUMMYFUNCTION("""COMPUTED_VALUE"""),9)</f>
        <v>9</v>
      </c>
      <c r="J160" s="1">
        <f ca="1">IFERROR(__xludf.DUMMYFUNCTION("""COMPUTED_VALUE"""),8)</f>
        <v>8</v>
      </c>
      <c r="K160" s="1">
        <f ca="1">IFERROR(__xludf.DUMMYFUNCTION("""COMPUTED_VALUE"""),5)</f>
        <v>5</v>
      </c>
      <c r="L160" s="1">
        <f ca="1">IFERROR(__xludf.DUMMYFUNCTION("""COMPUTED_VALUE"""),4)</f>
        <v>4</v>
      </c>
      <c r="M160" s="1">
        <f ca="1">IFERROR(__xludf.DUMMYFUNCTION("""COMPUTED_VALUE"""),11)</f>
        <v>11</v>
      </c>
      <c r="N160" s="1">
        <f ca="1">IFERROR(__xludf.DUMMYFUNCTION("""COMPUTED_VALUE"""),2463)</f>
        <v>2463</v>
      </c>
      <c r="O160" s="1">
        <f ca="1">IFERROR(__xludf.DUMMYFUNCTION("""COMPUTED_VALUE"""),2279)</f>
        <v>2279</v>
      </c>
      <c r="P160" s="1">
        <f ca="1">IFERROR(__xludf.DUMMYFUNCTION("""COMPUTED_VALUE"""),1200)</f>
        <v>1200</v>
      </c>
      <c r="Q160" s="1">
        <f ca="1">IFERROR(__xludf.DUMMYFUNCTION("""COMPUTED_VALUE"""),846)</f>
        <v>846</v>
      </c>
      <c r="R160" s="1">
        <f ca="1">IFERROR(__xludf.DUMMYFUNCTION("""COMPUTED_VALUE"""),1961)</f>
        <v>1961</v>
      </c>
      <c r="S160" s="1">
        <f ca="1">IFERROR(__xludf.DUMMYFUNCTION("""COMPUTED_VALUE"""),0.431)</f>
        <v>0.43099999999999999</v>
      </c>
      <c r="T160" s="1">
        <f ca="1">IFERROR(__xludf.DUMMYFUNCTION("""COMPUTED_VALUE"""),234)</f>
        <v>234</v>
      </c>
      <c r="U160" s="1">
        <f ca="1">IFERROR(__xludf.DUMMYFUNCTION("""COMPUTED_VALUE"""),650)</f>
        <v>650</v>
      </c>
      <c r="V160" s="1">
        <f ca="1">IFERROR(__xludf.DUMMYFUNCTION("""COMPUTED_VALUE"""),0.36)</f>
        <v>0.36</v>
      </c>
      <c r="W160" s="1">
        <f ca="1">IFERROR(__xludf.DUMMYFUNCTION("""COMPUTED_VALUE"""),537)</f>
        <v>537</v>
      </c>
      <c r="X160" s="1">
        <f ca="1">IFERROR(__xludf.DUMMYFUNCTION("""COMPUTED_VALUE"""),782)</f>
        <v>782</v>
      </c>
      <c r="Y160" s="1">
        <f ca="1">IFERROR(__xludf.DUMMYFUNCTION("""COMPUTED_VALUE"""),0.687)</f>
        <v>0.68700000000000006</v>
      </c>
      <c r="Z160" s="1">
        <f ca="1">IFERROR(__xludf.DUMMYFUNCTION("""COMPUTED_VALUE"""),466)</f>
        <v>466</v>
      </c>
      <c r="AA160" s="1">
        <f ca="1">IFERROR(__xludf.DUMMYFUNCTION("""COMPUTED_VALUE"""),1235)</f>
        <v>1235</v>
      </c>
      <c r="AB160" s="1">
        <f ca="1">IFERROR(__xludf.DUMMYFUNCTION("""COMPUTED_VALUE"""),437)</f>
        <v>437</v>
      </c>
      <c r="AC160" s="1">
        <f ca="1">IFERROR(__xludf.DUMMYFUNCTION("""COMPUTED_VALUE"""),246)</f>
        <v>246</v>
      </c>
      <c r="AD160" s="1">
        <f ca="1">IFERROR(__xludf.DUMMYFUNCTION("""COMPUTED_VALUE"""),111)</f>
        <v>111</v>
      </c>
      <c r="AE160" s="1">
        <f ca="1">IFERROR(__xludf.DUMMYFUNCTION("""COMPUTED_VALUE"""),458)</f>
        <v>458</v>
      </c>
      <c r="AF160" s="1">
        <f ca="1">IFERROR(__xludf.DUMMYFUNCTION("""COMPUTED_VALUE"""),692)</f>
        <v>692</v>
      </c>
    </row>
    <row r="161" spans="1:32" ht="12.5" x14ac:dyDescent="0.25">
      <c r="A161" s="1" t="str">
        <f ca="1">IFERROR(__xludf.DUMMYFUNCTION("""COMPUTED_VALUE"""),"Lehigh")</f>
        <v>Lehigh</v>
      </c>
      <c r="B161" s="1">
        <f ca="1">IFERROR(__xludf.DUMMYFUNCTION("""COMPUTED_VALUE"""),31)</f>
        <v>31</v>
      </c>
      <c r="C161" s="1">
        <f ca="1">IFERROR(__xludf.DUMMYFUNCTION("""COMPUTED_VALUE"""),16)</f>
        <v>16</v>
      </c>
      <c r="D161" s="1">
        <f ca="1">IFERROR(__xludf.DUMMYFUNCTION("""COMPUTED_VALUE"""),15)</f>
        <v>15</v>
      </c>
      <c r="E161" s="1">
        <f ca="1">IFERROR(__xludf.DUMMYFUNCTION("""COMPUTED_VALUE"""),0.516)</f>
        <v>0.51600000000000001</v>
      </c>
      <c r="F161" s="1">
        <f ca="1">IFERROR(__xludf.DUMMYFUNCTION("""COMPUTED_VALUE"""),-4.07)</f>
        <v>-4.07</v>
      </c>
      <c r="G161" s="1">
        <f ca="1">IFERROR(__xludf.DUMMYFUNCTION("""COMPUTED_VALUE"""),-5.69)</f>
        <v>-5.69</v>
      </c>
      <c r="H161" s="1">
        <f ca="1">IFERROR(__xludf.DUMMYFUNCTION("""COMPUTED_VALUE"""),6)</f>
        <v>6</v>
      </c>
      <c r="I161" s="1">
        <f ca="1">IFERROR(__xludf.DUMMYFUNCTION("""COMPUTED_VALUE"""),8)</f>
        <v>8</v>
      </c>
      <c r="J161" s="1">
        <f ca="1">IFERROR(__xludf.DUMMYFUNCTION("""COMPUTED_VALUE"""),9)</f>
        <v>9</v>
      </c>
      <c r="K161" s="1">
        <f ca="1">IFERROR(__xludf.DUMMYFUNCTION("""COMPUTED_VALUE"""),5)</f>
        <v>5</v>
      </c>
      <c r="L161" s="1">
        <f ca="1">IFERROR(__xludf.DUMMYFUNCTION("""COMPUTED_VALUE"""),7)</f>
        <v>7</v>
      </c>
      <c r="M161" s="1">
        <f ca="1">IFERROR(__xludf.DUMMYFUNCTION("""COMPUTED_VALUE"""),10)</f>
        <v>10</v>
      </c>
      <c r="N161" s="1">
        <f ca="1">IFERROR(__xludf.DUMMYFUNCTION("""COMPUTED_VALUE"""),2282)</f>
        <v>2282</v>
      </c>
      <c r="O161" s="1">
        <f ca="1">IFERROR(__xludf.DUMMYFUNCTION("""COMPUTED_VALUE"""),2232)</f>
        <v>2232</v>
      </c>
      <c r="P161" s="1">
        <f ca="1">IFERROR(__xludf.DUMMYFUNCTION("""COMPUTED_VALUE"""),1255)</f>
        <v>1255</v>
      </c>
      <c r="Q161" s="1">
        <f ca="1">IFERROR(__xludf.DUMMYFUNCTION("""COMPUTED_VALUE"""),743)</f>
        <v>743</v>
      </c>
      <c r="R161" s="1">
        <f ca="1">IFERROR(__xludf.DUMMYFUNCTION("""COMPUTED_VALUE"""),1781)</f>
        <v>1781</v>
      </c>
      <c r="S161" s="1">
        <f ca="1">IFERROR(__xludf.DUMMYFUNCTION("""COMPUTED_VALUE"""),0.417)</f>
        <v>0.41699999999999998</v>
      </c>
      <c r="T161" s="1">
        <f ca="1">IFERROR(__xludf.DUMMYFUNCTION("""COMPUTED_VALUE"""),172)</f>
        <v>172</v>
      </c>
      <c r="U161" s="1">
        <f ca="1">IFERROR(__xludf.DUMMYFUNCTION("""COMPUTED_VALUE"""),525)</f>
        <v>525</v>
      </c>
      <c r="V161" s="1">
        <f ca="1">IFERROR(__xludf.DUMMYFUNCTION("""COMPUTED_VALUE"""),0.328)</f>
        <v>0.32800000000000001</v>
      </c>
      <c r="W161" s="1">
        <f ca="1">IFERROR(__xludf.DUMMYFUNCTION("""COMPUTED_VALUE"""),624)</f>
        <v>624</v>
      </c>
      <c r="X161" s="1">
        <f ca="1">IFERROR(__xludf.DUMMYFUNCTION("""COMPUTED_VALUE"""),826)</f>
        <v>826</v>
      </c>
      <c r="Y161" s="1">
        <f ca="1">IFERROR(__xludf.DUMMYFUNCTION("""COMPUTED_VALUE"""),0.755)</f>
        <v>0.755</v>
      </c>
      <c r="Z161" s="1">
        <f ca="1">IFERROR(__xludf.DUMMYFUNCTION("""COMPUTED_VALUE"""),351)</f>
        <v>351</v>
      </c>
      <c r="AA161" s="1">
        <f ca="1">IFERROR(__xludf.DUMMYFUNCTION("""COMPUTED_VALUE"""),1137)</f>
        <v>1137</v>
      </c>
      <c r="AB161" s="1">
        <f ca="1">IFERROR(__xludf.DUMMYFUNCTION("""COMPUTED_VALUE"""),372)</f>
        <v>372</v>
      </c>
      <c r="AC161" s="1">
        <f ca="1">IFERROR(__xludf.DUMMYFUNCTION("""COMPUTED_VALUE"""),236)</f>
        <v>236</v>
      </c>
      <c r="AD161" s="1">
        <f ca="1">IFERROR(__xludf.DUMMYFUNCTION("""COMPUTED_VALUE"""),119)</f>
        <v>119</v>
      </c>
      <c r="AE161" s="1">
        <f ca="1">IFERROR(__xludf.DUMMYFUNCTION("""COMPUTED_VALUE"""),402)</f>
        <v>402</v>
      </c>
      <c r="AF161" s="1">
        <f ca="1">IFERROR(__xludf.DUMMYFUNCTION("""COMPUTED_VALUE"""),593)</f>
        <v>593</v>
      </c>
    </row>
    <row r="162" spans="1:32" ht="12.5" x14ac:dyDescent="0.25">
      <c r="A162" s="1" t="str">
        <f ca="1">IFERROR(__xludf.DUMMYFUNCTION("""COMPUTED_VALUE"""),"Liberty")</f>
        <v>Liberty</v>
      </c>
      <c r="B162" s="1">
        <f ca="1">IFERROR(__xludf.DUMMYFUNCTION("""COMPUTED_VALUE"""),32)</f>
        <v>32</v>
      </c>
      <c r="C162" s="1">
        <f ca="1">IFERROR(__xludf.DUMMYFUNCTION("""COMPUTED_VALUE"""),19)</f>
        <v>19</v>
      </c>
      <c r="D162" s="1">
        <f ca="1">IFERROR(__xludf.DUMMYFUNCTION("""COMPUTED_VALUE"""),13)</f>
        <v>13</v>
      </c>
      <c r="E162" s="1">
        <f ca="1">IFERROR(__xludf.DUMMYFUNCTION("""COMPUTED_VALUE"""),0.594)</f>
        <v>0.59399999999999997</v>
      </c>
      <c r="F162" s="1">
        <f ca="1">IFERROR(__xludf.DUMMYFUNCTION("""COMPUTED_VALUE"""),-5.62)</f>
        <v>-5.62</v>
      </c>
      <c r="G162" s="1">
        <f ca="1">IFERROR(__xludf.DUMMYFUNCTION("""COMPUTED_VALUE"""),-4.86)</f>
        <v>-4.8600000000000003</v>
      </c>
      <c r="H162" s="1">
        <f ca="1">IFERROR(__xludf.DUMMYFUNCTION("""COMPUTED_VALUE"""),13)</f>
        <v>13</v>
      </c>
      <c r="I162" s="1">
        <f ca="1">IFERROR(__xludf.DUMMYFUNCTION("""COMPUTED_VALUE"""),5)</f>
        <v>5</v>
      </c>
      <c r="J162" s="1">
        <f ca="1">IFERROR(__xludf.DUMMYFUNCTION("""COMPUTED_VALUE"""),12)</f>
        <v>12</v>
      </c>
      <c r="K162" s="1">
        <f ca="1">IFERROR(__xludf.DUMMYFUNCTION("""COMPUTED_VALUE"""),4)</f>
        <v>4</v>
      </c>
      <c r="L162" s="1">
        <f ca="1">IFERROR(__xludf.DUMMYFUNCTION("""COMPUTED_VALUE"""),5)</f>
        <v>5</v>
      </c>
      <c r="M162" s="1">
        <f ca="1">IFERROR(__xludf.DUMMYFUNCTION("""COMPUTED_VALUE"""),9)</f>
        <v>9</v>
      </c>
      <c r="N162" s="1">
        <f ca="1">IFERROR(__xludf.DUMMYFUNCTION("""COMPUTED_VALUE"""),2165)</f>
        <v>2165</v>
      </c>
      <c r="O162" s="1">
        <f ca="1">IFERROR(__xludf.DUMMYFUNCTION("""COMPUTED_VALUE"""),2100)</f>
        <v>2100</v>
      </c>
      <c r="P162" s="1">
        <f ca="1">IFERROR(__xludf.DUMMYFUNCTION("""COMPUTED_VALUE"""),1300)</f>
        <v>1300</v>
      </c>
      <c r="Q162" s="1">
        <f ca="1">IFERROR(__xludf.DUMMYFUNCTION("""COMPUTED_VALUE"""),779)</f>
        <v>779</v>
      </c>
      <c r="R162" s="1">
        <f ca="1">IFERROR(__xludf.DUMMYFUNCTION("""COMPUTED_VALUE"""),1827)</f>
        <v>1827</v>
      </c>
      <c r="S162" s="1">
        <f ca="1">IFERROR(__xludf.DUMMYFUNCTION("""COMPUTED_VALUE"""),0.426)</f>
        <v>0.42599999999999999</v>
      </c>
      <c r="T162" s="1">
        <f ca="1">IFERROR(__xludf.DUMMYFUNCTION("""COMPUTED_VALUE"""),166)</f>
        <v>166</v>
      </c>
      <c r="U162" s="1">
        <f ca="1">IFERROR(__xludf.DUMMYFUNCTION("""COMPUTED_VALUE"""),516)</f>
        <v>516</v>
      </c>
      <c r="V162" s="1">
        <f ca="1">IFERROR(__xludf.DUMMYFUNCTION("""COMPUTED_VALUE"""),0.322)</f>
        <v>0.32200000000000001</v>
      </c>
      <c r="W162" s="1">
        <f ca="1">IFERROR(__xludf.DUMMYFUNCTION("""COMPUTED_VALUE"""),441)</f>
        <v>441</v>
      </c>
      <c r="X162" s="1">
        <f ca="1">IFERROR(__xludf.DUMMYFUNCTION("""COMPUTED_VALUE"""),643)</f>
        <v>643</v>
      </c>
      <c r="Y162" s="1">
        <f ca="1">IFERROR(__xludf.DUMMYFUNCTION("""COMPUTED_VALUE"""),0.686)</f>
        <v>0.68600000000000005</v>
      </c>
      <c r="Z162" s="1">
        <f ca="1">IFERROR(__xludf.DUMMYFUNCTION("""COMPUTED_VALUE"""),448)</f>
        <v>448</v>
      </c>
      <c r="AA162" s="1">
        <f ca="1">IFERROR(__xludf.DUMMYFUNCTION("""COMPUTED_VALUE"""),1237)</f>
        <v>1237</v>
      </c>
      <c r="AB162" s="1">
        <f ca="1">IFERROR(__xludf.DUMMYFUNCTION("""COMPUTED_VALUE"""),402)</f>
        <v>402</v>
      </c>
      <c r="AC162" s="1">
        <f ca="1">IFERROR(__xludf.DUMMYFUNCTION("""COMPUTED_VALUE"""),214)</f>
        <v>214</v>
      </c>
      <c r="AD162" s="1">
        <f ca="1">IFERROR(__xludf.DUMMYFUNCTION("""COMPUTED_VALUE"""),109)</f>
        <v>109</v>
      </c>
      <c r="AE162" s="1">
        <f ca="1">IFERROR(__xludf.DUMMYFUNCTION("""COMPUTED_VALUE"""),486)</f>
        <v>486</v>
      </c>
      <c r="AF162" s="1">
        <f ca="1">IFERROR(__xludf.DUMMYFUNCTION("""COMPUTED_VALUE"""),615)</f>
        <v>615</v>
      </c>
    </row>
    <row r="163" spans="1:32" ht="12.5" x14ac:dyDescent="0.25">
      <c r="A163" s="1" t="str">
        <f ca="1">IFERROR(__xludf.DUMMYFUNCTION("""COMPUTED_VALUE"""),"Lipscomb")</f>
        <v>Lipscomb</v>
      </c>
      <c r="B163" s="1">
        <f ca="1">IFERROR(__xludf.DUMMYFUNCTION("""COMPUTED_VALUE"""),30)</f>
        <v>30</v>
      </c>
      <c r="C163" s="1">
        <f ca="1">IFERROR(__xludf.DUMMYFUNCTION("""COMPUTED_VALUE"""),17)</f>
        <v>17</v>
      </c>
      <c r="D163" s="1">
        <f ca="1">IFERROR(__xludf.DUMMYFUNCTION("""COMPUTED_VALUE"""),13)</f>
        <v>13</v>
      </c>
      <c r="E163" s="1">
        <f ca="1">IFERROR(__xludf.DUMMYFUNCTION("""COMPUTED_VALUE"""),0.567)</f>
        <v>0.56699999999999995</v>
      </c>
      <c r="F163" s="1">
        <f ca="1">IFERROR(__xludf.DUMMYFUNCTION("""COMPUTED_VALUE"""),-0.96)</f>
        <v>-0.96</v>
      </c>
      <c r="G163" s="1">
        <f ca="1">IFERROR(__xludf.DUMMYFUNCTION("""COMPUTED_VALUE"""),-2.65)</f>
        <v>-2.65</v>
      </c>
      <c r="H163" s="1">
        <f ca="1">IFERROR(__xludf.DUMMYFUNCTION("""COMPUTED_VALUE"""),12)</f>
        <v>12</v>
      </c>
      <c r="I163" s="1">
        <f ca="1">IFERROR(__xludf.DUMMYFUNCTION("""COMPUTED_VALUE"""),8)</f>
        <v>8</v>
      </c>
      <c r="J163" s="1">
        <f ca="1">IFERROR(__xludf.DUMMYFUNCTION("""COMPUTED_VALUE"""),10)</f>
        <v>10</v>
      </c>
      <c r="K163" s="1">
        <f ca="1">IFERROR(__xludf.DUMMYFUNCTION("""COMPUTED_VALUE"""),2)</f>
        <v>2</v>
      </c>
      <c r="L163" s="1">
        <f ca="1">IFERROR(__xludf.DUMMYFUNCTION("""COMPUTED_VALUE"""),7)</f>
        <v>7</v>
      </c>
      <c r="M163" s="1">
        <f ca="1">IFERROR(__xludf.DUMMYFUNCTION("""COMPUTED_VALUE"""),10)</f>
        <v>10</v>
      </c>
      <c r="N163" s="1">
        <f ca="1">IFERROR(__xludf.DUMMYFUNCTION("""COMPUTED_VALUE"""),2287)</f>
        <v>2287</v>
      </c>
      <c r="O163" s="1">
        <f ca="1">IFERROR(__xludf.DUMMYFUNCTION("""COMPUTED_VALUE"""),2213)</f>
        <v>2213</v>
      </c>
      <c r="P163" s="1">
        <f ca="1">IFERROR(__xludf.DUMMYFUNCTION("""COMPUTED_VALUE"""),1215)</f>
        <v>1215</v>
      </c>
      <c r="Q163" s="1">
        <f ca="1">IFERROR(__xludf.DUMMYFUNCTION("""COMPUTED_VALUE"""),793)</f>
        <v>793</v>
      </c>
      <c r="R163" s="1">
        <f ca="1">IFERROR(__xludf.DUMMYFUNCTION("""COMPUTED_VALUE"""),1750)</f>
        <v>1750</v>
      </c>
      <c r="S163" s="1">
        <f ca="1">IFERROR(__xludf.DUMMYFUNCTION("""COMPUTED_VALUE"""),0.453)</f>
        <v>0.45300000000000001</v>
      </c>
      <c r="T163" s="1">
        <f ca="1">IFERROR(__xludf.DUMMYFUNCTION("""COMPUTED_VALUE"""),199)</f>
        <v>199</v>
      </c>
      <c r="U163" s="1">
        <f ca="1">IFERROR(__xludf.DUMMYFUNCTION("""COMPUTED_VALUE"""),596)</f>
        <v>596</v>
      </c>
      <c r="V163" s="1">
        <f ca="1">IFERROR(__xludf.DUMMYFUNCTION("""COMPUTED_VALUE"""),0.334)</f>
        <v>0.33400000000000002</v>
      </c>
      <c r="W163" s="1">
        <f ca="1">IFERROR(__xludf.DUMMYFUNCTION("""COMPUTED_VALUE"""),502)</f>
        <v>502</v>
      </c>
      <c r="X163" s="1">
        <f ca="1">IFERROR(__xludf.DUMMYFUNCTION("""COMPUTED_VALUE"""),711)</f>
        <v>711</v>
      </c>
      <c r="Y163" s="1">
        <f ca="1">IFERROR(__xludf.DUMMYFUNCTION("""COMPUTED_VALUE"""),0.706)</f>
        <v>0.70599999999999996</v>
      </c>
      <c r="Z163" s="1">
        <f ca="1">IFERROR(__xludf.DUMMYFUNCTION("""COMPUTED_VALUE"""),364)</f>
        <v>364</v>
      </c>
      <c r="AA163" s="1">
        <f ca="1">IFERROR(__xludf.DUMMYFUNCTION("""COMPUTED_VALUE"""),1123)</f>
        <v>1123</v>
      </c>
      <c r="AB163" s="1">
        <f ca="1">IFERROR(__xludf.DUMMYFUNCTION("""COMPUTED_VALUE"""),461)</f>
        <v>461</v>
      </c>
      <c r="AC163" s="1">
        <f ca="1">IFERROR(__xludf.DUMMYFUNCTION("""COMPUTED_VALUE"""),245)</f>
        <v>245</v>
      </c>
      <c r="AD163" s="1">
        <f ca="1">IFERROR(__xludf.DUMMYFUNCTION("""COMPUTED_VALUE"""),63)</f>
        <v>63</v>
      </c>
      <c r="AE163" s="1">
        <f ca="1">IFERROR(__xludf.DUMMYFUNCTION("""COMPUTED_VALUE"""),464)</f>
        <v>464</v>
      </c>
      <c r="AF163" s="1">
        <f ca="1">IFERROR(__xludf.DUMMYFUNCTION("""COMPUTED_VALUE"""),611)</f>
        <v>611</v>
      </c>
    </row>
    <row r="164" spans="1:32" ht="12.5" x14ac:dyDescent="0.25">
      <c r="A164" s="1" t="str">
        <f ca="1">IFERROR(__xludf.DUMMYFUNCTION("""COMPUTED_VALUE"""),"Cal State Long Beach")</f>
        <v>Cal State Long Beach</v>
      </c>
      <c r="B164" s="1">
        <f ca="1">IFERROR(__xludf.DUMMYFUNCTION("""COMPUTED_VALUE"""),34)</f>
        <v>34</v>
      </c>
      <c r="C164" s="1">
        <f ca="1">IFERROR(__xludf.DUMMYFUNCTION("""COMPUTED_VALUE"""),22)</f>
        <v>22</v>
      </c>
      <c r="D164" s="1">
        <f ca="1">IFERROR(__xludf.DUMMYFUNCTION("""COMPUTED_VALUE"""),12)</f>
        <v>12</v>
      </c>
      <c r="E164" s="1">
        <f ca="1">IFERROR(__xludf.DUMMYFUNCTION("""COMPUTED_VALUE"""),0.647)</f>
        <v>0.64700000000000002</v>
      </c>
      <c r="F164" s="1">
        <f ca="1">IFERROR(__xludf.DUMMYFUNCTION("""COMPUTED_VALUE"""),3.78)</f>
        <v>3.78</v>
      </c>
      <c r="G164" s="1">
        <f ca="1">IFERROR(__xludf.DUMMYFUNCTION("""COMPUTED_VALUE"""),1.69)</f>
        <v>1.69</v>
      </c>
      <c r="H164" s="1">
        <f ca="1">IFERROR(__xludf.DUMMYFUNCTION("""COMPUTED_VALUE"""),14)</f>
        <v>14</v>
      </c>
      <c r="I164" s="1">
        <f ca="1">IFERROR(__xludf.DUMMYFUNCTION("""COMPUTED_VALUE"""),2)</f>
        <v>2</v>
      </c>
      <c r="J164" s="1">
        <f ca="1">IFERROR(__xludf.DUMMYFUNCTION("""COMPUTED_VALUE"""),11)</f>
        <v>11</v>
      </c>
      <c r="K164" s="1">
        <f ca="1">IFERROR(__xludf.DUMMYFUNCTION("""COMPUTED_VALUE"""),2)</f>
        <v>2</v>
      </c>
      <c r="L164" s="1">
        <f ca="1">IFERROR(__xludf.DUMMYFUNCTION("""COMPUTED_VALUE"""),7)</f>
        <v>7</v>
      </c>
      <c r="M164" s="1">
        <f ca="1">IFERROR(__xludf.DUMMYFUNCTION("""COMPUTED_VALUE"""),7)</f>
        <v>7</v>
      </c>
      <c r="N164" s="1">
        <f ca="1">IFERROR(__xludf.DUMMYFUNCTION("""COMPUTED_VALUE"""),2489)</f>
        <v>2489</v>
      </c>
      <c r="O164" s="1">
        <f ca="1">IFERROR(__xludf.DUMMYFUNCTION("""COMPUTED_VALUE"""),2398)</f>
        <v>2398</v>
      </c>
      <c r="P164" s="1">
        <f ca="1">IFERROR(__xludf.DUMMYFUNCTION("""COMPUTED_VALUE"""),1365)</f>
        <v>1365</v>
      </c>
      <c r="Q164" s="1">
        <f ca="1">IFERROR(__xludf.DUMMYFUNCTION("""COMPUTED_VALUE"""),862)</f>
        <v>862</v>
      </c>
      <c r="R164" s="1">
        <f ca="1">IFERROR(__xludf.DUMMYFUNCTION("""COMPUTED_VALUE"""),1931)</f>
        <v>1931</v>
      </c>
      <c r="S164" s="1">
        <f ca="1">IFERROR(__xludf.DUMMYFUNCTION("""COMPUTED_VALUE"""),0.446)</f>
        <v>0.44600000000000001</v>
      </c>
      <c r="T164" s="1">
        <f ca="1">IFERROR(__xludf.DUMMYFUNCTION("""COMPUTED_VALUE"""),219)</f>
        <v>219</v>
      </c>
      <c r="U164" s="1">
        <f ca="1">IFERROR(__xludf.DUMMYFUNCTION("""COMPUTED_VALUE"""),636)</f>
        <v>636</v>
      </c>
      <c r="V164" s="1">
        <f ca="1">IFERROR(__xludf.DUMMYFUNCTION("""COMPUTED_VALUE"""),0.344)</f>
        <v>0.34399999999999997</v>
      </c>
      <c r="W164" s="1">
        <f ca="1">IFERROR(__xludf.DUMMYFUNCTION("""COMPUTED_VALUE"""),546)</f>
        <v>546</v>
      </c>
      <c r="X164" s="1">
        <f ca="1">IFERROR(__xludf.DUMMYFUNCTION("""COMPUTED_VALUE"""),812)</f>
        <v>812</v>
      </c>
      <c r="Y164" s="1">
        <f ca="1">IFERROR(__xludf.DUMMYFUNCTION("""COMPUTED_VALUE"""),0.672)</f>
        <v>0.67200000000000004</v>
      </c>
      <c r="Z164" s="1">
        <f ca="1">IFERROR(__xludf.DUMMYFUNCTION("""COMPUTED_VALUE"""),407)</f>
        <v>407</v>
      </c>
      <c r="AA164" s="1">
        <f ca="1">IFERROR(__xludf.DUMMYFUNCTION("""COMPUTED_VALUE"""),1256)</f>
        <v>1256</v>
      </c>
      <c r="AB164" s="1">
        <f ca="1">IFERROR(__xludf.DUMMYFUNCTION("""COMPUTED_VALUE"""),453)</f>
        <v>453</v>
      </c>
      <c r="AC164" s="1">
        <f ca="1">IFERROR(__xludf.DUMMYFUNCTION("""COMPUTED_VALUE"""),204)</f>
        <v>204</v>
      </c>
      <c r="AD164" s="1">
        <f ca="1">IFERROR(__xludf.DUMMYFUNCTION("""COMPUTED_VALUE"""),71)</f>
        <v>71</v>
      </c>
      <c r="AE164" s="1">
        <f ca="1">IFERROR(__xludf.DUMMYFUNCTION("""COMPUTED_VALUE"""),488)</f>
        <v>488</v>
      </c>
      <c r="AF164" s="1">
        <f ca="1">IFERROR(__xludf.DUMMYFUNCTION("""COMPUTED_VALUE"""),550)</f>
        <v>550</v>
      </c>
    </row>
    <row r="165" spans="1:32" ht="12.5" x14ac:dyDescent="0.25">
      <c r="A165" s="1" t="str">
        <f ca="1">IFERROR(__xludf.DUMMYFUNCTION("""COMPUTED_VALUE"""),"Long Island UniversityNCAA")</f>
        <v>Long Island UniversityNCAA</v>
      </c>
      <c r="B165" s="1">
        <f ca="1">IFERROR(__xludf.DUMMYFUNCTION("""COMPUTED_VALUE"""),33)</f>
        <v>33</v>
      </c>
      <c r="C165" s="1">
        <f ca="1">IFERROR(__xludf.DUMMYFUNCTION("""COMPUTED_VALUE"""),27)</f>
        <v>27</v>
      </c>
      <c r="D165" s="1">
        <f ca="1">IFERROR(__xludf.DUMMYFUNCTION("""COMPUTED_VALUE"""),6)</f>
        <v>6</v>
      </c>
      <c r="E165" s="1">
        <f ca="1">IFERROR(__xludf.DUMMYFUNCTION("""COMPUTED_VALUE"""),0.818)</f>
        <v>0.81799999999999995</v>
      </c>
      <c r="F165" s="1">
        <f ca="1">IFERROR(__xludf.DUMMYFUNCTION("""COMPUTED_VALUE"""),2.23)</f>
        <v>2.23</v>
      </c>
      <c r="G165" s="1">
        <f ca="1">IFERROR(__xludf.DUMMYFUNCTION("""COMPUTED_VALUE"""),-5.77)</f>
        <v>-5.77</v>
      </c>
      <c r="H165" s="1">
        <f ca="1">IFERROR(__xludf.DUMMYFUNCTION("""COMPUTED_VALUE"""),16)</f>
        <v>16</v>
      </c>
      <c r="I165" s="1">
        <f ca="1">IFERROR(__xludf.DUMMYFUNCTION("""COMPUTED_VALUE"""),2)</f>
        <v>2</v>
      </c>
      <c r="J165" s="1">
        <f ca="1">IFERROR(__xludf.DUMMYFUNCTION("""COMPUTED_VALUE"""),14)</f>
        <v>14</v>
      </c>
      <c r="K165" s="1">
        <f ca="1">IFERROR(__xludf.DUMMYFUNCTION("""COMPUTED_VALUE"""),2)</f>
        <v>2</v>
      </c>
      <c r="L165" s="1">
        <f ca="1">IFERROR(__xludf.DUMMYFUNCTION("""COMPUTED_VALUE"""),13)</f>
        <v>13</v>
      </c>
      <c r="M165" s="1">
        <f ca="1">IFERROR(__xludf.DUMMYFUNCTION("""COMPUTED_VALUE"""),3)</f>
        <v>3</v>
      </c>
      <c r="N165" s="1">
        <f ca="1">IFERROR(__xludf.DUMMYFUNCTION("""COMPUTED_VALUE"""),2730)</f>
        <v>2730</v>
      </c>
      <c r="O165" s="1">
        <f ca="1">IFERROR(__xludf.DUMMYFUNCTION("""COMPUTED_VALUE"""),2466)</f>
        <v>2466</v>
      </c>
      <c r="P165" s="1">
        <f ca="1">IFERROR(__xludf.DUMMYFUNCTION("""COMPUTED_VALUE"""),1331)</f>
        <v>1331</v>
      </c>
      <c r="Q165" s="1">
        <f ca="1">IFERROR(__xludf.DUMMYFUNCTION("""COMPUTED_VALUE"""),928)</f>
        <v>928</v>
      </c>
      <c r="R165" s="1">
        <f ca="1">IFERROR(__xludf.DUMMYFUNCTION("""COMPUTED_VALUE"""),2009)</f>
        <v>2009</v>
      </c>
      <c r="S165" s="1">
        <f ca="1">IFERROR(__xludf.DUMMYFUNCTION("""COMPUTED_VALUE"""),0.462)</f>
        <v>0.46200000000000002</v>
      </c>
      <c r="T165" s="1">
        <f ca="1">IFERROR(__xludf.DUMMYFUNCTION("""COMPUTED_VALUE"""),229)</f>
        <v>229</v>
      </c>
      <c r="U165" s="1">
        <f ca="1">IFERROR(__xludf.DUMMYFUNCTION("""COMPUTED_VALUE"""),635)</f>
        <v>635</v>
      </c>
      <c r="V165" s="1">
        <f ca="1">IFERROR(__xludf.DUMMYFUNCTION("""COMPUTED_VALUE"""),0.361)</f>
        <v>0.36099999999999999</v>
      </c>
      <c r="W165" s="1">
        <f ca="1">IFERROR(__xludf.DUMMYFUNCTION("""COMPUTED_VALUE"""),645)</f>
        <v>645</v>
      </c>
      <c r="X165" s="1">
        <f ca="1">IFERROR(__xludf.DUMMYFUNCTION("""COMPUTED_VALUE"""),999)</f>
        <v>999</v>
      </c>
      <c r="Y165" s="1">
        <f ca="1">IFERROR(__xludf.DUMMYFUNCTION("""COMPUTED_VALUE"""),0.646)</f>
        <v>0.64600000000000002</v>
      </c>
      <c r="Z165" s="1">
        <f ca="1">IFERROR(__xludf.DUMMYFUNCTION("""COMPUTED_VALUE"""),479)</f>
        <v>479</v>
      </c>
      <c r="AA165" s="1">
        <f ca="1">IFERROR(__xludf.DUMMYFUNCTION("""COMPUTED_VALUE"""),1378)</f>
        <v>1378</v>
      </c>
      <c r="AB165" s="1">
        <f ca="1">IFERROR(__xludf.DUMMYFUNCTION("""COMPUTED_VALUE"""),503)</f>
        <v>503</v>
      </c>
      <c r="AC165" s="1">
        <f ca="1">IFERROR(__xludf.DUMMYFUNCTION("""COMPUTED_VALUE"""),246)</f>
        <v>246</v>
      </c>
      <c r="AD165" s="1">
        <f ca="1">IFERROR(__xludf.DUMMYFUNCTION("""COMPUTED_VALUE"""),111)</f>
        <v>111</v>
      </c>
      <c r="AE165" s="1">
        <f ca="1">IFERROR(__xludf.DUMMYFUNCTION("""COMPUTED_VALUE"""),505)</f>
        <v>505</v>
      </c>
      <c r="AF165" s="1">
        <f ca="1">IFERROR(__xludf.DUMMYFUNCTION("""COMPUTED_VALUE"""),580)</f>
        <v>580</v>
      </c>
    </row>
    <row r="166" spans="1:32" ht="12.5" x14ac:dyDescent="0.25">
      <c r="A166" s="1" t="str">
        <f ca="1">IFERROR(__xludf.DUMMYFUNCTION("""COMPUTED_VALUE"""),"Longwood")</f>
        <v>Longwood</v>
      </c>
      <c r="B166" s="1">
        <f ca="1">IFERROR(__xludf.DUMMYFUNCTION("""COMPUTED_VALUE"""),31)</f>
        <v>31</v>
      </c>
      <c r="C166" s="1">
        <f ca="1">IFERROR(__xludf.DUMMYFUNCTION("""COMPUTED_VALUE"""),12)</f>
        <v>12</v>
      </c>
      <c r="D166" s="1">
        <f ca="1">IFERROR(__xludf.DUMMYFUNCTION("""COMPUTED_VALUE"""),19)</f>
        <v>19</v>
      </c>
      <c r="E166" s="1">
        <f ca="1">IFERROR(__xludf.DUMMYFUNCTION("""COMPUTED_VALUE"""),0.387)</f>
        <v>0.38700000000000001</v>
      </c>
      <c r="F166" s="1">
        <f ca="1">IFERROR(__xludf.DUMMYFUNCTION("""COMPUTED_VALUE"""),-16.02)</f>
        <v>-16.02</v>
      </c>
      <c r="G166" s="1">
        <f ca="1">IFERROR(__xludf.DUMMYFUNCTION("""COMPUTED_VALUE"""),-3.62)</f>
        <v>-3.62</v>
      </c>
      <c r="H166" s="1" t="str">
        <f ca="1">IFERROR(__xludf.DUMMYFUNCTION("""COMPUTED_VALUE"""),"")</f>
        <v/>
      </c>
      <c r="I166" s="1" t="str">
        <f ca="1">IFERROR(__xludf.DUMMYFUNCTION("""COMPUTED_VALUE"""),"")</f>
        <v/>
      </c>
      <c r="J166" s="1">
        <f ca="1">IFERROR(__xludf.DUMMYFUNCTION("""COMPUTED_VALUE"""),10)</f>
        <v>10</v>
      </c>
      <c r="K166" s="1">
        <f ca="1">IFERROR(__xludf.DUMMYFUNCTION("""COMPUTED_VALUE"""),4)</f>
        <v>4</v>
      </c>
      <c r="L166" s="1">
        <f ca="1">IFERROR(__xludf.DUMMYFUNCTION("""COMPUTED_VALUE"""),1)</f>
        <v>1</v>
      </c>
      <c r="M166" s="1">
        <f ca="1">IFERROR(__xludf.DUMMYFUNCTION("""COMPUTED_VALUE"""),14)</f>
        <v>14</v>
      </c>
      <c r="N166" s="1">
        <f ca="1">IFERROR(__xludf.DUMMYFUNCTION("""COMPUTED_VALUE"""),2364)</f>
        <v>2364</v>
      </c>
      <c r="O166" s="1">
        <f ca="1">IFERROR(__xludf.DUMMYFUNCTION("""COMPUTED_VALUE"""),2552)</f>
        <v>2552</v>
      </c>
      <c r="P166" s="1">
        <f ca="1">IFERROR(__xludf.DUMMYFUNCTION("""COMPUTED_VALUE"""),1240)</f>
        <v>1240</v>
      </c>
      <c r="Q166" s="1">
        <f ca="1">IFERROR(__xludf.DUMMYFUNCTION("""COMPUTED_VALUE"""),849)</f>
        <v>849</v>
      </c>
      <c r="R166" s="1">
        <f ca="1">IFERROR(__xludf.DUMMYFUNCTION("""COMPUTED_VALUE"""),1866)</f>
        <v>1866</v>
      </c>
      <c r="S166" s="1">
        <f ca="1">IFERROR(__xludf.DUMMYFUNCTION("""COMPUTED_VALUE"""),0.455)</f>
        <v>0.45500000000000002</v>
      </c>
      <c r="T166" s="1">
        <f ca="1">IFERROR(__xludf.DUMMYFUNCTION("""COMPUTED_VALUE"""),236)</f>
        <v>236</v>
      </c>
      <c r="U166" s="1">
        <f ca="1">IFERROR(__xludf.DUMMYFUNCTION("""COMPUTED_VALUE"""),662)</f>
        <v>662</v>
      </c>
      <c r="V166" s="1">
        <f ca="1">IFERROR(__xludf.DUMMYFUNCTION("""COMPUTED_VALUE"""),0.356)</f>
        <v>0.35599999999999998</v>
      </c>
      <c r="W166" s="1">
        <f ca="1">IFERROR(__xludf.DUMMYFUNCTION("""COMPUTED_VALUE"""),430)</f>
        <v>430</v>
      </c>
      <c r="X166" s="1">
        <f ca="1">IFERROR(__xludf.DUMMYFUNCTION("""COMPUTED_VALUE"""),615)</f>
        <v>615</v>
      </c>
      <c r="Y166" s="1">
        <f ca="1">IFERROR(__xludf.DUMMYFUNCTION("""COMPUTED_VALUE"""),0.699)</f>
        <v>0.69899999999999995</v>
      </c>
      <c r="Z166" s="1">
        <f ca="1">IFERROR(__xludf.DUMMYFUNCTION("""COMPUTED_VALUE"""),317)</f>
        <v>317</v>
      </c>
      <c r="AA166" s="1">
        <f ca="1">IFERROR(__xludf.DUMMYFUNCTION("""COMPUTED_VALUE"""),1027)</f>
        <v>1027</v>
      </c>
      <c r="AB166" s="1">
        <f ca="1">IFERROR(__xludf.DUMMYFUNCTION("""COMPUTED_VALUE"""),510)</f>
        <v>510</v>
      </c>
      <c r="AC166" s="1">
        <f ca="1">IFERROR(__xludf.DUMMYFUNCTION("""COMPUTED_VALUE"""),183)</f>
        <v>183</v>
      </c>
      <c r="AD166" s="1">
        <f ca="1">IFERROR(__xludf.DUMMYFUNCTION("""COMPUTED_VALUE"""),64)</f>
        <v>64</v>
      </c>
      <c r="AE166" s="1">
        <f ca="1">IFERROR(__xludf.DUMMYFUNCTION("""COMPUTED_VALUE"""),428)</f>
        <v>428</v>
      </c>
      <c r="AF166" s="1">
        <f ca="1">IFERROR(__xludf.DUMMYFUNCTION("""COMPUTED_VALUE"""),597)</f>
        <v>597</v>
      </c>
    </row>
    <row r="167" spans="1:32" ht="12.5" x14ac:dyDescent="0.25">
      <c r="A167" s="1" t="str">
        <f ca="1">IFERROR(__xludf.DUMMYFUNCTION("""COMPUTED_VALUE"""),"Louisiana")</f>
        <v>Louisiana</v>
      </c>
      <c r="B167" s="1">
        <f ca="1">IFERROR(__xludf.DUMMYFUNCTION("""COMPUTED_VALUE"""),29)</f>
        <v>29</v>
      </c>
      <c r="C167" s="1">
        <f ca="1">IFERROR(__xludf.DUMMYFUNCTION("""COMPUTED_VALUE"""),14)</f>
        <v>14</v>
      </c>
      <c r="D167" s="1">
        <f ca="1">IFERROR(__xludf.DUMMYFUNCTION("""COMPUTED_VALUE"""),15)</f>
        <v>15</v>
      </c>
      <c r="E167" s="1">
        <f ca="1">IFERROR(__xludf.DUMMYFUNCTION("""COMPUTED_VALUE"""),0.483)</f>
        <v>0.48299999999999998</v>
      </c>
      <c r="F167" s="1">
        <f ca="1">IFERROR(__xludf.DUMMYFUNCTION("""COMPUTED_VALUE"""),-5.45)</f>
        <v>-5.45</v>
      </c>
      <c r="G167" s="1">
        <f ca="1">IFERROR(__xludf.DUMMYFUNCTION("""COMPUTED_VALUE"""),-4.19)</f>
        <v>-4.1900000000000004</v>
      </c>
      <c r="H167" s="1">
        <f ca="1">IFERROR(__xludf.DUMMYFUNCTION("""COMPUTED_VALUE"""),11)</f>
        <v>11</v>
      </c>
      <c r="I167" s="1">
        <f ca="1">IFERROR(__xludf.DUMMYFUNCTION("""COMPUTED_VALUE"""),5)</f>
        <v>5</v>
      </c>
      <c r="J167" s="1">
        <f ca="1">IFERROR(__xludf.DUMMYFUNCTION("""COMPUTED_VALUE"""),10)</f>
        <v>10</v>
      </c>
      <c r="K167" s="1">
        <f ca="1">IFERROR(__xludf.DUMMYFUNCTION("""COMPUTED_VALUE"""),4)</f>
        <v>4</v>
      </c>
      <c r="L167" s="1">
        <f ca="1">IFERROR(__xludf.DUMMYFUNCTION("""COMPUTED_VALUE"""),4)</f>
        <v>4</v>
      </c>
      <c r="M167" s="1">
        <f ca="1">IFERROR(__xludf.DUMMYFUNCTION("""COMPUTED_VALUE"""),10)</f>
        <v>10</v>
      </c>
      <c r="N167" s="1">
        <f ca="1">IFERROR(__xludf.DUMMYFUNCTION("""COMPUTED_VALUE"""),2055)</f>
        <v>2055</v>
      </c>
      <c r="O167" s="1">
        <f ca="1">IFERROR(__xludf.DUMMYFUNCTION("""COMPUTED_VALUE"""),2067)</f>
        <v>2067</v>
      </c>
      <c r="P167" s="1">
        <f ca="1">IFERROR(__xludf.DUMMYFUNCTION("""COMPUTED_VALUE"""),1175)</f>
        <v>1175</v>
      </c>
      <c r="Q167" s="1">
        <f ca="1">IFERROR(__xludf.DUMMYFUNCTION("""COMPUTED_VALUE"""),715)</f>
        <v>715</v>
      </c>
      <c r="R167" s="1">
        <f ca="1">IFERROR(__xludf.DUMMYFUNCTION("""COMPUTED_VALUE"""),1639)</f>
        <v>1639</v>
      </c>
      <c r="S167" s="1">
        <f ca="1">IFERROR(__xludf.DUMMYFUNCTION("""COMPUTED_VALUE"""),0.436)</f>
        <v>0.436</v>
      </c>
      <c r="T167" s="1">
        <f ca="1">IFERROR(__xludf.DUMMYFUNCTION("""COMPUTED_VALUE"""),151)</f>
        <v>151</v>
      </c>
      <c r="U167" s="1">
        <f ca="1">IFERROR(__xludf.DUMMYFUNCTION("""COMPUTED_VALUE"""),435)</f>
        <v>435</v>
      </c>
      <c r="V167" s="1">
        <f ca="1">IFERROR(__xludf.DUMMYFUNCTION("""COMPUTED_VALUE"""),0.347)</f>
        <v>0.34699999999999998</v>
      </c>
      <c r="W167" s="1">
        <f ca="1">IFERROR(__xludf.DUMMYFUNCTION("""COMPUTED_VALUE"""),474)</f>
        <v>474</v>
      </c>
      <c r="X167" s="1">
        <f ca="1">IFERROR(__xludf.DUMMYFUNCTION("""COMPUTED_VALUE"""),715)</f>
        <v>715</v>
      </c>
      <c r="Y167" s="1">
        <f ca="1">IFERROR(__xludf.DUMMYFUNCTION("""COMPUTED_VALUE"""),0.663)</f>
        <v>0.66300000000000003</v>
      </c>
      <c r="Z167" s="1">
        <f ca="1">IFERROR(__xludf.DUMMYFUNCTION("""COMPUTED_VALUE"""),381)</f>
        <v>381</v>
      </c>
      <c r="AA167" s="1">
        <f ca="1">IFERROR(__xludf.DUMMYFUNCTION("""COMPUTED_VALUE"""),1085)</f>
        <v>1085</v>
      </c>
      <c r="AB167" s="1">
        <f ca="1">IFERROR(__xludf.DUMMYFUNCTION("""COMPUTED_VALUE"""),295)</f>
        <v>295</v>
      </c>
      <c r="AC167" s="1">
        <f ca="1">IFERROR(__xludf.DUMMYFUNCTION("""COMPUTED_VALUE"""),165)</f>
        <v>165</v>
      </c>
      <c r="AD167" s="1">
        <f ca="1">IFERROR(__xludf.DUMMYFUNCTION("""COMPUTED_VALUE"""),126)</f>
        <v>126</v>
      </c>
      <c r="AE167" s="1">
        <f ca="1">IFERROR(__xludf.DUMMYFUNCTION("""COMPUTED_VALUE"""),447)</f>
        <v>447</v>
      </c>
      <c r="AF167" s="1">
        <f ca="1">IFERROR(__xludf.DUMMYFUNCTION("""COMPUTED_VALUE"""),618)</f>
        <v>618</v>
      </c>
    </row>
    <row r="168" spans="1:32" ht="12.5" x14ac:dyDescent="0.25">
      <c r="A168" s="1" t="str">
        <f ca="1">IFERROR(__xludf.DUMMYFUNCTION("""COMPUTED_VALUE"""),"Louisiana-Monroe")</f>
        <v>Louisiana-Monroe</v>
      </c>
      <c r="B168" s="1">
        <f ca="1">IFERROR(__xludf.DUMMYFUNCTION("""COMPUTED_VALUE"""),31)</f>
        <v>31</v>
      </c>
      <c r="C168" s="1">
        <f ca="1">IFERROR(__xludf.DUMMYFUNCTION("""COMPUTED_VALUE"""),7)</f>
        <v>7</v>
      </c>
      <c r="D168" s="1">
        <f ca="1">IFERROR(__xludf.DUMMYFUNCTION("""COMPUTED_VALUE"""),24)</f>
        <v>24</v>
      </c>
      <c r="E168" s="1">
        <f ca="1">IFERROR(__xludf.DUMMYFUNCTION("""COMPUTED_VALUE"""),0.226)</f>
        <v>0.22600000000000001</v>
      </c>
      <c r="F168" s="1">
        <f ca="1">IFERROR(__xludf.DUMMYFUNCTION("""COMPUTED_VALUE"""),-14.27)</f>
        <v>-14.27</v>
      </c>
      <c r="G168" s="1">
        <f ca="1">IFERROR(__xludf.DUMMYFUNCTION("""COMPUTED_VALUE"""),-3.96)</f>
        <v>-3.96</v>
      </c>
      <c r="H168" s="1">
        <f ca="1">IFERROR(__xludf.DUMMYFUNCTION("""COMPUTED_VALUE"""),2)</f>
        <v>2</v>
      </c>
      <c r="I168" s="1">
        <f ca="1">IFERROR(__xludf.DUMMYFUNCTION("""COMPUTED_VALUE"""),14)</f>
        <v>14</v>
      </c>
      <c r="J168" s="1">
        <f ca="1">IFERROR(__xludf.DUMMYFUNCTION("""COMPUTED_VALUE"""),4)</f>
        <v>4</v>
      </c>
      <c r="K168" s="1">
        <f ca="1">IFERROR(__xludf.DUMMYFUNCTION("""COMPUTED_VALUE"""),9)</f>
        <v>9</v>
      </c>
      <c r="L168" s="1">
        <f ca="1">IFERROR(__xludf.DUMMYFUNCTION("""COMPUTED_VALUE"""),2)</f>
        <v>2</v>
      </c>
      <c r="M168" s="1">
        <f ca="1">IFERROR(__xludf.DUMMYFUNCTION("""COMPUTED_VALUE"""),13)</f>
        <v>13</v>
      </c>
      <c r="N168" s="1">
        <f ca="1">IFERROR(__xludf.DUMMYFUNCTION("""COMPUTED_VALUE"""),1859)</f>
        <v>1859</v>
      </c>
      <c r="O168" s="1">
        <f ca="1">IFERROR(__xludf.DUMMYFUNCTION("""COMPUTED_VALUE"""),2126)</f>
        <v>2126</v>
      </c>
      <c r="P168" s="1">
        <f ca="1">IFERROR(__xludf.DUMMYFUNCTION("""COMPUTED_VALUE"""),1240)</f>
        <v>1240</v>
      </c>
      <c r="Q168" s="1">
        <f ca="1">IFERROR(__xludf.DUMMYFUNCTION("""COMPUTED_VALUE"""),669)</f>
        <v>669</v>
      </c>
      <c r="R168" s="1">
        <f ca="1">IFERROR(__xludf.DUMMYFUNCTION("""COMPUTED_VALUE"""),1606)</f>
        <v>1606</v>
      </c>
      <c r="S168" s="1">
        <f ca="1">IFERROR(__xludf.DUMMYFUNCTION("""COMPUTED_VALUE"""),0.417)</f>
        <v>0.41699999999999998</v>
      </c>
      <c r="T168" s="1">
        <f ca="1">IFERROR(__xludf.DUMMYFUNCTION("""COMPUTED_VALUE"""),158)</f>
        <v>158</v>
      </c>
      <c r="U168" s="1">
        <f ca="1">IFERROR(__xludf.DUMMYFUNCTION("""COMPUTED_VALUE"""),492)</f>
        <v>492</v>
      </c>
      <c r="V168" s="1">
        <f ca="1">IFERROR(__xludf.DUMMYFUNCTION("""COMPUTED_VALUE"""),0.321)</f>
        <v>0.32100000000000001</v>
      </c>
      <c r="W168" s="1">
        <f ca="1">IFERROR(__xludf.DUMMYFUNCTION("""COMPUTED_VALUE"""),363)</f>
        <v>363</v>
      </c>
      <c r="X168" s="1">
        <f ca="1">IFERROR(__xludf.DUMMYFUNCTION("""COMPUTED_VALUE"""),560)</f>
        <v>560</v>
      </c>
      <c r="Y168" s="1">
        <f ca="1">IFERROR(__xludf.DUMMYFUNCTION("""COMPUTED_VALUE"""),0.648)</f>
        <v>0.64800000000000002</v>
      </c>
      <c r="Z168" s="1">
        <f ca="1">IFERROR(__xludf.DUMMYFUNCTION("""COMPUTED_VALUE"""),329)</f>
        <v>329</v>
      </c>
      <c r="AA168" s="1">
        <f ca="1">IFERROR(__xludf.DUMMYFUNCTION("""COMPUTED_VALUE"""),947)</f>
        <v>947</v>
      </c>
      <c r="AB168" s="1">
        <f ca="1">IFERROR(__xludf.DUMMYFUNCTION("""COMPUTED_VALUE"""),311)</f>
        <v>311</v>
      </c>
      <c r="AC168" s="1">
        <f ca="1">IFERROR(__xludf.DUMMYFUNCTION("""COMPUTED_VALUE"""),193)</f>
        <v>193</v>
      </c>
      <c r="AD168" s="1">
        <f ca="1">IFERROR(__xludf.DUMMYFUNCTION("""COMPUTED_VALUE"""),51)</f>
        <v>51</v>
      </c>
      <c r="AE168" s="1">
        <f ca="1">IFERROR(__xludf.DUMMYFUNCTION("""COMPUTED_VALUE"""),441)</f>
        <v>441</v>
      </c>
      <c r="AF168" s="1">
        <f ca="1">IFERROR(__xludf.DUMMYFUNCTION("""COMPUTED_VALUE"""),588)</f>
        <v>588</v>
      </c>
    </row>
    <row r="169" spans="1:32" ht="12.5" x14ac:dyDescent="0.25">
      <c r="A169" s="1" t="str">
        <f ca="1">IFERROR(__xludf.DUMMYFUNCTION("""COMPUTED_VALUE"""),"Louisiana State")</f>
        <v>Louisiana State</v>
      </c>
      <c r="B169" s="1">
        <f ca="1">IFERROR(__xludf.DUMMYFUNCTION("""COMPUTED_VALUE"""),32)</f>
        <v>32</v>
      </c>
      <c r="C169" s="1">
        <f ca="1">IFERROR(__xludf.DUMMYFUNCTION("""COMPUTED_VALUE"""),11)</f>
        <v>11</v>
      </c>
      <c r="D169" s="1">
        <f ca="1">IFERROR(__xludf.DUMMYFUNCTION("""COMPUTED_VALUE"""),21)</f>
        <v>21</v>
      </c>
      <c r="E169" s="1">
        <f ca="1">IFERROR(__xludf.DUMMYFUNCTION("""COMPUTED_VALUE"""),0.344)</f>
        <v>0.34399999999999997</v>
      </c>
      <c r="F169" s="1">
        <f ca="1">IFERROR(__xludf.DUMMYFUNCTION("""COMPUTED_VALUE"""),-2.09)</f>
        <v>-2.09</v>
      </c>
      <c r="G169" s="1">
        <f ca="1">IFERROR(__xludf.DUMMYFUNCTION("""COMPUTED_VALUE"""),2.26)</f>
        <v>2.2599999999999998</v>
      </c>
      <c r="H169" s="1">
        <f ca="1">IFERROR(__xludf.DUMMYFUNCTION("""COMPUTED_VALUE"""),3)</f>
        <v>3</v>
      </c>
      <c r="I169" s="1">
        <f ca="1">IFERROR(__xludf.DUMMYFUNCTION("""COMPUTED_VALUE"""),13)</f>
        <v>13</v>
      </c>
      <c r="J169" s="1">
        <f ca="1">IFERROR(__xludf.DUMMYFUNCTION("""COMPUTED_VALUE"""),8)</f>
        <v>8</v>
      </c>
      <c r="K169" s="1">
        <f ca="1">IFERROR(__xludf.DUMMYFUNCTION("""COMPUTED_VALUE"""),10)</f>
        <v>10</v>
      </c>
      <c r="L169" s="1">
        <f ca="1">IFERROR(__xludf.DUMMYFUNCTION("""COMPUTED_VALUE"""),3)</f>
        <v>3</v>
      </c>
      <c r="M169" s="1">
        <f ca="1">IFERROR(__xludf.DUMMYFUNCTION("""COMPUTED_VALUE"""),8)</f>
        <v>8</v>
      </c>
      <c r="N169" s="1">
        <f ca="1">IFERROR(__xludf.DUMMYFUNCTION("""COMPUTED_VALUE"""),1991)</f>
        <v>1991</v>
      </c>
      <c r="O169" s="1">
        <f ca="1">IFERROR(__xludf.DUMMYFUNCTION("""COMPUTED_VALUE"""),2130)</f>
        <v>2130</v>
      </c>
      <c r="P169" s="1">
        <f ca="1">IFERROR(__xludf.DUMMYFUNCTION("""COMPUTED_VALUE"""),1290)</f>
        <v>1290</v>
      </c>
      <c r="Q169" s="1">
        <f ca="1">IFERROR(__xludf.DUMMYFUNCTION("""COMPUTED_VALUE"""),692)</f>
        <v>692</v>
      </c>
      <c r="R169" s="1">
        <f ca="1">IFERROR(__xludf.DUMMYFUNCTION("""COMPUTED_VALUE"""),1731)</f>
        <v>1731</v>
      </c>
      <c r="S169" s="1">
        <f ca="1">IFERROR(__xludf.DUMMYFUNCTION("""COMPUTED_VALUE"""),0.4)</f>
        <v>0.4</v>
      </c>
      <c r="T169" s="1">
        <f ca="1">IFERROR(__xludf.DUMMYFUNCTION("""COMPUTED_VALUE"""),175)</f>
        <v>175</v>
      </c>
      <c r="U169" s="1">
        <f ca="1">IFERROR(__xludf.DUMMYFUNCTION("""COMPUTED_VALUE"""),561)</f>
        <v>561</v>
      </c>
      <c r="V169" s="1">
        <f ca="1">IFERROR(__xludf.DUMMYFUNCTION("""COMPUTED_VALUE"""),0.312)</f>
        <v>0.312</v>
      </c>
      <c r="W169" s="1">
        <f ca="1">IFERROR(__xludf.DUMMYFUNCTION("""COMPUTED_VALUE"""),432)</f>
        <v>432</v>
      </c>
      <c r="X169" s="1">
        <f ca="1">IFERROR(__xludf.DUMMYFUNCTION("""COMPUTED_VALUE"""),650)</f>
        <v>650</v>
      </c>
      <c r="Y169" s="1">
        <f ca="1">IFERROR(__xludf.DUMMYFUNCTION("""COMPUTED_VALUE"""),0.665)</f>
        <v>0.66500000000000004</v>
      </c>
      <c r="Z169" s="1">
        <f ca="1">IFERROR(__xludf.DUMMYFUNCTION("""COMPUTED_VALUE"""),368)</f>
        <v>368</v>
      </c>
      <c r="AA169" s="1">
        <f ca="1">IFERROR(__xludf.DUMMYFUNCTION("""COMPUTED_VALUE"""),1110)</f>
        <v>1110</v>
      </c>
      <c r="AB169" s="1">
        <f ca="1">IFERROR(__xludf.DUMMYFUNCTION("""COMPUTED_VALUE"""),364)</f>
        <v>364</v>
      </c>
      <c r="AC169" s="1">
        <f ca="1">IFERROR(__xludf.DUMMYFUNCTION("""COMPUTED_VALUE"""),204)</f>
        <v>204</v>
      </c>
      <c r="AD169" s="1">
        <f ca="1">IFERROR(__xludf.DUMMYFUNCTION("""COMPUTED_VALUE"""),106)</f>
        <v>106</v>
      </c>
      <c r="AE169" s="1">
        <f ca="1">IFERROR(__xludf.DUMMYFUNCTION("""COMPUTED_VALUE"""),461)</f>
        <v>461</v>
      </c>
      <c r="AF169" s="1">
        <f ca="1">IFERROR(__xludf.DUMMYFUNCTION("""COMPUTED_VALUE"""),622)</f>
        <v>622</v>
      </c>
    </row>
    <row r="170" spans="1:32" ht="12.5" x14ac:dyDescent="0.25">
      <c r="A170" s="1" t="str">
        <f ca="1">IFERROR(__xludf.DUMMYFUNCTION("""COMPUTED_VALUE"""),"Louisiana Tech")</f>
        <v>Louisiana Tech</v>
      </c>
      <c r="B170" s="1">
        <f ca="1">IFERROR(__xludf.DUMMYFUNCTION("""COMPUTED_VALUE"""),32)</f>
        <v>32</v>
      </c>
      <c r="C170" s="1">
        <f ca="1">IFERROR(__xludf.DUMMYFUNCTION("""COMPUTED_VALUE"""),12)</f>
        <v>12</v>
      </c>
      <c r="D170" s="1">
        <f ca="1">IFERROR(__xludf.DUMMYFUNCTION("""COMPUTED_VALUE"""),20)</f>
        <v>20</v>
      </c>
      <c r="E170" s="1">
        <f ca="1">IFERROR(__xludf.DUMMYFUNCTION("""COMPUTED_VALUE"""),0.375)</f>
        <v>0.375</v>
      </c>
      <c r="F170" s="1">
        <f ca="1">IFERROR(__xludf.DUMMYFUNCTION("""COMPUTED_VALUE"""),-5.99)</f>
        <v>-5.99</v>
      </c>
      <c r="G170" s="1">
        <f ca="1">IFERROR(__xludf.DUMMYFUNCTION("""COMPUTED_VALUE"""),-0.99)</f>
        <v>-0.99</v>
      </c>
      <c r="H170" s="1">
        <f ca="1">IFERROR(__xludf.DUMMYFUNCTION("""COMPUTED_VALUE"""),2)</f>
        <v>2</v>
      </c>
      <c r="I170" s="1">
        <f ca="1">IFERROR(__xludf.DUMMYFUNCTION("""COMPUTED_VALUE"""),14)</f>
        <v>14</v>
      </c>
      <c r="J170" s="1">
        <f ca="1">IFERROR(__xludf.DUMMYFUNCTION("""COMPUTED_VALUE"""),8)</f>
        <v>8</v>
      </c>
      <c r="K170" s="1">
        <f ca="1">IFERROR(__xludf.DUMMYFUNCTION("""COMPUTED_VALUE"""),6)</f>
        <v>6</v>
      </c>
      <c r="L170" s="1">
        <f ca="1">IFERROR(__xludf.DUMMYFUNCTION("""COMPUTED_VALUE"""),2)</f>
        <v>2</v>
      </c>
      <c r="M170" s="1">
        <f ca="1">IFERROR(__xludf.DUMMYFUNCTION("""COMPUTED_VALUE"""),14)</f>
        <v>14</v>
      </c>
      <c r="N170" s="1">
        <f ca="1">IFERROR(__xludf.DUMMYFUNCTION("""COMPUTED_VALUE"""),2051)</f>
        <v>2051</v>
      </c>
      <c r="O170" s="1">
        <f ca="1">IFERROR(__xludf.DUMMYFUNCTION("""COMPUTED_VALUE"""),2174)</f>
        <v>2174</v>
      </c>
      <c r="P170" s="1">
        <f ca="1">IFERROR(__xludf.DUMMYFUNCTION("""COMPUTED_VALUE"""),1280)</f>
        <v>1280</v>
      </c>
      <c r="Q170" s="1">
        <f ca="1">IFERROR(__xludf.DUMMYFUNCTION("""COMPUTED_VALUE"""),721)</f>
        <v>721</v>
      </c>
      <c r="R170" s="1">
        <f ca="1">IFERROR(__xludf.DUMMYFUNCTION("""COMPUTED_VALUE"""),1721)</f>
        <v>1721</v>
      </c>
      <c r="S170" s="1">
        <f ca="1">IFERROR(__xludf.DUMMYFUNCTION("""COMPUTED_VALUE"""),0.419)</f>
        <v>0.41899999999999998</v>
      </c>
      <c r="T170" s="1">
        <f ca="1">IFERROR(__xludf.DUMMYFUNCTION("""COMPUTED_VALUE"""),193)</f>
        <v>193</v>
      </c>
      <c r="U170" s="1">
        <f ca="1">IFERROR(__xludf.DUMMYFUNCTION("""COMPUTED_VALUE"""),585)</f>
        <v>585</v>
      </c>
      <c r="V170" s="1">
        <f ca="1">IFERROR(__xludf.DUMMYFUNCTION("""COMPUTED_VALUE"""),0.33)</f>
        <v>0.33</v>
      </c>
      <c r="W170" s="1">
        <f ca="1">IFERROR(__xludf.DUMMYFUNCTION("""COMPUTED_VALUE"""),416)</f>
        <v>416</v>
      </c>
      <c r="X170" s="1">
        <f ca="1">IFERROR(__xludf.DUMMYFUNCTION("""COMPUTED_VALUE"""),642)</f>
        <v>642</v>
      </c>
      <c r="Y170" s="1">
        <f ca="1">IFERROR(__xludf.DUMMYFUNCTION("""COMPUTED_VALUE"""),0.648)</f>
        <v>0.64800000000000002</v>
      </c>
      <c r="Z170" s="1">
        <f ca="1">IFERROR(__xludf.DUMMYFUNCTION("""COMPUTED_VALUE"""),358)</f>
        <v>358</v>
      </c>
      <c r="AA170" s="1">
        <f ca="1">IFERROR(__xludf.DUMMYFUNCTION("""COMPUTED_VALUE"""),1152)</f>
        <v>1152</v>
      </c>
      <c r="AB170" s="1">
        <f ca="1">IFERROR(__xludf.DUMMYFUNCTION("""COMPUTED_VALUE"""),331)</f>
        <v>331</v>
      </c>
      <c r="AC170" s="1">
        <f ca="1">IFERROR(__xludf.DUMMYFUNCTION("""COMPUTED_VALUE"""),180)</f>
        <v>180</v>
      </c>
      <c r="AD170" s="1">
        <f ca="1">IFERROR(__xludf.DUMMYFUNCTION("""COMPUTED_VALUE"""),76)</f>
        <v>76</v>
      </c>
      <c r="AE170" s="1">
        <f ca="1">IFERROR(__xludf.DUMMYFUNCTION("""COMPUTED_VALUE"""),535)</f>
        <v>535</v>
      </c>
      <c r="AF170" s="1">
        <f ca="1">IFERROR(__xludf.DUMMYFUNCTION("""COMPUTED_VALUE"""),652)</f>
        <v>652</v>
      </c>
    </row>
    <row r="171" spans="1:32" ht="12.5" x14ac:dyDescent="0.25">
      <c r="A171" s="1" t="str">
        <f ca="1">IFERROR(__xludf.DUMMYFUNCTION("""COMPUTED_VALUE"""),"LouisvilleNCAA")</f>
        <v>LouisvilleNCAA</v>
      </c>
      <c r="B171" s="1">
        <f ca="1">IFERROR(__xludf.DUMMYFUNCTION("""COMPUTED_VALUE"""),35)</f>
        <v>35</v>
      </c>
      <c r="C171" s="1">
        <f ca="1">IFERROR(__xludf.DUMMYFUNCTION("""COMPUTED_VALUE"""),25)</f>
        <v>25</v>
      </c>
      <c r="D171" s="1">
        <f ca="1">IFERROR(__xludf.DUMMYFUNCTION("""COMPUTED_VALUE"""),10)</f>
        <v>10</v>
      </c>
      <c r="E171" s="1">
        <f ca="1">IFERROR(__xludf.DUMMYFUNCTION("""COMPUTED_VALUE"""),0.714)</f>
        <v>0.71399999999999997</v>
      </c>
      <c r="F171" s="1">
        <f ca="1">IFERROR(__xludf.DUMMYFUNCTION("""COMPUTED_VALUE"""),18.6)</f>
        <v>18.600000000000001</v>
      </c>
      <c r="G171" s="1">
        <f ca="1">IFERROR(__xludf.DUMMYFUNCTION("""COMPUTED_VALUE"""),8.2)</f>
        <v>8.1999999999999993</v>
      </c>
      <c r="H171" s="1">
        <f ca="1">IFERROR(__xludf.DUMMYFUNCTION("""COMPUTED_VALUE"""),12)</f>
        <v>12</v>
      </c>
      <c r="I171" s="1">
        <f ca="1">IFERROR(__xludf.DUMMYFUNCTION("""COMPUTED_VALUE"""),6)</f>
        <v>6</v>
      </c>
      <c r="J171" s="1">
        <f ca="1">IFERROR(__xludf.DUMMYFUNCTION("""COMPUTED_VALUE"""),19)</f>
        <v>19</v>
      </c>
      <c r="K171" s="1">
        <f ca="1">IFERROR(__xludf.DUMMYFUNCTION("""COMPUTED_VALUE"""),2)</f>
        <v>2</v>
      </c>
      <c r="L171" s="1">
        <f ca="1">IFERROR(__xludf.DUMMYFUNCTION("""COMPUTED_VALUE"""),4)</f>
        <v>4</v>
      </c>
      <c r="M171" s="1">
        <f ca="1">IFERROR(__xludf.DUMMYFUNCTION("""COMPUTED_VALUE"""),6)</f>
        <v>6</v>
      </c>
      <c r="N171" s="1">
        <f ca="1">IFERROR(__xludf.DUMMYFUNCTION("""COMPUTED_VALUE"""),2623)</f>
        <v>2623</v>
      </c>
      <c r="O171" s="1">
        <f ca="1">IFERROR(__xludf.DUMMYFUNCTION("""COMPUTED_VALUE"""),2259)</f>
        <v>2259</v>
      </c>
      <c r="P171" s="1">
        <f ca="1">IFERROR(__xludf.DUMMYFUNCTION("""COMPUTED_VALUE"""),1425)</f>
        <v>1425</v>
      </c>
      <c r="Q171" s="1">
        <f ca="1">IFERROR(__xludf.DUMMYFUNCTION("""COMPUTED_VALUE"""),949)</f>
        <v>949</v>
      </c>
      <c r="R171" s="1">
        <f ca="1">IFERROR(__xludf.DUMMYFUNCTION("""COMPUTED_VALUE"""),2097)</f>
        <v>2097</v>
      </c>
      <c r="S171" s="1">
        <f ca="1">IFERROR(__xludf.DUMMYFUNCTION("""COMPUTED_VALUE"""),0.453)</f>
        <v>0.45300000000000001</v>
      </c>
      <c r="T171" s="1">
        <f ca="1">IFERROR(__xludf.DUMMYFUNCTION("""COMPUTED_VALUE"""),309)</f>
        <v>309</v>
      </c>
      <c r="U171" s="1">
        <f ca="1">IFERROR(__xludf.DUMMYFUNCTION("""COMPUTED_VALUE"""),854)</f>
        <v>854</v>
      </c>
      <c r="V171" s="1">
        <f ca="1">IFERROR(__xludf.DUMMYFUNCTION("""COMPUTED_VALUE"""),0.362)</f>
        <v>0.36199999999999999</v>
      </c>
      <c r="W171" s="1">
        <f ca="1">IFERROR(__xludf.DUMMYFUNCTION("""COMPUTED_VALUE"""),416)</f>
        <v>416</v>
      </c>
      <c r="X171" s="1">
        <f ca="1">IFERROR(__xludf.DUMMYFUNCTION("""COMPUTED_VALUE"""),627)</f>
        <v>627</v>
      </c>
      <c r="Y171" s="1">
        <f ca="1">IFERROR(__xludf.DUMMYFUNCTION("""COMPUTED_VALUE"""),0.663)</f>
        <v>0.66300000000000003</v>
      </c>
      <c r="Z171" s="1">
        <f ca="1">IFERROR(__xludf.DUMMYFUNCTION("""COMPUTED_VALUE"""),434)</f>
        <v>434</v>
      </c>
      <c r="AA171" s="1">
        <f ca="1">IFERROR(__xludf.DUMMYFUNCTION("""COMPUTED_VALUE"""),1272)</f>
        <v>1272</v>
      </c>
      <c r="AB171" s="1">
        <f ca="1">IFERROR(__xludf.DUMMYFUNCTION("""COMPUTED_VALUE"""),608)</f>
        <v>608</v>
      </c>
      <c r="AC171" s="1">
        <f ca="1">IFERROR(__xludf.DUMMYFUNCTION("""COMPUTED_VALUE"""),327)</f>
        <v>327</v>
      </c>
      <c r="AD171" s="1">
        <f ca="1">IFERROR(__xludf.DUMMYFUNCTION("""COMPUTED_VALUE"""),175)</f>
        <v>175</v>
      </c>
      <c r="AE171" s="1">
        <f ca="1">IFERROR(__xludf.DUMMYFUNCTION("""COMPUTED_VALUE"""),459)</f>
        <v>459</v>
      </c>
      <c r="AF171" s="1">
        <f ca="1">IFERROR(__xludf.DUMMYFUNCTION("""COMPUTED_VALUE"""),671)</f>
        <v>671</v>
      </c>
    </row>
    <row r="172" spans="1:32" ht="12.5" x14ac:dyDescent="0.25">
      <c r="A172" s="1" t="str">
        <f ca="1">IFERROR(__xludf.DUMMYFUNCTION("""COMPUTED_VALUE"""),"Loyola (IL)")</f>
        <v>Loyola (IL)</v>
      </c>
      <c r="B172" s="1">
        <f ca="1">IFERROR(__xludf.DUMMYFUNCTION("""COMPUTED_VALUE"""),31)</f>
        <v>31</v>
      </c>
      <c r="C172" s="1">
        <f ca="1">IFERROR(__xludf.DUMMYFUNCTION("""COMPUTED_VALUE"""),16)</f>
        <v>16</v>
      </c>
      <c r="D172" s="1">
        <f ca="1">IFERROR(__xludf.DUMMYFUNCTION("""COMPUTED_VALUE"""),15)</f>
        <v>15</v>
      </c>
      <c r="E172" s="1">
        <f ca="1">IFERROR(__xludf.DUMMYFUNCTION("""COMPUTED_VALUE"""),0.516)</f>
        <v>0.51600000000000001</v>
      </c>
      <c r="F172" s="1">
        <f ca="1">IFERROR(__xludf.DUMMYFUNCTION("""COMPUTED_VALUE"""),1.73)</f>
        <v>1.73</v>
      </c>
      <c r="G172" s="1">
        <f ca="1">IFERROR(__xludf.DUMMYFUNCTION("""COMPUTED_VALUE"""),-1.1)</f>
        <v>-1.1000000000000001</v>
      </c>
      <c r="H172" s="1">
        <f ca="1">IFERROR(__xludf.DUMMYFUNCTION("""COMPUTED_VALUE"""),7)</f>
        <v>7</v>
      </c>
      <c r="I172" s="1">
        <f ca="1">IFERROR(__xludf.DUMMYFUNCTION("""COMPUTED_VALUE"""),11)</f>
        <v>11</v>
      </c>
      <c r="J172" s="1">
        <f ca="1">IFERROR(__xludf.DUMMYFUNCTION("""COMPUTED_VALUE"""),9)</f>
        <v>9</v>
      </c>
      <c r="K172" s="1">
        <f ca="1">IFERROR(__xludf.DUMMYFUNCTION("""COMPUTED_VALUE"""),8)</f>
        <v>8</v>
      </c>
      <c r="L172" s="1">
        <f ca="1">IFERROR(__xludf.DUMMYFUNCTION("""COMPUTED_VALUE"""),7)</f>
        <v>7</v>
      </c>
      <c r="M172" s="1">
        <f ca="1">IFERROR(__xludf.DUMMYFUNCTION("""COMPUTED_VALUE"""),7)</f>
        <v>7</v>
      </c>
      <c r="N172" s="1">
        <f ca="1">IFERROR(__xludf.DUMMYFUNCTION("""COMPUTED_VALUE"""),2153)</f>
        <v>2153</v>
      </c>
      <c r="O172" s="1">
        <f ca="1">IFERROR(__xludf.DUMMYFUNCTION("""COMPUTED_VALUE"""),2065)</f>
        <v>2065</v>
      </c>
      <c r="P172" s="1">
        <f ca="1">IFERROR(__xludf.DUMMYFUNCTION("""COMPUTED_VALUE"""),1245)</f>
        <v>1245</v>
      </c>
      <c r="Q172" s="1">
        <f ca="1">IFERROR(__xludf.DUMMYFUNCTION("""COMPUTED_VALUE"""),741)</f>
        <v>741</v>
      </c>
      <c r="R172" s="1">
        <f ca="1">IFERROR(__xludf.DUMMYFUNCTION("""COMPUTED_VALUE"""),1733)</f>
        <v>1733</v>
      </c>
      <c r="S172" s="1">
        <f ca="1">IFERROR(__xludf.DUMMYFUNCTION("""COMPUTED_VALUE"""),0.428)</f>
        <v>0.42799999999999999</v>
      </c>
      <c r="T172" s="1">
        <f ca="1">IFERROR(__xludf.DUMMYFUNCTION("""COMPUTED_VALUE"""),200)</f>
        <v>200</v>
      </c>
      <c r="U172" s="1">
        <f ca="1">IFERROR(__xludf.DUMMYFUNCTION("""COMPUTED_VALUE"""),553)</f>
        <v>553</v>
      </c>
      <c r="V172" s="1">
        <f ca="1">IFERROR(__xludf.DUMMYFUNCTION("""COMPUTED_VALUE"""),0.362)</f>
        <v>0.36199999999999999</v>
      </c>
      <c r="W172" s="1">
        <f ca="1">IFERROR(__xludf.DUMMYFUNCTION("""COMPUTED_VALUE"""),471)</f>
        <v>471</v>
      </c>
      <c r="X172" s="1">
        <f ca="1">IFERROR(__xludf.DUMMYFUNCTION("""COMPUTED_VALUE"""),639)</f>
        <v>639</v>
      </c>
      <c r="Y172" s="1">
        <f ca="1">IFERROR(__xludf.DUMMYFUNCTION("""COMPUTED_VALUE"""),0.737)</f>
        <v>0.73699999999999999</v>
      </c>
      <c r="Z172" s="1">
        <f ca="1">IFERROR(__xludf.DUMMYFUNCTION("""COMPUTED_VALUE"""),386)</f>
        <v>386</v>
      </c>
      <c r="AA172" s="1">
        <f ca="1">IFERROR(__xludf.DUMMYFUNCTION("""COMPUTED_VALUE"""),1080)</f>
        <v>1080</v>
      </c>
      <c r="AB172" s="1">
        <f ca="1">IFERROR(__xludf.DUMMYFUNCTION("""COMPUTED_VALUE"""),383)</f>
        <v>383</v>
      </c>
      <c r="AC172" s="1">
        <f ca="1">IFERROR(__xludf.DUMMYFUNCTION("""COMPUTED_VALUE"""),186)</f>
        <v>186</v>
      </c>
      <c r="AD172" s="1">
        <f ca="1">IFERROR(__xludf.DUMMYFUNCTION("""COMPUTED_VALUE"""),110)</f>
        <v>110</v>
      </c>
      <c r="AE172" s="1">
        <f ca="1">IFERROR(__xludf.DUMMYFUNCTION("""COMPUTED_VALUE"""),396)</f>
        <v>396</v>
      </c>
      <c r="AF172" s="1">
        <f ca="1">IFERROR(__xludf.DUMMYFUNCTION("""COMPUTED_VALUE"""),541)</f>
        <v>541</v>
      </c>
    </row>
    <row r="173" spans="1:32" ht="12.5" x14ac:dyDescent="0.25">
      <c r="A173" s="1" t="str">
        <f ca="1">IFERROR(__xludf.DUMMYFUNCTION("""COMPUTED_VALUE"""),"Loyola Marymount")</f>
        <v>Loyola Marymount</v>
      </c>
      <c r="B173" s="1">
        <f ca="1">IFERROR(__xludf.DUMMYFUNCTION("""COMPUTED_VALUE"""),32)</f>
        <v>32</v>
      </c>
      <c r="C173" s="1">
        <f ca="1">IFERROR(__xludf.DUMMYFUNCTION("""COMPUTED_VALUE"""),11)</f>
        <v>11</v>
      </c>
      <c r="D173" s="1">
        <f ca="1">IFERROR(__xludf.DUMMYFUNCTION("""COMPUTED_VALUE"""),21)</f>
        <v>21</v>
      </c>
      <c r="E173" s="1">
        <f ca="1">IFERROR(__xludf.DUMMYFUNCTION("""COMPUTED_VALUE"""),0.344)</f>
        <v>0.34399999999999997</v>
      </c>
      <c r="F173" s="1">
        <f ca="1">IFERROR(__xludf.DUMMYFUNCTION("""COMPUTED_VALUE"""),-2.79)</f>
        <v>-2.79</v>
      </c>
      <c r="G173" s="1">
        <f ca="1">IFERROR(__xludf.DUMMYFUNCTION("""COMPUTED_VALUE"""),0.27)</f>
        <v>0.27</v>
      </c>
      <c r="H173" s="1">
        <f ca="1">IFERROR(__xludf.DUMMYFUNCTION("""COMPUTED_VALUE"""),2)</f>
        <v>2</v>
      </c>
      <c r="I173" s="1">
        <f ca="1">IFERROR(__xludf.DUMMYFUNCTION("""COMPUTED_VALUE"""),12)</f>
        <v>12</v>
      </c>
      <c r="J173" s="1">
        <f ca="1">IFERROR(__xludf.DUMMYFUNCTION("""COMPUTED_VALUE"""),7)</f>
        <v>7</v>
      </c>
      <c r="K173" s="1">
        <f ca="1">IFERROR(__xludf.DUMMYFUNCTION("""COMPUTED_VALUE"""),7)</f>
        <v>7</v>
      </c>
      <c r="L173" s="1">
        <f ca="1">IFERROR(__xludf.DUMMYFUNCTION("""COMPUTED_VALUE"""),2)</f>
        <v>2</v>
      </c>
      <c r="M173" s="1">
        <f ca="1">IFERROR(__xludf.DUMMYFUNCTION("""COMPUTED_VALUE"""),12)</f>
        <v>12</v>
      </c>
      <c r="N173" s="1">
        <f ca="1">IFERROR(__xludf.DUMMYFUNCTION("""COMPUTED_VALUE"""),2265)</f>
        <v>2265</v>
      </c>
      <c r="O173" s="1">
        <f ca="1">IFERROR(__xludf.DUMMYFUNCTION("""COMPUTED_VALUE"""),2312)</f>
        <v>2312</v>
      </c>
      <c r="P173" s="1">
        <f ca="1">IFERROR(__xludf.DUMMYFUNCTION("""COMPUTED_VALUE"""),1305)</f>
        <v>1305</v>
      </c>
      <c r="Q173" s="1">
        <f ca="1">IFERROR(__xludf.DUMMYFUNCTION("""COMPUTED_VALUE"""),807)</f>
        <v>807</v>
      </c>
      <c r="R173" s="1">
        <f ca="1">IFERROR(__xludf.DUMMYFUNCTION("""COMPUTED_VALUE"""),1869)</f>
        <v>1869</v>
      </c>
      <c r="S173" s="1">
        <f ca="1">IFERROR(__xludf.DUMMYFUNCTION("""COMPUTED_VALUE"""),0.432)</f>
        <v>0.432</v>
      </c>
      <c r="T173" s="1">
        <f ca="1">IFERROR(__xludf.DUMMYFUNCTION("""COMPUTED_VALUE"""),149)</f>
        <v>149</v>
      </c>
      <c r="U173" s="1">
        <f ca="1">IFERROR(__xludf.DUMMYFUNCTION("""COMPUTED_VALUE"""),463)</f>
        <v>463</v>
      </c>
      <c r="V173" s="1">
        <f ca="1">IFERROR(__xludf.DUMMYFUNCTION("""COMPUTED_VALUE"""),0.322)</f>
        <v>0.32200000000000001</v>
      </c>
      <c r="W173" s="1">
        <f ca="1">IFERROR(__xludf.DUMMYFUNCTION("""COMPUTED_VALUE"""),502)</f>
        <v>502</v>
      </c>
      <c r="X173" s="1">
        <f ca="1">IFERROR(__xludf.DUMMYFUNCTION("""COMPUTED_VALUE"""),723)</f>
        <v>723</v>
      </c>
      <c r="Y173" s="1">
        <f ca="1">IFERROR(__xludf.DUMMYFUNCTION("""COMPUTED_VALUE"""),0.694)</f>
        <v>0.69399999999999995</v>
      </c>
      <c r="Z173" s="1">
        <f ca="1">IFERROR(__xludf.DUMMYFUNCTION("""COMPUTED_VALUE"""),422)</f>
        <v>422</v>
      </c>
      <c r="AA173" s="1">
        <f ca="1">IFERROR(__xludf.DUMMYFUNCTION("""COMPUTED_VALUE"""),1219)</f>
        <v>1219</v>
      </c>
      <c r="AB173" s="1">
        <f ca="1">IFERROR(__xludf.DUMMYFUNCTION("""COMPUTED_VALUE"""),436)</f>
        <v>436</v>
      </c>
      <c r="AC173" s="1">
        <f ca="1">IFERROR(__xludf.DUMMYFUNCTION("""COMPUTED_VALUE"""),216)</f>
        <v>216</v>
      </c>
      <c r="AD173" s="1">
        <f ca="1">IFERROR(__xludf.DUMMYFUNCTION("""COMPUTED_VALUE"""),130)</f>
        <v>130</v>
      </c>
      <c r="AE173" s="1">
        <f ca="1">IFERROR(__xludf.DUMMYFUNCTION("""COMPUTED_VALUE"""),455)</f>
        <v>455</v>
      </c>
      <c r="AF173" s="1">
        <f ca="1">IFERROR(__xludf.DUMMYFUNCTION("""COMPUTED_VALUE"""),606)</f>
        <v>606</v>
      </c>
    </row>
    <row r="174" spans="1:32" ht="12.5" x14ac:dyDescent="0.25">
      <c r="A174" s="1" t="str">
        <f ca="1">IFERROR(__xludf.DUMMYFUNCTION("""COMPUTED_VALUE"""),"Loyola (MD)")</f>
        <v>Loyola (MD)</v>
      </c>
      <c r="B174" s="1">
        <f ca="1">IFERROR(__xludf.DUMMYFUNCTION("""COMPUTED_VALUE"""),30)</f>
        <v>30</v>
      </c>
      <c r="C174" s="1">
        <f ca="1">IFERROR(__xludf.DUMMYFUNCTION("""COMPUTED_VALUE"""),15)</f>
        <v>15</v>
      </c>
      <c r="D174" s="1">
        <f ca="1">IFERROR(__xludf.DUMMYFUNCTION("""COMPUTED_VALUE"""),15)</f>
        <v>15</v>
      </c>
      <c r="E174" s="1">
        <f ca="1">IFERROR(__xludf.DUMMYFUNCTION("""COMPUTED_VALUE"""),0.5)</f>
        <v>0.5</v>
      </c>
      <c r="F174" s="1">
        <f ca="1">IFERROR(__xludf.DUMMYFUNCTION("""COMPUTED_VALUE"""),-3.28)</f>
        <v>-3.28</v>
      </c>
      <c r="G174" s="1">
        <f ca="1">IFERROR(__xludf.DUMMYFUNCTION("""COMPUTED_VALUE"""),-3.68)</f>
        <v>-3.68</v>
      </c>
      <c r="H174" s="1">
        <f ca="1">IFERROR(__xludf.DUMMYFUNCTION("""COMPUTED_VALUE"""),10)</f>
        <v>10</v>
      </c>
      <c r="I174" s="1">
        <f ca="1">IFERROR(__xludf.DUMMYFUNCTION("""COMPUTED_VALUE"""),8)</f>
        <v>8</v>
      </c>
      <c r="J174" s="1">
        <f ca="1">IFERROR(__xludf.DUMMYFUNCTION("""COMPUTED_VALUE"""),8)</f>
        <v>8</v>
      </c>
      <c r="K174" s="1">
        <f ca="1">IFERROR(__xludf.DUMMYFUNCTION("""COMPUTED_VALUE"""),6)</f>
        <v>6</v>
      </c>
      <c r="L174" s="1">
        <f ca="1">IFERROR(__xludf.DUMMYFUNCTION("""COMPUTED_VALUE"""),7)</f>
        <v>7</v>
      </c>
      <c r="M174" s="1">
        <f ca="1">IFERROR(__xludf.DUMMYFUNCTION("""COMPUTED_VALUE"""),8)</f>
        <v>8</v>
      </c>
      <c r="N174" s="1">
        <f ca="1">IFERROR(__xludf.DUMMYFUNCTION("""COMPUTED_VALUE"""),2023)</f>
        <v>2023</v>
      </c>
      <c r="O174" s="1">
        <f ca="1">IFERROR(__xludf.DUMMYFUNCTION("""COMPUTED_VALUE"""),2011)</f>
        <v>2011</v>
      </c>
      <c r="P174" s="1">
        <f ca="1">IFERROR(__xludf.DUMMYFUNCTION("""COMPUTED_VALUE"""),1205)</f>
        <v>1205</v>
      </c>
      <c r="Q174" s="1">
        <f ca="1">IFERROR(__xludf.DUMMYFUNCTION("""COMPUTED_VALUE"""),701)</f>
        <v>701</v>
      </c>
      <c r="R174" s="1">
        <f ca="1">IFERROR(__xludf.DUMMYFUNCTION("""COMPUTED_VALUE"""),1682)</f>
        <v>1682</v>
      </c>
      <c r="S174" s="1">
        <f ca="1">IFERROR(__xludf.DUMMYFUNCTION("""COMPUTED_VALUE"""),0.417)</f>
        <v>0.41699999999999998</v>
      </c>
      <c r="T174" s="1">
        <f ca="1">IFERROR(__xludf.DUMMYFUNCTION("""COMPUTED_VALUE"""),180)</f>
        <v>180</v>
      </c>
      <c r="U174" s="1">
        <f ca="1">IFERROR(__xludf.DUMMYFUNCTION("""COMPUTED_VALUE"""),531)</f>
        <v>531</v>
      </c>
      <c r="V174" s="1">
        <f ca="1">IFERROR(__xludf.DUMMYFUNCTION("""COMPUTED_VALUE"""),0.339)</f>
        <v>0.33900000000000002</v>
      </c>
      <c r="W174" s="1">
        <f ca="1">IFERROR(__xludf.DUMMYFUNCTION("""COMPUTED_VALUE"""),441)</f>
        <v>441</v>
      </c>
      <c r="X174" s="1">
        <f ca="1">IFERROR(__xludf.DUMMYFUNCTION("""COMPUTED_VALUE"""),625)</f>
        <v>625</v>
      </c>
      <c r="Y174" s="1">
        <f ca="1">IFERROR(__xludf.DUMMYFUNCTION("""COMPUTED_VALUE"""),0.706)</f>
        <v>0.70599999999999996</v>
      </c>
      <c r="Z174" s="1">
        <f ca="1">IFERROR(__xludf.DUMMYFUNCTION("""COMPUTED_VALUE"""),389)</f>
        <v>389</v>
      </c>
      <c r="AA174" s="1">
        <f ca="1">IFERROR(__xludf.DUMMYFUNCTION("""COMPUTED_VALUE"""),1063)</f>
        <v>1063</v>
      </c>
      <c r="AB174" s="1">
        <f ca="1">IFERROR(__xludf.DUMMYFUNCTION("""COMPUTED_VALUE"""),357)</f>
        <v>357</v>
      </c>
      <c r="AC174" s="1">
        <f ca="1">IFERROR(__xludf.DUMMYFUNCTION("""COMPUTED_VALUE"""),195)</f>
        <v>195</v>
      </c>
      <c r="AD174" s="1">
        <f ca="1">IFERROR(__xludf.DUMMYFUNCTION("""COMPUTED_VALUE"""),130)</f>
        <v>130</v>
      </c>
      <c r="AE174" s="1">
        <f ca="1">IFERROR(__xludf.DUMMYFUNCTION("""COMPUTED_VALUE"""),396)</f>
        <v>396</v>
      </c>
      <c r="AF174" s="1">
        <f ca="1">IFERROR(__xludf.DUMMYFUNCTION("""COMPUTED_VALUE"""),582)</f>
        <v>582</v>
      </c>
    </row>
    <row r="175" spans="1:32" ht="12.5" x14ac:dyDescent="0.25">
      <c r="A175" s="1" t="str">
        <f ca="1">IFERROR(__xludf.DUMMYFUNCTION("""COMPUTED_VALUE"""),"Maine")</f>
        <v>Maine</v>
      </c>
      <c r="B175" s="1">
        <f ca="1">IFERROR(__xludf.DUMMYFUNCTION("""COMPUTED_VALUE"""),30)</f>
        <v>30</v>
      </c>
      <c r="C175" s="1">
        <f ca="1">IFERROR(__xludf.DUMMYFUNCTION("""COMPUTED_VALUE"""),15)</f>
        <v>15</v>
      </c>
      <c r="D175" s="1">
        <f ca="1">IFERROR(__xludf.DUMMYFUNCTION("""COMPUTED_VALUE"""),15)</f>
        <v>15</v>
      </c>
      <c r="E175" s="1">
        <f ca="1">IFERROR(__xludf.DUMMYFUNCTION("""COMPUTED_VALUE"""),0.5)</f>
        <v>0.5</v>
      </c>
      <c r="F175" s="1">
        <f ca="1">IFERROR(__xludf.DUMMYFUNCTION("""COMPUTED_VALUE"""),-4.87)</f>
        <v>-4.87</v>
      </c>
      <c r="G175" s="1">
        <f ca="1">IFERROR(__xludf.DUMMYFUNCTION("""COMPUTED_VALUE"""),-5.84)</f>
        <v>-5.84</v>
      </c>
      <c r="H175" s="1">
        <f ca="1">IFERROR(__xludf.DUMMYFUNCTION("""COMPUTED_VALUE"""),9)</f>
        <v>9</v>
      </c>
      <c r="I175" s="1">
        <f ca="1">IFERROR(__xludf.DUMMYFUNCTION("""COMPUTED_VALUE"""),7)</f>
        <v>7</v>
      </c>
      <c r="J175" s="1">
        <f ca="1">IFERROR(__xludf.DUMMYFUNCTION("""COMPUTED_VALUE"""),7)</f>
        <v>7</v>
      </c>
      <c r="K175" s="1">
        <f ca="1">IFERROR(__xludf.DUMMYFUNCTION("""COMPUTED_VALUE"""),7)</f>
        <v>7</v>
      </c>
      <c r="L175" s="1">
        <f ca="1">IFERROR(__xludf.DUMMYFUNCTION("""COMPUTED_VALUE"""),8)</f>
        <v>8</v>
      </c>
      <c r="M175" s="1">
        <f ca="1">IFERROR(__xludf.DUMMYFUNCTION("""COMPUTED_VALUE"""),7)</f>
        <v>7</v>
      </c>
      <c r="N175" s="1">
        <f ca="1">IFERROR(__xludf.DUMMYFUNCTION("""COMPUTED_VALUE"""),2089)</f>
        <v>2089</v>
      </c>
      <c r="O175" s="1">
        <f ca="1">IFERROR(__xludf.DUMMYFUNCTION("""COMPUTED_VALUE"""),2010)</f>
        <v>2010</v>
      </c>
      <c r="P175" s="1">
        <f ca="1">IFERROR(__xludf.DUMMYFUNCTION("""COMPUTED_VALUE"""),1215)</f>
        <v>1215</v>
      </c>
      <c r="Q175" s="1">
        <f ca="1">IFERROR(__xludf.DUMMYFUNCTION("""COMPUTED_VALUE"""),726)</f>
        <v>726</v>
      </c>
      <c r="R175" s="1">
        <f ca="1">IFERROR(__xludf.DUMMYFUNCTION("""COMPUTED_VALUE"""),1576)</f>
        <v>1576</v>
      </c>
      <c r="S175" s="1">
        <f ca="1">IFERROR(__xludf.DUMMYFUNCTION("""COMPUTED_VALUE"""),0.461)</f>
        <v>0.46100000000000002</v>
      </c>
      <c r="T175" s="1">
        <f ca="1">IFERROR(__xludf.DUMMYFUNCTION("""COMPUTED_VALUE"""),191)</f>
        <v>191</v>
      </c>
      <c r="U175" s="1">
        <f ca="1">IFERROR(__xludf.DUMMYFUNCTION("""COMPUTED_VALUE"""),539)</f>
        <v>539</v>
      </c>
      <c r="V175" s="1">
        <f ca="1">IFERROR(__xludf.DUMMYFUNCTION("""COMPUTED_VALUE"""),0.354)</f>
        <v>0.35399999999999998</v>
      </c>
      <c r="W175" s="1">
        <f ca="1">IFERROR(__xludf.DUMMYFUNCTION("""COMPUTED_VALUE"""),446)</f>
        <v>446</v>
      </c>
      <c r="X175" s="1">
        <f ca="1">IFERROR(__xludf.DUMMYFUNCTION("""COMPUTED_VALUE"""),638)</f>
        <v>638</v>
      </c>
      <c r="Y175" s="1">
        <f ca="1">IFERROR(__xludf.DUMMYFUNCTION("""COMPUTED_VALUE"""),0.699)</f>
        <v>0.69899999999999995</v>
      </c>
      <c r="Z175" s="1">
        <f ca="1">IFERROR(__xludf.DUMMYFUNCTION("""COMPUTED_VALUE"""),297)</f>
        <v>297</v>
      </c>
      <c r="AA175" s="1">
        <f ca="1">IFERROR(__xludf.DUMMYFUNCTION("""COMPUTED_VALUE"""),1010)</f>
        <v>1010</v>
      </c>
      <c r="AB175" s="1">
        <f ca="1">IFERROR(__xludf.DUMMYFUNCTION("""COMPUTED_VALUE"""),396)</f>
        <v>396</v>
      </c>
      <c r="AC175" s="1">
        <f ca="1">IFERROR(__xludf.DUMMYFUNCTION("""COMPUTED_VALUE"""),169)</f>
        <v>169</v>
      </c>
      <c r="AD175" s="1">
        <f ca="1">IFERROR(__xludf.DUMMYFUNCTION("""COMPUTED_VALUE"""),102)</f>
        <v>102</v>
      </c>
      <c r="AE175" s="1">
        <f ca="1">IFERROR(__xludf.DUMMYFUNCTION("""COMPUTED_VALUE"""),387)</f>
        <v>387</v>
      </c>
      <c r="AF175" s="1">
        <f ca="1">IFERROR(__xludf.DUMMYFUNCTION("""COMPUTED_VALUE"""),532)</f>
        <v>532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IFERROR(__xludf.DUMMYFUNCTION("""COMPUTED_VALUE"""),"Manhattan")</f>
        <v>Manhattan</v>
      </c>
      <c r="B178" s="1">
        <f ca="1">IFERROR(__xludf.DUMMYFUNCTION("""COMPUTED_VALUE"""),31)</f>
        <v>31</v>
      </c>
      <c r="C178" s="1">
        <f ca="1">IFERROR(__xludf.DUMMYFUNCTION("""COMPUTED_VALUE"""),6)</f>
        <v>6</v>
      </c>
      <c r="D178" s="1">
        <f ca="1">IFERROR(__xludf.DUMMYFUNCTION("""COMPUTED_VALUE"""),25)</f>
        <v>25</v>
      </c>
      <c r="E178" s="1">
        <f ca="1">IFERROR(__xludf.DUMMYFUNCTION("""COMPUTED_VALUE"""),0.194)</f>
        <v>0.19400000000000001</v>
      </c>
      <c r="F178" s="1">
        <f ca="1">IFERROR(__xludf.DUMMYFUNCTION("""COMPUTED_VALUE"""),-11.66)</f>
        <v>-11.66</v>
      </c>
      <c r="G178" s="1">
        <f ca="1">IFERROR(__xludf.DUMMYFUNCTION("""COMPUTED_VALUE"""),-2.01)</f>
        <v>-2.0099999999999998</v>
      </c>
      <c r="H178" s="1">
        <f ca="1">IFERROR(__xludf.DUMMYFUNCTION("""COMPUTED_VALUE"""),3)</f>
        <v>3</v>
      </c>
      <c r="I178" s="1">
        <f ca="1">IFERROR(__xludf.DUMMYFUNCTION("""COMPUTED_VALUE"""),15)</f>
        <v>15</v>
      </c>
      <c r="J178" s="1">
        <f ca="1">IFERROR(__xludf.DUMMYFUNCTION("""COMPUTED_VALUE"""),3)</f>
        <v>3</v>
      </c>
      <c r="K178" s="1">
        <f ca="1">IFERROR(__xludf.DUMMYFUNCTION("""COMPUTED_VALUE"""),10)</f>
        <v>10</v>
      </c>
      <c r="L178" s="1">
        <f ca="1">IFERROR(__xludf.DUMMYFUNCTION("""COMPUTED_VALUE"""),3)</f>
        <v>3</v>
      </c>
      <c r="M178" s="1">
        <f ca="1">IFERROR(__xludf.DUMMYFUNCTION("""COMPUTED_VALUE"""),11)</f>
        <v>11</v>
      </c>
      <c r="N178" s="1">
        <f ca="1">IFERROR(__xludf.DUMMYFUNCTION("""COMPUTED_VALUE"""),1862)</f>
        <v>1862</v>
      </c>
      <c r="O178" s="1">
        <f ca="1">IFERROR(__xludf.DUMMYFUNCTION("""COMPUTED_VALUE"""),2161)</f>
        <v>2161</v>
      </c>
      <c r="P178" s="1">
        <f ca="1">IFERROR(__xludf.DUMMYFUNCTION("""COMPUTED_VALUE"""),1250)</f>
        <v>1250</v>
      </c>
      <c r="Q178" s="1">
        <f ca="1">IFERROR(__xludf.DUMMYFUNCTION("""COMPUTED_VALUE"""),677)</f>
        <v>677</v>
      </c>
      <c r="R178" s="1">
        <f ca="1">IFERROR(__xludf.DUMMYFUNCTION("""COMPUTED_VALUE"""),1678)</f>
        <v>1678</v>
      </c>
      <c r="S178" s="1">
        <f ca="1">IFERROR(__xludf.DUMMYFUNCTION("""COMPUTED_VALUE"""),0.403)</f>
        <v>0.40300000000000002</v>
      </c>
      <c r="T178" s="1">
        <f ca="1">IFERROR(__xludf.DUMMYFUNCTION("""COMPUTED_VALUE"""),113)</f>
        <v>113</v>
      </c>
      <c r="U178" s="1">
        <f ca="1">IFERROR(__xludf.DUMMYFUNCTION("""COMPUTED_VALUE"""),378)</f>
        <v>378</v>
      </c>
      <c r="V178" s="1">
        <f ca="1">IFERROR(__xludf.DUMMYFUNCTION("""COMPUTED_VALUE"""),0.299)</f>
        <v>0.29899999999999999</v>
      </c>
      <c r="W178" s="1">
        <f ca="1">IFERROR(__xludf.DUMMYFUNCTION("""COMPUTED_VALUE"""),395)</f>
        <v>395</v>
      </c>
      <c r="X178" s="1">
        <f ca="1">IFERROR(__xludf.DUMMYFUNCTION("""COMPUTED_VALUE"""),565)</f>
        <v>565</v>
      </c>
      <c r="Y178" s="1">
        <f ca="1">IFERROR(__xludf.DUMMYFUNCTION("""COMPUTED_VALUE"""),0.699)</f>
        <v>0.69899999999999995</v>
      </c>
      <c r="Z178" s="1">
        <f ca="1">IFERROR(__xludf.DUMMYFUNCTION("""COMPUTED_VALUE"""),368)</f>
        <v>368</v>
      </c>
      <c r="AA178" s="1">
        <f ca="1">IFERROR(__xludf.DUMMYFUNCTION("""COMPUTED_VALUE"""),1045)</f>
        <v>1045</v>
      </c>
      <c r="AB178" s="1">
        <f ca="1">IFERROR(__xludf.DUMMYFUNCTION("""COMPUTED_VALUE"""),300)</f>
        <v>300</v>
      </c>
      <c r="AC178" s="1">
        <f ca="1">IFERROR(__xludf.DUMMYFUNCTION("""COMPUTED_VALUE"""),200)</f>
        <v>200</v>
      </c>
      <c r="AD178" s="1">
        <f ca="1">IFERROR(__xludf.DUMMYFUNCTION("""COMPUTED_VALUE"""),124)</f>
        <v>124</v>
      </c>
      <c r="AE178" s="1">
        <f ca="1">IFERROR(__xludf.DUMMYFUNCTION("""COMPUTED_VALUE"""),419)</f>
        <v>419</v>
      </c>
      <c r="AF178" s="1">
        <f ca="1">IFERROR(__xludf.DUMMYFUNCTION("""COMPUTED_VALUE"""),521)</f>
        <v>521</v>
      </c>
    </row>
    <row r="179" spans="1:32" ht="12.5" x14ac:dyDescent="0.25">
      <c r="A179" s="1" t="str">
        <f ca="1">IFERROR(__xludf.DUMMYFUNCTION("""COMPUTED_VALUE"""),"Marist")</f>
        <v>Marist</v>
      </c>
      <c r="B179" s="1">
        <f ca="1">IFERROR(__xludf.DUMMYFUNCTION("""COMPUTED_VALUE"""),33)</f>
        <v>33</v>
      </c>
      <c r="C179" s="1">
        <f ca="1">IFERROR(__xludf.DUMMYFUNCTION("""COMPUTED_VALUE"""),6)</f>
        <v>6</v>
      </c>
      <c r="D179" s="1">
        <f ca="1">IFERROR(__xludf.DUMMYFUNCTION("""COMPUTED_VALUE"""),27)</f>
        <v>27</v>
      </c>
      <c r="E179" s="1">
        <f ca="1">IFERROR(__xludf.DUMMYFUNCTION("""COMPUTED_VALUE"""),0.182)</f>
        <v>0.182</v>
      </c>
      <c r="F179" s="1">
        <f ca="1">IFERROR(__xludf.DUMMYFUNCTION("""COMPUTED_VALUE"""),-13.7)</f>
        <v>-13.7</v>
      </c>
      <c r="G179" s="1">
        <f ca="1">IFERROR(__xludf.DUMMYFUNCTION("""COMPUTED_VALUE"""),-1.46)</f>
        <v>-1.46</v>
      </c>
      <c r="H179" s="1">
        <f ca="1">IFERROR(__xludf.DUMMYFUNCTION("""COMPUTED_VALUE"""),3)</f>
        <v>3</v>
      </c>
      <c r="I179" s="1">
        <f ca="1">IFERROR(__xludf.DUMMYFUNCTION("""COMPUTED_VALUE"""),15)</f>
        <v>15</v>
      </c>
      <c r="J179" s="1">
        <f ca="1">IFERROR(__xludf.DUMMYFUNCTION("""COMPUTED_VALUE"""),4)</f>
        <v>4</v>
      </c>
      <c r="K179" s="1">
        <f ca="1">IFERROR(__xludf.DUMMYFUNCTION("""COMPUTED_VALUE"""),10)</f>
        <v>10</v>
      </c>
      <c r="L179" s="1">
        <f ca="1">IFERROR(__xludf.DUMMYFUNCTION("""COMPUTED_VALUE"""),1)</f>
        <v>1</v>
      </c>
      <c r="M179" s="1">
        <f ca="1">IFERROR(__xludf.DUMMYFUNCTION("""COMPUTED_VALUE"""),15)</f>
        <v>15</v>
      </c>
      <c r="N179" s="1">
        <f ca="1">IFERROR(__xludf.DUMMYFUNCTION("""COMPUTED_VALUE"""),1979)</f>
        <v>1979</v>
      </c>
      <c r="O179" s="1">
        <f ca="1">IFERROR(__xludf.DUMMYFUNCTION("""COMPUTED_VALUE"""),2383)</f>
        <v>2383</v>
      </c>
      <c r="P179" s="1">
        <f ca="1">IFERROR(__xludf.DUMMYFUNCTION("""COMPUTED_VALUE"""),1320)</f>
        <v>1320</v>
      </c>
      <c r="Q179" s="1">
        <f ca="1">IFERROR(__xludf.DUMMYFUNCTION("""COMPUTED_VALUE"""),662)</f>
        <v>662</v>
      </c>
      <c r="R179" s="1">
        <f ca="1">IFERROR(__xludf.DUMMYFUNCTION("""COMPUTED_VALUE"""),1734)</f>
        <v>1734</v>
      </c>
      <c r="S179" s="1">
        <f ca="1">IFERROR(__xludf.DUMMYFUNCTION("""COMPUTED_VALUE"""),0.382)</f>
        <v>0.38200000000000001</v>
      </c>
      <c r="T179" s="1">
        <f ca="1">IFERROR(__xludf.DUMMYFUNCTION("""COMPUTED_VALUE"""),207)</f>
        <v>207</v>
      </c>
      <c r="U179" s="1">
        <f ca="1">IFERROR(__xludf.DUMMYFUNCTION("""COMPUTED_VALUE"""),665)</f>
        <v>665</v>
      </c>
      <c r="V179" s="1">
        <f ca="1">IFERROR(__xludf.DUMMYFUNCTION("""COMPUTED_VALUE"""),0.311)</f>
        <v>0.311</v>
      </c>
      <c r="W179" s="1">
        <f ca="1">IFERROR(__xludf.DUMMYFUNCTION("""COMPUTED_VALUE"""),448)</f>
        <v>448</v>
      </c>
      <c r="X179" s="1">
        <f ca="1">IFERROR(__xludf.DUMMYFUNCTION("""COMPUTED_VALUE"""),629)</f>
        <v>629</v>
      </c>
      <c r="Y179" s="1">
        <f ca="1">IFERROR(__xludf.DUMMYFUNCTION("""COMPUTED_VALUE"""),0.712)</f>
        <v>0.71199999999999997</v>
      </c>
      <c r="Z179" s="1">
        <f ca="1">IFERROR(__xludf.DUMMYFUNCTION("""COMPUTED_VALUE"""),326)</f>
        <v>326</v>
      </c>
      <c r="AA179" s="1">
        <f ca="1">IFERROR(__xludf.DUMMYFUNCTION("""COMPUTED_VALUE"""),1106)</f>
        <v>1106</v>
      </c>
      <c r="AB179" s="1">
        <f ca="1">IFERROR(__xludf.DUMMYFUNCTION("""COMPUTED_VALUE"""),317)</f>
        <v>317</v>
      </c>
      <c r="AC179" s="1">
        <f ca="1">IFERROR(__xludf.DUMMYFUNCTION("""COMPUTED_VALUE"""),166)</f>
        <v>166</v>
      </c>
      <c r="AD179" s="1">
        <f ca="1">IFERROR(__xludf.DUMMYFUNCTION("""COMPUTED_VALUE"""),87)</f>
        <v>87</v>
      </c>
      <c r="AE179" s="1">
        <f ca="1">IFERROR(__xludf.DUMMYFUNCTION("""COMPUTED_VALUE"""),481)</f>
        <v>481</v>
      </c>
      <c r="AF179" s="1">
        <f ca="1">IFERROR(__xludf.DUMMYFUNCTION("""COMPUTED_VALUE"""),657)</f>
        <v>657</v>
      </c>
    </row>
    <row r="180" spans="1:32" ht="12.5" x14ac:dyDescent="0.25">
      <c r="A180" s="1" t="str">
        <f ca="1">IFERROR(__xludf.DUMMYFUNCTION("""COMPUTED_VALUE"""),"MarquetteNCAA")</f>
        <v>MarquetteNCAA</v>
      </c>
      <c r="B180" s="1">
        <f ca="1">IFERROR(__xludf.DUMMYFUNCTION("""COMPUTED_VALUE"""),37)</f>
        <v>37</v>
      </c>
      <c r="C180" s="1">
        <f ca="1">IFERROR(__xludf.DUMMYFUNCTION("""COMPUTED_VALUE"""),22)</f>
        <v>22</v>
      </c>
      <c r="D180" s="1">
        <f ca="1">IFERROR(__xludf.DUMMYFUNCTION("""COMPUTED_VALUE"""),15)</f>
        <v>15</v>
      </c>
      <c r="E180" s="1">
        <f ca="1">IFERROR(__xludf.DUMMYFUNCTION("""COMPUTED_VALUE"""),0.595)</f>
        <v>0.59499999999999997</v>
      </c>
      <c r="F180" s="1">
        <f ca="1">IFERROR(__xludf.DUMMYFUNCTION("""COMPUTED_VALUE"""),14.89)</f>
        <v>14.89</v>
      </c>
      <c r="G180" s="1">
        <f ca="1">IFERROR(__xludf.DUMMYFUNCTION("""COMPUTED_VALUE"""),8.51)</f>
        <v>8.51</v>
      </c>
      <c r="H180" s="1">
        <f ca="1">IFERROR(__xludf.DUMMYFUNCTION("""COMPUTED_VALUE"""),9)</f>
        <v>9</v>
      </c>
      <c r="I180" s="1">
        <f ca="1">IFERROR(__xludf.DUMMYFUNCTION("""COMPUTED_VALUE"""),9)</f>
        <v>9</v>
      </c>
      <c r="J180" s="1">
        <f ca="1">IFERROR(__xludf.DUMMYFUNCTION("""COMPUTED_VALUE"""),14)</f>
        <v>14</v>
      </c>
      <c r="K180" s="1">
        <f ca="1">IFERROR(__xludf.DUMMYFUNCTION("""COMPUTED_VALUE"""),4)</f>
        <v>4</v>
      </c>
      <c r="L180" s="1">
        <f ca="1">IFERROR(__xludf.DUMMYFUNCTION("""COMPUTED_VALUE"""),4)</f>
        <v>4</v>
      </c>
      <c r="M180" s="1">
        <f ca="1">IFERROR(__xludf.DUMMYFUNCTION("""COMPUTED_VALUE"""),7)</f>
        <v>7</v>
      </c>
      <c r="N180" s="1">
        <f ca="1">IFERROR(__xludf.DUMMYFUNCTION("""COMPUTED_VALUE"""),2782)</f>
        <v>2782</v>
      </c>
      <c r="O180" s="1">
        <f ca="1">IFERROR(__xludf.DUMMYFUNCTION("""COMPUTED_VALUE"""),2546)</f>
        <v>2546</v>
      </c>
      <c r="P180" s="1">
        <f ca="1">IFERROR(__xludf.DUMMYFUNCTION("""COMPUTED_VALUE"""),1485)</f>
        <v>1485</v>
      </c>
      <c r="Q180" s="1">
        <f ca="1">IFERROR(__xludf.DUMMYFUNCTION("""COMPUTED_VALUE"""),973)</f>
        <v>973</v>
      </c>
      <c r="R180" s="1">
        <f ca="1">IFERROR(__xludf.DUMMYFUNCTION("""COMPUTED_VALUE"""),2094)</f>
        <v>2094</v>
      </c>
      <c r="S180" s="1">
        <f ca="1">IFERROR(__xludf.DUMMYFUNCTION("""COMPUTED_VALUE"""),0.465)</f>
        <v>0.46500000000000002</v>
      </c>
      <c r="T180" s="1">
        <f ca="1">IFERROR(__xludf.DUMMYFUNCTION("""COMPUTED_VALUE"""),191)</f>
        <v>191</v>
      </c>
      <c r="U180" s="1">
        <f ca="1">IFERROR(__xludf.DUMMYFUNCTION("""COMPUTED_VALUE"""),547)</f>
        <v>547</v>
      </c>
      <c r="V180" s="1">
        <f ca="1">IFERROR(__xludf.DUMMYFUNCTION("""COMPUTED_VALUE"""),0.349)</f>
        <v>0.34899999999999998</v>
      </c>
      <c r="W180" s="1">
        <f ca="1">IFERROR(__xludf.DUMMYFUNCTION("""COMPUTED_VALUE"""),645)</f>
        <v>645</v>
      </c>
      <c r="X180" s="1">
        <f ca="1">IFERROR(__xludf.DUMMYFUNCTION("""COMPUTED_VALUE"""),927)</f>
        <v>927</v>
      </c>
      <c r="Y180" s="1">
        <f ca="1">IFERROR(__xludf.DUMMYFUNCTION("""COMPUTED_VALUE"""),0.696)</f>
        <v>0.69599999999999995</v>
      </c>
      <c r="Z180" s="1">
        <f ca="1">IFERROR(__xludf.DUMMYFUNCTION("""COMPUTED_VALUE"""),457)</f>
        <v>457</v>
      </c>
      <c r="AA180" s="1">
        <f ca="1">IFERROR(__xludf.DUMMYFUNCTION("""COMPUTED_VALUE"""),1329)</f>
        <v>1329</v>
      </c>
      <c r="AB180" s="1">
        <f ca="1">IFERROR(__xludf.DUMMYFUNCTION("""COMPUTED_VALUE"""),574)</f>
        <v>574</v>
      </c>
      <c r="AC180" s="1">
        <f ca="1">IFERROR(__xludf.DUMMYFUNCTION("""COMPUTED_VALUE"""),265)</f>
        <v>265</v>
      </c>
      <c r="AD180" s="1">
        <f ca="1">IFERROR(__xludf.DUMMYFUNCTION("""COMPUTED_VALUE"""),134)</f>
        <v>134</v>
      </c>
      <c r="AE180" s="1">
        <f ca="1">IFERROR(__xludf.DUMMYFUNCTION("""COMPUTED_VALUE"""),455)</f>
        <v>455</v>
      </c>
      <c r="AF180" s="1">
        <f ca="1">IFERROR(__xludf.DUMMYFUNCTION("""COMPUTED_VALUE"""),622)</f>
        <v>622</v>
      </c>
    </row>
    <row r="181" spans="1:32" ht="12.5" x14ac:dyDescent="0.25">
      <c r="A181" s="1" t="str">
        <f ca="1">IFERROR(__xludf.DUMMYFUNCTION("""COMPUTED_VALUE"""),"Marshall")</f>
        <v>Marshall</v>
      </c>
      <c r="B181" s="1">
        <f ca="1">IFERROR(__xludf.DUMMYFUNCTION("""COMPUTED_VALUE"""),34)</f>
        <v>34</v>
      </c>
      <c r="C181" s="1">
        <f ca="1">IFERROR(__xludf.DUMMYFUNCTION("""COMPUTED_VALUE"""),22)</f>
        <v>22</v>
      </c>
      <c r="D181" s="1">
        <f ca="1">IFERROR(__xludf.DUMMYFUNCTION("""COMPUTED_VALUE"""),12)</f>
        <v>12</v>
      </c>
      <c r="E181" s="1">
        <f ca="1">IFERROR(__xludf.DUMMYFUNCTION("""COMPUTED_VALUE"""),0.647)</f>
        <v>0.64700000000000002</v>
      </c>
      <c r="F181" s="1">
        <f ca="1">IFERROR(__xludf.DUMMYFUNCTION("""COMPUTED_VALUE"""),6.32)</f>
        <v>6.32</v>
      </c>
      <c r="G181" s="1">
        <f ca="1">IFERROR(__xludf.DUMMYFUNCTION("""COMPUTED_VALUE"""),1.94)</f>
        <v>1.94</v>
      </c>
      <c r="H181" s="1">
        <f ca="1">IFERROR(__xludf.DUMMYFUNCTION("""COMPUTED_VALUE"""),9)</f>
        <v>9</v>
      </c>
      <c r="I181" s="1">
        <f ca="1">IFERROR(__xludf.DUMMYFUNCTION("""COMPUTED_VALUE"""),7)</f>
        <v>7</v>
      </c>
      <c r="J181" s="1">
        <f ca="1">IFERROR(__xludf.DUMMYFUNCTION("""COMPUTED_VALUE"""),14)</f>
        <v>14</v>
      </c>
      <c r="K181" s="1">
        <f ca="1">IFERROR(__xludf.DUMMYFUNCTION("""COMPUTED_VALUE"""),4)</f>
        <v>4</v>
      </c>
      <c r="L181" s="1">
        <f ca="1">IFERROR(__xludf.DUMMYFUNCTION("""COMPUTED_VALUE"""),6)</f>
        <v>6</v>
      </c>
      <c r="M181" s="1">
        <f ca="1">IFERROR(__xludf.DUMMYFUNCTION("""COMPUTED_VALUE"""),7)</f>
        <v>7</v>
      </c>
      <c r="N181" s="1">
        <f ca="1">IFERROR(__xludf.DUMMYFUNCTION("""COMPUTED_VALUE"""),2499)</f>
        <v>2499</v>
      </c>
      <c r="O181" s="1">
        <f ca="1">IFERROR(__xludf.DUMMYFUNCTION("""COMPUTED_VALUE"""),2291)</f>
        <v>2291</v>
      </c>
      <c r="P181" s="1">
        <f ca="1">IFERROR(__xludf.DUMMYFUNCTION("""COMPUTED_VALUE"""),1365)</f>
        <v>1365</v>
      </c>
      <c r="Q181" s="1">
        <f ca="1">IFERROR(__xludf.DUMMYFUNCTION("""COMPUTED_VALUE"""),854)</f>
        <v>854</v>
      </c>
      <c r="R181" s="1">
        <f ca="1">IFERROR(__xludf.DUMMYFUNCTION("""COMPUTED_VALUE"""),1887)</f>
        <v>1887</v>
      </c>
      <c r="S181" s="1">
        <f ca="1">IFERROR(__xludf.DUMMYFUNCTION("""COMPUTED_VALUE"""),0.453)</f>
        <v>0.45300000000000001</v>
      </c>
      <c r="T181" s="1">
        <f ca="1">IFERROR(__xludf.DUMMYFUNCTION("""COMPUTED_VALUE"""),188)</f>
        <v>188</v>
      </c>
      <c r="U181" s="1">
        <f ca="1">IFERROR(__xludf.DUMMYFUNCTION("""COMPUTED_VALUE"""),583)</f>
        <v>583</v>
      </c>
      <c r="V181" s="1">
        <f ca="1">IFERROR(__xludf.DUMMYFUNCTION("""COMPUTED_VALUE"""),0.322)</f>
        <v>0.32200000000000001</v>
      </c>
      <c r="W181" s="1">
        <f ca="1">IFERROR(__xludf.DUMMYFUNCTION("""COMPUTED_VALUE"""),603)</f>
        <v>603</v>
      </c>
      <c r="X181" s="1">
        <f ca="1">IFERROR(__xludf.DUMMYFUNCTION("""COMPUTED_VALUE"""),888)</f>
        <v>888</v>
      </c>
      <c r="Y181" s="1">
        <f ca="1">IFERROR(__xludf.DUMMYFUNCTION("""COMPUTED_VALUE"""),0.679)</f>
        <v>0.67900000000000005</v>
      </c>
      <c r="Z181" s="1">
        <f ca="1">IFERROR(__xludf.DUMMYFUNCTION("""COMPUTED_VALUE"""),440)</f>
        <v>440</v>
      </c>
      <c r="AA181" s="1">
        <f ca="1">IFERROR(__xludf.DUMMYFUNCTION("""COMPUTED_VALUE"""),1298)</f>
        <v>1298</v>
      </c>
      <c r="AB181" s="1">
        <f ca="1">IFERROR(__xludf.DUMMYFUNCTION("""COMPUTED_VALUE"""),439)</f>
        <v>439</v>
      </c>
      <c r="AC181" s="1">
        <f ca="1">IFERROR(__xludf.DUMMYFUNCTION("""COMPUTED_VALUE"""),166)</f>
        <v>166</v>
      </c>
      <c r="AD181" s="1">
        <f ca="1">IFERROR(__xludf.DUMMYFUNCTION("""COMPUTED_VALUE"""),122)</f>
        <v>122</v>
      </c>
      <c r="AE181" s="1">
        <f ca="1">IFERROR(__xludf.DUMMYFUNCTION("""COMPUTED_VALUE"""),452)</f>
        <v>452</v>
      </c>
      <c r="AF181" s="1">
        <f ca="1">IFERROR(__xludf.DUMMYFUNCTION("""COMPUTED_VALUE"""),671)</f>
        <v>671</v>
      </c>
    </row>
    <row r="182" spans="1:32" ht="12.5" x14ac:dyDescent="0.25">
      <c r="A182" s="1" t="str">
        <f ca="1">IFERROR(__xludf.DUMMYFUNCTION("""COMPUTED_VALUE"""),"Maryland-Baltimore County")</f>
        <v>Maryland-Baltimore County</v>
      </c>
      <c r="B182" s="1">
        <f ca="1">IFERROR(__xludf.DUMMYFUNCTION("""COMPUTED_VALUE"""),30)</f>
        <v>30</v>
      </c>
      <c r="C182" s="1">
        <f ca="1">IFERROR(__xludf.DUMMYFUNCTION("""COMPUTED_VALUE"""),5)</f>
        <v>5</v>
      </c>
      <c r="D182" s="1">
        <f ca="1">IFERROR(__xludf.DUMMYFUNCTION("""COMPUTED_VALUE"""),25)</f>
        <v>25</v>
      </c>
      <c r="E182" s="1">
        <f ca="1">IFERROR(__xludf.DUMMYFUNCTION("""COMPUTED_VALUE"""),0.167)</f>
        <v>0.16700000000000001</v>
      </c>
      <c r="F182" s="1">
        <f ca="1">IFERROR(__xludf.DUMMYFUNCTION("""COMPUTED_VALUE"""),-18.47)</f>
        <v>-18.47</v>
      </c>
      <c r="G182" s="1">
        <f ca="1">IFERROR(__xludf.DUMMYFUNCTION("""COMPUTED_VALUE"""),-4.27)</f>
        <v>-4.2699999999999996</v>
      </c>
      <c r="H182" s="1">
        <f ca="1">IFERROR(__xludf.DUMMYFUNCTION("""COMPUTED_VALUE"""),4)</f>
        <v>4</v>
      </c>
      <c r="I182" s="1">
        <f ca="1">IFERROR(__xludf.DUMMYFUNCTION("""COMPUTED_VALUE"""),12)</f>
        <v>12</v>
      </c>
      <c r="J182" s="1">
        <f ca="1">IFERROR(__xludf.DUMMYFUNCTION("""COMPUTED_VALUE"""),3)</f>
        <v>3</v>
      </c>
      <c r="K182" s="1">
        <f ca="1">IFERROR(__xludf.DUMMYFUNCTION("""COMPUTED_VALUE"""),10)</f>
        <v>10</v>
      </c>
      <c r="L182" s="1">
        <f ca="1">IFERROR(__xludf.DUMMYFUNCTION("""COMPUTED_VALUE"""),2)</f>
        <v>2</v>
      </c>
      <c r="M182" s="1">
        <f ca="1">IFERROR(__xludf.DUMMYFUNCTION("""COMPUTED_VALUE"""),14)</f>
        <v>14</v>
      </c>
      <c r="N182" s="1">
        <f ca="1">IFERROR(__xludf.DUMMYFUNCTION("""COMPUTED_VALUE"""),1928)</f>
        <v>1928</v>
      </c>
      <c r="O182" s="1">
        <f ca="1">IFERROR(__xludf.DUMMYFUNCTION("""COMPUTED_VALUE"""),2354)</f>
        <v>2354</v>
      </c>
      <c r="P182" s="1">
        <f ca="1">IFERROR(__xludf.DUMMYFUNCTION("""COMPUTED_VALUE"""),1220)</f>
        <v>1220</v>
      </c>
      <c r="Q182" s="1">
        <f ca="1">IFERROR(__xludf.DUMMYFUNCTION("""COMPUTED_VALUE"""),700)</f>
        <v>700</v>
      </c>
      <c r="R182" s="1">
        <f ca="1">IFERROR(__xludf.DUMMYFUNCTION("""COMPUTED_VALUE"""),1746)</f>
        <v>1746</v>
      </c>
      <c r="S182" s="1">
        <f ca="1">IFERROR(__xludf.DUMMYFUNCTION("""COMPUTED_VALUE"""),0.401)</f>
        <v>0.40100000000000002</v>
      </c>
      <c r="T182" s="1">
        <f ca="1">IFERROR(__xludf.DUMMYFUNCTION("""COMPUTED_VALUE"""),183)</f>
        <v>183</v>
      </c>
      <c r="U182" s="1">
        <f ca="1">IFERROR(__xludf.DUMMYFUNCTION("""COMPUTED_VALUE"""),553)</f>
        <v>553</v>
      </c>
      <c r="V182" s="1">
        <f ca="1">IFERROR(__xludf.DUMMYFUNCTION("""COMPUTED_VALUE"""),0.331)</f>
        <v>0.33100000000000002</v>
      </c>
      <c r="W182" s="1">
        <f ca="1">IFERROR(__xludf.DUMMYFUNCTION("""COMPUTED_VALUE"""),345)</f>
        <v>345</v>
      </c>
      <c r="X182" s="1">
        <f ca="1">IFERROR(__xludf.DUMMYFUNCTION("""COMPUTED_VALUE"""),488)</f>
        <v>488</v>
      </c>
      <c r="Y182" s="1">
        <f ca="1">IFERROR(__xludf.DUMMYFUNCTION("""COMPUTED_VALUE"""),0.707)</f>
        <v>0.70699999999999996</v>
      </c>
      <c r="Z182" s="1">
        <f ca="1">IFERROR(__xludf.DUMMYFUNCTION("""COMPUTED_VALUE"""),330)</f>
        <v>330</v>
      </c>
      <c r="AA182" s="1">
        <f ca="1">IFERROR(__xludf.DUMMYFUNCTION("""COMPUTED_VALUE"""),976)</f>
        <v>976</v>
      </c>
      <c r="AB182" s="1">
        <f ca="1">IFERROR(__xludf.DUMMYFUNCTION("""COMPUTED_VALUE"""),346)</f>
        <v>346</v>
      </c>
      <c r="AC182" s="1">
        <f ca="1">IFERROR(__xludf.DUMMYFUNCTION("""COMPUTED_VALUE"""),178)</f>
        <v>178</v>
      </c>
      <c r="AD182" s="1">
        <f ca="1">IFERROR(__xludf.DUMMYFUNCTION("""COMPUTED_VALUE"""),48)</f>
        <v>48</v>
      </c>
      <c r="AE182" s="1">
        <f ca="1">IFERROR(__xludf.DUMMYFUNCTION("""COMPUTED_VALUE"""),395)</f>
        <v>395</v>
      </c>
      <c r="AF182" s="1">
        <f ca="1">IFERROR(__xludf.DUMMYFUNCTION("""COMPUTED_VALUE"""),593)</f>
        <v>593</v>
      </c>
    </row>
    <row r="183" spans="1:32" ht="12.5" x14ac:dyDescent="0.25">
      <c r="A183" s="1" t="str">
        <f ca="1">IFERROR(__xludf.DUMMYFUNCTION("""COMPUTED_VALUE"""),"Maryland-Eastern Shore")</f>
        <v>Maryland-Eastern Shore</v>
      </c>
      <c r="B183" s="1">
        <f ca="1">IFERROR(__xludf.DUMMYFUNCTION("""COMPUTED_VALUE"""),31)</f>
        <v>31</v>
      </c>
      <c r="C183" s="1">
        <f ca="1">IFERROR(__xludf.DUMMYFUNCTION("""COMPUTED_VALUE"""),9)</f>
        <v>9</v>
      </c>
      <c r="D183" s="1">
        <f ca="1">IFERROR(__xludf.DUMMYFUNCTION("""COMPUTED_VALUE"""),22)</f>
        <v>22</v>
      </c>
      <c r="E183" s="1">
        <f ca="1">IFERROR(__xludf.DUMMYFUNCTION("""COMPUTED_VALUE"""),0.29)</f>
        <v>0.28999999999999998</v>
      </c>
      <c r="F183" s="1">
        <f ca="1">IFERROR(__xludf.DUMMYFUNCTION("""COMPUTED_VALUE"""),-19.35)</f>
        <v>-19.350000000000001</v>
      </c>
      <c r="G183" s="1">
        <f ca="1">IFERROR(__xludf.DUMMYFUNCTION("""COMPUTED_VALUE"""),-7.42)</f>
        <v>-7.42</v>
      </c>
      <c r="H183" s="1">
        <f ca="1">IFERROR(__xludf.DUMMYFUNCTION("""COMPUTED_VALUE"""),5)</f>
        <v>5</v>
      </c>
      <c r="I183" s="1">
        <f ca="1">IFERROR(__xludf.DUMMYFUNCTION("""COMPUTED_VALUE"""),11)</f>
        <v>11</v>
      </c>
      <c r="J183" s="1">
        <f ca="1">IFERROR(__xludf.DUMMYFUNCTION("""COMPUTED_VALUE"""),7)</f>
        <v>7</v>
      </c>
      <c r="K183" s="1">
        <f ca="1">IFERROR(__xludf.DUMMYFUNCTION("""COMPUTED_VALUE"""),5)</f>
        <v>5</v>
      </c>
      <c r="L183" s="1">
        <f ca="1">IFERROR(__xludf.DUMMYFUNCTION("""COMPUTED_VALUE"""),1)</f>
        <v>1</v>
      </c>
      <c r="M183" s="1">
        <f ca="1">IFERROR(__xludf.DUMMYFUNCTION("""COMPUTED_VALUE"""),16)</f>
        <v>16</v>
      </c>
      <c r="N183" s="1">
        <f ca="1">IFERROR(__xludf.DUMMYFUNCTION("""COMPUTED_VALUE"""),2096)</f>
        <v>2096</v>
      </c>
      <c r="O183" s="1">
        <f ca="1">IFERROR(__xludf.DUMMYFUNCTION("""COMPUTED_VALUE"""),2408)</f>
        <v>2408</v>
      </c>
      <c r="P183" s="1">
        <f ca="1">IFERROR(__xludf.DUMMYFUNCTION("""COMPUTED_VALUE"""),1260)</f>
        <v>1260</v>
      </c>
      <c r="Q183" s="1">
        <f ca="1">IFERROR(__xludf.DUMMYFUNCTION("""COMPUTED_VALUE"""),752)</f>
        <v>752</v>
      </c>
      <c r="R183" s="1">
        <f ca="1">IFERROR(__xludf.DUMMYFUNCTION("""COMPUTED_VALUE"""),1854)</f>
        <v>1854</v>
      </c>
      <c r="S183" s="1">
        <f ca="1">IFERROR(__xludf.DUMMYFUNCTION("""COMPUTED_VALUE"""),0.406)</f>
        <v>0.40600000000000003</v>
      </c>
      <c r="T183" s="1">
        <f ca="1">IFERROR(__xludf.DUMMYFUNCTION("""COMPUTED_VALUE"""),165)</f>
        <v>165</v>
      </c>
      <c r="U183" s="1">
        <f ca="1">IFERROR(__xludf.DUMMYFUNCTION("""COMPUTED_VALUE"""),568)</f>
        <v>568</v>
      </c>
      <c r="V183" s="1">
        <f ca="1">IFERROR(__xludf.DUMMYFUNCTION("""COMPUTED_VALUE"""),0.29)</f>
        <v>0.28999999999999998</v>
      </c>
      <c r="W183" s="1">
        <f ca="1">IFERROR(__xludf.DUMMYFUNCTION("""COMPUTED_VALUE"""),427)</f>
        <v>427</v>
      </c>
      <c r="X183" s="1">
        <f ca="1">IFERROR(__xludf.DUMMYFUNCTION("""COMPUTED_VALUE"""),654)</f>
        <v>654</v>
      </c>
      <c r="Y183" s="1">
        <f ca="1">IFERROR(__xludf.DUMMYFUNCTION("""COMPUTED_VALUE"""),0.653)</f>
        <v>0.65300000000000002</v>
      </c>
      <c r="Z183" s="1">
        <f ca="1">IFERROR(__xludf.DUMMYFUNCTION("""COMPUTED_VALUE"""),397)</f>
        <v>397</v>
      </c>
      <c r="AA183" s="1">
        <f ca="1">IFERROR(__xludf.DUMMYFUNCTION("""COMPUTED_VALUE"""),1060)</f>
        <v>1060</v>
      </c>
      <c r="AB183" s="1">
        <f ca="1">IFERROR(__xludf.DUMMYFUNCTION("""COMPUTED_VALUE"""),382)</f>
        <v>382</v>
      </c>
      <c r="AC183" s="1">
        <f ca="1">IFERROR(__xludf.DUMMYFUNCTION("""COMPUTED_VALUE"""),205)</f>
        <v>205</v>
      </c>
      <c r="AD183" s="1">
        <f ca="1">IFERROR(__xludf.DUMMYFUNCTION("""COMPUTED_VALUE"""),49)</f>
        <v>49</v>
      </c>
      <c r="AE183" s="1">
        <f ca="1">IFERROR(__xludf.DUMMYFUNCTION("""COMPUTED_VALUE"""),450)</f>
        <v>450</v>
      </c>
      <c r="AF183" s="1">
        <f ca="1">IFERROR(__xludf.DUMMYFUNCTION("""COMPUTED_VALUE"""),667)</f>
        <v>667</v>
      </c>
    </row>
    <row r="184" spans="1:32" ht="12.5" x14ac:dyDescent="0.25">
      <c r="A184" s="1" t="str">
        <f ca="1">IFERROR(__xludf.DUMMYFUNCTION("""COMPUTED_VALUE"""),"Maryland")</f>
        <v>Maryland</v>
      </c>
      <c r="B184" s="1">
        <f ca="1">IFERROR(__xludf.DUMMYFUNCTION("""COMPUTED_VALUE"""),33)</f>
        <v>33</v>
      </c>
      <c r="C184" s="1">
        <f ca="1">IFERROR(__xludf.DUMMYFUNCTION("""COMPUTED_VALUE"""),19)</f>
        <v>19</v>
      </c>
      <c r="D184" s="1">
        <f ca="1">IFERROR(__xludf.DUMMYFUNCTION("""COMPUTED_VALUE"""),14)</f>
        <v>14</v>
      </c>
      <c r="E184" s="1">
        <f ca="1">IFERROR(__xludf.DUMMYFUNCTION("""COMPUTED_VALUE"""),0.576)</f>
        <v>0.57599999999999996</v>
      </c>
      <c r="F184" s="1">
        <f ca="1">IFERROR(__xludf.DUMMYFUNCTION("""COMPUTED_VALUE"""),15)</f>
        <v>15</v>
      </c>
      <c r="G184" s="1">
        <f ca="1">IFERROR(__xludf.DUMMYFUNCTION("""COMPUTED_VALUE"""),5.76)</f>
        <v>5.76</v>
      </c>
      <c r="H184" s="1">
        <f ca="1">IFERROR(__xludf.DUMMYFUNCTION("""COMPUTED_VALUE"""),7)</f>
        <v>7</v>
      </c>
      <c r="I184" s="1">
        <f ca="1">IFERROR(__xludf.DUMMYFUNCTION("""COMPUTED_VALUE"""),9)</f>
        <v>9</v>
      </c>
      <c r="J184" s="1">
        <f ca="1">IFERROR(__xludf.DUMMYFUNCTION("""COMPUTED_VALUE"""),14)</f>
        <v>14</v>
      </c>
      <c r="K184" s="1">
        <f ca="1">IFERROR(__xludf.DUMMYFUNCTION("""COMPUTED_VALUE"""),4)</f>
        <v>4</v>
      </c>
      <c r="L184" s="1">
        <f ca="1">IFERROR(__xludf.DUMMYFUNCTION("""COMPUTED_VALUE"""),4)</f>
        <v>4</v>
      </c>
      <c r="M184" s="1">
        <f ca="1">IFERROR(__xludf.DUMMYFUNCTION("""COMPUTED_VALUE"""),6)</f>
        <v>6</v>
      </c>
      <c r="N184" s="1">
        <f ca="1">IFERROR(__xludf.DUMMYFUNCTION("""COMPUTED_VALUE"""),2536)</f>
        <v>2536</v>
      </c>
      <c r="O184" s="1">
        <f ca="1">IFERROR(__xludf.DUMMYFUNCTION("""COMPUTED_VALUE"""),2231)</f>
        <v>2231</v>
      </c>
      <c r="P184" s="1">
        <f ca="1">IFERROR(__xludf.DUMMYFUNCTION("""COMPUTED_VALUE"""),1320)</f>
        <v>1320</v>
      </c>
      <c r="Q184" s="1">
        <f ca="1">IFERROR(__xludf.DUMMYFUNCTION("""COMPUTED_VALUE"""),932)</f>
        <v>932</v>
      </c>
      <c r="R184" s="1">
        <f ca="1">IFERROR(__xludf.DUMMYFUNCTION("""COMPUTED_VALUE"""),1980)</f>
        <v>1980</v>
      </c>
      <c r="S184" s="1">
        <f ca="1">IFERROR(__xludf.DUMMYFUNCTION("""COMPUTED_VALUE"""),0.471)</f>
        <v>0.47099999999999997</v>
      </c>
      <c r="T184" s="1">
        <f ca="1">IFERROR(__xludf.DUMMYFUNCTION("""COMPUTED_VALUE"""),151)</f>
        <v>151</v>
      </c>
      <c r="U184" s="1">
        <f ca="1">IFERROR(__xludf.DUMMYFUNCTION("""COMPUTED_VALUE"""),434)</f>
        <v>434</v>
      </c>
      <c r="V184" s="1">
        <f ca="1">IFERROR(__xludf.DUMMYFUNCTION("""COMPUTED_VALUE"""),0.348)</f>
        <v>0.34799999999999998</v>
      </c>
      <c r="W184" s="1">
        <f ca="1">IFERROR(__xludf.DUMMYFUNCTION("""COMPUTED_VALUE"""),521)</f>
        <v>521</v>
      </c>
      <c r="X184" s="1">
        <f ca="1">IFERROR(__xludf.DUMMYFUNCTION("""COMPUTED_VALUE"""),770)</f>
        <v>770</v>
      </c>
      <c r="Y184" s="1">
        <f ca="1">IFERROR(__xludf.DUMMYFUNCTION("""COMPUTED_VALUE"""),0.677)</f>
        <v>0.67700000000000005</v>
      </c>
      <c r="Z184" s="1">
        <f ca="1">IFERROR(__xludf.DUMMYFUNCTION("""COMPUTED_VALUE"""),424)</f>
        <v>424</v>
      </c>
      <c r="AA184" s="1">
        <f ca="1">IFERROR(__xludf.DUMMYFUNCTION("""COMPUTED_VALUE"""),1287)</f>
        <v>1287</v>
      </c>
      <c r="AB184" s="1">
        <f ca="1">IFERROR(__xludf.DUMMYFUNCTION("""COMPUTED_VALUE"""),557)</f>
        <v>557</v>
      </c>
      <c r="AC184" s="1">
        <f ca="1">IFERROR(__xludf.DUMMYFUNCTION("""COMPUTED_VALUE"""),222)</f>
        <v>222</v>
      </c>
      <c r="AD184" s="1">
        <f ca="1">IFERROR(__xludf.DUMMYFUNCTION("""COMPUTED_VALUE"""),150)</f>
        <v>150</v>
      </c>
      <c r="AE184" s="1">
        <f ca="1">IFERROR(__xludf.DUMMYFUNCTION("""COMPUTED_VALUE"""),450)</f>
        <v>450</v>
      </c>
      <c r="AF184" s="1">
        <f ca="1">IFERROR(__xludf.DUMMYFUNCTION("""COMPUTED_VALUE"""),549)</f>
        <v>549</v>
      </c>
    </row>
    <row r="185" spans="1:32" ht="12.5" x14ac:dyDescent="0.25">
      <c r="A185" s="1" t="str">
        <f ca="1">IFERROR(__xludf.DUMMYFUNCTION("""COMPUTED_VALUE"""),"Massachusetts")</f>
        <v>Massachusetts</v>
      </c>
      <c r="B185" s="1">
        <f ca="1">IFERROR(__xludf.DUMMYFUNCTION("""COMPUTED_VALUE"""),30)</f>
        <v>30</v>
      </c>
      <c r="C185" s="1">
        <f ca="1">IFERROR(__xludf.DUMMYFUNCTION("""COMPUTED_VALUE"""),15)</f>
        <v>15</v>
      </c>
      <c r="D185" s="1">
        <f ca="1">IFERROR(__xludf.DUMMYFUNCTION("""COMPUTED_VALUE"""),15)</f>
        <v>15</v>
      </c>
      <c r="E185" s="1">
        <f ca="1">IFERROR(__xludf.DUMMYFUNCTION("""COMPUTED_VALUE"""),0.5)</f>
        <v>0.5</v>
      </c>
      <c r="F185" s="1">
        <f ca="1">IFERROR(__xludf.DUMMYFUNCTION("""COMPUTED_VALUE"""),-0.76)</f>
        <v>-0.76</v>
      </c>
      <c r="G185" s="1">
        <f ca="1">IFERROR(__xludf.DUMMYFUNCTION("""COMPUTED_VALUE"""),1.93)</f>
        <v>1.93</v>
      </c>
      <c r="H185" s="1">
        <f ca="1">IFERROR(__xludf.DUMMYFUNCTION("""COMPUTED_VALUE"""),7)</f>
        <v>7</v>
      </c>
      <c r="I185" s="1">
        <f ca="1">IFERROR(__xludf.DUMMYFUNCTION("""COMPUTED_VALUE"""),9)</f>
        <v>9</v>
      </c>
      <c r="J185" s="1">
        <f ca="1">IFERROR(__xludf.DUMMYFUNCTION("""COMPUTED_VALUE"""),8)</f>
        <v>8</v>
      </c>
      <c r="K185" s="1">
        <f ca="1">IFERROR(__xludf.DUMMYFUNCTION("""COMPUTED_VALUE"""),8)</f>
        <v>8</v>
      </c>
      <c r="L185" s="1">
        <f ca="1">IFERROR(__xludf.DUMMYFUNCTION("""COMPUTED_VALUE"""),4)</f>
        <v>4</v>
      </c>
      <c r="M185" s="1">
        <f ca="1">IFERROR(__xludf.DUMMYFUNCTION("""COMPUTED_VALUE"""),6)</f>
        <v>6</v>
      </c>
      <c r="N185" s="1">
        <f ca="1">IFERROR(__xludf.DUMMYFUNCTION("""COMPUTED_VALUE"""),1988)</f>
        <v>1988</v>
      </c>
      <c r="O185" s="1">
        <f ca="1">IFERROR(__xludf.DUMMYFUNCTION("""COMPUTED_VALUE"""),2039)</f>
        <v>2039</v>
      </c>
      <c r="P185" s="1">
        <f ca="1">IFERROR(__xludf.DUMMYFUNCTION("""COMPUTED_VALUE"""),1205)</f>
        <v>1205</v>
      </c>
      <c r="Q185" s="1">
        <f ca="1">IFERROR(__xludf.DUMMYFUNCTION("""COMPUTED_VALUE"""),698)</f>
        <v>698</v>
      </c>
      <c r="R185" s="1">
        <f ca="1">IFERROR(__xludf.DUMMYFUNCTION("""COMPUTED_VALUE"""),1742)</f>
        <v>1742</v>
      </c>
      <c r="S185" s="1">
        <f ca="1">IFERROR(__xludf.DUMMYFUNCTION("""COMPUTED_VALUE"""),0.401)</f>
        <v>0.40100000000000002</v>
      </c>
      <c r="T185" s="1">
        <f ca="1">IFERROR(__xludf.DUMMYFUNCTION("""COMPUTED_VALUE"""),165)</f>
        <v>165</v>
      </c>
      <c r="U185" s="1">
        <f ca="1">IFERROR(__xludf.DUMMYFUNCTION("""COMPUTED_VALUE"""),568)</f>
        <v>568</v>
      </c>
      <c r="V185" s="1">
        <f ca="1">IFERROR(__xludf.DUMMYFUNCTION("""COMPUTED_VALUE"""),0.29)</f>
        <v>0.28999999999999998</v>
      </c>
      <c r="W185" s="1">
        <f ca="1">IFERROR(__xludf.DUMMYFUNCTION("""COMPUTED_VALUE"""),427)</f>
        <v>427</v>
      </c>
      <c r="X185" s="1">
        <f ca="1">IFERROR(__xludf.DUMMYFUNCTION("""COMPUTED_VALUE"""),645)</f>
        <v>645</v>
      </c>
      <c r="Y185" s="1">
        <f ca="1">IFERROR(__xludf.DUMMYFUNCTION("""COMPUTED_VALUE"""),0.662)</f>
        <v>0.66200000000000003</v>
      </c>
      <c r="Z185" s="1">
        <f ca="1">IFERROR(__xludf.DUMMYFUNCTION("""COMPUTED_VALUE"""),398)</f>
        <v>398</v>
      </c>
      <c r="AA185" s="1">
        <f ca="1">IFERROR(__xludf.DUMMYFUNCTION("""COMPUTED_VALUE"""),1137)</f>
        <v>1137</v>
      </c>
      <c r="AB185" s="1">
        <f ca="1">IFERROR(__xludf.DUMMYFUNCTION("""COMPUTED_VALUE"""),337)</f>
        <v>337</v>
      </c>
      <c r="AC185" s="1">
        <f ca="1">IFERROR(__xludf.DUMMYFUNCTION("""COMPUTED_VALUE"""),192)</f>
        <v>192</v>
      </c>
      <c r="AD185" s="1">
        <f ca="1">IFERROR(__xludf.DUMMYFUNCTION("""COMPUTED_VALUE"""),115)</f>
        <v>115</v>
      </c>
      <c r="AE185" s="1">
        <f ca="1">IFERROR(__xludf.DUMMYFUNCTION("""COMPUTED_VALUE"""),412)</f>
        <v>412</v>
      </c>
      <c r="AF185" s="1">
        <f ca="1">IFERROR(__xludf.DUMMYFUNCTION("""COMPUTED_VALUE"""),629)</f>
        <v>629</v>
      </c>
    </row>
    <row r="186" spans="1:32" ht="12.5" x14ac:dyDescent="0.25">
      <c r="A186" s="1" t="str">
        <f ca="1">IFERROR(__xludf.DUMMYFUNCTION("""COMPUTED_VALUE"""),"McNeese State")</f>
        <v>McNeese State</v>
      </c>
      <c r="B186" s="1">
        <f ca="1">IFERROR(__xludf.DUMMYFUNCTION("""COMPUTED_VALUE"""),33)</f>
        <v>33</v>
      </c>
      <c r="C186" s="1">
        <f ca="1">IFERROR(__xludf.DUMMYFUNCTION("""COMPUTED_VALUE"""),21)</f>
        <v>21</v>
      </c>
      <c r="D186" s="1">
        <f ca="1">IFERROR(__xludf.DUMMYFUNCTION("""COMPUTED_VALUE"""),12)</f>
        <v>12</v>
      </c>
      <c r="E186" s="1">
        <f ca="1">IFERROR(__xludf.DUMMYFUNCTION("""COMPUTED_VALUE"""),0.636)</f>
        <v>0.63600000000000001</v>
      </c>
      <c r="F186" s="1">
        <f ca="1">IFERROR(__xludf.DUMMYFUNCTION("""COMPUTED_VALUE"""),-4.7)</f>
        <v>-4.7</v>
      </c>
      <c r="G186" s="1">
        <f ca="1">IFERROR(__xludf.DUMMYFUNCTION("""COMPUTED_VALUE"""),-4.39)</f>
        <v>-4.3899999999999997</v>
      </c>
      <c r="H186" s="1">
        <f ca="1">IFERROR(__xludf.DUMMYFUNCTION("""COMPUTED_VALUE"""),11)</f>
        <v>11</v>
      </c>
      <c r="I186" s="1">
        <f ca="1">IFERROR(__xludf.DUMMYFUNCTION("""COMPUTED_VALUE"""),5)</f>
        <v>5</v>
      </c>
      <c r="J186" s="1">
        <f ca="1">IFERROR(__xludf.DUMMYFUNCTION("""COMPUTED_VALUE"""),14)</f>
        <v>14</v>
      </c>
      <c r="K186" s="1">
        <f ca="1">IFERROR(__xludf.DUMMYFUNCTION("""COMPUTED_VALUE"""),2)</f>
        <v>2</v>
      </c>
      <c r="L186" s="1">
        <f ca="1">IFERROR(__xludf.DUMMYFUNCTION("""COMPUTED_VALUE"""),4)</f>
        <v>4</v>
      </c>
      <c r="M186" s="1">
        <f ca="1">IFERROR(__xludf.DUMMYFUNCTION("""COMPUTED_VALUE"""),9)</f>
        <v>9</v>
      </c>
      <c r="N186" s="1">
        <f ca="1">IFERROR(__xludf.DUMMYFUNCTION("""COMPUTED_VALUE"""),2446)</f>
        <v>2446</v>
      </c>
      <c r="O186" s="1">
        <f ca="1">IFERROR(__xludf.DUMMYFUNCTION("""COMPUTED_VALUE"""),2354)</f>
        <v>2354</v>
      </c>
      <c r="P186" s="1">
        <f ca="1">IFERROR(__xludf.DUMMYFUNCTION("""COMPUTED_VALUE"""),1335)</f>
        <v>1335</v>
      </c>
      <c r="Q186" s="1">
        <f ca="1">IFERROR(__xludf.DUMMYFUNCTION("""COMPUTED_VALUE"""),831)</f>
        <v>831</v>
      </c>
      <c r="R186" s="1">
        <f ca="1">IFERROR(__xludf.DUMMYFUNCTION("""COMPUTED_VALUE"""),1904)</f>
        <v>1904</v>
      </c>
      <c r="S186" s="1">
        <f ca="1">IFERROR(__xludf.DUMMYFUNCTION("""COMPUTED_VALUE"""),0.436)</f>
        <v>0.436</v>
      </c>
      <c r="T186" s="1">
        <f ca="1">IFERROR(__xludf.DUMMYFUNCTION("""COMPUTED_VALUE"""),226)</f>
        <v>226</v>
      </c>
      <c r="U186" s="1">
        <f ca="1">IFERROR(__xludf.DUMMYFUNCTION("""COMPUTED_VALUE"""),640)</f>
        <v>640</v>
      </c>
      <c r="V186" s="1">
        <f ca="1">IFERROR(__xludf.DUMMYFUNCTION("""COMPUTED_VALUE"""),0.353)</f>
        <v>0.35299999999999998</v>
      </c>
      <c r="W186" s="1">
        <f ca="1">IFERROR(__xludf.DUMMYFUNCTION("""COMPUTED_VALUE"""),558)</f>
        <v>558</v>
      </c>
      <c r="X186" s="1">
        <f ca="1">IFERROR(__xludf.DUMMYFUNCTION("""COMPUTED_VALUE"""),749)</f>
        <v>749</v>
      </c>
      <c r="Y186" s="1">
        <f ca="1">IFERROR(__xludf.DUMMYFUNCTION("""COMPUTED_VALUE"""),0.745)</f>
        <v>0.745</v>
      </c>
      <c r="Z186" s="1">
        <f ca="1">IFERROR(__xludf.DUMMYFUNCTION("""COMPUTED_VALUE"""),392)</f>
        <v>392</v>
      </c>
      <c r="AA186" s="1">
        <f ca="1">IFERROR(__xludf.DUMMYFUNCTION("""COMPUTED_VALUE"""),1166)</f>
        <v>1166</v>
      </c>
      <c r="AB186" s="1">
        <f ca="1">IFERROR(__xludf.DUMMYFUNCTION("""COMPUTED_VALUE"""),370)</f>
        <v>370</v>
      </c>
      <c r="AC186" s="1">
        <f ca="1">IFERROR(__xludf.DUMMYFUNCTION("""COMPUTED_VALUE"""),214)</f>
        <v>214</v>
      </c>
      <c r="AD186" s="1">
        <f ca="1">IFERROR(__xludf.DUMMYFUNCTION("""COMPUTED_VALUE"""),102)</f>
        <v>102</v>
      </c>
      <c r="AE186" s="1">
        <f ca="1">IFERROR(__xludf.DUMMYFUNCTION("""COMPUTED_VALUE"""),403)</f>
        <v>403</v>
      </c>
      <c r="AF186" s="1">
        <f ca="1">IFERROR(__xludf.DUMMYFUNCTION("""COMPUTED_VALUE"""),643)</f>
        <v>643</v>
      </c>
    </row>
    <row r="187" spans="1:32" ht="12.5" x14ac:dyDescent="0.25">
      <c r="A187" s="1" t="str">
        <f ca="1">IFERROR(__xludf.DUMMYFUNCTION("""COMPUTED_VALUE"""),"MemphisNCAA")</f>
        <v>MemphisNCAA</v>
      </c>
      <c r="B187" s="1">
        <f ca="1">IFERROR(__xludf.DUMMYFUNCTION("""COMPUTED_VALUE"""),35)</f>
        <v>35</v>
      </c>
      <c r="C187" s="1">
        <f ca="1">IFERROR(__xludf.DUMMYFUNCTION("""COMPUTED_VALUE"""),25)</f>
        <v>25</v>
      </c>
      <c r="D187" s="1">
        <f ca="1">IFERROR(__xludf.DUMMYFUNCTION("""COMPUTED_VALUE"""),10)</f>
        <v>10</v>
      </c>
      <c r="E187" s="1">
        <f ca="1">IFERROR(__xludf.DUMMYFUNCTION("""COMPUTED_VALUE"""),0.714)</f>
        <v>0.71399999999999997</v>
      </c>
      <c r="F187" s="1">
        <f ca="1">IFERROR(__xludf.DUMMYFUNCTION("""COMPUTED_VALUE"""),6.91)</f>
        <v>6.91</v>
      </c>
      <c r="G187" s="1">
        <f ca="1">IFERROR(__xludf.DUMMYFUNCTION("""COMPUTED_VALUE"""),3.14)</f>
        <v>3.14</v>
      </c>
      <c r="H187" s="1">
        <f ca="1">IFERROR(__xludf.DUMMYFUNCTION("""COMPUTED_VALUE"""),10)</f>
        <v>10</v>
      </c>
      <c r="I187" s="1">
        <f ca="1">IFERROR(__xludf.DUMMYFUNCTION("""COMPUTED_VALUE"""),6)</f>
        <v>6</v>
      </c>
      <c r="J187" s="1">
        <f ca="1">IFERROR(__xludf.DUMMYFUNCTION("""COMPUTED_VALUE"""),17)</f>
        <v>17</v>
      </c>
      <c r="K187" s="1">
        <f ca="1">IFERROR(__xludf.DUMMYFUNCTION("""COMPUTED_VALUE"""),2)</f>
        <v>2</v>
      </c>
      <c r="L187" s="1">
        <f ca="1">IFERROR(__xludf.DUMMYFUNCTION("""COMPUTED_VALUE"""),3)</f>
        <v>3</v>
      </c>
      <c r="M187" s="1">
        <f ca="1">IFERROR(__xludf.DUMMYFUNCTION("""COMPUTED_VALUE"""),6)</f>
        <v>6</v>
      </c>
      <c r="N187" s="1">
        <f ca="1">IFERROR(__xludf.DUMMYFUNCTION("""COMPUTED_VALUE"""),2524)</f>
        <v>2524</v>
      </c>
      <c r="O187" s="1">
        <f ca="1">IFERROR(__xludf.DUMMYFUNCTION("""COMPUTED_VALUE"""),2392)</f>
        <v>2392</v>
      </c>
      <c r="P187" s="1">
        <f ca="1">IFERROR(__xludf.DUMMYFUNCTION("""COMPUTED_VALUE"""),1415)</f>
        <v>1415</v>
      </c>
      <c r="Q187" s="1">
        <f ca="1">IFERROR(__xludf.DUMMYFUNCTION("""COMPUTED_VALUE"""),891)</f>
        <v>891</v>
      </c>
      <c r="R187" s="1">
        <f ca="1">IFERROR(__xludf.DUMMYFUNCTION("""COMPUTED_VALUE"""),1975)</f>
        <v>1975</v>
      </c>
      <c r="S187" s="1">
        <f ca="1">IFERROR(__xludf.DUMMYFUNCTION("""COMPUTED_VALUE"""),0.451)</f>
        <v>0.45100000000000001</v>
      </c>
      <c r="T187" s="1">
        <f ca="1">IFERROR(__xludf.DUMMYFUNCTION("""COMPUTED_VALUE"""),210)</f>
        <v>210</v>
      </c>
      <c r="U187" s="1">
        <f ca="1">IFERROR(__xludf.DUMMYFUNCTION("""COMPUTED_VALUE"""),639)</f>
        <v>639</v>
      </c>
      <c r="V187" s="1">
        <f ca="1">IFERROR(__xludf.DUMMYFUNCTION("""COMPUTED_VALUE"""),0.329)</f>
        <v>0.32900000000000001</v>
      </c>
      <c r="W187" s="1">
        <f ca="1">IFERROR(__xludf.DUMMYFUNCTION("""COMPUTED_VALUE"""),532)</f>
        <v>532</v>
      </c>
      <c r="X187" s="1">
        <f ca="1">IFERROR(__xludf.DUMMYFUNCTION("""COMPUTED_VALUE"""),782)</f>
        <v>782</v>
      </c>
      <c r="Y187" s="1">
        <f ca="1">IFERROR(__xludf.DUMMYFUNCTION("""COMPUTED_VALUE"""),0.68)</f>
        <v>0.68</v>
      </c>
      <c r="Z187" s="1">
        <f ca="1">IFERROR(__xludf.DUMMYFUNCTION("""COMPUTED_VALUE"""),421)</f>
        <v>421</v>
      </c>
      <c r="AA187" s="1">
        <f ca="1">IFERROR(__xludf.DUMMYFUNCTION("""COMPUTED_VALUE"""),1246)</f>
        <v>1246</v>
      </c>
      <c r="AB187" s="1">
        <f ca="1">IFERROR(__xludf.DUMMYFUNCTION("""COMPUTED_VALUE"""),512)</f>
        <v>512</v>
      </c>
      <c r="AC187" s="1">
        <f ca="1">IFERROR(__xludf.DUMMYFUNCTION("""COMPUTED_VALUE"""),297)</f>
        <v>297</v>
      </c>
      <c r="AD187" s="1">
        <f ca="1">IFERROR(__xludf.DUMMYFUNCTION("""COMPUTED_VALUE"""),183)</f>
        <v>183</v>
      </c>
      <c r="AE187" s="1">
        <f ca="1">IFERROR(__xludf.DUMMYFUNCTION("""COMPUTED_VALUE"""),535)</f>
        <v>535</v>
      </c>
      <c r="AF187" s="1">
        <f ca="1">IFERROR(__xludf.DUMMYFUNCTION("""COMPUTED_VALUE"""),712)</f>
        <v>712</v>
      </c>
    </row>
    <row r="188" spans="1:32" ht="12.5" x14ac:dyDescent="0.25">
      <c r="A188" s="1" t="str">
        <f ca="1">IFERROR(__xludf.DUMMYFUNCTION("""COMPUTED_VALUE"""),"Mercer")</f>
        <v>Mercer</v>
      </c>
      <c r="B188" s="1">
        <f ca="1">IFERROR(__xludf.DUMMYFUNCTION("""COMPUTED_VALUE"""),33)</f>
        <v>33</v>
      </c>
      <c r="C188" s="1">
        <f ca="1">IFERROR(__xludf.DUMMYFUNCTION("""COMPUTED_VALUE"""),15)</f>
        <v>15</v>
      </c>
      <c r="D188" s="1">
        <f ca="1">IFERROR(__xludf.DUMMYFUNCTION("""COMPUTED_VALUE"""),18)</f>
        <v>18</v>
      </c>
      <c r="E188" s="1">
        <f ca="1">IFERROR(__xludf.DUMMYFUNCTION("""COMPUTED_VALUE"""),0.455)</f>
        <v>0.45500000000000002</v>
      </c>
      <c r="F188" s="1">
        <f ca="1">IFERROR(__xludf.DUMMYFUNCTION("""COMPUTED_VALUE"""),-4.08)</f>
        <v>-4.08</v>
      </c>
      <c r="G188" s="1">
        <f ca="1">IFERROR(__xludf.DUMMYFUNCTION("""COMPUTED_VALUE"""),-2.17)</f>
        <v>-2.17</v>
      </c>
      <c r="H188" s="1">
        <f ca="1">IFERROR(__xludf.DUMMYFUNCTION("""COMPUTED_VALUE"""),11)</f>
        <v>11</v>
      </c>
      <c r="I188" s="1">
        <f ca="1">IFERROR(__xludf.DUMMYFUNCTION("""COMPUTED_VALUE"""),9)</f>
        <v>9</v>
      </c>
      <c r="J188" s="1">
        <f ca="1">IFERROR(__xludf.DUMMYFUNCTION("""COMPUTED_VALUE"""),9)</f>
        <v>9</v>
      </c>
      <c r="K188" s="1">
        <f ca="1">IFERROR(__xludf.DUMMYFUNCTION("""COMPUTED_VALUE"""),6)</f>
        <v>6</v>
      </c>
      <c r="L188" s="1">
        <f ca="1">IFERROR(__xludf.DUMMYFUNCTION("""COMPUTED_VALUE"""),4)</f>
        <v>4</v>
      </c>
      <c r="M188" s="1">
        <f ca="1">IFERROR(__xludf.DUMMYFUNCTION("""COMPUTED_VALUE"""),10)</f>
        <v>10</v>
      </c>
      <c r="N188" s="1">
        <f ca="1">IFERROR(__xludf.DUMMYFUNCTION("""COMPUTED_VALUE"""),2220)</f>
        <v>2220</v>
      </c>
      <c r="O188" s="1">
        <f ca="1">IFERROR(__xludf.DUMMYFUNCTION("""COMPUTED_VALUE"""),2258)</f>
        <v>2258</v>
      </c>
      <c r="P188" s="1">
        <f ca="1">IFERROR(__xludf.DUMMYFUNCTION("""COMPUTED_VALUE"""),1335)</f>
        <v>1335</v>
      </c>
      <c r="Q188" s="1">
        <f ca="1">IFERROR(__xludf.DUMMYFUNCTION("""COMPUTED_VALUE"""),738)</f>
        <v>738</v>
      </c>
      <c r="R188" s="1">
        <f ca="1">IFERROR(__xludf.DUMMYFUNCTION("""COMPUTED_VALUE"""),1766)</f>
        <v>1766</v>
      </c>
      <c r="S188" s="1">
        <f ca="1">IFERROR(__xludf.DUMMYFUNCTION("""COMPUTED_VALUE"""),0.418)</f>
        <v>0.41799999999999998</v>
      </c>
      <c r="T188" s="1">
        <f ca="1">IFERROR(__xludf.DUMMYFUNCTION("""COMPUTED_VALUE"""),212)</f>
        <v>212</v>
      </c>
      <c r="U188" s="1">
        <f ca="1">IFERROR(__xludf.DUMMYFUNCTION("""COMPUTED_VALUE"""),642)</f>
        <v>642</v>
      </c>
      <c r="V188" s="1">
        <f ca="1">IFERROR(__xludf.DUMMYFUNCTION("""COMPUTED_VALUE"""),0.33)</f>
        <v>0.33</v>
      </c>
      <c r="W188" s="1">
        <f ca="1">IFERROR(__xludf.DUMMYFUNCTION("""COMPUTED_VALUE"""),532)</f>
        <v>532</v>
      </c>
      <c r="X188" s="1">
        <f ca="1">IFERROR(__xludf.DUMMYFUNCTION("""COMPUTED_VALUE"""),771)</f>
        <v>771</v>
      </c>
      <c r="Y188" s="1">
        <f ca="1">IFERROR(__xludf.DUMMYFUNCTION("""COMPUTED_VALUE"""),0.69)</f>
        <v>0.69</v>
      </c>
      <c r="Z188" s="1">
        <f ca="1">IFERROR(__xludf.DUMMYFUNCTION("""COMPUTED_VALUE"""),347)</f>
        <v>347</v>
      </c>
      <c r="AA188" s="1">
        <f ca="1">IFERROR(__xludf.DUMMYFUNCTION("""COMPUTED_VALUE"""),1083)</f>
        <v>1083</v>
      </c>
      <c r="AB188" s="1">
        <f ca="1">IFERROR(__xludf.DUMMYFUNCTION("""COMPUTED_VALUE"""),395)</f>
        <v>395</v>
      </c>
      <c r="AC188" s="1">
        <f ca="1">IFERROR(__xludf.DUMMYFUNCTION("""COMPUTED_VALUE"""),243)</f>
        <v>243</v>
      </c>
      <c r="AD188" s="1">
        <f ca="1">IFERROR(__xludf.DUMMYFUNCTION("""COMPUTED_VALUE"""),89)</f>
        <v>89</v>
      </c>
      <c r="AE188" s="1">
        <f ca="1">IFERROR(__xludf.DUMMYFUNCTION("""COMPUTED_VALUE"""),469)</f>
        <v>469</v>
      </c>
      <c r="AF188" s="1">
        <f ca="1">IFERROR(__xludf.DUMMYFUNCTION("""COMPUTED_VALUE"""),692)</f>
        <v>692</v>
      </c>
    </row>
    <row r="189" spans="1:32" ht="12.5" x14ac:dyDescent="0.25">
      <c r="A189" s="1" t="str">
        <f ca="1">IFERROR(__xludf.DUMMYFUNCTION("""COMPUTED_VALUE"""),"Miami (FL)")</f>
        <v>Miami (FL)</v>
      </c>
      <c r="B189" s="1">
        <f ca="1">IFERROR(__xludf.DUMMYFUNCTION("""COMPUTED_VALUE"""),36)</f>
        <v>36</v>
      </c>
      <c r="C189" s="1">
        <f ca="1">IFERROR(__xludf.DUMMYFUNCTION("""COMPUTED_VALUE"""),21)</f>
        <v>21</v>
      </c>
      <c r="D189" s="1">
        <f ca="1">IFERROR(__xludf.DUMMYFUNCTION("""COMPUTED_VALUE"""),15)</f>
        <v>15</v>
      </c>
      <c r="E189" s="1">
        <f ca="1">IFERROR(__xludf.DUMMYFUNCTION("""COMPUTED_VALUE"""),0.583)</f>
        <v>0.58299999999999996</v>
      </c>
      <c r="F189" s="1">
        <f ca="1">IFERROR(__xludf.DUMMYFUNCTION("""COMPUTED_VALUE"""),10.47)</f>
        <v>10.47</v>
      </c>
      <c r="G189" s="1">
        <f ca="1">IFERROR(__xludf.DUMMYFUNCTION("""COMPUTED_VALUE"""),6.42)</f>
        <v>6.42</v>
      </c>
      <c r="H189" s="1">
        <f ca="1">IFERROR(__xludf.DUMMYFUNCTION("""COMPUTED_VALUE"""),6)</f>
        <v>6</v>
      </c>
      <c r="I189" s="1">
        <f ca="1">IFERROR(__xludf.DUMMYFUNCTION("""COMPUTED_VALUE"""),10)</f>
        <v>10</v>
      </c>
      <c r="J189" s="1">
        <f ca="1">IFERROR(__xludf.DUMMYFUNCTION("""COMPUTED_VALUE"""),13)</f>
        <v>13</v>
      </c>
      <c r="K189" s="1">
        <f ca="1">IFERROR(__xludf.DUMMYFUNCTION("""COMPUTED_VALUE"""),4)</f>
        <v>4</v>
      </c>
      <c r="L189" s="1">
        <f ca="1">IFERROR(__xludf.DUMMYFUNCTION("""COMPUTED_VALUE"""),4)</f>
        <v>4</v>
      </c>
      <c r="M189" s="1">
        <f ca="1">IFERROR(__xludf.DUMMYFUNCTION("""COMPUTED_VALUE"""),9)</f>
        <v>9</v>
      </c>
      <c r="N189" s="1">
        <f ca="1">IFERROR(__xludf.DUMMYFUNCTION("""COMPUTED_VALUE"""),2579)</f>
        <v>2579</v>
      </c>
      <c r="O189" s="1">
        <f ca="1">IFERROR(__xludf.DUMMYFUNCTION("""COMPUTED_VALUE"""),2433)</f>
        <v>2433</v>
      </c>
      <c r="P189" s="1">
        <f ca="1">IFERROR(__xludf.DUMMYFUNCTION("""COMPUTED_VALUE"""),1450)</f>
        <v>1450</v>
      </c>
      <c r="Q189" s="1">
        <f ca="1">IFERROR(__xludf.DUMMYFUNCTION("""COMPUTED_VALUE"""),872)</f>
        <v>872</v>
      </c>
      <c r="R189" s="1">
        <f ca="1">IFERROR(__xludf.DUMMYFUNCTION("""COMPUTED_VALUE"""),1955)</f>
        <v>1955</v>
      </c>
      <c r="S189" s="1">
        <f ca="1">IFERROR(__xludf.DUMMYFUNCTION("""COMPUTED_VALUE"""),0.446)</f>
        <v>0.44600000000000001</v>
      </c>
      <c r="T189" s="1">
        <f ca="1">IFERROR(__xludf.DUMMYFUNCTION("""COMPUTED_VALUE"""),283)</f>
        <v>283</v>
      </c>
      <c r="U189" s="1">
        <f ca="1">IFERROR(__xludf.DUMMYFUNCTION("""COMPUTED_VALUE"""),750)</f>
        <v>750</v>
      </c>
      <c r="V189" s="1">
        <f ca="1">IFERROR(__xludf.DUMMYFUNCTION("""COMPUTED_VALUE"""),0.377)</f>
        <v>0.377</v>
      </c>
      <c r="W189" s="1">
        <f ca="1">IFERROR(__xludf.DUMMYFUNCTION("""COMPUTED_VALUE"""),552)</f>
        <v>552</v>
      </c>
      <c r="X189" s="1">
        <f ca="1">IFERROR(__xludf.DUMMYFUNCTION("""COMPUTED_VALUE"""),761)</f>
        <v>761</v>
      </c>
      <c r="Y189" s="1">
        <f ca="1">IFERROR(__xludf.DUMMYFUNCTION("""COMPUTED_VALUE"""),0.725)</f>
        <v>0.72499999999999998</v>
      </c>
      <c r="Z189" s="1">
        <f ca="1">IFERROR(__xludf.DUMMYFUNCTION("""COMPUTED_VALUE"""),429)</f>
        <v>429</v>
      </c>
      <c r="AA189" s="1">
        <f ca="1">IFERROR(__xludf.DUMMYFUNCTION("""COMPUTED_VALUE"""),1308)</f>
        <v>1308</v>
      </c>
      <c r="AB189" s="1">
        <f ca="1">IFERROR(__xludf.DUMMYFUNCTION("""COMPUTED_VALUE"""),416)</f>
        <v>416</v>
      </c>
      <c r="AC189" s="1">
        <f ca="1">IFERROR(__xludf.DUMMYFUNCTION("""COMPUTED_VALUE"""),203)</f>
        <v>203</v>
      </c>
      <c r="AD189" s="1">
        <f ca="1">IFERROR(__xludf.DUMMYFUNCTION("""COMPUTED_VALUE"""),124)</f>
        <v>124</v>
      </c>
      <c r="AE189" s="1">
        <f ca="1">IFERROR(__xludf.DUMMYFUNCTION("""COMPUTED_VALUE"""),498)</f>
        <v>498</v>
      </c>
      <c r="AF189" s="1">
        <f ca="1">IFERROR(__xludf.DUMMYFUNCTION("""COMPUTED_VALUE"""),650)</f>
        <v>650</v>
      </c>
    </row>
    <row r="190" spans="1:32" ht="12.5" x14ac:dyDescent="0.25">
      <c r="A190" s="1" t="str">
        <f ca="1">IFERROR(__xludf.DUMMYFUNCTION("""COMPUTED_VALUE"""),"Miami (OH)")</f>
        <v>Miami (OH)</v>
      </c>
      <c r="B190" s="1">
        <f ca="1">IFERROR(__xludf.DUMMYFUNCTION("""COMPUTED_VALUE"""),33)</f>
        <v>33</v>
      </c>
      <c r="C190" s="1">
        <f ca="1">IFERROR(__xludf.DUMMYFUNCTION("""COMPUTED_VALUE"""),16)</f>
        <v>16</v>
      </c>
      <c r="D190" s="1">
        <f ca="1">IFERROR(__xludf.DUMMYFUNCTION("""COMPUTED_VALUE"""),17)</f>
        <v>17</v>
      </c>
      <c r="E190" s="1">
        <f ca="1">IFERROR(__xludf.DUMMYFUNCTION("""COMPUTED_VALUE"""),0.485)</f>
        <v>0.48499999999999999</v>
      </c>
      <c r="F190" s="1">
        <f ca="1">IFERROR(__xludf.DUMMYFUNCTION("""COMPUTED_VALUE"""),-1.58)</f>
        <v>-1.58</v>
      </c>
      <c r="G190" s="1">
        <f ca="1">IFERROR(__xludf.DUMMYFUNCTION("""COMPUTED_VALUE"""),3.04)</f>
        <v>3.04</v>
      </c>
      <c r="H190" s="1">
        <f ca="1">IFERROR(__xludf.DUMMYFUNCTION("""COMPUTED_VALUE"""),11)</f>
        <v>11</v>
      </c>
      <c r="I190" s="1">
        <f ca="1">IFERROR(__xludf.DUMMYFUNCTION("""COMPUTED_VALUE"""),5)</f>
        <v>5</v>
      </c>
      <c r="J190" s="1">
        <f ca="1">IFERROR(__xludf.DUMMYFUNCTION("""COMPUTED_VALUE"""),12)</f>
        <v>12</v>
      </c>
      <c r="K190" s="1">
        <f ca="1">IFERROR(__xludf.DUMMYFUNCTION("""COMPUTED_VALUE"""),4)</f>
        <v>4</v>
      </c>
      <c r="L190" s="1">
        <f ca="1">IFERROR(__xludf.DUMMYFUNCTION("""COMPUTED_VALUE"""),4)</f>
        <v>4</v>
      </c>
      <c r="M190" s="1">
        <f ca="1">IFERROR(__xludf.DUMMYFUNCTION("""COMPUTED_VALUE"""),12)</f>
        <v>12</v>
      </c>
      <c r="N190" s="1">
        <f ca="1">IFERROR(__xludf.DUMMYFUNCTION("""COMPUTED_VALUE"""),2190)</f>
        <v>2190</v>
      </c>
      <c r="O190" s="1">
        <f ca="1">IFERROR(__xludf.DUMMYFUNCTION("""COMPUTED_VALUE"""),2319)</f>
        <v>2319</v>
      </c>
      <c r="P190" s="1">
        <f ca="1">IFERROR(__xludf.DUMMYFUNCTION("""COMPUTED_VALUE"""),1355)</f>
        <v>1355</v>
      </c>
      <c r="Q190" s="1">
        <f ca="1">IFERROR(__xludf.DUMMYFUNCTION("""COMPUTED_VALUE"""),743)</f>
        <v>743</v>
      </c>
      <c r="R190" s="1">
        <f ca="1">IFERROR(__xludf.DUMMYFUNCTION("""COMPUTED_VALUE"""),1722)</f>
        <v>1722</v>
      </c>
      <c r="S190" s="1">
        <f ca="1">IFERROR(__xludf.DUMMYFUNCTION("""COMPUTED_VALUE"""),0.431)</f>
        <v>0.43099999999999999</v>
      </c>
      <c r="T190" s="1">
        <f ca="1">IFERROR(__xludf.DUMMYFUNCTION("""COMPUTED_VALUE"""),249)</f>
        <v>249</v>
      </c>
      <c r="U190" s="1">
        <f ca="1">IFERROR(__xludf.DUMMYFUNCTION("""COMPUTED_VALUE"""),714)</f>
        <v>714</v>
      </c>
      <c r="V190" s="1">
        <f ca="1">IFERROR(__xludf.DUMMYFUNCTION("""COMPUTED_VALUE"""),0.349)</f>
        <v>0.34899999999999998</v>
      </c>
      <c r="W190" s="1">
        <f ca="1">IFERROR(__xludf.DUMMYFUNCTION("""COMPUTED_VALUE"""),455)</f>
        <v>455</v>
      </c>
      <c r="X190" s="1">
        <f ca="1">IFERROR(__xludf.DUMMYFUNCTION("""COMPUTED_VALUE"""),625)</f>
        <v>625</v>
      </c>
      <c r="Y190" s="1">
        <f ca="1">IFERROR(__xludf.DUMMYFUNCTION("""COMPUTED_VALUE"""),0.728)</f>
        <v>0.72799999999999998</v>
      </c>
      <c r="Z190" s="1">
        <f ca="1">IFERROR(__xludf.DUMMYFUNCTION("""COMPUTED_VALUE"""),308)</f>
        <v>308</v>
      </c>
      <c r="AA190" s="1">
        <f ca="1">IFERROR(__xludf.DUMMYFUNCTION("""COMPUTED_VALUE"""),1086)</f>
        <v>1086</v>
      </c>
      <c r="AB190" s="1">
        <f ca="1">IFERROR(__xludf.DUMMYFUNCTION("""COMPUTED_VALUE"""),372)</f>
        <v>372</v>
      </c>
      <c r="AC190" s="1">
        <f ca="1">IFERROR(__xludf.DUMMYFUNCTION("""COMPUTED_VALUE"""),162)</f>
        <v>162</v>
      </c>
      <c r="AD190" s="1">
        <f ca="1">IFERROR(__xludf.DUMMYFUNCTION("""COMPUTED_VALUE"""),92)</f>
        <v>92</v>
      </c>
      <c r="AE190" s="1">
        <f ca="1">IFERROR(__xludf.DUMMYFUNCTION("""COMPUTED_VALUE"""),465)</f>
        <v>465</v>
      </c>
      <c r="AF190" s="1">
        <f ca="1">IFERROR(__xludf.DUMMYFUNCTION("""COMPUTED_VALUE"""),559)</f>
        <v>559</v>
      </c>
    </row>
    <row r="191" spans="1:32" ht="12.5" x14ac:dyDescent="0.25">
      <c r="A191" s="1" t="str">
        <f ca="1">IFERROR(__xludf.DUMMYFUNCTION("""COMPUTED_VALUE"""),"Michigan StateNCAA")</f>
        <v>Michigan StateNCAA</v>
      </c>
      <c r="B191" s="1">
        <f ca="1">IFERROR(__xludf.DUMMYFUNCTION("""COMPUTED_VALUE"""),34)</f>
        <v>34</v>
      </c>
      <c r="C191" s="1">
        <f ca="1">IFERROR(__xludf.DUMMYFUNCTION("""COMPUTED_VALUE"""),19)</f>
        <v>19</v>
      </c>
      <c r="D191" s="1">
        <f ca="1">IFERROR(__xludf.DUMMYFUNCTION("""COMPUTED_VALUE"""),15)</f>
        <v>15</v>
      </c>
      <c r="E191" s="1">
        <f ca="1">IFERROR(__xludf.DUMMYFUNCTION("""COMPUTED_VALUE"""),0.559)</f>
        <v>0.55900000000000005</v>
      </c>
      <c r="F191" s="1">
        <f ca="1">IFERROR(__xludf.DUMMYFUNCTION("""COMPUTED_VALUE"""),13.7)</f>
        <v>13.7</v>
      </c>
      <c r="G191" s="1">
        <f ca="1">IFERROR(__xludf.DUMMYFUNCTION("""COMPUTED_VALUE"""),11.67)</f>
        <v>11.67</v>
      </c>
      <c r="H191" s="1">
        <f ca="1">IFERROR(__xludf.DUMMYFUNCTION("""COMPUTED_VALUE"""),9)</f>
        <v>9</v>
      </c>
      <c r="I191" s="1">
        <f ca="1">IFERROR(__xludf.DUMMYFUNCTION("""COMPUTED_VALUE"""),9)</f>
        <v>9</v>
      </c>
      <c r="J191" s="1">
        <f ca="1">IFERROR(__xludf.DUMMYFUNCTION("""COMPUTED_VALUE"""),12)</f>
        <v>12</v>
      </c>
      <c r="K191" s="1">
        <f ca="1">IFERROR(__xludf.DUMMYFUNCTION("""COMPUTED_VALUE"""),3)</f>
        <v>3</v>
      </c>
      <c r="L191" s="1">
        <f ca="1">IFERROR(__xludf.DUMMYFUNCTION("""COMPUTED_VALUE"""),3)</f>
        <v>3</v>
      </c>
      <c r="M191" s="1">
        <f ca="1">IFERROR(__xludf.DUMMYFUNCTION("""COMPUTED_VALUE"""),8)</f>
        <v>8</v>
      </c>
      <c r="N191" s="1">
        <f ca="1">IFERROR(__xludf.DUMMYFUNCTION("""COMPUTED_VALUE"""),2338)</f>
        <v>2338</v>
      </c>
      <c r="O191" s="1">
        <f ca="1">IFERROR(__xludf.DUMMYFUNCTION("""COMPUTED_VALUE"""),2263)</f>
        <v>2263</v>
      </c>
      <c r="P191" s="1">
        <f ca="1">IFERROR(__xludf.DUMMYFUNCTION("""COMPUTED_VALUE"""),1375)</f>
        <v>1375</v>
      </c>
      <c r="Q191" s="1">
        <f ca="1">IFERROR(__xludf.DUMMYFUNCTION("""COMPUTED_VALUE"""),817)</f>
        <v>817</v>
      </c>
      <c r="R191" s="1">
        <f ca="1">IFERROR(__xludf.DUMMYFUNCTION("""COMPUTED_VALUE"""),1894)</f>
        <v>1894</v>
      </c>
      <c r="S191" s="1">
        <f ca="1">IFERROR(__xludf.DUMMYFUNCTION("""COMPUTED_VALUE"""),0.431)</f>
        <v>0.43099999999999999</v>
      </c>
      <c r="T191" s="1">
        <f ca="1">IFERROR(__xludf.DUMMYFUNCTION("""COMPUTED_VALUE"""),220)</f>
        <v>220</v>
      </c>
      <c r="U191" s="1">
        <f ca="1">IFERROR(__xludf.DUMMYFUNCTION("""COMPUTED_VALUE"""),620)</f>
        <v>620</v>
      </c>
      <c r="V191" s="1">
        <f ca="1">IFERROR(__xludf.DUMMYFUNCTION("""COMPUTED_VALUE"""),0.355)</f>
        <v>0.35499999999999998</v>
      </c>
      <c r="W191" s="1">
        <f ca="1">IFERROR(__xludf.DUMMYFUNCTION("""COMPUTED_VALUE"""),484)</f>
        <v>484</v>
      </c>
      <c r="X191" s="1">
        <f ca="1">IFERROR(__xludf.DUMMYFUNCTION("""COMPUTED_VALUE"""),691)</f>
        <v>691</v>
      </c>
      <c r="Y191" s="1">
        <f ca="1">IFERROR(__xludf.DUMMYFUNCTION("""COMPUTED_VALUE"""),0.7)</f>
        <v>0.7</v>
      </c>
      <c r="Z191" s="1">
        <f ca="1">IFERROR(__xludf.DUMMYFUNCTION("""COMPUTED_VALUE"""),407)</f>
        <v>407</v>
      </c>
      <c r="AA191" s="1">
        <f ca="1">IFERROR(__xludf.DUMMYFUNCTION("""COMPUTED_VALUE"""),1256)</f>
        <v>1256</v>
      </c>
      <c r="AB191" s="1">
        <f ca="1">IFERROR(__xludf.DUMMYFUNCTION("""COMPUTED_VALUE"""),509)</f>
        <v>509</v>
      </c>
      <c r="AC191" s="1">
        <f ca="1">IFERROR(__xludf.DUMMYFUNCTION("""COMPUTED_VALUE"""),219)</f>
        <v>219</v>
      </c>
      <c r="AD191" s="1">
        <f ca="1">IFERROR(__xludf.DUMMYFUNCTION("""COMPUTED_VALUE"""),167)</f>
        <v>167</v>
      </c>
      <c r="AE191" s="1">
        <f ca="1">IFERROR(__xludf.DUMMYFUNCTION("""COMPUTED_VALUE"""),454)</f>
        <v>454</v>
      </c>
      <c r="AF191" s="1">
        <f ca="1">IFERROR(__xludf.DUMMYFUNCTION("""COMPUTED_VALUE"""),648)</f>
        <v>648</v>
      </c>
    </row>
    <row r="192" spans="1:32" ht="12.5" x14ac:dyDescent="0.25">
      <c r="A192" s="1" t="str">
        <f ca="1">IFERROR(__xludf.DUMMYFUNCTION("""COMPUTED_VALUE"""),"MichiganNCAA")</f>
        <v>MichiganNCAA</v>
      </c>
      <c r="B192" s="1">
        <f ca="1">IFERROR(__xludf.DUMMYFUNCTION("""COMPUTED_VALUE"""),35)</f>
        <v>35</v>
      </c>
      <c r="C192" s="1">
        <f ca="1">IFERROR(__xludf.DUMMYFUNCTION("""COMPUTED_VALUE"""),21)</f>
        <v>21</v>
      </c>
      <c r="D192" s="1">
        <f ca="1">IFERROR(__xludf.DUMMYFUNCTION("""COMPUTED_VALUE"""),14)</f>
        <v>14</v>
      </c>
      <c r="E192" s="1">
        <f ca="1">IFERROR(__xludf.DUMMYFUNCTION("""COMPUTED_VALUE"""),0.6)</f>
        <v>0.6</v>
      </c>
      <c r="F192" s="1">
        <f ca="1">IFERROR(__xludf.DUMMYFUNCTION("""COMPUTED_VALUE"""),14.21)</f>
        <v>14.21</v>
      </c>
      <c r="G192" s="1">
        <f ca="1">IFERROR(__xludf.DUMMYFUNCTION("""COMPUTED_VALUE"""),10.68)</f>
        <v>10.68</v>
      </c>
      <c r="H192" s="1">
        <f ca="1">IFERROR(__xludf.DUMMYFUNCTION("""COMPUTED_VALUE"""),9)</f>
        <v>9</v>
      </c>
      <c r="I192" s="1">
        <f ca="1">IFERROR(__xludf.DUMMYFUNCTION("""COMPUTED_VALUE"""),9)</f>
        <v>9</v>
      </c>
      <c r="J192" s="1">
        <f ca="1">IFERROR(__xludf.DUMMYFUNCTION("""COMPUTED_VALUE"""),14)</f>
        <v>14</v>
      </c>
      <c r="K192" s="1">
        <f ca="1">IFERROR(__xludf.DUMMYFUNCTION("""COMPUTED_VALUE"""),5)</f>
        <v>5</v>
      </c>
      <c r="L192" s="1">
        <f ca="1">IFERROR(__xludf.DUMMYFUNCTION("""COMPUTED_VALUE"""),5)</f>
        <v>5</v>
      </c>
      <c r="M192" s="1">
        <f ca="1">IFERROR(__xludf.DUMMYFUNCTION("""COMPUTED_VALUE"""),5)</f>
        <v>5</v>
      </c>
      <c r="N192" s="1">
        <f ca="1">IFERROR(__xludf.DUMMYFUNCTION("""COMPUTED_VALUE"""),2328)</f>
        <v>2328</v>
      </c>
      <c r="O192" s="1">
        <f ca="1">IFERROR(__xludf.DUMMYFUNCTION("""COMPUTED_VALUE"""),2187)</f>
        <v>2187</v>
      </c>
      <c r="P192" s="1">
        <f ca="1">IFERROR(__xludf.DUMMYFUNCTION("""COMPUTED_VALUE"""),1410)</f>
        <v>1410</v>
      </c>
      <c r="Q192" s="1">
        <f ca="1">IFERROR(__xludf.DUMMYFUNCTION("""COMPUTED_VALUE"""),847)</f>
        <v>847</v>
      </c>
      <c r="R192" s="1">
        <f ca="1">IFERROR(__xludf.DUMMYFUNCTION("""COMPUTED_VALUE"""),1889)</f>
        <v>1889</v>
      </c>
      <c r="S192" s="1">
        <f ca="1">IFERROR(__xludf.DUMMYFUNCTION("""COMPUTED_VALUE"""),0.448)</f>
        <v>0.44800000000000001</v>
      </c>
      <c r="T192" s="1">
        <f ca="1">IFERROR(__xludf.DUMMYFUNCTION("""COMPUTED_VALUE"""),283)</f>
        <v>283</v>
      </c>
      <c r="U192" s="1">
        <f ca="1">IFERROR(__xludf.DUMMYFUNCTION("""COMPUTED_VALUE"""),804)</f>
        <v>804</v>
      </c>
      <c r="V192" s="1">
        <f ca="1">IFERROR(__xludf.DUMMYFUNCTION("""COMPUTED_VALUE"""),0.352)</f>
        <v>0.35199999999999998</v>
      </c>
      <c r="W192" s="1">
        <f ca="1">IFERROR(__xludf.DUMMYFUNCTION("""COMPUTED_VALUE"""),351)</f>
        <v>351</v>
      </c>
      <c r="X192" s="1">
        <f ca="1">IFERROR(__xludf.DUMMYFUNCTION("""COMPUTED_VALUE"""),502)</f>
        <v>502</v>
      </c>
      <c r="Y192" s="1">
        <f ca="1">IFERROR(__xludf.DUMMYFUNCTION("""COMPUTED_VALUE"""),0.699)</f>
        <v>0.69899999999999995</v>
      </c>
      <c r="Z192" s="1">
        <f ca="1">IFERROR(__xludf.DUMMYFUNCTION("""COMPUTED_VALUE"""),289)</f>
        <v>289</v>
      </c>
      <c r="AA192" s="1">
        <f ca="1">IFERROR(__xludf.DUMMYFUNCTION("""COMPUTED_VALUE"""),1115)</f>
        <v>1115</v>
      </c>
      <c r="AB192" s="1">
        <f ca="1">IFERROR(__xludf.DUMMYFUNCTION("""COMPUTED_VALUE"""),480)</f>
        <v>480</v>
      </c>
      <c r="AC192" s="1">
        <f ca="1">IFERROR(__xludf.DUMMYFUNCTION("""COMPUTED_VALUE"""),168)</f>
        <v>168</v>
      </c>
      <c r="AD192" s="1">
        <f ca="1">IFERROR(__xludf.DUMMYFUNCTION("""COMPUTED_VALUE"""),69)</f>
        <v>69</v>
      </c>
      <c r="AE192" s="1">
        <f ca="1">IFERROR(__xludf.DUMMYFUNCTION("""COMPUTED_VALUE"""),351)</f>
        <v>351</v>
      </c>
      <c r="AF192" s="1">
        <f ca="1">IFERROR(__xludf.DUMMYFUNCTION("""COMPUTED_VALUE"""),587)</f>
        <v>587</v>
      </c>
    </row>
    <row r="193" spans="1:32" ht="12.5" x14ac:dyDescent="0.25">
      <c r="A193" s="1" t="str">
        <f ca="1">IFERROR(__xludf.DUMMYFUNCTION("""COMPUTED_VALUE"""),"Middle Tennessee")</f>
        <v>Middle Tennessee</v>
      </c>
      <c r="B193" s="1">
        <f ca="1">IFERROR(__xludf.DUMMYFUNCTION("""COMPUTED_VALUE"""),32)</f>
        <v>32</v>
      </c>
      <c r="C193" s="1">
        <f ca="1">IFERROR(__xludf.DUMMYFUNCTION("""COMPUTED_VALUE"""),16)</f>
        <v>16</v>
      </c>
      <c r="D193" s="1">
        <f ca="1">IFERROR(__xludf.DUMMYFUNCTION("""COMPUTED_VALUE"""),16)</f>
        <v>16</v>
      </c>
      <c r="E193" s="1">
        <f ca="1">IFERROR(__xludf.DUMMYFUNCTION("""COMPUTED_VALUE"""),0.5)</f>
        <v>0.5</v>
      </c>
      <c r="F193" s="1">
        <f ca="1">IFERROR(__xludf.DUMMYFUNCTION("""COMPUTED_VALUE"""),-2.74)</f>
        <v>-2.74</v>
      </c>
      <c r="G193" s="1">
        <f ca="1">IFERROR(__xludf.DUMMYFUNCTION("""COMPUTED_VALUE"""),-4.45)</f>
        <v>-4.45</v>
      </c>
      <c r="H193" s="1">
        <f ca="1">IFERROR(__xludf.DUMMYFUNCTION("""COMPUTED_VALUE"""),10)</f>
        <v>10</v>
      </c>
      <c r="I193" s="1">
        <f ca="1">IFERROR(__xludf.DUMMYFUNCTION("""COMPUTED_VALUE"""),6)</f>
        <v>6</v>
      </c>
      <c r="J193" s="1">
        <f ca="1">IFERROR(__xludf.DUMMYFUNCTION("""COMPUTED_VALUE"""),10)</f>
        <v>10</v>
      </c>
      <c r="K193" s="1">
        <f ca="1">IFERROR(__xludf.DUMMYFUNCTION("""COMPUTED_VALUE"""),4)</f>
        <v>4</v>
      </c>
      <c r="L193" s="1">
        <f ca="1">IFERROR(__xludf.DUMMYFUNCTION("""COMPUTED_VALUE"""),4)</f>
        <v>4</v>
      </c>
      <c r="M193" s="1">
        <f ca="1">IFERROR(__xludf.DUMMYFUNCTION("""COMPUTED_VALUE"""),10)</f>
        <v>10</v>
      </c>
      <c r="N193" s="1">
        <f ca="1">IFERROR(__xludf.DUMMYFUNCTION("""COMPUTED_VALUE"""),2218)</f>
        <v>2218</v>
      </c>
      <c r="O193" s="1">
        <f ca="1">IFERROR(__xludf.DUMMYFUNCTION("""COMPUTED_VALUE"""),2121)</f>
        <v>2121</v>
      </c>
      <c r="P193" s="1">
        <f ca="1">IFERROR(__xludf.DUMMYFUNCTION("""COMPUTED_VALUE"""),1305)</f>
        <v>1305</v>
      </c>
      <c r="Q193" s="1">
        <f ca="1">IFERROR(__xludf.DUMMYFUNCTION("""COMPUTED_VALUE"""),733)</f>
        <v>733</v>
      </c>
      <c r="R193" s="1">
        <f ca="1">IFERROR(__xludf.DUMMYFUNCTION("""COMPUTED_VALUE"""),1719)</f>
        <v>1719</v>
      </c>
      <c r="S193" s="1">
        <f ca="1">IFERROR(__xludf.DUMMYFUNCTION("""COMPUTED_VALUE"""),0.426)</f>
        <v>0.42599999999999999</v>
      </c>
      <c r="T193" s="1">
        <f ca="1">IFERROR(__xludf.DUMMYFUNCTION("""COMPUTED_VALUE"""),168)</f>
        <v>168</v>
      </c>
      <c r="U193" s="1">
        <f ca="1">IFERROR(__xludf.DUMMYFUNCTION("""COMPUTED_VALUE"""),492)</f>
        <v>492</v>
      </c>
      <c r="V193" s="1">
        <f ca="1">IFERROR(__xludf.DUMMYFUNCTION("""COMPUTED_VALUE"""),0.341)</f>
        <v>0.34100000000000003</v>
      </c>
      <c r="W193" s="1">
        <f ca="1">IFERROR(__xludf.DUMMYFUNCTION("""COMPUTED_VALUE"""),584)</f>
        <v>584</v>
      </c>
      <c r="X193" s="1">
        <f ca="1">IFERROR(__xludf.DUMMYFUNCTION("""COMPUTED_VALUE"""),823)</f>
        <v>823</v>
      </c>
      <c r="Y193" s="1">
        <f ca="1">IFERROR(__xludf.DUMMYFUNCTION("""COMPUTED_VALUE"""),0.71)</f>
        <v>0.71</v>
      </c>
      <c r="Z193" s="1">
        <f ca="1">IFERROR(__xludf.DUMMYFUNCTION("""COMPUTED_VALUE"""),392)</f>
        <v>392</v>
      </c>
      <c r="AA193" s="1">
        <f ca="1">IFERROR(__xludf.DUMMYFUNCTION("""COMPUTED_VALUE"""),1126)</f>
        <v>1126</v>
      </c>
      <c r="AB193" s="1">
        <f ca="1">IFERROR(__xludf.DUMMYFUNCTION("""COMPUTED_VALUE"""),339)</f>
        <v>339</v>
      </c>
      <c r="AC193" s="1">
        <f ca="1">IFERROR(__xludf.DUMMYFUNCTION("""COMPUTED_VALUE"""),277)</f>
        <v>277</v>
      </c>
      <c r="AD193" s="1">
        <f ca="1">IFERROR(__xludf.DUMMYFUNCTION("""COMPUTED_VALUE"""),114)</f>
        <v>114</v>
      </c>
      <c r="AE193" s="1">
        <f ca="1">IFERROR(__xludf.DUMMYFUNCTION("""COMPUTED_VALUE"""),485)</f>
        <v>485</v>
      </c>
      <c r="AF193" s="1">
        <f ca="1">IFERROR(__xludf.DUMMYFUNCTION("""COMPUTED_VALUE"""),756)</f>
        <v>756</v>
      </c>
    </row>
    <row r="194" spans="1:32" ht="12.5" x14ac:dyDescent="0.25">
      <c r="A194" s="1" t="str">
        <f ca="1">IFERROR(__xludf.DUMMYFUNCTION("""COMPUTED_VALUE"""),"Milwaukee")</f>
        <v>Milwaukee</v>
      </c>
      <c r="B194" s="1">
        <f ca="1">IFERROR(__xludf.DUMMYFUNCTION("""COMPUTED_VALUE"""),33)</f>
        <v>33</v>
      </c>
      <c r="C194" s="1">
        <f ca="1">IFERROR(__xludf.DUMMYFUNCTION("""COMPUTED_VALUE"""),19)</f>
        <v>19</v>
      </c>
      <c r="D194" s="1">
        <f ca="1">IFERROR(__xludf.DUMMYFUNCTION("""COMPUTED_VALUE"""),14)</f>
        <v>14</v>
      </c>
      <c r="E194" s="1">
        <f ca="1">IFERROR(__xludf.DUMMYFUNCTION("""COMPUTED_VALUE"""),0.576)</f>
        <v>0.57599999999999996</v>
      </c>
      <c r="F194" s="1">
        <f ca="1">IFERROR(__xludf.DUMMYFUNCTION("""COMPUTED_VALUE"""),1.48)</f>
        <v>1.48</v>
      </c>
      <c r="G194" s="1">
        <f ca="1">IFERROR(__xludf.DUMMYFUNCTION("""COMPUTED_VALUE"""),2.51)</f>
        <v>2.5099999999999998</v>
      </c>
      <c r="H194" s="1">
        <f ca="1">IFERROR(__xludf.DUMMYFUNCTION("""COMPUTED_VALUE"""),13)</f>
        <v>13</v>
      </c>
      <c r="I194" s="1">
        <f ca="1">IFERROR(__xludf.DUMMYFUNCTION("""COMPUTED_VALUE"""),5)</f>
        <v>5</v>
      </c>
      <c r="J194" s="1">
        <f ca="1">IFERROR(__xludf.DUMMYFUNCTION("""COMPUTED_VALUE"""),10)</f>
        <v>10</v>
      </c>
      <c r="K194" s="1">
        <f ca="1">IFERROR(__xludf.DUMMYFUNCTION("""COMPUTED_VALUE"""),5)</f>
        <v>5</v>
      </c>
      <c r="L194" s="1">
        <f ca="1">IFERROR(__xludf.DUMMYFUNCTION("""COMPUTED_VALUE"""),8)</f>
        <v>8</v>
      </c>
      <c r="M194" s="1">
        <f ca="1">IFERROR(__xludf.DUMMYFUNCTION("""COMPUTED_VALUE"""),8)</f>
        <v>8</v>
      </c>
      <c r="N194" s="1">
        <f ca="1">IFERROR(__xludf.DUMMYFUNCTION("""COMPUTED_VALUE"""),2266)</f>
        <v>2266</v>
      </c>
      <c r="O194" s="1">
        <f ca="1">IFERROR(__xludf.DUMMYFUNCTION("""COMPUTED_VALUE"""),2300)</f>
        <v>2300</v>
      </c>
      <c r="P194" s="1">
        <f ca="1">IFERROR(__xludf.DUMMYFUNCTION("""COMPUTED_VALUE"""),1335)</f>
        <v>1335</v>
      </c>
      <c r="Q194" s="1">
        <f ca="1">IFERROR(__xludf.DUMMYFUNCTION("""COMPUTED_VALUE"""),755)</f>
        <v>755</v>
      </c>
      <c r="R194" s="1">
        <f ca="1">IFERROR(__xludf.DUMMYFUNCTION("""COMPUTED_VALUE"""),1753)</f>
        <v>1753</v>
      </c>
      <c r="S194" s="1">
        <f ca="1">IFERROR(__xludf.DUMMYFUNCTION("""COMPUTED_VALUE"""),0.431)</f>
        <v>0.43099999999999999</v>
      </c>
      <c r="T194" s="1">
        <f ca="1">IFERROR(__xludf.DUMMYFUNCTION("""COMPUTED_VALUE"""),250)</f>
        <v>250</v>
      </c>
      <c r="U194" s="1">
        <f ca="1">IFERROR(__xludf.DUMMYFUNCTION("""COMPUTED_VALUE"""),711)</f>
        <v>711</v>
      </c>
      <c r="V194" s="1">
        <f ca="1">IFERROR(__xludf.DUMMYFUNCTION("""COMPUTED_VALUE"""),0.352)</f>
        <v>0.35199999999999998</v>
      </c>
      <c r="W194" s="1">
        <f ca="1">IFERROR(__xludf.DUMMYFUNCTION("""COMPUTED_VALUE"""),506)</f>
        <v>506</v>
      </c>
      <c r="X194" s="1">
        <f ca="1">IFERROR(__xludf.DUMMYFUNCTION("""COMPUTED_VALUE"""),773)</f>
        <v>773</v>
      </c>
      <c r="Y194" s="1">
        <f ca="1">IFERROR(__xludf.DUMMYFUNCTION("""COMPUTED_VALUE"""),0.655)</f>
        <v>0.65500000000000003</v>
      </c>
      <c r="Z194" s="1">
        <f ca="1">IFERROR(__xludf.DUMMYFUNCTION("""COMPUTED_VALUE"""),361)</f>
        <v>361</v>
      </c>
      <c r="AA194" s="1">
        <f ca="1">IFERROR(__xludf.DUMMYFUNCTION("""COMPUTED_VALUE"""),1120)</f>
        <v>1120</v>
      </c>
      <c r="AB194" s="1">
        <f ca="1">IFERROR(__xludf.DUMMYFUNCTION("""COMPUTED_VALUE"""),422)</f>
        <v>422</v>
      </c>
      <c r="AC194" s="1">
        <f ca="1">IFERROR(__xludf.DUMMYFUNCTION("""COMPUTED_VALUE"""),164)</f>
        <v>164</v>
      </c>
      <c r="AD194" s="1">
        <f ca="1">IFERROR(__xludf.DUMMYFUNCTION("""COMPUTED_VALUE"""),72)</f>
        <v>72</v>
      </c>
      <c r="AE194" s="1">
        <f ca="1">IFERROR(__xludf.DUMMYFUNCTION("""COMPUTED_VALUE"""),459)</f>
        <v>459</v>
      </c>
      <c r="AF194" s="1">
        <f ca="1">IFERROR(__xludf.DUMMYFUNCTION("""COMPUTED_VALUE"""),582)</f>
        <v>582</v>
      </c>
    </row>
    <row r="195" spans="1:32" ht="12.5" x14ac:dyDescent="0.25">
      <c r="A195" s="1" t="str">
        <f ca="1">IFERROR(__xludf.DUMMYFUNCTION("""COMPUTED_VALUE"""),"Minnesota")</f>
        <v>Minnesota</v>
      </c>
      <c r="B195" s="1">
        <f ca="1">IFERROR(__xludf.DUMMYFUNCTION("""COMPUTED_VALUE"""),31)</f>
        <v>31</v>
      </c>
      <c r="C195" s="1">
        <f ca="1">IFERROR(__xludf.DUMMYFUNCTION("""COMPUTED_VALUE"""),17)</f>
        <v>17</v>
      </c>
      <c r="D195" s="1">
        <f ca="1">IFERROR(__xludf.DUMMYFUNCTION("""COMPUTED_VALUE"""),14)</f>
        <v>14</v>
      </c>
      <c r="E195" s="1">
        <f ca="1">IFERROR(__xludf.DUMMYFUNCTION("""COMPUTED_VALUE"""),0.548)</f>
        <v>0.54800000000000004</v>
      </c>
      <c r="F195" s="1">
        <f ca="1">IFERROR(__xludf.DUMMYFUNCTION("""COMPUTED_VALUE"""),11.75)</f>
        <v>11.75</v>
      </c>
      <c r="G195" s="1">
        <f ca="1">IFERROR(__xludf.DUMMYFUNCTION("""COMPUTED_VALUE"""),9.79)</f>
        <v>9.7899999999999991</v>
      </c>
      <c r="H195" s="1">
        <f ca="1">IFERROR(__xludf.DUMMYFUNCTION("""COMPUTED_VALUE"""),6)</f>
        <v>6</v>
      </c>
      <c r="I195" s="1">
        <f ca="1">IFERROR(__xludf.DUMMYFUNCTION("""COMPUTED_VALUE"""),12)</f>
        <v>12</v>
      </c>
      <c r="J195" s="1">
        <f ca="1">IFERROR(__xludf.DUMMYFUNCTION("""COMPUTED_VALUE"""),11)</f>
        <v>11</v>
      </c>
      <c r="K195" s="1">
        <f ca="1">IFERROR(__xludf.DUMMYFUNCTION("""COMPUTED_VALUE"""),6)</f>
        <v>6</v>
      </c>
      <c r="L195" s="1">
        <f ca="1">IFERROR(__xludf.DUMMYFUNCTION("""COMPUTED_VALUE"""),3)</f>
        <v>3</v>
      </c>
      <c r="M195" s="1">
        <f ca="1">IFERROR(__xludf.DUMMYFUNCTION("""COMPUTED_VALUE"""),7)</f>
        <v>7</v>
      </c>
      <c r="N195" s="1">
        <f ca="1">IFERROR(__xludf.DUMMYFUNCTION("""COMPUTED_VALUE"""),2137)</f>
        <v>2137</v>
      </c>
      <c r="O195" s="1">
        <f ca="1">IFERROR(__xludf.DUMMYFUNCTION("""COMPUTED_VALUE"""),2076)</f>
        <v>2076</v>
      </c>
      <c r="P195" s="1">
        <f ca="1">IFERROR(__xludf.DUMMYFUNCTION("""COMPUTED_VALUE"""),1240)</f>
        <v>1240</v>
      </c>
      <c r="Q195" s="1">
        <f ca="1">IFERROR(__xludf.DUMMYFUNCTION("""COMPUTED_VALUE"""),753)</f>
        <v>753</v>
      </c>
      <c r="R195" s="1">
        <f ca="1">IFERROR(__xludf.DUMMYFUNCTION("""COMPUTED_VALUE"""),1660)</f>
        <v>1660</v>
      </c>
      <c r="S195" s="1">
        <f ca="1">IFERROR(__xludf.DUMMYFUNCTION("""COMPUTED_VALUE"""),0.454)</f>
        <v>0.45400000000000001</v>
      </c>
      <c r="T195" s="1">
        <f ca="1">IFERROR(__xludf.DUMMYFUNCTION("""COMPUTED_VALUE"""),152)</f>
        <v>152</v>
      </c>
      <c r="U195" s="1">
        <f ca="1">IFERROR(__xludf.DUMMYFUNCTION("""COMPUTED_VALUE"""),474)</f>
        <v>474</v>
      </c>
      <c r="V195" s="1">
        <f ca="1">IFERROR(__xludf.DUMMYFUNCTION("""COMPUTED_VALUE"""),0.321)</f>
        <v>0.32100000000000001</v>
      </c>
      <c r="W195" s="1">
        <f ca="1">IFERROR(__xludf.DUMMYFUNCTION("""COMPUTED_VALUE"""),479)</f>
        <v>479</v>
      </c>
      <c r="X195" s="1">
        <f ca="1">IFERROR(__xludf.DUMMYFUNCTION("""COMPUTED_VALUE"""),726)</f>
        <v>726</v>
      </c>
      <c r="Y195" s="1">
        <f ca="1">IFERROR(__xludf.DUMMYFUNCTION("""COMPUTED_VALUE"""),0.66)</f>
        <v>0.66</v>
      </c>
      <c r="Z195" s="1">
        <f ca="1">IFERROR(__xludf.DUMMYFUNCTION("""COMPUTED_VALUE"""),397)</f>
        <v>397</v>
      </c>
      <c r="AA195" s="1">
        <f ca="1">IFERROR(__xludf.DUMMYFUNCTION("""COMPUTED_VALUE"""),1180)</f>
        <v>1180</v>
      </c>
      <c r="AB195" s="1">
        <f ca="1">IFERROR(__xludf.DUMMYFUNCTION("""COMPUTED_VALUE"""),487)</f>
        <v>487</v>
      </c>
      <c r="AC195" s="1">
        <f ca="1">IFERROR(__xludf.DUMMYFUNCTION("""COMPUTED_VALUE"""),211)</f>
        <v>211</v>
      </c>
      <c r="AD195" s="1">
        <f ca="1">IFERROR(__xludf.DUMMYFUNCTION("""COMPUTED_VALUE"""),169)</f>
        <v>169</v>
      </c>
      <c r="AE195" s="1">
        <f ca="1">IFERROR(__xludf.DUMMYFUNCTION("""COMPUTED_VALUE"""),413)</f>
        <v>413</v>
      </c>
      <c r="AF195" s="1">
        <f ca="1">IFERROR(__xludf.DUMMYFUNCTION("""COMPUTED_VALUE"""),504)</f>
        <v>504</v>
      </c>
    </row>
    <row r="196" spans="1:32" ht="12.5" x14ac:dyDescent="0.25">
      <c r="A196" s="1" t="str">
        <f ca="1">IFERROR(__xludf.DUMMYFUNCTION("""COMPUTED_VALUE"""),"Mississippi State")</f>
        <v>Mississippi State</v>
      </c>
      <c r="B196" s="1">
        <f ca="1">IFERROR(__xludf.DUMMYFUNCTION("""COMPUTED_VALUE"""),31)</f>
        <v>31</v>
      </c>
      <c r="C196" s="1">
        <f ca="1">IFERROR(__xludf.DUMMYFUNCTION("""COMPUTED_VALUE"""),17)</f>
        <v>17</v>
      </c>
      <c r="D196" s="1">
        <f ca="1">IFERROR(__xludf.DUMMYFUNCTION("""COMPUTED_VALUE"""),14)</f>
        <v>14</v>
      </c>
      <c r="E196" s="1">
        <f ca="1">IFERROR(__xludf.DUMMYFUNCTION("""COMPUTED_VALUE"""),0.548)</f>
        <v>0.54800000000000004</v>
      </c>
      <c r="F196" s="1">
        <f ca="1">IFERROR(__xludf.DUMMYFUNCTION("""COMPUTED_VALUE"""),3.38)</f>
        <v>3.38</v>
      </c>
      <c r="G196" s="1">
        <f ca="1">IFERROR(__xludf.DUMMYFUNCTION("""COMPUTED_VALUE"""),3.77)</f>
        <v>3.77</v>
      </c>
      <c r="H196" s="1">
        <f ca="1">IFERROR(__xludf.DUMMYFUNCTION("""COMPUTED_VALUE"""),9)</f>
        <v>9</v>
      </c>
      <c r="I196" s="1">
        <f ca="1">IFERROR(__xludf.DUMMYFUNCTION("""COMPUTED_VALUE"""),7)</f>
        <v>7</v>
      </c>
      <c r="J196" s="1">
        <f ca="1">IFERROR(__xludf.DUMMYFUNCTION("""COMPUTED_VALUE"""),12)</f>
        <v>12</v>
      </c>
      <c r="K196" s="1">
        <f ca="1">IFERROR(__xludf.DUMMYFUNCTION("""COMPUTED_VALUE"""),5)</f>
        <v>5</v>
      </c>
      <c r="L196" s="1">
        <f ca="1">IFERROR(__xludf.DUMMYFUNCTION("""COMPUTED_VALUE"""),4)</f>
        <v>4</v>
      </c>
      <c r="M196" s="1">
        <f ca="1">IFERROR(__xludf.DUMMYFUNCTION("""COMPUTED_VALUE"""),5)</f>
        <v>5</v>
      </c>
      <c r="N196" s="1">
        <f ca="1">IFERROR(__xludf.DUMMYFUNCTION("""COMPUTED_VALUE"""),2165)</f>
        <v>2165</v>
      </c>
      <c r="O196" s="1">
        <f ca="1">IFERROR(__xludf.DUMMYFUNCTION("""COMPUTED_VALUE"""),2177)</f>
        <v>2177</v>
      </c>
      <c r="P196" s="1">
        <f ca="1">IFERROR(__xludf.DUMMYFUNCTION("""COMPUTED_VALUE"""),1245)</f>
        <v>1245</v>
      </c>
      <c r="Q196" s="1">
        <f ca="1">IFERROR(__xludf.DUMMYFUNCTION("""COMPUTED_VALUE"""),739)</f>
        <v>739</v>
      </c>
      <c r="R196" s="1">
        <f ca="1">IFERROR(__xludf.DUMMYFUNCTION("""COMPUTED_VALUE"""),1701)</f>
        <v>1701</v>
      </c>
      <c r="S196" s="1">
        <f ca="1">IFERROR(__xludf.DUMMYFUNCTION("""COMPUTED_VALUE"""),0.434)</f>
        <v>0.434</v>
      </c>
      <c r="T196" s="1">
        <f ca="1">IFERROR(__xludf.DUMMYFUNCTION("""COMPUTED_VALUE"""),246)</f>
        <v>246</v>
      </c>
      <c r="U196" s="1">
        <f ca="1">IFERROR(__xludf.DUMMYFUNCTION("""COMPUTED_VALUE"""),680)</f>
        <v>680</v>
      </c>
      <c r="V196" s="1">
        <f ca="1">IFERROR(__xludf.DUMMYFUNCTION("""COMPUTED_VALUE"""),0.362)</f>
        <v>0.36199999999999999</v>
      </c>
      <c r="W196" s="1">
        <f ca="1">IFERROR(__xludf.DUMMYFUNCTION("""COMPUTED_VALUE"""),441)</f>
        <v>441</v>
      </c>
      <c r="X196" s="1">
        <f ca="1">IFERROR(__xludf.DUMMYFUNCTION("""COMPUTED_VALUE"""),610)</f>
        <v>610</v>
      </c>
      <c r="Y196" s="1">
        <f ca="1">IFERROR(__xludf.DUMMYFUNCTION("""COMPUTED_VALUE"""),0.723)</f>
        <v>0.72299999999999998</v>
      </c>
      <c r="Z196" s="1">
        <f ca="1">IFERROR(__xludf.DUMMYFUNCTION("""COMPUTED_VALUE"""),306)</f>
        <v>306</v>
      </c>
      <c r="AA196" s="1">
        <f ca="1">IFERROR(__xludf.DUMMYFUNCTION("""COMPUTED_VALUE"""),1119)</f>
        <v>1119</v>
      </c>
      <c r="AB196" s="1">
        <f ca="1">IFERROR(__xludf.DUMMYFUNCTION("""COMPUTED_VALUE"""),393)</f>
        <v>393</v>
      </c>
      <c r="AC196" s="1">
        <f ca="1">IFERROR(__xludf.DUMMYFUNCTION("""COMPUTED_VALUE"""),163)</f>
        <v>163</v>
      </c>
      <c r="AD196" s="1">
        <f ca="1">IFERROR(__xludf.DUMMYFUNCTION("""COMPUTED_VALUE"""),129)</f>
        <v>129</v>
      </c>
      <c r="AE196" s="1">
        <f ca="1">IFERROR(__xludf.DUMMYFUNCTION("""COMPUTED_VALUE"""),413)</f>
        <v>413</v>
      </c>
      <c r="AF196" s="1">
        <f ca="1">IFERROR(__xludf.DUMMYFUNCTION("""COMPUTED_VALUE"""),471)</f>
        <v>471</v>
      </c>
    </row>
    <row r="197" spans="1:32" ht="12.5" x14ac:dyDescent="0.25">
      <c r="A197" s="1" t="str">
        <f ca="1">IFERROR(__xludf.DUMMYFUNCTION("""COMPUTED_VALUE"""),"Mississippi Valley State")</f>
        <v>Mississippi Valley State</v>
      </c>
      <c r="B197" s="1">
        <f ca="1">IFERROR(__xludf.DUMMYFUNCTION("""COMPUTED_VALUE"""),32)</f>
        <v>32</v>
      </c>
      <c r="C197" s="1">
        <f ca="1">IFERROR(__xludf.DUMMYFUNCTION("""COMPUTED_VALUE"""),13)</f>
        <v>13</v>
      </c>
      <c r="D197" s="1">
        <f ca="1">IFERROR(__xludf.DUMMYFUNCTION("""COMPUTED_VALUE"""),19)</f>
        <v>19</v>
      </c>
      <c r="E197" s="1">
        <f ca="1">IFERROR(__xludf.DUMMYFUNCTION("""COMPUTED_VALUE"""),0.406)</f>
        <v>0.40600000000000003</v>
      </c>
      <c r="F197" s="1">
        <f ca="1">IFERROR(__xludf.DUMMYFUNCTION("""COMPUTED_VALUE"""),-13.95)</f>
        <v>-13.95</v>
      </c>
      <c r="G197" s="1">
        <f ca="1">IFERROR(__xludf.DUMMYFUNCTION("""COMPUTED_VALUE"""),-7.48)</f>
        <v>-7.48</v>
      </c>
      <c r="H197" s="1">
        <f ca="1">IFERROR(__xludf.DUMMYFUNCTION("""COMPUTED_VALUE"""),12)</f>
        <v>12</v>
      </c>
      <c r="I197" s="1">
        <f ca="1">IFERROR(__xludf.DUMMYFUNCTION("""COMPUTED_VALUE"""),6)</f>
        <v>6</v>
      </c>
      <c r="J197" s="1">
        <f ca="1">IFERROR(__xludf.DUMMYFUNCTION("""COMPUTED_VALUE"""),7)</f>
        <v>7</v>
      </c>
      <c r="K197" s="1">
        <f ca="1">IFERROR(__xludf.DUMMYFUNCTION("""COMPUTED_VALUE"""),2)</f>
        <v>2</v>
      </c>
      <c r="L197" s="1">
        <f ca="1">IFERROR(__xludf.DUMMYFUNCTION("""COMPUTED_VALUE"""),5)</f>
        <v>5</v>
      </c>
      <c r="M197" s="1">
        <f ca="1">IFERROR(__xludf.DUMMYFUNCTION("""COMPUTED_VALUE"""),14)</f>
        <v>14</v>
      </c>
      <c r="N197" s="1">
        <f ca="1">IFERROR(__xludf.DUMMYFUNCTION("""COMPUTED_VALUE"""),2186)</f>
        <v>2186</v>
      </c>
      <c r="O197" s="1">
        <f ca="1">IFERROR(__xludf.DUMMYFUNCTION("""COMPUTED_VALUE"""),2393)</f>
        <v>2393</v>
      </c>
      <c r="P197" s="1">
        <f ca="1">IFERROR(__xludf.DUMMYFUNCTION("""COMPUTED_VALUE"""),1290)</f>
        <v>1290</v>
      </c>
      <c r="Q197" s="1">
        <f ca="1">IFERROR(__xludf.DUMMYFUNCTION("""COMPUTED_VALUE"""),752)</f>
        <v>752</v>
      </c>
      <c r="R197" s="1">
        <f ca="1">IFERROR(__xludf.DUMMYFUNCTION("""COMPUTED_VALUE"""),1855)</f>
        <v>1855</v>
      </c>
      <c r="S197" s="1">
        <f ca="1">IFERROR(__xludf.DUMMYFUNCTION("""COMPUTED_VALUE"""),0.405)</f>
        <v>0.40500000000000003</v>
      </c>
      <c r="T197" s="1">
        <f ca="1">IFERROR(__xludf.DUMMYFUNCTION("""COMPUTED_VALUE"""),204)</f>
        <v>204</v>
      </c>
      <c r="U197" s="1">
        <f ca="1">IFERROR(__xludf.DUMMYFUNCTION("""COMPUTED_VALUE"""),630)</f>
        <v>630</v>
      </c>
      <c r="V197" s="1">
        <f ca="1">IFERROR(__xludf.DUMMYFUNCTION("""COMPUTED_VALUE"""),0.324)</f>
        <v>0.32400000000000001</v>
      </c>
      <c r="W197" s="1">
        <f ca="1">IFERROR(__xludf.DUMMYFUNCTION("""COMPUTED_VALUE"""),478)</f>
        <v>478</v>
      </c>
      <c r="X197" s="1">
        <f ca="1">IFERROR(__xludf.DUMMYFUNCTION("""COMPUTED_VALUE"""),719)</f>
        <v>719</v>
      </c>
      <c r="Y197" s="1">
        <f ca="1">IFERROR(__xludf.DUMMYFUNCTION("""COMPUTED_VALUE"""),0.665)</f>
        <v>0.66500000000000004</v>
      </c>
      <c r="Z197" s="1">
        <f ca="1">IFERROR(__xludf.DUMMYFUNCTION("""COMPUTED_VALUE"""),392)</f>
        <v>392</v>
      </c>
      <c r="AA197" s="1">
        <f ca="1">IFERROR(__xludf.DUMMYFUNCTION("""COMPUTED_VALUE"""),1206)</f>
        <v>1206</v>
      </c>
      <c r="AB197" s="1">
        <f ca="1">IFERROR(__xludf.DUMMYFUNCTION("""COMPUTED_VALUE"""),393)</f>
        <v>393</v>
      </c>
      <c r="AC197" s="1">
        <f ca="1">IFERROR(__xludf.DUMMYFUNCTION("""COMPUTED_VALUE"""),227)</f>
        <v>227</v>
      </c>
      <c r="AD197" s="1">
        <f ca="1">IFERROR(__xludf.DUMMYFUNCTION("""COMPUTED_VALUE"""),91)</f>
        <v>91</v>
      </c>
      <c r="AE197" s="1">
        <f ca="1">IFERROR(__xludf.DUMMYFUNCTION("""COMPUTED_VALUE"""),555)</f>
        <v>555</v>
      </c>
      <c r="AF197" s="1">
        <f ca="1">IFERROR(__xludf.DUMMYFUNCTION("""COMPUTED_VALUE"""),729)</f>
        <v>729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IFERROR(__xludf.DUMMYFUNCTION("""COMPUTED_VALUE"""),"Mississippi")</f>
        <v>Mississippi</v>
      </c>
      <c r="B200" s="1">
        <f ca="1">IFERROR(__xludf.DUMMYFUNCTION("""COMPUTED_VALUE"""),34)</f>
        <v>34</v>
      </c>
      <c r="C200" s="1">
        <f ca="1">IFERROR(__xludf.DUMMYFUNCTION("""COMPUTED_VALUE"""),20)</f>
        <v>20</v>
      </c>
      <c r="D200" s="1">
        <f ca="1">IFERROR(__xludf.DUMMYFUNCTION("""COMPUTED_VALUE"""),14)</f>
        <v>14</v>
      </c>
      <c r="E200" s="1">
        <f ca="1">IFERROR(__xludf.DUMMYFUNCTION("""COMPUTED_VALUE"""),0.588)</f>
        <v>0.58799999999999997</v>
      </c>
      <c r="F200" s="1">
        <f ca="1">IFERROR(__xludf.DUMMYFUNCTION("""COMPUTED_VALUE"""),8.71)</f>
        <v>8.7100000000000009</v>
      </c>
      <c r="G200" s="1">
        <f ca="1">IFERROR(__xludf.DUMMYFUNCTION("""COMPUTED_VALUE"""),3.92)</f>
        <v>3.92</v>
      </c>
      <c r="H200" s="1">
        <f ca="1">IFERROR(__xludf.DUMMYFUNCTION("""COMPUTED_VALUE"""),7)</f>
        <v>7</v>
      </c>
      <c r="I200" s="1">
        <f ca="1">IFERROR(__xludf.DUMMYFUNCTION("""COMPUTED_VALUE"""),9)</f>
        <v>9</v>
      </c>
      <c r="J200" s="1">
        <f ca="1">IFERROR(__xludf.DUMMYFUNCTION("""COMPUTED_VALUE"""),13)</f>
        <v>13</v>
      </c>
      <c r="K200" s="1">
        <f ca="1">IFERROR(__xludf.DUMMYFUNCTION("""COMPUTED_VALUE"""),4)</f>
        <v>4</v>
      </c>
      <c r="L200" s="1">
        <f ca="1">IFERROR(__xludf.DUMMYFUNCTION("""COMPUTED_VALUE"""),4)</f>
        <v>4</v>
      </c>
      <c r="M200" s="1">
        <f ca="1">IFERROR(__xludf.DUMMYFUNCTION("""COMPUTED_VALUE"""),8)</f>
        <v>8</v>
      </c>
      <c r="N200" s="1">
        <f ca="1">IFERROR(__xludf.DUMMYFUNCTION("""COMPUTED_VALUE"""),2513)</f>
        <v>2513</v>
      </c>
      <c r="O200" s="1">
        <f ca="1">IFERROR(__xludf.DUMMYFUNCTION("""COMPUTED_VALUE"""),2350)</f>
        <v>2350</v>
      </c>
      <c r="P200" s="1">
        <f ca="1">IFERROR(__xludf.DUMMYFUNCTION("""COMPUTED_VALUE"""),1365)</f>
        <v>1365</v>
      </c>
      <c r="Q200" s="1">
        <f ca="1">IFERROR(__xludf.DUMMYFUNCTION("""COMPUTED_VALUE"""),868)</f>
        <v>868</v>
      </c>
      <c r="R200" s="1">
        <f ca="1">IFERROR(__xludf.DUMMYFUNCTION("""COMPUTED_VALUE"""),1964)</f>
        <v>1964</v>
      </c>
      <c r="S200" s="1">
        <f ca="1">IFERROR(__xludf.DUMMYFUNCTION("""COMPUTED_VALUE"""),0.442)</f>
        <v>0.442</v>
      </c>
      <c r="T200" s="1">
        <f ca="1">IFERROR(__xludf.DUMMYFUNCTION("""COMPUTED_VALUE"""),260)</f>
        <v>260</v>
      </c>
      <c r="U200" s="1">
        <f ca="1">IFERROR(__xludf.DUMMYFUNCTION("""COMPUTED_VALUE"""),740)</f>
        <v>740</v>
      </c>
      <c r="V200" s="1">
        <f ca="1">IFERROR(__xludf.DUMMYFUNCTION("""COMPUTED_VALUE"""),0.351)</f>
        <v>0.35099999999999998</v>
      </c>
      <c r="W200" s="1">
        <f ca="1">IFERROR(__xludf.DUMMYFUNCTION("""COMPUTED_VALUE"""),517)</f>
        <v>517</v>
      </c>
      <c r="X200" s="1">
        <f ca="1">IFERROR(__xludf.DUMMYFUNCTION("""COMPUTED_VALUE"""),684)</f>
        <v>684</v>
      </c>
      <c r="Y200" s="1">
        <f ca="1">IFERROR(__xludf.DUMMYFUNCTION("""COMPUTED_VALUE"""),0.756)</f>
        <v>0.75600000000000001</v>
      </c>
      <c r="Z200" s="1">
        <f ca="1">IFERROR(__xludf.DUMMYFUNCTION("""COMPUTED_VALUE"""),418)</f>
        <v>418</v>
      </c>
      <c r="AA200" s="1">
        <f ca="1">IFERROR(__xludf.DUMMYFUNCTION("""COMPUTED_VALUE"""),1229)</f>
        <v>1229</v>
      </c>
      <c r="AB200" s="1">
        <f ca="1">IFERROR(__xludf.DUMMYFUNCTION("""COMPUTED_VALUE"""),415)</f>
        <v>415</v>
      </c>
      <c r="AC200" s="1">
        <f ca="1">IFERROR(__xludf.DUMMYFUNCTION("""COMPUTED_VALUE"""),180)</f>
        <v>180</v>
      </c>
      <c r="AD200" s="1">
        <f ca="1">IFERROR(__xludf.DUMMYFUNCTION("""COMPUTED_VALUE"""),180)</f>
        <v>180</v>
      </c>
      <c r="AE200" s="1">
        <f ca="1">IFERROR(__xludf.DUMMYFUNCTION("""COMPUTED_VALUE"""),435)</f>
        <v>435</v>
      </c>
      <c r="AF200" s="1">
        <f ca="1">IFERROR(__xludf.DUMMYFUNCTION("""COMPUTED_VALUE"""),638)</f>
        <v>638</v>
      </c>
    </row>
    <row r="201" spans="1:32" ht="12.5" x14ac:dyDescent="0.25">
      <c r="A201" s="1" t="str">
        <f ca="1">IFERROR(__xludf.DUMMYFUNCTION("""COMPUTED_VALUE"""),"Missouri-Kansas City")</f>
        <v>Missouri-Kansas City</v>
      </c>
      <c r="B201" s="1">
        <f ca="1">IFERROR(__xludf.DUMMYFUNCTION("""COMPUTED_VALUE"""),30)</f>
        <v>30</v>
      </c>
      <c r="C201" s="1">
        <f ca="1">IFERROR(__xludf.DUMMYFUNCTION("""COMPUTED_VALUE"""),16)</f>
        <v>16</v>
      </c>
      <c r="D201" s="1">
        <f ca="1">IFERROR(__xludf.DUMMYFUNCTION("""COMPUTED_VALUE"""),14)</f>
        <v>14</v>
      </c>
      <c r="E201" s="1">
        <f ca="1">IFERROR(__xludf.DUMMYFUNCTION("""COMPUTED_VALUE"""),0.533)</f>
        <v>0.53300000000000003</v>
      </c>
      <c r="F201" s="1">
        <f ca="1">IFERROR(__xludf.DUMMYFUNCTION("""COMPUTED_VALUE"""),-8.91)</f>
        <v>-8.91</v>
      </c>
      <c r="G201" s="1">
        <f ca="1">IFERROR(__xludf.DUMMYFUNCTION("""COMPUTED_VALUE"""),-4.46)</f>
        <v>-4.46</v>
      </c>
      <c r="H201" s="1">
        <f ca="1">IFERROR(__xludf.DUMMYFUNCTION("""COMPUTED_VALUE"""),9)</f>
        <v>9</v>
      </c>
      <c r="I201" s="1">
        <f ca="1">IFERROR(__xludf.DUMMYFUNCTION("""COMPUTED_VALUE"""),9)</f>
        <v>9</v>
      </c>
      <c r="J201" s="1">
        <f ca="1">IFERROR(__xludf.DUMMYFUNCTION("""COMPUTED_VALUE"""),11)</f>
        <v>11</v>
      </c>
      <c r="K201" s="1">
        <f ca="1">IFERROR(__xludf.DUMMYFUNCTION("""COMPUTED_VALUE"""),4)</f>
        <v>4</v>
      </c>
      <c r="L201" s="1">
        <f ca="1">IFERROR(__xludf.DUMMYFUNCTION("""COMPUTED_VALUE"""),5)</f>
        <v>5</v>
      </c>
      <c r="M201" s="1">
        <f ca="1">IFERROR(__xludf.DUMMYFUNCTION("""COMPUTED_VALUE"""),9)</f>
        <v>9</v>
      </c>
      <c r="N201" s="1">
        <f ca="1">IFERROR(__xludf.DUMMYFUNCTION("""COMPUTED_VALUE"""),2100)</f>
        <v>2100</v>
      </c>
      <c r="O201" s="1">
        <f ca="1">IFERROR(__xludf.DUMMYFUNCTION("""COMPUTED_VALUE"""),2217)</f>
        <v>2217</v>
      </c>
      <c r="P201" s="1">
        <f ca="1">IFERROR(__xludf.DUMMYFUNCTION("""COMPUTED_VALUE"""),1230)</f>
        <v>1230</v>
      </c>
      <c r="Q201" s="1">
        <f ca="1">IFERROR(__xludf.DUMMYFUNCTION("""COMPUTED_VALUE"""),710)</f>
        <v>710</v>
      </c>
      <c r="R201" s="1">
        <f ca="1">IFERROR(__xludf.DUMMYFUNCTION("""COMPUTED_VALUE"""),1629)</f>
        <v>1629</v>
      </c>
      <c r="S201" s="1">
        <f ca="1">IFERROR(__xludf.DUMMYFUNCTION("""COMPUTED_VALUE"""),0.436)</f>
        <v>0.436</v>
      </c>
      <c r="T201" s="1">
        <f ca="1">IFERROR(__xludf.DUMMYFUNCTION("""COMPUTED_VALUE"""),232)</f>
        <v>232</v>
      </c>
      <c r="U201" s="1">
        <f ca="1">IFERROR(__xludf.DUMMYFUNCTION("""COMPUTED_VALUE"""),668)</f>
        <v>668</v>
      </c>
      <c r="V201" s="1">
        <f ca="1">IFERROR(__xludf.DUMMYFUNCTION("""COMPUTED_VALUE"""),0.347)</f>
        <v>0.34699999999999998</v>
      </c>
      <c r="W201" s="1">
        <f ca="1">IFERROR(__xludf.DUMMYFUNCTION("""COMPUTED_VALUE"""),448)</f>
        <v>448</v>
      </c>
      <c r="X201" s="1">
        <f ca="1">IFERROR(__xludf.DUMMYFUNCTION("""COMPUTED_VALUE"""),677)</f>
        <v>677</v>
      </c>
      <c r="Y201" s="1">
        <f ca="1">IFERROR(__xludf.DUMMYFUNCTION("""COMPUTED_VALUE"""),0.662)</f>
        <v>0.66200000000000003</v>
      </c>
      <c r="Z201" s="1">
        <f ca="1">IFERROR(__xludf.DUMMYFUNCTION("""COMPUTED_VALUE"""),327)</f>
        <v>327</v>
      </c>
      <c r="AA201" s="1">
        <f ca="1">IFERROR(__xludf.DUMMYFUNCTION("""COMPUTED_VALUE"""),976)</f>
        <v>976</v>
      </c>
      <c r="AB201" s="1">
        <f ca="1">IFERROR(__xludf.DUMMYFUNCTION("""COMPUTED_VALUE"""),321)</f>
        <v>321</v>
      </c>
      <c r="AC201" s="1">
        <f ca="1">IFERROR(__xludf.DUMMYFUNCTION("""COMPUTED_VALUE"""),186)</f>
        <v>186</v>
      </c>
      <c r="AD201" s="1">
        <f ca="1">IFERROR(__xludf.DUMMYFUNCTION("""COMPUTED_VALUE"""),78)</f>
        <v>78</v>
      </c>
      <c r="AE201" s="1">
        <f ca="1">IFERROR(__xludf.DUMMYFUNCTION("""COMPUTED_VALUE"""),419)</f>
        <v>419</v>
      </c>
      <c r="AF201" s="1">
        <f ca="1">IFERROR(__xludf.DUMMYFUNCTION("""COMPUTED_VALUE"""),590)</f>
        <v>590</v>
      </c>
    </row>
    <row r="202" spans="1:32" ht="12.5" x14ac:dyDescent="0.25">
      <c r="A202" s="1" t="str">
        <f ca="1">IFERROR(__xludf.DUMMYFUNCTION("""COMPUTED_VALUE"""),"Missouri State")</f>
        <v>Missouri State</v>
      </c>
      <c r="B202" s="1">
        <f ca="1">IFERROR(__xludf.DUMMYFUNCTION("""COMPUTED_VALUE"""),35)</f>
        <v>35</v>
      </c>
      <c r="C202" s="1">
        <f ca="1">IFERROR(__xludf.DUMMYFUNCTION("""COMPUTED_VALUE"""),26)</f>
        <v>26</v>
      </c>
      <c r="D202" s="1">
        <f ca="1">IFERROR(__xludf.DUMMYFUNCTION("""COMPUTED_VALUE"""),9)</f>
        <v>9</v>
      </c>
      <c r="E202" s="1">
        <f ca="1">IFERROR(__xludf.DUMMYFUNCTION("""COMPUTED_VALUE"""),0.743)</f>
        <v>0.74299999999999999</v>
      </c>
      <c r="F202" s="1">
        <f ca="1">IFERROR(__xludf.DUMMYFUNCTION("""COMPUTED_VALUE"""),8.07)</f>
        <v>8.07</v>
      </c>
      <c r="G202" s="1">
        <f ca="1">IFERROR(__xludf.DUMMYFUNCTION("""COMPUTED_VALUE"""),1.35)</f>
        <v>1.35</v>
      </c>
      <c r="H202" s="1">
        <f ca="1">IFERROR(__xludf.DUMMYFUNCTION("""COMPUTED_VALUE"""),15)</f>
        <v>15</v>
      </c>
      <c r="I202" s="1">
        <f ca="1">IFERROR(__xludf.DUMMYFUNCTION("""COMPUTED_VALUE"""),3)</f>
        <v>3</v>
      </c>
      <c r="J202" s="1">
        <f ca="1">IFERROR(__xludf.DUMMYFUNCTION("""COMPUTED_VALUE"""),16)</f>
        <v>16</v>
      </c>
      <c r="K202" s="1">
        <f ca="1">IFERROR(__xludf.DUMMYFUNCTION("""COMPUTED_VALUE"""),1)</f>
        <v>1</v>
      </c>
      <c r="L202" s="1">
        <f ca="1">IFERROR(__xludf.DUMMYFUNCTION("""COMPUTED_VALUE"""),7)</f>
        <v>7</v>
      </c>
      <c r="M202" s="1">
        <f ca="1">IFERROR(__xludf.DUMMYFUNCTION("""COMPUTED_VALUE"""),7)</f>
        <v>7</v>
      </c>
      <c r="N202" s="1">
        <f ca="1">IFERROR(__xludf.DUMMYFUNCTION("""COMPUTED_VALUE"""),2444)</f>
        <v>2444</v>
      </c>
      <c r="O202" s="1">
        <f ca="1">IFERROR(__xludf.DUMMYFUNCTION("""COMPUTED_VALUE"""),2209)</f>
        <v>2209</v>
      </c>
      <c r="P202" s="1">
        <f ca="1">IFERROR(__xludf.DUMMYFUNCTION("""COMPUTED_VALUE"""),1400)</f>
        <v>1400</v>
      </c>
      <c r="Q202" s="1">
        <f ca="1">IFERROR(__xludf.DUMMYFUNCTION("""COMPUTED_VALUE"""),842)</f>
        <v>842</v>
      </c>
      <c r="R202" s="1">
        <f ca="1">IFERROR(__xludf.DUMMYFUNCTION("""COMPUTED_VALUE"""),1858)</f>
        <v>1858</v>
      </c>
      <c r="S202" s="1">
        <f ca="1">IFERROR(__xludf.DUMMYFUNCTION("""COMPUTED_VALUE"""),0.453)</f>
        <v>0.45300000000000001</v>
      </c>
      <c r="T202" s="1">
        <f ca="1">IFERROR(__xludf.DUMMYFUNCTION("""COMPUTED_VALUE"""),242)</f>
        <v>242</v>
      </c>
      <c r="U202" s="1">
        <f ca="1">IFERROR(__xludf.DUMMYFUNCTION("""COMPUTED_VALUE"""),644)</f>
        <v>644</v>
      </c>
      <c r="V202" s="1">
        <f ca="1">IFERROR(__xludf.DUMMYFUNCTION("""COMPUTED_VALUE"""),0.376)</f>
        <v>0.376</v>
      </c>
      <c r="W202" s="1">
        <f ca="1">IFERROR(__xludf.DUMMYFUNCTION("""COMPUTED_VALUE"""),518)</f>
        <v>518</v>
      </c>
      <c r="X202" s="1">
        <f ca="1">IFERROR(__xludf.DUMMYFUNCTION("""COMPUTED_VALUE"""),710)</f>
        <v>710</v>
      </c>
      <c r="Y202" s="1">
        <f ca="1">IFERROR(__xludf.DUMMYFUNCTION("""COMPUTED_VALUE"""),0.73)</f>
        <v>0.73</v>
      </c>
      <c r="Z202" s="1">
        <f ca="1">IFERROR(__xludf.DUMMYFUNCTION("""COMPUTED_VALUE"""),373)</f>
        <v>373</v>
      </c>
      <c r="AA202" s="1">
        <f ca="1">IFERROR(__xludf.DUMMYFUNCTION("""COMPUTED_VALUE"""),1161)</f>
        <v>1161</v>
      </c>
      <c r="AB202" s="1">
        <f ca="1">IFERROR(__xludf.DUMMYFUNCTION("""COMPUTED_VALUE"""),464)</f>
        <v>464</v>
      </c>
      <c r="AC202" s="1">
        <f ca="1">IFERROR(__xludf.DUMMYFUNCTION("""COMPUTED_VALUE"""),171)</f>
        <v>171</v>
      </c>
      <c r="AD202" s="1">
        <f ca="1">IFERROR(__xludf.DUMMYFUNCTION("""COMPUTED_VALUE"""),103)</f>
        <v>103</v>
      </c>
      <c r="AE202" s="1">
        <f ca="1">IFERROR(__xludf.DUMMYFUNCTION("""COMPUTED_VALUE"""),362)</f>
        <v>362</v>
      </c>
      <c r="AF202" s="1">
        <f ca="1">IFERROR(__xludf.DUMMYFUNCTION("""COMPUTED_VALUE"""),607)</f>
        <v>607</v>
      </c>
    </row>
    <row r="203" spans="1:32" ht="12.5" x14ac:dyDescent="0.25">
      <c r="A203" s="1" t="str">
        <f ca="1">IFERROR(__xludf.DUMMYFUNCTION("""COMPUTED_VALUE"""),"MissouriNCAA")</f>
        <v>MissouriNCAA</v>
      </c>
      <c r="B203" s="1">
        <f ca="1">IFERROR(__xludf.DUMMYFUNCTION("""COMPUTED_VALUE"""),34)</f>
        <v>34</v>
      </c>
      <c r="C203" s="1">
        <f ca="1">IFERROR(__xludf.DUMMYFUNCTION("""COMPUTED_VALUE"""),23)</f>
        <v>23</v>
      </c>
      <c r="D203" s="1">
        <f ca="1">IFERROR(__xludf.DUMMYFUNCTION("""COMPUTED_VALUE"""),11)</f>
        <v>11</v>
      </c>
      <c r="E203" s="1">
        <f ca="1">IFERROR(__xludf.DUMMYFUNCTION("""COMPUTED_VALUE"""),0.676)</f>
        <v>0.67600000000000005</v>
      </c>
      <c r="F203" s="1">
        <f ca="1">IFERROR(__xludf.DUMMYFUNCTION("""COMPUTED_VALUE"""),14.77)</f>
        <v>14.77</v>
      </c>
      <c r="G203" s="1">
        <f ca="1">IFERROR(__xludf.DUMMYFUNCTION("""COMPUTED_VALUE"""),6.5)</f>
        <v>6.5</v>
      </c>
      <c r="H203" s="1">
        <f ca="1">IFERROR(__xludf.DUMMYFUNCTION("""COMPUTED_VALUE"""),8)</f>
        <v>8</v>
      </c>
      <c r="I203" s="1">
        <f ca="1">IFERROR(__xludf.DUMMYFUNCTION("""COMPUTED_VALUE"""),8)</f>
        <v>8</v>
      </c>
      <c r="J203" s="1">
        <f ca="1">IFERROR(__xludf.DUMMYFUNCTION("""COMPUTED_VALUE"""),17)</f>
        <v>17</v>
      </c>
      <c r="K203" s="1">
        <f ca="1">IFERROR(__xludf.DUMMYFUNCTION("""COMPUTED_VALUE"""),1)</f>
        <v>1</v>
      </c>
      <c r="L203" s="1">
        <f ca="1">IFERROR(__xludf.DUMMYFUNCTION("""COMPUTED_VALUE"""),2)</f>
        <v>2</v>
      </c>
      <c r="M203" s="1">
        <f ca="1">IFERROR(__xludf.DUMMYFUNCTION("""COMPUTED_VALUE"""),7)</f>
        <v>7</v>
      </c>
      <c r="N203" s="1">
        <f ca="1">IFERROR(__xludf.DUMMYFUNCTION("""COMPUTED_VALUE"""),2748)</f>
        <v>2748</v>
      </c>
      <c r="O203" s="1">
        <f ca="1">IFERROR(__xludf.DUMMYFUNCTION("""COMPUTED_VALUE"""),2435)</f>
        <v>2435</v>
      </c>
      <c r="P203" s="1">
        <f ca="1">IFERROR(__xludf.DUMMYFUNCTION("""COMPUTED_VALUE"""),1375)</f>
        <v>1375</v>
      </c>
      <c r="Q203" s="1">
        <f ca="1">IFERROR(__xludf.DUMMYFUNCTION("""COMPUTED_VALUE"""),983)</f>
        <v>983</v>
      </c>
      <c r="R203" s="1">
        <f ca="1">IFERROR(__xludf.DUMMYFUNCTION("""COMPUTED_VALUE"""),2145)</f>
        <v>2145</v>
      </c>
      <c r="S203" s="1">
        <f ca="1">IFERROR(__xludf.DUMMYFUNCTION("""COMPUTED_VALUE"""),0.458)</f>
        <v>0.45800000000000002</v>
      </c>
      <c r="T203" s="1">
        <f ca="1">IFERROR(__xludf.DUMMYFUNCTION("""COMPUTED_VALUE"""),245)</f>
        <v>245</v>
      </c>
      <c r="U203" s="1">
        <f ca="1">IFERROR(__xludf.DUMMYFUNCTION("""COMPUTED_VALUE"""),669)</f>
        <v>669</v>
      </c>
      <c r="V203" s="1">
        <f ca="1">IFERROR(__xludf.DUMMYFUNCTION("""COMPUTED_VALUE"""),0.366)</f>
        <v>0.36599999999999999</v>
      </c>
      <c r="W203" s="1">
        <f ca="1">IFERROR(__xludf.DUMMYFUNCTION("""COMPUTED_VALUE"""),537)</f>
        <v>537</v>
      </c>
      <c r="X203" s="1">
        <f ca="1">IFERROR(__xludf.DUMMYFUNCTION("""COMPUTED_VALUE"""),727)</f>
        <v>727</v>
      </c>
      <c r="Y203" s="1">
        <f ca="1">IFERROR(__xludf.DUMMYFUNCTION("""COMPUTED_VALUE"""),0.739)</f>
        <v>0.73899999999999999</v>
      </c>
      <c r="Z203" s="1">
        <f ca="1">IFERROR(__xludf.DUMMYFUNCTION("""COMPUTED_VALUE"""),425)</f>
        <v>425</v>
      </c>
      <c r="AA203" s="1">
        <f ca="1">IFERROR(__xludf.DUMMYFUNCTION("""COMPUTED_VALUE"""),1197)</f>
        <v>1197</v>
      </c>
      <c r="AB203" s="1">
        <f ca="1">IFERROR(__xludf.DUMMYFUNCTION("""COMPUTED_VALUE"""),558)</f>
        <v>558</v>
      </c>
      <c r="AC203" s="1">
        <f ca="1">IFERROR(__xludf.DUMMYFUNCTION("""COMPUTED_VALUE"""),329)</f>
        <v>329</v>
      </c>
      <c r="AD203" s="1">
        <f ca="1">IFERROR(__xludf.DUMMYFUNCTION("""COMPUTED_VALUE"""),171)</f>
        <v>171</v>
      </c>
      <c r="AE203" s="1">
        <f ca="1">IFERROR(__xludf.DUMMYFUNCTION("""COMPUTED_VALUE"""),431)</f>
        <v>431</v>
      </c>
      <c r="AF203" s="1">
        <f ca="1">IFERROR(__xludf.DUMMYFUNCTION("""COMPUTED_VALUE"""),689)</f>
        <v>689</v>
      </c>
    </row>
    <row r="204" spans="1:32" ht="12.5" x14ac:dyDescent="0.25">
      <c r="A204" s="1" t="str">
        <f ca="1">IFERROR(__xludf.DUMMYFUNCTION("""COMPUTED_VALUE"""),"Monmouth")</f>
        <v>Monmouth</v>
      </c>
      <c r="B204" s="1">
        <f ca="1">IFERROR(__xludf.DUMMYFUNCTION("""COMPUTED_VALUE"""),30)</f>
        <v>30</v>
      </c>
      <c r="C204" s="1">
        <f ca="1">IFERROR(__xludf.DUMMYFUNCTION("""COMPUTED_VALUE"""),9)</f>
        <v>9</v>
      </c>
      <c r="D204" s="1">
        <f ca="1">IFERROR(__xludf.DUMMYFUNCTION("""COMPUTED_VALUE"""),21)</f>
        <v>21</v>
      </c>
      <c r="E204" s="1">
        <f ca="1">IFERROR(__xludf.DUMMYFUNCTION("""COMPUTED_VALUE"""),0.3)</f>
        <v>0.3</v>
      </c>
      <c r="F204" s="1">
        <f ca="1">IFERROR(__xludf.DUMMYFUNCTION("""COMPUTED_VALUE"""),-9.67)</f>
        <v>-9.67</v>
      </c>
      <c r="G204" s="1">
        <f ca="1">IFERROR(__xludf.DUMMYFUNCTION("""COMPUTED_VALUE"""),-4.4)</f>
        <v>-4.4000000000000004</v>
      </c>
      <c r="H204" s="1">
        <f ca="1">IFERROR(__xludf.DUMMYFUNCTION("""COMPUTED_VALUE"""),5)</f>
        <v>5</v>
      </c>
      <c r="I204" s="1">
        <f ca="1">IFERROR(__xludf.DUMMYFUNCTION("""COMPUTED_VALUE"""),13)</f>
        <v>13</v>
      </c>
      <c r="J204" s="1">
        <f ca="1">IFERROR(__xludf.DUMMYFUNCTION("""COMPUTED_VALUE"""),5)</f>
        <v>5</v>
      </c>
      <c r="K204" s="1">
        <f ca="1">IFERROR(__xludf.DUMMYFUNCTION("""COMPUTED_VALUE"""),10)</f>
        <v>10</v>
      </c>
      <c r="L204" s="1">
        <f ca="1">IFERROR(__xludf.DUMMYFUNCTION("""COMPUTED_VALUE"""),2)</f>
        <v>2</v>
      </c>
      <c r="M204" s="1">
        <f ca="1">IFERROR(__xludf.DUMMYFUNCTION("""COMPUTED_VALUE"""),11)</f>
        <v>11</v>
      </c>
      <c r="N204" s="1">
        <f ca="1">IFERROR(__xludf.DUMMYFUNCTION("""COMPUTED_VALUE"""),1818)</f>
        <v>1818</v>
      </c>
      <c r="O204" s="1">
        <f ca="1">IFERROR(__xludf.DUMMYFUNCTION("""COMPUTED_VALUE"""),1976)</f>
        <v>1976</v>
      </c>
      <c r="P204" s="1">
        <f ca="1">IFERROR(__xludf.DUMMYFUNCTION("""COMPUTED_VALUE"""),1220)</f>
        <v>1220</v>
      </c>
      <c r="Q204" s="1">
        <f ca="1">IFERROR(__xludf.DUMMYFUNCTION("""COMPUTED_VALUE"""),632)</f>
        <v>632</v>
      </c>
      <c r="R204" s="1">
        <f ca="1">IFERROR(__xludf.DUMMYFUNCTION("""COMPUTED_VALUE"""),1551)</f>
        <v>1551</v>
      </c>
      <c r="S204" s="1">
        <f ca="1">IFERROR(__xludf.DUMMYFUNCTION("""COMPUTED_VALUE"""),0.407)</f>
        <v>0.40699999999999997</v>
      </c>
      <c r="T204" s="1">
        <f ca="1">IFERROR(__xludf.DUMMYFUNCTION("""COMPUTED_VALUE"""),178)</f>
        <v>178</v>
      </c>
      <c r="U204" s="1">
        <f ca="1">IFERROR(__xludf.DUMMYFUNCTION("""COMPUTED_VALUE"""),548)</f>
        <v>548</v>
      </c>
      <c r="V204" s="1">
        <f ca="1">IFERROR(__xludf.DUMMYFUNCTION("""COMPUTED_VALUE"""),0.325)</f>
        <v>0.32500000000000001</v>
      </c>
      <c r="W204" s="1">
        <f ca="1">IFERROR(__xludf.DUMMYFUNCTION("""COMPUTED_VALUE"""),376)</f>
        <v>376</v>
      </c>
      <c r="X204" s="1">
        <f ca="1">IFERROR(__xludf.DUMMYFUNCTION("""COMPUTED_VALUE"""),588)</f>
        <v>588</v>
      </c>
      <c r="Y204" s="1">
        <f ca="1">IFERROR(__xludf.DUMMYFUNCTION("""COMPUTED_VALUE"""),0.639)</f>
        <v>0.63900000000000001</v>
      </c>
      <c r="Z204" s="1">
        <f ca="1">IFERROR(__xludf.DUMMYFUNCTION("""COMPUTED_VALUE"""),325)</f>
        <v>325</v>
      </c>
      <c r="AA204" s="1">
        <f ca="1">IFERROR(__xludf.DUMMYFUNCTION("""COMPUTED_VALUE"""),1024)</f>
        <v>1024</v>
      </c>
      <c r="AB204" s="1">
        <f ca="1">IFERROR(__xludf.DUMMYFUNCTION("""COMPUTED_VALUE"""),376)</f>
        <v>376</v>
      </c>
      <c r="AC204" s="1">
        <f ca="1">IFERROR(__xludf.DUMMYFUNCTION("""COMPUTED_VALUE"""),203)</f>
        <v>203</v>
      </c>
      <c r="AD204" s="1">
        <f ca="1">IFERROR(__xludf.DUMMYFUNCTION("""COMPUTED_VALUE"""),63)</f>
        <v>63</v>
      </c>
      <c r="AE204" s="1">
        <f ca="1">IFERROR(__xludf.DUMMYFUNCTION("""COMPUTED_VALUE"""),439)</f>
        <v>439</v>
      </c>
      <c r="AF204" s="1">
        <f ca="1">IFERROR(__xludf.DUMMYFUNCTION("""COMPUTED_VALUE"""),520)</f>
        <v>520</v>
      </c>
    </row>
    <row r="205" spans="1:32" ht="12.5" x14ac:dyDescent="0.25">
      <c r="A205" s="1" t="str">
        <f ca="1">IFERROR(__xludf.DUMMYFUNCTION("""COMPUTED_VALUE"""),"Montana State")</f>
        <v>Montana State</v>
      </c>
      <c r="B205" s="1">
        <f ca="1">IFERROR(__xludf.DUMMYFUNCTION("""COMPUTED_VALUE"""),31)</f>
        <v>31</v>
      </c>
      <c r="C205" s="1">
        <f ca="1">IFERROR(__xludf.DUMMYFUNCTION("""COMPUTED_VALUE"""),13)</f>
        <v>13</v>
      </c>
      <c r="D205" s="1">
        <f ca="1">IFERROR(__xludf.DUMMYFUNCTION("""COMPUTED_VALUE"""),18)</f>
        <v>18</v>
      </c>
      <c r="E205" s="1">
        <f ca="1">IFERROR(__xludf.DUMMYFUNCTION("""COMPUTED_VALUE"""),0.419)</f>
        <v>0.41899999999999998</v>
      </c>
      <c r="F205" s="1">
        <f ca="1">IFERROR(__xludf.DUMMYFUNCTION("""COMPUTED_VALUE"""),-7.01)</f>
        <v>-7.01</v>
      </c>
      <c r="G205" s="1">
        <f ca="1">IFERROR(__xludf.DUMMYFUNCTION("""COMPUTED_VALUE"""),-3.22)</f>
        <v>-3.22</v>
      </c>
      <c r="H205" s="1">
        <f ca="1">IFERROR(__xludf.DUMMYFUNCTION("""COMPUTED_VALUE"""),7)</f>
        <v>7</v>
      </c>
      <c r="I205" s="1">
        <f ca="1">IFERROR(__xludf.DUMMYFUNCTION("""COMPUTED_VALUE"""),9)</f>
        <v>9</v>
      </c>
      <c r="J205" s="1">
        <f ca="1">IFERROR(__xludf.DUMMYFUNCTION("""COMPUTED_VALUE"""),9)</f>
        <v>9</v>
      </c>
      <c r="K205" s="1">
        <f ca="1">IFERROR(__xludf.DUMMYFUNCTION("""COMPUTED_VALUE"""),4)</f>
        <v>4</v>
      </c>
      <c r="L205" s="1">
        <f ca="1">IFERROR(__xludf.DUMMYFUNCTION("""COMPUTED_VALUE"""),2)</f>
        <v>2</v>
      </c>
      <c r="M205" s="1">
        <f ca="1">IFERROR(__xludf.DUMMYFUNCTION("""COMPUTED_VALUE"""),14)</f>
        <v>14</v>
      </c>
      <c r="N205" s="1">
        <f ca="1">IFERROR(__xludf.DUMMYFUNCTION("""COMPUTED_VALUE"""),2079)</f>
        <v>2079</v>
      </c>
      <c r="O205" s="1">
        <f ca="1">IFERROR(__xludf.DUMMYFUNCTION("""COMPUTED_VALUE"""),2130)</f>
        <v>2130</v>
      </c>
      <c r="P205" s="1">
        <f ca="1">IFERROR(__xludf.DUMMYFUNCTION("""COMPUTED_VALUE"""),1245)</f>
        <v>1245</v>
      </c>
      <c r="Q205" s="1">
        <f ca="1">IFERROR(__xludf.DUMMYFUNCTION("""COMPUTED_VALUE"""),716)</f>
        <v>716</v>
      </c>
      <c r="R205" s="1">
        <f ca="1">IFERROR(__xludf.DUMMYFUNCTION("""COMPUTED_VALUE"""),1730)</f>
        <v>1730</v>
      </c>
      <c r="S205" s="1">
        <f ca="1">IFERROR(__xludf.DUMMYFUNCTION("""COMPUTED_VALUE"""),0.414)</f>
        <v>0.41399999999999998</v>
      </c>
      <c r="T205" s="1">
        <f ca="1">IFERROR(__xludf.DUMMYFUNCTION("""COMPUTED_VALUE"""),235)</f>
        <v>235</v>
      </c>
      <c r="U205" s="1">
        <f ca="1">IFERROR(__xludf.DUMMYFUNCTION("""COMPUTED_VALUE"""),706)</f>
        <v>706</v>
      </c>
      <c r="V205" s="1">
        <f ca="1">IFERROR(__xludf.DUMMYFUNCTION("""COMPUTED_VALUE"""),0.333)</f>
        <v>0.33300000000000002</v>
      </c>
      <c r="W205" s="1">
        <f ca="1">IFERROR(__xludf.DUMMYFUNCTION("""COMPUTED_VALUE"""),412)</f>
        <v>412</v>
      </c>
      <c r="X205" s="1">
        <f ca="1">IFERROR(__xludf.DUMMYFUNCTION("""COMPUTED_VALUE"""),637)</f>
        <v>637</v>
      </c>
      <c r="Y205" s="1">
        <f ca="1">IFERROR(__xludf.DUMMYFUNCTION("""COMPUTED_VALUE"""),0.647)</f>
        <v>0.64700000000000002</v>
      </c>
      <c r="Z205" s="1">
        <f ca="1">IFERROR(__xludf.DUMMYFUNCTION("""COMPUTED_VALUE"""),362)</f>
        <v>362</v>
      </c>
      <c r="AA205" s="1">
        <f ca="1">IFERROR(__xludf.DUMMYFUNCTION("""COMPUTED_VALUE"""),1053)</f>
        <v>1053</v>
      </c>
      <c r="AB205" s="1">
        <f ca="1">IFERROR(__xludf.DUMMYFUNCTION("""COMPUTED_VALUE"""),374)</f>
        <v>374</v>
      </c>
      <c r="AC205" s="1">
        <f ca="1">IFERROR(__xludf.DUMMYFUNCTION("""COMPUTED_VALUE"""),179)</f>
        <v>179</v>
      </c>
      <c r="AD205" s="1">
        <f ca="1">IFERROR(__xludf.DUMMYFUNCTION("""COMPUTED_VALUE"""),75)</f>
        <v>75</v>
      </c>
      <c r="AE205" s="1">
        <f ca="1">IFERROR(__xludf.DUMMYFUNCTION("""COMPUTED_VALUE"""),373)</f>
        <v>373</v>
      </c>
      <c r="AF205" s="1">
        <f ca="1">IFERROR(__xludf.DUMMYFUNCTION("""COMPUTED_VALUE"""),578)</f>
        <v>578</v>
      </c>
    </row>
    <row r="206" spans="1:32" ht="12.5" x14ac:dyDescent="0.25">
      <c r="A206" s="1" t="str">
        <f ca="1">IFERROR(__xludf.DUMMYFUNCTION("""COMPUTED_VALUE"""),"Montana")</f>
        <v>Montana</v>
      </c>
      <c r="B206" s="1">
        <f ca="1">IFERROR(__xludf.DUMMYFUNCTION("""COMPUTED_VALUE"""),32)</f>
        <v>32</v>
      </c>
      <c r="C206" s="1">
        <f ca="1">IFERROR(__xludf.DUMMYFUNCTION("""COMPUTED_VALUE"""),21)</f>
        <v>21</v>
      </c>
      <c r="D206" s="1">
        <f ca="1">IFERROR(__xludf.DUMMYFUNCTION("""COMPUTED_VALUE"""),11)</f>
        <v>11</v>
      </c>
      <c r="E206" s="1">
        <f ca="1">IFERROR(__xludf.DUMMYFUNCTION("""COMPUTED_VALUE"""),0.656)</f>
        <v>0.65600000000000003</v>
      </c>
      <c r="F206" s="1">
        <f ca="1">IFERROR(__xludf.DUMMYFUNCTION("""COMPUTED_VALUE"""),2.17)</f>
        <v>2.17</v>
      </c>
      <c r="G206" s="1">
        <f ca="1">IFERROR(__xludf.DUMMYFUNCTION("""COMPUTED_VALUE"""),-2.47)</f>
        <v>-2.4700000000000002</v>
      </c>
      <c r="H206" s="1">
        <f ca="1">IFERROR(__xludf.DUMMYFUNCTION("""COMPUTED_VALUE"""),12)</f>
        <v>12</v>
      </c>
      <c r="I206" s="1">
        <f ca="1">IFERROR(__xludf.DUMMYFUNCTION("""COMPUTED_VALUE"""),4)</f>
        <v>4</v>
      </c>
      <c r="J206" s="1">
        <f ca="1">IFERROR(__xludf.DUMMYFUNCTION("""COMPUTED_VALUE"""),13)</f>
        <v>13</v>
      </c>
      <c r="K206" s="1">
        <f ca="1">IFERROR(__xludf.DUMMYFUNCTION("""COMPUTED_VALUE"""),2)</f>
        <v>2</v>
      </c>
      <c r="L206" s="1">
        <f ca="1">IFERROR(__xludf.DUMMYFUNCTION("""COMPUTED_VALUE"""),7)</f>
        <v>7</v>
      </c>
      <c r="M206" s="1">
        <f ca="1">IFERROR(__xludf.DUMMYFUNCTION("""COMPUTED_VALUE"""),9)</f>
        <v>9</v>
      </c>
      <c r="N206" s="1">
        <f ca="1">IFERROR(__xludf.DUMMYFUNCTION("""COMPUTED_VALUE"""),2151)</f>
        <v>2151</v>
      </c>
      <c r="O206" s="1">
        <f ca="1">IFERROR(__xludf.DUMMYFUNCTION("""COMPUTED_VALUE"""),1950)</f>
        <v>1950</v>
      </c>
      <c r="P206" s="1">
        <f ca="1">IFERROR(__xludf.DUMMYFUNCTION("""COMPUTED_VALUE"""),1290)</f>
        <v>1290</v>
      </c>
      <c r="Q206" s="1">
        <f ca="1">IFERROR(__xludf.DUMMYFUNCTION("""COMPUTED_VALUE"""),766)</f>
        <v>766</v>
      </c>
      <c r="R206" s="1">
        <f ca="1">IFERROR(__xludf.DUMMYFUNCTION("""COMPUTED_VALUE"""),1657)</f>
        <v>1657</v>
      </c>
      <c r="S206" s="1">
        <f ca="1">IFERROR(__xludf.DUMMYFUNCTION("""COMPUTED_VALUE"""),0.462)</f>
        <v>0.46200000000000002</v>
      </c>
      <c r="T206" s="1">
        <f ca="1">IFERROR(__xludf.DUMMYFUNCTION("""COMPUTED_VALUE"""),148)</f>
        <v>148</v>
      </c>
      <c r="U206" s="1">
        <f ca="1">IFERROR(__xludf.DUMMYFUNCTION("""COMPUTED_VALUE"""),474)</f>
        <v>474</v>
      </c>
      <c r="V206" s="1">
        <f ca="1">IFERROR(__xludf.DUMMYFUNCTION("""COMPUTED_VALUE"""),0.312)</f>
        <v>0.312</v>
      </c>
      <c r="W206" s="1">
        <f ca="1">IFERROR(__xludf.DUMMYFUNCTION("""COMPUTED_VALUE"""),471)</f>
        <v>471</v>
      </c>
      <c r="X206" s="1">
        <f ca="1">IFERROR(__xludf.DUMMYFUNCTION("""COMPUTED_VALUE"""),705)</f>
        <v>705</v>
      </c>
      <c r="Y206" s="1">
        <f ca="1">IFERROR(__xludf.DUMMYFUNCTION("""COMPUTED_VALUE"""),0.668)</f>
        <v>0.66800000000000004</v>
      </c>
      <c r="Z206" s="1">
        <f ca="1">IFERROR(__xludf.DUMMYFUNCTION("""COMPUTED_VALUE"""),325)</f>
        <v>325</v>
      </c>
      <c r="AA206" s="1">
        <f ca="1">IFERROR(__xludf.DUMMYFUNCTION("""COMPUTED_VALUE"""),1111)</f>
        <v>1111</v>
      </c>
      <c r="AB206" s="1">
        <f ca="1">IFERROR(__xludf.DUMMYFUNCTION("""COMPUTED_VALUE"""),421)</f>
        <v>421</v>
      </c>
      <c r="AC206" s="1">
        <f ca="1">IFERROR(__xludf.DUMMYFUNCTION("""COMPUTED_VALUE"""),219)</f>
        <v>219</v>
      </c>
      <c r="AD206" s="1">
        <f ca="1">IFERROR(__xludf.DUMMYFUNCTION("""COMPUTED_VALUE"""),153)</f>
        <v>153</v>
      </c>
      <c r="AE206" s="1">
        <f ca="1">IFERROR(__xludf.DUMMYFUNCTION("""COMPUTED_VALUE"""),402)</f>
        <v>402</v>
      </c>
      <c r="AF206" s="1">
        <f ca="1">IFERROR(__xludf.DUMMYFUNCTION("""COMPUTED_VALUE"""),553)</f>
        <v>553</v>
      </c>
    </row>
    <row r="207" spans="1:32" ht="12.5" x14ac:dyDescent="0.25">
      <c r="A207" s="1" t="str">
        <f ca="1">IFERROR(__xludf.DUMMYFUNCTION("""COMPUTED_VALUE"""),"Morehead StateNCAA")</f>
        <v>Morehead StateNCAA</v>
      </c>
      <c r="B207" s="1">
        <f ca="1">IFERROR(__xludf.DUMMYFUNCTION("""COMPUTED_VALUE"""),35)</f>
        <v>35</v>
      </c>
      <c r="C207" s="1">
        <f ca="1">IFERROR(__xludf.DUMMYFUNCTION("""COMPUTED_VALUE"""),25)</f>
        <v>25</v>
      </c>
      <c r="D207" s="1">
        <f ca="1">IFERROR(__xludf.DUMMYFUNCTION("""COMPUTED_VALUE"""),10)</f>
        <v>10</v>
      </c>
      <c r="E207" s="1">
        <f ca="1">IFERROR(__xludf.DUMMYFUNCTION("""COMPUTED_VALUE"""),0.714)</f>
        <v>0.71399999999999997</v>
      </c>
      <c r="F207" s="1">
        <f ca="1">IFERROR(__xludf.DUMMYFUNCTION("""COMPUTED_VALUE"""),2.81)</f>
        <v>2.81</v>
      </c>
      <c r="G207" s="1">
        <f ca="1">IFERROR(__xludf.DUMMYFUNCTION("""COMPUTED_VALUE"""),-3.13)</f>
        <v>-3.13</v>
      </c>
      <c r="H207" s="1">
        <f ca="1">IFERROR(__xludf.DUMMYFUNCTION("""COMPUTED_VALUE"""),13)</f>
        <v>13</v>
      </c>
      <c r="I207" s="1">
        <f ca="1">IFERROR(__xludf.DUMMYFUNCTION("""COMPUTED_VALUE"""),5)</f>
        <v>5</v>
      </c>
      <c r="J207" s="1">
        <f ca="1">IFERROR(__xludf.DUMMYFUNCTION("""COMPUTED_VALUE"""),14)</f>
        <v>14</v>
      </c>
      <c r="K207" s="1">
        <f ca="1">IFERROR(__xludf.DUMMYFUNCTION("""COMPUTED_VALUE"""),1)</f>
        <v>1</v>
      </c>
      <c r="L207" s="1">
        <f ca="1">IFERROR(__xludf.DUMMYFUNCTION("""COMPUTED_VALUE"""),8)</f>
        <v>8</v>
      </c>
      <c r="M207" s="1">
        <f ca="1">IFERROR(__xludf.DUMMYFUNCTION("""COMPUTED_VALUE"""),8)</f>
        <v>8</v>
      </c>
      <c r="N207" s="1">
        <f ca="1">IFERROR(__xludf.DUMMYFUNCTION("""COMPUTED_VALUE"""),2412)</f>
        <v>2412</v>
      </c>
      <c r="O207" s="1">
        <f ca="1">IFERROR(__xludf.DUMMYFUNCTION("""COMPUTED_VALUE"""),2162)</f>
        <v>2162</v>
      </c>
      <c r="P207" s="1">
        <f ca="1">IFERROR(__xludf.DUMMYFUNCTION("""COMPUTED_VALUE"""),1414)</f>
        <v>1414</v>
      </c>
      <c r="Q207" s="1">
        <f ca="1">IFERROR(__xludf.DUMMYFUNCTION("""COMPUTED_VALUE"""),851)</f>
        <v>851</v>
      </c>
      <c r="R207" s="1">
        <f ca="1">IFERROR(__xludf.DUMMYFUNCTION("""COMPUTED_VALUE"""),1874)</f>
        <v>1874</v>
      </c>
      <c r="S207" s="1">
        <f ca="1">IFERROR(__xludf.DUMMYFUNCTION("""COMPUTED_VALUE"""),0.454)</f>
        <v>0.45400000000000001</v>
      </c>
      <c r="T207" s="1">
        <f ca="1">IFERROR(__xludf.DUMMYFUNCTION("""COMPUTED_VALUE"""),204)</f>
        <v>204</v>
      </c>
      <c r="U207" s="1">
        <f ca="1">IFERROR(__xludf.DUMMYFUNCTION("""COMPUTED_VALUE"""),601)</f>
        <v>601</v>
      </c>
      <c r="V207" s="1">
        <f ca="1">IFERROR(__xludf.DUMMYFUNCTION("""COMPUTED_VALUE"""),0.339)</f>
        <v>0.33900000000000002</v>
      </c>
      <c r="W207" s="1">
        <f ca="1">IFERROR(__xludf.DUMMYFUNCTION("""COMPUTED_VALUE"""),506)</f>
        <v>506</v>
      </c>
      <c r="X207" s="1">
        <f ca="1">IFERROR(__xludf.DUMMYFUNCTION("""COMPUTED_VALUE"""),751)</f>
        <v>751</v>
      </c>
      <c r="Y207" s="1">
        <f ca="1">IFERROR(__xludf.DUMMYFUNCTION("""COMPUTED_VALUE"""),0.674)</f>
        <v>0.67400000000000004</v>
      </c>
      <c r="Z207" s="1">
        <f ca="1">IFERROR(__xludf.DUMMYFUNCTION("""COMPUTED_VALUE"""),484)</f>
        <v>484</v>
      </c>
      <c r="AA207" s="1">
        <f ca="1">IFERROR(__xludf.DUMMYFUNCTION("""COMPUTED_VALUE"""),1311)</f>
        <v>1311</v>
      </c>
      <c r="AB207" s="1">
        <f ca="1">IFERROR(__xludf.DUMMYFUNCTION("""COMPUTED_VALUE"""),424)</f>
        <v>424</v>
      </c>
      <c r="AC207" s="1">
        <f ca="1">IFERROR(__xludf.DUMMYFUNCTION("""COMPUTED_VALUE"""),300)</f>
        <v>300</v>
      </c>
      <c r="AD207" s="1">
        <f ca="1">IFERROR(__xludf.DUMMYFUNCTION("""COMPUTED_VALUE"""),110)</f>
        <v>110</v>
      </c>
      <c r="AE207" s="1">
        <f ca="1">IFERROR(__xludf.DUMMYFUNCTION("""COMPUTED_VALUE"""),525)</f>
        <v>525</v>
      </c>
      <c r="AF207" s="1">
        <f ca="1">IFERROR(__xludf.DUMMYFUNCTION("""COMPUTED_VALUE"""),653)</f>
        <v>653</v>
      </c>
    </row>
    <row r="208" spans="1:32" ht="12.5" x14ac:dyDescent="0.25">
      <c r="A208" s="1" t="str">
        <f ca="1">IFERROR(__xludf.DUMMYFUNCTION("""COMPUTED_VALUE"""),"Morgan State")</f>
        <v>Morgan State</v>
      </c>
      <c r="B208" s="1">
        <f ca="1">IFERROR(__xludf.DUMMYFUNCTION("""COMPUTED_VALUE"""),31)</f>
        <v>31</v>
      </c>
      <c r="C208" s="1">
        <f ca="1">IFERROR(__xludf.DUMMYFUNCTION("""COMPUTED_VALUE"""),17)</f>
        <v>17</v>
      </c>
      <c r="D208" s="1">
        <f ca="1">IFERROR(__xludf.DUMMYFUNCTION("""COMPUTED_VALUE"""),14)</f>
        <v>14</v>
      </c>
      <c r="E208" s="1">
        <f ca="1">IFERROR(__xludf.DUMMYFUNCTION("""COMPUTED_VALUE"""),0.548)</f>
        <v>0.54800000000000004</v>
      </c>
      <c r="F208" s="1">
        <f ca="1">IFERROR(__xludf.DUMMYFUNCTION("""COMPUTED_VALUE"""),-8.04)</f>
        <v>-8.0399999999999991</v>
      </c>
      <c r="G208" s="1">
        <f ca="1">IFERROR(__xludf.DUMMYFUNCTION("""COMPUTED_VALUE"""),-7.72)</f>
        <v>-7.72</v>
      </c>
      <c r="H208" s="1">
        <f ca="1">IFERROR(__xludf.DUMMYFUNCTION("""COMPUTED_VALUE"""),10)</f>
        <v>10</v>
      </c>
      <c r="I208" s="1">
        <f ca="1">IFERROR(__xludf.DUMMYFUNCTION("""COMPUTED_VALUE"""),6)</f>
        <v>6</v>
      </c>
      <c r="J208" s="1">
        <f ca="1">IFERROR(__xludf.DUMMYFUNCTION("""COMPUTED_VALUE"""),10)</f>
        <v>10</v>
      </c>
      <c r="K208" s="1">
        <f ca="1">IFERROR(__xludf.DUMMYFUNCTION("""COMPUTED_VALUE"""),2)</f>
        <v>2</v>
      </c>
      <c r="L208" s="1">
        <f ca="1">IFERROR(__xludf.DUMMYFUNCTION("""COMPUTED_VALUE"""),4)</f>
        <v>4</v>
      </c>
      <c r="M208" s="1">
        <f ca="1">IFERROR(__xludf.DUMMYFUNCTION("""COMPUTED_VALUE"""),10)</f>
        <v>10</v>
      </c>
      <c r="N208" s="1">
        <f ca="1">IFERROR(__xludf.DUMMYFUNCTION("""COMPUTED_VALUE"""),2061)</f>
        <v>2061</v>
      </c>
      <c r="O208" s="1">
        <f ca="1">IFERROR(__xludf.DUMMYFUNCTION("""COMPUTED_VALUE"""),2071)</f>
        <v>2071</v>
      </c>
      <c r="P208" s="1">
        <f ca="1">IFERROR(__xludf.DUMMYFUNCTION("""COMPUTED_VALUE"""),1240)</f>
        <v>1240</v>
      </c>
      <c r="Q208" s="1">
        <f ca="1">IFERROR(__xludf.DUMMYFUNCTION("""COMPUTED_VALUE"""),708)</f>
        <v>708</v>
      </c>
      <c r="R208" s="1">
        <f ca="1">IFERROR(__xludf.DUMMYFUNCTION("""COMPUTED_VALUE"""),1687)</f>
        <v>1687</v>
      </c>
      <c r="S208" s="1">
        <f ca="1">IFERROR(__xludf.DUMMYFUNCTION("""COMPUTED_VALUE"""),0.42)</f>
        <v>0.42</v>
      </c>
      <c r="T208" s="1">
        <f ca="1">IFERROR(__xludf.DUMMYFUNCTION("""COMPUTED_VALUE"""),123)</f>
        <v>123</v>
      </c>
      <c r="U208" s="1">
        <f ca="1">IFERROR(__xludf.DUMMYFUNCTION("""COMPUTED_VALUE"""),416)</f>
        <v>416</v>
      </c>
      <c r="V208" s="1">
        <f ca="1">IFERROR(__xludf.DUMMYFUNCTION("""COMPUTED_VALUE"""),0.296)</f>
        <v>0.29599999999999999</v>
      </c>
      <c r="W208" s="1">
        <f ca="1">IFERROR(__xludf.DUMMYFUNCTION("""COMPUTED_VALUE"""),522)</f>
        <v>522</v>
      </c>
      <c r="X208" s="1">
        <f ca="1">IFERROR(__xludf.DUMMYFUNCTION("""COMPUTED_VALUE"""),766)</f>
        <v>766</v>
      </c>
      <c r="Y208" s="1">
        <f ca="1">IFERROR(__xludf.DUMMYFUNCTION("""COMPUTED_VALUE"""),0.681)</f>
        <v>0.68100000000000005</v>
      </c>
      <c r="Z208" s="1">
        <f ca="1">IFERROR(__xludf.DUMMYFUNCTION("""COMPUTED_VALUE"""),405)</f>
        <v>405</v>
      </c>
      <c r="AA208" s="1">
        <f ca="1">IFERROR(__xludf.DUMMYFUNCTION("""COMPUTED_VALUE"""),1139)</f>
        <v>1139</v>
      </c>
      <c r="AB208" s="1">
        <f ca="1">IFERROR(__xludf.DUMMYFUNCTION("""COMPUTED_VALUE"""),372)</f>
        <v>372</v>
      </c>
      <c r="AC208" s="1">
        <f ca="1">IFERROR(__xludf.DUMMYFUNCTION("""COMPUTED_VALUE"""),192)</f>
        <v>192</v>
      </c>
      <c r="AD208" s="1">
        <f ca="1">IFERROR(__xludf.DUMMYFUNCTION("""COMPUTED_VALUE"""),118)</f>
        <v>118</v>
      </c>
      <c r="AE208" s="1">
        <f ca="1">IFERROR(__xludf.DUMMYFUNCTION("""COMPUTED_VALUE"""),470)</f>
        <v>470</v>
      </c>
      <c r="AF208" s="1">
        <f ca="1">IFERROR(__xludf.DUMMYFUNCTION("""COMPUTED_VALUE"""),625)</f>
        <v>625</v>
      </c>
    </row>
    <row r="209" spans="1:32" ht="12.5" x14ac:dyDescent="0.25">
      <c r="A209" s="1" t="str">
        <f ca="1">IFERROR(__xludf.DUMMYFUNCTION("""COMPUTED_VALUE"""),"Mount St. Mary's")</f>
        <v>Mount St. Mary's</v>
      </c>
      <c r="B209" s="1">
        <f ca="1">IFERROR(__xludf.DUMMYFUNCTION("""COMPUTED_VALUE"""),32)</f>
        <v>32</v>
      </c>
      <c r="C209" s="1">
        <f ca="1">IFERROR(__xludf.DUMMYFUNCTION("""COMPUTED_VALUE"""),11)</f>
        <v>11</v>
      </c>
      <c r="D209" s="1">
        <f ca="1">IFERROR(__xludf.DUMMYFUNCTION("""COMPUTED_VALUE"""),21)</f>
        <v>21</v>
      </c>
      <c r="E209" s="1">
        <f ca="1">IFERROR(__xludf.DUMMYFUNCTION("""COMPUTED_VALUE"""),0.344)</f>
        <v>0.34399999999999997</v>
      </c>
      <c r="F209" s="1">
        <f ca="1">IFERROR(__xludf.DUMMYFUNCTION("""COMPUTED_VALUE"""),-9.22)</f>
        <v>-9.2200000000000006</v>
      </c>
      <c r="G209" s="1">
        <f ca="1">IFERROR(__xludf.DUMMYFUNCTION("""COMPUTED_VALUE"""),-3.47)</f>
        <v>-3.47</v>
      </c>
      <c r="H209" s="1">
        <f ca="1">IFERROR(__xludf.DUMMYFUNCTION("""COMPUTED_VALUE"""),9)</f>
        <v>9</v>
      </c>
      <c r="I209" s="1">
        <f ca="1">IFERROR(__xludf.DUMMYFUNCTION("""COMPUTED_VALUE"""),9)</f>
        <v>9</v>
      </c>
      <c r="J209" s="1">
        <f ca="1">IFERROR(__xludf.DUMMYFUNCTION("""COMPUTED_VALUE"""),8)</f>
        <v>8</v>
      </c>
      <c r="K209" s="1">
        <f ca="1">IFERROR(__xludf.DUMMYFUNCTION("""COMPUTED_VALUE"""),5)</f>
        <v>5</v>
      </c>
      <c r="L209" s="1">
        <f ca="1">IFERROR(__xludf.DUMMYFUNCTION("""COMPUTED_VALUE"""),3)</f>
        <v>3</v>
      </c>
      <c r="M209" s="1">
        <f ca="1">IFERROR(__xludf.DUMMYFUNCTION("""COMPUTED_VALUE"""),16)</f>
        <v>16</v>
      </c>
      <c r="N209" s="1">
        <f ca="1">IFERROR(__xludf.DUMMYFUNCTION("""COMPUTED_VALUE"""),1940)</f>
        <v>1940</v>
      </c>
      <c r="O209" s="1">
        <f ca="1">IFERROR(__xludf.DUMMYFUNCTION("""COMPUTED_VALUE"""),2124)</f>
        <v>2124</v>
      </c>
      <c r="P209" s="1">
        <f ca="1">IFERROR(__xludf.DUMMYFUNCTION("""COMPUTED_VALUE"""),1290)</f>
        <v>1290</v>
      </c>
      <c r="Q209" s="1">
        <f ca="1">IFERROR(__xludf.DUMMYFUNCTION("""COMPUTED_VALUE"""),689)</f>
        <v>689</v>
      </c>
      <c r="R209" s="1">
        <f ca="1">IFERROR(__xludf.DUMMYFUNCTION("""COMPUTED_VALUE"""),1645)</f>
        <v>1645</v>
      </c>
      <c r="S209" s="1">
        <f ca="1">IFERROR(__xludf.DUMMYFUNCTION("""COMPUTED_VALUE"""),0.419)</f>
        <v>0.41899999999999998</v>
      </c>
      <c r="T209" s="1">
        <f ca="1">IFERROR(__xludf.DUMMYFUNCTION("""COMPUTED_VALUE"""),150)</f>
        <v>150</v>
      </c>
      <c r="U209" s="1">
        <f ca="1">IFERROR(__xludf.DUMMYFUNCTION("""COMPUTED_VALUE"""),462)</f>
        <v>462</v>
      </c>
      <c r="V209" s="1">
        <f ca="1">IFERROR(__xludf.DUMMYFUNCTION("""COMPUTED_VALUE"""),0.325)</f>
        <v>0.32500000000000001</v>
      </c>
      <c r="W209" s="1">
        <f ca="1">IFERROR(__xludf.DUMMYFUNCTION("""COMPUTED_VALUE"""),412)</f>
        <v>412</v>
      </c>
      <c r="X209" s="1">
        <f ca="1">IFERROR(__xludf.DUMMYFUNCTION("""COMPUTED_VALUE"""),606)</f>
        <v>606</v>
      </c>
      <c r="Y209" s="1">
        <f ca="1">IFERROR(__xludf.DUMMYFUNCTION("""COMPUTED_VALUE"""),0.68)</f>
        <v>0.68</v>
      </c>
      <c r="Z209" s="1">
        <f ca="1">IFERROR(__xludf.DUMMYFUNCTION("""COMPUTED_VALUE"""),305)</f>
        <v>305</v>
      </c>
      <c r="AA209" s="1">
        <f ca="1">IFERROR(__xludf.DUMMYFUNCTION("""COMPUTED_VALUE"""),1024)</f>
        <v>1024</v>
      </c>
      <c r="AB209" s="1">
        <f ca="1">IFERROR(__xludf.DUMMYFUNCTION("""COMPUTED_VALUE"""),378)</f>
        <v>378</v>
      </c>
      <c r="AC209" s="1">
        <f ca="1">IFERROR(__xludf.DUMMYFUNCTION("""COMPUTED_VALUE"""),187)</f>
        <v>187</v>
      </c>
      <c r="AD209" s="1">
        <f ca="1">IFERROR(__xludf.DUMMYFUNCTION("""COMPUTED_VALUE"""),112)</f>
        <v>112</v>
      </c>
      <c r="AE209" s="1">
        <f ca="1">IFERROR(__xludf.DUMMYFUNCTION("""COMPUTED_VALUE"""),476)</f>
        <v>476</v>
      </c>
      <c r="AF209" s="1">
        <f ca="1">IFERROR(__xludf.DUMMYFUNCTION("""COMPUTED_VALUE"""),616)</f>
        <v>616</v>
      </c>
    </row>
    <row r="210" spans="1:32" ht="12.5" x14ac:dyDescent="0.25">
      <c r="A210" s="1" t="str">
        <f ca="1">IFERROR(__xludf.DUMMYFUNCTION("""COMPUTED_VALUE"""),"Murray State")</f>
        <v>Murray State</v>
      </c>
      <c r="B210" s="1">
        <f ca="1">IFERROR(__xludf.DUMMYFUNCTION("""COMPUTED_VALUE"""),32)</f>
        <v>32</v>
      </c>
      <c r="C210" s="1">
        <f ca="1">IFERROR(__xludf.DUMMYFUNCTION("""COMPUTED_VALUE"""),23)</f>
        <v>23</v>
      </c>
      <c r="D210" s="1">
        <f ca="1">IFERROR(__xludf.DUMMYFUNCTION("""COMPUTED_VALUE"""),9)</f>
        <v>9</v>
      </c>
      <c r="E210" s="1">
        <f ca="1">IFERROR(__xludf.DUMMYFUNCTION("""COMPUTED_VALUE"""),0.719)</f>
        <v>0.71899999999999997</v>
      </c>
      <c r="F210" s="1">
        <f ca="1">IFERROR(__xludf.DUMMYFUNCTION("""COMPUTED_VALUE"""),0.45)</f>
        <v>0.45</v>
      </c>
      <c r="G210" s="1">
        <f ca="1">IFERROR(__xludf.DUMMYFUNCTION("""COMPUTED_VALUE"""),-4.85)</f>
        <v>-4.8499999999999996</v>
      </c>
      <c r="H210" s="1">
        <f ca="1">IFERROR(__xludf.DUMMYFUNCTION("""COMPUTED_VALUE"""),14)</f>
        <v>14</v>
      </c>
      <c r="I210" s="1">
        <f ca="1">IFERROR(__xludf.DUMMYFUNCTION("""COMPUTED_VALUE"""),4)</f>
        <v>4</v>
      </c>
      <c r="J210" s="1">
        <f ca="1">IFERROR(__xludf.DUMMYFUNCTION("""COMPUTED_VALUE"""),13)</f>
        <v>13</v>
      </c>
      <c r="K210" s="1">
        <f ca="1">IFERROR(__xludf.DUMMYFUNCTION("""COMPUTED_VALUE"""),2)</f>
        <v>2</v>
      </c>
      <c r="L210" s="1">
        <f ca="1">IFERROR(__xludf.DUMMYFUNCTION("""COMPUTED_VALUE"""),9)</f>
        <v>9</v>
      </c>
      <c r="M210" s="1">
        <f ca="1">IFERROR(__xludf.DUMMYFUNCTION("""COMPUTED_VALUE"""),4)</f>
        <v>4</v>
      </c>
      <c r="N210" s="1">
        <f ca="1">IFERROR(__xludf.DUMMYFUNCTION("""COMPUTED_VALUE"""),2194)</f>
        <v>2194</v>
      </c>
      <c r="O210" s="1">
        <f ca="1">IFERROR(__xludf.DUMMYFUNCTION("""COMPUTED_VALUE"""),1979)</f>
        <v>1979</v>
      </c>
      <c r="P210" s="1">
        <f ca="1">IFERROR(__xludf.DUMMYFUNCTION("""COMPUTED_VALUE"""),1280)</f>
        <v>1280</v>
      </c>
      <c r="Q210" s="1">
        <f ca="1">IFERROR(__xludf.DUMMYFUNCTION("""COMPUTED_VALUE"""),737)</f>
        <v>737</v>
      </c>
      <c r="R210" s="1">
        <f ca="1">IFERROR(__xludf.DUMMYFUNCTION("""COMPUTED_VALUE"""),1606)</f>
        <v>1606</v>
      </c>
      <c r="S210" s="1">
        <f ca="1">IFERROR(__xludf.DUMMYFUNCTION("""COMPUTED_VALUE"""),0.459)</f>
        <v>0.45900000000000002</v>
      </c>
      <c r="T210" s="1">
        <f ca="1">IFERROR(__xludf.DUMMYFUNCTION("""COMPUTED_VALUE"""),192)</f>
        <v>192</v>
      </c>
      <c r="U210" s="1">
        <f ca="1">IFERROR(__xludf.DUMMYFUNCTION("""COMPUTED_VALUE"""),506)</f>
        <v>506</v>
      </c>
      <c r="V210" s="1">
        <f ca="1">IFERROR(__xludf.DUMMYFUNCTION("""COMPUTED_VALUE"""),0.379)</f>
        <v>0.379</v>
      </c>
      <c r="W210" s="1">
        <f ca="1">IFERROR(__xludf.DUMMYFUNCTION("""COMPUTED_VALUE"""),528)</f>
        <v>528</v>
      </c>
      <c r="X210" s="1">
        <f ca="1">IFERROR(__xludf.DUMMYFUNCTION("""COMPUTED_VALUE"""),755)</f>
        <v>755</v>
      </c>
      <c r="Y210" s="1">
        <f ca="1">IFERROR(__xludf.DUMMYFUNCTION("""COMPUTED_VALUE"""),0.699)</f>
        <v>0.69899999999999995</v>
      </c>
      <c r="Z210" s="1">
        <f ca="1">IFERROR(__xludf.DUMMYFUNCTION("""COMPUTED_VALUE"""),347)</f>
        <v>347</v>
      </c>
      <c r="AA210" s="1">
        <f ca="1">IFERROR(__xludf.DUMMYFUNCTION("""COMPUTED_VALUE"""),1031)</f>
        <v>1031</v>
      </c>
      <c r="AB210" s="1">
        <f ca="1">IFERROR(__xludf.DUMMYFUNCTION("""COMPUTED_VALUE"""),433)</f>
        <v>433</v>
      </c>
      <c r="AC210" s="1">
        <f ca="1">IFERROR(__xludf.DUMMYFUNCTION("""COMPUTED_VALUE"""),242)</f>
        <v>242</v>
      </c>
      <c r="AD210" s="1">
        <f ca="1">IFERROR(__xludf.DUMMYFUNCTION("""COMPUTED_VALUE"""),93)</f>
        <v>93</v>
      </c>
      <c r="AE210" s="1">
        <f ca="1">IFERROR(__xludf.DUMMYFUNCTION("""COMPUTED_VALUE"""),448)</f>
        <v>448</v>
      </c>
      <c r="AF210" s="1">
        <f ca="1">IFERROR(__xludf.DUMMYFUNCTION("""COMPUTED_VALUE"""),596)</f>
        <v>596</v>
      </c>
    </row>
    <row r="211" spans="1:32" ht="12.5" x14ac:dyDescent="0.25">
      <c r="A211" s="1" t="str">
        <f ca="1">IFERROR(__xludf.DUMMYFUNCTION("""COMPUTED_VALUE"""),"Navy")</f>
        <v>Navy</v>
      </c>
      <c r="B211" s="1">
        <f ca="1">IFERROR(__xludf.DUMMYFUNCTION("""COMPUTED_VALUE"""),31)</f>
        <v>31</v>
      </c>
      <c r="C211" s="1">
        <f ca="1">IFERROR(__xludf.DUMMYFUNCTION("""COMPUTED_VALUE"""),11)</f>
        <v>11</v>
      </c>
      <c r="D211" s="1">
        <f ca="1">IFERROR(__xludf.DUMMYFUNCTION("""COMPUTED_VALUE"""),20)</f>
        <v>20</v>
      </c>
      <c r="E211" s="1">
        <f ca="1">IFERROR(__xludf.DUMMYFUNCTION("""COMPUTED_VALUE"""),0.355)</f>
        <v>0.35499999999999998</v>
      </c>
      <c r="F211" s="1">
        <f ca="1">IFERROR(__xludf.DUMMYFUNCTION("""COMPUTED_VALUE"""),-10.66)</f>
        <v>-10.66</v>
      </c>
      <c r="G211" s="1">
        <f ca="1">IFERROR(__xludf.DUMMYFUNCTION("""COMPUTED_VALUE"""),-5.56)</f>
        <v>-5.56</v>
      </c>
      <c r="H211" s="1">
        <f ca="1">IFERROR(__xludf.DUMMYFUNCTION("""COMPUTED_VALUE"""),6)</f>
        <v>6</v>
      </c>
      <c r="I211" s="1">
        <f ca="1">IFERROR(__xludf.DUMMYFUNCTION("""COMPUTED_VALUE"""),8)</f>
        <v>8</v>
      </c>
      <c r="J211" s="1">
        <f ca="1">IFERROR(__xludf.DUMMYFUNCTION("""COMPUTED_VALUE"""),6)</f>
        <v>6</v>
      </c>
      <c r="K211" s="1">
        <f ca="1">IFERROR(__xludf.DUMMYFUNCTION("""COMPUTED_VALUE"""),7)</f>
        <v>7</v>
      </c>
      <c r="L211" s="1">
        <f ca="1">IFERROR(__xludf.DUMMYFUNCTION("""COMPUTED_VALUE"""),4)</f>
        <v>4</v>
      </c>
      <c r="M211" s="1">
        <f ca="1">IFERROR(__xludf.DUMMYFUNCTION("""COMPUTED_VALUE"""),11)</f>
        <v>11</v>
      </c>
      <c r="N211" s="1">
        <f ca="1">IFERROR(__xludf.DUMMYFUNCTION("""COMPUTED_VALUE"""),2113)</f>
        <v>2113</v>
      </c>
      <c r="O211" s="1">
        <f ca="1">IFERROR(__xludf.DUMMYFUNCTION("""COMPUTED_VALUE"""),2254)</f>
        <v>2254</v>
      </c>
      <c r="P211" s="1">
        <f ca="1">IFERROR(__xludf.DUMMYFUNCTION("""COMPUTED_VALUE"""),1255)</f>
        <v>1255</v>
      </c>
      <c r="Q211" s="1">
        <f ca="1">IFERROR(__xludf.DUMMYFUNCTION("""COMPUTED_VALUE"""),694)</f>
        <v>694</v>
      </c>
      <c r="R211" s="1">
        <f ca="1">IFERROR(__xludf.DUMMYFUNCTION("""COMPUTED_VALUE"""),1765)</f>
        <v>1765</v>
      </c>
      <c r="S211" s="1">
        <f ca="1">IFERROR(__xludf.DUMMYFUNCTION("""COMPUTED_VALUE"""),0.393)</f>
        <v>0.39300000000000002</v>
      </c>
      <c r="T211" s="1">
        <f ca="1">IFERROR(__xludf.DUMMYFUNCTION("""COMPUTED_VALUE"""),236)</f>
        <v>236</v>
      </c>
      <c r="U211" s="1">
        <f ca="1">IFERROR(__xludf.DUMMYFUNCTION("""COMPUTED_VALUE"""),802)</f>
        <v>802</v>
      </c>
      <c r="V211" s="1">
        <f ca="1">IFERROR(__xludf.DUMMYFUNCTION("""COMPUTED_VALUE"""),0.294)</f>
        <v>0.29399999999999998</v>
      </c>
      <c r="W211" s="1">
        <f ca="1">IFERROR(__xludf.DUMMYFUNCTION("""COMPUTED_VALUE"""),489)</f>
        <v>489</v>
      </c>
      <c r="X211" s="1">
        <f ca="1">IFERROR(__xludf.DUMMYFUNCTION("""COMPUTED_VALUE"""),690)</f>
        <v>690</v>
      </c>
      <c r="Y211" s="1">
        <f ca="1">IFERROR(__xludf.DUMMYFUNCTION("""COMPUTED_VALUE"""),0.709)</f>
        <v>0.70899999999999996</v>
      </c>
      <c r="Z211" s="1">
        <f ca="1">IFERROR(__xludf.DUMMYFUNCTION("""COMPUTED_VALUE"""),269)</f>
        <v>269</v>
      </c>
      <c r="AA211" s="1">
        <f ca="1">IFERROR(__xludf.DUMMYFUNCTION("""COMPUTED_VALUE"""),980)</f>
        <v>980</v>
      </c>
      <c r="AB211" s="1">
        <f ca="1">IFERROR(__xludf.DUMMYFUNCTION("""COMPUTED_VALUE"""),387)</f>
        <v>387</v>
      </c>
      <c r="AC211" s="1">
        <f ca="1">IFERROR(__xludf.DUMMYFUNCTION("""COMPUTED_VALUE"""),284)</f>
        <v>284</v>
      </c>
      <c r="AD211" s="1">
        <f ca="1">IFERROR(__xludf.DUMMYFUNCTION("""COMPUTED_VALUE"""),82)</f>
        <v>82</v>
      </c>
      <c r="AE211" s="1">
        <f ca="1">IFERROR(__xludf.DUMMYFUNCTION("""COMPUTED_VALUE"""),474)</f>
        <v>474</v>
      </c>
      <c r="AF211" s="1">
        <f ca="1">IFERROR(__xludf.DUMMYFUNCTION("""COMPUTED_VALUE"""),648)</f>
        <v>648</v>
      </c>
    </row>
    <row r="212" spans="1:32" ht="12.5" x14ac:dyDescent="0.25">
      <c r="A212" s="1" t="str">
        <f ca="1">IFERROR(__xludf.DUMMYFUNCTION("""COMPUTED_VALUE"""),"Nebraska")</f>
        <v>Nebraska</v>
      </c>
      <c r="B212" s="1">
        <f ca="1">IFERROR(__xludf.DUMMYFUNCTION("""COMPUTED_VALUE"""),32)</f>
        <v>32</v>
      </c>
      <c r="C212" s="1">
        <f ca="1">IFERROR(__xludf.DUMMYFUNCTION("""COMPUTED_VALUE"""),19)</f>
        <v>19</v>
      </c>
      <c r="D212" s="1">
        <f ca="1">IFERROR(__xludf.DUMMYFUNCTION("""COMPUTED_VALUE"""),13)</f>
        <v>13</v>
      </c>
      <c r="E212" s="1">
        <f ca="1">IFERROR(__xludf.DUMMYFUNCTION("""COMPUTED_VALUE"""),0.594)</f>
        <v>0.59399999999999997</v>
      </c>
      <c r="F212" s="1">
        <f ca="1">IFERROR(__xludf.DUMMYFUNCTION("""COMPUTED_VALUE"""),10.54)</f>
        <v>10.54</v>
      </c>
      <c r="G212" s="1">
        <f ca="1">IFERROR(__xludf.DUMMYFUNCTION("""COMPUTED_VALUE"""),4.67)</f>
        <v>4.67</v>
      </c>
      <c r="H212" s="1">
        <f ca="1">IFERROR(__xludf.DUMMYFUNCTION("""COMPUTED_VALUE"""),7)</f>
        <v>7</v>
      </c>
      <c r="I212" s="1">
        <f ca="1">IFERROR(__xludf.DUMMYFUNCTION("""COMPUTED_VALUE"""),9)</f>
        <v>9</v>
      </c>
      <c r="J212" s="1">
        <f ca="1">IFERROR(__xludf.DUMMYFUNCTION("""COMPUTED_VALUE"""),17)</f>
        <v>17</v>
      </c>
      <c r="K212" s="1">
        <f ca="1">IFERROR(__xludf.DUMMYFUNCTION("""COMPUTED_VALUE"""),2)</f>
        <v>2</v>
      </c>
      <c r="L212" s="1">
        <f ca="1">IFERROR(__xludf.DUMMYFUNCTION("""COMPUTED_VALUE"""),1)</f>
        <v>1</v>
      </c>
      <c r="M212" s="1">
        <f ca="1">IFERROR(__xludf.DUMMYFUNCTION("""COMPUTED_VALUE"""),8)</f>
        <v>8</v>
      </c>
      <c r="N212" s="1">
        <f ca="1">IFERROR(__xludf.DUMMYFUNCTION("""COMPUTED_VALUE"""),2124)</f>
        <v>2124</v>
      </c>
      <c r="O212" s="1">
        <f ca="1">IFERROR(__xludf.DUMMYFUNCTION("""COMPUTED_VALUE"""),1936)</f>
        <v>1936</v>
      </c>
      <c r="P212" s="1">
        <f ca="1">IFERROR(__xludf.DUMMYFUNCTION("""COMPUTED_VALUE"""),1287)</f>
        <v>1287</v>
      </c>
      <c r="Q212" s="1">
        <f ca="1">IFERROR(__xludf.DUMMYFUNCTION("""COMPUTED_VALUE"""),773)</f>
        <v>773</v>
      </c>
      <c r="R212" s="1">
        <f ca="1">IFERROR(__xludf.DUMMYFUNCTION("""COMPUTED_VALUE"""),1677)</f>
        <v>1677</v>
      </c>
      <c r="S212" s="1">
        <f ca="1">IFERROR(__xludf.DUMMYFUNCTION("""COMPUTED_VALUE"""),0.461)</f>
        <v>0.46100000000000002</v>
      </c>
      <c r="T212" s="1">
        <f ca="1">IFERROR(__xludf.DUMMYFUNCTION("""COMPUTED_VALUE"""),164)</f>
        <v>164</v>
      </c>
      <c r="U212" s="1">
        <f ca="1">IFERROR(__xludf.DUMMYFUNCTION("""COMPUTED_VALUE"""),522)</f>
        <v>522</v>
      </c>
      <c r="V212" s="1">
        <f ca="1">IFERROR(__xludf.DUMMYFUNCTION("""COMPUTED_VALUE"""),0.314)</f>
        <v>0.314</v>
      </c>
      <c r="W212" s="1">
        <f ca="1">IFERROR(__xludf.DUMMYFUNCTION("""COMPUTED_VALUE"""),414)</f>
        <v>414</v>
      </c>
      <c r="X212" s="1">
        <f ca="1">IFERROR(__xludf.DUMMYFUNCTION("""COMPUTED_VALUE"""),590)</f>
        <v>590</v>
      </c>
      <c r="Y212" s="1">
        <f ca="1">IFERROR(__xludf.DUMMYFUNCTION("""COMPUTED_VALUE"""),0.702)</f>
        <v>0.70199999999999996</v>
      </c>
      <c r="Z212" s="1">
        <f ca="1">IFERROR(__xludf.DUMMYFUNCTION("""COMPUTED_VALUE"""),303)</f>
        <v>303</v>
      </c>
      <c r="AA212" s="1">
        <f ca="1">IFERROR(__xludf.DUMMYFUNCTION("""COMPUTED_VALUE"""),1131)</f>
        <v>1131</v>
      </c>
      <c r="AB212" s="1">
        <f ca="1">IFERROR(__xludf.DUMMYFUNCTION("""COMPUTED_VALUE"""),415)</f>
        <v>415</v>
      </c>
      <c r="AC212" s="1">
        <f ca="1">IFERROR(__xludf.DUMMYFUNCTION("""COMPUTED_VALUE"""),208)</f>
        <v>208</v>
      </c>
      <c r="AD212" s="1">
        <f ca="1">IFERROR(__xludf.DUMMYFUNCTION("""COMPUTED_VALUE"""),115)</f>
        <v>115</v>
      </c>
      <c r="AE212" s="1">
        <f ca="1">IFERROR(__xludf.DUMMYFUNCTION("""COMPUTED_VALUE"""),431)</f>
        <v>431</v>
      </c>
      <c r="AF212" s="1">
        <f ca="1">IFERROR(__xludf.DUMMYFUNCTION("""COMPUTED_VALUE"""),550)</f>
        <v>550</v>
      </c>
    </row>
    <row r="213" spans="1:32" ht="12.5" x14ac:dyDescent="0.25">
      <c r="A213" s="1" t="str">
        <f ca="1">IFERROR(__xludf.DUMMYFUNCTION("""COMPUTED_VALUE"""),"Nevada-Las VegasNCAA")</f>
        <v>Nevada-Las VegasNCAA</v>
      </c>
      <c r="B213" s="1">
        <f ca="1">IFERROR(__xludf.DUMMYFUNCTION("""COMPUTED_VALUE"""),33)</f>
        <v>33</v>
      </c>
      <c r="C213" s="1">
        <f ca="1">IFERROR(__xludf.DUMMYFUNCTION("""COMPUTED_VALUE"""),24)</f>
        <v>24</v>
      </c>
      <c r="D213" s="1">
        <f ca="1">IFERROR(__xludf.DUMMYFUNCTION("""COMPUTED_VALUE"""),9)</f>
        <v>9</v>
      </c>
      <c r="E213" s="1">
        <f ca="1">IFERROR(__xludf.DUMMYFUNCTION("""COMPUTED_VALUE"""),0.727)</f>
        <v>0.72699999999999998</v>
      </c>
      <c r="F213" s="1">
        <f ca="1">IFERROR(__xludf.DUMMYFUNCTION("""COMPUTED_VALUE"""),14.67)</f>
        <v>14.67</v>
      </c>
      <c r="G213" s="1">
        <f ca="1">IFERROR(__xludf.DUMMYFUNCTION("""COMPUTED_VALUE"""),6)</f>
        <v>6</v>
      </c>
      <c r="H213" s="1">
        <f ca="1">IFERROR(__xludf.DUMMYFUNCTION("""COMPUTED_VALUE"""),11)</f>
        <v>11</v>
      </c>
      <c r="I213" s="1">
        <f ca="1">IFERROR(__xludf.DUMMYFUNCTION("""COMPUTED_VALUE"""),5)</f>
        <v>5</v>
      </c>
      <c r="J213" s="1">
        <f ca="1">IFERROR(__xludf.DUMMYFUNCTION("""COMPUTED_VALUE"""),11)</f>
        <v>11</v>
      </c>
      <c r="K213" s="1">
        <f ca="1">IFERROR(__xludf.DUMMYFUNCTION("""COMPUTED_VALUE"""),4)</f>
        <v>4</v>
      </c>
      <c r="L213" s="1">
        <f ca="1">IFERROR(__xludf.DUMMYFUNCTION("""COMPUTED_VALUE"""),8)</f>
        <v>8</v>
      </c>
      <c r="M213" s="1">
        <f ca="1">IFERROR(__xludf.DUMMYFUNCTION("""COMPUTED_VALUE"""),3)</f>
        <v>3</v>
      </c>
      <c r="N213" s="1">
        <f ca="1">IFERROR(__xludf.DUMMYFUNCTION("""COMPUTED_VALUE"""),2363)</f>
        <v>2363</v>
      </c>
      <c r="O213" s="1">
        <f ca="1">IFERROR(__xludf.DUMMYFUNCTION("""COMPUTED_VALUE"""),2077)</f>
        <v>2077</v>
      </c>
      <c r="P213" s="1">
        <f ca="1">IFERROR(__xludf.DUMMYFUNCTION("""COMPUTED_VALUE"""),1325)</f>
        <v>1325</v>
      </c>
      <c r="Q213" s="1">
        <f ca="1">IFERROR(__xludf.DUMMYFUNCTION("""COMPUTED_VALUE"""),842)</f>
        <v>842</v>
      </c>
      <c r="R213" s="1">
        <f ca="1">IFERROR(__xludf.DUMMYFUNCTION("""COMPUTED_VALUE"""),1836)</f>
        <v>1836</v>
      </c>
      <c r="S213" s="1">
        <f ca="1">IFERROR(__xludf.DUMMYFUNCTION("""COMPUTED_VALUE"""),0.459)</f>
        <v>0.45900000000000002</v>
      </c>
      <c r="T213" s="1">
        <f ca="1">IFERROR(__xludf.DUMMYFUNCTION("""COMPUTED_VALUE"""),184)</f>
        <v>184</v>
      </c>
      <c r="U213" s="1">
        <f ca="1">IFERROR(__xludf.DUMMYFUNCTION("""COMPUTED_VALUE"""),558)</f>
        <v>558</v>
      </c>
      <c r="V213" s="1">
        <f ca="1">IFERROR(__xludf.DUMMYFUNCTION("""COMPUTED_VALUE"""),0.33)</f>
        <v>0.33</v>
      </c>
      <c r="W213" s="1">
        <f ca="1">IFERROR(__xludf.DUMMYFUNCTION("""COMPUTED_VALUE"""),495)</f>
        <v>495</v>
      </c>
      <c r="X213" s="1">
        <f ca="1">IFERROR(__xludf.DUMMYFUNCTION("""COMPUTED_VALUE"""),718)</f>
        <v>718</v>
      </c>
      <c r="Y213" s="1">
        <f ca="1">IFERROR(__xludf.DUMMYFUNCTION("""COMPUTED_VALUE"""),0.689)</f>
        <v>0.68899999999999995</v>
      </c>
      <c r="Z213" s="1">
        <f ca="1">IFERROR(__xludf.DUMMYFUNCTION("""COMPUTED_VALUE"""),368)</f>
        <v>368</v>
      </c>
      <c r="AA213" s="1">
        <f ca="1">IFERROR(__xludf.DUMMYFUNCTION("""COMPUTED_VALUE"""),1151)</f>
        <v>1151</v>
      </c>
      <c r="AB213" s="1">
        <f ca="1">IFERROR(__xludf.DUMMYFUNCTION("""COMPUTED_VALUE"""),509)</f>
        <v>509</v>
      </c>
      <c r="AC213" s="1">
        <f ca="1">IFERROR(__xludf.DUMMYFUNCTION("""COMPUTED_VALUE"""),268)</f>
        <v>268</v>
      </c>
      <c r="AD213" s="1">
        <f ca="1">IFERROR(__xludf.DUMMYFUNCTION("""COMPUTED_VALUE"""),124)</f>
        <v>124</v>
      </c>
      <c r="AE213" s="1">
        <f ca="1">IFERROR(__xludf.DUMMYFUNCTION("""COMPUTED_VALUE"""),414)</f>
        <v>414</v>
      </c>
      <c r="AF213" s="1">
        <f ca="1">IFERROR(__xludf.DUMMYFUNCTION("""COMPUTED_VALUE"""),635)</f>
        <v>635</v>
      </c>
    </row>
    <row r="214" spans="1:32" ht="12.5" x14ac:dyDescent="0.25">
      <c r="A214" s="1" t="str">
        <f ca="1">IFERROR(__xludf.DUMMYFUNCTION("""COMPUTED_VALUE"""),"Nevada")</f>
        <v>Nevada</v>
      </c>
      <c r="B214" s="1">
        <f ca="1">IFERROR(__xludf.DUMMYFUNCTION("""COMPUTED_VALUE"""),32)</f>
        <v>32</v>
      </c>
      <c r="C214" s="1">
        <f ca="1">IFERROR(__xludf.DUMMYFUNCTION("""COMPUTED_VALUE"""),13)</f>
        <v>13</v>
      </c>
      <c r="D214" s="1">
        <f ca="1">IFERROR(__xludf.DUMMYFUNCTION("""COMPUTED_VALUE"""),19)</f>
        <v>19</v>
      </c>
      <c r="E214" s="1">
        <f ca="1">IFERROR(__xludf.DUMMYFUNCTION("""COMPUTED_VALUE"""),0.406)</f>
        <v>0.40600000000000003</v>
      </c>
      <c r="F214" s="1">
        <f ca="1">IFERROR(__xludf.DUMMYFUNCTION("""COMPUTED_VALUE"""),0.34)</f>
        <v>0.34</v>
      </c>
      <c r="G214" s="1">
        <f ca="1">IFERROR(__xludf.DUMMYFUNCTION("""COMPUTED_VALUE"""),1.88)</f>
        <v>1.88</v>
      </c>
      <c r="H214" s="1">
        <f ca="1">IFERROR(__xludf.DUMMYFUNCTION("""COMPUTED_VALUE"""),8)</f>
        <v>8</v>
      </c>
      <c r="I214" s="1">
        <f ca="1">IFERROR(__xludf.DUMMYFUNCTION("""COMPUTED_VALUE"""),8)</f>
        <v>8</v>
      </c>
      <c r="J214" s="1">
        <f ca="1">IFERROR(__xludf.DUMMYFUNCTION("""COMPUTED_VALUE"""),9)</f>
        <v>9</v>
      </c>
      <c r="K214" s="1">
        <f ca="1">IFERROR(__xludf.DUMMYFUNCTION("""COMPUTED_VALUE"""),5)</f>
        <v>5</v>
      </c>
      <c r="L214" s="1">
        <f ca="1">IFERROR(__xludf.DUMMYFUNCTION("""COMPUTED_VALUE"""),3)</f>
        <v>3</v>
      </c>
      <c r="M214" s="1">
        <f ca="1">IFERROR(__xludf.DUMMYFUNCTION("""COMPUTED_VALUE"""),10)</f>
        <v>10</v>
      </c>
      <c r="N214" s="1">
        <f ca="1">IFERROR(__xludf.DUMMYFUNCTION("""COMPUTED_VALUE"""),2245)</f>
        <v>2245</v>
      </c>
      <c r="O214" s="1">
        <f ca="1">IFERROR(__xludf.DUMMYFUNCTION("""COMPUTED_VALUE"""),2279)</f>
        <v>2279</v>
      </c>
      <c r="P214" s="1">
        <f ca="1">IFERROR(__xludf.DUMMYFUNCTION("""COMPUTED_VALUE"""),1290)</f>
        <v>1290</v>
      </c>
      <c r="Q214" s="1">
        <f ca="1">IFERROR(__xludf.DUMMYFUNCTION("""COMPUTED_VALUE"""),753)</f>
        <v>753</v>
      </c>
      <c r="R214" s="1">
        <f ca="1">IFERROR(__xludf.DUMMYFUNCTION("""COMPUTED_VALUE"""),1782)</f>
        <v>1782</v>
      </c>
      <c r="S214" s="1">
        <f ca="1">IFERROR(__xludf.DUMMYFUNCTION("""COMPUTED_VALUE"""),0.423)</f>
        <v>0.42299999999999999</v>
      </c>
      <c r="T214" s="1">
        <f ca="1">IFERROR(__xludf.DUMMYFUNCTION("""COMPUTED_VALUE"""),210)</f>
        <v>210</v>
      </c>
      <c r="U214" s="1">
        <f ca="1">IFERROR(__xludf.DUMMYFUNCTION("""COMPUTED_VALUE"""),606)</f>
        <v>606</v>
      </c>
      <c r="V214" s="1">
        <f ca="1">IFERROR(__xludf.DUMMYFUNCTION("""COMPUTED_VALUE"""),0.347)</f>
        <v>0.34699999999999998</v>
      </c>
      <c r="W214" s="1">
        <f ca="1">IFERROR(__xludf.DUMMYFUNCTION("""COMPUTED_VALUE"""),529)</f>
        <v>529</v>
      </c>
      <c r="X214" s="1">
        <f ca="1">IFERROR(__xludf.DUMMYFUNCTION("""COMPUTED_VALUE"""),771)</f>
        <v>771</v>
      </c>
      <c r="Y214" s="1">
        <f ca="1">IFERROR(__xludf.DUMMYFUNCTION("""COMPUTED_VALUE"""),0.686)</f>
        <v>0.68600000000000005</v>
      </c>
      <c r="Z214" s="1">
        <f ca="1">IFERROR(__xludf.DUMMYFUNCTION("""COMPUTED_VALUE"""),390)</f>
        <v>390</v>
      </c>
      <c r="AA214" s="1">
        <f ca="1">IFERROR(__xludf.DUMMYFUNCTION("""COMPUTED_VALUE"""),1178)</f>
        <v>1178</v>
      </c>
      <c r="AB214" s="1">
        <f ca="1">IFERROR(__xludf.DUMMYFUNCTION("""COMPUTED_VALUE"""),356)</f>
        <v>356</v>
      </c>
      <c r="AC214" s="1">
        <f ca="1">IFERROR(__xludf.DUMMYFUNCTION("""COMPUTED_VALUE"""),154)</f>
        <v>154</v>
      </c>
      <c r="AD214" s="1">
        <f ca="1">IFERROR(__xludf.DUMMYFUNCTION("""COMPUTED_VALUE"""),117)</f>
        <v>117</v>
      </c>
      <c r="AE214" s="1">
        <f ca="1">IFERROR(__xludf.DUMMYFUNCTION("""COMPUTED_VALUE"""),459)</f>
        <v>459</v>
      </c>
      <c r="AF214" s="1">
        <f ca="1">IFERROR(__xludf.DUMMYFUNCTION("""COMPUTED_VALUE"""),653)</f>
        <v>653</v>
      </c>
    </row>
    <row r="215" spans="1:32" ht="12.5" x14ac:dyDescent="0.25">
      <c r="A215" s="1" t="str">
        <f ca="1">IFERROR(__xludf.DUMMYFUNCTION("""COMPUTED_VALUE"""),"New Hampshire")</f>
        <v>New Hampshire</v>
      </c>
      <c r="B215" s="1">
        <f ca="1">IFERROR(__xludf.DUMMYFUNCTION("""COMPUTED_VALUE"""),30)</f>
        <v>30</v>
      </c>
      <c r="C215" s="1">
        <f ca="1">IFERROR(__xludf.DUMMYFUNCTION("""COMPUTED_VALUE"""),12)</f>
        <v>12</v>
      </c>
      <c r="D215" s="1">
        <f ca="1">IFERROR(__xludf.DUMMYFUNCTION("""COMPUTED_VALUE"""),18)</f>
        <v>18</v>
      </c>
      <c r="E215" s="1">
        <f ca="1">IFERROR(__xludf.DUMMYFUNCTION("""COMPUTED_VALUE"""),0.4)</f>
        <v>0.4</v>
      </c>
      <c r="F215" s="1">
        <f ca="1">IFERROR(__xludf.DUMMYFUNCTION("""COMPUTED_VALUE"""),-10.07)</f>
        <v>-10.07</v>
      </c>
      <c r="G215" s="1">
        <f ca="1">IFERROR(__xludf.DUMMYFUNCTION("""COMPUTED_VALUE"""),-6.32)</f>
        <v>-6.32</v>
      </c>
      <c r="H215" s="1">
        <f ca="1">IFERROR(__xludf.DUMMYFUNCTION("""COMPUTED_VALUE"""),6)</f>
        <v>6</v>
      </c>
      <c r="I215" s="1">
        <f ca="1">IFERROR(__xludf.DUMMYFUNCTION("""COMPUTED_VALUE"""),10)</f>
        <v>10</v>
      </c>
      <c r="J215" s="1">
        <f ca="1">IFERROR(__xludf.DUMMYFUNCTION("""COMPUTED_VALUE"""),7)</f>
        <v>7</v>
      </c>
      <c r="K215" s="1">
        <f ca="1">IFERROR(__xludf.DUMMYFUNCTION("""COMPUTED_VALUE"""),5)</f>
        <v>5</v>
      </c>
      <c r="L215" s="1">
        <f ca="1">IFERROR(__xludf.DUMMYFUNCTION("""COMPUTED_VALUE"""),4)</f>
        <v>4</v>
      </c>
      <c r="M215" s="1">
        <f ca="1">IFERROR(__xludf.DUMMYFUNCTION("""COMPUTED_VALUE"""),12)</f>
        <v>12</v>
      </c>
      <c r="N215" s="1">
        <f ca="1">IFERROR(__xludf.DUMMYFUNCTION("""COMPUTED_VALUE"""),1749)</f>
        <v>1749</v>
      </c>
      <c r="O215" s="1">
        <f ca="1">IFERROR(__xludf.DUMMYFUNCTION("""COMPUTED_VALUE"""),1826)</f>
        <v>1826</v>
      </c>
      <c r="P215" s="1">
        <f ca="1">IFERROR(__xludf.DUMMYFUNCTION("""COMPUTED_VALUE"""),1215)</f>
        <v>1215</v>
      </c>
      <c r="Q215" s="1">
        <f ca="1">IFERROR(__xludf.DUMMYFUNCTION("""COMPUTED_VALUE"""),609)</f>
        <v>609</v>
      </c>
      <c r="R215" s="1">
        <f ca="1">IFERROR(__xludf.DUMMYFUNCTION("""COMPUTED_VALUE"""),1628)</f>
        <v>1628</v>
      </c>
      <c r="S215" s="1">
        <f ca="1">IFERROR(__xludf.DUMMYFUNCTION("""COMPUTED_VALUE"""),0.374)</f>
        <v>0.374</v>
      </c>
      <c r="T215" s="1">
        <f ca="1">IFERROR(__xludf.DUMMYFUNCTION("""COMPUTED_VALUE"""),191)</f>
        <v>191</v>
      </c>
      <c r="U215" s="1">
        <f ca="1">IFERROR(__xludf.DUMMYFUNCTION("""COMPUTED_VALUE"""),658)</f>
        <v>658</v>
      </c>
      <c r="V215" s="1">
        <f ca="1">IFERROR(__xludf.DUMMYFUNCTION("""COMPUTED_VALUE"""),0.29)</f>
        <v>0.28999999999999998</v>
      </c>
      <c r="W215" s="1">
        <f ca="1">IFERROR(__xludf.DUMMYFUNCTION("""COMPUTED_VALUE"""),340)</f>
        <v>340</v>
      </c>
      <c r="X215" s="1">
        <f ca="1">IFERROR(__xludf.DUMMYFUNCTION("""COMPUTED_VALUE"""),555)</f>
        <v>555</v>
      </c>
      <c r="Y215" s="1">
        <f ca="1">IFERROR(__xludf.DUMMYFUNCTION("""COMPUTED_VALUE"""),0.613)</f>
        <v>0.61299999999999999</v>
      </c>
      <c r="Z215" s="1">
        <f ca="1">IFERROR(__xludf.DUMMYFUNCTION("""COMPUTED_VALUE"""),363)</f>
        <v>363</v>
      </c>
      <c r="AA215" s="1">
        <f ca="1">IFERROR(__xludf.DUMMYFUNCTION("""COMPUTED_VALUE"""),1059)</f>
        <v>1059</v>
      </c>
      <c r="AB215" s="1">
        <f ca="1">IFERROR(__xludf.DUMMYFUNCTION("""COMPUTED_VALUE"""),292)</f>
        <v>292</v>
      </c>
      <c r="AC215" s="1">
        <f ca="1">IFERROR(__xludf.DUMMYFUNCTION("""COMPUTED_VALUE"""),134)</f>
        <v>134</v>
      </c>
      <c r="AD215" s="1">
        <f ca="1">IFERROR(__xludf.DUMMYFUNCTION("""COMPUTED_VALUE"""),92)</f>
        <v>92</v>
      </c>
      <c r="AE215" s="1">
        <f ca="1">IFERROR(__xludf.DUMMYFUNCTION("""COMPUTED_VALUE"""),360)</f>
        <v>360</v>
      </c>
      <c r="AF215" s="1">
        <f ca="1">IFERROR(__xludf.DUMMYFUNCTION("""COMPUTED_VALUE"""),546)</f>
        <v>546</v>
      </c>
    </row>
    <row r="216" spans="1:32" ht="12.5" x14ac:dyDescent="0.25">
      <c r="A216" s="1" t="str">
        <f ca="1">IFERROR(__xludf.DUMMYFUNCTION("""COMPUTED_VALUE"""),"New Mexico State")</f>
        <v>New Mexico State</v>
      </c>
      <c r="B216" s="1">
        <f ca="1">IFERROR(__xludf.DUMMYFUNCTION("""COMPUTED_VALUE"""),33)</f>
        <v>33</v>
      </c>
      <c r="C216" s="1">
        <f ca="1">IFERROR(__xludf.DUMMYFUNCTION("""COMPUTED_VALUE"""),16)</f>
        <v>16</v>
      </c>
      <c r="D216" s="1">
        <f ca="1">IFERROR(__xludf.DUMMYFUNCTION("""COMPUTED_VALUE"""),17)</f>
        <v>17</v>
      </c>
      <c r="E216" s="1">
        <f ca="1">IFERROR(__xludf.DUMMYFUNCTION("""COMPUTED_VALUE"""),0.485)</f>
        <v>0.48499999999999999</v>
      </c>
      <c r="F216" s="1">
        <f ca="1">IFERROR(__xludf.DUMMYFUNCTION("""COMPUTED_VALUE"""),2.11)</f>
        <v>2.11</v>
      </c>
      <c r="G216" s="1">
        <f ca="1">IFERROR(__xludf.DUMMYFUNCTION("""COMPUTED_VALUE"""),2.66)</f>
        <v>2.66</v>
      </c>
      <c r="H216" s="1">
        <f ca="1">IFERROR(__xludf.DUMMYFUNCTION("""COMPUTED_VALUE"""),9)</f>
        <v>9</v>
      </c>
      <c r="I216" s="1">
        <f ca="1">IFERROR(__xludf.DUMMYFUNCTION("""COMPUTED_VALUE"""),7)</f>
        <v>7</v>
      </c>
      <c r="J216" s="1">
        <f ca="1">IFERROR(__xludf.DUMMYFUNCTION("""COMPUTED_VALUE"""),12)</f>
        <v>12</v>
      </c>
      <c r="K216" s="1">
        <f ca="1">IFERROR(__xludf.DUMMYFUNCTION("""COMPUTED_VALUE"""),5)</f>
        <v>5</v>
      </c>
      <c r="L216" s="1">
        <f ca="1">IFERROR(__xludf.DUMMYFUNCTION("""COMPUTED_VALUE"""),3)</f>
        <v>3</v>
      </c>
      <c r="M216" s="1">
        <f ca="1">IFERROR(__xludf.DUMMYFUNCTION("""COMPUTED_VALUE"""),9)</f>
        <v>9</v>
      </c>
      <c r="N216" s="1">
        <f ca="1">IFERROR(__xludf.DUMMYFUNCTION("""COMPUTED_VALUE"""),2364)</f>
        <v>2364</v>
      </c>
      <c r="O216" s="1">
        <f ca="1">IFERROR(__xludf.DUMMYFUNCTION("""COMPUTED_VALUE"""),2316)</f>
        <v>2316</v>
      </c>
      <c r="P216" s="1">
        <f ca="1">IFERROR(__xludf.DUMMYFUNCTION("""COMPUTED_VALUE"""),1340)</f>
        <v>1340</v>
      </c>
      <c r="Q216" s="1">
        <f ca="1">IFERROR(__xludf.DUMMYFUNCTION("""COMPUTED_VALUE"""),793)</f>
        <v>793</v>
      </c>
      <c r="R216" s="1">
        <f ca="1">IFERROR(__xludf.DUMMYFUNCTION("""COMPUTED_VALUE"""),1780)</f>
        <v>1780</v>
      </c>
      <c r="S216" s="1">
        <f ca="1">IFERROR(__xludf.DUMMYFUNCTION("""COMPUTED_VALUE"""),0.446)</f>
        <v>0.44600000000000001</v>
      </c>
      <c r="T216" s="1">
        <f ca="1">IFERROR(__xludf.DUMMYFUNCTION("""COMPUTED_VALUE"""),184)</f>
        <v>184</v>
      </c>
      <c r="U216" s="1">
        <f ca="1">IFERROR(__xludf.DUMMYFUNCTION("""COMPUTED_VALUE"""),554)</f>
        <v>554</v>
      </c>
      <c r="V216" s="1">
        <f ca="1">IFERROR(__xludf.DUMMYFUNCTION("""COMPUTED_VALUE"""),0.332)</f>
        <v>0.33200000000000002</v>
      </c>
      <c r="W216" s="1">
        <f ca="1">IFERROR(__xludf.DUMMYFUNCTION("""COMPUTED_VALUE"""),594)</f>
        <v>594</v>
      </c>
      <c r="X216" s="1">
        <f ca="1">IFERROR(__xludf.DUMMYFUNCTION("""COMPUTED_VALUE"""),879)</f>
        <v>879</v>
      </c>
      <c r="Y216" s="1">
        <f ca="1">IFERROR(__xludf.DUMMYFUNCTION("""COMPUTED_VALUE"""),0.676)</f>
        <v>0.67600000000000005</v>
      </c>
      <c r="Z216" s="1">
        <f ca="1">IFERROR(__xludf.DUMMYFUNCTION("""COMPUTED_VALUE"""),373)</f>
        <v>373</v>
      </c>
      <c r="AA216" s="1">
        <f ca="1">IFERROR(__xludf.DUMMYFUNCTION("""COMPUTED_VALUE"""),1157)</f>
        <v>1157</v>
      </c>
      <c r="AB216" s="1">
        <f ca="1">IFERROR(__xludf.DUMMYFUNCTION("""COMPUTED_VALUE"""),410)</f>
        <v>410</v>
      </c>
      <c r="AC216" s="1">
        <f ca="1">IFERROR(__xludf.DUMMYFUNCTION("""COMPUTED_VALUE"""),215)</f>
        <v>215</v>
      </c>
      <c r="AD216" s="1">
        <f ca="1">IFERROR(__xludf.DUMMYFUNCTION("""COMPUTED_VALUE"""),124)</f>
        <v>124</v>
      </c>
      <c r="AE216" s="1">
        <f ca="1">IFERROR(__xludf.DUMMYFUNCTION("""COMPUTED_VALUE"""),487)</f>
        <v>487</v>
      </c>
      <c r="AF216" s="1">
        <f ca="1">IFERROR(__xludf.DUMMYFUNCTION("""COMPUTED_VALUE"""),612)</f>
        <v>612</v>
      </c>
    </row>
    <row r="217" spans="1:32" ht="12.5" x14ac:dyDescent="0.25">
      <c r="A217" s="1" t="str">
        <f ca="1">IFERROR(__xludf.DUMMYFUNCTION("""COMPUTED_VALUE"""),"New Mexico")</f>
        <v>New Mexico</v>
      </c>
      <c r="B217" s="1">
        <f ca="1">IFERROR(__xludf.DUMMYFUNCTION("""COMPUTED_VALUE"""),35)</f>
        <v>35</v>
      </c>
      <c r="C217" s="1">
        <f ca="1">IFERROR(__xludf.DUMMYFUNCTION("""COMPUTED_VALUE"""),22)</f>
        <v>22</v>
      </c>
      <c r="D217" s="1">
        <f ca="1">IFERROR(__xludf.DUMMYFUNCTION("""COMPUTED_VALUE"""),13)</f>
        <v>13</v>
      </c>
      <c r="E217" s="1">
        <f ca="1">IFERROR(__xludf.DUMMYFUNCTION("""COMPUTED_VALUE"""),0.629)</f>
        <v>0.629</v>
      </c>
      <c r="F217" s="1">
        <f ca="1">IFERROR(__xludf.DUMMYFUNCTION("""COMPUTED_VALUE"""),11.72)</f>
        <v>11.72</v>
      </c>
      <c r="G217" s="1">
        <f ca="1">IFERROR(__xludf.DUMMYFUNCTION("""COMPUTED_VALUE"""),4.9)</f>
        <v>4.9000000000000004</v>
      </c>
      <c r="H217" s="1">
        <f ca="1">IFERROR(__xludf.DUMMYFUNCTION("""COMPUTED_VALUE"""),8)</f>
        <v>8</v>
      </c>
      <c r="I217" s="1">
        <f ca="1">IFERROR(__xludf.DUMMYFUNCTION("""COMPUTED_VALUE"""),8)</f>
        <v>8</v>
      </c>
      <c r="J217" s="1">
        <f ca="1">IFERROR(__xludf.DUMMYFUNCTION("""COMPUTED_VALUE"""),14)</f>
        <v>14</v>
      </c>
      <c r="K217" s="1">
        <f ca="1">IFERROR(__xludf.DUMMYFUNCTION("""COMPUTED_VALUE"""),3)</f>
        <v>3</v>
      </c>
      <c r="L217" s="1">
        <f ca="1">IFERROR(__xludf.DUMMYFUNCTION("""COMPUTED_VALUE"""),6)</f>
        <v>6</v>
      </c>
      <c r="M217" s="1">
        <f ca="1">IFERROR(__xludf.DUMMYFUNCTION("""COMPUTED_VALUE"""),8)</f>
        <v>8</v>
      </c>
      <c r="N217" s="1">
        <f ca="1">IFERROR(__xludf.DUMMYFUNCTION("""COMPUTED_VALUE"""),2562)</f>
        <v>2562</v>
      </c>
      <c r="O217" s="1">
        <f ca="1">IFERROR(__xludf.DUMMYFUNCTION("""COMPUTED_VALUE"""),2308)</f>
        <v>2308</v>
      </c>
      <c r="P217" s="1">
        <f ca="1">IFERROR(__xludf.DUMMYFUNCTION("""COMPUTED_VALUE"""),1420)</f>
        <v>1420</v>
      </c>
      <c r="Q217" s="1">
        <f ca="1">IFERROR(__xludf.DUMMYFUNCTION("""COMPUTED_VALUE"""),877)</f>
        <v>877</v>
      </c>
      <c r="R217" s="1">
        <f ca="1">IFERROR(__xludf.DUMMYFUNCTION("""COMPUTED_VALUE"""),1920)</f>
        <v>1920</v>
      </c>
      <c r="S217" s="1">
        <f ca="1">IFERROR(__xludf.DUMMYFUNCTION("""COMPUTED_VALUE"""),0.457)</f>
        <v>0.45700000000000002</v>
      </c>
      <c r="T217" s="1">
        <f ca="1">IFERROR(__xludf.DUMMYFUNCTION("""COMPUTED_VALUE"""),226)</f>
        <v>226</v>
      </c>
      <c r="U217" s="1">
        <f ca="1">IFERROR(__xludf.DUMMYFUNCTION("""COMPUTED_VALUE"""),654)</f>
        <v>654</v>
      </c>
      <c r="V217" s="1">
        <f ca="1">IFERROR(__xludf.DUMMYFUNCTION("""COMPUTED_VALUE"""),0.346)</f>
        <v>0.34599999999999997</v>
      </c>
      <c r="W217" s="1">
        <f ca="1">IFERROR(__xludf.DUMMYFUNCTION("""COMPUTED_VALUE"""),582)</f>
        <v>582</v>
      </c>
      <c r="X217" s="1">
        <f ca="1">IFERROR(__xludf.DUMMYFUNCTION("""COMPUTED_VALUE"""),817)</f>
        <v>817</v>
      </c>
      <c r="Y217" s="1">
        <f ca="1">IFERROR(__xludf.DUMMYFUNCTION("""COMPUTED_VALUE"""),0.712)</f>
        <v>0.71199999999999997</v>
      </c>
      <c r="Z217" s="1">
        <f ca="1">IFERROR(__xludf.DUMMYFUNCTION("""COMPUTED_VALUE"""),410)</f>
        <v>410</v>
      </c>
      <c r="AA217" s="1">
        <f ca="1">IFERROR(__xludf.DUMMYFUNCTION("""COMPUTED_VALUE"""),1300)</f>
        <v>1300</v>
      </c>
      <c r="AB217" s="1">
        <f ca="1">IFERROR(__xludf.DUMMYFUNCTION("""COMPUTED_VALUE"""),535)</f>
        <v>535</v>
      </c>
      <c r="AC217" s="1">
        <f ca="1">IFERROR(__xludf.DUMMYFUNCTION("""COMPUTED_VALUE"""),211)</f>
        <v>211</v>
      </c>
      <c r="AD217" s="1">
        <f ca="1">IFERROR(__xludf.DUMMYFUNCTION("""COMPUTED_VALUE"""),116)</f>
        <v>116</v>
      </c>
      <c r="AE217" s="1">
        <f ca="1">IFERROR(__xludf.DUMMYFUNCTION("""COMPUTED_VALUE"""),471)</f>
        <v>471</v>
      </c>
      <c r="AF217" s="1">
        <f ca="1">IFERROR(__xludf.DUMMYFUNCTION("""COMPUTED_VALUE"""),671)</f>
        <v>671</v>
      </c>
    </row>
    <row r="218" spans="1:32" ht="12.5" x14ac:dyDescent="0.25">
      <c r="A218" s="1" t="str">
        <f ca="1">IFERROR(__xludf.DUMMYFUNCTION("""COMPUTED_VALUE"""),"Niagara")</f>
        <v>Niagara</v>
      </c>
      <c r="B218" s="1">
        <f ca="1">IFERROR(__xludf.DUMMYFUNCTION("""COMPUTED_VALUE"""),32)</f>
        <v>32</v>
      </c>
      <c r="C218" s="1">
        <f ca="1">IFERROR(__xludf.DUMMYFUNCTION("""COMPUTED_VALUE"""),9)</f>
        <v>9</v>
      </c>
      <c r="D218" s="1">
        <f ca="1">IFERROR(__xludf.DUMMYFUNCTION("""COMPUTED_VALUE"""),23)</f>
        <v>23</v>
      </c>
      <c r="E218" s="1">
        <f ca="1">IFERROR(__xludf.DUMMYFUNCTION("""COMPUTED_VALUE"""),0.281)</f>
        <v>0.28100000000000003</v>
      </c>
      <c r="F218" s="1">
        <f ca="1">IFERROR(__xludf.DUMMYFUNCTION("""COMPUTED_VALUE"""),-11.89)</f>
        <v>-11.89</v>
      </c>
      <c r="G218" s="1">
        <f ca="1">IFERROR(__xludf.DUMMYFUNCTION("""COMPUTED_VALUE"""),-3.02)</f>
        <v>-3.02</v>
      </c>
      <c r="H218" s="1">
        <f ca="1">IFERROR(__xludf.DUMMYFUNCTION("""COMPUTED_VALUE"""),5)</f>
        <v>5</v>
      </c>
      <c r="I218" s="1">
        <f ca="1">IFERROR(__xludf.DUMMYFUNCTION("""COMPUTED_VALUE"""),13)</f>
        <v>13</v>
      </c>
      <c r="J218" s="1">
        <f ca="1">IFERROR(__xludf.DUMMYFUNCTION("""COMPUTED_VALUE"""),6)</f>
        <v>6</v>
      </c>
      <c r="K218" s="1">
        <f ca="1">IFERROR(__xludf.DUMMYFUNCTION("""COMPUTED_VALUE"""),7)</f>
        <v>7</v>
      </c>
      <c r="L218" s="1">
        <f ca="1">IFERROR(__xludf.DUMMYFUNCTION("""COMPUTED_VALUE"""),2)</f>
        <v>2</v>
      </c>
      <c r="M218" s="1">
        <f ca="1">IFERROR(__xludf.DUMMYFUNCTION("""COMPUTED_VALUE"""),14)</f>
        <v>14</v>
      </c>
      <c r="N218" s="1">
        <f ca="1">IFERROR(__xludf.DUMMYFUNCTION("""COMPUTED_VALUE"""),1966)</f>
        <v>1966</v>
      </c>
      <c r="O218" s="1">
        <f ca="1">IFERROR(__xludf.DUMMYFUNCTION("""COMPUTED_VALUE"""),2250)</f>
        <v>2250</v>
      </c>
      <c r="P218" s="1">
        <f ca="1">IFERROR(__xludf.DUMMYFUNCTION("""COMPUTED_VALUE"""),1280)</f>
        <v>1280</v>
      </c>
      <c r="Q218" s="1">
        <f ca="1">IFERROR(__xludf.DUMMYFUNCTION("""COMPUTED_VALUE"""),663)</f>
        <v>663</v>
      </c>
      <c r="R218" s="1">
        <f ca="1">IFERROR(__xludf.DUMMYFUNCTION("""COMPUTED_VALUE"""),1781)</f>
        <v>1781</v>
      </c>
      <c r="S218" s="1">
        <f ca="1">IFERROR(__xludf.DUMMYFUNCTION("""COMPUTED_VALUE"""),0.372)</f>
        <v>0.372</v>
      </c>
      <c r="T218" s="1">
        <f ca="1">IFERROR(__xludf.DUMMYFUNCTION("""COMPUTED_VALUE"""),174)</f>
        <v>174</v>
      </c>
      <c r="U218" s="1">
        <f ca="1">IFERROR(__xludf.DUMMYFUNCTION("""COMPUTED_VALUE"""),632)</f>
        <v>632</v>
      </c>
      <c r="V218" s="1">
        <f ca="1">IFERROR(__xludf.DUMMYFUNCTION("""COMPUTED_VALUE"""),0.275)</f>
        <v>0.27500000000000002</v>
      </c>
      <c r="W218" s="1">
        <f ca="1">IFERROR(__xludf.DUMMYFUNCTION("""COMPUTED_VALUE"""),466)</f>
        <v>466</v>
      </c>
      <c r="X218" s="1">
        <f ca="1">IFERROR(__xludf.DUMMYFUNCTION("""COMPUTED_VALUE"""),706)</f>
        <v>706</v>
      </c>
      <c r="Y218" s="1">
        <f ca="1">IFERROR(__xludf.DUMMYFUNCTION("""COMPUTED_VALUE"""),0.66)</f>
        <v>0.66</v>
      </c>
      <c r="Z218" s="1">
        <f ca="1">IFERROR(__xludf.DUMMYFUNCTION("""COMPUTED_VALUE"""),371)</f>
        <v>371</v>
      </c>
      <c r="AA218" s="1">
        <f ca="1">IFERROR(__xludf.DUMMYFUNCTION("""COMPUTED_VALUE"""),1061)</f>
        <v>1061</v>
      </c>
      <c r="AB218" s="1">
        <f ca="1">IFERROR(__xludf.DUMMYFUNCTION("""COMPUTED_VALUE"""),335)</f>
        <v>335</v>
      </c>
      <c r="AC218" s="1">
        <f ca="1">IFERROR(__xludf.DUMMYFUNCTION("""COMPUTED_VALUE"""),256)</f>
        <v>256</v>
      </c>
      <c r="AD218" s="1">
        <f ca="1">IFERROR(__xludf.DUMMYFUNCTION("""COMPUTED_VALUE"""),110)</f>
        <v>110</v>
      </c>
      <c r="AE218" s="1">
        <f ca="1">IFERROR(__xludf.DUMMYFUNCTION("""COMPUTED_VALUE"""),449)</f>
        <v>449</v>
      </c>
      <c r="AF218" s="1">
        <f ca="1">IFERROR(__xludf.DUMMYFUNCTION("""COMPUTED_VALUE"""),616)</f>
        <v>616</v>
      </c>
    </row>
    <row r="219" spans="1:32" ht="12.5" x14ac:dyDescent="0.25">
      <c r="A219" s="1" t="str">
        <f ca="1">IFERROR(__xludf.DUMMYFUNCTION("""COMPUTED_VALUE"""),"Nicholls State")</f>
        <v>Nicholls State</v>
      </c>
      <c r="B219" s="1">
        <f ca="1">IFERROR(__xludf.DUMMYFUNCTION("""COMPUTED_VALUE"""),28)</f>
        <v>28</v>
      </c>
      <c r="C219" s="1">
        <f ca="1">IFERROR(__xludf.DUMMYFUNCTION("""COMPUTED_VALUE"""),14)</f>
        <v>14</v>
      </c>
      <c r="D219" s="1">
        <f ca="1">IFERROR(__xludf.DUMMYFUNCTION("""COMPUTED_VALUE"""),14)</f>
        <v>14</v>
      </c>
      <c r="E219" s="1">
        <f ca="1">IFERROR(__xludf.DUMMYFUNCTION("""COMPUTED_VALUE"""),0.5)</f>
        <v>0.5</v>
      </c>
      <c r="F219" s="1">
        <f ca="1">IFERROR(__xludf.DUMMYFUNCTION("""COMPUTED_VALUE"""),-5.72)</f>
        <v>-5.72</v>
      </c>
      <c r="G219" s="1">
        <f ca="1">IFERROR(__xludf.DUMMYFUNCTION("""COMPUTED_VALUE"""),-4.52)</f>
        <v>-4.5199999999999996</v>
      </c>
      <c r="H219" s="1">
        <f ca="1">IFERROR(__xludf.DUMMYFUNCTION("""COMPUTED_VALUE"""),8)</f>
        <v>8</v>
      </c>
      <c r="I219" s="1">
        <f ca="1">IFERROR(__xludf.DUMMYFUNCTION("""COMPUTED_VALUE"""),8)</f>
        <v>8</v>
      </c>
      <c r="J219" s="1">
        <f ca="1">IFERROR(__xludf.DUMMYFUNCTION("""COMPUTED_VALUE"""),11)</f>
        <v>11</v>
      </c>
      <c r="K219" s="1">
        <f ca="1">IFERROR(__xludf.DUMMYFUNCTION("""COMPUTED_VALUE"""),2)</f>
        <v>2</v>
      </c>
      <c r="L219" s="1">
        <f ca="1">IFERROR(__xludf.DUMMYFUNCTION("""COMPUTED_VALUE"""),3)</f>
        <v>3</v>
      </c>
      <c r="M219" s="1">
        <f ca="1">IFERROR(__xludf.DUMMYFUNCTION("""COMPUTED_VALUE"""),11)</f>
        <v>11</v>
      </c>
      <c r="N219" s="1">
        <f ca="1">IFERROR(__xludf.DUMMYFUNCTION("""COMPUTED_VALUE"""),1836)</f>
        <v>1836</v>
      </c>
      <c r="O219" s="1">
        <f ca="1">IFERROR(__xludf.DUMMYFUNCTION("""COMPUTED_VALUE"""),1730)</f>
        <v>1730</v>
      </c>
      <c r="P219" s="1">
        <f ca="1">IFERROR(__xludf.DUMMYFUNCTION("""COMPUTED_VALUE"""),1130)</f>
        <v>1130</v>
      </c>
      <c r="Q219" s="1">
        <f ca="1">IFERROR(__xludf.DUMMYFUNCTION("""COMPUTED_VALUE"""),634)</f>
        <v>634</v>
      </c>
      <c r="R219" s="1">
        <f ca="1">IFERROR(__xludf.DUMMYFUNCTION("""COMPUTED_VALUE"""),1432)</f>
        <v>1432</v>
      </c>
      <c r="S219" s="1">
        <f ca="1">IFERROR(__xludf.DUMMYFUNCTION("""COMPUTED_VALUE"""),0.443)</f>
        <v>0.443</v>
      </c>
      <c r="T219" s="1">
        <f ca="1">IFERROR(__xludf.DUMMYFUNCTION("""COMPUTED_VALUE"""),190)</f>
        <v>190</v>
      </c>
      <c r="U219" s="1">
        <f ca="1">IFERROR(__xludf.DUMMYFUNCTION("""COMPUTED_VALUE"""),567)</f>
        <v>567</v>
      </c>
      <c r="V219" s="1">
        <f ca="1">IFERROR(__xludf.DUMMYFUNCTION("""COMPUTED_VALUE"""),0.335)</f>
        <v>0.33500000000000002</v>
      </c>
      <c r="W219" s="1">
        <f ca="1">IFERROR(__xludf.DUMMYFUNCTION("""COMPUTED_VALUE"""),378)</f>
        <v>378</v>
      </c>
      <c r="X219" s="1">
        <f ca="1">IFERROR(__xludf.DUMMYFUNCTION("""COMPUTED_VALUE"""),550)</f>
        <v>550</v>
      </c>
      <c r="Y219" s="1">
        <f ca="1">IFERROR(__xludf.DUMMYFUNCTION("""COMPUTED_VALUE"""),0.687)</f>
        <v>0.68700000000000006</v>
      </c>
      <c r="Z219" s="1">
        <f ca="1">IFERROR(__xludf.DUMMYFUNCTION("""COMPUTED_VALUE"""),255)</f>
        <v>255</v>
      </c>
      <c r="AA219" s="1">
        <f ca="1">IFERROR(__xludf.DUMMYFUNCTION("""COMPUTED_VALUE"""),807)</f>
        <v>807</v>
      </c>
      <c r="AB219" s="1">
        <f ca="1">IFERROR(__xludf.DUMMYFUNCTION("""COMPUTED_VALUE"""),395)</f>
        <v>395</v>
      </c>
      <c r="AC219" s="1">
        <f ca="1">IFERROR(__xludf.DUMMYFUNCTION("""COMPUTED_VALUE"""),223)</f>
        <v>223</v>
      </c>
      <c r="AD219" s="1">
        <f ca="1">IFERROR(__xludf.DUMMYFUNCTION("""COMPUTED_VALUE"""),28)</f>
        <v>28</v>
      </c>
      <c r="AE219" s="1">
        <f ca="1">IFERROR(__xludf.DUMMYFUNCTION("""COMPUTED_VALUE"""),358)</f>
        <v>358</v>
      </c>
      <c r="AF219" s="1">
        <f ca="1">IFERROR(__xludf.DUMMYFUNCTION("""COMPUTED_VALUE"""),544)</f>
        <v>544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IFERROR(__xludf.DUMMYFUNCTION("""COMPUTED_VALUE"""),"NJIT")</f>
        <v>NJIT</v>
      </c>
      <c r="B222" s="1">
        <f ca="1">IFERROR(__xludf.DUMMYFUNCTION("""COMPUTED_VALUE"""),30)</f>
        <v>30</v>
      </c>
      <c r="C222" s="1">
        <f ca="1">IFERROR(__xludf.DUMMYFUNCTION("""COMPUTED_VALUE"""),15)</f>
        <v>15</v>
      </c>
      <c r="D222" s="1">
        <f ca="1">IFERROR(__xludf.DUMMYFUNCTION("""COMPUTED_VALUE"""),15)</f>
        <v>15</v>
      </c>
      <c r="E222" s="1">
        <f ca="1">IFERROR(__xludf.DUMMYFUNCTION("""COMPUTED_VALUE"""),0.5)</f>
        <v>0.5</v>
      </c>
      <c r="F222" s="1">
        <f ca="1">IFERROR(__xludf.DUMMYFUNCTION("""COMPUTED_VALUE"""),-13.18)</f>
        <v>-13.18</v>
      </c>
      <c r="G222" s="1">
        <f ca="1">IFERROR(__xludf.DUMMYFUNCTION("""COMPUTED_VALUE"""),-9.64)</f>
        <v>-9.64</v>
      </c>
      <c r="H222" s="1">
        <f ca="1">IFERROR(__xludf.DUMMYFUNCTION("""COMPUTED_VALUE"""),9)</f>
        <v>9</v>
      </c>
      <c r="I222" s="1">
        <f ca="1">IFERROR(__xludf.DUMMYFUNCTION("""COMPUTED_VALUE"""),3)</f>
        <v>3</v>
      </c>
      <c r="J222" s="1">
        <f ca="1">IFERROR(__xludf.DUMMYFUNCTION("""COMPUTED_VALUE"""),10)</f>
        <v>10</v>
      </c>
      <c r="K222" s="1">
        <f ca="1">IFERROR(__xludf.DUMMYFUNCTION("""COMPUTED_VALUE"""),5)</f>
        <v>5</v>
      </c>
      <c r="L222" s="1">
        <f ca="1">IFERROR(__xludf.DUMMYFUNCTION("""COMPUTED_VALUE"""),5)</f>
        <v>5</v>
      </c>
      <c r="M222" s="1">
        <f ca="1">IFERROR(__xludf.DUMMYFUNCTION("""COMPUTED_VALUE"""),9)</f>
        <v>9</v>
      </c>
      <c r="N222" s="1">
        <f ca="1">IFERROR(__xludf.DUMMYFUNCTION("""COMPUTED_VALUE"""),2065)</f>
        <v>2065</v>
      </c>
      <c r="O222" s="1">
        <f ca="1">IFERROR(__xludf.DUMMYFUNCTION("""COMPUTED_VALUE"""),2052)</f>
        <v>2052</v>
      </c>
      <c r="P222" s="1">
        <f ca="1">IFERROR(__xludf.DUMMYFUNCTION("""COMPUTED_VALUE"""),1210)</f>
        <v>1210</v>
      </c>
      <c r="Q222" s="1">
        <f ca="1">IFERROR(__xludf.DUMMYFUNCTION("""COMPUTED_VALUE"""),743)</f>
        <v>743</v>
      </c>
      <c r="R222" s="1">
        <f ca="1">IFERROR(__xludf.DUMMYFUNCTION("""COMPUTED_VALUE"""),1734)</f>
        <v>1734</v>
      </c>
      <c r="S222" s="1">
        <f ca="1">IFERROR(__xludf.DUMMYFUNCTION("""COMPUTED_VALUE"""),0.428)</f>
        <v>0.42799999999999999</v>
      </c>
      <c r="T222" s="1">
        <f ca="1">IFERROR(__xludf.DUMMYFUNCTION("""COMPUTED_VALUE"""),222)</f>
        <v>222</v>
      </c>
      <c r="U222" s="1">
        <f ca="1">IFERROR(__xludf.DUMMYFUNCTION("""COMPUTED_VALUE"""),610)</f>
        <v>610</v>
      </c>
      <c r="V222" s="1">
        <f ca="1">IFERROR(__xludf.DUMMYFUNCTION("""COMPUTED_VALUE"""),0.364)</f>
        <v>0.36399999999999999</v>
      </c>
      <c r="W222" s="1">
        <f ca="1">IFERROR(__xludf.DUMMYFUNCTION("""COMPUTED_VALUE"""),357)</f>
        <v>357</v>
      </c>
      <c r="X222" s="1">
        <f ca="1">IFERROR(__xludf.DUMMYFUNCTION("""COMPUTED_VALUE"""),578)</f>
        <v>578</v>
      </c>
      <c r="Y222" s="1">
        <f ca="1">IFERROR(__xludf.DUMMYFUNCTION("""COMPUTED_VALUE"""),0.618)</f>
        <v>0.61799999999999999</v>
      </c>
      <c r="Z222" s="1">
        <f ca="1">IFERROR(__xludf.DUMMYFUNCTION("""COMPUTED_VALUE"""),331)</f>
        <v>331</v>
      </c>
      <c r="AA222" s="1">
        <f ca="1">IFERROR(__xludf.DUMMYFUNCTION("""COMPUTED_VALUE"""),1074)</f>
        <v>1074</v>
      </c>
      <c r="AB222" s="1">
        <f ca="1">IFERROR(__xludf.DUMMYFUNCTION("""COMPUTED_VALUE"""),390)</f>
        <v>390</v>
      </c>
      <c r="AC222" s="1">
        <f ca="1">IFERROR(__xludf.DUMMYFUNCTION("""COMPUTED_VALUE"""),179)</f>
        <v>179</v>
      </c>
      <c r="AD222" s="1">
        <f ca="1">IFERROR(__xludf.DUMMYFUNCTION("""COMPUTED_VALUE"""),110)</f>
        <v>110</v>
      </c>
      <c r="AE222" s="1">
        <f ca="1">IFERROR(__xludf.DUMMYFUNCTION("""COMPUTED_VALUE"""),408)</f>
        <v>408</v>
      </c>
      <c r="AF222" s="1">
        <f ca="1">IFERROR(__xludf.DUMMYFUNCTION("""COMPUTED_VALUE"""),632)</f>
        <v>632</v>
      </c>
    </row>
    <row r="223" spans="1:32" ht="12.5" x14ac:dyDescent="0.25">
      <c r="A223" s="1" t="str">
        <f ca="1">IFERROR(__xludf.DUMMYFUNCTION("""COMPUTED_VALUE"""),"Norfolk State")</f>
        <v>Norfolk State</v>
      </c>
      <c r="B223" s="1">
        <f ca="1">IFERROR(__xludf.DUMMYFUNCTION("""COMPUTED_VALUE"""),32)</f>
        <v>32</v>
      </c>
      <c r="C223" s="1">
        <f ca="1">IFERROR(__xludf.DUMMYFUNCTION("""COMPUTED_VALUE"""),12)</f>
        <v>12</v>
      </c>
      <c r="D223" s="1">
        <f ca="1">IFERROR(__xludf.DUMMYFUNCTION("""COMPUTED_VALUE"""),20)</f>
        <v>20</v>
      </c>
      <c r="E223" s="1">
        <f ca="1">IFERROR(__xludf.DUMMYFUNCTION("""COMPUTED_VALUE"""),0.375)</f>
        <v>0.375</v>
      </c>
      <c r="F223" s="1">
        <f ca="1">IFERROR(__xludf.DUMMYFUNCTION("""COMPUTED_VALUE"""),-12.2)</f>
        <v>-12.2</v>
      </c>
      <c r="G223" s="1">
        <f ca="1">IFERROR(__xludf.DUMMYFUNCTION("""COMPUTED_VALUE"""),-7.45)</f>
        <v>-7.45</v>
      </c>
      <c r="H223" s="1">
        <f ca="1">IFERROR(__xludf.DUMMYFUNCTION("""COMPUTED_VALUE"""),8)</f>
        <v>8</v>
      </c>
      <c r="I223" s="1">
        <f ca="1">IFERROR(__xludf.DUMMYFUNCTION("""COMPUTED_VALUE"""),8)</f>
        <v>8</v>
      </c>
      <c r="J223" s="1">
        <f ca="1">IFERROR(__xludf.DUMMYFUNCTION("""COMPUTED_VALUE"""),7)</f>
        <v>7</v>
      </c>
      <c r="K223" s="1">
        <f ca="1">IFERROR(__xludf.DUMMYFUNCTION("""COMPUTED_VALUE"""),4)</f>
        <v>4</v>
      </c>
      <c r="L223" s="1">
        <f ca="1">IFERROR(__xludf.DUMMYFUNCTION("""COMPUTED_VALUE"""),3)</f>
        <v>3</v>
      </c>
      <c r="M223" s="1">
        <f ca="1">IFERROR(__xludf.DUMMYFUNCTION("""COMPUTED_VALUE"""),14)</f>
        <v>14</v>
      </c>
      <c r="N223" s="1">
        <f ca="1">IFERROR(__xludf.DUMMYFUNCTION("""COMPUTED_VALUE"""),2238)</f>
        <v>2238</v>
      </c>
      <c r="O223" s="1">
        <f ca="1">IFERROR(__xludf.DUMMYFUNCTION("""COMPUTED_VALUE"""),2390)</f>
        <v>2390</v>
      </c>
      <c r="P223" s="1">
        <f ca="1">IFERROR(__xludf.DUMMYFUNCTION("""COMPUTED_VALUE"""),1300)</f>
        <v>1300</v>
      </c>
      <c r="Q223" s="1">
        <f ca="1">IFERROR(__xludf.DUMMYFUNCTION("""COMPUTED_VALUE"""),782)</f>
        <v>782</v>
      </c>
      <c r="R223" s="1">
        <f ca="1">IFERROR(__xludf.DUMMYFUNCTION("""COMPUTED_VALUE"""),1791)</f>
        <v>1791</v>
      </c>
      <c r="S223" s="1">
        <f ca="1">IFERROR(__xludf.DUMMYFUNCTION("""COMPUTED_VALUE"""),0.437)</f>
        <v>0.437</v>
      </c>
      <c r="T223" s="1">
        <f ca="1">IFERROR(__xludf.DUMMYFUNCTION("""COMPUTED_VALUE"""),176)</f>
        <v>176</v>
      </c>
      <c r="U223" s="1">
        <f ca="1">IFERROR(__xludf.DUMMYFUNCTION("""COMPUTED_VALUE"""),574)</f>
        <v>574</v>
      </c>
      <c r="V223" s="1">
        <f ca="1">IFERROR(__xludf.DUMMYFUNCTION("""COMPUTED_VALUE"""),0.307)</f>
        <v>0.307</v>
      </c>
      <c r="W223" s="1">
        <f ca="1">IFERROR(__xludf.DUMMYFUNCTION("""COMPUTED_VALUE"""),498)</f>
        <v>498</v>
      </c>
      <c r="X223" s="1">
        <f ca="1">IFERROR(__xludf.DUMMYFUNCTION("""COMPUTED_VALUE"""),735)</f>
        <v>735</v>
      </c>
      <c r="Y223" s="1">
        <f ca="1">IFERROR(__xludf.DUMMYFUNCTION("""COMPUTED_VALUE"""),0.678)</f>
        <v>0.67800000000000005</v>
      </c>
      <c r="Z223" s="1">
        <f ca="1">IFERROR(__xludf.DUMMYFUNCTION("""COMPUTED_VALUE"""),363)</f>
        <v>363</v>
      </c>
      <c r="AA223" s="1">
        <f ca="1">IFERROR(__xludf.DUMMYFUNCTION("""COMPUTED_VALUE"""),1143)</f>
        <v>1143</v>
      </c>
      <c r="AB223" s="1">
        <f ca="1">IFERROR(__xludf.DUMMYFUNCTION("""COMPUTED_VALUE"""),412)</f>
        <v>412</v>
      </c>
      <c r="AC223" s="1">
        <f ca="1">IFERROR(__xludf.DUMMYFUNCTION("""COMPUTED_VALUE"""),204)</f>
        <v>204</v>
      </c>
      <c r="AD223" s="1">
        <f ca="1">IFERROR(__xludf.DUMMYFUNCTION("""COMPUTED_VALUE"""),183)</f>
        <v>183</v>
      </c>
      <c r="AE223" s="1">
        <f ca="1">IFERROR(__xludf.DUMMYFUNCTION("""COMPUTED_VALUE"""),515)</f>
        <v>515</v>
      </c>
      <c r="AF223" s="1">
        <f ca="1">IFERROR(__xludf.DUMMYFUNCTION("""COMPUTED_VALUE"""),694)</f>
        <v>694</v>
      </c>
    </row>
    <row r="224" spans="1:32" ht="12.5" x14ac:dyDescent="0.25">
      <c r="A224" s="1" t="str">
        <f ca="1">IFERROR(__xludf.DUMMYFUNCTION("""COMPUTED_VALUE"""),"North Carolina-AshevilleNCAA")</f>
        <v>North Carolina-AshevilleNCAA</v>
      </c>
      <c r="B224" s="1">
        <f ca="1">IFERROR(__xludf.DUMMYFUNCTION("""COMPUTED_VALUE"""),34)</f>
        <v>34</v>
      </c>
      <c r="C224" s="1">
        <f ca="1">IFERROR(__xludf.DUMMYFUNCTION("""COMPUTED_VALUE"""),20)</f>
        <v>20</v>
      </c>
      <c r="D224" s="1">
        <f ca="1">IFERROR(__xludf.DUMMYFUNCTION("""COMPUTED_VALUE"""),14)</f>
        <v>14</v>
      </c>
      <c r="E224" s="1">
        <f ca="1">IFERROR(__xludf.DUMMYFUNCTION("""COMPUTED_VALUE"""),0.588)</f>
        <v>0.58799999999999997</v>
      </c>
      <c r="F224" s="1">
        <f ca="1">IFERROR(__xludf.DUMMYFUNCTION("""COMPUTED_VALUE"""),-0.69)</f>
        <v>-0.69</v>
      </c>
      <c r="G224" s="1">
        <f ca="1">IFERROR(__xludf.DUMMYFUNCTION("""COMPUTED_VALUE"""),-2.89)</f>
        <v>-2.89</v>
      </c>
      <c r="H224" s="1">
        <f ca="1">IFERROR(__xludf.DUMMYFUNCTION("""COMPUTED_VALUE"""),11)</f>
        <v>11</v>
      </c>
      <c r="I224" s="1">
        <f ca="1">IFERROR(__xludf.DUMMYFUNCTION("""COMPUTED_VALUE"""),7)</f>
        <v>7</v>
      </c>
      <c r="J224" s="1">
        <f ca="1">IFERROR(__xludf.DUMMYFUNCTION("""COMPUTED_VALUE"""),10)</f>
        <v>10</v>
      </c>
      <c r="K224" s="1">
        <f ca="1">IFERROR(__xludf.DUMMYFUNCTION("""COMPUTED_VALUE"""),5)</f>
        <v>5</v>
      </c>
      <c r="L224" s="1">
        <f ca="1">IFERROR(__xludf.DUMMYFUNCTION("""COMPUTED_VALUE"""),8)</f>
        <v>8</v>
      </c>
      <c r="M224" s="1">
        <f ca="1">IFERROR(__xludf.DUMMYFUNCTION("""COMPUTED_VALUE"""),8)</f>
        <v>8</v>
      </c>
      <c r="N224" s="1">
        <f ca="1">IFERROR(__xludf.DUMMYFUNCTION("""COMPUTED_VALUE"""),2506)</f>
        <v>2506</v>
      </c>
      <c r="O224" s="1">
        <f ca="1">IFERROR(__xludf.DUMMYFUNCTION("""COMPUTED_VALUE"""),2333)</f>
        <v>2333</v>
      </c>
      <c r="P224" s="1">
        <f ca="1">IFERROR(__xludf.DUMMYFUNCTION("""COMPUTED_VALUE"""),1390)</f>
        <v>1390</v>
      </c>
      <c r="Q224" s="1">
        <f ca="1">IFERROR(__xludf.DUMMYFUNCTION("""COMPUTED_VALUE"""),881)</f>
        <v>881</v>
      </c>
      <c r="R224" s="1">
        <f ca="1">IFERROR(__xludf.DUMMYFUNCTION("""COMPUTED_VALUE"""),1950)</f>
        <v>1950</v>
      </c>
      <c r="S224" s="1">
        <f ca="1">IFERROR(__xludf.DUMMYFUNCTION("""COMPUTED_VALUE"""),0.452)</f>
        <v>0.45200000000000001</v>
      </c>
      <c r="T224" s="1">
        <f ca="1">IFERROR(__xludf.DUMMYFUNCTION("""COMPUTED_VALUE"""),168)</f>
        <v>168</v>
      </c>
      <c r="U224" s="1">
        <f ca="1">IFERROR(__xludf.DUMMYFUNCTION("""COMPUTED_VALUE"""),515)</f>
        <v>515</v>
      </c>
      <c r="V224" s="1">
        <f ca="1">IFERROR(__xludf.DUMMYFUNCTION("""COMPUTED_VALUE"""),0.326)</f>
        <v>0.32600000000000001</v>
      </c>
      <c r="W224" s="1">
        <f ca="1">IFERROR(__xludf.DUMMYFUNCTION("""COMPUTED_VALUE"""),576)</f>
        <v>576</v>
      </c>
      <c r="X224" s="1">
        <f ca="1">IFERROR(__xludf.DUMMYFUNCTION("""COMPUTED_VALUE"""),810)</f>
        <v>810</v>
      </c>
      <c r="Y224" s="1">
        <f ca="1">IFERROR(__xludf.DUMMYFUNCTION("""COMPUTED_VALUE"""),0.711)</f>
        <v>0.71099999999999997</v>
      </c>
      <c r="Z224" s="1">
        <f ca="1">IFERROR(__xludf.DUMMYFUNCTION("""COMPUTED_VALUE"""),400)</f>
        <v>400</v>
      </c>
      <c r="AA224" s="1">
        <f ca="1">IFERROR(__xludf.DUMMYFUNCTION("""COMPUTED_VALUE"""),1213)</f>
        <v>1213</v>
      </c>
      <c r="AB224" s="1">
        <f ca="1">IFERROR(__xludf.DUMMYFUNCTION("""COMPUTED_VALUE"""),492)</f>
        <v>492</v>
      </c>
      <c r="AC224" s="1">
        <f ca="1">IFERROR(__xludf.DUMMYFUNCTION("""COMPUTED_VALUE"""),310)</f>
        <v>310</v>
      </c>
      <c r="AD224" s="1">
        <f ca="1">IFERROR(__xludf.DUMMYFUNCTION("""COMPUTED_VALUE"""),152)</f>
        <v>152</v>
      </c>
      <c r="AE224" s="1">
        <f ca="1">IFERROR(__xludf.DUMMYFUNCTION("""COMPUTED_VALUE"""),506)</f>
        <v>506</v>
      </c>
      <c r="AF224" s="1">
        <f ca="1">IFERROR(__xludf.DUMMYFUNCTION("""COMPUTED_VALUE"""),664)</f>
        <v>664</v>
      </c>
    </row>
    <row r="225" spans="1:32" ht="12.5" x14ac:dyDescent="0.25">
      <c r="A225" s="1" t="str">
        <f ca="1">IFERROR(__xludf.DUMMYFUNCTION("""COMPUTED_VALUE"""),"North Carolina A&amp;T")</f>
        <v>North Carolina A&amp;T</v>
      </c>
      <c r="B225" s="1">
        <f ca="1">IFERROR(__xludf.DUMMYFUNCTION("""COMPUTED_VALUE"""),32)</f>
        <v>32</v>
      </c>
      <c r="C225" s="1">
        <f ca="1">IFERROR(__xludf.DUMMYFUNCTION("""COMPUTED_VALUE"""),15)</f>
        <v>15</v>
      </c>
      <c r="D225" s="1">
        <f ca="1">IFERROR(__xludf.DUMMYFUNCTION("""COMPUTED_VALUE"""),17)</f>
        <v>17</v>
      </c>
      <c r="E225" s="1">
        <f ca="1">IFERROR(__xludf.DUMMYFUNCTION("""COMPUTED_VALUE"""),0.469)</f>
        <v>0.46899999999999997</v>
      </c>
      <c r="F225" s="1">
        <f ca="1">IFERROR(__xludf.DUMMYFUNCTION("""COMPUTED_VALUE"""),-12.06)</f>
        <v>-12.06</v>
      </c>
      <c r="G225" s="1">
        <f ca="1">IFERROR(__xludf.DUMMYFUNCTION("""COMPUTED_VALUE"""),-6.26)</f>
        <v>-6.26</v>
      </c>
      <c r="H225" s="1">
        <f ca="1">IFERROR(__xludf.DUMMYFUNCTION("""COMPUTED_VALUE"""),9)</f>
        <v>9</v>
      </c>
      <c r="I225" s="1">
        <f ca="1">IFERROR(__xludf.DUMMYFUNCTION("""COMPUTED_VALUE"""),7)</f>
        <v>7</v>
      </c>
      <c r="J225" s="1">
        <f ca="1">IFERROR(__xludf.DUMMYFUNCTION("""COMPUTED_VALUE"""),11)</f>
        <v>11</v>
      </c>
      <c r="K225" s="1">
        <f ca="1">IFERROR(__xludf.DUMMYFUNCTION("""COMPUTED_VALUE"""),2)</f>
        <v>2</v>
      </c>
      <c r="L225" s="1">
        <f ca="1">IFERROR(__xludf.DUMMYFUNCTION("""COMPUTED_VALUE"""),4)</f>
        <v>4</v>
      </c>
      <c r="M225" s="1">
        <f ca="1">IFERROR(__xludf.DUMMYFUNCTION("""COMPUTED_VALUE"""),14)</f>
        <v>14</v>
      </c>
      <c r="N225" s="1">
        <f ca="1">IFERROR(__xludf.DUMMYFUNCTION("""COMPUTED_VALUE"""),2282)</f>
        <v>2282</v>
      </c>
      <c r="O225" s="1">
        <f ca="1">IFERROR(__xludf.DUMMYFUNCTION("""COMPUTED_VALUE"""),2372)</f>
        <v>2372</v>
      </c>
      <c r="P225" s="1">
        <f ca="1">IFERROR(__xludf.DUMMYFUNCTION("""COMPUTED_VALUE"""),1305)</f>
        <v>1305</v>
      </c>
      <c r="Q225" s="1">
        <f ca="1">IFERROR(__xludf.DUMMYFUNCTION("""COMPUTED_VALUE"""),779)</f>
        <v>779</v>
      </c>
      <c r="R225" s="1">
        <f ca="1">IFERROR(__xludf.DUMMYFUNCTION("""COMPUTED_VALUE"""),1806)</f>
        <v>1806</v>
      </c>
      <c r="S225" s="1">
        <f ca="1">IFERROR(__xludf.DUMMYFUNCTION("""COMPUTED_VALUE"""),0.431)</f>
        <v>0.43099999999999999</v>
      </c>
      <c r="T225" s="1">
        <f ca="1">IFERROR(__xludf.DUMMYFUNCTION("""COMPUTED_VALUE"""),205)</f>
        <v>205</v>
      </c>
      <c r="U225" s="1">
        <f ca="1">IFERROR(__xludf.DUMMYFUNCTION("""COMPUTED_VALUE"""),631)</f>
        <v>631</v>
      </c>
      <c r="V225" s="1">
        <f ca="1">IFERROR(__xludf.DUMMYFUNCTION("""COMPUTED_VALUE"""),0.325)</f>
        <v>0.32500000000000001</v>
      </c>
      <c r="W225" s="1">
        <f ca="1">IFERROR(__xludf.DUMMYFUNCTION("""COMPUTED_VALUE"""),519)</f>
        <v>519</v>
      </c>
      <c r="X225" s="1">
        <f ca="1">IFERROR(__xludf.DUMMYFUNCTION("""COMPUTED_VALUE"""),780)</f>
        <v>780</v>
      </c>
      <c r="Y225" s="1">
        <f ca="1">IFERROR(__xludf.DUMMYFUNCTION("""COMPUTED_VALUE"""),0.665)</f>
        <v>0.66500000000000004</v>
      </c>
      <c r="Z225" s="1">
        <f ca="1">IFERROR(__xludf.DUMMYFUNCTION("""COMPUTED_VALUE"""),374)</f>
        <v>374</v>
      </c>
      <c r="AA225" s="1">
        <f ca="1">IFERROR(__xludf.DUMMYFUNCTION("""COMPUTED_VALUE"""),1179)</f>
        <v>1179</v>
      </c>
      <c r="AB225" s="1">
        <f ca="1">IFERROR(__xludf.DUMMYFUNCTION("""COMPUTED_VALUE"""),385)</f>
        <v>385</v>
      </c>
      <c r="AC225" s="1">
        <f ca="1">IFERROR(__xludf.DUMMYFUNCTION("""COMPUTED_VALUE"""),207)</f>
        <v>207</v>
      </c>
      <c r="AD225" s="1">
        <f ca="1">IFERROR(__xludf.DUMMYFUNCTION("""COMPUTED_VALUE"""),150)</f>
        <v>150</v>
      </c>
      <c r="AE225" s="1">
        <f ca="1">IFERROR(__xludf.DUMMYFUNCTION("""COMPUTED_VALUE"""),477)</f>
        <v>477</v>
      </c>
      <c r="AF225" s="1">
        <f ca="1">IFERROR(__xludf.DUMMYFUNCTION("""COMPUTED_VALUE"""),531)</f>
        <v>531</v>
      </c>
    </row>
    <row r="226" spans="1:32" ht="12.5" x14ac:dyDescent="0.25">
      <c r="A226" s="1" t="str">
        <f ca="1">IFERROR(__xludf.DUMMYFUNCTION("""COMPUTED_VALUE"""),"North Carolina Central")</f>
        <v>North Carolina Central</v>
      </c>
      <c r="B226" s="1">
        <f ca="1">IFERROR(__xludf.DUMMYFUNCTION("""COMPUTED_VALUE"""),30)</f>
        <v>30</v>
      </c>
      <c r="C226" s="1">
        <f ca="1">IFERROR(__xludf.DUMMYFUNCTION("""COMPUTED_VALUE"""),15)</f>
        <v>15</v>
      </c>
      <c r="D226" s="1">
        <f ca="1">IFERROR(__xludf.DUMMYFUNCTION("""COMPUTED_VALUE"""),15)</f>
        <v>15</v>
      </c>
      <c r="E226" s="1">
        <f ca="1">IFERROR(__xludf.DUMMYFUNCTION("""COMPUTED_VALUE"""),0.5)</f>
        <v>0.5</v>
      </c>
      <c r="F226" s="1">
        <f ca="1">IFERROR(__xludf.DUMMYFUNCTION("""COMPUTED_VALUE"""),-13.03)</f>
        <v>-13.03</v>
      </c>
      <c r="G226" s="1">
        <f ca="1">IFERROR(__xludf.DUMMYFUNCTION("""COMPUTED_VALUE"""),-8.03)</f>
        <v>-8.0299999999999994</v>
      </c>
      <c r="H226" s="1" t="str">
        <f ca="1">IFERROR(__xludf.DUMMYFUNCTION("""COMPUTED_VALUE"""),"")</f>
        <v/>
      </c>
      <c r="I226" s="1" t="str">
        <f ca="1">IFERROR(__xludf.DUMMYFUNCTION("""COMPUTED_VALUE"""),"")</f>
        <v/>
      </c>
      <c r="J226" s="1">
        <f ca="1">IFERROR(__xludf.DUMMYFUNCTION("""COMPUTED_VALUE"""),9)</f>
        <v>9</v>
      </c>
      <c r="K226" s="1">
        <f ca="1">IFERROR(__xludf.DUMMYFUNCTION("""COMPUTED_VALUE"""),4)</f>
        <v>4</v>
      </c>
      <c r="L226" s="1">
        <f ca="1">IFERROR(__xludf.DUMMYFUNCTION("""COMPUTED_VALUE"""),6)</f>
        <v>6</v>
      </c>
      <c r="M226" s="1">
        <f ca="1">IFERROR(__xludf.DUMMYFUNCTION("""COMPUTED_VALUE"""),10)</f>
        <v>10</v>
      </c>
      <c r="N226" s="1">
        <f ca="1">IFERROR(__xludf.DUMMYFUNCTION("""COMPUTED_VALUE"""),2062)</f>
        <v>2062</v>
      </c>
      <c r="O226" s="1">
        <f ca="1">IFERROR(__xludf.DUMMYFUNCTION("""COMPUTED_VALUE"""),2103)</f>
        <v>2103</v>
      </c>
      <c r="P226" s="1">
        <f ca="1">IFERROR(__xludf.DUMMYFUNCTION("""COMPUTED_VALUE"""),1215)</f>
        <v>1215</v>
      </c>
      <c r="Q226" s="1">
        <f ca="1">IFERROR(__xludf.DUMMYFUNCTION("""COMPUTED_VALUE"""),722)</f>
        <v>722</v>
      </c>
      <c r="R226" s="1">
        <f ca="1">IFERROR(__xludf.DUMMYFUNCTION("""COMPUTED_VALUE"""),1606)</f>
        <v>1606</v>
      </c>
      <c r="S226" s="1">
        <f ca="1">IFERROR(__xludf.DUMMYFUNCTION("""COMPUTED_VALUE"""),0.45)</f>
        <v>0.45</v>
      </c>
      <c r="T226" s="1">
        <f ca="1">IFERROR(__xludf.DUMMYFUNCTION("""COMPUTED_VALUE"""),199)</f>
        <v>199</v>
      </c>
      <c r="U226" s="1">
        <f ca="1">IFERROR(__xludf.DUMMYFUNCTION("""COMPUTED_VALUE"""),562)</f>
        <v>562</v>
      </c>
      <c r="V226" s="1">
        <f ca="1">IFERROR(__xludf.DUMMYFUNCTION("""COMPUTED_VALUE"""),0.354)</f>
        <v>0.35399999999999998</v>
      </c>
      <c r="W226" s="1">
        <f ca="1">IFERROR(__xludf.DUMMYFUNCTION("""COMPUTED_VALUE"""),419)</f>
        <v>419</v>
      </c>
      <c r="X226" s="1">
        <f ca="1">IFERROR(__xludf.DUMMYFUNCTION("""COMPUTED_VALUE"""),607)</f>
        <v>607</v>
      </c>
      <c r="Y226" s="1">
        <f ca="1">IFERROR(__xludf.DUMMYFUNCTION("""COMPUTED_VALUE"""),0.69)</f>
        <v>0.69</v>
      </c>
      <c r="Z226" s="1">
        <f ca="1">IFERROR(__xludf.DUMMYFUNCTION("""COMPUTED_VALUE"""),307)</f>
        <v>307</v>
      </c>
      <c r="AA226" s="1">
        <f ca="1">IFERROR(__xludf.DUMMYFUNCTION("""COMPUTED_VALUE"""),964)</f>
        <v>964</v>
      </c>
      <c r="AB226" s="1">
        <f ca="1">IFERROR(__xludf.DUMMYFUNCTION("""COMPUTED_VALUE"""),353)</f>
        <v>353</v>
      </c>
      <c r="AC226" s="1">
        <f ca="1">IFERROR(__xludf.DUMMYFUNCTION("""COMPUTED_VALUE"""),234)</f>
        <v>234</v>
      </c>
      <c r="AD226" s="1">
        <f ca="1">IFERROR(__xludf.DUMMYFUNCTION("""COMPUTED_VALUE"""),93)</f>
        <v>93</v>
      </c>
      <c r="AE226" s="1">
        <f ca="1">IFERROR(__xludf.DUMMYFUNCTION("""COMPUTED_VALUE"""),466)</f>
        <v>466</v>
      </c>
      <c r="AF226" s="1">
        <f ca="1">IFERROR(__xludf.DUMMYFUNCTION("""COMPUTED_VALUE"""),624)</f>
        <v>624</v>
      </c>
    </row>
    <row r="227" spans="1:32" ht="12.5" x14ac:dyDescent="0.25">
      <c r="A227" s="1" t="str">
        <f ca="1">IFERROR(__xludf.DUMMYFUNCTION("""COMPUTED_VALUE"""),"North Carolina-Greensboro")</f>
        <v>North Carolina-Greensboro</v>
      </c>
      <c r="B227" s="1">
        <f ca="1">IFERROR(__xludf.DUMMYFUNCTION("""COMPUTED_VALUE"""),31)</f>
        <v>31</v>
      </c>
      <c r="C227" s="1">
        <f ca="1">IFERROR(__xludf.DUMMYFUNCTION("""COMPUTED_VALUE"""),7)</f>
        <v>7</v>
      </c>
      <c r="D227" s="1">
        <f ca="1">IFERROR(__xludf.DUMMYFUNCTION("""COMPUTED_VALUE"""),24)</f>
        <v>24</v>
      </c>
      <c r="E227" s="1">
        <f ca="1">IFERROR(__xludf.DUMMYFUNCTION("""COMPUTED_VALUE"""),0.226)</f>
        <v>0.22600000000000001</v>
      </c>
      <c r="F227" s="1">
        <f ca="1">IFERROR(__xludf.DUMMYFUNCTION("""COMPUTED_VALUE"""),-9.95)</f>
        <v>-9.9499999999999993</v>
      </c>
      <c r="G227" s="1">
        <f ca="1">IFERROR(__xludf.DUMMYFUNCTION("""COMPUTED_VALUE"""),-0.37)</f>
        <v>-0.37</v>
      </c>
      <c r="H227" s="1">
        <f ca="1">IFERROR(__xludf.DUMMYFUNCTION("""COMPUTED_VALUE"""),6)</f>
        <v>6</v>
      </c>
      <c r="I227" s="1">
        <f ca="1">IFERROR(__xludf.DUMMYFUNCTION("""COMPUTED_VALUE"""),12)</f>
        <v>12</v>
      </c>
      <c r="J227" s="1">
        <f ca="1">IFERROR(__xludf.DUMMYFUNCTION("""COMPUTED_VALUE"""),3)</f>
        <v>3</v>
      </c>
      <c r="K227" s="1">
        <f ca="1">IFERROR(__xludf.DUMMYFUNCTION("""COMPUTED_VALUE"""),12)</f>
        <v>12</v>
      </c>
      <c r="L227" s="1">
        <f ca="1">IFERROR(__xludf.DUMMYFUNCTION("""COMPUTED_VALUE"""),3)</f>
        <v>3</v>
      </c>
      <c r="M227" s="1">
        <f ca="1">IFERROR(__xludf.DUMMYFUNCTION("""COMPUTED_VALUE"""),11)</f>
        <v>11</v>
      </c>
      <c r="N227" s="1">
        <f ca="1">IFERROR(__xludf.DUMMYFUNCTION("""COMPUTED_VALUE"""),2204)</f>
        <v>2204</v>
      </c>
      <c r="O227" s="1">
        <f ca="1">IFERROR(__xludf.DUMMYFUNCTION("""COMPUTED_VALUE"""),2501)</f>
        <v>2501</v>
      </c>
      <c r="P227" s="1">
        <f ca="1">IFERROR(__xludf.DUMMYFUNCTION("""COMPUTED_VALUE"""),1255)</f>
        <v>1255</v>
      </c>
      <c r="Q227" s="1">
        <f ca="1">IFERROR(__xludf.DUMMYFUNCTION("""COMPUTED_VALUE"""),780)</f>
        <v>780</v>
      </c>
      <c r="R227" s="1">
        <f ca="1">IFERROR(__xludf.DUMMYFUNCTION("""COMPUTED_VALUE"""),1820)</f>
        <v>1820</v>
      </c>
      <c r="S227" s="1">
        <f ca="1">IFERROR(__xludf.DUMMYFUNCTION("""COMPUTED_VALUE"""),0.429)</f>
        <v>0.42899999999999999</v>
      </c>
      <c r="T227" s="1">
        <f ca="1">IFERROR(__xludf.DUMMYFUNCTION("""COMPUTED_VALUE"""),186)</f>
        <v>186</v>
      </c>
      <c r="U227" s="1">
        <f ca="1">IFERROR(__xludf.DUMMYFUNCTION("""COMPUTED_VALUE"""),522)</f>
        <v>522</v>
      </c>
      <c r="V227" s="1">
        <f ca="1">IFERROR(__xludf.DUMMYFUNCTION("""COMPUTED_VALUE"""),0.356)</f>
        <v>0.35599999999999998</v>
      </c>
      <c r="W227" s="1">
        <f ca="1">IFERROR(__xludf.DUMMYFUNCTION("""COMPUTED_VALUE"""),458)</f>
        <v>458</v>
      </c>
      <c r="X227" s="1">
        <f ca="1">IFERROR(__xludf.DUMMYFUNCTION("""COMPUTED_VALUE"""),664)</f>
        <v>664</v>
      </c>
      <c r="Y227" s="1">
        <f ca="1">IFERROR(__xludf.DUMMYFUNCTION("""COMPUTED_VALUE"""),0.69)</f>
        <v>0.69</v>
      </c>
      <c r="Z227" s="1">
        <f ca="1">IFERROR(__xludf.DUMMYFUNCTION("""COMPUTED_VALUE"""),363)</f>
        <v>363</v>
      </c>
      <c r="AA227" s="1">
        <f ca="1">IFERROR(__xludf.DUMMYFUNCTION("""COMPUTED_VALUE"""),1056)</f>
        <v>1056</v>
      </c>
      <c r="AB227" s="1">
        <f ca="1">IFERROR(__xludf.DUMMYFUNCTION("""COMPUTED_VALUE"""),353)</f>
        <v>353</v>
      </c>
      <c r="AC227" s="1">
        <f ca="1">IFERROR(__xludf.DUMMYFUNCTION("""COMPUTED_VALUE"""),204)</f>
        <v>204</v>
      </c>
      <c r="AD227" s="1">
        <f ca="1">IFERROR(__xludf.DUMMYFUNCTION("""COMPUTED_VALUE"""),76)</f>
        <v>76</v>
      </c>
      <c r="AE227" s="1">
        <f ca="1">IFERROR(__xludf.DUMMYFUNCTION("""COMPUTED_VALUE"""),475)</f>
        <v>475</v>
      </c>
      <c r="AF227" s="1">
        <f ca="1">IFERROR(__xludf.DUMMYFUNCTION("""COMPUTED_VALUE"""),660)</f>
        <v>660</v>
      </c>
    </row>
    <row r="228" spans="1:32" ht="12.5" x14ac:dyDescent="0.25">
      <c r="A228" s="1" t="str">
        <f ca="1">IFERROR(__xludf.DUMMYFUNCTION("""COMPUTED_VALUE"""),"North Carolina State")</f>
        <v>North Carolina State</v>
      </c>
      <c r="B228" s="1">
        <f ca="1">IFERROR(__xludf.DUMMYFUNCTION("""COMPUTED_VALUE"""),31)</f>
        <v>31</v>
      </c>
      <c r="C228" s="1">
        <f ca="1">IFERROR(__xludf.DUMMYFUNCTION("""COMPUTED_VALUE"""),15)</f>
        <v>15</v>
      </c>
      <c r="D228" s="1">
        <f ca="1">IFERROR(__xludf.DUMMYFUNCTION("""COMPUTED_VALUE"""),16)</f>
        <v>16</v>
      </c>
      <c r="E228" s="1">
        <f ca="1">IFERROR(__xludf.DUMMYFUNCTION("""COMPUTED_VALUE"""),0.484)</f>
        <v>0.48399999999999999</v>
      </c>
      <c r="F228" s="1">
        <f ca="1">IFERROR(__xludf.DUMMYFUNCTION("""COMPUTED_VALUE"""),7.02)</f>
        <v>7.02</v>
      </c>
      <c r="G228" s="1">
        <f ca="1">IFERROR(__xludf.DUMMYFUNCTION("""COMPUTED_VALUE"""),6.8)</f>
        <v>6.8</v>
      </c>
      <c r="H228" s="1">
        <f ca="1">IFERROR(__xludf.DUMMYFUNCTION("""COMPUTED_VALUE"""),5)</f>
        <v>5</v>
      </c>
      <c r="I228" s="1">
        <f ca="1">IFERROR(__xludf.DUMMYFUNCTION("""COMPUTED_VALUE"""),11)</f>
        <v>11</v>
      </c>
      <c r="J228" s="1">
        <f ca="1">IFERROR(__xludf.DUMMYFUNCTION("""COMPUTED_VALUE"""),11)</f>
        <v>11</v>
      </c>
      <c r="K228" s="1">
        <f ca="1">IFERROR(__xludf.DUMMYFUNCTION("""COMPUTED_VALUE"""),5)</f>
        <v>5</v>
      </c>
      <c r="L228" s="1">
        <f ca="1">IFERROR(__xludf.DUMMYFUNCTION("""COMPUTED_VALUE"""),1)</f>
        <v>1</v>
      </c>
      <c r="M228" s="1">
        <f ca="1">IFERROR(__xludf.DUMMYFUNCTION("""COMPUTED_VALUE"""),9)</f>
        <v>9</v>
      </c>
      <c r="N228" s="1">
        <f ca="1">IFERROR(__xludf.DUMMYFUNCTION("""COMPUTED_VALUE"""),2191)</f>
        <v>2191</v>
      </c>
      <c r="O228" s="1">
        <f ca="1">IFERROR(__xludf.DUMMYFUNCTION("""COMPUTED_VALUE"""),2184)</f>
        <v>2184</v>
      </c>
      <c r="P228" s="1">
        <f ca="1">IFERROR(__xludf.DUMMYFUNCTION("""COMPUTED_VALUE"""),1240)</f>
        <v>1240</v>
      </c>
      <c r="Q228" s="1">
        <f ca="1">IFERROR(__xludf.DUMMYFUNCTION("""COMPUTED_VALUE"""),799)</f>
        <v>799</v>
      </c>
      <c r="R228" s="1">
        <f ca="1">IFERROR(__xludf.DUMMYFUNCTION("""COMPUTED_VALUE"""),1818)</f>
        <v>1818</v>
      </c>
      <c r="S228" s="1">
        <f ca="1">IFERROR(__xludf.DUMMYFUNCTION("""COMPUTED_VALUE"""),0.439)</f>
        <v>0.439</v>
      </c>
      <c r="T228" s="1">
        <f ca="1">IFERROR(__xludf.DUMMYFUNCTION("""COMPUTED_VALUE"""),139)</f>
        <v>139</v>
      </c>
      <c r="U228" s="1">
        <f ca="1">IFERROR(__xludf.DUMMYFUNCTION("""COMPUTED_VALUE"""),423)</f>
        <v>423</v>
      </c>
      <c r="V228" s="1">
        <f ca="1">IFERROR(__xludf.DUMMYFUNCTION("""COMPUTED_VALUE"""),0.329)</f>
        <v>0.32900000000000001</v>
      </c>
      <c r="W228" s="1">
        <f ca="1">IFERROR(__xludf.DUMMYFUNCTION("""COMPUTED_VALUE"""),454)</f>
        <v>454</v>
      </c>
      <c r="X228" s="1">
        <f ca="1">IFERROR(__xludf.DUMMYFUNCTION("""COMPUTED_VALUE"""),654)</f>
        <v>654</v>
      </c>
      <c r="Y228" s="1">
        <f ca="1">IFERROR(__xludf.DUMMYFUNCTION("""COMPUTED_VALUE"""),0.694)</f>
        <v>0.69399999999999995</v>
      </c>
      <c r="Z228" s="1">
        <f ca="1">IFERROR(__xludf.DUMMYFUNCTION("""COMPUTED_VALUE"""),400)</f>
        <v>400</v>
      </c>
      <c r="AA228" s="1">
        <f ca="1">IFERROR(__xludf.DUMMYFUNCTION("""COMPUTED_VALUE"""),1152)</f>
        <v>1152</v>
      </c>
      <c r="AB228" s="1">
        <f ca="1">IFERROR(__xludf.DUMMYFUNCTION("""COMPUTED_VALUE"""),442)</f>
        <v>442</v>
      </c>
      <c r="AC228" s="1">
        <f ca="1">IFERROR(__xludf.DUMMYFUNCTION("""COMPUTED_VALUE"""),191)</f>
        <v>191</v>
      </c>
      <c r="AD228" s="1">
        <f ca="1">IFERROR(__xludf.DUMMYFUNCTION("""COMPUTED_VALUE"""),138)</f>
        <v>138</v>
      </c>
      <c r="AE228" s="1">
        <f ca="1">IFERROR(__xludf.DUMMYFUNCTION("""COMPUTED_VALUE"""),376)</f>
        <v>376</v>
      </c>
      <c r="AF228" s="1">
        <f ca="1">IFERROR(__xludf.DUMMYFUNCTION("""COMPUTED_VALUE"""),533)</f>
        <v>533</v>
      </c>
    </row>
    <row r="229" spans="1:32" ht="12.5" x14ac:dyDescent="0.25">
      <c r="A229" s="1" t="str">
        <f ca="1">IFERROR(__xludf.DUMMYFUNCTION("""COMPUTED_VALUE"""),"North Carolina-Wilmington")</f>
        <v>North Carolina-Wilmington</v>
      </c>
      <c r="B229" s="1">
        <f ca="1">IFERROR(__xludf.DUMMYFUNCTION("""COMPUTED_VALUE"""),31)</f>
        <v>31</v>
      </c>
      <c r="C229" s="1">
        <f ca="1">IFERROR(__xludf.DUMMYFUNCTION("""COMPUTED_VALUE"""),13)</f>
        <v>13</v>
      </c>
      <c r="D229" s="1">
        <f ca="1">IFERROR(__xludf.DUMMYFUNCTION("""COMPUTED_VALUE"""),18)</f>
        <v>18</v>
      </c>
      <c r="E229" s="1">
        <f ca="1">IFERROR(__xludf.DUMMYFUNCTION("""COMPUTED_VALUE"""),0.419)</f>
        <v>0.41899999999999998</v>
      </c>
      <c r="F229" s="1">
        <f ca="1">IFERROR(__xludf.DUMMYFUNCTION("""COMPUTED_VALUE"""),-3.41)</f>
        <v>-3.41</v>
      </c>
      <c r="G229" s="1">
        <f ca="1">IFERROR(__xludf.DUMMYFUNCTION("""COMPUTED_VALUE"""),-0.44)</f>
        <v>-0.44</v>
      </c>
      <c r="H229" s="1">
        <f ca="1">IFERROR(__xludf.DUMMYFUNCTION("""COMPUTED_VALUE"""),7)</f>
        <v>7</v>
      </c>
      <c r="I229" s="1">
        <f ca="1">IFERROR(__xludf.DUMMYFUNCTION("""COMPUTED_VALUE"""),11)</f>
        <v>11</v>
      </c>
      <c r="J229" s="1">
        <f ca="1">IFERROR(__xludf.DUMMYFUNCTION("""COMPUTED_VALUE"""),9)</f>
        <v>9</v>
      </c>
      <c r="K229" s="1">
        <f ca="1">IFERROR(__xludf.DUMMYFUNCTION("""COMPUTED_VALUE"""),6)</f>
        <v>6</v>
      </c>
      <c r="L229" s="1">
        <f ca="1">IFERROR(__xludf.DUMMYFUNCTION("""COMPUTED_VALUE"""),3)</f>
        <v>3</v>
      </c>
      <c r="M229" s="1">
        <f ca="1">IFERROR(__xludf.DUMMYFUNCTION("""COMPUTED_VALUE"""),11)</f>
        <v>11</v>
      </c>
      <c r="N229" s="1">
        <f ca="1">IFERROR(__xludf.DUMMYFUNCTION("""COMPUTED_VALUE"""),1975)</f>
        <v>1975</v>
      </c>
      <c r="O229" s="1">
        <f ca="1">IFERROR(__xludf.DUMMYFUNCTION("""COMPUTED_VALUE"""),2067)</f>
        <v>2067</v>
      </c>
      <c r="P229" s="1">
        <f ca="1">IFERROR(__xludf.DUMMYFUNCTION("""COMPUTED_VALUE"""),1265)</f>
        <v>1265</v>
      </c>
      <c r="Q229" s="1">
        <f ca="1">IFERROR(__xludf.DUMMYFUNCTION("""COMPUTED_VALUE"""),714)</f>
        <v>714</v>
      </c>
      <c r="R229" s="1">
        <f ca="1">IFERROR(__xludf.DUMMYFUNCTION("""COMPUTED_VALUE"""),1646)</f>
        <v>1646</v>
      </c>
      <c r="S229" s="1">
        <f ca="1">IFERROR(__xludf.DUMMYFUNCTION("""COMPUTED_VALUE"""),0.434)</f>
        <v>0.434</v>
      </c>
      <c r="T229" s="1">
        <f ca="1">IFERROR(__xludf.DUMMYFUNCTION("""COMPUTED_VALUE"""),221)</f>
        <v>221</v>
      </c>
      <c r="U229" s="1">
        <f ca="1">IFERROR(__xludf.DUMMYFUNCTION("""COMPUTED_VALUE"""),599)</f>
        <v>599</v>
      </c>
      <c r="V229" s="1">
        <f ca="1">IFERROR(__xludf.DUMMYFUNCTION("""COMPUTED_VALUE"""),0.369)</f>
        <v>0.36899999999999999</v>
      </c>
      <c r="W229" s="1">
        <f ca="1">IFERROR(__xludf.DUMMYFUNCTION("""COMPUTED_VALUE"""),326)</f>
        <v>326</v>
      </c>
      <c r="X229" s="1">
        <f ca="1">IFERROR(__xludf.DUMMYFUNCTION("""COMPUTED_VALUE"""),473)</f>
        <v>473</v>
      </c>
      <c r="Y229" s="1">
        <f ca="1">IFERROR(__xludf.DUMMYFUNCTION("""COMPUTED_VALUE"""),0.689)</f>
        <v>0.68899999999999995</v>
      </c>
      <c r="Z229" s="1">
        <f ca="1">IFERROR(__xludf.DUMMYFUNCTION("""COMPUTED_VALUE"""),345)</f>
        <v>345</v>
      </c>
      <c r="AA229" s="1">
        <f ca="1">IFERROR(__xludf.DUMMYFUNCTION("""COMPUTED_VALUE"""),1031)</f>
        <v>1031</v>
      </c>
      <c r="AB229" s="1">
        <f ca="1">IFERROR(__xludf.DUMMYFUNCTION("""COMPUTED_VALUE"""),350)</f>
        <v>350</v>
      </c>
      <c r="AC229" s="1">
        <f ca="1">IFERROR(__xludf.DUMMYFUNCTION("""COMPUTED_VALUE"""),169)</f>
        <v>169</v>
      </c>
      <c r="AD229" s="1">
        <f ca="1">IFERROR(__xludf.DUMMYFUNCTION("""COMPUTED_VALUE"""),105)</f>
        <v>105</v>
      </c>
      <c r="AE229" s="1">
        <f ca="1">IFERROR(__xludf.DUMMYFUNCTION("""COMPUTED_VALUE"""),424)</f>
        <v>424</v>
      </c>
      <c r="AF229" s="1">
        <f ca="1">IFERROR(__xludf.DUMMYFUNCTION("""COMPUTED_VALUE"""),492)</f>
        <v>492</v>
      </c>
    </row>
    <row r="230" spans="1:32" ht="12.5" x14ac:dyDescent="0.25">
      <c r="A230" s="1" t="str">
        <f ca="1">IFERROR(__xludf.DUMMYFUNCTION("""COMPUTED_VALUE"""),"North CarolinaNCAA")</f>
        <v>North CarolinaNCAA</v>
      </c>
      <c r="B230" s="1">
        <f ca="1">IFERROR(__xludf.DUMMYFUNCTION("""COMPUTED_VALUE"""),37)</f>
        <v>37</v>
      </c>
      <c r="C230" s="1">
        <f ca="1">IFERROR(__xludf.DUMMYFUNCTION("""COMPUTED_VALUE"""),29)</f>
        <v>29</v>
      </c>
      <c r="D230" s="1">
        <f ca="1">IFERROR(__xludf.DUMMYFUNCTION("""COMPUTED_VALUE"""),8)</f>
        <v>8</v>
      </c>
      <c r="E230" s="1">
        <f ca="1">IFERROR(__xludf.DUMMYFUNCTION("""COMPUTED_VALUE"""),0.784)</f>
        <v>0.78400000000000003</v>
      </c>
      <c r="F230" s="1">
        <f ca="1">IFERROR(__xludf.DUMMYFUNCTION("""COMPUTED_VALUE"""),18.87)</f>
        <v>18.87</v>
      </c>
      <c r="G230" s="1">
        <f ca="1">IFERROR(__xludf.DUMMYFUNCTION("""COMPUTED_VALUE"""),10.15)</f>
        <v>10.15</v>
      </c>
      <c r="H230" s="1">
        <f ca="1">IFERROR(__xludf.DUMMYFUNCTION("""COMPUTED_VALUE"""),14)</f>
        <v>14</v>
      </c>
      <c r="I230" s="1">
        <f ca="1">IFERROR(__xludf.DUMMYFUNCTION("""COMPUTED_VALUE"""),2)</f>
        <v>2</v>
      </c>
      <c r="J230" s="1">
        <f ca="1">IFERROR(__xludf.DUMMYFUNCTION("""COMPUTED_VALUE"""),15)</f>
        <v>15</v>
      </c>
      <c r="K230" s="1">
        <f ca="1">IFERROR(__xludf.DUMMYFUNCTION("""COMPUTED_VALUE"""),0)</f>
        <v>0</v>
      </c>
      <c r="L230" s="1">
        <f ca="1">IFERROR(__xludf.DUMMYFUNCTION("""COMPUTED_VALUE"""),7)</f>
        <v>7</v>
      </c>
      <c r="M230" s="1">
        <f ca="1">IFERROR(__xludf.DUMMYFUNCTION("""COMPUTED_VALUE"""),3)</f>
        <v>3</v>
      </c>
      <c r="N230" s="1">
        <f ca="1">IFERROR(__xludf.DUMMYFUNCTION("""COMPUTED_VALUE"""),2868)</f>
        <v>2868</v>
      </c>
      <c r="O230" s="1">
        <f ca="1">IFERROR(__xludf.DUMMYFUNCTION("""COMPUTED_VALUE"""),2545)</f>
        <v>2545</v>
      </c>
      <c r="P230" s="1">
        <f ca="1">IFERROR(__xludf.DUMMYFUNCTION("""COMPUTED_VALUE"""),1485)</f>
        <v>1485</v>
      </c>
      <c r="Q230" s="1">
        <f ca="1">IFERROR(__xludf.DUMMYFUNCTION("""COMPUTED_VALUE"""),1044)</f>
        <v>1044</v>
      </c>
      <c r="R230" s="1">
        <f ca="1">IFERROR(__xludf.DUMMYFUNCTION("""COMPUTED_VALUE"""),2317)</f>
        <v>2317</v>
      </c>
      <c r="S230" s="1">
        <f ca="1">IFERROR(__xludf.DUMMYFUNCTION("""COMPUTED_VALUE"""),0.451)</f>
        <v>0.45100000000000001</v>
      </c>
      <c r="T230" s="1">
        <f ca="1">IFERROR(__xludf.DUMMYFUNCTION("""COMPUTED_VALUE"""),190)</f>
        <v>190</v>
      </c>
      <c r="U230" s="1">
        <f ca="1">IFERROR(__xludf.DUMMYFUNCTION("""COMPUTED_VALUE"""),579)</f>
        <v>579</v>
      </c>
      <c r="V230" s="1">
        <f ca="1">IFERROR(__xludf.DUMMYFUNCTION("""COMPUTED_VALUE"""),0.328)</f>
        <v>0.32800000000000001</v>
      </c>
      <c r="W230" s="1">
        <f ca="1">IFERROR(__xludf.DUMMYFUNCTION("""COMPUTED_VALUE"""),590)</f>
        <v>590</v>
      </c>
      <c r="X230" s="1">
        <f ca="1">IFERROR(__xludf.DUMMYFUNCTION("""COMPUTED_VALUE"""),878)</f>
        <v>878</v>
      </c>
      <c r="Y230" s="1">
        <f ca="1">IFERROR(__xludf.DUMMYFUNCTION("""COMPUTED_VALUE"""),0.672)</f>
        <v>0.67200000000000004</v>
      </c>
      <c r="Z230" s="1">
        <f ca="1">IFERROR(__xludf.DUMMYFUNCTION("""COMPUTED_VALUE"""),525)</f>
        <v>525</v>
      </c>
      <c r="AA230" s="1">
        <f ca="1">IFERROR(__xludf.DUMMYFUNCTION("""COMPUTED_VALUE"""),1578)</f>
        <v>1578</v>
      </c>
      <c r="AB230" s="1">
        <f ca="1">IFERROR(__xludf.DUMMYFUNCTION("""COMPUTED_VALUE"""),573)</f>
        <v>573</v>
      </c>
      <c r="AC230" s="1">
        <f ca="1">IFERROR(__xludf.DUMMYFUNCTION("""COMPUTED_VALUE"""),232)</f>
        <v>232</v>
      </c>
      <c r="AD230" s="1">
        <f ca="1">IFERROR(__xludf.DUMMYFUNCTION("""COMPUTED_VALUE"""),204)</f>
        <v>204</v>
      </c>
      <c r="AE230" s="1">
        <f ca="1">IFERROR(__xludf.DUMMYFUNCTION("""COMPUTED_VALUE"""),493)</f>
        <v>493</v>
      </c>
      <c r="AF230" s="1">
        <f ca="1">IFERROR(__xludf.DUMMYFUNCTION("""COMPUTED_VALUE"""),597)</f>
        <v>597</v>
      </c>
    </row>
    <row r="231" spans="1:32" ht="12.5" x14ac:dyDescent="0.25">
      <c r="A231" s="1" t="str">
        <f ca="1">IFERROR(__xludf.DUMMYFUNCTION("""COMPUTED_VALUE"""),"North Dakota State")</f>
        <v>North Dakota State</v>
      </c>
      <c r="B231" s="1">
        <f ca="1">IFERROR(__xludf.DUMMYFUNCTION("""COMPUTED_VALUE"""),29)</f>
        <v>29</v>
      </c>
      <c r="C231" s="1">
        <f ca="1">IFERROR(__xludf.DUMMYFUNCTION("""COMPUTED_VALUE"""),14)</f>
        <v>14</v>
      </c>
      <c r="D231" s="1">
        <f ca="1">IFERROR(__xludf.DUMMYFUNCTION("""COMPUTED_VALUE"""),15)</f>
        <v>15</v>
      </c>
      <c r="E231" s="1">
        <f ca="1">IFERROR(__xludf.DUMMYFUNCTION("""COMPUTED_VALUE"""),0.483)</f>
        <v>0.48299999999999998</v>
      </c>
      <c r="F231" s="1">
        <f ca="1">IFERROR(__xludf.DUMMYFUNCTION("""COMPUTED_VALUE"""),-1.54)</f>
        <v>-1.54</v>
      </c>
      <c r="G231" s="1">
        <f ca="1">IFERROR(__xludf.DUMMYFUNCTION("""COMPUTED_VALUE"""),-3.5)</f>
        <v>-3.5</v>
      </c>
      <c r="H231" s="1">
        <f ca="1">IFERROR(__xludf.DUMMYFUNCTION("""COMPUTED_VALUE"""),8)</f>
        <v>8</v>
      </c>
      <c r="I231" s="1">
        <f ca="1">IFERROR(__xludf.DUMMYFUNCTION("""COMPUTED_VALUE"""),10)</f>
        <v>10</v>
      </c>
      <c r="J231" s="1">
        <f ca="1">IFERROR(__xludf.DUMMYFUNCTION("""COMPUTED_VALUE"""),10)</f>
        <v>10</v>
      </c>
      <c r="K231" s="1">
        <f ca="1">IFERROR(__xludf.DUMMYFUNCTION("""COMPUTED_VALUE"""),3)</f>
        <v>3</v>
      </c>
      <c r="L231" s="1">
        <f ca="1">IFERROR(__xludf.DUMMYFUNCTION("""COMPUTED_VALUE"""),2)</f>
        <v>2</v>
      </c>
      <c r="M231" s="1">
        <f ca="1">IFERROR(__xludf.DUMMYFUNCTION("""COMPUTED_VALUE"""),11)</f>
        <v>11</v>
      </c>
      <c r="N231" s="1">
        <f ca="1">IFERROR(__xludf.DUMMYFUNCTION("""COMPUTED_VALUE"""),2188)</f>
        <v>2188</v>
      </c>
      <c r="O231" s="1">
        <f ca="1">IFERROR(__xludf.DUMMYFUNCTION("""COMPUTED_VALUE"""),2062)</f>
        <v>2062</v>
      </c>
      <c r="P231" s="1">
        <f ca="1">IFERROR(__xludf.DUMMYFUNCTION("""COMPUTED_VALUE"""),1175)</f>
        <v>1175</v>
      </c>
      <c r="Q231" s="1">
        <f ca="1">IFERROR(__xludf.DUMMYFUNCTION("""COMPUTED_VALUE"""),778)</f>
        <v>778</v>
      </c>
      <c r="R231" s="1">
        <f ca="1">IFERROR(__xludf.DUMMYFUNCTION("""COMPUTED_VALUE"""),1651)</f>
        <v>1651</v>
      </c>
      <c r="S231" s="1">
        <f ca="1">IFERROR(__xludf.DUMMYFUNCTION("""COMPUTED_VALUE"""),0.471)</f>
        <v>0.47099999999999997</v>
      </c>
      <c r="T231" s="1">
        <f ca="1">IFERROR(__xludf.DUMMYFUNCTION("""COMPUTED_VALUE"""),165)</f>
        <v>165</v>
      </c>
      <c r="U231" s="1">
        <f ca="1">IFERROR(__xludf.DUMMYFUNCTION("""COMPUTED_VALUE"""),432)</f>
        <v>432</v>
      </c>
      <c r="V231" s="1">
        <f ca="1">IFERROR(__xludf.DUMMYFUNCTION("""COMPUTED_VALUE"""),0.382)</f>
        <v>0.38200000000000001</v>
      </c>
      <c r="W231" s="1">
        <f ca="1">IFERROR(__xludf.DUMMYFUNCTION("""COMPUTED_VALUE"""),467)</f>
        <v>467</v>
      </c>
      <c r="X231" s="1">
        <f ca="1">IFERROR(__xludf.DUMMYFUNCTION("""COMPUTED_VALUE"""),674)</f>
        <v>674</v>
      </c>
      <c r="Y231" s="1">
        <f ca="1">IFERROR(__xludf.DUMMYFUNCTION("""COMPUTED_VALUE"""),0.693)</f>
        <v>0.69299999999999995</v>
      </c>
      <c r="Z231" s="1">
        <f ca="1">IFERROR(__xludf.DUMMYFUNCTION("""COMPUTED_VALUE"""),341)</f>
        <v>341</v>
      </c>
      <c r="AA231" s="1">
        <f ca="1">IFERROR(__xludf.DUMMYFUNCTION("""COMPUTED_VALUE"""),1037)</f>
        <v>1037</v>
      </c>
      <c r="AB231" s="1">
        <f ca="1">IFERROR(__xludf.DUMMYFUNCTION("""COMPUTED_VALUE"""),396)</f>
        <v>396</v>
      </c>
      <c r="AC231" s="1">
        <f ca="1">IFERROR(__xludf.DUMMYFUNCTION("""COMPUTED_VALUE"""),170)</f>
        <v>170</v>
      </c>
      <c r="AD231" s="1">
        <f ca="1">IFERROR(__xludf.DUMMYFUNCTION("""COMPUTED_VALUE"""),76)</f>
        <v>76</v>
      </c>
      <c r="AE231" s="1">
        <f ca="1">IFERROR(__xludf.DUMMYFUNCTION("""COMPUTED_VALUE"""),381)</f>
        <v>381</v>
      </c>
      <c r="AF231" s="1">
        <f ca="1">IFERROR(__xludf.DUMMYFUNCTION("""COMPUTED_VALUE"""),566)</f>
        <v>566</v>
      </c>
    </row>
    <row r="232" spans="1:32" ht="12.5" x14ac:dyDescent="0.25">
      <c r="A232" s="1" t="str">
        <f ca="1">IFERROR(__xludf.DUMMYFUNCTION("""COMPUTED_VALUE"""),"North Dakota")</f>
        <v>North Dakota</v>
      </c>
      <c r="B232" s="1">
        <f ca="1">IFERROR(__xludf.DUMMYFUNCTION("""COMPUTED_VALUE"""),34)</f>
        <v>34</v>
      </c>
      <c r="C232" s="1">
        <f ca="1">IFERROR(__xludf.DUMMYFUNCTION("""COMPUTED_VALUE"""),19)</f>
        <v>19</v>
      </c>
      <c r="D232" s="1">
        <f ca="1">IFERROR(__xludf.DUMMYFUNCTION("""COMPUTED_VALUE"""),15)</f>
        <v>15</v>
      </c>
      <c r="E232" s="1">
        <f ca="1">IFERROR(__xludf.DUMMYFUNCTION("""COMPUTED_VALUE"""),0.559)</f>
        <v>0.55900000000000005</v>
      </c>
      <c r="F232" s="1">
        <f ca="1">IFERROR(__xludf.DUMMYFUNCTION("""COMPUTED_VALUE"""),-11.83)</f>
        <v>-11.83</v>
      </c>
      <c r="G232" s="1">
        <f ca="1">IFERROR(__xludf.DUMMYFUNCTION("""COMPUTED_VALUE"""),-8.7)</f>
        <v>-8.6999999999999993</v>
      </c>
      <c r="H232" s="1">
        <f ca="1">IFERROR(__xludf.DUMMYFUNCTION("""COMPUTED_VALUE"""),8)</f>
        <v>8</v>
      </c>
      <c r="I232" s="1">
        <f ca="1">IFERROR(__xludf.DUMMYFUNCTION("""COMPUTED_VALUE"""),4)</f>
        <v>4</v>
      </c>
      <c r="J232" s="1">
        <f ca="1">IFERROR(__xludf.DUMMYFUNCTION("""COMPUTED_VALUE"""),11)</f>
        <v>11</v>
      </c>
      <c r="K232" s="1">
        <f ca="1">IFERROR(__xludf.DUMMYFUNCTION("""COMPUTED_VALUE"""),3)</f>
        <v>3</v>
      </c>
      <c r="L232" s="1">
        <f ca="1">IFERROR(__xludf.DUMMYFUNCTION("""COMPUTED_VALUE"""),4)</f>
        <v>4</v>
      </c>
      <c r="M232" s="1">
        <f ca="1">IFERROR(__xludf.DUMMYFUNCTION("""COMPUTED_VALUE"""),11)</f>
        <v>11</v>
      </c>
      <c r="N232" s="1">
        <f ca="1">IFERROR(__xludf.DUMMYFUNCTION("""COMPUTED_VALUE"""),2319)</f>
        <v>2319</v>
      </c>
      <c r="O232" s="1">
        <f ca="1">IFERROR(__xludf.DUMMYFUNCTION("""COMPUTED_VALUE"""),2327)</f>
        <v>2327</v>
      </c>
      <c r="P232" s="1">
        <f ca="1">IFERROR(__xludf.DUMMYFUNCTION("""COMPUTED_VALUE"""),1395)</f>
        <v>1395</v>
      </c>
      <c r="Q232" s="1">
        <f ca="1">IFERROR(__xludf.DUMMYFUNCTION("""COMPUTED_VALUE"""),779)</f>
        <v>779</v>
      </c>
      <c r="R232" s="1">
        <f ca="1">IFERROR(__xludf.DUMMYFUNCTION("""COMPUTED_VALUE"""),1826)</f>
        <v>1826</v>
      </c>
      <c r="S232" s="1">
        <f ca="1">IFERROR(__xludf.DUMMYFUNCTION("""COMPUTED_VALUE"""),0.427)</f>
        <v>0.42699999999999999</v>
      </c>
      <c r="T232" s="1">
        <f ca="1">IFERROR(__xludf.DUMMYFUNCTION("""COMPUTED_VALUE"""),215)</f>
        <v>215</v>
      </c>
      <c r="U232" s="1">
        <f ca="1">IFERROR(__xludf.DUMMYFUNCTION("""COMPUTED_VALUE"""),629)</f>
        <v>629</v>
      </c>
      <c r="V232" s="1">
        <f ca="1">IFERROR(__xludf.DUMMYFUNCTION("""COMPUTED_VALUE"""),0.342)</f>
        <v>0.34200000000000003</v>
      </c>
      <c r="W232" s="1">
        <f ca="1">IFERROR(__xludf.DUMMYFUNCTION("""COMPUTED_VALUE"""),546)</f>
        <v>546</v>
      </c>
      <c r="X232" s="1">
        <f ca="1">IFERROR(__xludf.DUMMYFUNCTION("""COMPUTED_VALUE"""),804)</f>
        <v>804</v>
      </c>
      <c r="Y232" s="1">
        <f ca="1">IFERROR(__xludf.DUMMYFUNCTION("""COMPUTED_VALUE"""),0.679)</f>
        <v>0.67900000000000005</v>
      </c>
      <c r="Z232" s="1">
        <f ca="1">IFERROR(__xludf.DUMMYFUNCTION("""COMPUTED_VALUE"""),334)</f>
        <v>334</v>
      </c>
      <c r="AA232" s="1">
        <f ca="1">IFERROR(__xludf.DUMMYFUNCTION("""COMPUTED_VALUE"""),1204)</f>
        <v>1204</v>
      </c>
      <c r="AB232" s="1">
        <f ca="1">IFERROR(__xludf.DUMMYFUNCTION("""COMPUTED_VALUE"""),420)</f>
        <v>420</v>
      </c>
      <c r="AC232" s="1">
        <f ca="1">IFERROR(__xludf.DUMMYFUNCTION("""COMPUTED_VALUE"""),209)</f>
        <v>209</v>
      </c>
      <c r="AD232" s="1">
        <f ca="1">IFERROR(__xludf.DUMMYFUNCTION("""COMPUTED_VALUE"""),130)</f>
        <v>130</v>
      </c>
      <c r="AE232" s="1">
        <f ca="1">IFERROR(__xludf.DUMMYFUNCTION("""COMPUTED_VALUE"""),480)</f>
        <v>480</v>
      </c>
      <c r="AF232" s="1">
        <f ca="1">IFERROR(__xludf.DUMMYFUNCTION("""COMPUTED_VALUE"""),671)</f>
        <v>671</v>
      </c>
    </row>
    <row r="233" spans="1:32" ht="12.5" x14ac:dyDescent="0.25">
      <c r="A233" s="1" t="str">
        <f ca="1">IFERROR(__xludf.DUMMYFUNCTION("""COMPUTED_VALUE"""),"North Florida")</f>
        <v>North Florida</v>
      </c>
      <c r="B233" s="1">
        <f ca="1">IFERROR(__xludf.DUMMYFUNCTION("""COMPUTED_VALUE"""),34)</f>
        <v>34</v>
      </c>
      <c r="C233" s="1">
        <f ca="1">IFERROR(__xludf.DUMMYFUNCTION("""COMPUTED_VALUE"""),15)</f>
        <v>15</v>
      </c>
      <c r="D233" s="1">
        <f ca="1">IFERROR(__xludf.DUMMYFUNCTION("""COMPUTED_VALUE"""),19)</f>
        <v>19</v>
      </c>
      <c r="E233" s="1">
        <f ca="1">IFERROR(__xludf.DUMMYFUNCTION("""COMPUTED_VALUE"""),0.441)</f>
        <v>0.441</v>
      </c>
      <c r="F233" s="1">
        <f ca="1">IFERROR(__xludf.DUMMYFUNCTION("""COMPUTED_VALUE"""),-6.25)</f>
        <v>-6.25</v>
      </c>
      <c r="G233" s="1">
        <f ca="1">IFERROR(__xludf.DUMMYFUNCTION("""COMPUTED_VALUE"""),0.31)</f>
        <v>0.31</v>
      </c>
      <c r="H233" s="1">
        <f ca="1">IFERROR(__xludf.DUMMYFUNCTION("""COMPUTED_VALUE"""),10)</f>
        <v>10</v>
      </c>
      <c r="I233" s="1">
        <f ca="1">IFERROR(__xludf.DUMMYFUNCTION("""COMPUTED_VALUE"""),10)</f>
        <v>10</v>
      </c>
      <c r="J233" s="1">
        <f ca="1">IFERROR(__xludf.DUMMYFUNCTION("""COMPUTED_VALUE"""),4)</f>
        <v>4</v>
      </c>
      <c r="K233" s="1">
        <f ca="1">IFERROR(__xludf.DUMMYFUNCTION("""COMPUTED_VALUE"""),7)</f>
        <v>7</v>
      </c>
      <c r="L233" s="1">
        <f ca="1">IFERROR(__xludf.DUMMYFUNCTION("""COMPUTED_VALUE"""),7)</f>
        <v>7</v>
      </c>
      <c r="M233" s="1">
        <f ca="1">IFERROR(__xludf.DUMMYFUNCTION("""COMPUTED_VALUE"""),11)</f>
        <v>11</v>
      </c>
      <c r="N233" s="1">
        <f ca="1">IFERROR(__xludf.DUMMYFUNCTION("""COMPUTED_VALUE"""),2208)</f>
        <v>2208</v>
      </c>
      <c r="O233" s="1">
        <f ca="1">IFERROR(__xludf.DUMMYFUNCTION("""COMPUTED_VALUE"""),2431)</f>
        <v>2431</v>
      </c>
      <c r="P233" s="1">
        <f ca="1">IFERROR(__xludf.DUMMYFUNCTION("""COMPUTED_VALUE"""),1380)</f>
        <v>1380</v>
      </c>
      <c r="Q233" s="1">
        <f ca="1">IFERROR(__xludf.DUMMYFUNCTION("""COMPUTED_VALUE"""),758)</f>
        <v>758</v>
      </c>
      <c r="R233" s="1">
        <f ca="1">IFERROR(__xludf.DUMMYFUNCTION("""COMPUTED_VALUE"""),1741)</f>
        <v>1741</v>
      </c>
      <c r="S233" s="1">
        <f ca="1">IFERROR(__xludf.DUMMYFUNCTION("""COMPUTED_VALUE"""),0.435)</f>
        <v>0.435</v>
      </c>
      <c r="T233" s="1">
        <f ca="1">IFERROR(__xludf.DUMMYFUNCTION("""COMPUTED_VALUE"""),203)</f>
        <v>203</v>
      </c>
      <c r="U233" s="1">
        <f ca="1">IFERROR(__xludf.DUMMYFUNCTION("""COMPUTED_VALUE"""),616)</f>
        <v>616</v>
      </c>
      <c r="V233" s="1">
        <f ca="1">IFERROR(__xludf.DUMMYFUNCTION("""COMPUTED_VALUE"""),0.33)</f>
        <v>0.33</v>
      </c>
      <c r="W233" s="1">
        <f ca="1">IFERROR(__xludf.DUMMYFUNCTION("""COMPUTED_VALUE"""),489)</f>
        <v>489</v>
      </c>
      <c r="X233" s="1">
        <f ca="1">IFERROR(__xludf.DUMMYFUNCTION("""COMPUTED_VALUE"""),740)</f>
        <v>740</v>
      </c>
      <c r="Y233" s="1">
        <f ca="1">IFERROR(__xludf.DUMMYFUNCTION("""COMPUTED_VALUE"""),0.661)</f>
        <v>0.66100000000000003</v>
      </c>
      <c r="Z233" s="1">
        <f ca="1">IFERROR(__xludf.DUMMYFUNCTION("""COMPUTED_VALUE"""),350)</f>
        <v>350</v>
      </c>
      <c r="AA233" s="1">
        <f ca="1">IFERROR(__xludf.DUMMYFUNCTION("""COMPUTED_VALUE"""),1087)</f>
        <v>1087</v>
      </c>
      <c r="AB233" s="1">
        <f ca="1">IFERROR(__xludf.DUMMYFUNCTION("""COMPUTED_VALUE"""),404)</f>
        <v>404</v>
      </c>
      <c r="AC233" s="1">
        <f ca="1">IFERROR(__xludf.DUMMYFUNCTION("""COMPUTED_VALUE"""),201)</f>
        <v>201</v>
      </c>
      <c r="AD233" s="1">
        <f ca="1">IFERROR(__xludf.DUMMYFUNCTION("""COMPUTED_VALUE"""),106)</f>
        <v>106</v>
      </c>
      <c r="AE233" s="1">
        <f ca="1">IFERROR(__xludf.DUMMYFUNCTION("""COMPUTED_VALUE"""),569)</f>
        <v>569</v>
      </c>
      <c r="AF233" s="1">
        <f ca="1">IFERROR(__xludf.DUMMYFUNCTION("""COMPUTED_VALUE"""),697)</f>
        <v>697</v>
      </c>
    </row>
    <row r="234" spans="1:32" ht="12.5" x14ac:dyDescent="0.25">
      <c r="A234" s="1" t="str">
        <f ca="1">IFERROR(__xludf.DUMMYFUNCTION("""COMPUTED_VALUE"""),"North Texas")</f>
        <v>North Texas</v>
      </c>
      <c r="B234" s="1">
        <f ca="1">IFERROR(__xludf.DUMMYFUNCTION("""COMPUTED_VALUE"""),33)</f>
        <v>33</v>
      </c>
      <c r="C234" s="1">
        <f ca="1">IFERROR(__xludf.DUMMYFUNCTION("""COMPUTED_VALUE"""),22)</f>
        <v>22</v>
      </c>
      <c r="D234" s="1">
        <f ca="1">IFERROR(__xludf.DUMMYFUNCTION("""COMPUTED_VALUE"""),11)</f>
        <v>11</v>
      </c>
      <c r="E234" s="1">
        <f ca="1">IFERROR(__xludf.DUMMYFUNCTION("""COMPUTED_VALUE"""),0.667)</f>
        <v>0.66700000000000004</v>
      </c>
      <c r="F234" s="1">
        <f ca="1">IFERROR(__xludf.DUMMYFUNCTION("""COMPUTED_VALUE"""),-1.49)</f>
        <v>-1.49</v>
      </c>
      <c r="G234" s="1">
        <f ca="1">IFERROR(__xludf.DUMMYFUNCTION("""COMPUTED_VALUE"""),-5.07)</f>
        <v>-5.07</v>
      </c>
      <c r="H234" s="1">
        <f ca="1">IFERROR(__xludf.DUMMYFUNCTION("""COMPUTED_VALUE"""),8)</f>
        <v>8</v>
      </c>
      <c r="I234" s="1">
        <f ca="1">IFERROR(__xludf.DUMMYFUNCTION("""COMPUTED_VALUE"""),8)</f>
        <v>8</v>
      </c>
      <c r="J234" s="1">
        <f ca="1">IFERROR(__xludf.DUMMYFUNCTION("""COMPUTED_VALUE"""),14)</f>
        <v>14</v>
      </c>
      <c r="K234" s="1">
        <f ca="1">IFERROR(__xludf.DUMMYFUNCTION("""COMPUTED_VALUE"""),2)</f>
        <v>2</v>
      </c>
      <c r="L234" s="1">
        <f ca="1">IFERROR(__xludf.DUMMYFUNCTION("""COMPUTED_VALUE"""),5)</f>
        <v>5</v>
      </c>
      <c r="M234" s="1">
        <f ca="1">IFERROR(__xludf.DUMMYFUNCTION("""COMPUTED_VALUE"""),8)</f>
        <v>8</v>
      </c>
      <c r="N234" s="1">
        <f ca="1">IFERROR(__xludf.DUMMYFUNCTION("""COMPUTED_VALUE"""),2516)</f>
        <v>2516</v>
      </c>
      <c r="O234" s="1">
        <f ca="1">IFERROR(__xludf.DUMMYFUNCTION("""COMPUTED_VALUE"""),2358)</f>
        <v>2358</v>
      </c>
      <c r="P234" s="1">
        <f ca="1">IFERROR(__xludf.DUMMYFUNCTION("""COMPUTED_VALUE"""),1325)</f>
        <v>1325</v>
      </c>
      <c r="Q234" s="1">
        <f ca="1">IFERROR(__xludf.DUMMYFUNCTION("""COMPUTED_VALUE"""),831)</f>
        <v>831</v>
      </c>
      <c r="R234" s="1">
        <f ca="1">IFERROR(__xludf.DUMMYFUNCTION("""COMPUTED_VALUE"""),1735)</f>
        <v>1735</v>
      </c>
      <c r="S234" s="1">
        <f ca="1">IFERROR(__xludf.DUMMYFUNCTION("""COMPUTED_VALUE"""),0.479)</f>
        <v>0.47899999999999998</v>
      </c>
      <c r="T234" s="1">
        <f ca="1">IFERROR(__xludf.DUMMYFUNCTION("""COMPUTED_VALUE"""),179)</f>
        <v>179</v>
      </c>
      <c r="U234" s="1">
        <f ca="1">IFERROR(__xludf.DUMMYFUNCTION("""COMPUTED_VALUE"""),474)</f>
        <v>474</v>
      </c>
      <c r="V234" s="1">
        <f ca="1">IFERROR(__xludf.DUMMYFUNCTION("""COMPUTED_VALUE"""),0.378)</f>
        <v>0.378</v>
      </c>
      <c r="W234" s="1">
        <f ca="1">IFERROR(__xludf.DUMMYFUNCTION("""COMPUTED_VALUE"""),675)</f>
        <v>675</v>
      </c>
      <c r="X234" s="1">
        <f ca="1">IFERROR(__xludf.DUMMYFUNCTION("""COMPUTED_VALUE"""),900)</f>
        <v>900</v>
      </c>
      <c r="Y234" s="1">
        <f ca="1">IFERROR(__xludf.DUMMYFUNCTION("""COMPUTED_VALUE"""),0.75)</f>
        <v>0.75</v>
      </c>
      <c r="Z234" s="1">
        <f ca="1">IFERROR(__xludf.DUMMYFUNCTION("""COMPUTED_VALUE"""),323)</f>
        <v>323</v>
      </c>
      <c r="AA234" s="1">
        <f ca="1">IFERROR(__xludf.DUMMYFUNCTION("""COMPUTED_VALUE"""),1165)</f>
        <v>1165</v>
      </c>
      <c r="AB234" s="1">
        <f ca="1">IFERROR(__xludf.DUMMYFUNCTION("""COMPUTED_VALUE"""),407)</f>
        <v>407</v>
      </c>
      <c r="AC234" s="1">
        <f ca="1">IFERROR(__xludf.DUMMYFUNCTION("""COMPUTED_VALUE"""),139)</f>
        <v>139</v>
      </c>
      <c r="AD234" s="1">
        <f ca="1">IFERROR(__xludf.DUMMYFUNCTION("""COMPUTED_VALUE"""),77)</f>
        <v>77</v>
      </c>
      <c r="AE234" s="1">
        <f ca="1">IFERROR(__xludf.DUMMYFUNCTION("""COMPUTED_VALUE"""),439)</f>
        <v>439</v>
      </c>
      <c r="AF234" s="1">
        <f ca="1">IFERROR(__xludf.DUMMYFUNCTION("""COMPUTED_VALUE"""),598)</f>
        <v>598</v>
      </c>
    </row>
    <row r="235" spans="1:32" ht="12.5" x14ac:dyDescent="0.25">
      <c r="A235" s="1" t="str">
        <f ca="1">IFERROR(__xludf.DUMMYFUNCTION("""COMPUTED_VALUE"""),"Northeastern")</f>
        <v>Northeastern</v>
      </c>
      <c r="B235" s="1">
        <f ca="1">IFERROR(__xludf.DUMMYFUNCTION("""COMPUTED_VALUE"""),31)</f>
        <v>31</v>
      </c>
      <c r="C235" s="1">
        <f ca="1">IFERROR(__xludf.DUMMYFUNCTION("""COMPUTED_VALUE"""),11)</f>
        <v>11</v>
      </c>
      <c r="D235" s="1">
        <f ca="1">IFERROR(__xludf.DUMMYFUNCTION("""COMPUTED_VALUE"""),20)</f>
        <v>20</v>
      </c>
      <c r="E235" s="1">
        <f ca="1">IFERROR(__xludf.DUMMYFUNCTION("""COMPUTED_VALUE"""),0.355)</f>
        <v>0.35499999999999998</v>
      </c>
      <c r="F235" s="1">
        <f ca="1">IFERROR(__xludf.DUMMYFUNCTION("""COMPUTED_VALUE"""),-2.67)</f>
        <v>-2.67</v>
      </c>
      <c r="G235" s="1">
        <f ca="1">IFERROR(__xludf.DUMMYFUNCTION("""COMPUTED_VALUE"""),1.17)</f>
        <v>1.17</v>
      </c>
      <c r="H235" s="1">
        <f ca="1">IFERROR(__xludf.DUMMYFUNCTION("""COMPUTED_VALUE"""),6)</f>
        <v>6</v>
      </c>
      <c r="I235" s="1">
        <f ca="1">IFERROR(__xludf.DUMMYFUNCTION("""COMPUTED_VALUE"""),12)</f>
        <v>12</v>
      </c>
      <c r="J235" s="1">
        <f ca="1">IFERROR(__xludf.DUMMYFUNCTION("""COMPUTED_VALUE"""),6)</f>
        <v>6</v>
      </c>
      <c r="K235" s="1">
        <f ca="1">IFERROR(__xludf.DUMMYFUNCTION("""COMPUTED_VALUE"""),5)</f>
        <v>5</v>
      </c>
      <c r="L235" s="1">
        <f ca="1">IFERROR(__xludf.DUMMYFUNCTION("""COMPUTED_VALUE"""),3)</f>
        <v>3</v>
      </c>
      <c r="M235" s="1">
        <f ca="1">IFERROR(__xludf.DUMMYFUNCTION("""COMPUTED_VALUE"""),10)</f>
        <v>10</v>
      </c>
      <c r="N235" s="1">
        <f ca="1">IFERROR(__xludf.DUMMYFUNCTION("""COMPUTED_VALUE"""),2064)</f>
        <v>2064</v>
      </c>
      <c r="O235" s="1">
        <f ca="1">IFERROR(__xludf.DUMMYFUNCTION("""COMPUTED_VALUE"""),2183)</f>
        <v>2183</v>
      </c>
      <c r="P235" s="1">
        <f ca="1">IFERROR(__xludf.DUMMYFUNCTION("""COMPUTED_VALUE"""),1250)</f>
        <v>1250</v>
      </c>
      <c r="Q235" s="1">
        <f ca="1">IFERROR(__xludf.DUMMYFUNCTION("""COMPUTED_VALUE"""),719)</f>
        <v>719</v>
      </c>
      <c r="R235" s="1">
        <f ca="1">IFERROR(__xludf.DUMMYFUNCTION("""COMPUTED_VALUE"""),1610)</f>
        <v>1610</v>
      </c>
      <c r="S235" s="1">
        <f ca="1">IFERROR(__xludf.DUMMYFUNCTION("""COMPUTED_VALUE"""),0.447)</f>
        <v>0.44700000000000001</v>
      </c>
      <c r="T235" s="1">
        <f ca="1">IFERROR(__xludf.DUMMYFUNCTION("""COMPUTED_VALUE"""),193)</f>
        <v>193</v>
      </c>
      <c r="U235" s="1">
        <f ca="1">IFERROR(__xludf.DUMMYFUNCTION("""COMPUTED_VALUE"""),509)</f>
        <v>509</v>
      </c>
      <c r="V235" s="1">
        <f ca="1">IFERROR(__xludf.DUMMYFUNCTION("""COMPUTED_VALUE"""),0.379)</f>
        <v>0.379</v>
      </c>
      <c r="W235" s="1">
        <f ca="1">IFERROR(__xludf.DUMMYFUNCTION("""COMPUTED_VALUE"""),433)</f>
        <v>433</v>
      </c>
      <c r="X235" s="1">
        <f ca="1">IFERROR(__xludf.DUMMYFUNCTION("""COMPUTED_VALUE"""),577)</f>
        <v>577</v>
      </c>
      <c r="Y235" s="1">
        <f ca="1">IFERROR(__xludf.DUMMYFUNCTION("""COMPUTED_VALUE"""),0.75)</f>
        <v>0.75</v>
      </c>
      <c r="Z235" s="1">
        <f ca="1">IFERROR(__xludf.DUMMYFUNCTION("""COMPUTED_VALUE"""),294)</f>
        <v>294</v>
      </c>
      <c r="AA235" s="1">
        <f ca="1">IFERROR(__xludf.DUMMYFUNCTION("""COMPUTED_VALUE"""),897)</f>
        <v>897</v>
      </c>
      <c r="AB235" s="1">
        <f ca="1">IFERROR(__xludf.DUMMYFUNCTION("""COMPUTED_VALUE"""),427)</f>
        <v>427</v>
      </c>
      <c r="AC235" s="1">
        <f ca="1">IFERROR(__xludf.DUMMYFUNCTION("""COMPUTED_VALUE"""),211)</f>
        <v>211</v>
      </c>
      <c r="AD235" s="1">
        <f ca="1">IFERROR(__xludf.DUMMYFUNCTION("""COMPUTED_VALUE"""),70)</f>
        <v>70</v>
      </c>
      <c r="AE235" s="1">
        <f ca="1">IFERROR(__xludf.DUMMYFUNCTION("""COMPUTED_VALUE"""),389)</f>
        <v>389</v>
      </c>
      <c r="AF235" s="1">
        <f ca="1">IFERROR(__xludf.DUMMYFUNCTION("""COMPUTED_VALUE"""),595)</f>
        <v>595</v>
      </c>
    </row>
    <row r="236" spans="1:32" ht="12.5" x14ac:dyDescent="0.25">
      <c r="A236" s="1" t="str">
        <f ca="1">IFERROR(__xludf.DUMMYFUNCTION("""COMPUTED_VALUE"""),"Northern Arizona")</f>
        <v>Northern Arizona</v>
      </c>
      <c r="B236" s="1">
        <f ca="1">IFERROR(__xludf.DUMMYFUNCTION("""COMPUTED_VALUE"""),32)</f>
        <v>32</v>
      </c>
      <c r="C236" s="1">
        <f ca="1">IFERROR(__xludf.DUMMYFUNCTION("""COMPUTED_VALUE"""),19)</f>
        <v>19</v>
      </c>
      <c r="D236" s="1">
        <f ca="1">IFERROR(__xludf.DUMMYFUNCTION("""COMPUTED_VALUE"""),13)</f>
        <v>13</v>
      </c>
      <c r="E236" s="1">
        <f ca="1">IFERROR(__xludf.DUMMYFUNCTION("""COMPUTED_VALUE"""),0.594)</f>
        <v>0.59399999999999997</v>
      </c>
      <c r="F236" s="1">
        <f ca="1">IFERROR(__xludf.DUMMYFUNCTION("""COMPUTED_VALUE"""),0.62)</f>
        <v>0.62</v>
      </c>
      <c r="G236" s="1">
        <f ca="1">IFERROR(__xludf.DUMMYFUNCTION("""COMPUTED_VALUE"""),-3.72)</f>
        <v>-3.72</v>
      </c>
      <c r="H236" s="1">
        <f ca="1">IFERROR(__xludf.DUMMYFUNCTION("""COMPUTED_VALUE"""),9)</f>
        <v>9</v>
      </c>
      <c r="I236" s="1">
        <f ca="1">IFERROR(__xludf.DUMMYFUNCTION("""COMPUTED_VALUE"""),7)</f>
        <v>7</v>
      </c>
      <c r="J236" s="1">
        <f ca="1">IFERROR(__xludf.DUMMYFUNCTION("""COMPUTED_VALUE"""),13)</f>
        <v>13</v>
      </c>
      <c r="K236" s="1">
        <f ca="1">IFERROR(__xludf.DUMMYFUNCTION("""COMPUTED_VALUE"""),1)</f>
        <v>1</v>
      </c>
      <c r="L236" s="1">
        <f ca="1">IFERROR(__xludf.DUMMYFUNCTION("""COMPUTED_VALUE"""),6)</f>
        <v>6</v>
      </c>
      <c r="M236" s="1">
        <f ca="1">IFERROR(__xludf.DUMMYFUNCTION("""COMPUTED_VALUE"""),12)</f>
        <v>12</v>
      </c>
      <c r="N236" s="1">
        <f ca="1">IFERROR(__xludf.DUMMYFUNCTION("""COMPUTED_VALUE"""),2299)</f>
        <v>2299</v>
      </c>
      <c r="O236" s="1">
        <f ca="1">IFERROR(__xludf.DUMMYFUNCTION("""COMPUTED_VALUE"""),2078)</f>
        <v>2078</v>
      </c>
      <c r="P236" s="1">
        <f ca="1">IFERROR(__xludf.DUMMYFUNCTION("""COMPUTED_VALUE"""),1290)</f>
        <v>1290</v>
      </c>
      <c r="Q236" s="1">
        <f ca="1">IFERROR(__xludf.DUMMYFUNCTION("""COMPUTED_VALUE"""),850)</f>
        <v>850</v>
      </c>
      <c r="R236" s="1">
        <f ca="1">IFERROR(__xludf.DUMMYFUNCTION("""COMPUTED_VALUE"""),1747)</f>
        <v>1747</v>
      </c>
      <c r="S236" s="1">
        <f ca="1">IFERROR(__xludf.DUMMYFUNCTION("""COMPUTED_VALUE"""),0.487)</f>
        <v>0.48699999999999999</v>
      </c>
      <c r="T236" s="1">
        <f ca="1">IFERROR(__xludf.DUMMYFUNCTION("""COMPUTED_VALUE"""),205)</f>
        <v>205</v>
      </c>
      <c r="U236" s="1">
        <f ca="1">IFERROR(__xludf.DUMMYFUNCTION("""COMPUTED_VALUE"""),485)</f>
        <v>485</v>
      </c>
      <c r="V236" s="1">
        <f ca="1">IFERROR(__xludf.DUMMYFUNCTION("""COMPUTED_VALUE"""),0.423)</f>
        <v>0.42299999999999999</v>
      </c>
      <c r="W236" s="1">
        <f ca="1">IFERROR(__xludf.DUMMYFUNCTION("""COMPUTED_VALUE"""),394)</f>
        <v>394</v>
      </c>
      <c r="X236" s="1">
        <f ca="1">IFERROR(__xludf.DUMMYFUNCTION("""COMPUTED_VALUE"""),593)</f>
        <v>593</v>
      </c>
      <c r="Y236" s="1">
        <f ca="1">IFERROR(__xludf.DUMMYFUNCTION("""COMPUTED_VALUE"""),0.664)</f>
        <v>0.66400000000000003</v>
      </c>
      <c r="Z236" s="1">
        <f ca="1">IFERROR(__xludf.DUMMYFUNCTION("""COMPUTED_VALUE"""),313)</f>
        <v>313</v>
      </c>
      <c r="AA236" s="1">
        <f ca="1">IFERROR(__xludf.DUMMYFUNCTION("""COMPUTED_VALUE"""),1078)</f>
        <v>1078</v>
      </c>
      <c r="AB236" s="1">
        <f ca="1">IFERROR(__xludf.DUMMYFUNCTION("""COMPUTED_VALUE"""),546)</f>
        <v>546</v>
      </c>
      <c r="AC236" s="1">
        <f ca="1">IFERROR(__xludf.DUMMYFUNCTION("""COMPUTED_VALUE"""),202)</f>
        <v>202</v>
      </c>
      <c r="AD236" s="1">
        <f ca="1">IFERROR(__xludf.DUMMYFUNCTION("""COMPUTED_VALUE"""),133)</f>
        <v>133</v>
      </c>
      <c r="AE236" s="1">
        <f ca="1">IFERROR(__xludf.DUMMYFUNCTION("""COMPUTED_VALUE"""),417)</f>
        <v>417</v>
      </c>
      <c r="AF236" s="1">
        <f ca="1">IFERROR(__xludf.DUMMYFUNCTION("""COMPUTED_VALUE"""),609)</f>
        <v>609</v>
      </c>
    </row>
    <row r="237" spans="1:32" ht="12.5" x14ac:dyDescent="0.25">
      <c r="A237" s="1" t="str">
        <f ca="1">IFERROR(__xludf.DUMMYFUNCTION("""COMPUTED_VALUE"""),"Northern ColoradoNCAA")</f>
        <v>Northern ColoradoNCAA</v>
      </c>
      <c r="B237" s="1">
        <f ca="1">IFERROR(__xludf.DUMMYFUNCTION("""COMPUTED_VALUE"""),32)</f>
        <v>32</v>
      </c>
      <c r="C237" s="1">
        <f ca="1">IFERROR(__xludf.DUMMYFUNCTION("""COMPUTED_VALUE"""),21)</f>
        <v>21</v>
      </c>
      <c r="D237" s="1">
        <f ca="1">IFERROR(__xludf.DUMMYFUNCTION("""COMPUTED_VALUE"""),11)</f>
        <v>11</v>
      </c>
      <c r="E237" s="1">
        <f ca="1">IFERROR(__xludf.DUMMYFUNCTION("""COMPUTED_VALUE"""),0.656)</f>
        <v>0.65600000000000003</v>
      </c>
      <c r="F237" s="1">
        <f ca="1">IFERROR(__xludf.DUMMYFUNCTION("""COMPUTED_VALUE"""),1.39)</f>
        <v>1.39</v>
      </c>
      <c r="G237" s="1">
        <f ca="1">IFERROR(__xludf.DUMMYFUNCTION("""COMPUTED_VALUE"""),-2.24)</f>
        <v>-2.2400000000000002</v>
      </c>
      <c r="H237" s="1">
        <f ca="1">IFERROR(__xludf.DUMMYFUNCTION("""COMPUTED_VALUE"""),13)</f>
        <v>13</v>
      </c>
      <c r="I237" s="1">
        <f ca="1">IFERROR(__xludf.DUMMYFUNCTION("""COMPUTED_VALUE"""),3)</f>
        <v>3</v>
      </c>
      <c r="J237" s="1">
        <f ca="1">IFERROR(__xludf.DUMMYFUNCTION("""COMPUTED_VALUE"""),14)</f>
        <v>14</v>
      </c>
      <c r="K237" s="1">
        <f ca="1">IFERROR(__xludf.DUMMYFUNCTION("""COMPUTED_VALUE"""),0)</f>
        <v>0</v>
      </c>
      <c r="L237" s="1">
        <f ca="1">IFERROR(__xludf.DUMMYFUNCTION("""COMPUTED_VALUE"""),6)</f>
        <v>6</v>
      </c>
      <c r="M237" s="1">
        <f ca="1">IFERROR(__xludf.DUMMYFUNCTION("""COMPUTED_VALUE"""),9)</f>
        <v>9</v>
      </c>
      <c r="N237" s="1">
        <f ca="1">IFERROR(__xludf.DUMMYFUNCTION("""COMPUTED_VALUE"""),2287)</f>
        <v>2287</v>
      </c>
      <c r="O237" s="1">
        <f ca="1">IFERROR(__xludf.DUMMYFUNCTION("""COMPUTED_VALUE"""),2105)</f>
        <v>2105</v>
      </c>
      <c r="P237" s="1">
        <f ca="1">IFERROR(__xludf.DUMMYFUNCTION("""COMPUTED_VALUE"""),1280)</f>
        <v>1280</v>
      </c>
      <c r="Q237" s="1">
        <f ca="1">IFERROR(__xludf.DUMMYFUNCTION("""COMPUTED_VALUE"""),731)</f>
        <v>731</v>
      </c>
      <c r="R237" s="1">
        <f ca="1">IFERROR(__xludf.DUMMYFUNCTION("""COMPUTED_VALUE"""),1708)</f>
        <v>1708</v>
      </c>
      <c r="S237" s="1">
        <f ca="1">IFERROR(__xludf.DUMMYFUNCTION("""COMPUTED_VALUE"""),0.428)</f>
        <v>0.42799999999999999</v>
      </c>
      <c r="T237" s="1">
        <f ca="1">IFERROR(__xludf.DUMMYFUNCTION("""COMPUTED_VALUE"""),254)</f>
        <v>254</v>
      </c>
      <c r="U237" s="1">
        <f ca="1">IFERROR(__xludf.DUMMYFUNCTION("""COMPUTED_VALUE"""),657)</f>
        <v>657</v>
      </c>
      <c r="V237" s="1">
        <f ca="1">IFERROR(__xludf.DUMMYFUNCTION("""COMPUTED_VALUE"""),0.387)</f>
        <v>0.38700000000000001</v>
      </c>
      <c r="W237" s="1">
        <f ca="1">IFERROR(__xludf.DUMMYFUNCTION("""COMPUTED_VALUE"""),571)</f>
        <v>571</v>
      </c>
      <c r="X237" s="1">
        <f ca="1">IFERROR(__xludf.DUMMYFUNCTION("""COMPUTED_VALUE"""),742)</f>
        <v>742</v>
      </c>
      <c r="Y237" s="1">
        <f ca="1">IFERROR(__xludf.DUMMYFUNCTION("""COMPUTED_VALUE"""),0.77)</f>
        <v>0.77</v>
      </c>
      <c r="Z237" s="1">
        <f ca="1">IFERROR(__xludf.DUMMYFUNCTION("""COMPUTED_VALUE"""),376)</f>
        <v>376</v>
      </c>
      <c r="AA237" s="1">
        <f ca="1">IFERROR(__xludf.DUMMYFUNCTION("""COMPUTED_VALUE"""),1150)</f>
        <v>1150</v>
      </c>
      <c r="AB237" s="1">
        <f ca="1">IFERROR(__xludf.DUMMYFUNCTION("""COMPUTED_VALUE"""),371)</f>
        <v>371</v>
      </c>
      <c r="AC237" s="1">
        <f ca="1">IFERROR(__xludf.DUMMYFUNCTION("""COMPUTED_VALUE"""),191)</f>
        <v>191</v>
      </c>
      <c r="AD237" s="1">
        <f ca="1">IFERROR(__xludf.DUMMYFUNCTION("""COMPUTED_VALUE"""),62)</f>
        <v>62</v>
      </c>
      <c r="AE237" s="1">
        <f ca="1">IFERROR(__xludf.DUMMYFUNCTION("""COMPUTED_VALUE"""),454)</f>
        <v>454</v>
      </c>
      <c r="AF237" s="1">
        <f ca="1">IFERROR(__xludf.DUMMYFUNCTION("""COMPUTED_VALUE"""),609)</f>
        <v>609</v>
      </c>
    </row>
    <row r="238" spans="1:32" ht="12.5" x14ac:dyDescent="0.25">
      <c r="A238" s="1" t="str">
        <f ca="1">IFERROR(__xludf.DUMMYFUNCTION("""COMPUTED_VALUE"""),"Northern Illinois")</f>
        <v>Northern Illinois</v>
      </c>
      <c r="B238" s="1">
        <f ca="1">IFERROR(__xludf.DUMMYFUNCTION("""COMPUTED_VALUE"""),30)</f>
        <v>30</v>
      </c>
      <c r="C238" s="1">
        <f ca="1">IFERROR(__xludf.DUMMYFUNCTION("""COMPUTED_VALUE"""),9)</f>
        <v>9</v>
      </c>
      <c r="D238" s="1">
        <f ca="1">IFERROR(__xludf.DUMMYFUNCTION("""COMPUTED_VALUE"""),21)</f>
        <v>21</v>
      </c>
      <c r="E238" s="1">
        <f ca="1">IFERROR(__xludf.DUMMYFUNCTION("""COMPUTED_VALUE"""),0.3)</f>
        <v>0.3</v>
      </c>
      <c r="F238" s="1">
        <f ca="1">IFERROR(__xludf.DUMMYFUNCTION("""COMPUTED_VALUE"""),-8.05)</f>
        <v>-8.0500000000000007</v>
      </c>
      <c r="G238" s="1">
        <f ca="1">IFERROR(__xludf.DUMMYFUNCTION("""COMPUTED_VALUE"""),-2.26)</f>
        <v>-2.2599999999999998</v>
      </c>
      <c r="H238" s="1">
        <f ca="1">IFERROR(__xludf.DUMMYFUNCTION("""COMPUTED_VALUE"""),5)</f>
        <v>5</v>
      </c>
      <c r="I238" s="1">
        <f ca="1">IFERROR(__xludf.DUMMYFUNCTION("""COMPUTED_VALUE"""),11)</f>
        <v>11</v>
      </c>
      <c r="J238" s="1">
        <f ca="1">IFERROR(__xludf.DUMMYFUNCTION("""COMPUTED_VALUE"""),6)</f>
        <v>6</v>
      </c>
      <c r="K238" s="1">
        <f ca="1">IFERROR(__xludf.DUMMYFUNCTION("""COMPUTED_VALUE"""),8)</f>
        <v>8</v>
      </c>
      <c r="L238" s="1">
        <f ca="1">IFERROR(__xludf.DUMMYFUNCTION("""COMPUTED_VALUE"""),3)</f>
        <v>3</v>
      </c>
      <c r="M238" s="1">
        <f ca="1">IFERROR(__xludf.DUMMYFUNCTION("""COMPUTED_VALUE"""),13)</f>
        <v>13</v>
      </c>
      <c r="N238" s="1">
        <f ca="1">IFERROR(__xludf.DUMMYFUNCTION("""COMPUTED_VALUE"""),2055)</f>
        <v>2055</v>
      </c>
      <c r="O238" s="1">
        <f ca="1">IFERROR(__xludf.DUMMYFUNCTION("""COMPUTED_VALUE"""),2199)</f>
        <v>2199</v>
      </c>
      <c r="P238" s="1">
        <f ca="1">IFERROR(__xludf.DUMMYFUNCTION("""COMPUTED_VALUE"""),1210)</f>
        <v>1210</v>
      </c>
      <c r="Q238" s="1">
        <f ca="1">IFERROR(__xludf.DUMMYFUNCTION("""COMPUTED_VALUE"""),713)</f>
        <v>713</v>
      </c>
      <c r="R238" s="1">
        <f ca="1">IFERROR(__xludf.DUMMYFUNCTION("""COMPUTED_VALUE"""),1694)</f>
        <v>1694</v>
      </c>
      <c r="S238" s="1">
        <f ca="1">IFERROR(__xludf.DUMMYFUNCTION("""COMPUTED_VALUE"""),0.421)</f>
        <v>0.42099999999999999</v>
      </c>
      <c r="T238" s="1">
        <f ca="1">IFERROR(__xludf.DUMMYFUNCTION("""COMPUTED_VALUE"""),174)</f>
        <v>174</v>
      </c>
      <c r="U238" s="1">
        <f ca="1">IFERROR(__xludf.DUMMYFUNCTION("""COMPUTED_VALUE"""),537)</f>
        <v>537</v>
      </c>
      <c r="V238" s="1">
        <f ca="1">IFERROR(__xludf.DUMMYFUNCTION("""COMPUTED_VALUE"""),0.324)</f>
        <v>0.32400000000000001</v>
      </c>
      <c r="W238" s="1">
        <f ca="1">IFERROR(__xludf.DUMMYFUNCTION("""COMPUTED_VALUE"""),455)</f>
        <v>455</v>
      </c>
      <c r="X238" s="1">
        <f ca="1">IFERROR(__xludf.DUMMYFUNCTION("""COMPUTED_VALUE"""),653)</f>
        <v>653</v>
      </c>
      <c r="Y238" s="1">
        <f ca="1">IFERROR(__xludf.DUMMYFUNCTION("""COMPUTED_VALUE"""),0.697)</f>
        <v>0.69699999999999995</v>
      </c>
      <c r="Z238" s="1">
        <f ca="1">IFERROR(__xludf.DUMMYFUNCTION("""COMPUTED_VALUE"""),341)</f>
        <v>341</v>
      </c>
      <c r="AA238" s="1">
        <f ca="1">IFERROR(__xludf.DUMMYFUNCTION("""COMPUTED_VALUE"""),1100)</f>
        <v>1100</v>
      </c>
      <c r="AB238" s="1">
        <f ca="1">IFERROR(__xludf.DUMMYFUNCTION("""COMPUTED_VALUE"""),361)</f>
        <v>361</v>
      </c>
      <c r="AC238" s="1">
        <f ca="1">IFERROR(__xludf.DUMMYFUNCTION("""COMPUTED_VALUE"""),168)</f>
        <v>168</v>
      </c>
      <c r="AD238" s="1">
        <f ca="1">IFERROR(__xludf.DUMMYFUNCTION("""COMPUTED_VALUE"""),73)</f>
        <v>73</v>
      </c>
      <c r="AE238" s="1">
        <f ca="1">IFERROR(__xludf.DUMMYFUNCTION("""COMPUTED_VALUE"""),428)</f>
        <v>428</v>
      </c>
      <c r="AF238" s="1">
        <f ca="1">IFERROR(__xludf.DUMMYFUNCTION("""COMPUTED_VALUE"""),606)</f>
        <v>606</v>
      </c>
    </row>
    <row r="239" spans="1:32" ht="12.5" x14ac:dyDescent="0.25">
      <c r="A239" s="1" t="str">
        <f ca="1">IFERROR(__xludf.DUMMYFUNCTION("""COMPUTED_VALUE"""),"Northern Iowa")</f>
        <v>Northern Iowa</v>
      </c>
      <c r="B239" s="1">
        <f ca="1">IFERROR(__xludf.DUMMYFUNCTION("""COMPUTED_VALUE"""),34)</f>
        <v>34</v>
      </c>
      <c r="C239" s="1">
        <f ca="1">IFERROR(__xludf.DUMMYFUNCTION("""COMPUTED_VALUE"""),20)</f>
        <v>20</v>
      </c>
      <c r="D239" s="1">
        <f ca="1">IFERROR(__xludf.DUMMYFUNCTION("""COMPUTED_VALUE"""),14)</f>
        <v>14</v>
      </c>
      <c r="E239" s="1">
        <f ca="1">IFERROR(__xludf.DUMMYFUNCTION("""COMPUTED_VALUE"""),0.588)</f>
        <v>0.58799999999999997</v>
      </c>
      <c r="F239" s="1">
        <f ca="1">IFERROR(__xludf.DUMMYFUNCTION("""COMPUTED_VALUE"""),4.53)</f>
        <v>4.53</v>
      </c>
      <c r="G239" s="1">
        <f ca="1">IFERROR(__xludf.DUMMYFUNCTION("""COMPUTED_VALUE"""),2.04)</f>
        <v>2.04</v>
      </c>
      <c r="H239" s="1">
        <f ca="1">IFERROR(__xludf.DUMMYFUNCTION("""COMPUTED_VALUE"""),10)</f>
        <v>10</v>
      </c>
      <c r="I239" s="1">
        <f ca="1">IFERROR(__xludf.DUMMYFUNCTION("""COMPUTED_VALUE"""),8)</f>
        <v>8</v>
      </c>
      <c r="J239" s="1">
        <f ca="1">IFERROR(__xludf.DUMMYFUNCTION("""COMPUTED_VALUE"""),13)</f>
        <v>13</v>
      </c>
      <c r="K239" s="1">
        <f ca="1">IFERROR(__xludf.DUMMYFUNCTION("""COMPUTED_VALUE"""),5)</f>
        <v>5</v>
      </c>
      <c r="L239" s="1">
        <f ca="1">IFERROR(__xludf.DUMMYFUNCTION("""COMPUTED_VALUE"""),5)</f>
        <v>5</v>
      </c>
      <c r="M239" s="1">
        <f ca="1">IFERROR(__xludf.DUMMYFUNCTION("""COMPUTED_VALUE"""),8)</f>
        <v>8</v>
      </c>
      <c r="N239" s="1">
        <f ca="1">IFERROR(__xludf.DUMMYFUNCTION("""COMPUTED_VALUE"""),2167)</f>
        <v>2167</v>
      </c>
      <c r="O239" s="1">
        <f ca="1">IFERROR(__xludf.DUMMYFUNCTION("""COMPUTED_VALUE"""),2046)</f>
        <v>2046</v>
      </c>
      <c r="P239" s="1">
        <f ca="1">IFERROR(__xludf.DUMMYFUNCTION("""COMPUTED_VALUE"""),1360)</f>
        <v>1360</v>
      </c>
      <c r="Q239" s="1">
        <f ca="1">IFERROR(__xludf.DUMMYFUNCTION("""COMPUTED_VALUE"""),728)</f>
        <v>728</v>
      </c>
      <c r="R239" s="1">
        <f ca="1">IFERROR(__xludf.DUMMYFUNCTION("""COMPUTED_VALUE"""),1702)</f>
        <v>1702</v>
      </c>
      <c r="S239" s="1">
        <f ca="1">IFERROR(__xludf.DUMMYFUNCTION("""COMPUTED_VALUE"""),0.428)</f>
        <v>0.42799999999999999</v>
      </c>
      <c r="T239" s="1">
        <f ca="1">IFERROR(__xludf.DUMMYFUNCTION("""COMPUTED_VALUE"""),250)</f>
        <v>250</v>
      </c>
      <c r="U239" s="1">
        <f ca="1">IFERROR(__xludf.DUMMYFUNCTION("""COMPUTED_VALUE"""),727)</f>
        <v>727</v>
      </c>
      <c r="V239" s="1">
        <f ca="1">IFERROR(__xludf.DUMMYFUNCTION("""COMPUTED_VALUE"""),0.344)</f>
        <v>0.34399999999999997</v>
      </c>
      <c r="W239" s="1">
        <f ca="1">IFERROR(__xludf.DUMMYFUNCTION("""COMPUTED_VALUE"""),461)</f>
        <v>461</v>
      </c>
      <c r="X239" s="1">
        <f ca="1">IFERROR(__xludf.DUMMYFUNCTION("""COMPUTED_VALUE"""),605)</f>
        <v>605</v>
      </c>
      <c r="Y239" s="1">
        <f ca="1">IFERROR(__xludf.DUMMYFUNCTION("""COMPUTED_VALUE"""),0.762)</f>
        <v>0.76200000000000001</v>
      </c>
      <c r="Z239" s="1">
        <f ca="1">IFERROR(__xludf.DUMMYFUNCTION("""COMPUTED_VALUE"""),268)</f>
        <v>268</v>
      </c>
      <c r="AA239" s="1">
        <f ca="1">IFERROR(__xludf.DUMMYFUNCTION("""COMPUTED_VALUE"""),1010)</f>
        <v>1010</v>
      </c>
      <c r="AB239" s="1">
        <f ca="1">IFERROR(__xludf.DUMMYFUNCTION("""COMPUTED_VALUE"""),359)</f>
        <v>359</v>
      </c>
      <c r="AC239" s="1">
        <f ca="1">IFERROR(__xludf.DUMMYFUNCTION("""COMPUTED_VALUE"""),171)</f>
        <v>171</v>
      </c>
      <c r="AD239" s="1">
        <f ca="1">IFERROR(__xludf.DUMMYFUNCTION("""COMPUTED_VALUE"""),57)</f>
        <v>57</v>
      </c>
      <c r="AE239" s="1">
        <f ca="1">IFERROR(__xludf.DUMMYFUNCTION("""COMPUTED_VALUE"""),314)</f>
        <v>314</v>
      </c>
      <c r="AF239" s="1">
        <f ca="1">IFERROR(__xludf.DUMMYFUNCTION("""COMPUTED_VALUE"""),583)</f>
        <v>583</v>
      </c>
    </row>
    <row r="240" spans="1:32" ht="12.5" x14ac:dyDescent="0.25">
      <c r="A240" s="1" t="str">
        <f ca="1">IFERROR(__xludf.DUMMYFUNCTION("""COMPUTED_VALUE"""),"Northwestern State")</f>
        <v>Northwestern State</v>
      </c>
      <c r="B240" s="1">
        <f ca="1">IFERROR(__xludf.DUMMYFUNCTION("""COMPUTED_VALUE"""),32)</f>
        <v>32</v>
      </c>
      <c r="C240" s="1">
        <f ca="1">IFERROR(__xludf.DUMMYFUNCTION("""COMPUTED_VALUE"""),18)</f>
        <v>18</v>
      </c>
      <c r="D240" s="1">
        <f ca="1">IFERROR(__xludf.DUMMYFUNCTION("""COMPUTED_VALUE"""),14)</f>
        <v>14</v>
      </c>
      <c r="E240" s="1">
        <f ca="1">IFERROR(__xludf.DUMMYFUNCTION("""COMPUTED_VALUE"""),0.563)</f>
        <v>0.56299999999999994</v>
      </c>
      <c r="F240" s="1">
        <f ca="1">IFERROR(__xludf.DUMMYFUNCTION("""COMPUTED_VALUE"""),-8.88)</f>
        <v>-8.8800000000000008</v>
      </c>
      <c r="G240" s="1">
        <f ca="1">IFERROR(__xludf.DUMMYFUNCTION("""COMPUTED_VALUE"""),-7.02)</f>
        <v>-7.02</v>
      </c>
      <c r="H240" s="1">
        <f ca="1">IFERROR(__xludf.DUMMYFUNCTION("""COMPUTED_VALUE"""),10)</f>
        <v>10</v>
      </c>
      <c r="I240" s="1">
        <f ca="1">IFERROR(__xludf.DUMMYFUNCTION("""COMPUTED_VALUE"""),6)</f>
        <v>6</v>
      </c>
      <c r="J240" s="1">
        <f ca="1">IFERROR(__xludf.DUMMYFUNCTION("""COMPUTED_VALUE"""),13)</f>
        <v>13</v>
      </c>
      <c r="K240" s="1">
        <f ca="1">IFERROR(__xludf.DUMMYFUNCTION("""COMPUTED_VALUE"""),3)</f>
        <v>3</v>
      </c>
      <c r="L240" s="1">
        <f ca="1">IFERROR(__xludf.DUMMYFUNCTION("""COMPUTED_VALUE"""),5)</f>
        <v>5</v>
      </c>
      <c r="M240" s="1">
        <f ca="1">IFERROR(__xludf.DUMMYFUNCTION("""COMPUTED_VALUE"""),10)</f>
        <v>10</v>
      </c>
      <c r="N240" s="1">
        <f ca="1">IFERROR(__xludf.DUMMYFUNCTION("""COMPUTED_VALUE"""),2462)</f>
        <v>2462</v>
      </c>
      <c r="O240" s="1">
        <f ca="1">IFERROR(__xludf.DUMMYFUNCTION("""COMPUTED_VALUE"""),2482)</f>
        <v>2482</v>
      </c>
      <c r="P240" s="1">
        <f ca="1">IFERROR(__xludf.DUMMYFUNCTION("""COMPUTED_VALUE"""),1300)</f>
        <v>1300</v>
      </c>
      <c r="Q240" s="1">
        <f ca="1">IFERROR(__xludf.DUMMYFUNCTION("""COMPUTED_VALUE"""),832)</f>
        <v>832</v>
      </c>
      <c r="R240" s="1">
        <f ca="1">IFERROR(__xludf.DUMMYFUNCTION("""COMPUTED_VALUE"""),1877)</f>
        <v>1877</v>
      </c>
      <c r="S240" s="1">
        <f ca="1">IFERROR(__xludf.DUMMYFUNCTION("""COMPUTED_VALUE"""),0.443)</f>
        <v>0.443</v>
      </c>
      <c r="T240" s="1">
        <f ca="1">IFERROR(__xludf.DUMMYFUNCTION("""COMPUTED_VALUE"""),211)</f>
        <v>211</v>
      </c>
      <c r="U240" s="1">
        <f ca="1">IFERROR(__xludf.DUMMYFUNCTION("""COMPUTED_VALUE"""),612)</f>
        <v>612</v>
      </c>
      <c r="V240" s="1">
        <f ca="1">IFERROR(__xludf.DUMMYFUNCTION("""COMPUTED_VALUE"""),0.345)</f>
        <v>0.34499999999999997</v>
      </c>
      <c r="W240" s="1">
        <f ca="1">IFERROR(__xludf.DUMMYFUNCTION("""COMPUTED_VALUE"""),587)</f>
        <v>587</v>
      </c>
      <c r="X240" s="1">
        <f ca="1">IFERROR(__xludf.DUMMYFUNCTION("""COMPUTED_VALUE"""),922)</f>
        <v>922</v>
      </c>
      <c r="Y240" s="1">
        <f ca="1">IFERROR(__xludf.DUMMYFUNCTION("""COMPUTED_VALUE"""),0.637)</f>
        <v>0.63700000000000001</v>
      </c>
      <c r="Z240" s="1">
        <f ca="1">IFERROR(__xludf.DUMMYFUNCTION("""COMPUTED_VALUE"""),439)</f>
        <v>439</v>
      </c>
      <c r="AA240" s="1">
        <f ca="1">IFERROR(__xludf.DUMMYFUNCTION("""COMPUTED_VALUE"""),1162)</f>
        <v>1162</v>
      </c>
      <c r="AB240" s="1">
        <f ca="1">IFERROR(__xludf.DUMMYFUNCTION("""COMPUTED_VALUE"""),426)</f>
        <v>426</v>
      </c>
      <c r="AC240" s="1">
        <f ca="1">IFERROR(__xludf.DUMMYFUNCTION("""COMPUTED_VALUE"""),293)</f>
        <v>293</v>
      </c>
      <c r="AD240" s="1">
        <f ca="1">IFERROR(__xludf.DUMMYFUNCTION("""COMPUTED_VALUE"""),225)</f>
        <v>225</v>
      </c>
      <c r="AE240" s="1">
        <f ca="1">IFERROR(__xludf.DUMMYFUNCTION("""COMPUTED_VALUE"""),542)</f>
        <v>542</v>
      </c>
      <c r="AF240" s="1">
        <f ca="1">IFERROR(__xludf.DUMMYFUNCTION("""COMPUTED_VALUE"""),735)</f>
        <v>735</v>
      </c>
    </row>
    <row r="241" spans="1:32" ht="12.5" x14ac:dyDescent="0.25">
      <c r="A241" s="1" t="str">
        <f ca="1">IFERROR(__xludf.DUMMYFUNCTION("""COMPUTED_VALUE"""),"Northwestern")</f>
        <v>Northwestern</v>
      </c>
      <c r="B241" s="1">
        <f ca="1">IFERROR(__xludf.DUMMYFUNCTION("""COMPUTED_VALUE"""),34)</f>
        <v>34</v>
      </c>
      <c r="C241" s="1">
        <f ca="1">IFERROR(__xludf.DUMMYFUNCTION("""COMPUTED_VALUE"""),20)</f>
        <v>20</v>
      </c>
      <c r="D241" s="1">
        <f ca="1">IFERROR(__xludf.DUMMYFUNCTION("""COMPUTED_VALUE"""),14)</f>
        <v>14</v>
      </c>
      <c r="E241" s="1">
        <f ca="1">IFERROR(__xludf.DUMMYFUNCTION("""COMPUTED_VALUE"""),0.588)</f>
        <v>0.58799999999999997</v>
      </c>
      <c r="F241" s="1">
        <f ca="1">IFERROR(__xludf.DUMMYFUNCTION("""COMPUTED_VALUE"""),11.66)</f>
        <v>11.66</v>
      </c>
      <c r="G241" s="1">
        <f ca="1">IFERROR(__xludf.DUMMYFUNCTION("""COMPUTED_VALUE"""),7.54)</f>
        <v>7.54</v>
      </c>
      <c r="H241" s="1">
        <f ca="1">IFERROR(__xludf.DUMMYFUNCTION("""COMPUTED_VALUE"""),7)</f>
        <v>7</v>
      </c>
      <c r="I241" s="1">
        <f ca="1">IFERROR(__xludf.DUMMYFUNCTION("""COMPUTED_VALUE"""),11)</f>
        <v>11</v>
      </c>
      <c r="J241" s="1">
        <f ca="1">IFERROR(__xludf.DUMMYFUNCTION("""COMPUTED_VALUE"""),13)</f>
        <v>13</v>
      </c>
      <c r="K241" s="1">
        <f ca="1">IFERROR(__xludf.DUMMYFUNCTION("""COMPUTED_VALUE"""),4)</f>
        <v>4</v>
      </c>
      <c r="L241" s="1">
        <f ca="1">IFERROR(__xludf.DUMMYFUNCTION("""COMPUTED_VALUE"""),5)</f>
        <v>5</v>
      </c>
      <c r="M241" s="1">
        <f ca="1">IFERROR(__xludf.DUMMYFUNCTION("""COMPUTED_VALUE"""),8)</f>
        <v>8</v>
      </c>
      <c r="N241" s="1">
        <f ca="1">IFERROR(__xludf.DUMMYFUNCTION("""COMPUTED_VALUE"""),2441)</f>
        <v>2441</v>
      </c>
      <c r="O241" s="1">
        <f ca="1">IFERROR(__xludf.DUMMYFUNCTION("""COMPUTED_VALUE"""),2301)</f>
        <v>2301</v>
      </c>
      <c r="P241" s="1">
        <f ca="1">IFERROR(__xludf.DUMMYFUNCTION("""COMPUTED_VALUE"""),1375)</f>
        <v>1375</v>
      </c>
      <c r="Q241" s="1">
        <f ca="1">IFERROR(__xludf.DUMMYFUNCTION("""COMPUTED_VALUE"""),853)</f>
        <v>853</v>
      </c>
      <c r="R241" s="1">
        <f ca="1">IFERROR(__xludf.DUMMYFUNCTION("""COMPUTED_VALUE"""),1897)</f>
        <v>1897</v>
      </c>
      <c r="S241" s="1">
        <f ca="1">IFERROR(__xludf.DUMMYFUNCTION("""COMPUTED_VALUE"""),0.45)</f>
        <v>0.45</v>
      </c>
      <c r="T241" s="1">
        <f ca="1">IFERROR(__xludf.DUMMYFUNCTION("""COMPUTED_VALUE"""),319)</f>
        <v>319</v>
      </c>
      <c r="U241" s="1">
        <f ca="1">IFERROR(__xludf.DUMMYFUNCTION("""COMPUTED_VALUE"""),858)</f>
        <v>858</v>
      </c>
      <c r="V241" s="1">
        <f ca="1">IFERROR(__xludf.DUMMYFUNCTION("""COMPUTED_VALUE"""),0.372)</f>
        <v>0.372</v>
      </c>
      <c r="W241" s="1">
        <f ca="1">IFERROR(__xludf.DUMMYFUNCTION("""COMPUTED_VALUE"""),416)</f>
        <v>416</v>
      </c>
      <c r="X241" s="1">
        <f ca="1">IFERROR(__xludf.DUMMYFUNCTION("""COMPUTED_VALUE"""),570)</f>
        <v>570</v>
      </c>
      <c r="Y241" s="1">
        <f ca="1">IFERROR(__xludf.DUMMYFUNCTION("""COMPUTED_VALUE"""),0.73)</f>
        <v>0.73</v>
      </c>
      <c r="Z241" s="1">
        <f ca="1">IFERROR(__xludf.DUMMYFUNCTION("""COMPUTED_VALUE"""),309)</f>
        <v>309</v>
      </c>
      <c r="AA241" s="1">
        <f ca="1">IFERROR(__xludf.DUMMYFUNCTION("""COMPUTED_VALUE"""),1025)</f>
        <v>1025</v>
      </c>
      <c r="AB241" s="1">
        <f ca="1">IFERROR(__xludf.DUMMYFUNCTION("""COMPUTED_VALUE"""),568)</f>
        <v>568</v>
      </c>
      <c r="AC241" s="1">
        <f ca="1">IFERROR(__xludf.DUMMYFUNCTION("""COMPUTED_VALUE"""),227)</f>
        <v>227</v>
      </c>
      <c r="AD241" s="1">
        <f ca="1">IFERROR(__xludf.DUMMYFUNCTION("""COMPUTED_VALUE"""),109)</f>
        <v>109</v>
      </c>
      <c r="AE241" s="1">
        <f ca="1">IFERROR(__xludf.DUMMYFUNCTION("""COMPUTED_VALUE"""),335)</f>
        <v>335</v>
      </c>
      <c r="AF241" s="1">
        <f ca="1">IFERROR(__xludf.DUMMYFUNCTION("""COMPUTED_VALUE"""),584)</f>
        <v>584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IFERROR(__xludf.DUMMYFUNCTION("""COMPUTED_VALUE"""),"Notre DameNCAA")</f>
        <v>Notre DameNCAA</v>
      </c>
      <c r="B244" s="1">
        <f ca="1">IFERROR(__xludf.DUMMYFUNCTION("""COMPUTED_VALUE"""),34)</f>
        <v>34</v>
      </c>
      <c r="C244" s="1">
        <f ca="1">IFERROR(__xludf.DUMMYFUNCTION("""COMPUTED_VALUE"""),27)</f>
        <v>27</v>
      </c>
      <c r="D244" s="1">
        <f ca="1">IFERROR(__xludf.DUMMYFUNCTION("""COMPUTED_VALUE"""),7)</f>
        <v>7</v>
      </c>
      <c r="E244" s="1">
        <f ca="1">IFERROR(__xludf.DUMMYFUNCTION("""COMPUTED_VALUE"""),0.794)</f>
        <v>0.79400000000000004</v>
      </c>
      <c r="F244" s="1">
        <f ca="1">IFERROR(__xludf.DUMMYFUNCTION("""COMPUTED_VALUE"""),18.17)</f>
        <v>18.170000000000002</v>
      </c>
      <c r="G244" s="1">
        <f ca="1">IFERROR(__xludf.DUMMYFUNCTION("""COMPUTED_VALUE"""),8.43)</f>
        <v>8.43</v>
      </c>
      <c r="H244" s="1">
        <f ca="1">IFERROR(__xludf.DUMMYFUNCTION("""COMPUTED_VALUE"""),14)</f>
        <v>14</v>
      </c>
      <c r="I244" s="1">
        <f ca="1">IFERROR(__xludf.DUMMYFUNCTION("""COMPUTED_VALUE"""),4)</f>
        <v>4</v>
      </c>
      <c r="J244" s="1">
        <f ca="1">IFERROR(__xludf.DUMMYFUNCTION("""COMPUTED_VALUE"""),17)</f>
        <v>17</v>
      </c>
      <c r="K244" s="1">
        <f ca="1">IFERROR(__xludf.DUMMYFUNCTION("""COMPUTED_VALUE"""),0)</f>
        <v>0</v>
      </c>
      <c r="L244" s="1">
        <f ca="1">IFERROR(__xludf.DUMMYFUNCTION("""COMPUTED_VALUE"""),5)</f>
        <v>5</v>
      </c>
      <c r="M244" s="1">
        <f ca="1">IFERROR(__xludf.DUMMYFUNCTION("""COMPUTED_VALUE"""),4)</f>
        <v>4</v>
      </c>
      <c r="N244" s="1">
        <f ca="1">IFERROR(__xludf.DUMMYFUNCTION("""COMPUTED_VALUE"""),2558)</f>
        <v>2558</v>
      </c>
      <c r="O244" s="1">
        <f ca="1">IFERROR(__xludf.DUMMYFUNCTION("""COMPUTED_VALUE"""),2227)</f>
        <v>2227</v>
      </c>
      <c r="P244" s="1">
        <f ca="1">IFERROR(__xludf.DUMMYFUNCTION("""COMPUTED_VALUE"""),1380)</f>
        <v>1380</v>
      </c>
      <c r="Q244" s="1">
        <f ca="1">IFERROR(__xludf.DUMMYFUNCTION("""COMPUTED_VALUE"""),843)</f>
        <v>843</v>
      </c>
      <c r="R244" s="1">
        <f ca="1">IFERROR(__xludf.DUMMYFUNCTION("""COMPUTED_VALUE"""),1832)</f>
        <v>1832</v>
      </c>
      <c r="S244" s="1">
        <f ca="1">IFERROR(__xludf.DUMMYFUNCTION("""COMPUTED_VALUE"""),0.46)</f>
        <v>0.46</v>
      </c>
      <c r="T244" s="1">
        <f ca="1">IFERROR(__xludf.DUMMYFUNCTION("""COMPUTED_VALUE"""),273)</f>
        <v>273</v>
      </c>
      <c r="U244" s="1">
        <f ca="1">IFERROR(__xludf.DUMMYFUNCTION("""COMPUTED_VALUE"""),708)</f>
        <v>708</v>
      </c>
      <c r="V244" s="1">
        <f ca="1">IFERROR(__xludf.DUMMYFUNCTION("""COMPUTED_VALUE"""),0.386)</f>
        <v>0.38600000000000001</v>
      </c>
      <c r="W244" s="1">
        <f ca="1">IFERROR(__xludf.DUMMYFUNCTION("""COMPUTED_VALUE"""),599)</f>
        <v>599</v>
      </c>
      <c r="X244" s="1">
        <f ca="1">IFERROR(__xludf.DUMMYFUNCTION("""COMPUTED_VALUE"""),827)</f>
        <v>827</v>
      </c>
      <c r="Y244" s="1">
        <f ca="1">IFERROR(__xludf.DUMMYFUNCTION("""COMPUTED_VALUE"""),0.724)</f>
        <v>0.72399999999999998</v>
      </c>
      <c r="Z244" s="1">
        <f ca="1">IFERROR(__xludf.DUMMYFUNCTION("""COMPUTED_VALUE"""),371)</f>
        <v>371</v>
      </c>
      <c r="AA244" s="1">
        <f ca="1">IFERROR(__xludf.DUMMYFUNCTION("""COMPUTED_VALUE"""),1261)</f>
        <v>1261</v>
      </c>
      <c r="AB244" s="1">
        <f ca="1">IFERROR(__xludf.DUMMYFUNCTION("""COMPUTED_VALUE"""),563)</f>
        <v>563</v>
      </c>
      <c r="AC244" s="1">
        <f ca="1">IFERROR(__xludf.DUMMYFUNCTION("""COMPUTED_VALUE"""),156)</f>
        <v>156</v>
      </c>
      <c r="AD244" s="1">
        <f ca="1">IFERROR(__xludf.DUMMYFUNCTION("""COMPUTED_VALUE"""),128)</f>
        <v>128</v>
      </c>
      <c r="AE244" s="1">
        <f ca="1">IFERROR(__xludf.DUMMYFUNCTION("""COMPUTED_VALUE"""),364)</f>
        <v>364</v>
      </c>
      <c r="AF244" s="1">
        <f ca="1">IFERROR(__xludf.DUMMYFUNCTION("""COMPUTED_VALUE"""),517)</f>
        <v>517</v>
      </c>
    </row>
    <row r="245" spans="1:32" ht="12.5" x14ac:dyDescent="0.25">
      <c r="A245" s="1" t="str">
        <f ca="1">IFERROR(__xludf.DUMMYFUNCTION("""COMPUTED_VALUE"""),"OaklandNCAA")</f>
        <v>OaklandNCAA</v>
      </c>
      <c r="B245" s="1">
        <f ca="1">IFERROR(__xludf.DUMMYFUNCTION("""COMPUTED_VALUE"""),35)</f>
        <v>35</v>
      </c>
      <c r="C245" s="1">
        <f ca="1">IFERROR(__xludf.DUMMYFUNCTION("""COMPUTED_VALUE"""),25)</f>
        <v>25</v>
      </c>
      <c r="D245" s="1">
        <f ca="1">IFERROR(__xludf.DUMMYFUNCTION("""COMPUTED_VALUE"""),10)</f>
        <v>10</v>
      </c>
      <c r="E245" s="1">
        <f ca="1">IFERROR(__xludf.DUMMYFUNCTION("""COMPUTED_VALUE"""),0.714)</f>
        <v>0.71399999999999997</v>
      </c>
      <c r="F245" s="1">
        <f ca="1">IFERROR(__xludf.DUMMYFUNCTION("""COMPUTED_VALUE"""),8.28)</f>
        <v>8.2799999999999994</v>
      </c>
      <c r="G245" s="1">
        <f ca="1">IFERROR(__xludf.DUMMYFUNCTION("""COMPUTED_VALUE"""),0.1)</f>
        <v>0.1</v>
      </c>
      <c r="H245" s="1">
        <f ca="1">IFERROR(__xludf.DUMMYFUNCTION("""COMPUTED_VALUE"""),17)</f>
        <v>17</v>
      </c>
      <c r="I245" s="1">
        <f ca="1">IFERROR(__xludf.DUMMYFUNCTION("""COMPUTED_VALUE"""),1)</f>
        <v>1</v>
      </c>
      <c r="J245" s="1">
        <f ca="1">IFERROR(__xludf.DUMMYFUNCTION("""COMPUTED_VALUE"""),10)</f>
        <v>10</v>
      </c>
      <c r="K245" s="1">
        <f ca="1">IFERROR(__xludf.DUMMYFUNCTION("""COMPUTED_VALUE"""),1)</f>
        <v>1</v>
      </c>
      <c r="L245" s="1">
        <f ca="1">IFERROR(__xludf.DUMMYFUNCTION("""COMPUTED_VALUE"""),10)</f>
        <v>10</v>
      </c>
      <c r="M245" s="1">
        <f ca="1">IFERROR(__xludf.DUMMYFUNCTION("""COMPUTED_VALUE"""),7)</f>
        <v>7</v>
      </c>
      <c r="N245" s="1">
        <f ca="1">IFERROR(__xludf.DUMMYFUNCTION("""COMPUTED_VALUE"""),2992)</f>
        <v>2992</v>
      </c>
      <c r="O245" s="1">
        <f ca="1">IFERROR(__xludf.DUMMYFUNCTION("""COMPUTED_VALUE"""),2690)</f>
        <v>2690</v>
      </c>
      <c r="P245" s="1">
        <f ca="1">IFERROR(__xludf.DUMMYFUNCTION("""COMPUTED_VALUE"""),1405)</f>
        <v>1405</v>
      </c>
      <c r="Q245" s="1">
        <f ca="1">IFERROR(__xludf.DUMMYFUNCTION("""COMPUTED_VALUE"""),1052)</f>
        <v>1052</v>
      </c>
      <c r="R245" s="1">
        <f ca="1">IFERROR(__xludf.DUMMYFUNCTION("""COMPUTED_VALUE"""),2137)</f>
        <v>2137</v>
      </c>
      <c r="S245" s="1">
        <f ca="1">IFERROR(__xludf.DUMMYFUNCTION("""COMPUTED_VALUE"""),0.492)</f>
        <v>0.49199999999999999</v>
      </c>
      <c r="T245" s="1">
        <f ca="1">IFERROR(__xludf.DUMMYFUNCTION("""COMPUTED_VALUE"""),287)</f>
        <v>287</v>
      </c>
      <c r="U245" s="1">
        <f ca="1">IFERROR(__xludf.DUMMYFUNCTION("""COMPUTED_VALUE"""),767)</f>
        <v>767</v>
      </c>
      <c r="V245" s="1">
        <f ca="1">IFERROR(__xludf.DUMMYFUNCTION("""COMPUTED_VALUE"""),0.374)</f>
        <v>0.374</v>
      </c>
      <c r="W245" s="1">
        <f ca="1">IFERROR(__xludf.DUMMYFUNCTION("""COMPUTED_VALUE"""),601)</f>
        <v>601</v>
      </c>
      <c r="X245" s="1">
        <f ca="1">IFERROR(__xludf.DUMMYFUNCTION("""COMPUTED_VALUE"""),834)</f>
        <v>834</v>
      </c>
      <c r="Y245" s="1">
        <f ca="1">IFERROR(__xludf.DUMMYFUNCTION("""COMPUTED_VALUE"""),0.721)</f>
        <v>0.72099999999999997</v>
      </c>
      <c r="Z245" s="1">
        <f ca="1">IFERROR(__xludf.DUMMYFUNCTION("""COMPUTED_VALUE"""),451)</f>
        <v>451</v>
      </c>
      <c r="AA245" s="1">
        <f ca="1">IFERROR(__xludf.DUMMYFUNCTION("""COMPUTED_VALUE"""),1366)</f>
        <v>1366</v>
      </c>
      <c r="AB245" s="1">
        <f ca="1">IFERROR(__xludf.DUMMYFUNCTION("""COMPUTED_VALUE"""),568)</f>
        <v>568</v>
      </c>
      <c r="AC245" s="1">
        <f ca="1">IFERROR(__xludf.DUMMYFUNCTION("""COMPUTED_VALUE"""),216)</f>
        <v>216</v>
      </c>
      <c r="AD245" s="1">
        <f ca="1">IFERROR(__xludf.DUMMYFUNCTION("""COMPUTED_VALUE"""),192)</f>
        <v>192</v>
      </c>
      <c r="AE245" s="1">
        <f ca="1">IFERROR(__xludf.DUMMYFUNCTION("""COMPUTED_VALUE"""),473)</f>
        <v>473</v>
      </c>
      <c r="AF245" s="1">
        <f ca="1">IFERROR(__xludf.DUMMYFUNCTION("""COMPUTED_VALUE"""),644)</f>
        <v>644</v>
      </c>
    </row>
    <row r="246" spans="1:32" ht="12.5" x14ac:dyDescent="0.25">
      <c r="A246" s="1" t="str">
        <f ca="1">IFERROR(__xludf.DUMMYFUNCTION("""COMPUTED_VALUE"""),"Ohio StateNCAA")</f>
        <v>Ohio StateNCAA</v>
      </c>
      <c r="B246" s="1">
        <f ca="1">IFERROR(__xludf.DUMMYFUNCTION("""COMPUTED_VALUE"""),37)</f>
        <v>37</v>
      </c>
      <c r="C246" s="1">
        <f ca="1">IFERROR(__xludf.DUMMYFUNCTION("""COMPUTED_VALUE"""),34)</f>
        <v>34</v>
      </c>
      <c r="D246" s="1">
        <f ca="1">IFERROR(__xludf.DUMMYFUNCTION("""COMPUTED_VALUE"""),3)</f>
        <v>3</v>
      </c>
      <c r="E246" s="1">
        <f ca="1">IFERROR(__xludf.DUMMYFUNCTION("""COMPUTED_VALUE"""),0.919)</f>
        <v>0.91900000000000004</v>
      </c>
      <c r="F246" s="1">
        <f ca="1">IFERROR(__xludf.DUMMYFUNCTION("""COMPUTED_VALUE"""),25.84)</f>
        <v>25.84</v>
      </c>
      <c r="G246" s="1">
        <f ca="1">IFERROR(__xludf.DUMMYFUNCTION("""COMPUTED_VALUE"""),8.38)</f>
        <v>8.3800000000000008</v>
      </c>
      <c r="H246" s="1">
        <f ca="1">IFERROR(__xludf.DUMMYFUNCTION("""COMPUTED_VALUE"""),16)</f>
        <v>16</v>
      </c>
      <c r="I246" s="1">
        <f ca="1">IFERROR(__xludf.DUMMYFUNCTION("""COMPUTED_VALUE"""),2)</f>
        <v>2</v>
      </c>
      <c r="J246" s="1">
        <f ca="1">IFERROR(__xludf.DUMMYFUNCTION("""COMPUTED_VALUE"""),20)</f>
        <v>20</v>
      </c>
      <c r="K246" s="1">
        <f ca="1">IFERROR(__xludf.DUMMYFUNCTION("""COMPUTED_VALUE"""),0)</f>
        <v>0</v>
      </c>
      <c r="L246" s="1">
        <f ca="1">IFERROR(__xludf.DUMMYFUNCTION("""COMPUTED_VALUE"""),9)</f>
        <v>9</v>
      </c>
      <c r="M246" s="1">
        <f ca="1">IFERROR(__xludf.DUMMYFUNCTION("""COMPUTED_VALUE"""),2)</f>
        <v>2</v>
      </c>
      <c r="N246" s="1">
        <f ca="1">IFERROR(__xludf.DUMMYFUNCTION("""COMPUTED_VALUE"""),2854)</f>
        <v>2854</v>
      </c>
      <c r="O246" s="1">
        <f ca="1">IFERROR(__xludf.DUMMYFUNCTION("""COMPUTED_VALUE"""),2208)</f>
        <v>2208</v>
      </c>
      <c r="P246" s="1">
        <f ca="1">IFERROR(__xludf.DUMMYFUNCTION("""COMPUTED_VALUE"""),1485)</f>
        <v>1485</v>
      </c>
      <c r="Q246" s="1">
        <f ca="1">IFERROR(__xludf.DUMMYFUNCTION("""COMPUTED_VALUE"""),1017)</f>
        <v>1017</v>
      </c>
      <c r="R246" s="1">
        <f ca="1">IFERROR(__xludf.DUMMYFUNCTION("""COMPUTED_VALUE"""),2059)</f>
        <v>2059</v>
      </c>
      <c r="S246" s="1">
        <f ca="1">IFERROR(__xludf.DUMMYFUNCTION("""COMPUTED_VALUE"""),0.494)</f>
        <v>0.49399999999999999</v>
      </c>
      <c r="T246" s="1">
        <f ca="1">IFERROR(__xludf.DUMMYFUNCTION("""COMPUTED_VALUE"""),285)</f>
        <v>285</v>
      </c>
      <c r="U246" s="1">
        <f ca="1">IFERROR(__xludf.DUMMYFUNCTION("""COMPUTED_VALUE"""),674)</f>
        <v>674</v>
      </c>
      <c r="V246" s="1">
        <f ca="1">IFERROR(__xludf.DUMMYFUNCTION("""COMPUTED_VALUE"""),0.423)</f>
        <v>0.42299999999999999</v>
      </c>
      <c r="W246" s="1">
        <f ca="1">IFERROR(__xludf.DUMMYFUNCTION("""COMPUTED_VALUE"""),535)</f>
        <v>535</v>
      </c>
      <c r="X246" s="1">
        <f ca="1">IFERROR(__xludf.DUMMYFUNCTION("""COMPUTED_VALUE"""),763)</f>
        <v>763</v>
      </c>
      <c r="Y246" s="1">
        <f ca="1">IFERROR(__xludf.DUMMYFUNCTION("""COMPUTED_VALUE"""),0.701)</f>
        <v>0.70099999999999996</v>
      </c>
      <c r="Z246" s="1">
        <f ca="1">IFERROR(__xludf.DUMMYFUNCTION("""COMPUTED_VALUE"""),419)</f>
        <v>419</v>
      </c>
      <c r="AA246" s="1">
        <f ca="1">IFERROR(__xludf.DUMMYFUNCTION("""COMPUTED_VALUE"""),1277)</f>
        <v>1277</v>
      </c>
      <c r="AB246" s="1">
        <f ca="1">IFERROR(__xludf.DUMMYFUNCTION("""COMPUTED_VALUE"""),587)</f>
        <v>587</v>
      </c>
      <c r="AC246" s="1">
        <f ca="1">IFERROR(__xludf.DUMMYFUNCTION("""COMPUTED_VALUE"""),263)</f>
        <v>263</v>
      </c>
      <c r="AD246" s="1">
        <f ca="1">IFERROR(__xludf.DUMMYFUNCTION("""COMPUTED_VALUE"""),118)</f>
        <v>118</v>
      </c>
      <c r="AE246" s="1">
        <f ca="1">IFERROR(__xludf.DUMMYFUNCTION("""COMPUTED_VALUE"""),375)</f>
        <v>375</v>
      </c>
      <c r="AF246" s="1">
        <f ca="1">IFERROR(__xludf.DUMMYFUNCTION("""COMPUTED_VALUE"""),519)</f>
        <v>519</v>
      </c>
    </row>
    <row r="247" spans="1:32" ht="12.5" x14ac:dyDescent="0.25">
      <c r="A247" s="1" t="str">
        <f ca="1">IFERROR(__xludf.DUMMYFUNCTION("""COMPUTED_VALUE"""),"Ohio")</f>
        <v>Ohio</v>
      </c>
      <c r="B247" s="1">
        <f ca="1">IFERROR(__xludf.DUMMYFUNCTION("""COMPUTED_VALUE"""),35)</f>
        <v>35</v>
      </c>
      <c r="C247" s="1">
        <f ca="1">IFERROR(__xludf.DUMMYFUNCTION("""COMPUTED_VALUE"""),19)</f>
        <v>19</v>
      </c>
      <c r="D247" s="1">
        <f ca="1">IFERROR(__xludf.DUMMYFUNCTION("""COMPUTED_VALUE"""),16)</f>
        <v>16</v>
      </c>
      <c r="E247" s="1">
        <f ca="1">IFERROR(__xludf.DUMMYFUNCTION("""COMPUTED_VALUE"""),0.543)</f>
        <v>0.54300000000000004</v>
      </c>
      <c r="F247" s="1">
        <f ca="1">IFERROR(__xludf.DUMMYFUNCTION("""COMPUTED_VALUE"""),0.59)</f>
        <v>0.59</v>
      </c>
      <c r="G247" s="1">
        <f ca="1">IFERROR(__xludf.DUMMYFUNCTION("""COMPUTED_VALUE"""),-1.01)</f>
        <v>-1.01</v>
      </c>
      <c r="H247" s="1">
        <f ca="1">IFERROR(__xludf.DUMMYFUNCTION("""COMPUTED_VALUE"""),9)</f>
        <v>9</v>
      </c>
      <c r="I247" s="1">
        <f ca="1">IFERROR(__xludf.DUMMYFUNCTION("""COMPUTED_VALUE"""),7)</f>
        <v>7</v>
      </c>
      <c r="J247" s="1">
        <f ca="1">IFERROR(__xludf.DUMMYFUNCTION("""COMPUTED_VALUE"""),11)</f>
        <v>11</v>
      </c>
      <c r="K247" s="1">
        <f ca="1">IFERROR(__xludf.DUMMYFUNCTION("""COMPUTED_VALUE"""),8)</f>
        <v>8</v>
      </c>
      <c r="L247" s="1">
        <f ca="1">IFERROR(__xludf.DUMMYFUNCTION("""COMPUTED_VALUE"""),7)</f>
        <v>7</v>
      </c>
      <c r="M247" s="1">
        <f ca="1">IFERROR(__xludf.DUMMYFUNCTION("""COMPUTED_VALUE"""),6)</f>
        <v>6</v>
      </c>
      <c r="N247" s="1">
        <f ca="1">IFERROR(__xludf.DUMMYFUNCTION("""COMPUTED_VALUE"""),2604)</f>
        <v>2604</v>
      </c>
      <c r="O247" s="1">
        <f ca="1">IFERROR(__xludf.DUMMYFUNCTION("""COMPUTED_VALUE"""),2548)</f>
        <v>2548</v>
      </c>
      <c r="P247" s="1">
        <f ca="1">IFERROR(__xludf.DUMMYFUNCTION("""COMPUTED_VALUE"""),1455)</f>
        <v>1455</v>
      </c>
      <c r="Q247" s="1">
        <f ca="1">IFERROR(__xludf.DUMMYFUNCTION("""COMPUTED_VALUE"""),896)</f>
        <v>896</v>
      </c>
      <c r="R247" s="1">
        <f ca="1">IFERROR(__xludf.DUMMYFUNCTION("""COMPUTED_VALUE"""),2060)</f>
        <v>2060</v>
      </c>
      <c r="S247" s="1">
        <f ca="1">IFERROR(__xludf.DUMMYFUNCTION("""COMPUTED_VALUE"""),0.435)</f>
        <v>0.435</v>
      </c>
      <c r="T247" s="1">
        <f ca="1">IFERROR(__xludf.DUMMYFUNCTION("""COMPUTED_VALUE"""),260)</f>
        <v>260</v>
      </c>
      <c r="U247" s="1">
        <f ca="1">IFERROR(__xludf.DUMMYFUNCTION("""COMPUTED_VALUE"""),734)</f>
        <v>734</v>
      </c>
      <c r="V247" s="1">
        <f ca="1">IFERROR(__xludf.DUMMYFUNCTION("""COMPUTED_VALUE"""),0.354)</f>
        <v>0.35399999999999998</v>
      </c>
      <c r="W247" s="1">
        <f ca="1">IFERROR(__xludf.DUMMYFUNCTION("""COMPUTED_VALUE"""),552)</f>
        <v>552</v>
      </c>
      <c r="X247" s="1">
        <f ca="1">IFERROR(__xludf.DUMMYFUNCTION("""COMPUTED_VALUE"""),769)</f>
        <v>769</v>
      </c>
      <c r="Y247" s="1">
        <f ca="1">IFERROR(__xludf.DUMMYFUNCTION("""COMPUTED_VALUE"""),0.718)</f>
        <v>0.71799999999999997</v>
      </c>
      <c r="Z247" s="1">
        <f ca="1">IFERROR(__xludf.DUMMYFUNCTION("""COMPUTED_VALUE"""),432)</f>
        <v>432</v>
      </c>
      <c r="AA247" s="1">
        <f ca="1">IFERROR(__xludf.DUMMYFUNCTION("""COMPUTED_VALUE"""),1265)</f>
        <v>1265</v>
      </c>
      <c r="AB247" s="1">
        <f ca="1">IFERROR(__xludf.DUMMYFUNCTION("""COMPUTED_VALUE"""),533)</f>
        <v>533</v>
      </c>
      <c r="AC247" s="1">
        <f ca="1">IFERROR(__xludf.DUMMYFUNCTION("""COMPUTED_VALUE"""),277)</f>
        <v>277</v>
      </c>
      <c r="AD247" s="1">
        <f ca="1">IFERROR(__xludf.DUMMYFUNCTION("""COMPUTED_VALUE"""),88)</f>
        <v>88</v>
      </c>
      <c r="AE247" s="1">
        <f ca="1">IFERROR(__xludf.DUMMYFUNCTION("""COMPUTED_VALUE"""),471)</f>
        <v>471</v>
      </c>
      <c r="AF247" s="1">
        <f ca="1">IFERROR(__xludf.DUMMYFUNCTION("""COMPUTED_VALUE"""),726)</f>
        <v>726</v>
      </c>
    </row>
    <row r="248" spans="1:32" ht="12.5" x14ac:dyDescent="0.25">
      <c r="A248" s="1" t="str">
        <f ca="1">IFERROR(__xludf.DUMMYFUNCTION("""COMPUTED_VALUE"""),"Oklahoma State")</f>
        <v>Oklahoma State</v>
      </c>
      <c r="B248" s="1">
        <f ca="1">IFERROR(__xludf.DUMMYFUNCTION("""COMPUTED_VALUE"""),34)</f>
        <v>34</v>
      </c>
      <c r="C248" s="1">
        <f ca="1">IFERROR(__xludf.DUMMYFUNCTION("""COMPUTED_VALUE"""),20)</f>
        <v>20</v>
      </c>
      <c r="D248" s="1">
        <f ca="1">IFERROR(__xludf.DUMMYFUNCTION("""COMPUTED_VALUE"""),14)</f>
        <v>14</v>
      </c>
      <c r="E248" s="1">
        <f ca="1">IFERROR(__xludf.DUMMYFUNCTION("""COMPUTED_VALUE"""),0.588)</f>
        <v>0.58799999999999997</v>
      </c>
      <c r="F248" s="1">
        <f ca="1">IFERROR(__xludf.DUMMYFUNCTION("""COMPUTED_VALUE"""),8.53)</f>
        <v>8.5299999999999994</v>
      </c>
      <c r="G248" s="1">
        <f ca="1">IFERROR(__xludf.DUMMYFUNCTION("""COMPUTED_VALUE"""),6.94)</f>
        <v>6.94</v>
      </c>
      <c r="H248" s="1">
        <f ca="1">IFERROR(__xludf.DUMMYFUNCTION("""COMPUTED_VALUE"""),6)</f>
        <v>6</v>
      </c>
      <c r="I248" s="1">
        <f ca="1">IFERROR(__xludf.DUMMYFUNCTION("""COMPUTED_VALUE"""),10)</f>
        <v>10</v>
      </c>
      <c r="J248" s="1">
        <f ca="1">IFERROR(__xludf.DUMMYFUNCTION("""COMPUTED_VALUE"""),14)</f>
        <v>14</v>
      </c>
      <c r="K248" s="1">
        <f ca="1">IFERROR(__xludf.DUMMYFUNCTION("""COMPUTED_VALUE"""),2)</f>
        <v>2</v>
      </c>
      <c r="L248" s="1">
        <f ca="1">IFERROR(__xludf.DUMMYFUNCTION("""COMPUTED_VALUE"""),1)</f>
        <v>1</v>
      </c>
      <c r="M248" s="1">
        <f ca="1">IFERROR(__xludf.DUMMYFUNCTION("""COMPUTED_VALUE"""),10)</f>
        <v>10</v>
      </c>
      <c r="N248" s="1">
        <f ca="1">IFERROR(__xludf.DUMMYFUNCTION("""COMPUTED_VALUE"""),2318)</f>
        <v>2318</v>
      </c>
      <c r="O248" s="1">
        <f ca="1">IFERROR(__xludf.DUMMYFUNCTION("""COMPUTED_VALUE"""),2264)</f>
        <v>2264</v>
      </c>
      <c r="P248" s="1">
        <f ca="1">IFERROR(__xludf.DUMMYFUNCTION("""COMPUTED_VALUE"""),1380)</f>
        <v>1380</v>
      </c>
      <c r="Q248" s="1">
        <f ca="1">IFERROR(__xludf.DUMMYFUNCTION("""COMPUTED_VALUE"""),791)</f>
        <v>791</v>
      </c>
      <c r="R248" s="1">
        <f ca="1">IFERROR(__xludf.DUMMYFUNCTION("""COMPUTED_VALUE"""),1814)</f>
        <v>1814</v>
      </c>
      <c r="S248" s="1">
        <f ca="1">IFERROR(__xludf.DUMMYFUNCTION("""COMPUTED_VALUE"""),0.436)</f>
        <v>0.436</v>
      </c>
      <c r="T248" s="1">
        <f ca="1">IFERROR(__xludf.DUMMYFUNCTION("""COMPUTED_VALUE"""),143)</f>
        <v>143</v>
      </c>
      <c r="U248" s="1">
        <f ca="1">IFERROR(__xludf.DUMMYFUNCTION("""COMPUTED_VALUE"""),485)</f>
        <v>485</v>
      </c>
      <c r="V248" s="1">
        <f ca="1">IFERROR(__xludf.DUMMYFUNCTION("""COMPUTED_VALUE"""),0.295)</f>
        <v>0.29499999999999998</v>
      </c>
      <c r="W248" s="1">
        <f ca="1">IFERROR(__xludf.DUMMYFUNCTION("""COMPUTED_VALUE"""),593)</f>
        <v>593</v>
      </c>
      <c r="X248" s="1">
        <f ca="1">IFERROR(__xludf.DUMMYFUNCTION("""COMPUTED_VALUE"""),818)</f>
        <v>818</v>
      </c>
      <c r="Y248" s="1">
        <f ca="1">IFERROR(__xludf.DUMMYFUNCTION("""COMPUTED_VALUE"""),0.725)</f>
        <v>0.72499999999999998</v>
      </c>
      <c r="Z248" s="1">
        <f ca="1">IFERROR(__xludf.DUMMYFUNCTION("""COMPUTED_VALUE"""),377)</f>
        <v>377</v>
      </c>
      <c r="AA248" s="1">
        <f ca="1">IFERROR(__xludf.DUMMYFUNCTION("""COMPUTED_VALUE"""),1177)</f>
        <v>1177</v>
      </c>
      <c r="AB248" s="1">
        <f ca="1">IFERROR(__xludf.DUMMYFUNCTION("""COMPUTED_VALUE"""),338)</f>
        <v>338</v>
      </c>
      <c r="AC248" s="1">
        <f ca="1">IFERROR(__xludf.DUMMYFUNCTION("""COMPUTED_VALUE"""),228)</f>
        <v>228</v>
      </c>
      <c r="AD248" s="1">
        <f ca="1">IFERROR(__xludf.DUMMYFUNCTION("""COMPUTED_VALUE"""),99)</f>
        <v>99</v>
      </c>
      <c r="AE248" s="1">
        <f ca="1">IFERROR(__xludf.DUMMYFUNCTION("""COMPUTED_VALUE"""),456)</f>
        <v>456</v>
      </c>
      <c r="AF248" s="1">
        <f ca="1">IFERROR(__xludf.DUMMYFUNCTION("""COMPUTED_VALUE"""),707)</f>
        <v>707</v>
      </c>
    </row>
    <row r="249" spans="1:32" ht="12.5" x14ac:dyDescent="0.25">
      <c r="A249" s="1" t="str">
        <f ca="1">IFERROR(__xludf.DUMMYFUNCTION("""COMPUTED_VALUE"""),"Oklahoma")</f>
        <v>Oklahoma</v>
      </c>
      <c r="B249" s="1">
        <f ca="1">IFERROR(__xludf.DUMMYFUNCTION("""COMPUTED_VALUE"""),32)</f>
        <v>32</v>
      </c>
      <c r="C249" s="1">
        <f ca="1">IFERROR(__xludf.DUMMYFUNCTION("""COMPUTED_VALUE"""),14)</f>
        <v>14</v>
      </c>
      <c r="D249" s="1">
        <f ca="1">IFERROR(__xludf.DUMMYFUNCTION("""COMPUTED_VALUE"""),18)</f>
        <v>18</v>
      </c>
      <c r="E249" s="1">
        <f ca="1">IFERROR(__xludf.DUMMYFUNCTION("""COMPUTED_VALUE"""),0.438)</f>
        <v>0.438</v>
      </c>
      <c r="F249" s="1">
        <f ca="1">IFERROR(__xludf.DUMMYFUNCTION("""COMPUTED_VALUE"""),3.71)</f>
        <v>3.71</v>
      </c>
      <c r="G249" s="1">
        <f ca="1">IFERROR(__xludf.DUMMYFUNCTION("""COMPUTED_VALUE"""),6.42)</f>
        <v>6.42</v>
      </c>
      <c r="H249" s="1">
        <f ca="1">IFERROR(__xludf.DUMMYFUNCTION("""COMPUTED_VALUE"""),5)</f>
        <v>5</v>
      </c>
      <c r="I249" s="1">
        <f ca="1">IFERROR(__xludf.DUMMYFUNCTION("""COMPUTED_VALUE"""),11)</f>
        <v>11</v>
      </c>
      <c r="J249" s="1">
        <f ca="1">IFERROR(__xludf.DUMMYFUNCTION("""COMPUTED_VALUE"""),12)</f>
        <v>12</v>
      </c>
      <c r="K249" s="1">
        <f ca="1">IFERROR(__xludf.DUMMYFUNCTION("""COMPUTED_VALUE"""),4)</f>
        <v>4</v>
      </c>
      <c r="L249" s="1">
        <f ca="1">IFERROR(__xludf.DUMMYFUNCTION("""COMPUTED_VALUE"""),1)</f>
        <v>1</v>
      </c>
      <c r="M249" s="1">
        <f ca="1">IFERROR(__xludf.DUMMYFUNCTION("""COMPUTED_VALUE"""),10)</f>
        <v>10</v>
      </c>
      <c r="N249" s="1">
        <f ca="1">IFERROR(__xludf.DUMMYFUNCTION("""COMPUTED_VALUE"""),2111)</f>
        <v>2111</v>
      </c>
      <c r="O249" s="1">
        <f ca="1">IFERROR(__xludf.DUMMYFUNCTION("""COMPUTED_VALUE"""),2199)</f>
        <v>2199</v>
      </c>
      <c r="P249" s="1">
        <f ca="1">IFERROR(__xludf.DUMMYFUNCTION("""COMPUTED_VALUE"""),1290)</f>
        <v>1290</v>
      </c>
      <c r="Q249" s="1">
        <f ca="1">IFERROR(__xludf.DUMMYFUNCTION("""COMPUTED_VALUE"""),738)</f>
        <v>738</v>
      </c>
      <c r="R249" s="1">
        <f ca="1">IFERROR(__xludf.DUMMYFUNCTION("""COMPUTED_VALUE"""),1648)</f>
        <v>1648</v>
      </c>
      <c r="S249" s="1">
        <f ca="1">IFERROR(__xludf.DUMMYFUNCTION("""COMPUTED_VALUE"""),0.448)</f>
        <v>0.44800000000000001</v>
      </c>
      <c r="T249" s="1">
        <f ca="1">IFERROR(__xludf.DUMMYFUNCTION("""COMPUTED_VALUE"""),198)</f>
        <v>198</v>
      </c>
      <c r="U249" s="1">
        <f ca="1">IFERROR(__xludf.DUMMYFUNCTION("""COMPUTED_VALUE"""),587)</f>
        <v>587</v>
      </c>
      <c r="V249" s="1">
        <f ca="1">IFERROR(__xludf.DUMMYFUNCTION("""COMPUTED_VALUE"""),0.337)</f>
        <v>0.33700000000000002</v>
      </c>
      <c r="W249" s="1">
        <f ca="1">IFERROR(__xludf.DUMMYFUNCTION("""COMPUTED_VALUE"""),437)</f>
        <v>437</v>
      </c>
      <c r="X249" s="1">
        <f ca="1">IFERROR(__xludf.DUMMYFUNCTION("""COMPUTED_VALUE"""),592)</f>
        <v>592</v>
      </c>
      <c r="Y249" s="1">
        <f ca="1">IFERROR(__xludf.DUMMYFUNCTION("""COMPUTED_VALUE"""),0.738)</f>
        <v>0.73799999999999999</v>
      </c>
      <c r="Z249" s="1">
        <f ca="1">IFERROR(__xludf.DUMMYFUNCTION("""COMPUTED_VALUE"""),272)</f>
        <v>272</v>
      </c>
      <c r="AA249" s="1">
        <f ca="1">IFERROR(__xludf.DUMMYFUNCTION("""COMPUTED_VALUE"""),969)</f>
        <v>969</v>
      </c>
      <c r="AB249" s="1">
        <f ca="1">IFERROR(__xludf.DUMMYFUNCTION("""COMPUTED_VALUE"""),400)</f>
        <v>400</v>
      </c>
      <c r="AC249" s="1">
        <f ca="1">IFERROR(__xludf.DUMMYFUNCTION("""COMPUTED_VALUE"""),179)</f>
        <v>179</v>
      </c>
      <c r="AD249" s="1">
        <f ca="1">IFERROR(__xludf.DUMMYFUNCTION("""COMPUTED_VALUE"""),89)</f>
        <v>89</v>
      </c>
      <c r="AE249" s="1">
        <f ca="1">IFERROR(__xludf.DUMMYFUNCTION("""COMPUTED_VALUE"""),434)</f>
        <v>434</v>
      </c>
      <c r="AF249" s="1">
        <f ca="1">IFERROR(__xludf.DUMMYFUNCTION("""COMPUTED_VALUE"""),585)</f>
        <v>585</v>
      </c>
    </row>
    <row r="250" spans="1:32" ht="12.5" x14ac:dyDescent="0.25">
      <c r="A250" s="1" t="str">
        <f ca="1">IFERROR(__xludf.DUMMYFUNCTION("""COMPUTED_VALUE"""),"Old DominionNCAA")</f>
        <v>Old DominionNCAA</v>
      </c>
      <c r="B250" s="1">
        <f ca="1">IFERROR(__xludf.DUMMYFUNCTION("""COMPUTED_VALUE"""),34)</f>
        <v>34</v>
      </c>
      <c r="C250" s="1">
        <f ca="1">IFERROR(__xludf.DUMMYFUNCTION("""COMPUTED_VALUE"""),27)</f>
        <v>27</v>
      </c>
      <c r="D250" s="1">
        <f ca="1">IFERROR(__xludf.DUMMYFUNCTION("""COMPUTED_VALUE"""),7)</f>
        <v>7</v>
      </c>
      <c r="E250" s="1">
        <f ca="1">IFERROR(__xludf.DUMMYFUNCTION("""COMPUTED_VALUE"""),0.794)</f>
        <v>0.79400000000000004</v>
      </c>
      <c r="F250" s="1">
        <f ca="1">IFERROR(__xludf.DUMMYFUNCTION("""COMPUTED_VALUE"""),9.03)</f>
        <v>9.0299999999999994</v>
      </c>
      <c r="G250" s="1">
        <f ca="1">IFERROR(__xludf.DUMMYFUNCTION("""COMPUTED_VALUE"""),1.76)</f>
        <v>1.76</v>
      </c>
      <c r="H250" s="1">
        <f ca="1">IFERROR(__xludf.DUMMYFUNCTION("""COMPUTED_VALUE"""),14)</f>
        <v>14</v>
      </c>
      <c r="I250" s="1">
        <f ca="1">IFERROR(__xludf.DUMMYFUNCTION("""COMPUTED_VALUE"""),4)</f>
        <v>4</v>
      </c>
      <c r="J250" s="1">
        <f ca="1">IFERROR(__xludf.DUMMYFUNCTION("""COMPUTED_VALUE"""),14)</f>
        <v>14</v>
      </c>
      <c r="K250" s="1">
        <f ca="1">IFERROR(__xludf.DUMMYFUNCTION("""COMPUTED_VALUE"""),2)</f>
        <v>2</v>
      </c>
      <c r="L250" s="1">
        <f ca="1">IFERROR(__xludf.DUMMYFUNCTION("""COMPUTED_VALUE"""),7)</f>
        <v>7</v>
      </c>
      <c r="M250" s="1">
        <f ca="1">IFERROR(__xludf.DUMMYFUNCTION("""COMPUTED_VALUE"""),4)</f>
        <v>4</v>
      </c>
      <c r="N250" s="1">
        <f ca="1">IFERROR(__xludf.DUMMYFUNCTION("""COMPUTED_VALUE"""),2231)</f>
        <v>2231</v>
      </c>
      <c r="O250" s="1">
        <f ca="1">IFERROR(__xludf.DUMMYFUNCTION("""COMPUTED_VALUE"""),1984)</f>
        <v>1984</v>
      </c>
      <c r="P250" s="1">
        <f ca="1">IFERROR(__xludf.DUMMYFUNCTION("""COMPUTED_VALUE"""),1360)</f>
        <v>1360</v>
      </c>
      <c r="Q250" s="1">
        <f ca="1">IFERROR(__xludf.DUMMYFUNCTION("""COMPUTED_VALUE"""),803)</f>
        <v>803</v>
      </c>
      <c r="R250" s="1">
        <f ca="1">IFERROR(__xludf.DUMMYFUNCTION("""COMPUTED_VALUE"""),1828)</f>
        <v>1828</v>
      </c>
      <c r="S250" s="1">
        <f ca="1">IFERROR(__xludf.DUMMYFUNCTION("""COMPUTED_VALUE"""),0.439)</f>
        <v>0.439</v>
      </c>
      <c r="T250" s="1">
        <f ca="1">IFERROR(__xludf.DUMMYFUNCTION("""COMPUTED_VALUE"""),166)</f>
        <v>166</v>
      </c>
      <c r="U250" s="1">
        <f ca="1">IFERROR(__xludf.DUMMYFUNCTION("""COMPUTED_VALUE"""),505)</f>
        <v>505</v>
      </c>
      <c r="V250" s="1">
        <f ca="1">IFERROR(__xludf.DUMMYFUNCTION("""COMPUTED_VALUE"""),0.329)</f>
        <v>0.32900000000000001</v>
      </c>
      <c r="W250" s="1">
        <f ca="1">IFERROR(__xludf.DUMMYFUNCTION("""COMPUTED_VALUE"""),459)</f>
        <v>459</v>
      </c>
      <c r="X250" s="1">
        <f ca="1">IFERROR(__xludf.DUMMYFUNCTION("""COMPUTED_VALUE"""),687)</f>
        <v>687</v>
      </c>
      <c r="Y250" s="1">
        <f ca="1">IFERROR(__xludf.DUMMYFUNCTION("""COMPUTED_VALUE"""),0.668)</f>
        <v>0.66800000000000004</v>
      </c>
      <c r="Z250" s="1">
        <f ca="1">IFERROR(__xludf.DUMMYFUNCTION("""COMPUTED_VALUE"""),524)</f>
        <v>524</v>
      </c>
      <c r="AA250" s="1">
        <f ca="1">IFERROR(__xludf.DUMMYFUNCTION("""COMPUTED_VALUE"""),1355)</f>
        <v>1355</v>
      </c>
      <c r="AB250" s="1">
        <f ca="1">IFERROR(__xludf.DUMMYFUNCTION("""COMPUTED_VALUE"""),485)</f>
        <v>485</v>
      </c>
      <c r="AC250" s="1">
        <f ca="1">IFERROR(__xludf.DUMMYFUNCTION("""COMPUTED_VALUE"""),234)</f>
        <v>234</v>
      </c>
      <c r="AD250" s="1">
        <f ca="1">IFERROR(__xludf.DUMMYFUNCTION("""COMPUTED_VALUE"""),146)</f>
        <v>146</v>
      </c>
      <c r="AE250" s="1">
        <f ca="1">IFERROR(__xludf.DUMMYFUNCTION("""COMPUTED_VALUE"""),424)</f>
        <v>424</v>
      </c>
      <c r="AF250" s="1">
        <f ca="1">IFERROR(__xludf.DUMMYFUNCTION("""COMPUTED_VALUE"""),503)</f>
        <v>503</v>
      </c>
    </row>
    <row r="251" spans="1:32" ht="12.5" x14ac:dyDescent="0.25">
      <c r="A251" s="1" t="str">
        <f ca="1">IFERROR(__xludf.DUMMYFUNCTION("""COMPUTED_VALUE"""),"Oral Roberts")</f>
        <v>Oral Roberts</v>
      </c>
      <c r="B251" s="1">
        <f ca="1">IFERROR(__xludf.DUMMYFUNCTION("""COMPUTED_VALUE"""),35)</f>
        <v>35</v>
      </c>
      <c r="C251" s="1">
        <f ca="1">IFERROR(__xludf.DUMMYFUNCTION("""COMPUTED_VALUE"""),19)</f>
        <v>19</v>
      </c>
      <c r="D251" s="1">
        <f ca="1">IFERROR(__xludf.DUMMYFUNCTION("""COMPUTED_VALUE"""),16)</f>
        <v>16</v>
      </c>
      <c r="E251" s="1">
        <f ca="1">IFERROR(__xludf.DUMMYFUNCTION("""COMPUTED_VALUE"""),0.543)</f>
        <v>0.54300000000000004</v>
      </c>
      <c r="F251" s="1">
        <f ca="1">IFERROR(__xludf.DUMMYFUNCTION("""COMPUTED_VALUE"""),0.86)</f>
        <v>0.86</v>
      </c>
      <c r="G251" s="1">
        <f ca="1">IFERROR(__xludf.DUMMYFUNCTION("""COMPUTED_VALUE"""),-1.17)</f>
        <v>-1.17</v>
      </c>
      <c r="H251" s="1">
        <f ca="1">IFERROR(__xludf.DUMMYFUNCTION("""COMPUTED_VALUE"""),13)</f>
        <v>13</v>
      </c>
      <c r="I251" s="1">
        <f ca="1">IFERROR(__xludf.DUMMYFUNCTION("""COMPUTED_VALUE"""),5)</f>
        <v>5</v>
      </c>
      <c r="J251" s="1">
        <f ca="1">IFERROR(__xludf.DUMMYFUNCTION("""COMPUTED_VALUE"""),9)</f>
        <v>9</v>
      </c>
      <c r="K251" s="1">
        <f ca="1">IFERROR(__xludf.DUMMYFUNCTION("""COMPUTED_VALUE"""),3)</f>
        <v>3</v>
      </c>
      <c r="L251" s="1">
        <f ca="1">IFERROR(__xludf.DUMMYFUNCTION("""COMPUTED_VALUE"""),7)</f>
        <v>7</v>
      </c>
      <c r="M251" s="1">
        <f ca="1">IFERROR(__xludf.DUMMYFUNCTION("""COMPUTED_VALUE"""),10)</f>
        <v>10</v>
      </c>
      <c r="N251" s="1">
        <f ca="1">IFERROR(__xludf.DUMMYFUNCTION("""COMPUTED_VALUE"""),2615)</f>
        <v>2615</v>
      </c>
      <c r="O251" s="1">
        <f ca="1">IFERROR(__xludf.DUMMYFUNCTION("""COMPUTED_VALUE"""),2544)</f>
        <v>2544</v>
      </c>
      <c r="P251" s="1">
        <f ca="1">IFERROR(__xludf.DUMMYFUNCTION("""COMPUTED_VALUE"""),1410)</f>
        <v>1410</v>
      </c>
      <c r="Q251" s="1">
        <f ca="1">IFERROR(__xludf.DUMMYFUNCTION("""COMPUTED_VALUE"""),925)</f>
        <v>925</v>
      </c>
      <c r="R251" s="1">
        <f ca="1">IFERROR(__xludf.DUMMYFUNCTION("""COMPUTED_VALUE"""),1950)</f>
        <v>1950</v>
      </c>
      <c r="S251" s="1">
        <f ca="1">IFERROR(__xludf.DUMMYFUNCTION("""COMPUTED_VALUE"""),0.474)</f>
        <v>0.47399999999999998</v>
      </c>
      <c r="T251" s="1">
        <f ca="1">IFERROR(__xludf.DUMMYFUNCTION("""COMPUTED_VALUE"""),193)</f>
        <v>193</v>
      </c>
      <c r="U251" s="1">
        <f ca="1">IFERROR(__xludf.DUMMYFUNCTION("""COMPUTED_VALUE"""),528)</f>
        <v>528</v>
      </c>
      <c r="V251" s="1">
        <f ca="1">IFERROR(__xludf.DUMMYFUNCTION("""COMPUTED_VALUE"""),0.366)</f>
        <v>0.36599999999999999</v>
      </c>
      <c r="W251" s="1">
        <f ca="1">IFERROR(__xludf.DUMMYFUNCTION("""COMPUTED_VALUE"""),572)</f>
        <v>572</v>
      </c>
      <c r="X251" s="1">
        <f ca="1">IFERROR(__xludf.DUMMYFUNCTION("""COMPUTED_VALUE"""),798)</f>
        <v>798</v>
      </c>
      <c r="Y251" s="1">
        <f ca="1">IFERROR(__xludf.DUMMYFUNCTION("""COMPUTED_VALUE"""),0.717)</f>
        <v>0.71699999999999997</v>
      </c>
      <c r="Z251" s="1">
        <f ca="1">IFERROR(__xludf.DUMMYFUNCTION("""COMPUTED_VALUE"""),419)</f>
        <v>419</v>
      </c>
      <c r="AA251" s="1">
        <f ca="1">IFERROR(__xludf.DUMMYFUNCTION("""COMPUTED_VALUE"""),1202)</f>
        <v>1202</v>
      </c>
      <c r="AB251" s="1">
        <f ca="1">IFERROR(__xludf.DUMMYFUNCTION("""COMPUTED_VALUE"""),446)</f>
        <v>446</v>
      </c>
      <c r="AC251" s="1">
        <f ca="1">IFERROR(__xludf.DUMMYFUNCTION("""COMPUTED_VALUE"""),195)</f>
        <v>195</v>
      </c>
      <c r="AD251" s="1">
        <f ca="1">IFERROR(__xludf.DUMMYFUNCTION("""COMPUTED_VALUE"""),100)</f>
        <v>100</v>
      </c>
      <c r="AE251" s="1">
        <f ca="1">IFERROR(__xludf.DUMMYFUNCTION("""COMPUTED_VALUE"""),452)</f>
        <v>452</v>
      </c>
      <c r="AF251" s="1">
        <f ca="1">IFERROR(__xludf.DUMMYFUNCTION("""COMPUTED_VALUE"""),712)</f>
        <v>712</v>
      </c>
    </row>
    <row r="252" spans="1:32" ht="12.5" x14ac:dyDescent="0.25">
      <c r="A252" s="1" t="str">
        <f ca="1">IFERROR(__xludf.DUMMYFUNCTION("""COMPUTED_VALUE"""),"Oregon State")</f>
        <v>Oregon State</v>
      </c>
      <c r="B252" s="1">
        <f ca="1">IFERROR(__xludf.DUMMYFUNCTION("""COMPUTED_VALUE"""),31)</f>
        <v>31</v>
      </c>
      <c r="C252" s="1">
        <f ca="1">IFERROR(__xludf.DUMMYFUNCTION("""COMPUTED_VALUE"""),11)</f>
        <v>11</v>
      </c>
      <c r="D252" s="1">
        <f ca="1">IFERROR(__xludf.DUMMYFUNCTION("""COMPUTED_VALUE"""),20)</f>
        <v>20</v>
      </c>
      <c r="E252" s="1">
        <f ca="1">IFERROR(__xludf.DUMMYFUNCTION("""COMPUTED_VALUE"""),0.355)</f>
        <v>0.35499999999999998</v>
      </c>
      <c r="F252" s="1">
        <f ca="1">IFERROR(__xludf.DUMMYFUNCTION("""COMPUTED_VALUE"""),1.51)</f>
        <v>1.51</v>
      </c>
      <c r="G252" s="1">
        <f ca="1">IFERROR(__xludf.DUMMYFUNCTION("""COMPUTED_VALUE"""),5.03)</f>
        <v>5.03</v>
      </c>
      <c r="H252" s="1">
        <f ca="1">IFERROR(__xludf.DUMMYFUNCTION("""COMPUTED_VALUE"""),5)</f>
        <v>5</v>
      </c>
      <c r="I252" s="1">
        <f ca="1">IFERROR(__xludf.DUMMYFUNCTION("""COMPUTED_VALUE"""),13)</f>
        <v>13</v>
      </c>
      <c r="J252" s="1">
        <f ca="1">IFERROR(__xludf.DUMMYFUNCTION("""COMPUTED_VALUE"""),9)</f>
        <v>9</v>
      </c>
      <c r="K252" s="1">
        <f ca="1">IFERROR(__xludf.DUMMYFUNCTION("""COMPUTED_VALUE"""),7)</f>
        <v>7</v>
      </c>
      <c r="L252" s="1">
        <f ca="1">IFERROR(__xludf.DUMMYFUNCTION("""COMPUTED_VALUE"""),1)</f>
        <v>1</v>
      </c>
      <c r="M252" s="1">
        <f ca="1">IFERROR(__xludf.DUMMYFUNCTION("""COMPUTED_VALUE"""),12)</f>
        <v>12</v>
      </c>
      <c r="N252" s="1">
        <f ca="1">IFERROR(__xludf.DUMMYFUNCTION("""COMPUTED_VALUE"""),2147)</f>
        <v>2147</v>
      </c>
      <c r="O252" s="1">
        <f ca="1">IFERROR(__xludf.DUMMYFUNCTION("""COMPUTED_VALUE"""),2256)</f>
        <v>2256</v>
      </c>
      <c r="P252" s="1">
        <f ca="1">IFERROR(__xludf.DUMMYFUNCTION("""COMPUTED_VALUE"""),1240)</f>
        <v>1240</v>
      </c>
      <c r="Q252" s="1">
        <f ca="1">IFERROR(__xludf.DUMMYFUNCTION("""COMPUTED_VALUE"""),737)</f>
        <v>737</v>
      </c>
      <c r="R252" s="1">
        <f ca="1">IFERROR(__xludf.DUMMYFUNCTION("""COMPUTED_VALUE"""),1727)</f>
        <v>1727</v>
      </c>
      <c r="S252" s="1">
        <f ca="1">IFERROR(__xludf.DUMMYFUNCTION("""COMPUTED_VALUE"""),0.427)</f>
        <v>0.42699999999999999</v>
      </c>
      <c r="T252" s="1">
        <f ca="1">IFERROR(__xludf.DUMMYFUNCTION("""COMPUTED_VALUE"""),160)</f>
        <v>160</v>
      </c>
      <c r="U252" s="1">
        <f ca="1">IFERROR(__xludf.DUMMYFUNCTION("""COMPUTED_VALUE"""),527)</f>
        <v>527</v>
      </c>
      <c r="V252" s="1">
        <f ca="1">IFERROR(__xludf.DUMMYFUNCTION("""COMPUTED_VALUE"""),0.304)</f>
        <v>0.30399999999999999</v>
      </c>
      <c r="W252" s="1">
        <f ca="1">IFERROR(__xludf.DUMMYFUNCTION("""COMPUTED_VALUE"""),513)</f>
        <v>513</v>
      </c>
      <c r="X252" s="1">
        <f ca="1">IFERROR(__xludf.DUMMYFUNCTION("""COMPUTED_VALUE"""),753)</f>
        <v>753</v>
      </c>
      <c r="Y252" s="1">
        <f ca="1">IFERROR(__xludf.DUMMYFUNCTION("""COMPUTED_VALUE"""),0.681)</f>
        <v>0.68100000000000005</v>
      </c>
      <c r="Z252" s="1">
        <f ca="1">IFERROR(__xludf.DUMMYFUNCTION("""COMPUTED_VALUE"""),381)</f>
        <v>381</v>
      </c>
      <c r="AA252" s="1">
        <f ca="1">IFERROR(__xludf.DUMMYFUNCTION("""COMPUTED_VALUE"""),1064)</f>
        <v>1064</v>
      </c>
      <c r="AB252" s="1">
        <f ca="1">IFERROR(__xludf.DUMMYFUNCTION("""COMPUTED_VALUE"""),374)</f>
        <v>374</v>
      </c>
      <c r="AC252" s="1">
        <f ca="1">IFERROR(__xludf.DUMMYFUNCTION("""COMPUTED_VALUE"""),293)</f>
        <v>293</v>
      </c>
      <c r="AD252" s="1">
        <f ca="1">IFERROR(__xludf.DUMMYFUNCTION("""COMPUTED_VALUE"""),68)</f>
        <v>68</v>
      </c>
      <c r="AE252" s="1">
        <f ca="1">IFERROR(__xludf.DUMMYFUNCTION("""COMPUTED_VALUE"""),472)</f>
        <v>472</v>
      </c>
      <c r="AF252" s="1">
        <f ca="1">IFERROR(__xludf.DUMMYFUNCTION("""COMPUTED_VALUE"""),575)</f>
        <v>575</v>
      </c>
    </row>
    <row r="253" spans="1:32" ht="12.5" x14ac:dyDescent="0.25">
      <c r="A253" s="1" t="str">
        <f ca="1">IFERROR(__xludf.DUMMYFUNCTION("""COMPUTED_VALUE"""),"Oregon")</f>
        <v>Oregon</v>
      </c>
      <c r="B253" s="1">
        <f ca="1">IFERROR(__xludf.DUMMYFUNCTION("""COMPUTED_VALUE"""),39)</f>
        <v>39</v>
      </c>
      <c r="C253" s="1">
        <f ca="1">IFERROR(__xludf.DUMMYFUNCTION("""COMPUTED_VALUE"""),21)</f>
        <v>21</v>
      </c>
      <c r="D253" s="1">
        <f ca="1">IFERROR(__xludf.DUMMYFUNCTION("""COMPUTED_VALUE"""),18)</f>
        <v>18</v>
      </c>
      <c r="E253" s="1">
        <f ca="1">IFERROR(__xludf.DUMMYFUNCTION("""COMPUTED_VALUE"""),0.538)</f>
        <v>0.53800000000000003</v>
      </c>
      <c r="F253" s="1">
        <f ca="1">IFERROR(__xludf.DUMMYFUNCTION("""COMPUTED_VALUE"""),6.92)</f>
        <v>6.92</v>
      </c>
      <c r="G253" s="1">
        <f ca="1">IFERROR(__xludf.DUMMYFUNCTION("""COMPUTED_VALUE"""),6.92)</f>
        <v>6.92</v>
      </c>
      <c r="H253" s="1">
        <f ca="1">IFERROR(__xludf.DUMMYFUNCTION("""COMPUTED_VALUE"""),7)</f>
        <v>7</v>
      </c>
      <c r="I253" s="1">
        <f ca="1">IFERROR(__xludf.DUMMYFUNCTION("""COMPUTED_VALUE"""),11)</f>
        <v>11</v>
      </c>
      <c r="J253" s="1">
        <f ca="1">IFERROR(__xludf.DUMMYFUNCTION("""COMPUTED_VALUE"""),16)</f>
        <v>16</v>
      </c>
      <c r="K253" s="1">
        <f ca="1">IFERROR(__xludf.DUMMYFUNCTION("""COMPUTED_VALUE"""),8)</f>
        <v>8</v>
      </c>
      <c r="L253" s="1">
        <f ca="1">IFERROR(__xludf.DUMMYFUNCTION("""COMPUTED_VALUE"""),3)</f>
        <v>3</v>
      </c>
      <c r="M253" s="1">
        <f ca="1">IFERROR(__xludf.DUMMYFUNCTION("""COMPUTED_VALUE"""),8)</f>
        <v>8</v>
      </c>
      <c r="N253" s="1">
        <f ca="1">IFERROR(__xludf.DUMMYFUNCTION("""COMPUTED_VALUE"""),2737)</f>
        <v>2737</v>
      </c>
      <c r="O253" s="1">
        <f ca="1">IFERROR(__xludf.DUMMYFUNCTION("""COMPUTED_VALUE"""),2704)</f>
        <v>2704</v>
      </c>
      <c r="P253" s="1">
        <f ca="1">IFERROR(__xludf.DUMMYFUNCTION("""COMPUTED_VALUE"""),1565)</f>
        <v>1565</v>
      </c>
      <c r="Q253" s="1">
        <f ca="1">IFERROR(__xludf.DUMMYFUNCTION("""COMPUTED_VALUE"""),972)</f>
        <v>972</v>
      </c>
      <c r="R253" s="1">
        <f ca="1">IFERROR(__xludf.DUMMYFUNCTION("""COMPUTED_VALUE"""),2287)</f>
        <v>2287</v>
      </c>
      <c r="S253" s="1">
        <f ca="1">IFERROR(__xludf.DUMMYFUNCTION("""COMPUTED_VALUE"""),0.425)</f>
        <v>0.42499999999999999</v>
      </c>
      <c r="T253" s="1">
        <f ca="1">IFERROR(__xludf.DUMMYFUNCTION("""COMPUTED_VALUE"""),273)</f>
        <v>273</v>
      </c>
      <c r="U253" s="1">
        <f ca="1">IFERROR(__xludf.DUMMYFUNCTION("""COMPUTED_VALUE"""),805)</f>
        <v>805</v>
      </c>
      <c r="V253" s="1">
        <f ca="1">IFERROR(__xludf.DUMMYFUNCTION("""COMPUTED_VALUE"""),0.339)</f>
        <v>0.33900000000000002</v>
      </c>
      <c r="W253" s="1">
        <f ca="1">IFERROR(__xludf.DUMMYFUNCTION("""COMPUTED_VALUE"""),520)</f>
        <v>520</v>
      </c>
      <c r="X253" s="1">
        <f ca="1">IFERROR(__xludf.DUMMYFUNCTION("""COMPUTED_VALUE"""),704)</f>
        <v>704</v>
      </c>
      <c r="Y253" s="1">
        <f ca="1">IFERROR(__xludf.DUMMYFUNCTION("""COMPUTED_VALUE"""),0.739)</f>
        <v>0.73899999999999999</v>
      </c>
      <c r="Z253" s="1">
        <f ca="1">IFERROR(__xludf.DUMMYFUNCTION("""COMPUTED_VALUE"""),420)</f>
        <v>420</v>
      </c>
      <c r="AA253" s="1">
        <f ca="1">IFERROR(__xludf.DUMMYFUNCTION("""COMPUTED_VALUE"""),1270)</f>
        <v>1270</v>
      </c>
      <c r="AB253" s="1">
        <f ca="1">IFERROR(__xludf.DUMMYFUNCTION("""COMPUTED_VALUE"""),545)</f>
        <v>545</v>
      </c>
      <c r="AC253" s="1">
        <f ca="1">IFERROR(__xludf.DUMMYFUNCTION("""COMPUTED_VALUE"""),321)</f>
        <v>321</v>
      </c>
      <c r="AD253" s="1">
        <f ca="1">IFERROR(__xludf.DUMMYFUNCTION("""COMPUTED_VALUE"""),103)</f>
        <v>103</v>
      </c>
      <c r="AE253" s="1">
        <f ca="1">IFERROR(__xludf.DUMMYFUNCTION("""COMPUTED_VALUE"""),477)</f>
        <v>477</v>
      </c>
      <c r="AF253" s="1">
        <f ca="1">IFERROR(__xludf.DUMMYFUNCTION("""COMPUTED_VALUE"""),711)</f>
        <v>711</v>
      </c>
    </row>
    <row r="254" spans="1:32" ht="12.5" x14ac:dyDescent="0.25">
      <c r="A254" s="1" t="str">
        <f ca="1">IFERROR(__xludf.DUMMYFUNCTION("""COMPUTED_VALUE"""),"Pacific")</f>
        <v>Pacific</v>
      </c>
      <c r="B254" s="1">
        <f ca="1">IFERROR(__xludf.DUMMYFUNCTION("""COMPUTED_VALUE"""),31)</f>
        <v>31</v>
      </c>
      <c r="C254" s="1">
        <f ca="1">IFERROR(__xludf.DUMMYFUNCTION("""COMPUTED_VALUE"""),16)</f>
        <v>16</v>
      </c>
      <c r="D254" s="1">
        <f ca="1">IFERROR(__xludf.DUMMYFUNCTION("""COMPUTED_VALUE"""),15)</f>
        <v>15</v>
      </c>
      <c r="E254" s="1">
        <f ca="1">IFERROR(__xludf.DUMMYFUNCTION("""COMPUTED_VALUE"""),0.516)</f>
        <v>0.51600000000000001</v>
      </c>
      <c r="F254" s="1">
        <f ca="1">IFERROR(__xludf.DUMMYFUNCTION("""COMPUTED_VALUE"""),0.75)</f>
        <v>0.75</v>
      </c>
      <c r="G254" s="1">
        <f ca="1">IFERROR(__xludf.DUMMYFUNCTION("""COMPUTED_VALUE"""),-0.88)</f>
        <v>-0.88</v>
      </c>
      <c r="H254" s="1">
        <f ca="1">IFERROR(__xludf.DUMMYFUNCTION("""COMPUTED_VALUE"""),8)</f>
        <v>8</v>
      </c>
      <c r="I254" s="1">
        <f ca="1">IFERROR(__xludf.DUMMYFUNCTION("""COMPUTED_VALUE"""),8)</f>
        <v>8</v>
      </c>
      <c r="J254" s="1">
        <f ca="1">IFERROR(__xludf.DUMMYFUNCTION("""COMPUTED_VALUE"""),8)</f>
        <v>8</v>
      </c>
      <c r="K254" s="1">
        <f ca="1">IFERROR(__xludf.DUMMYFUNCTION("""COMPUTED_VALUE"""),5)</f>
        <v>5</v>
      </c>
      <c r="L254" s="1">
        <f ca="1">IFERROR(__xludf.DUMMYFUNCTION("""COMPUTED_VALUE"""),6)</f>
        <v>6</v>
      </c>
      <c r="M254" s="1">
        <f ca="1">IFERROR(__xludf.DUMMYFUNCTION("""COMPUTED_VALUE"""),9)</f>
        <v>9</v>
      </c>
      <c r="N254" s="1">
        <f ca="1">IFERROR(__xludf.DUMMYFUNCTION("""COMPUTED_VALUE"""),2038)</f>
        <v>2038</v>
      </c>
      <c r="O254" s="1">
        <f ca="1">IFERROR(__xludf.DUMMYFUNCTION("""COMPUTED_VALUE"""),1945)</f>
        <v>1945</v>
      </c>
      <c r="P254" s="1">
        <f ca="1">IFERROR(__xludf.DUMMYFUNCTION("""COMPUTED_VALUE"""),1250)</f>
        <v>1250</v>
      </c>
      <c r="Q254" s="1">
        <f ca="1">IFERROR(__xludf.DUMMYFUNCTION("""COMPUTED_VALUE"""),705)</f>
        <v>705</v>
      </c>
      <c r="R254" s="1">
        <f ca="1">IFERROR(__xludf.DUMMYFUNCTION("""COMPUTED_VALUE"""),1606)</f>
        <v>1606</v>
      </c>
      <c r="S254" s="1">
        <f ca="1">IFERROR(__xludf.DUMMYFUNCTION("""COMPUTED_VALUE"""),0.439)</f>
        <v>0.439</v>
      </c>
      <c r="T254" s="1">
        <f ca="1">IFERROR(__xludf.DUMMYFUNCTION("""COMPUTED_VALUE"""),236)</f>
        <v>236</v>
      </c>
      <c r="U254" s="1">
        <f ca="1">IFERROR(__xludf.DUMMYFUNCTION("""COMPUTED_VALUE"""),663)</f>
        <v>663</v>
      </c>
      <c r="V254" s="1">
        <f ca="1">IFERROR(__xludf.DUMMYFUNCTION("""COMPUTED_VALUE"""),0.356)</f>
        <v>0.35599999999999998</v>
      </c>
      <c r="W254" s="1">
        <f ca="1">IFERROR(__xludf.DUMMYFUNCTION("""COMPUTED_VALUE"""),392)</f>
        <v>392</v>
      </c>
      <c r="X254" s="1">
        <f ca="1">IFERROR(__xludf.DUMMYFUNCTION("""COMPUTED_VALUE"""),558)</f>
        <v>558</v>
      </c>
      <c r="Y254" s="1">
        <f ca="1">IFERROR(__xludf.DUMMYFUNCTION("""COMPUTED_VALUE"""),0.703)</f>
        <v>0.70299999999999996</v>
      </c>
      <c r="Z254" s="1">
        <f ca="1">IFERROR(__xludf.DUMMYFUNCTION("""COMPUTED_VALUE"""),309)</f>
        <v>309</v>
      </c>
      <c r="AA254" s="1">
        <f ca="1">IFERROR(__xludf.DUMMYFUNCTION("""COMPUTED_VALUE"""),1037)</f>
        <v>1037</v>
      </c>
      <c r="AB254" s="1">
        <f ca="1">IFERROR(__xludf.DUMMYFUNCTION("""COMPUTED_VALUE"""),436)</f>
        <v>436</v>
      </c>
      <c r="AC254" s="1">
        <f ca="1">IFERROR(__xludf.DUMMYFUNCTION("""COMPUTED_VALUE"""),141)</f>
        <v>141</v>
      </c>
      <c r="AD254" s="1">
        <f ca="1">IFERROR(__xludf.DUMMYFUNCTION("""COMPUTED_VALUE"""),65)</f>
        <v>65</v>
      </c>
      <c r="AE254" s="1">
        <f ca="1">IFERROR(__xludf.DUMMYFUNCTION("""COMPUTED_VALUE"""),356)</f>
        <v>356</v>
      </c>
      <c r="AF254" s="1">
        <f ca="1">IFERROR(__xludf.DUMMYFUNCTION("""COMPUTED_VALUE"""),460)</f>
        <v>460</v>
      </c>
    </row>
    <row r="255" spans="1:32" ht="12.5" x14ac:dyDescent="0.25">
      <c r="A255" s="1" t="str">
        <f ca="1">IFERROR(__xludf.DUMMYFUNCTION("""COMPUTED_VALUE"""),"Penn StateNCAA")</f>
        <v>Penn StateNCAA</v>
      </c>
      <c r="B255" s="1">
        <f ca="1">IFERROR(__xludf.DUMMYFUNCTION("""COMPUTED_VALUE"""),34)</f>
        <v>34</v>
      </c>
      <c r="C255" s="1">
        <f ca="1">IFERROR(__xludf.DUMMYFUNCTION("""COMPUTED_VALUE"""),19)</f>
        <v>19</v>
      </c>
      <c r="D255" s="1">
        <f ca="1">IFERROR(__xludf.DUMMYFUNCTION("""COMPUTED_VALUE"""),15)</f>
        <v>15</v>
      </c>
      <c r="E255" s="1">
        <f ca="1">IFERROR(__xludf.DUMMYFUNCTION("""COMPUTED_VALUE"""),0.559)</f>
        <v>0.55900000000000005</v>
      </c>
      <c r="F255" s="1">
        <f ca="1">IFERROR(__xludf.DUMMYFUNCTION("""COMPUTED_VALUE"""),11.98)</f>
        <v>11.98</v>
      </c>
      <c r="G255" s="1">
        <f ca="1">IFERROR(__xludf.DUMMYFUNCTION("""COMPUTED_VALUE"""),11.45)</f>
        <v>11.45</v>
      </c>
      <c r="H255" s="1">
        <f ca="1">IFERROR(__xludf.DUMMYFUNCTION("""COMPUTED_VALUE"""),9)</f>
        <v>9</v>
      </c>
      <c r="I255" s="1">
        <f ca="1">IFERROR(__xludf.DUMMYFUNCTION("""COMPUTED_VALUE"""),9)</f>
        <v>9</v>
      </c>
      <c r="J255" s="1">
        <f ca="1">IFERROR(__xludf.DUMMYFUNCTION("""COMPUTED_VALUE"""),13)</f>
        <v>13</v>
      </c>
      <c r="K255" s="1">
        <f ca="1">IFERROR(__xludf.DUMMYFUNCTION("""COMPUTED_VALUE"""),5)</f>
        <v>5</v>
      </c>
      <c r="L255" s="1">
        <f ca="1">IFERROR(__xludf.DUMMYFUNCTION("""COMPUTED_VALUE"""),3)</f>
        <v>3</v>
      </c>
      <c r="M255" s="1">
        <f ca="1">IFERROR(__xludf.DUMMYFUNCTION("""COMPUTED_VALUE"""),8)</f>
        <v>8</v>
      </c>
      <c r="N255" s="1">
        <f ca="1">IFERROR(__xludf.DUMMYFUNCTION("""COMPUTED_VALUE"""),2144)</f>
        <v>2144</v>
      </c>
      <c r="O255" s="1">
        <f ca="1">IFERROR(__xludf.DUMMYFUNCTION("""COMPUTED_VALUE"""),2126)</f>
        <v>2126</v>
      </c>
      <c r="P255" s="1">
        <f ca="1">IFERROR(__xludf.DUMMYFUNCTION("""COMPUTED_VALUE"""),1360)</f>
        <v>1360</v>
      </c>
      <c r="Q255" s="1">
        <f ca="1">IFERROR(__xludf.DUMMYFUNCTION("""COMPUTED_VALUE"""),767)</f>
        <v>767</v>
      </c>
      <c r="R255" s="1">
        <f ca="1">IFERROR(__xludf.DUMMYFUNCTION("""COMPUTED_VALUE"""),1748)</f>
        <v>1748</v>
      </c>
      <c r="S255" s="1">
        <f ca="1">IFERROR(__xludf.DUMMYFUNCTION("""COMPUTED_VALUE"""),0.439)</f>
        <v>0.439</v>
      </c>
      <c r="T255" s="1">
        <f ca="1">IFERROR(__xludf.DUMMYFUNCTION("""COMPUTED_VALUE"""),216)</f>
        <v>216</v>
      </c>
      <c r="U255" s="1">
        <f ca="1">IFERROR(__xludf.DUMMYFUNCTION("""COMPUTED_VALUE"""),638)</f>
        <v>638</v>
      </c>
      <c r="V255" s="1">
        <f ca="1">IFERROR(__xludf.DUMMYFUNCTION("""COMPUTED_VALUE"""),0.339)</f>
        <v>0.33900000000000002</v>
      </c>
      <c r="W255" s="1">
        <f ca="1">IFERROR(__xludf.DUMMYFUNCTION("""COMPUTED_VALUE"""),394)</f>
        <v>394</v>
      </c>
      <c r="X255" s="1">
        <f ca="1">IFERROR(__xludf.DUMMYFUNCTION("""COMPUTED_VALUE"""),544)</f>
        <v>544</v>
      </c>
      <c r="Y255" s="1">
        <f ca="1">IFERROR(__xludf.DUMMYFUNCTION("""COMPUTED_VALUE"""),0.724)</f>
        <v>0.72399999999999998</v>
      </c>
      <c r="Z255" s="1">
        <f ca="1">IFERROR(__xludf.DUMMYFUNCTION("""COMPUTED_VALUE"""),337)</f>
        <v>337</v>
      </c>
      <c r="AA255" s="1">
        <f ca="1">IFERROR(__xludf.DUMMYFUNCTION("""COMPUTED_VALUE"""),1068)</f>
        <v>1068</v>
      </c>
      <c r="AB255" s="1">
        <f ca="1">IFERROR(__xludf.DUMMYFUNCTION("""COMPUTED_VALUE"""),413)</f>
        <v>413</v>
      </c>
      <c r="AC255" s="1">
        <f ca="1">IFERROR(__xludf.DUMMYFUNCTION("""COMPUTED_VALUE"""),151)</f>
        <v>151</v>
      </c>
      <c r="AD255" s="1">
        <f ca="1">IFERROR(__xludf.DUMMYFUNCTION("""COMPUTED_VALUE"""),82)</f>
        <v>82</v>
      </c>
      <c r="AE255" s="1">
        <f ca="1">IFERROR(__xludf.DUMMYFUNCTION("""COMPUTED_VALUE"""),358)</f>
        <v>358</v>
      </c>
      <c r="AF255" s="1">
        <f ca="1">IFERROR(__xludf.DUMMYFUNCTION("""COMPUTED_VALUE"""),530)</f>
        <v>530</v>
      </c>
    </row>
    <row r="256" spans="1:32" ht="12.5" x14ac:dyDescent="0.25">
      <c r="A256" s="1" t="str">
        <f ca="1">IFERROR(__xludf.DUMMYFUNCTION("""COMPUTED_VALUE"""),"Pennsylvania")</f>
        <v>Pennsylvania</v>
      </c>
      <c r="B256" s="1">
        <f ca="1">IFERROR(__xludf.DUMMYFUNCTION("""COMPUTED_VALUE"""),28)</f>
        <v>28</v>
      </c>
      <c r="C256" s="1">
        <f ca="1">IFERROR(__xludf.DUMMYFUNCTION("""COMPUTED_VALUE"""),13)</f>
        <v>13</v>
      </c>
      <c r="D256" s="1">
        <f ca="1">IFERROR(__xludf.DUMMYFUNCTION("""COMPUTED_VALUE"""),15)</f>
        <v>15</v>
      </c>
      <c r="E256" s="1">
        <f ca="1">IFERROR(__xludf.DUMMYFUNCTION("""COMPUTED_VALUE"""),0.464)</f>
        <v>0.46400000000000002</v>
      </c>
      <c r="F256" s="1">
        <f ca="1">IFERROR(__xludf.DUMMYFUNCTION("""COMPUTED_VALUE"""),-2.99)</f>
        <v>-2.99</v>
      </c>
      <c r="G256" s="1">
        <f ca="1">IFERROR(__xludf.DUMMYFUNCTION("""COMPUTED_VALUE"""),-1.64)</f>
        <v>-1.64</v>
      </c>
      <c r="H256" s="1">
        <f ca="1">IFERROR(__xludf.DUMMYFUNCTION("""COMPUTED_VALUE"""),7)</f>
        <v>7</v>
      </c>
      <c r="I256" s="1">
        <f ca="1">IFERROR(__xludf.DUMMYFUNCTION("""COMPUTED_VALUE"""),7)</f>
        <v>7</v>
      </c>
      <c r="J256" s="1">
        <f ca="1">IFERROR(__xludf.DUMMYFUNCTION("""COMPUTED_VALUE"""),7)</f>
        <v>7</v>
      </c>
      <c r="K256" s="1">
        <f ca="1">IFERROR(__xludf.DUMMYFUNCTION("""COMPUTED_VALUE"""),5)</f>
        <v>5</v>
      </c>
      <c r="L256" s="1">
        <f ca="1">IFERROR(__xludf.DUMMYFUNCTION("""COMPUTED_VALUE"""),5)</f>
        <v>5</v>
      </c>
      <c r="M256" s="1">
        <f ca="1">IFERROR(__xludf.DUMMYFUNCTION("""COMPUTED_VALUE"""),10)</f>
        <v>10</v>
      </c>
      <c r="N256" s="1">
        <f ca="1">IFERROR(__xludf.DUMMYFUNCTION("""COMPUTED_VALUE"""),1868)</f>
        <v>1868</v>
      </c>
      <c r="O256" s="1">
        <f ca="1">IFERROR(__xludf.DUMMYFUNCTION("""COMPUTED_VALUE"""),1906)</f>
        <v>1906</v>
      </c>
      <c r="P256" s="1">
        <f ca="1">IFERROR(__xludf.DUMMYFUNCTION("""COMPUTED_VALUE"""),1150)</f>
        <v>1150</v>
      </c>
      <c r="Q256" s="1">
        <f ca="1">IFERROR(__xludf.DUMMYFUNCTION("""COMPUTED_VALUE"""),644)</f>
        <v>644</v>
      </c>
      <c r="R256" s="1">
        <f ca="1">IFERROR(__xludf.DUMMYFUNCTION("""COMPUTED_VALUE"""),1417)</f>
        <v>1417</v>
      </c>
      <c r="S256" s="1">
        <f ca="1">IFERROR(__xludf.DUMMYFUNCTION("""COMPUTED_VALUE"""),0.454)</f>
        <v>0.45400000000000001</v>
      </c>
      <c r="T256" s="1">
        <f ca="1">IFERROR(__xludf.DUMMYFUNCTION("""COMPUTED_VALUE"""),185)</f>
        <v>185</v>
      </c>
      <c r="U256" s="1">
        <f ca="1">IFERROR(__xludf.DUMMYFUNCTION("""COMPUTED_VALUE"""),501)</f>
        <v>501</v>
      </c>
      <c r="V256" s="1">
        <f ca="1">IFERROR(__xludf.DUMMYFUNCTION("""COMPUTED_VALUE"""),0.369)</f>
        <v>0.36899999999999999</v>
      </c>
      <c r="W256" s="1">
        <f ca="1">IFERROR(__xludf.DUMMYFUNCTION("""COMPUTED_VALUE"""),395)</f>
        <v>395</v>
      </c>
      <c r="X256" s="1">
        <f ca="1">IFERROR(__xludf.DUMMYFUNCTION("""COMPUTED_VALUE"""),536)</f>
        <v>536</v>
      </c>
      <c r="Y256" s="1">
        <f ca="1">IFERROR(__xludf.DUMMYFUNCTION("""COMPUTED_VALUE"""),0.737)</f>
        <v>0.73699999999999999</v>
      </c>
      <c r="Z256" s="1">
        <f ca="1">IFERROR(__xludf.DUMMYFUNCTION("""COMPUTED_VALUE"""),223)</f>
        <v>223</v>
      </c>
      <c r="AA256" s="1">
        <f ca="1">IFERROR(__xludf.DUMMYFUNCTION("""COMPUTED_VALUE"""),832)</f>
        <v>832</v>
      </c>
      <c r="AB256" s="1">
        <f ca="1">IFERROR(__xludf.DUMMYFUNCTION("""COMPUTED_VALUE"""),378)</f>
        <v>378</v>
      </c>
      <c r="AC256" s="1">
        <f ca="1">IFERROR(__xludf.DUMMYFUNCTION("""COMPUTED_VALUE"""),171)</f>
        <v>171</v>
      </c>
      <c r="AD256" s="1">
        <f ca="1">IFERROR(__xludf.DUMMYFUNCTION("""COMPUTED_VALUE"""),65)</f>
        <v>65</v>
      </c>
      <c r="AE256" s="1">
        <f ca="1">IFERROR(__xludf.DUMMYFUNCTION("""COMPUTED_VALUE"""),388)</f>
        <v>388</v>
      </c>
      <c r="AF256" s="1">
        <f ca="1">IFERROR(__xludf.DUMMYFUNCTION("""COMPUTED_VALUE"""),506)</f>
        <v>506</v>
      </c>
    </row>
    <row r="257" spans="1:32" ht="12.5" x14ac:dyDescent="0.25">
      <c r="A257" s="1" t="str">
        <f ca="1">IFERROR(__xludf.DUMMYFUNCTION("""COMPUTED_VALUE"""),"Pepperdine")</f>
        <v>Pepperdine</v>
      </c>
      <c r="B257" s="1">
        <f ca="1">IFERROR(__xludf.DUMMYFUNCTION("""COMPUTED_VALUE"""),33)</f>
        <v>33</v>
      </c>
      <c r="C257" s="1">
        <f ca="1">IFERROR(__xludf.DUMMYFUNCTION("""COMPUTED_VALUE"""),12)</f>
        <v>12</v>
      </c>
      <c r="D257" s="1">
        <f ca="1">IFERROR(__xludf.DUMMYFUNCTION("""COMPUTED_VALUE"""),21)</f>
        <v>21</v>
      </c>
      <c r="E257" s="1">
        <f ca="1">IFERROR(__xludf.DUMMYFUNCTION("""COMPUTED_VALUE"""),0.364)</f>
        <v>0.36399999999999999</v>
      </c>
      <c r="F257" s="1">
        <f ca="1">IFERROR(__xludf.DUMMYFUNCTION("""COMPUTED_VALUE"""),-3.91)</f>
        <v>-3.91</v>
      </c>
      <c r="G257" s="1">
        <f ca="1">IFERROR(__xludf.DUMMYFUNCTION("""COMPUTED_VALUE"""),1.43)</f>
        <v>1.43</v>
      </c>
      <c r="H257" s="1">
        <f ca="1">IFERROR(__xludf.DUMMYFUNCTION("""COMPUTED_VALUE"""),5)</f>
        <v>5</v>
      </c>
      <c r="I257" s="1">
        <f ca="1">IFERROR(__xludf.DUMMYFUNCTION("""COMPUTED_VALUE"""),9)</f>
        <v>9</v>
      </c>
      <c r="J257" s="1">
        <f ca="1">IFERROR(__xludf.DUMMYFUNCTION("""COMPUTED_VALUE"""),7)</f>
        <v>7</v>
      </c>
      <c r="K257" s="1">
        <f ca="1">IFERROR(__xludf.DUMMYFUNCTION("""COMPUTED_VALUE"""),7)</f>
        <v>7</v>
      </c>
      <c r="L257" s="1">
        <f ca="1">IFERROR(__xludf.DUMMYFUNCTION("""COMPUTED_VALUE"""),2)</f>
        <v>2</v>
      </c>
      <c r="M257" s="1">
        <f ca="1">IFERROR(__xludf.DUMMYFUNCTION("""COMPUTED_VALUE"""),13)</f>
        <v>13</v>
      </c>
      <c r="N257" s="1">
        <f ca="1">IFERROR(__xludf.DUMMYFUNCTION("""COMPUTED_VALUE"""),2289)</f>
        <v>2289</v>
      </c>
      <c r="O257" s="1">
        <f ca="1">IFERROR(__xludf.DUMMYFUNCTION("""COMPUTED_VALUE"""),2442)</f>
        <v>2442</v>
      </c>
      <c r="P257" s="1">
        <f ca="1">IFERROR(__xludf.DUMMYFUNCTION("""COMPUTED_VALUE"""),1330)</f>
        <v>1330</v>
      </c>
      <c r="Q257" s="1">
        <f ca="1">IFERROR(__xludf.DUMMYFUNCTION("""COMPUTED_VALUE"""),787)</f>
        <v>787</v>
      </c>
      <c r="R257" s="1">
        <f ca="1">IFERROR(__xludf.DUMMYFUNCTION("""COMPUTED_VALUE"""),1855)</f>
        <v>1855</v>
      </c>
      <c r="S257" s="1">
        <f ca="1">IFERROR(__xludf.DUMMYFUNCTION("""COMPUTED_VALUE"""),0.424)</f>
        <v>0.42399999999999999</v>
      </c>
      <c r="T257" s="1">
        <f ca="1">IFERROR(__xludf.DUMMYFUNCTION("""COMPUTED_VALUE"""),177)</f>
        <v>177</v>
      </c>
      <c r="U257" s="1">
        <f ca="1">IFERROR(__xludf.DUMMYFUNCTION("""COMPUTED_VALUE"""),541)</f>
        <v>541</v>
      </c>
      <c r="V257" s="1">
        <f ca="1">IFERROR(__xludf.DUMMYFUNCTION("""COMPUTED_VALUE"""),0.327)</f>
        <v>0.32700000000000001</v>
      </c>
      <c r="W257" s="1">
        <f ca="1">IFERROR(__xludf.DUMMYFUNCTION("""COMPUTED_VALUE"""),538)</f>
        <v>538</v>
      </c>
      <c r="X257" s="1">
        <f ca="1">IFERROR(__xludf.DUMMYFUNCTION("""COMPUTED_VALUE"""),749)</f>
        <v>749</v>
      </c>
      <c r="Y257" s="1">
        <f ca="1">IFERROR(__xludf.DUMMYFUNCTION("""COMPUTED_VALUE"""),0.718)</f>
        <v>0.71799999999999997</v>
      </c>
      <c r="Z257" s="1">
        <f ca="1">IFERROR(__xludf.DUMMYFUNCTION("""COMPUTED_VALUE"""),404)</f>
        <v>404</v>
      </c>
      <c r="AA257" s="1">
        <f ca="1">IFERROR(__xludf.DUMMYFUNCTION("""COMPUTED_VALUE"""),1178)</f>
        <v>1178</v>
      </c>
      <c r="AB257" s="1">
        <f ca="1">IFERROR(__xludf.DUMMYFUNCTION("""COMPUTED_VALUE"""),416)</f>
        <v>416</v>
      </c>
      <c r="AC257" s="1">
        <f ca="1">IFERROR(__xludf.DUMMYFUNCTION("""COMPUTED_VALUE"""),193)</f>
        <v>193</v>
      </c>
      <c r="AD257" s="1">
        <f ca="1">IFERROR(__xludf.DUMMYFUNCTION("""COMPUTED_VALUE"""),97)</f>
        <v>97</v>
      </c>
      <c r="AE257" s="1">
        <f ca="1">IFERROR(__xludf.DUMMYFUNCTION("""COMPUTED_VALUE"""),440)</f>
        <v>440</v>
      </c>
      <c r="AF257" s="1">
        <f ca="1">IFERROR(__xludf.DUMMYFUNCTION("""COMPUTED_VALUE"""),627)</f>
        <v>627</v>
      </c>
    </row>
    <row r="258" spans="1:32" ht="12.5" x14ac:dyDescent="0.25">
      <c r="A258" s="1" t="str">
        <f ca="1">IFERROR(__xludf.DUMMYFUNCTION("""COMPUTED_VALUE"""),"PittsburghNCAA")</f>
        <v>PittsburghNCAA</v>
      </c>
      <c r="B258" s="1">
        <f ca="1">IFERROR(__xludf.DUMMYFUNCTION("""COMPUTED_VALUE"""),34)</f>
        <v>34</v>
      </c>
      <c r="C258" s="1">
        <f ca="1">IFERROR(__xludf.DUMMYFUNCTION("""COMPUTED_VALUE"""),28)</f>
        <v>28</v>
      </c>
      <c r="D258" s="1">
        <f ca="1">IFERROR(__xludf.DUMMYFUNCTION("""COMPUTED_VALUE"""),6)</f>
        <v>6</v>
      </c>
      <c r="E258" s="1">
        <f ca="1">IFERROR(__xludf.DUMMYFUNCTION("""COMPUTED_VALUE"""),0.824)</f>
        <v>0.82399999999999995</v>
      </c>
      <c r="F258" s="1">
        <f ca="1">IFERROR(__xludf.DUMMYFUNCTION("""COMPUTED_VALUE"""),20.82)</f>
        <v>20.82</v>
      </c>
      <c r="G258" s="1">
        <f ca="1">IFERROR(__xludf.DUMMYFUNCTION("""COMPUTED_VALUE"""),7.85)</f>
        <v>7.85</v>
      </c>
      <c r="H258" s="1">
        <f ca="1">IFERROR(__xludf.DUMMYFUNCTION("""COMPUTED_VALUE"""),15)</f>
        <v>15</v>
      </c>
      <c r="I258" s="1">
        <f ca="1">IFERROR(__xludf.DUMMYFUNCTION("""COMPUTED_VALUE"""),3)</f>
        <v>3</v>
      </c>
      <c r="J258" s="1">
        <f ca="1">IFERROR(__xludf.DUMMYFUNCTION("""COMPUTED_VALUE"""),17)</f>
        <v>17</v>
      </c>
      <c r="K258" s="1">
        <f ca="1">IFERROR(__xludf.DUMMYFUNCTION("""COMPUTED_VALUE"""),1)</f>
        <v>1</v>
      </c>
      <c r="L258" s="1">
        <f ca="1">IFERROR(__xludf.DUMMYFUNCTION("""COMPUTED_VALUE"""),7)</f>
        <v>7</v>
      </c>
      <c r="M258" s="1">
        <f ca="1">IFERROR(__xludf.DUMMYFUNCTION("""COMPUTED_VALUE"""),2)</f>
        <v>2</v>
      </c>
      <c r="N258" s="1">
        <f ca="1">IFERROR(__xludf.DUMMYFUNCTION("""COMPUTED_VALUE"""),2514)</f>
        <v>2514</v>
      </c>
      <c r="O258" s="1">
        <f ca="1">IFERROR(__xludf.DUMMYFUNCTION("""COMPUTED_VALUE"""),2073)</f>
        <v>2073</v>
      </c>
      <c r="P258" s="1">
        <f ca="1">IFERROR(__xludf.DUMMYFUNCTION("""COMPUTED_VALUE"""),1365)</f>
        <v>1365</v>
      </c>
      <c r="Q258" s="1">
        <f ca="1">IFERROR(__xludf.DUMMYFUNCTION("""COMPUTED_VALUE"""),886)</f>
        <v>886</v>
      </c>
      <c r="R258" s="1">
        <f ca="1">IFERROR(__xludf.DUMMYFUNCTION("""COMPUTED_VALUE"""),1866)</f>
        <v>1866</v>
      </c>
      <c r="S258" s="1">
        <f ca="1">IFERROR(__xludf.DUMMYFUNCTION("""COMPUTED_VALUE"""),0.475)</f>
        <v>0.47499999999999998</v>
      </c>
      <c r="T258" s="1">
        <f ca="1">IFERROR(__xludf.DUMMYFUNCTION("""COMPUTED_VALUE"""),202)</f>
        <v>202</v>
      </c>
      <c r="U258" s="1">
        <f ca="1">IFERROR(__xludf.DUMMYFUNCTION("""COMPUTED_VALUE"""),512)</f>
        <v>512</v>
      </c>
      <c r="V258" s="1">
        <f ca="1">IFERROR(__xludf.DUMMYFUNCTION("""COMPUTED_VALUE"""),0.395)</f>
        <v>0.39500000000000002</v>
      </c>
      <c r="W258" s="1">
        <f ca="1">IFERROR(__xludf.DUMMYFUNCTION("""COMPUTED_VALUE"""),540)</f>
        <v>540</v>
      </c>
      <c r="X258" s="1">
        <f ca="1">IFERROR(__xludf.DUMMYFUNCTION("""COMPUTED_VALUE"""),805)</f>
        <v>805</v>
      </c>
      <c r="Y258" s="1">
        <f ca="1">IFERROR(__xludf.DUMMYFUNCTION("""COMPUTED_VALUE"""),0.671)</f>
        <v>0.67100000000000004</v>
      </c>
      <c r="Z258" s="1">
        <f ca="1">IFERROR(__xludf.DUMMYFUNCTION("""COMPUTED_VALUE"""),484)</f>
        <v>484</v>
      </c>
      <c r="AA258" s="1">
        <f ca="1">IFERROR(__xludf.DUMMYFUNCTION("""COMPUTED_VALUE"""),1359)</f>
        <v>1359</v>
      </c>
      <c r="AB258" s="1">
        <f ca="1">IFERROR(__xludf.DUMMYFUNCTION("""COMPUTED_VALUE"""),595)</f>
        <v>595</v>
      </c>
      <c r="AC258" s="1">
        <f ca="1">IFERROR(__xludf.DUMMYFUNCTION("""COMPUTED_VALUE"""),160)</f>
        <v>160</v>
      </c>
      <c r="AD258" s="1">
        <f ca="1">IFERROR(__xludf.DUMMYFUNCTION("""COMPUTED_VALUE"""),111)</f>
        <v>111</v>
      </c>
      <c r="AE258" s="1">
        <f ca="1">IFERROR(__xludf.DUMMYFUNCTION("""COMPUTED_VALUE"""),397)</f>
        <v>397</v>
      </c>
      <c r="AF258" s="1">
        <f ca="1">IFERROR(__xludf.DUMMYFUNCTION("""COMPUTED_VALUE"""),610)</f>
        <v>610</v>
      </c>
    </row>
    <row r="259" spans="1:32" ht="12.5" x14ac:dyDescent="0.25">
      <c r="A259" s="1" t="str">
        <f ca="1">IFERROR(__xludf.DUMMYFUNCTION("""COMPUTED_VALUE"""),"Portland State")</f>
        <v>Portland State</v>
      </c>
      <c r="B259" s="1">
        <f ca="1">IFERROR(__xludf.DUMMYFUNCTION("""COMPUTED_VALUE"""),30)</f>
        <v>30</v>
      </c>
      <c r="C259" s="1">
        <f ca="1">IFERROR(__xludf.DUMMYFUNCTION("""COMPUTED_VALUE"""),14)</f>
        <v>14</v>
      </c>
      <c r="D259" s="1">
        <f ca="1">IFERROR(__xludf.DUMMYFUNCTION("""COMPUTED_VALUE"""),16)</f>
        <v>16</v>
      </c>
      <c r="E259" s="1">
        <f ca="1">IFERROR(__xludf.DUMMYFUNCTION("""COMPUTED_VALUE"""),0.467)</f>
        <v>0.46700000000000003</v>
      </c>
      <c r="F259" s="1">
        <f ca="1">IFERROR(__xludf.DUMMYFUNCTION("""COMPUTED_VALUE"""),-7.74)</f>
        <v>-7.74</v>
      </c>
      <c r="G259" s="1">
        <f ca="1">IFERROR(__xludf.DUMMYFUNCTION("""COMPUTED_VALUE"""),-4.47)</f>
        <v>-4.47</v>
      </c>
      <c r="H259" s="1">
        <f ca="1">IFERROR(__xludf.DUMMYFUNCTION("""COMPUTED_VALUE"""),5)</f>
        <v>5</v>
      </c>
      <c r="I259" s="1">
        <f ca="1">IFERROR(__xludf.DUMMYFUNCTION("""COMPUTED_VALUE"""),11)</f>
        <v>11</v>
      </c>
      <c r="J259" s="1">
        <f ca="1">IFERROR(__xludf.DUMMYFUNCTION("""COMPUTED_VALUE"""),10)</f>
        <v>10</v>
      </c>
      <c r="K259" s="1">
        <f ca="1">IFERROR(__xludf.DUMMYFUNCTION("""COMPUTED_VALUE"""),5)</f>
        <v>5</v>
      </c>
      <c r="L259" s="1">
        <f ca="1">IFERROR(__xludf.DUMMYFUNCTION("""COMPUTED_VALUE"""),2)</f>
        <v>2</v>
      </c>
      <c r="M259" s="1">
        <f ca="1">IFERROR(__xludf.DUMMYFUNCTION("""COMPUTED_VALUE"""),11)</f>
        <v>11</v>
      </c>
      <c r="N259" s="1">
        <f ca="1">IFERROR(__xludf.DUMMYFUNCTION("""COMPUTED_VALUE"""),2169)</f>
        <v>2169</v>
      </c>
      <c r="O259" s="1">
        <f ca="1">IFERROR(__xludf.DUMMYFUNCTION("""COMPUTED_VALUE"""),2230)</f>
        <v>2230</v>
      </c>
      <c r="P259" s="1">
        <f ca="1">IFERROR(__xludf.DUMMYFUNCTION("""COMPUTED_VALUE"""),1200)</f>
        <v>1200</v>
      </c>
      <c r="Q259" s="1">
        <f ca="1">IFERROR(__xludf.DUMMYFUNCTION("""COMPUTED_VALUE"""),745)</f>
        <v>745</v>
      </c>
      <c r="R259" s="1">
        <f ca="1">IFERROR(__xludf.DUMMYFUNCTION("""COMPUTED_VALUE"""),1697)</f>
        <v>1697</v>
      </c>
      <c r="S259" s="1">
        <f ca="1">IFERROR(__xludf.DUMMYFUNCTION("""COMPUTED_VALUE"""),0.439)</f>
        <v>0.439</v>
      </c>
      <c r="T259" s="1">
        <f ca="1">IFERROR(__xludf.DUMMYFUNCTION("""COMPUTED_VALUE"""),211)</f>
        <v>211</v>
      </c>
      <c r="U259" s="1">
        <f ca="1">IFERROR(__xludf.DUMMYFUNCTION("""COMPUTED_VALUE"""),600)</f>
        <v>600</v>
      </c>
      <c r="V259" s="1">
        <f ca="1">IFERROR(__xludf.DUMMYFUNCTION("""COMPUTED_VALUE"""),0.352)</f>
        <v>0.35199999999999998</v>
      </c>
      <c r="W259" s="1">
        <f ca="1">IFERROR(__xludf.DUMMYFUNCTION("""COMPUTED_VALUE"""),468)</f>
        <v>468</v>
      </c>
      <c r="X259" s="1">
        <f ca="1">IFERROR(__xludf.DUMMYFUNCTION("""COMPUTED_VALUE"""),645)</f>
        <v>645</v>
      </c>
      <c r="Y259" s="1">
        <f ca="1">IFERROR(__xludf.DUMMYFUNCTION("""COMPUTED_VALUE"""),0.726)</f>
        <v>0.72599999999999998</v>
      </c>
      <c r="Z259" s="1">
        <f ca="1">IFERROR(__xludf.DUMMYFUNCTION("""COMPUTED_VALUE"""),309)</f>
        <v>309</v>
      </c>
      <c r="AA259" s="1">
        <f ca="1">IFERROR(__xludf.DUMMYFUNCTION("""COMPUTED_VALUE"""),983)</f>
        <v>983</v>
      </c>
      <c r="AB259" s="1">
        <f ca="1">IFERROR(__xludf.DUMMYFUNCTION("""COMPUTED_VALUE"""),390)</f>
        <v>390</v>
      </c>
      <c r="AC259" s="1">
        <f ca="1">IFERROR(__xludf.DUMMYFUNCTION("""COMPUTED_VALUE"""),181)</f>
        <v>181</v>
      </c>
      <c r="AD259" s="1">
        <f ca="1">IFERROR(__xludf.DUMMYFUNCTION("""COMPUTED_VALUE"""),69)</f>
        <v>69</v>
      </c>
      <c r="AE259" s="1">
        <f ca="1">IFERROR(__xludf.DUMMYFUNCTION("""COMPUTED_VALUE"""),374)</f>
        <v>374</v>
      </c>
      <c r="AF259" s="1">
        <f ca="1">IFERROR(__xludf.DUMMYFUNCTION("""COMPUTED_VALUE"""),506)</f>
        <v>506</v>
      </c>
    </row>
    <row r="260" spans="1:32" ht="12.5" x14ac:dyDescent="0.25">
      <c r="A260" s="1" t="str">
        <f ca="1">IFERROR(__xludf.DUMMYFUNCTION("""COMPUTED_VALUE"""),"Portland")</f>
        <v>Portland</v>
      </c>
      <c r="B260" s="1">
        <f ca="1">IFERROR(__xludf.DUMMYFUNCTION("""COMPUTED_VALUE"""),32)</f>
        <v>32</v>
      </c>
      <c r="C260" s="1">
        <f ca="1">IFERROR(__xludf.DUMMYFUNCTION("""COMPUTED_VALUE"""),20)</f>
        <v>20</v>
      </c>
      <c r="D260" s="1">
        <f ca="1">IFERROR(__xludf.DUMMYFUNCTION("""COMPUTED_VALUE"""),12)</f>
        <v>12</v>
      </c>
      <c r="E260" s="1">
        <f ca="1">IFERROR(__xludf.DUMMYFUNCTION("""COMPUTED_VALUE"""),0.625)</f>
        <v>0.625</v>
      </c>
      <c r="F260" s="1">
        <f ca="1">IFERROR(__xludf.DUMMYFUNCTION("""COMPUTED_VALUE"""),4.7)</f>
        <v>4.7</v>
      </c>
      <c r="G260" s="1">
        <f ca="1">IFERROR(__xludf.DUMMYFUNCTION("""COMPUTED_VALUE"""),2.2)</f>
        <v>2.2000000000000002</v>
      </c>
      <c r="H260" s="1">
        <f ca="1">IFERROR(__xludf.DUMMYFUNCTION("""COMPUTED_VALUE"""),7)</f>
        <v>7</v>
      </c>
      <c r="I260" s="1">
        <f ca="1">IFERROR(__xludf.DUMMYFUNCTION("""COMPUTED_VALUE"""),7)</f>
        <v>7</v>
      </c>
      <c r="J260" s="1">
        <f ca="1">IFERROR(__xludf.DUMMYFUNCTION("""COMPUTED_VALUE"""),13)</f>
        <v>13</v>
      </c>
      <c r="K260" s="1">
        <f ca="1">IFERROR(__xludf.DUMMYFUNCTION("""COMPUTED_VALUE"""),2)</f>
        <v>2</v>
      </c>
      <c r="L260" s="1">
        <f ca="1">IFERROR(__xludf.DUMMYFUNCTION("""COMPUTED_VALUE"""),7)</f>
        <v>7</v>
      </c>
      <c r="M260" s="1">
        <f ca="1">IFERROR(__xludf.DUMMYFUNCTION("""COMPUTED_VALUE"""),7)</f>
        <v>7</v>
      </c>
      <c r="N260" s="1">
        <f ca="1">IFERROR(__xludf.DUMMYFUNCTION("""COMPUTED_VALUE"""),2272)</f>
        <v>2272</v>
      </c>
      <c r="O260" s="1">
        <f ca="1">IFERROR(__xludf.DUMMYFUNCTION("""COMPUTED_VALUE"""),2192)</f>
        <v>2192</v>
      </c>
      <c r="P260" s="1">
        <f ca="1">IFERROR(__xludf.DUMMYFUNCTION("""COMPUTED_VALUE"""),1290)</f>
        <v>1290</v>
      </c>
      <c r="Q260" s="1">
        <f ca="1">IFERROR(__xludf.DUMMYFUNCTION("""COMPUTED_VALUE"""),800)</f>
        <v>800</v>
      </c>
      <c r="R260" s="1">
        <f ca="1">IFERROR(__xludf.DUMMYFUNCTION("""COMPUTED_VALUE"""),1749)</f>
        <v>1749</v>
      </c>
      <c r="S260" s="1">
        <f ca="1">IFERROR(__xludf.DUMMYFUNCTION("""COMPUTED_VALUE"""),0.457)</f>
        <v>0.45700000000000002</v>
      </c>
      <c r="T260" s="1">
        <f ca="1">IFERROR(__xludf.DUMMYFUNCTION("""COMPUTED_VALUE"""),243)</f>
        <v>243</v>
      </c>
      <c r="U260" s="1">
        <f ca="1">IFERROR(__xludf.DUMMYFUNCTION("""COMPUTED_VALUE"""),590)</f>
        <v>590</v>
      </c>
      <c r="V260" s="1">
        <f ca="1">IFERROR(__xludf.DUMMYFUNCTION("""COMPUTED_VALUE"""),0.412)</f>
        <v>0.41199999999999998</v>
      </c>
      <c r="W260" s="1">
        <f ca="1">IFERROR(__xludf.DUMMYFUNCTION("""COMPUTED_VALUE"""),429)</f>
        <v>429</v>
      </c>
      <c r="X260" s="1">
        <f ca="1">IFERROR(__xludf.DUMMYFUNCTION("""COMPUTED_VALUE"""),577)</f>
        <v>577</v>
      </c>
      <c r="Y260" s="1">
        <f ca="1">IFERROR(__xludf.DUMMYFUNCTION("""COMPUTED_VALUE"""),0.744)</f>
        <v>0.74399999999999999</v>
      </c>
      <c r="Z260" s="1">
        <f ca="1">IFERROR(__xludf.DUMMYFUNCTION("""COMPUTED_VALUE"""),347)</f>
        <v>347</v>
      </c>
      <c r="AA260" s="1">
        <f ca="1">IFERROR(__xludf.DUMMYFUNCTION("""COMPUTED_VALUE"""),1108)</f>
        <v>1108</v>
      </c>
      <c r="AB260" s="1">
        <f ca="1">IFERROR(__xludf.DUMMYFUNCTION("""COMPUTED_VALUE"""),447)</f>
        <v>447</v>
      </c>
      <c r="AC260" s="1">
        <f ca="1">IFERROR(__xludf.DUMMYFUNCTION("""COMPUTED_VALUE"""),171)</f>
        <v>171</v>
      </c>
      <c r="AD260" s="1">
        <f ca="1">IFERROR(__xludf.DUMMYFUNCTION("""COMPUTED_VALUE"""),99)</f>
        <v>99</v>
      </c>
      <c r="AE260" s="1">
        <f ca="1">IFERROR(__xludf.DUMMYFUNCTION("""COMPUTED_VALUE"""),413)</f>
        <v>413</v>
      </c>
      <c r="AF260" s="1">
        <f ca="1">IFERROR(__xludf.DUMMYFUNCTION("""COMPUTED_VALUE"""),560)</f>
        <v>560</v>
      </c>
    </row>
    <row r="261" spans="1:32" ht="12.5" x14ac:dyDescent="0.25">
      <c r="A261" s="1" t="str">
        <f ca="1">IFERROR(__xludf.DUMMYFUNCTION("""COMPUTED_VALUE"""),"Prairie View")</f>
        <v>Prairie View</v>
      </c>
      <c r="B261" s="1">
        <f ca="1">IFERROR(__xludf.DUMMYFUNCTION("""COMPUTED_VALUE"""),32)</f>
        <v>32</v>
      </c>
      <c r="C261" s="1">
        <f ca="1">IFERROR(__xludf.DUMMYFUNCTION("""COMPUTED_VALUE"""),10)</f>
        <v>10</v>
      </c>
      <c r="D261" s="1">
        <f ca="1">IFERROR(__xludf.DUMMYFUNCTION("""COMPUTED_VALUE"""),22)</f>
        <v>22</v>
      </c>
      <c r="E261" s="1">
        <f ca="1">IFERROR(__xludf.DUMMYFUNCTION("""COMPUTED_VALUE"""),0.313)</f>
        <v>0.313</v>
      </c>
      <c r="F261" s="1">
        <f ca="1">IFERROR(__xludf.DUMMYFUNCTION("""COMPUTED_VALUE"""),-19.63)</f>
        <v>-19.63</v>
      </c>
      <c r="G261" s="1">
        <f ca="1">IFERROR(__xludf.DUMMYFUNCTION("""COMPUTED_VALUE"""),-8.77)</f>
        <v>-8.77</v>
      </c>
      <c r="H261" s="1">
        <f ca="1">IFERROR(__xludf.DUMMYFUNCTION("""COMPUTED_VALUE"""),7)</f>
        <v>7</v>
      </c>
      <c r="I261" s="1">
        <f ca="1">IFERROR(__xludf.DUMMYFUNCTION("""COMPUTED_VALUE"""),11)</f>
        <v>11</v>
      </c>
      <c r="J261" s="1">
        <f ca="1">IFERROR(__xludf.DUMMYFUNCTION("""COMPUTED_VALUE"""),8)</f>
        <v>8</v>
      </c>
      <c r="K261" s="1">
        <f ca="1">IFERROR(__xludf.DUMMYFUNCTION("""COMPUTED_VALUE"""),3)</f>
        <v>3</v>
      </c>
      <c r="L261" s="1">
        <f ca="1">IFERROR(__xludf.DUMMYFUNCTION("""COMPUTED_VALUE"""),1)</f>
        <v>1</v>
      </c>
      <c r="M261" s="1">
        <f ca="1">IFERROR(__xludf.DUMMYFUNCTION("""COMPUTED_VALUE"""),16)</f>
        <v>16</v>
      </c>
      <c r="N261" s="1">
        <f ca="1">IFERROR(__xludf.DUMMYFUNCTION("""COMPUTED_VALUE"""),2011)</f>
        <v>2011</v>
      </c>
      <c r="O261" s="1">
        <f ca="1">IFERROR(__xludf.DUMMYFUNCTION("""COMPUTED_VALUE"""),2242)</f>
        <v>2242</v>
      </c>
      <c r="P261" s="1">
        <f ca="1">IFERROR(__xludf.DUMMYFUNCTION("""COMPUTED_VALUE"""),1295)</f>
        <v>1295</v>
      </c>
      <c r="Q261" s="1">
        <f ca="1">IFERROR(__xludf.DUMMYFUNCTION("""COMPUTED_VALUE"""),733)</f>
        <v>733</v>
      </c>
      <c r="R261" s="1">
        <f ca="1">IFERROR(__xludf.DUMMYFUNCTION("""COMPUTED_VALUE"""),1920)</f>
        <v>1920</v>
      </c>
      <c r="S261" s="1">
        <f ca="1">IFERROR(__xludf.DUMMYFUNCTION("""COMPUTED_VALUE"""),0.382)</f>
        <v>0.38200000000000001</v>
      </c>
      <c r="T261" s="1">
        <f ca="1">IFERROR(__xludf.DUMMYFUNCTION("""COMPUTED_VALUE"""),202)</f>
        <v>202</v>
      </c>
      <c r="U261" s="1">
        <f ca="1">IFERROR(__xludf.DUMMYFUNCTION("""COMPUTED_VALUE"""),671)</f>
        <v>671</v>
      </c>
      <c r="V261" s="1">
        <f ca="1">IFERROR(__xludf.DUMMYFUNCTION("""COMPUTED_VALUE"""),0.301)</f>
        <v>0.30099999999999999</v>
      </c>
      <c r="W261" s="1">
        <f ca="1">IFERROR(__xludf.DUMMYFUNCTION("""COMPUTED_VALUE"""),343)</f>
        <v>343</v>
      </c>
      <c r="X261" s="1">
        <f ca="1">IFERROR(__xludf.DUMMYFUNCTION("""COMPUTED_VALUE"""),596)</f>
        <v>596</v>
      </c>
      <c r="Y261" s="1">
        <f ca="1">IFERROR(__xludf.DUMMYFUNCTION("""COMPUTED_VALUE"""),0.576)</f>
        <v>0.57599999999999996</v>
      </c>
      <c r="Z261" s="1">
        <f ca="1">IFERROR(__xludf.DUMMYFUNCTION("""COMPUTED_VALUE"""),434)</f>
        <v>434</v>
      </c>
      <c r="AA261" s="1">
        <f ca="1">IFERROR(__xludf.DUMMYFUNCTION("""COMPUTED_VALUE"""),1228)</f>
        <v>1228</v>
      </c>
      <c r="AB261" s="1">
        <f ca="1">IFERROR(__xludf.DUMMYFUNCTION("""COMPUTED_VALUE"""),366)</f>
        <v>366</v>
      </c>
      <c r="AC261" s="1">
        <f ca="1">IFERROR(__xludf.DUMMYFUNCTION("""COMPUTED_VALUE"""),213)</f>
        <v>213</v>
      </c>
      <c r="AD261" s="1">
        <f ca="1">IFERROR(__xludf.DUMMYFUNCTION("""COMPUTED_VALUE"""),119)</f>
        <v>119</v>
      </c>
      <c r="AE261" s="1">
        <f ca="1">IFERROR(__xludf.DUMMYFUNCTION("""COMPUTED_VALUE"""),477)</f>
        <v>477</v>
      </c>
      <c r="AF261" s="1">
        <f ca="1">IFERROR(__xludf.DUMMYFUNCTION("""COMPUTED_VALUE"""),640)</f>
        <v>640</v>
      </c>
    </row>
    <row r="262" spans="1:32" ht="12.5" x14ac:dyDescent="0.25">
      <c r="A262" s="1" t="str">
        <f ca="1">IFERROR(__xludf.DUMMYFUNCTION("""COMPUTED_VALUE"""),"Presbyterian")</f>
        <v>Presbyterian</v>
      </c>
      <c r="B262" s="1">
        <f ca="1">IFERROR(__xludf.DUMMYFUNCTION("""COMPUTED_VALUE"""),31)</f>
        <v>31</v>
      </c>
      <c r="C262" s="1">
        <f ca="1">IFERROR(__xludf.DUMMYFUNCTION("""COMPUTED_VALUE"""),13)</f>
        <v>13</v>
      </c>
      <c r="D262" s="1">
        <f ca="1">IFERROR(__xludf.DUMMYFUNCTION("""COMPUTED_VALUE"""),18)</f>
        <v>18</v>
      </c>
      <c r="E262" s="1">
        <f ca="1">IFERROR(__xludf.DUMMYFUNCTION("""COMPUTED_VALUE"""),0.419)</f>
        <v>0.41899999999999998</v>
      </c>
      <c r="F262" s="1">
        <f ca="1">IFERROR(__xludf.DUMMYFUNCTION("""COMPUTED_VALUE"""),-7.72)</f>
        <v>-7.72</v>
      </c>
      <c r="G262" s="1">
        <f ca="1">IFERROR(__xludf.DUMMYFUNCTION("""COMPUTED_VALUE"""),-2.85)</f>
        <v>-2.85</v>
      </c>
      <c r="H262" s="1">
        <f ca="1">IFERROR(__xludf.DUMMYFUNCTION("""COMPUTED_VALUE"""),7)</f>
        <v>7</v>
      </c>
      <c r="I262" s="1">
        <f ca="1">IFERROR(__xludf.DUMMYFUNCTION("""COMPUTED_VALUE"""),11)</f>
        <v>11</v>
      </c>
      <c r="J262" s="1">
        <f ca="1">IFERROR(__xludf.DUMMYFUNCTION("""COMPUTED_VALUE"""),6)</f>
        <v>6</v>
      </c>
      <c r="K262" s="1">
        <f ca="1">IFERROR(__xludf.DUMMYFUNCTION("""COMPUTED_VALUE"""),5)</f>
        <v>5</v>
      </c>
      <c r="L262" s="1">
        <f ca="1">IFERROR(__xludf.DUMMYFUNCTION("""COMPUTED_VALUE"""),6)</f>
        <v>6</v>
      </c>
      <c r="M262" s="1">
        <f ca="1">IFERROR(__xludf.DUMMYFUNCTION("""COMPUTED_VALUE"""),12)</f>
        <v>12</v>
      </c>
      <c r="N262" s="1">
        <f ca="1">IFERROR(__xludf.DUMMYFUNCTION("""COMPUTED_VALUE"""),1915)</f>
        <v>1915</v>
      </c>
      <c r="O262" s="1">
        <f ca="1">IFERROR(__xludf.DUMMYFUNCTION("""COMPUTED_VALUE"""),2066)</f>
        <v>2066</v>
      </c>
      <c r="P262" s="1">
        <f ca="1">IFERROR(__xludf.DUMMYFUNCTION("""COMPUTED_VALUE"""),1260)</f>
        <v>1260</v>
      </c>
      <c r="Q262" s="1">
        <f ca="1">IFERROR(__xludf.DUMMYFUNCTION("""COMPUTED_VALUE"""),679)</f>
        <v>679</v>
      </c>
      <c r="R262" s="1">
        <f ca="1">IFERROR(__xludf.DUMMYFUNCTION("""COMPUTED_VALUE"""),1530)</f>
        <v>1530</v>
      </c>
      <c r="S262" s="1">
        <f ca="1">IFERROR(__xludf.DUMMYFUNCTION("""COMPUTED_VALUE"""),0.444)</f>
        <v>0.44400000000000001</v>
      </c>
      <c r="T262" s="1">
        <f ca="1">IFERROR(__xludf.DUMMYFUNCTION("""COMPUTED_VALUE"""),218)</f>
        <v>218</v>
      </c>
      <c r="U262" s="1">
        <f ca="1">IFERROR(__xludf.DUMMYFUNCTION("""COMPUTED_VALUE"""),559)</f>
        <v>559</v>
      </c>
      <c r="V262" s="1">
        <f ca="1">IFERROR(__xludf.DUMMYFUNCTION("""COMPUTED_VALUE"""),0.39)</f>
        <v>0.39</v>
      </c>
      <c r="W262" s="1">
        <f ca="1">IFERROR(__xludf.DUMMYFUNCTION("""COMPUTED_VALUE"""),339)</f>
        <v>339</v>
      </c>
      <c r="X262" s="1">
        <f ca="1">IFERROR(__xludf.DUMMYFUNCTION("""COMPUTED_VALUE"""),466)</f>
        <v>466</v>
      </c>
      <c r="Y262" s="1">
        <f ca="1">IFERROR(__xludf.DUMMYFUNCTION("""COMPUTED_VALUE"""),0.727)</f>
        <v>0.72699999999999998</v>
      </c>
      <c r="Z262" s="1">
        <f ca="1">IFERROR(__xludf.DUMMYFUNCTION("""COMPUTED_VALUE"""),252)</f>
        <v>252</v>
      </c>
      <c r="AA262" s="1">
        <f ca="1">IFERROR(__xludf.DUMMYFUNCTION("""COMPUTED_VALUE"""),924)</f>
        <v>924</v>
      </c>
      <c r="AB262" s="1">
        <f ca="1">IFERROR(__xludf.DUMMYFUNCTION("""COMPUTED_VALUE"""),367)</f>
        <v>367</v>
      </c>
      <c r="AC262" s="1">
        <f ca="1">IFERROR(__xludf.DUMMYFUNCTION("""COMPUTED_VALUE"""),126)</f>
        <v>126</v>
      </c>
      <c r="AD262" s="1">
        <f ca="1">IFERROR(__xludf.DUMMYFUNCTION("""COMPUTED_VALUE"""),54)</f>
        <v>54</v>
      </c>
      <c r="AE262" s="1">
        <f ca="1">IFERROR(__xludf.DUMMYFUNCTION("""COMPUTED_VALUE"""),428)</f>
        <v>428</v>
      </c>
      <c r="AF262" s="1">
        <f ca="1">IFERROR(__xludf.DUMMYFUNCTION("""COMPUTED_VALUE"""),454)</f>
        <v>454</v>
      </c>
    </row>
    <row r="263" spans="1:32" ht="12.5" x14ac:dyDescent="0.25">
      <c r="A263" s="1" t="str">
        <f ca="1">IFERROR(__xludf.DUMMYFUNCTION("""COMPUTED_VALUE"""),"PrincetonNCAA")</f>
        <v>PrincetonNCAA</v>
      </c>
      <c r="B263" s="1">
        <f ca="1">IFERROR(__xludf.DUMMYFUNCTION("""COMPUTED_VALUE"""),32)</f>
        <v>32</v>
      </c>
      <c r="C263" s="1">
        <f ca="1">IFERROR(__xludf.DUMMYFUNCTION("""COMPUTED_VALUE"""),25)</f>
        <v>25</v>
      </c>
      <c r="D263" s="1">
        <f ca="1">IFERROR(__xludf.DUMMYFUNCTION("""COMPUTED_VALUE"""),7)</f>
        <v>7</v>
      </c>
      <c r="E263" s="1">
        <f ca="1">IFERROR(__xludf.DUMMYFUNCTION("""COMPUTED_VALUE"""),0.781)</f>
        <v>0.78100000000000003</v>
      </c>
      <c r="F263" s="1">
        <f ca="1">IFERROR(__xludf.DUMMYFUNCTION("""COMPUTED_VALUE"""),3.71)</f>
        <v>3.71</v>
      </c>
      <c r="G263" s="1">
        <f ca="1">IFERROR(__xludf.DUMMYFUNCTION("""COMPUTED_VALUE"""),-1.61)</f>
        <v>-1.61</v>
      </c>
      <c r="H263" s="1">
        <f ca="1">IFERROR(__xludf.DUMMYFUNCTION("""COMPUTED_VALUE"""),13)</f>
        <v>13</v>
      </c>
      <c r="I263" s="1">
        <f ca="1">IFERROR(__xludf.DUMMYFUNCTION("""COMPUTED_VALUE"""),2)</f>
        <v>2</v>
      </c>
      <c r="J263" s="1">
        <f ca="1">IFERROR(__xludf.DUMMYFUNCTION("""COMPUTED_VALUE"""),12)</f>
        <v>12</v>
      </c>
      <c r="K263" s="1">
        <f ca="1">IFERROR(__xludf.DUMMYFUNCTION("""COMPUTED_VALUE"""),0)</f>
        <v>0</v>
      </c>
      <c r="L263" s="1">
        <f ca="1">IFERROR(__xludf.DUMMYFUNCTION("""COMPUTED_VALUE"""),10)</f>
        <v>10</v>
      </c>
      <c r="M263" s="1">
        <f ca="1">IFERROR(__xludf.DUMMYFUNCTION("""COMPUTED_VALUE"""),5)</f>
        <v>5</v>
      </c>
      <c r="N263" s="1">
        <f ca="1">IFERROR(__xludf.DUMMYFUNCTION("""COMPUTED_VALUE"""),2215)</f>
        <v>2215</v>
      </c>
      <c r="O263" s="1">
        <f ca="1">IFERROR(__xludf.DUMMYFUNCTION("""COMPUTED_VALUE"""),2017)</f>
        <v>2017</v>
      </c>
      <c r="P263" s="1">
        <f ca="1">IFERROR(__xludf.DUMMYFUNCTION("""COMPUTED_VALUE"""),1305)</f>
        <v>1305</v>
      </c>
      <c r="Q263" s="1">
        <f ca="1">IFERROR(__xludf.DUMMYFUNCTION("""COMPUTED_VALUE"""),788)</f>
        <v>788</v>
      </c>
      <c r="R263" s="1">
        <f ca="1">IFERROR(__xludf.DUMMYFUNCTION("""COMPUTED_VALUE"""),1696)</f>
        <v>1696</v>
      </c>
      <c r="S263" s="1">
        <f ca="1">IFERROR(__xludf.DUMMYFUNCTION("""COMPUTED_VALUE"""),0.465)</f>
        <v>0.46500000000000002</v>
      </c>
      <c r="T263" s="1">
        <f ca="1">IFERROR(__xludf.DUMMYFUNCTION("""COMPUTED_VALUE"""),193)</f>
        <v>193</v>
      </c>
      <c r="U263" s="1">
        <f ca="1">IFERROR(__xludf.DUMMYFUNCTION("""COMPUTED_VALUE"""),531)</f>
        <v>531</v>
      </c>
      <c r="V263" s="1">
        <f ca="1">IFERROR(__xludf.DUMMYFUNCTION("""COMPUTED_VALUE"""),0.363)</f>
        <v>0.36299999999999999</v>
      </c>
      <c r="W263" s="1">
        <f ca="1">IFERROR(__xludf.DUMMYFUNCTION("""COMPUTED_VALUE"""),446)</f>
        <v>446</v>
      </c>
      <c r="X263" s="1">
        <f ca="1">IFERROR(__xludf.DUMMYFUNCTION("""COMPUTED_VALUE"""),609)</f>
        <v>609</v>
      </c>
      <c r="Y263" s="1">
        <f ca="1">IFERROR(__xludf.DUMMYFUNCTION("""COMPUTED_VALUE"""),0.732)</f>
        <v>0.73199999999999998</v>
      </c>
      <c r="Z263" s="1">
        <f ca="1">IFERROR(__xludf.DUMMYFUNCTION("""COMPUTED_VALUE"""),315)</f>
        <v>315</v>
      </c>
      <c r="AA263" s="1">
        <f ca="1">IFERROR(__xludf.DUMMYFUNCTION("""COMPUTED_VALUE"""),1105)</f>
        <v>1105</v>
      </c>
      <c r="AB263" s="1">
        <f ca="1">IFERROR(__xludf.DUMMYFUNCTION("""COMPUTED_VALUE"""),427)</f>
        <v>427</v>
      </c>
      <c r="AC263" s="1">
        <f ca="1">IFERROR(__xludf.DUMMYFUNCTION("""COMPUTED_VALUE"""),191)</f>
        <v>191</v>
      </c>
      <c r="AD263" s="1">
        <f ca="1">IFERROR(__xludf.DUMMYFUNCTION("""COMPUTED_VALUE"""),134)</f>
        <v>134</v>
      </c>
      <c r="AE263" s="1">
        <f ca="1">IFERROR(__xludf.DUMMYFUNCTION("""COMPUTED_VALUE"""),389)</f>
        <v>389</v>
      </c>
      <c r="AF263" s="1">
        <f ca="1">IFERROR(__xludf.DUMMYFUNCTION("""COMPUTED_VALUE"""),551)</f>
        <v>551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IFERROR(__xludf.DUMMYFUNCTION("""COMPUTED_VALUE"""),"Providence")</f>
        <v>Providence</v>
      </c>
      <c r="B266" s="1">
        <f ca="1">IFERROR(__xludf.DUMMYFUNCTION("""COMPUTED_VALUE"""),32)</f>
        <v>32</v>
      </c>
      <c r="C266" s="1">
        <f ca="1">IFERROR(__xludf.DUMMYFUNCTION("""COMPUTED_VALUE"""),15)</f>
        <v>15</v>
      </c>
      <c r="D266" s="1">
        <f ca="1">IFERROR(__xludf.DUMMYFUNCTION("""COMPUTED_VALUE"""),17)</f>
        <v>17</v>
      </c>
      <c r="E266" s="1">
        <f ca="1">IFERROR(__xludf.DUMMYFUNCTION("""COMPUTED_VALUE"""),0.469)</f>
        <v>0.46899999999999997</v>
      </c>
      <c r="F266" s="1">
        <f ca="1">IFERROR(__xludf.DUMMYFUNCTION("""COMPUTED_VALUE"""),6.91)</f>
        <v>6.91</v>
      </c>
      <c r="G266" s="1">
        <f ca="1">IFERROR(__xludf.DUMMYFUNCTION("""COMPUTED_VALUE"""),6.44)</f>
        <v>6.44</v>
      </c>
      <c r="H266" s="1">
        <f ca="1">IFERROR(__xludf.DUMMYFUNCTION("""COMPUTED_VALUE"""),4)</f>
        <v>4</v>
      </c>
      <c r="I266" s="1">
        <f ca="1">IFERROR(__xludf.DUMMYFUNCTION("""COMPUTED_VALUE"""),14)</f>
        <v>14</v>
      </c>
      <c r="J266" s="1">
        <f ca="1">IFERROR(__xludf.DUMMYFUNCTION("""COMPUTED_VALUE"""),14)</f>
        <v>14</v>
      </c>
      <c r="K266" s="1">
        <f ca="1">IFERROR(__xludf.DUMMYFUNCTION("""COMPUTED_VALUE"""),5)</f>
        <v>5</v>
      </c>
      <c r="L266" s="1">
        <f ca="1">IFERROR(__xludf.DUMMYFUNCTION("""COMPUTED_VALUE"""),0)</f>
        <v>0</v>
      </c>
      <c r="M266" s="1">
        <f ca="1">IFERROR(__xludf.DUMMYFUNCTION("""COMPUTED_VALUE"""),10)</f>
        <v>10</v>
      </c>
      <c r="N266" s="1">
        <f ca="1">IFERROR(__xludf.DUMMYFUNCTION("""COMPUTED_VALUE"""),2426)</f>
        <v>2426</v>
      </c>
      <c r="O266" s="1">
        <f ca="1">IFERROR(__xludf.DUMMYFUNCTION("""COMPUTED_VALUE"""),2411)</f>
        <v>2411</v>
      </c>
      <c r="P266" s="1">
        <f ca="1">IFERROR(__xludf.DUMMYFUNCTION("""COMPUTED_VALUE"""),1285)</f>
        <v>1285</v>
      </c>
      <c r="Q266" s="1">
        <f ca="1">IFERROR(__xludf.DUMMYFUNCTION("""COMPUTED_VALUE"""),854)</f>
        <v>854</v>
      </c>
      <c r="R266" s="1">
        <f ca="1">IFERROR(__xludf.DUMMYFUNCTION("""COMPUTED_VALUE"""),2012)</f>
        <v>2012</v>
      </c>
      <c r="S266" s="1">
        <f ca="1">IFERROR(__xludf.DUMMYFUNCTION("""COMPUTED_VALUE"""),0.424)</f>
        <v>0.42399999999999999</v>
      </c>
      <c r="T266" s="1">
        <f ca="1">IFERROR(__xludf.DUMMYFUNCTION("""COMPUTED_VALUE"""),212)</f>
        <v>212</v>
      </c>
      <c r="U266" s="1">
        <f ca="1">IFERROR(__xludf.DUMMYFUNCTION("""COMPUTED_VALUE"""),673)</f>
        <v>673</v>
      </c>
      <c r="V266" s="1">
        <f ca="1">IFERROR(__xludf.DUMMYFUNCTION("""COMPUTED_VALUE"""),0.315)</f>
        <v>0.315</v>
      </c>
      <c r="W266" s="1">
        <f ca="1">IFERROR(__xludf.DUMMYFUNCTION("""COMPUTED_VALUE"""),506)</f>
        <v>506</v>
      </c>
      <c r="X266" s="1">
        <f ca="1">IFERROR(__xludf.DUMMYFUNCTION("""COMPUTED_VALUE"""),756)</f>
        <v>756</v>
      </c>
      <c r="Y266" s="1">
        <f ca="1">IFERROR(__xludf.DUMMYFUNCTION("""COMPUTED_VALUE"""),0.669)</f>
        <v>0.66900000000000004</v>
      </c>
      <c r="Z266" s="1">
        <f ca="1">IFERROR(__xludf.DUMMYFUNCTION("""COMPUTED_VALUE"""),465)</f>
        <v>465</v>
      </c>
      <c r="AA266" s="1">
        <f ca="1">IFERROR(__xludf.DUMMYFUNCTION("""COMPUTED_VALUE"""),1231)</f>
        <v>1231</v>
      </c>
      <c r="AB266" s="1">
        <f ca="1">IFERROR(__xludf.DUMMYFUNCTION("""COMPUTED_VALUE"""),399)</f>
        <v>399</v>
      </c>
      <c r="AC266" s="1">
        <f ca="1">IFERROR(__xludf.DUMMYFUNCTION("""COMPUTED_VALUE"""),250)</f>
        <v>250</v>
      </c>
      <c r="AD266" s="1">
        <f ca="1">IFERROR(__xludf.DUMMYFUNCTION("""COMPUTED_VALUE"""),142)</f>
        <v>142</v>
      </c>
      <c r="AE266" s="1">
        <f ca="1">IFERROR(__xludf.DUMMYFUNCTION("""COMPUTED_VALUE"""),407)</f>
        <v>407</v>
      </c>
      <c r="AF266" s="1">
        <f ca="1">IFERROR(__xludf.DUMMYFUNCTION("""COMPUTED_VALUE"""),543)</f>
        <v>543</v>
      </c>
    </row>
    <row r="267" spans="1:32" ht="12.5" x14ac:dyDescent="0.25">
      <c r="A267" s="1" t="str">
        <f ca="1">IFERROR(__xludf.DUMMYFUNCTION("""COMPUTED_VALUE"""),"PurdueNCAA")</f>
        <v>PurdueNCAA</v>
      </c>
      <c r="B267" s="1">
        <f ca="1">IFERROR(__xludf.DUMMYFUNCTION("""COMPUTED_VALUE"""),34)</f>
        <v>34</v>
      </c>
      <c r="C267" s="1">
        <f ca="1">IFERROR(__xludf.DUMMYFUNCTION("""COMPUTED_VALUE"""),26)</f>
        <v>26</v>
      </c>
      <c r="D267" s="1">
        <f ca="1">IFERROR(__xludf.DUMMYFUNCTION("""COMPUTED_VALUE"""),8)</f>
        <v>8</v>
      </c>
      <c r="E267" s="1">
        <f ca="1">IFERROR(__xludf.DUMMYFUNCTION("""COMPUTED_VALUE"""),0.765)</f>
        <v>0.76500000000000001</v>
      </c>
      <c r="F267" s="1">
        <f ca="1">IFERROR(__xludf.DUMMYFUNCTION("""COMPUTED_VALUE"""),19.36)</f>
        <v>19.36</v>
      </c>
      <c r="G267" s="1">
        <f ca="1">IFERROR(__xludf.DUMMYFUNCTION("""COMPUTED_VALUE"""),8.69)</f>
        <v>8.69</v>
      </c>
      <c r="H267" s="1">
        <f ca="1">IFERROR(__xludf.DUMMYFUNCTION("""COMPUTED_VALUE"""),14)</f>
        <v>14</v>
      </c>
      <c r="I267" s="1">
        <f ca="1">IFERROR(__xludf.DUMMYFUNCTION("""COMPUTED_VALUE"""),4)</f>
        <v>4</v>
      </c>
      <c r="J267" s="1">
        <f ca="1">IFERROR(__xludf.DUMMYFUNCTION("""COMPUTED_VALUE"""),16)</f>
        <v>16</v>
      </c>
      <c r="K267" s="1">
        <f ca="1">IFERROR(__xludf.DUMMYFUNCTION("""COMPUTED_VALUE"""),0)</f>
        <v>0</v>
      </c>
      <c r="L267" s="1">
        <f ca="1">IFERROR(__xludf.DUMMYFUNCTION("""COMPUTED_VALUE"""),7)</f>
        <v>7</v>
      </c>
      <c r="M267" s="1">
        <f ca="1">IFERROR(__xludf.DUMMYFUNCTION("""COMPUTED_VALUE"""),5)</f>
        <v>5</v>
      </c>
      <c r="N267" s="1">
        <f ca="1">IFERROR(__xludf.DUMMYFUNCTION("""COMPUTED_VALUE"""),2466)</f>
        <v>2466</v>
      </c>
      <c r="O267" s="1">
        <f ca="1">IFERROR(__xludf.DUMMYFUNCTION("""COMPUTED_VALUE"""),2103)</f>
        <v>2103</v>
      </c>
      <c r="P267" s="1">
        <f ca="1">IFERROR(__xludf.DUMMYFUNCTION("""COMPUTED_VALUE"""),1365)</f>
        <v>1365</v>
      </c>
      <c r="Q267" s="1">
        <f ca="1">IFERROR(__xludf.DUMMYFUNCTION("""COMPUTED_VALUE"""),875)</f>
        <v>875</v>
      </c>
      <c r="R267" s="1">
        <f ca="1">IFERROR(__xludf.DUMMYFUNCTION("""COMPUTED_VALUE"""),1957)</f>
        <v>1957</v>
      </c>
      <c r="S267" s="1">
        <f ca="1">IFERROR(__xludf.DUMMYFUNCTION("""COMPUTED_VALUE"""),0.447)</f>
        <v>0.44700000000000001</v>
      </c>
      <c r="T267" s="1">
        <f ca="1">IFERROR(__xludf.DUMMYFUNCTION("""COMPUTED_VALUE"""),235)</f>
        <v>235</v>
      </c>
      <c r="U267" s="1">
        <f ca="1">IFERROR(__xludf.DUMMYFUNCTION("""COMPUTED_VALUE"""),645)</f>
        <v>645</v>
      </c>
      <c r="V267" s="1">
        <f ca="1">IFERROR(__xludf.DUMMYFUNCTION("""COMPUTED_VALUE"""),0.364)</f>
        <v>0.36399999999999999</v>
      </c>
      <c r="W267" s="1">
        <f ca="1">IFERROR(__xludf.DUMMYFUNCTION("""COMPUTED_VALUE"""),481)</f>
        <v>481</v>
      </c>
      <c r="X267" s="1">
        <f ca="1">IFERROR(__xludf.DUMMYFUNCTION("""COMPUTED_VALUE"""),673)</f>
        <v>673</v>
      </c>
      <c r="Y267" s="1">
        <f ca="1">IFERROR(__xludf.DUMMYFUNCTION("""COMPUTED_VALUE"""),0.715)</f>
        <v>0.71499999999999997</v>
      </c>
      <c r="Z267" s="1">
        <f ca="1">IFERROR(__xludf.DUMMYFUNCTION("""COMPUTED_VALUE"""),380)</f>
        <v>380</v>
      </c>
      <c r="AA267" s="1">
        <f ca="1">IFERROR(__xludf.DUMMYFUNCTION("""COMPUTED_VALUE"""),1207)</f>
        <v>1207</v>
      </c>
      <c r="AB267" s="1">
        <f ca="1">IFERROR(__xludf.DUMMYFUNCTION("""COMPUTED_VALUE"""),538)</f>
        <v>538</v>
      </c>
      <c r="AC267" s="1">
        <f ca="1">IFERROR(__xludf.DUMMYFUNCTION("""COMPUTED_VALUE"""),211)</f>
        <v>211</v>
      </c>
      <c r="AD267" s="1">
        <f ca="1">IFERROR(__xludf.DUMMYFUNCTION("""COMPUTED_VALUE"""),141)</f>
        <v>141</v>
      </c>
      <c r="AE267" s="1">
        <f ca="1">IFERROR(__xludf.DUMMYFUNCTION("""COMPUTED_VALUE"""),354)</f>
        <v>354</v>
      </c>
      <c r="AF267" s="1">
        <f ca="1">IFERROR(__xludf.DUMMYFUNCTION("""COMPUTED_VALUE"""),605)</f>
        <v>605</v>
      </c>
    </row>
    <row r="268" spans="1:32" ht="12.5" x14ac:dyDescent="0.25">
      <c r="A268" s="1" t="str">
        <f ca="1">IFERROR(__xludf.DUMMYFUNCTION("""COMPUTED_VALUE"""),"Quinnipiac")</f>
        <v>Quinnipiac</v>
      </c>
      <c r="B268" s="1">
        <f ca="1">IFERROR(__xludf.DUMMYFUNCTION("""COMPUTED_VALUE"""),32)</f>
        <v>32</v>
      </c>
      <c r="C268" s="1">
        <f ca="1">IFERROR(__xludf.DUMMYFUNCTION("""COMPUTED_VALUE"""),22)</f>
        <v>22</v>
      </c>
      <c r="D268" s="1">
        <f ca="1">IFERROR(__xludf.DUMMYFUNCTION("""COMPUTED_VALUE"""),10)</f>
        <v>10</v>
      </c>
      <c r="E268" s="1">
        <f ca="1">IFERROR(__xludf.DUMMYFUNCTION("""COMPUTED_VALUE"""),0.688)</f>
        <v>0.68799999999999994</v>
      </c>
      <c r="F268" s="1">
        <f ca="1">IFERROR(__xludf.DUMMYFUNCTION("""COMPUTED_VALUE"""),-2.08)</f>
        <v>-2.08</v>
      </c>
      <c r="G268" s="1">
        <f ca="1">IFERROR(__xludf.DUMMYFUNCTION("""COMPUTED_VALUE"""),-6.39)</f>
        <v>-6.39</v>
      </c>
      <c r="H268" s="1">
        <f ca="1">IFERROR(__xludf.DUMMYFUNCTION("""COMPUTED_VALUE"""),13)</f>
        <v>13</v>
      </c>
      <c r="I268" s="1">
        <f ca="1">IFERROR(__xludf.DUMMYFUNCTION("""COMPUTED_VALUE"""),5)</f>
        <v>5</v>
      </c>
      <c r="J268" s="1">
        <f ca="1">IFERROR(__xludf.DUMMYFUNCTION("""COMPUTED_VALUE"""),12)</f>
        <v>12</v>
      </c>
      <c r="K268" s="1">
        <f ca="1">IFERROR(__xludf.DUMMYFUNCTION("""COMPUTED_VALUE"""),6)</f>
        <v>6</v>
      </c>
      <c r="L268" s="1">
        <f ca="1">IFERROR(__xludf.DUMMYFUNCTION("""COMPUTED_VALUE"""),9)</f>
        <v>9</v>
      </c>
      <c r="M268" s="1">
        <f ca="1">IFERROR(__xludf.DUMMYFUNCTION("""COMPUTED_VALUE"""),4)</f>
        <v>4</v>
      </c>
      <c r="N268" s="1">
        <f ca="1">IFERROR(__xludf.DUMMYFUNCTION("""COMPUTED_VALUE"""),2295)</f>
        <v>2295</v>
      </c>
      <c r="O268" s="1">
        <f ca="1">IFERROR(__xludf.DUMMYFUNCTION("""COMPUTED_VALUE"""),2157)</f>
        <v>2157</v>
      </c>
      <c r="P268" s="1">
        <f ca="1">IFERROR(__xludf.DUMMYFUNCTION("""COMPUTED_VALUE"""),1280)</f>
        <v>1280</v>
      </c>
      <c r="Q268" s="1">
        <f ca="1">IFERROR(__xludf.DUMMYFUNCTION("""COMPUTED_VALUE"""),847)</f>
        <v>847</v>
      </c>
      <c r="R268" s="1">
        <f ca="1">IFERROR(__xludf.DUMMYFUNCTION("""COMPUTED_VALUE"""),1979)</f>
        <v>1979</v>
      </c>
      <c r="S268" s="1">
        <f ca="1">IFERROR(__xludf.DUMMYFUNCTION("""COMPUTED_VALUE"""),0.428)</f>
        <v>0.42799999999999999</v>
      </c>
      <c r="T268" s="1">
        <f ca="1">IFERROR(__xludf.DUMMYFUNCTION("""COMPUTED_VALUE"""),175)</f>
        <v>175</v>
      </c>
      <c r="U268" s="1">
        <f ca="1">IFERROR(__xludf.DUMMYFUNCTION("""COMPUTED_VALUE"""),508)</f>
        <v>508</v>
      </c>
      <c r="V268" s="1">
        <f ca="1">IFERROR(__xludf.DUMMYFUNCTION("""COMPUTED_VALUE"""),0.344)</f>
        <v>0.34399999999999997</v>
      </c>
      <c r="W268" s="1">
        <f ca="1">IFERROR(__xludf.DUMMYFUNCTION("""COMPUTED_VALUE"""),426)</f>
        <v>426</v>
      </c>
      <c r="X268" s="1">
        <f ca="1">IFERROR(__xludf.DUMMYFUNCTION("""COMPUTED_VALUE"""),697)</f>
        <v>697</v>
      </c>
      <c r="Y268" s="1">
        <f ca="1">IFERROR(__xludf.DUMMYFUNCTION("""COMPUTED_VALUE"""),0.611)</f>
        <v>0.61099999999999999</v>
      </c>
      <c r="Z268" s="1">
        <f ca="1">IFERROR(__xludf.DUMMYFUNCTION("""COMPUTED_VALUE"""),520)</f>
        <v>520</v>
      </c>
      <c r="AA268" s="1">
        <f ca="1">IFERROR(__xludf.DUMMYFUNCTION("""COMPUTED_VALUE"""),1360)</f>
        <v>1360</v>
      </c>
      <c r="AB268" s="1">
        <f ca="1">IFERROR(__xludf.DUMMYFUNCTION("""COMPUTED_VALUE"""),498)</f>
        <v>498</v>
      </c>
      <c r="AC268" s="1">
        <f ca="1">IFERROR(__xludf.DUMMYFUNCTION("""COMPUTED_VALUE"""),161)</f>
        <v>161</v>
      </c>
      <c r="AD268" s="1">
        <f ca="1">IFERROR(__xludf.DUMMYFUNCTION("""COMPUTED_VALUE"""),112)</f>
        <v>112</v>
      </c>
      <c r="AE268" s="1">
        <f ca="1">IFERROR(__xludf.DUMMYFUNCTION("""COMPUTED_VALUE"""),400)</f>
        <v>400</v>
      </c>
      <c r="AF268" s="1">
        <f ca="1">IFERROR(__xludf.DUMMYFUNCTION("""COMPUTED_VALUE"""),665)</f>
        <v>665</v>
      </c>
    </row>
    <row r="269" spans="1:32" ht="12.5" x14ac:dyDescent="0.25">
      <c r="A269" s="1" t="str">
        <f ca="1">IFERROR(__xludf.DUMMYFUNCTION("""COMPUTED_VALUE"""),"Radford")</f>
        <v>Radford</v>
      </c>
      <c r="B269" s="1">
        <f ca="1">IFERROR(__xludf.DUMMYFUNCTION("""COMPUTED_VALUE"""),29)</f>
        <v>29</v>
      </c>
      <c r="C269" s="1">
        <f ca="1">IFERROR(__xludf.DUMMYFUNCTION("""COMPUTED_VALUE"""),5)</f>
        <v>5</v>
      </c>
      <c r="D269" s="1">
        <f ca="1">IFERROR(__xludf.DUMMYFUNCTION("""COMPUTED_VALUE"""),24)</f>
        <v>24</v>
      </c>
      <c r="E269" s="1">
        <f ca="1">IFERROR(__xludf.DUMMYFUNCTION("""COMPUTED_VALUE"""),0.172)</f>
        <v>0.17199999999999999</v>
      </c>
      <c r="F269" s="1">
        <f ca="1">IFERROR(__xludf.DUMMYFUNCTION("""COMPUTED_VALUE"""),-16.76)</f>
        <v>-16.760000000000002</v>
      </c>
      <c r="G269" s="1">
        <f ca="1">IFERROR(__xludf.DUMMYFUNCTION("""COMPUTED_VALUE"""),-2.52)</f>
        <v>-2.52</v>
      </c>
      <c r="H269" s="1">
        <f ca="1">IFERROR(__xludf.DUMMYFUNCTION("""COMPUTED_VALUE"""),2)</f>
        <v>2</v>
      </c>
      <c r="I269" s="1">
        <f ca="1">IFERROR(__xludf.DUMMYFUNCTION("""COMPUTED_VALUE"""),16)</f>
        <v>16</v>
      </c>
      <c r="J269" s="1">
        <f ca="1">IFERROR(__xludf.DUMMYFUNCTION("""COMPUTED_VALUE"""),5)</f>
        <v>5</v>
      </c>
      <c r="K269" s="1">
        <f ca="1">IFERROR(__xludf.DUMMYFUNCTION("""COMPUTED_VALUE"""),8)</f>
        <v>8</v>
      </c>
      <c r="L269" s="1">
        <f ca="1">IFERROR(__xludf.DUMMYFUNCTION("""COMPUTED_VALUE"""),0)</f>
        <v>0</v>
      </c>
      <c r="M269" s="1">
        <f ca="1">IFERROR(__xludf.DUMMYFUNCTION("""COMPUTED_VALUE"""),16)</f>
        <v>16</v>
      </c>
      <c r="N269" s="1">
        <f ca="1">IFERROR(__xludf.DUMMYFUNCTION("""COMPUTED_VALUE"""),1734)</f>
        <v>1734</v>
      </c>
      <c r="O269" s="1">
        <f ca="1">IFERROR(__xludf.DUMMYFUNCTION("""COMPUTED_VALUE"""),2065)</f>
        <v>2065</v>
      </c>
      <c r="P269" s="1">
        <f ca="1">IFERROR(__xludf.DUMMYFUNCTION("""COMPUTED_VALUE"""),1170)</f>
        <v>1170</v>
      </c>
      <c r="Q269" s="1">
        <f ca="1">IFERROR(__xludf.DUMMYFUNCTION("""COMPUTED_VALUE"""),598)</f>
        <v>598</v>
      </c>
      <c r="R269" s="1">
        <f ca="1">IFERROR(__xludf.DUMMYFUNCTION("""COMPUTED_VALUE"""),1560)</f>
        <v>1560</v>
      </c>
      <c r="S269" s="1">
        <f ca="1">IFERROR(__xludf.DUMMYFUNCTION("""COMPUTED_VALUE"""),0.383)</f>
        <v>0.38300000000000001</v>
      </c>
      <c r="T269" s="1">
        <f ca="1">IFERROR(__xludf.DUMMYFUNCTION("""COMPUTED_VALUE"""),134)</f>
        <v>134</v>
      </c>
      <c r="U269" s="1">
        <f ca="1">IFERROR(__xludf.DUMMYFUNCTION("""COMPUTED_VALUE"""),451)</f>
        <v>451</v>
      </c>
      <c r="V269" s="1">
        <f ca="1">IFERROR(__xludf.DUMMYFUNCTION("""COMPUTED_VALUE"""),0.297)</f>
        <v>0.29699999999999999</v>
      </c>
      <c r="W269" s="1">
        <f ca="1">IFERROR(__xludf.DUMMYFUNCTION("""COMPUTED_VALUE"""),404)</f>
        <v>404</v>
      </c>
      <c r="X269" s="1">
        <f ca="1">IFERROR(__xludf.DUMMYFUNCTION("""COMPUTED_VALUE"""),645)</f>
        <v>645</v>
      </c>
      <c r="Y269" s="1">
        <f ca="1">IFERROR(__xludf.DUMMYFUNCTION("""COMPUTED_VALUE"""),0.626)</f>
        <v>0.626</v>
      </c>
      <c r="Z269" s="1">
        <f ca="1">IFERROR(__xludf.DUMMYFUNCTION("""COMPUTED_VALUE"""),353)</f>
        <v>353</v>
      </c>
      <c r="AA269" s="1">
        <f ca="1">IFERROR(__xludf.DUMMYFUNCTION("""COMPUTED_VALUE"""),1021)</f>
        <v>1021</v>
      </c>
      <c r="AB269" s="1">
        <f ca="1">IFERROR(__xludf.DUMMYFUNCTION("""COMPUTED_VALUE"""),294)</f>
        <v>294</v>
      </c>
      <c r="AC269" s="1">
        <f ca="1">IFERROR(__xludf.DUMMYFUNCTION("""COMPUTED_VALUE"""),229)</f>
        <v>229</v>
      </c>
      <c r="AD269" s="1">
        <f ca="1">IFERROR(__xludf.DUMMYFUNCTION("""COMPUTED_VALUE"""),88)</f>
        <v>88</v>
      </c>
      <c r="AE269" s="1">
        <f ca="1">IFERROR(__xludf.DUMMYFUNCTION("""COMPUTED_VALUE"""),475)</f>
        <v>475</v>
      </c>
      <c r="AF269" s="1">
        <f ca="1">IFERROR(__xludf.DUMMYFUNCTION("""COMPUTED_VALUE"""),561)</f>
        <v>561</v>
      </c>
    </row>
    <row r="270" spans="1:32" ht="12.5" x14ac:dyDescent="0.25">
      <c r="A270" s="1" t="str">
        <f ca="1">IFERROR(__xludf.DUMMYFUNCTION("""COMPUTED_VALUE"""),"Rhode Island")</f>
        <v>Rhode Island</v>
      </c>
      <c r="B270" s="1">
        <f ca="1">IFERROR(__xludf.DUMMYFUNCTION("""COMPUTED_VALUE"""),34)</f>
        <v>34</v>
      </c>
      <c r="C270" s="1">
        <f ca="1">IFERROR(__xludf.DUMMYFUNCTION("""COMPUTED_VALUE"""),20)</f>
        <v>20</v>
      </c>
      <c r="D270" s="1">
        <f ca="1">IFERROR(__xludf.DUMMYFUNCTION("""COMPUTED_VALUE"""),14)</f>
        <v>14</v>
      </c>
      <c r="E270" s="1">
        <f ca="1">IFERROR(__xludf.DUMMYFUNCTION("""COMPUTED_VALUE"""),0.588)</f>
        <v>0.58799999999999997</v>
      </c>
      <c r="F270" s="1">
        <f ca="1">IFERROR(__xludf.DUMMYFUNCTION("""COMPUTED_VALUE"""),3.34)</f>
        <v>3.34</v>
      </c>
      <c r="G270" s="1">
        <f ca="1">IFERROR(__xludf.DUMMYFUNCTION("""COMPUTED_VALUE"""),1.9)</f>
        <v>1.9</v>
      </c>
      <c r="H270" s="1">
        <f ca="1">IFERROR(__xludf.DUMMYFUNCTION("""COMPUTED_VALUE"""),9)</f>
        <v>9</v>
      </c>
      <c r="I270" s="1">
        <f ca="1">IFERROR(__xludf.DUMMYFUNCTION("""COMPUTED_VALUE"""),7)</f>
        <v>7</v>
      </c>
      <c r="J270" s="1">
        <f ca="1">IFERROR(__xludf.DUMMYFUNCTION("""COMPUTED_VALUE"""),12)</f>
        <v>12</v>
      </c>
      <c r="K270" s="1">
        <f ca="1">IFERROR(__xludf.DUMMYFUNCTION("""COMPUTED_VALUE"""),4)</f>
        <v>4</v>
      </c>
      <c r="L270" s="1">
        <f ca="1">IFERROR(__xludf.DUMMYFUNCTION("""COMPUTED_VALUE"""),6)</f>
        <v>6</v>
      </c>
      <c r="M270" s="1">
        <f ca="1">IFERROR(__xludf.DUMMYFUNCTION("""COMPUTED_VALUE"""),8)</f>
        <v>8</v>
      </c>
      <c r="N270" s="1">
        <f ca="1">IFERROR(__xludf.DUMMYFUNCTION("""COMPUTED_VALUE"""),2316)</f>
        <v>2316</v>
      </c>
      <c r="O270" s="1">
        <f ca="1">IFERROR(__xludf.DUMMYFUNCTION("""COMPUTED_VALUE"""),2267)</f>
        <v>2267</v>
      </c>
      <c r="P270" s="1">
        <f ca="1">IFERROR(__xludf.DUMMYFUNCTION("""COMPUTED_VALUE"""),1365)</f>
        <v>1365</v>
      </c>
      <c r="Q270" s="1">
        <f ca="1">IFERROR(__xludf.DUMMYFUNCTION("""COMPUTED_VALUE"""),828)</f>
        <v>828</v>
      </c>
      <c r="R270" s="1">
        <f ca="1">IFERROR(__xludf.DUMMYFUNCTION("""COMPUTED_VALUE"""),1960)</f>
        <v>1960</v>
      </c>
      <c r="S270" s="1">
        <f ca="1">IFERROR(__xludf.DUMMYFUNCTION("""COMPUTED_VALUE"""),0.422)</f>
        <v>0.42199999999999999</v>
      </c>
      <c r="T270" s="1">
        <f ca="1">IFERROR(__xludf.DUMMYFUNCTION("""COMPUTED_VALUE"""),243)</f>
        <v>243</v>
      </c>
      <c r="U270" s="1">
        <f ca="1">IFERROR(__xludf.DUMMYFUNCTION("""COMPUTED_VALUE"""),722)</f>
        <v>722</v>
      </c>
      <c r="V270" s="1">
        <f ca="1">IFERROR(__xludf.DUMMYFUNCTION("""COMPUTED_VALUE"""),0.337)</f>
        <v>0.33700000000000002</v>
      </c>
      <c r="W270" s="1">
        <f ca="1">IFERROR(__xludf.DUMMYFUNCTION("""COMPUTED_VALUE"""),417)</f>
        <v>417</v>
      </c>
      <c r="X270" s="1">
        <f ca="1">IFERROR(__xludf.DUMMYFUNCTION("""COMPUTED_VALUE"""),595)</f>
        <v>595</v>
      </c>
      <c r="Y270" s="1">
        <f ca="1">IFERROR(__xludf.DUMMYFUNCTION("""COMPUTED_VALUE"""),0.701)</f>
        <v>0.70099999999999996</v>
      </c>
      <c r="Z270" s="1">
        <f ca="1">IFERROR(__xludf.DUMMYFUNCTION("""COMPUTED_VALUE"""),386)</f>
        <v>386</v>
      </c>
      <c r="AA270" s="1">
        <f ca="1">IFERROR(__xludf.DUMMYFUNCTION("""COMPUTED_VALUE"""),1192)</f>
        <v>1192</v>
      </c>
      <c r="AB270" s="1">
        <f ca="1">IFERROR(__xludf.DUMMYFUNCTION("""COMPUTED_VALUE"""),415)</f>
        <v>415</v>
      </c>
      <c r="AC270" s="1">
        <f ca="1">IFERROR(__xludf.DUMMYFUNCTION("""COMPUTED_VALUE"""),223)</f>
        <v>223</v>
      </c>
      <c r="AD270" s="1">
        <f ca="1">IFERROR(__xludf.DUMMYFUNCTION("""COMPUTED_VALUE"""),131)</f>
        <v>131</v>
      </c>
      <c r="AE270" s="1">
        <f ca="1">IFERROR(__xludf.DUMMYFUNCTION("""COMPUTED_VALUE"""),416)</f>
        <v>416</v>
      </c>
      <c r="AF270" s="1">
        <f ca="1">IFERROR(__xludf.DUMMYFUNCTION("""COMPUTED_VALUE"""),606)</f>
        <v>606</v>
      </c>
    </row>
    <row r="271" spans="1:32" ht="12.5" x14ac:dyDescent="0.25">
      <c r="A271" s="1" t="str">
        <f ca="1">IFERROR(__xludf.DUMMYFUNCTION("""COMPUTED_VALUE"""),"Rice")</f>
        <v>Rice</v>
      </c>
      <c r="B271" s="1">
        <f ca="1">IFERROR(__xludf.DUMMYFUNCTION("""COMPUTED_VALUE"""),32)</f>
        <v>32</v>
      </c>
      <c r="C271" s="1">
        <f ca="1">IFERROR(__xludf.DUMMYFUNCTION("""COMPUTED_VALUE"""),14)</f>
        <v>14</v>
      </c>
      <c r="D271" s="1">
        <f ca="1">IFERROR(__xludf.DUMMYFUNCTION("""COMPUTED_VALUE"""),18)</f>
        <v>18</v>
      </c>
      <c r="E271" s="1">
        <f ca="1">IFERROR(__xludf.DUMMYFUNCTION("""COMPUTED_VALUE"""),0.438)</f>
        <v>0.438</v>
      </c>
      <c r="F271" s="1">
        <f ca="1">IFERROR(__xludf.DUMMYFUNCTION("""COMPUTED_VALUE"""),1.67)</f>
        <v>1.67</v>
      </c>
      <c r="G271" s="1">
        <f ca="1">IFERROR(__xludf.DUMMYFUNCTION("""COMPUTED_VALUE"""),2.67)</f>
        <v>2.67</v>
      </c>
      <c r="H271" s="1">
        <f ca="1">IFERROR(__xludf.DUMMYFUNCTION("""COMPUTED_VALUE"""),5)</f>
        <v>5</v>
      </c>
      <c r="I271" s="1">
        <f ca="1">IFERROR(__xludf.DUMMYFUNCTION("""COMPUTED_VALUE"""),11)</f>
        <v>11</v>
      </c>
      <c r="J271" s="1">
        <f ca="1">IFERROR(__xludf.DUMMYFUNCTION("""COMPUTED_VALUE"""),9)</f>
        <v>9</v>
      </c>
      <c r="K271" s="1">
        <f ca="1">IFERROR(__xludf.DUMMYFUNCTION("""COMPUTED_VALUE"""),7)</f>
        <v>7</v>
      </c>
      <c r="L271" s="1">
        <f ca="1">IFERROR(__xludf.DUMMYFUNCTION("""COMPUTED_VALUE"""),3)</f>
        <v>3</v>
      </c>
      <c r="M271" s="1">
        <f ca="1">IFERROR(__xludf.DUMMYFUNCTION("""COMPUTED_VALUE"""),8)</f>
        <v>8</v>
      </c>
      <c r="N271" s="1">
        <f ca="1">IFERROR(__xludf.DUMMYFUNCTION("""COMPUTED_VALUE"""),2148)</f>
        <v>2148</v>
      </c>
      <c r="O271" s="1">
        <f ca="1">IFERROR(__xludf.DUMMYFUNCTION("""COMPUTED_VALUE"""),2149)</f>
        <v>2149</v>
      </c>
      <c r="P271" s="1">
        <f ca="1">IFERROR(__xludf.DUMMYFUNCTION("""COMPUTED_VALUE"""),1295)</f>
        <v>1295</v>
      </c>
      <c r="Q271" s="1">
        <f ca="1">IFERROR(__xludf.DUMMYFUNCTION("""COMPUTED_VALUE"""),725)</f>
        <v>725</v>
      </c>
      <c r="R271" s="1">
        <f ca="1">IFERROR(__xludf.DUMMYFUNCTION("""COMPUTED_VALUE"""),1696)</f>
        <v>1696</v>
      </c>
      <c r="S271" s="1">
        <f ca="1">IFERROR(__xludf.DUMMYFUNCTION("""COMPUTED_VALUE"""),0.427)</f>
        <v>0.42699999999999999</v>
      </c>
      <c r="T271" s="1">
        <f ca="1">IFERROR(__xludf.DUMMYFUNCTION("""COMPUTED_VALUE"""),168)</f>
        <v>168</v>
      </c>
      <c r="U271" s="1">
        <f ca="1">IFERROR(__xludf.DUMMYFUNCTION("""COMPUTED_VALUE"""),513)</f>
        <v>513</v>
      </c>
      <c r="V271" s="1">
        <f ca="1">IFERROR(__xludf.DUMMYFUNCTION("""COMPUTED_VALUE"""),0.327)</f>
        <v>0.32700000000000001</v>
      </c>
      <c r="W271" s="1">
        <f ca="1">IFERROR(__xludf.DUMMYFUNCTION("""COMPUTED_VALUE"""),530)</f>
        <v>530</v>
      </c>
      <c r="X271" s="1">
        <f ca="1">IFERROR(__xludf.DUMMYFUNCTION("""COMPUTED_VALUE"""),733)</f>
        <v>733</v>
      </c>
      <c r="Y271" s="1">
        <f ca="1">IFERROR(__xludf.DUMMYFUNCTION("""COMPUTED_VALUE"""),0.723)</f>
        <v>0.72299999999999998</v>
      </c>
      <c r="Z271" s="1">
        <f ca="1">IFERROR(__xludf.DUMMYFUNCTION("""COMPUTED_VALUE"""),351)</f>
        <v>351</v>
      </c>
      <c r="AA271" s="1">
        <f ca="1">IFERROR(__xludf.DUMMYFUNCTION("""COMPUTED_VALUE"""),1082)</f>
        <v>1082</v>
      </c>
      <c r="AB271" s="1">
        <f ca="1">IFERROR(__xludf.DUMMYFUNCTION("""COMPUTED_VALUE"""),411)</f>
        <v>411</v>
      </c>
      <c r="AC271" s="1">
        <f ca="1">IFERROR(__xludf.DUMMYFUNCTION("""COMPUTED_VALUE"""),217)</f>
        <v>217</v>
      </c>
      <c r="AD271" s="1">
        <f ca="1">IFERROR(__xludf.DUMMYFUNCTION("""COMPUTED_VALUE"""),76)</f>
        <v>76</v>
      </c>
      <c r="AE271" s="1">
        <f ca="1">IFERROR(__xludf.DUMMYFUNCTION("""COMPUTED_VALUE"""),393)</f>
        <v>393</v>
      </c>
      <c r="AF271" s="1">
        <f ca="1">IFERROR(__xludf.DUMMYFUNCTION("""COMPUTED_VALUE"""),603)</f>
        <v>603</v>
      </c>
    </row>
    <row r="272" spans="1:32" ht="12.5" x14ac:dyDescent="0.25">
      <c r="A272" s="1" t="str">
        <f ca="1">IFERROR(__xludf.DUMMYFUNCTION("""COMPUTED_VALUE"""),"RichmondNCAA")</f>
        <v>RichmondNCAA</v>
      </c>
      <c r="B272" s="1">
        <f ca="1">IFERROR(__xludf.DUMMYFUNCTION("""COMPUTED_VALUE"""),37)</f>
        <v>37</v>
      </c>
      <c r="C272" s="1">
        <f ca="1">IFERROR(__xludf.DUMMYFUNCTION("""COMPUTED_VALUE"""),29)</f>
        <v>29</v>
      </c>
      <c r="D272" s="1">
        <f ca="1">IFERROR(__xludf.DUMMYFUNCTION("""COMPUTED_VALUE"""),8)</f>
        <v>8</v>
      </c>
      <c r="E272" s="1">
        <f ca="1">IFERROR(__xludf.DUMMYFUNCTION("""COMPUTED_VALUE"""),0.784)</f>
        <v>0.78400000000000003</v>
      </c>
      <c r="F272" s="1">
        <f ca="1">IFERROR(__xludf.DUMMYFUNCTION("""COMPUTED_VALUE"""),11.23)</f>
        <v>11.23</v>
      </c>
      <c r="G272" s="1">
        <f ca="1">IFERROR(__xludf.DUMMYFUNCTION("""COMPUTED_VALUE"""),2.79)</f>
        <v>2.79</v>
      </c>
      <c r="H272" s="1">
        <f ca="1">IFERROR(__xludf.DUMMYFUNCTION("""COMPUTED_VALUE"""),13)</f>
        <v>13</v>
      </c>
      <c r="I272" s="1">
        <f ca="1">IFERROR(__xludf.DUMMYFUNCTION("""COMPUTED_VALUE"""),3)</f>
        <v>3</v>
      </c>
      <c r="J272" s="1">
        <f ca="1">IFERROR(__xludf.DUMMYFUNCTION("""COMPUTED_VALUE"""),12)</f>
        <v>12</v>
      </c>
      <c r="K272" s="1">
        <f ca="1">IFERROR(__xludf.DUMMYFUNCTION("""COMPUTED_VALUE"""),3)</f>
        <v>3</v>
      </c>
      <c r="L272" s="1">
        <f ca="1">IFERROR(__xludf.DUMMYFUNCTION("""COMPUTED_VALUE"""),10)</f>
        <v>10</v>
      </c>
      <c r="M272" s="1">
        <f ca="1">IFERROR(__xludf.DUMMYFUNCTION("""COMPUTED_VALUE"""),3)</f>
        <v>3</v>
      </c>
      <c r="N272" s="1">
        <f ca="1">IFERROR(__xludf.DUMMYFUNCTION("""COMPUTED_VALUE"""),2577)</f>
        <v>2577</v>
      </c>
      <c r="O272" s="1">
        <f ca="1">IFERROR(__xludf.DUMMYFUNCTION("""COMPUTED_VALUE"""),2265)</f>
        <v>2265</v>
      </c>
      <c r="P272" s="1">
        <f ca="1">IFERROR(__xludf.DUMMYFUNCTION("""COMPUTED_VALUE"""),1490)</f>
        <v>1490</v>
      </c>
      <c r="Q272" s="1">
        <f ca="1">IFERROR(__xludf.DUMMYFUNCTION("""COMPUTED_VALUE"""),922)</f>
        <v>922</v>
      </c>
      <c r="R272" s="1">
        <f ca="1">IFERROR(__xludf.DUMMYFUNCTION("""COMPUTED_VALUE"""),2007)</f>
        <v>2007</v>
      </c>
      <c r="S272" s="1">
        <f ca="1">IFERROR(__xludf.DUMMYFUNCTION("""COMPUTED_VALUE"""),0.459)</f>
        <v>0.45900000000000002</v>
      </c>
      <c r="T272" s="1">
        <f ca="1">IFERROR(__xludf.DUMMYFUNCTION("""COMPUTED_VALUE"""),287)</f>
        <v>287</v>
      </c>
      <c r="U272" s="1">
        <f ca="1">IFERROR(__xludf.DUMMYFUNCTION("""COMPUTED_VALUE"""),735)</f>
        <v>735</v>
      </c>
      <c r="V272" s="1">
        <f ca="1">IFERROR(__xludf.DUMMYFUNCTION("""COMPUTED_VALUE"""),0.39)</f>
        <v>0.39</v>
      </c>
      <c r="W272" s="1">
        <f ca="1">IFERROR(__xludf.DUMMYFUNCTION("""COMPUTED_VALUE"""),446)</f>
        <v>446</v>
      </c>
      <c r="X272" s="1">
        <f ca="1">IFERROR(__xludf.DUMMYFUNCTION("""COMPUTED_VALUE"""),649)</f>
        <v>649</v>
      </c>
      <c r="Y272" s="1">
        <f ca="1">IFERROR(__xludf.DUMMYFUNCTION("""COMPUTED_VALUE"""),0.687)</f>
        <v>0.68700000000000006</v>
      </c>
      <c r="Z272" s="1">
        <f ca="1">IFERROR(__xludf.DUMMYFUNCTION("""COMPUTED_VALUE"""),344)</f>
        <v>344</v>
      </c>
      <c r="AA272" s="1">
        <f ca="1">IFERROR(__xludf.DUMMYFUNCTION("""COMPUTED_VALUE"""),1222)</f>
        <v>1222</v>
      </c>
      <c r="AB272" s="1">
        <f ca="1">IFERROR(__xludf.DUMMYFUNCTION("""COMPUTED_VALUE"""),548)</f>
        <v>548</v>
      </c>
      <c r="AC272" s="1">
        <f ca="1">IFERROR(__xludf.DUMMYFUNCTION("""COMPUTED_VALUE"""),220)</f>
        <v>220</v>
      </c>
      <c r="AD272" s="1">
        <f ca="1">IFERROR(__xludf.DUMMYFUNCTION("""COMPUTED_VALUE"""),155)</f>
        <v>155</v>
      </c>
      <c r="AE272" s="1">
        <f ca="1">IFERROR(__xludf.DUMMYFUNCTION("""COMPUTED_VALUE"""),383)</f>
        <v>383</v>
      </c>
      <c r="AF272" s="1">
        <f ca="1">IFERROR(__xludf.DUMMYFUNCTION("""COMPUTED_VALUE"""),587)</f>
        <v>587</v>
      </c>
    </row>
    <row r="273" spans="1:32" ht="12.5" x14ac:dyDescent="0.25">
      <c r="A273" s="1" t="str">
        <f ca="1">IFERROR(__xludf.DUMMYFUNCTION("""COMPUTED_VALUE"""),"Rider")</f>
        <v>Rider</v>
      </c>
      <c r="B273" s="1">
        <f ca="1">IFERROR(__xludf.DUMMYFUNCTION("""COMPUTED_VALUE"""),34)</f>
        <v>34</v>
      </c>
      <c r="C273" s="1">
        <f ca="1">IFERROR(__xludf.DUMMYFUNCTION("""COMPUTED_VALUE"""),23)</f>
        <v>23</v>
      </c>
      <c r="D273" s="1">
        <f ca="1">IFERROR(__xludf.DUMMYFUNCTION("""COMPUTED_VALUE"""),11)</f>
        <v>11</v>
      </c>
      <c r="E273" s="1">
        <f ca="1">IFERROR(__xludf.DUMMYFUNCTION("""COMPUTED_VALUE"""),0.676)</f>
        <v>0.67600000000000005</v>
      </c>
      <c r="F273" s="1">
        <f ca="1">IFERROR(__xludf.DUMMYFUNCTION("""COMPUTED_VALUE"""),1.62)</f>
        <v>1.62</v>
      </c>
      <c r="G273" s="1">
        <f ca="1">IFERROR(__xludf.DUMMYFUNCTION("""COMPUTED_VALUE"""),-2.67)</f>
        <v>-2.67</v>
      </c>
      <c r="H273" s="1">
        <f ca="1">IFERROR(__xludf.DUMMYFUNCTION("""COMPUTED_VALUE"""),13)</f>
        <v>13</v>
      </c>
      <c r="I273" s="1">
        <f ca="1">IFERROR(__xludf.DUMMYFUNCTION("""COMPUTED_VALUE"""),5)</f>
        <v>5</v>
      </c>
      <c r="J273" s="1">
        <f ca="1">IFERROR(__xludf.DUMMYFUNCTION("""COMPUTED_VALUE"""),9)</f>
        <v>9</v>
      </c>
      <c r="K273" s="1">
        <f ca="1">IFERROR(__xludf.DUMMYFUNCTION("""COMPUTED_VALUE"""),5)</f>
        <v>5</v>
      </c>
      <c r="L273" s="1">
        <f ca="1">IFERROR(__xludf.DUMMYFUNCTION("""COMPUTED_VALUE"""),11)</f>
        <v>11</v>
      </c>
      <c r="M273" s="1">
        <f ca="1">IFERROR(__xludf.DUMMYFUNCTION("""COMPUTED_VALUE"""),5)</f>
        <v>5</v>
      </c>
      <c r="N273" s="1">
        <f ca="1">IFERROR(__xludf.DUMMYFUNCTION("""COMPUTED_VALUE"""),2486)</f>
        <v>2486</v>
      </c>
      <c r="O273" s="1">
        <f ca="1">IFERROR(__xludf.DUMMYFUNCTION("""COMPUTED_VALUE"""),2340)</f>
        <v>2340</v>
      </c>
      <c r="P273" s="1">
        <f ca="1">IFERROR(__xludf.DUMMYFUNCTION("""COMPUTED_VALUE"""),1370)</f>
        <v>1370</v>
      </c>
      <c r="Q273" s="1">
        <f ca="1">IFERROR(__xludf.DUMMYFUNCTION("""COMPUTED_VALUE"""),894)</f>
        <v>894</v>
      </c>
      <c r="R273" s="1">
        <f ca="1">IFERROR(__xludf.DUMMYFUNCTION("""COMPUTED_VALUE"""),1916)</f>
        <v>1916</v>
      </c>
      <c r="S273" s="1">
        <f ca="1">IFERROR(__xludf.DUMMYFUNCTION("""COMPUTED_VALUE"""),0.467)</f>
        <v>0.46700000000000003</v>
      </c>
      <c r="T273" s="1">
        <f ca="1">IFERROR(__xludf.DUMMYFUNCTION("""COMPUTED_VALUE"""),263)</f>
        <v>263</v>
      </c>
      <c r="U273" s="1">
        <f ca="1">IFERROR(__xludf.DUMMYFUNCTION("""COMPUTED_VALUE"""),672)</f>
        <v>672</v>
      </c>
      <c r="V273" s="1">
        <f ca="1">IFERROR(__xludf.DUMMYFUNCTION("""COMPUTED_VALUE"""),0.391)</f>
        <v>0.39100000000000001</v>
      </c>
      <c r="W273" s="1">
        <f ca="1">IFERROR(__xludf.DUMMYFUNCTION("""COMPUTED_VALUE"""),435)</f>
        <v>435</v>
      </c>
      <c r="X273" s="1">
        <f ca="1">IFERROR(__xludf.DUMMYFUNCTION("""COMPUTED_VALUE"""),670)</f>
        <v>670</v>
      </c>
      <c r="Y273" s="1">
        <f ca="1">IFERROR(__xludf.DUMMYFUNCTION("""COMPUTED_VALUE"""),0.649)</f>
        <v>0.64900000000000002</v>
      </c>
      <c r="Z273" s="1">
        <f ca="1">IFERROR(__xludf.DUMMYFUNCTION("""COMPUTED_VALUE"""),351)</f>
        <v>351</v>
      </c>
      <c r="AA273" s="1">
        <f ca="1">IFERROR(__xludf.DUMMYFUNCTION("""COMPUTED_VALUE"""),1221)</f>
        <v>1221</v>
      </c>
      <c r="AB273" s="1">
        <f ca="1">IFERROR(__xludf.DUMMYFUNCTION("""COMPUTED_VALUE"""),481)</f>
        <v>481</v>
      </c>
      <c r="AC273" s="1">
        <f ca="1">IFERROR(__xludf.DUMMYFUNCTION("""COMPUTED_VALUE"""),205)</f>
        <v>205</v>
      </c>
      <c r="AD273" s="1">
        <f ca="1">IFERROR(__xludf.DUMMYFUNCTION("""COMPUTED_VALUE"""),151)</f>
        <v>151</v>
      </c>
      <c r="AE273" s="1">
        <f ca="1">IFERROR(__xludf.DUMMYFUNCTION("""COMPUTED_VALUE"""),469)</f>
        <v>469</v>
      </c>
      <c r="AF273" s="1">
        <f ca="1">IFERROR(__xludf.DUMMYFUNCTION("""COMPUTED_VALUE"""),598)</f>
        <v>598</v>
      </c>
    </row>
    <row r="274" spans="1:32" ht="12.5" x14ac:dyDescent="0.25">
      <c r="A274" s="1" t="str">
        <f ca="1">IFERROR(__xludf.DUMMYFUNCTION("""COMPUTED_VALUE"""),"Robert Morris")</f>
        <v>Robert Morris</v>
      </c>
      <c r="B274" s="1">
        <f ca="1">IFERROR(__xludf.DUMMYFUNCTION("""COMPUTED_VALUE"""),32)</f>
        <v>32</v>
      </c>
      <c r="C274" s="1">
        <f ca="1">IFERROR(__xludf.DUMMYFUNCTION("""COMPUTED_VALUE"""),18)</f>
        <v>18</v>
      </c>
      <c r="D274" s="1">
        <f ca="1">IFERROR(__xludf.DUMMYFUNCTION("""COMPUTED_VALUE"""),14)</f>
        <v>14</v>
      </c>
      <c r="E274" s="1">
        <f ca="1">IFERROR(__xludf.DUMMYFUNCTION("""COMPUTED_VALUE"""),0.563)</f>
        <v>0.56299999999999994</v>
      </c>
      <c r="F274" s="1">
        <f ca="1">IFERROR(__xludf.DUMMYFUNCTION("""COMPUTED_VALUE"""),-0.8)</f>
        <v>-0.8</v>
      </c>
      <c r="G274" s="1">
        <f ca="1">IFERROR(__xludf.DUMMYFUNCTION("""COMPUTED_VALUE"""),-2.61)</f>
        <v>-2.61</v>
      </c>
      <c r="H274" s="1">
        <f ca="1">IFERROR(__xludf.DUMMYFUNCTION("""COMPUTED_VALUE"""),12)</f>
        <v>12</v>
      </c>
      <c r="I274" s="1">
        <f ca="1">IFERROR(__xludf.DUMMYFUNCTION("""COMPUTED_VALUE"""),6)</f>
        <v>6</v>
      </c>
      <c r="J274" s="1">
        <f ca="1">IFERROR(__xludf.DUMMYFUNCTION("""COMPUTED_VALUE"""),11)</f>
        <v>11</v>
      </c>
      <c r="K274" s="1">
        <f ca="1">IFERROR(__xludf.DUMMYFUNCTION("""COMPUTED_VALUE"""),2)</f>
        <v>2</v>
      </c>
      <c r="L274" s="1">
        <f ca="1">IFERROR(__xludf.DUMMYFUNCTION("""COMPUTED_VALUE"""),7)</f>
        <v>7</v>
      </c>
      <c r="M274" s="1">
        <f ca="1">IFERROR(__xludf.DUMMYFUNCTION("""COMPUTED_VALUE"""),12)</f>
        <v>12</v>
      </c>
      <c r="N274" s="1">
        <f ca="1">IFERROR(__xludf.DUMMYFUNCTION("""COMPUTED_VALUE"""),2153)</f>
        <v>2153</v>
      </c>
      <c r="O274" s="1">
        <f ca="1">IFERROR(__xludf.DUMMYFUNCTION("""COMPUTED_VALUE"""),2095)</f>
        <v>2095</v>
      </c>
      <c r="P274" s="1">
        <f ca="1">IFERROR(__xludf.DUMMYFUNCTION("""COMPUTED_VALUE"""),1295)</f>
        <v>1295</v>
      </c>
      <c r="Q274" s="1">
        <f ca="1">IFERROR(__xludf.DUMMYFUNCTION("""COMPUTED_VALUE"""),752)</f>
        <v>752</v>
      </c>
      <c r="R274" s="1">
        <f ca="1">IFERROR(__xludf.DUMMYFUNCTION("""COMPUTED_VALUE"""),1792)</f>
        <v>1792</v>
      </c>
      <c r="S274" s="1">
        <f ca="1">IFERROR(__xludf.DUMMYFUNCTION("""COMPUTED_VALUE"""),0.42)</f>
        <v>0.42</v>
      </c>
      <c r="T274" s="1">
        <f ca="1">IFERROR(__xludf.DUMMYFUNCTION("""COMPUTED_VALUE"""),215)</f>
        <v>215</v>
      </c>
      <c r="U274" s="1">
        <f ca="1">IFERROR(__xludf.DUMMYFUNCTION("""COMPUTED_VALUE"""),603)</f>
        <v>603</v>
      </c>
      <c r="V274" s="1">
        <f ca="1">IFERROR(__xludf.DUMMYFUNCTION("""COMPUTED_VALUE"""),0.357)</f>
        <v>0.35699999999999998</v>
      </c>
      <c r="W274" s="1">
        <f ca="1">IFERROR(__xludf.DUMMYFUNCTION("""COMPUTED_VALUE"""),434)</f>
        <v>434</v>
      </c>
      <c r="X274" s="1">
        <f ca="1">IFERROR(__xludf.DUMMYFUNCTION("""COMPUTED_VALUE"""),634)</f>
        <v>634</v>
      </c>
      <c r="Y274" s="1">
        <f ca="1">IFERROR(__xludf.DUMMYFUNCTION("""COMPUTED_VALUE"""),0.685)</f>
        <v>0.68500000000000005</v>
      </c>
      <c r="Z274" s="1">
        <f ca="1">IFERROR(__xludf.DUMMYFUNCTION("""COMPUTED_VALUE"""),395)</f>
        <v>395</v>
      </c>
      <c r="AA274" s="1">
        <f ca="1">IFERROR(__xludf.DUMMYFUNCTION("""COMPUTED_VALUE"""),1124)</f>
        <v>1124</v>
      </c>
      <c r="AB274" s="1">
        <f ca="1">IFERROR(__xludf.DUMMYFUNCTION("""COMPUTED_VALUE"""),436)</f>
        <v>436</v>
      </c>
      <c r="AC274" s="1">
        <f ca="1">IFERROR(__xludf.DUMMYFUNCTION("""COMPUTED_VALUE"""),241)</f>
        <v>241</v>
      </c>
      <c r="AD274" s="1">
        <f ca="1">IFERROR(__xludf.DUMMYFUNCTION("""COMPUTED_VALUE"""),66)</f>
        <v>66</v>
      </c>
      <c r="AE274" s="1">
        <f ca="1">IFERROR(__xludf.DUMMYFUNCTION("""COMPUTED_VALUE"""),422)</f>
        <v>422</v>
      </c>
      <c r="AF274" s="1">
        <f ca="1">IFERROR(__xludf.DUMMYFUNCTION("""COMPUTED_VALUE"""),718)</f>
        <v>718</v>
      </c>
    </row>
    <row r="275" spans="1:32" ht="12.5" x14ac:dyDescent="0.25">
      <c r="A275" s="1" t="str">
        <f ca="1">IFERROR(__xludf.DUMMYFUNCTION("""COMPUTED_VALUE"""),"Rutgers")</f>
        <v>Rutgers</v>
      </c>
      <c r="B275" s="1">
        <f ca="1">IFERROR(__xludf.DUMMYFUNCTION("""COMPUTED_VALUE"""),32)</f>
        <v>32</v>
      </c>
      <c r="C275" s="1">
        <f ca="1">IFERROR(__xludf.DUMMYFUNCTION("""COMPUTED_VALUE"""),15)</f>
        <v>15</v>
      </c>
      <c r="D275" s="1">
        <f ca="1">IFERROR(__xludf.DUMMYFUNCTION("""COMPUTED_VALUE"""),17)</f>
        <v>17</v>
      </c>
      <c r="E275" s="1">
        <f ca="1">IFERROR(__xludf.DUMMYFUNCTION("""COMPUTED_VALUE"""),0.469)</f>
        <v>0.46899999999999997</v>
      </c>
      <c r="F275" s="1">
        <f ca="1">IFERROR(__xludf.DUMMYFUNCTION("""COMPUTED_VALUE"""),7.88)</f>
        <v>7.88</v>
      </c>
      <c r="G275" s="1">
        <f ca="1">IFERROR(__xludf.DUMMYFUNCTION("""COMPUTED_VALUE"""),7.22)</f>
        <v>7.22</v>
      </c>
      <c r="H275" s="1">
        <f ca="1">IFERROR(__xludf.DUMMYFUNCTION("""COMPUTED_VALUE"""),5)</f>
        <v>5</v>
      </c>
      <c r="I275" s="1">
        <f ca="1">IFERROR(__xludf.DUMMYFUNCTION("""COMPUTED_VALUE"""),13)</f>
        <v>13</v>
      </c>
      <c r="J275" s="1">
        <f ca="1">IFERROR(__xludf.DUMMYFUNCTION("""COMPUTED_VALUE"""),10)</f>
        <v>10</v>
      </c>
      <c r="K275" s="1">
        <f ca="1">IFERROR(__xludf.DUMMYFUNCTION("""COMPUTED_VALUE"""),6)</f>
        <v>6</v>
      </c>
      <c r="L275" s="1">
        <f ca="1">IFERROR(__xludf.DUMMYFUNCTION("""COMPUTED_VALUE"""),3)</f>
        <v>3</v>
      </c>
      <c r="M275" s="1">
        <f ca="1">IFERROR(__xludf.DUMMYFUNCTION("""COMPUTED_VALUE"""),10)</f>
        <v>10</v>
      </c>
      <c r="N275" s="1">
        <f ca="1">IFERROR(__xludf.DUMMYFUNCTION("""COMPUTED_VALUE"""),2122)</f>
        <v>2122</v>
      </c>
      <c r="O275" s="1">
        <f ca="1">IFERROR(__xludf.DUMMYFUNCTION("""COMPUTED_VALUE"""),2101)</f>
        <v>2101</v>
      </c>
      <c r="P275" s="1">
        <f ca="1">IFERROR(__xludf.DUMMYFUNCTION("""COMPUTED_VALUE"""),1295)</f>
        <v>1295</v>
      </c>
      <c r="Q275" s="1">
        <f ca="1">IFERROR(__xludf.DUMMYFUNCTION("""COMPUTED_VALUE"""),783)</f>
        <v>783</v>
      </c>
      <c r="R275" s="1">
        <f ca="1">IFERROR(__xludf.DUMMYFUNCTION("""COMPUTED_VALUE"""),1778)</f>
        <v>1778</v>
      </c>
      <c r="S275" s="1">
        <f ca="1">IFERROR(__xludf.DUMMYFUNCTION("""COMPUTED_VALUE"""),0.44)</f>
        <v>0.44</v>
      </c>
      <c r="T275" s="1">
        <f ca="1">IFERROR(__xludf.DUMMYFUNCTION("""COMPUTED_VALUE"""),175)</f>
        <v>175</v>
      </c>
      <c r="U275" s="1">
        <f ca="1">IFERROR(__xludf.DUMMYFUNCTION("""COMPUTED_VALUE"""),509)</f>
        <v>509</v>
      </c>
      <c r="V275" s="1">
        <f ca="1">IFERROR(__xludf.DUMMYFUNCTION("""COMPUTED_VALUE"""),0.344)</f>
        <v>0.34399999999999997</v>
      </c>
      <c r="W275" s="1">
        <f ca="1">IFERROR(__xludf.DUMMYFUNCTION("""COMPUTED_VALUE"""),381)</f>
        <v>381</v>
      </c>
      <c r="X275" s="1">
        <f ca="1">IFERROR(__xludf.DUMMYFUNCTION("""COMPUTED_VALUE"""),563)</f>
        <v>563</v>
      </c>
      <c r="Y275" s="1">
        <f ca="1">IFERROR(__xludf.DUMMYFUNCTION("""COMPUTED_VALUE"""),0.677)</f>
        <v>0.67700000000000005</v>
      </c>
      <c r="Z275" s="1">
        <f ca="1">IFERROR(__xludf.DUMMYFUNCTION("""COMPUTED_VALUE"""),349)</f>
        <v>349</v>
      </c>
      <c r="AA275" s="1">
        <f ca="1">IFERROR(__xludf.DUMMYFUNCTION("""COMPUTED_VALUE"""),1062)</f>
        <v>1062</v>
      </c>
      <c r="AB275" s="1">
        <f ca="1">IFERROR(__xludf.DUMMYFUNCTION("""COMPUTED_VALUE"""),434)</f>
        <v>434</v>
      </c>
      <c r="AC275" s="1">
        <f ca="1">IFERROR(__xludf.DUMMYFUNCTION("""COMPUTED_VALUE"""),252)</f>
        <v>252</v>
      </c>
      <c r="AD275" s="1">
        <f ca="1">IFERROR(__xludf.DUMMYFUNCTION("""COMPUTED_VALUE"""),143)</f>
        <v>143</v>
      </c>
      <c r="AE275" s="1">
        <f ca="1">IFERROR(__xludf.DUMMYFUNCTION("""COMPUTED_VALUE"""),389)</f>
        <v>389</v>
      </c>
      <c r="AF275" s="1">
        <f ca="1">IFERROR(__xludf.DUMMYFUNCTION("""COMPUTED_VALUE"""),634)</f>
        <v>634</v>
      </c>
    </row>
    <row r="276" spans="1:32" ht="12.5" x14ac:dyDescent="0.25">
      <c r="A276" s="1" t="str">
        <f ca="1">IFERROR(__xludf.DUMMYFUNCTION("""COMPUTED_VALUE"""),"Sacramento State")</f>
        <v>Sacramento State</v>
      </c>
      <c r="B276" s="1">
        <f ca="1">IFERROR(__xludf.DUMMYFUNCTION("""COMPUTED_VALUE"""),28)</f>
        <v>28</v>
      </c>
      <c r="C276" s="1">
        <f ca="1">IFERROR(__xludf.DUMMYFUNCTION("""COMPUTED_VALUE"""),7)</f>
        <v>7</v>
      </c>
      <c r="D276" s="1">
        <f ca="1">IFERROR(__xludf.DUMMYFUNCTION("""COMPUTED_VALUE"""),21)</f>
        <v>21</v>
      </c>
      <c r="E276" s="1">
        <f ca="1">IFERROR(__xludf.DUMMYFUNCTION("""COMPUTED_VALUE"""),0.25)</f>
        <v>0.25</v>
      </c>
      <c r="F276" s="1">
        <f ca="1">IFERROR(__xludf.DUMMYFUNCTION("""COMPUTED_VALUE"""),-14.01)</f>
        <v>-14.01</v>
      </c>
      <c r="G276" s="1">
        <f ca="1">IFERROR(__xludf.DUMMYFUNCTION("""COMPUTED_VALUE"""),-4.05)</f>
        <v>-4.05</v>
      </c>
      <c r="H276" s="1">
        <f ca="1">IFERROR(__xludf.DUMMYFUNCTION("""COMPUTED_VALUE"""),4)</f>
        <v>4</v>
      </c>
      <c r="I276" s="1">
        <f ca="1">IFERROR(__xludf.DUMMYFUNCTION("""COMPUTED_VALUE"""),12)</f>
        <v>12</v>
      </c>
      <c r="J276" s="1">
        <f ca="1">IFERROR(__xludf.DUMMYFUNCTION("""COMPUTED_VALUE"""),6)</f>
        <v>6</v>
      </c>
      <c r="K276" s="1">
        <f ca="1">IFERROR(__xludf.DUMMYFUNCTION("""COMPUTED_VALUE"""),7)</f>
        <v>7</v>
      </c>
      <c r="L276" s="1">
        <f ca="1">IFERROR(__xludf.DUMMYFUNCTION("""COMPUTED_VALUE"""),1)</f>
        <v>1</v>
      </c>
      <c r="M276" s="1">
        <f ca="1">IFERROR(__xludf.DUMMYFUNCTION("""COMPUTED_VALUE"""),13)</f>
        <v>13</v>
      </c>
      <c r="N276" s="1">
        <f ca="1">IFERROR(__xludf.DUMMYFUNCTION("""COMPUTED_VALUE"""),1729)</f>
        <v>1729</v>
      </c>
      <c r="O276" s="1">
        <f ca="1">IFERROR(__xludf.DUMMYFUNCTION("""COMPUTED_VALUE"""),1948)</f>
        <v>1948</v>
      </c>
      <c r="P276" s="1">
        <f ca="1">IFERROR(__xludf.DUMMYFUNCTION("""COMPUTED_VALUE"""),1140)</f>
        <v>1140</v>
      </c>
      <c r="Q276" s="1">
        <f ca="1">IFERROR(__xludf.DUMMYFUNCTION("""COMPUTED_VALUE"""),593)</f>
        <v>593</v>
      </c>
      <c r="R276" s="1">
        <f ca="1">IFERROR(__xludf.DUMMYFUNCTION("""COMPUTED_VALUE"""),1479)</f>
        <v>1479</v>
      </c>
      <c r="S276" s="1">
        <f ca="1">IFERROR(__xludf.DUMMYFUNCTION("""COMPUTED_VALUE"""),0.401)</f>
        <v>0.40100000000000002</v>
      </c>
      <c r="T276" s="1">
        <f ca="1">IFERROR(__xludf.DUMMYFUNCTION("""COMPUTED_VALUE"""),155)</f>
        <v>155</v>
      </c>
      <c r="U276" s="1">
        <f ca="1">IFERROR(__xludf.DUMMYFUNCTION("""COMPUTED_VALUE"""),507)</f>
        <v>507</v>
      </c>
      <c r="V276" s="1">
        <f ca="1">IFERROR(__xludf.DUMMYFUNCTION("""COMPUTED_VALUE"""),0.306)</f>
        <v>0.30599999999999999</v>
      </c>
      <c r="W276" s="1">
        <f ca="1">IFERROR(__xludf.DUMMYFUNCTION("""COMPUTED_VALUE"""),388)</f>
        <v>388</v>
      </c>
      <c r="X276" s="1">
        <f ca="1">IFERROR(__xludf.DUMMYFUNCTION("""COMPUTED_VALUE"""),570)</f>
        <v>570</v>
      </c>
      <c r="Y276" s="1">
        <f ca="1">IFERROR(__xludf.DUMMYFUNCTION("""COMPUTED_VALUE"""),0.681)</f>
        <v>0.68100000000000005</v>
      </c>
      <c r="Z276" s="1">
        <f ca="1">IFERROR(__xludf.DUMMYFUNCTION("""COMPUTED_VALUE"""),327)</f>
        <v>327</v>
      </c>
      <c r="AA276" s="1">
        <f ca="1">IFERROR(__xludf.DUMMYFUNCTION("""COMPUTED_VALUE"""),993)</f>
        <v>993</v>
      </c>
      <c r="AB276" s="1">
        <f ca="1">IFERROR(__xludf.DUMMYFUNCTION("""COMPUTED_VALUE"""),344)</f>
        <v>344</v>
      </c>
      <c r="AC276" s="1">
        <f ca="1">IFERROR(__xludf.DUMMYFUNCTION("""COMPUTED_VALUE"""),172)</f>
        <v>172</v>
      </c>
      <c r="AD276" s="1">
        <f ca="1">IFERROR(__xludf.DUMMYFUNCTION("""COMPUTED_VALUE"""),96)</f>
        <v>96</v>
      </c>
      <c r="AE276" s="1">
        <f ca="1">IFERROR(__xludf.DUMMYFUNCTION("""COMPUTED_VALUE"""),413)</f>
        <v>413</v>
      </c>
      <c r="AF276" s="1">
        <f ca="1">IFERROR(__xludf.DUMMYFUNCTION("""COMPUTED_VALUE"""),510)</f>
        <v>510</v>
      </c>
    </row>
    <row r="277" spans="1:32" ht="12.5" x14ac:dyDescent="0.25">
      <c r="A277" s="1" t="str">
        <f ca="1">IFERROR(__xludf.DUMMYFUNCTION("""COMPUTED_VALUE"""),"Sacred Heart")</f>
        <v>Sacred Heart</v>
      </c>
      <c r="B277" s="1">
        <f ca="1">IFERROR(__xludf.DUMMYFUNCTION("""COMPUTED_VALUE"""),29)</f>
        <v>29</v>
      </c>
      <c r="C277" s="1">
        <f ca="1">IFERROR(__xludf.DUMMYFUNCTION("""COMPUTED_VALUE"""),11)</f>
        <v>11</v>
      </c>
      <c r="D277" s="1">
        <f ca="1">IFERROR(__xludf.DUMMYFUNCTION("""COMPUTED_VALUE"""),18)</f>
        <v>18</v>
      </c>
      <c r="E277" s="1">
        <f ca="1">IFERROR(__xludf.DUMMYFUNCTION("""COMPUTED_VALUE"""),0.379)</f>
        <v>0.379</v>
      </c>
      <c r="F277" s="1">
        <f ca="1">IFERROR(__xludf.DUMMYFUNCTION("""COMPUTED_VALUE"""),-9.4)</f>
        <v>-9.4</v>
      </c>
      <c r="G277" s="1">
        <f ca="1">IFERROR(__xludf.DUMMYFUNCTION("""COMPUTED_VALUE"""),-6.12)</f>
        <v>-6.12</v>
      </c>
      <c r="H277" s="1">
        <f ca="1">IFERROR(__xludf.DUMMYFUNCTION("""COMPUTED_VALUE"""),6)</f>
        <v>6</v>
      </c>
      <c r="I277" s="1">
        <f ca="1">IFERROR(__xludf.DUMMYFUNCTION("""COMPUTED_VALUE"""),12)</f>
        <v>12</v>
      </c>
      <c r="J277" s="1">
        <f ca="1">IFERROR(__xludf.DUMMYFUNCTION("""COMPUTED_VALUE"""),5)</f>
        <v>5</v>
      </c>
      <c r="K277" s="1">
        <f ca="1">IFERROR(__xludf.DUMMYFUNCTION("""COMPUTED_VALUE"""),7)</f>
        <v>7</v>
      </c>
      <c r="L277" s="1">
        <f ca="1">IFERROR(__xludf.DUMMYFUNCTION("""COMPUTED_VALUE"""),6)</f>
        <v>6</v>
      </c>
      <c r="M277" s="1">
        <f ca="1">IFERROR(__xludf.DUMMYFUNCTION("""COMPUTED_VALUE"""),10)</f>
        <v>10</v>
      </c>
      <c r="N277" s="1">
        <f ca="1">IFERROR(__xludf.DUMMYFUNCTION("""COMPUTED_VALUE"""),1922)</f>
        <v>1922</v>
      </c>
      <c r="O277" s="1">
        <f ca="1">IFERROR(__xludf.DUMMYFUNCTION("""COMPUTED_VALUE"""),2017)</f>
        <v>2017</v>
      </c>
      <c r="P277" s="1">
        <f ca="1">IFERROR(__xludf.DUMMYFUNCTION("""COMPUTED_VALUE"""),1170)</f>
        <v>1170</v>
      </c>
      <c r="Q277" s="1">
        <f ca="1">IFERROR(__xludf.DUMMYFUNCTION("""COMPUTED_VALUE"""),672)</f>
        <v>672</v>
      </c>
      <c r="R277" s="1">
        <f ca="1">IFERROR(__xludf.DUMMYFUNCTION("""COMPUTED_VALUE"""),1565)</f>
        <v>1565</v>
      </c>
      <c r="S277" s="1">
        <f ca="1">IFERROR(__xludf.DUMMYFUNCTION("""COMPUTED_VALUE"""),0.429)</f>
        <v>0.42899999999999999</v>
      </c>
      <c r="T277" s="1">
        <f ca="1">IFERROR(__xludf.DUMMYFUNCTION("""COMPUTED_VALUE"""),165)</f>
        <v>165</v>
      </c>
      <c r="U277" s="1">
        <f ca="1">IFERROR(__xludf.DUMMYFUNCTION("""COMPUTED_VALUE"""),478)</f>
        <v>478</v>
      </c>
      <c r="V277" s="1">
        <f ca="1">IFERROR(__xludf.DUMMYFUNCTION("""COMPUTED_VALUE"""),0.345)</f>
        <v>0.34499999999999997</v>
      </c>
      <c r="W277" s="1">
        <f ca="1">IFERROR(__xludf.DUMMYFUNCTION("""COMPUTED_VALUE"""),413)</f>
        <v>413</v>
      </c>
      <c r="X277" s="1">
        <f ca="1">IFERROR(__xludf.DUMMYFUNCTION("""COMPUTED_VALUE"""),588)</f>
        <v>588</v>
      </c>
      <c r="Y277" s="1">
        <f ca="1">IFERROR(__xludf.DUMMYFUNCTION("""COMPUTED_VALUE"""),0.702)</f>
        <v>0.70199999999999996</v>
      </c>
      <c r="Z277" s="1">
        <f ca="1">IFERROR(__xludf.DUMMYFUNCTION("""COMPUTED_VALUE"""),322)</f>
        <v>322</v>
      </c>
      <c r="AA277" s="1">
        <f ca="1">IFERROR(__xludf.DUMMYFUNCTION("""COMPUTED_VALUE"""),958)</f>
        <v>958</v>
      </c>
      <c r="AB277" s="1">
        <f ca="1">IFERROR(__xludf.DUMMYFUNCTION("""COMPUTED_VALUE"""),344)</f>
        <v>344</v>
      </c>
      <c r="AC277" s="1">
        <f ca="1">IFERROR(__xludf.DUMMYFUNCTION("""COMPUTED_VALUE"""),224)</f>
        <v>224</v>
      </c>
      <c r="AD277" s="1">
        <f ca="1">IFERROR(__xludf.DUMMYFUNCTION("""COMPUTED_VALUE"""),89)</f>
        <v>89</v>
      </c>
      <c r="AE277" s="1">
        <f ca="1">IFERROR(__xludf.DUMMYFUNCTION("""COMPUTED_VALUE"""),449)</f>
        <v>449</v>
      </c>
      <c r="AF277" s="1">
        <f ca="1">IFERROR(__xludf.DUMMYFUNCTION("""COMPUTED_VALUE"""),574)</f>
        <v>574</v>
      </c>
    </row>
    <row r="278" spans="1:32" ht="12.5" x14ac:dyDescent="0.25">
      <c r="A278" s="1" t="str">
        <f ca="1">IFERROR(__xludf.DUMMYFUNCTION("""COMPUTED_VALUE"""),"Saint Francis (PA)")</f>
        <v>Saint Francis (PA)</v>
      </c>
      <c r="B278" s="1">
        <f ca="1">IFERROR(__xludf.DUMMYFUNCTION("""COMPUTED_VALUE"""),30)</f>
        <v>30</v>
      </c>
      <c r="C278" s="1">
        <f ca="1">IFERROR(__xludf.DUMMYFUNCTION("""COMPUTED_VALUE"""),9)</f>
        <v>9</v>
      </c>
      <c r="D278" s="1">
        <f ca="1">IFERROR(__xludf.DUMMYFUNCTION("""COMPUTED_VALUE"""),21)</f>
        <v>21</v>
      </c>
      <c r="E278" s="1">
        <f ca="1">IFERROR(__xludf.DUMMYFUNCTION("""COMPUTED_VALUE"""),0.3)</f>
        <v>0.3</v>
      </c>
      <c r="F278" s="1">
        <f ca="1">IFERROR(__xludf.DUMMYFUNCTION("""COMPUTED_VALUE"""),-11.5)</f>
        <v>-11.5</v>
      </c>
      <c r="G278" s="1">
        <f ca="1">IFERROR(__xludf.DUMMYFUNCTION("""COMPUTED_VALUE"""),-3.84)</f>
        <v>-3.84</v>
      </c>
      <c r="H278" s="1">
        <f ca="1">IFERROR(__xludf.DUMMYFUNCTION("""COMPUTED_VALUE"""),7)</f>
        <v>7</v>
      </c>
      <c r="I278" s="1">
        <f ca="1">IFERROR(__xludf.DUMMYFUNCTION("""COMPUTED_VALUE"""),11)</f>
        <v>11</v>
      </c>
      <c r="J278" s="1">
        <f ca="1">IFERROR(__xludf.DUMMYFUNCTION("""COMPUTED_VALUE"""),7)</f>
        <v>7</v>
      </c>
      <c r="K278" s="1">
        <f ca="1">IFERROR(__xludf.DUMMYFUNCTION("""COMPUTED_VALUE"""),5)</f>
        <v>5</v>
      </c>
      <c r="L278" s="1">
        <f ca="1">IFERROR(__xludf.DUMMYFUNCTION("""COMPUTED_VALUE"""),2)</f>
        <v>2</v>
      </c>
      <c r="M278" s="1">
        <f ca="1">IFERROR(__xludf.DUMMYFUNCTION("""COMPUTED_VALUE"""),16)</f>
        <v>16</v>
      </c>
      <c r="N278" s="1">
        <f ca="1">IFERROR(__xludf.DUMMYFUNCTION("""COMPUTED_VALUE"""),1957)</f>
        <v>1957</v>
      </c>
      <c r="O278" s="1">
        <f ca="1">IFERROR(__xludf.DUMMYFUNCTION("""COMPUTED_VALUE"""),2187)</f>
        <v>2187</v>
      </c>
      <c r="P278" s="1">
        <f ca="1">IFERROR(__xludf.DUMMYFUNCTION("""COMPUTED_VALUE"""),1206)</f>
        <v>1206</v>
      </c>
      <c r="Q278" s="1">
        <f ca="1">IFERROR(__xludf.DUMMYFUNCTION("""COMPUTED_VALUE"""),684)</f>
        <v>684</v>
      </c>
      <c r="R278" s="1">
        <f ca="1">IFERROR(__xludf.DUMMYFUNCTION("""COMPUTED_VALUE"""),1588)</f>
        <v>1588</v>
      </c>
      <c r="S278" s="1">
        <f ca="1">IFERROR(__xludf.DUMMYFUNCTION("""COMPUTED_VALUE"""),0.431)</f>
        <v>0.43099999999999999</v>
      </c>
      <c r="T278" s="1">
        <f ca="1">IFERROR(__xludf.DUMMYFUNCTION("""COMPUTED_VALUE"""),170)</f>
        <v>170</v>
      </c>
      <c r="U278" s="1">
        <f ca="1">IFERROR(__xludf.DUMMYFUNCTION("""COMPUTED_VALUE"""),511)</f>
        <v>511</v>
      </c>
      <c r="V278" s="1">
        <f ca="1">IFERROR(__xludf.DUMMYFUNCTION("""COMPUTED_VALUE"""),0.333)</f>
        <v>0.33300000000000002</v>
      </c>
      <c r="W278" s="1">
        <f ca="1">IFERROR(__xludf.DUMMYFUNCTION("""COMPUTED_VALUE"""),419)</f>
        <v>419</v>
      </c>
      <c r="X278" s="1">
        <f ca="1">IFERROR(__xludf.DUMMYFUNCTION("""COMPUTED_VALUE"""),576)</f>
        <v>576</v>
      </c>
      <c r="Y278" s="1">
        <f ca="1">IFERROR(__xludf.DUMMYFUNCTION("""COMPUTED_VALUE"""),0.727)</f>
        <v>0.72699999999999998</v>
      </c>
      <c r="Z278" s="1">
        <f ca="1">IFERROR(__xludf.DUMMYFUNCTION("""COMPUTED_VALUE"""),291)</f>
        <v>291</v>
      </c>
      <c r="AA278" s="1">
        <f ca="1">IFERROR(__xludf.DUMMYFUNCTION("""COMPUTED_VALUE"""),950)</f>
        <v>950</v>
      </c>
      <c r="AB278" s="1">
        <f ca="1">IFERROR(__xludf.DUMMYFUNCTION("""COMPUTED_VALUE"""),402)</f>
        <v>402</v>
      </c>
      <c r="AC278" s="1">
        <f ca="1">IFERROR(__xludf.DUMMYFUNCTION("""COMPUTED_VALUE"""),168)</f>
        <v>168</v>
      </c>
      <c r="AD278" s="1">
        <f ca="1">IFERROR(__xludf.DUMMYFUNCTION("""COMPUTED_VALUE"""),92)</f>
        <v>92</v>
      </c>
      <c r="AE278" s="1">
        <f ca="1">IFERROR(__xludf.DUMMYFUNCTION("""COMPUTED_VALUE"""),463)</f>
        <v>463</v>
      </c>
      <c r="AF278" s="1">
        <f ca="1">IFERROR(__xludf.DUMMYFUNCTION("""COMPUTED_VALUE"""),645)</f>
        <v>645</v>
      </c>
    </row>
    <row r="279" spans="1:32" ht="12.5" x14ac:dyDescent="0.25">
      <c r="A279" s="1" t="str">
        <f ca="1">IFERROR(__xludf.DUMMYFUNCTION("""COMPUTED_VALUE"""),"Saint Joseph's")</f>
        <v>Saint Joseph's</v>
      </c>
      <c r="B279" s="1">
        <f ca="1">IFERROR(__xludf.DUMMYFUNCTION("""COMPUTED_VALUE"""),33)</f>
        <v>33</v>
      </c>
      <c r="C279" s="1">
        <f ca="1">IFERROR(__xludf.DUMMYFUNCTION("""COMPUTED_VALUE"""),11)</f>
        <v>11</v>
      </c>
      <c r="D279" s="1">
        <f ca="1">IFERROR(__xludf.DUMMYFUNCTION("""COMPUTED_VALUE"""),22)</f>
        <v>22</v>
      </c>
      <c r="E279" s="1">
        <f ca="1">IFERROR(__xludf.DUMMYFUNCTION("""COMPUTED_VALUE"""),0.333)</f>
        <v>0.33300000000000002</v>
      </c>
      <c r="F279" s="1">
        <f ca="1">IFERROR(__xludf.DUMMYFUNCTION("""COMPUTED_VALUE"""),-1.75)</f>
        <v>-1.75</v>
      </c>
      <c r="G279" s="1">
        <f ca="1">IFERROR(__xludf.DUMMYFUNCTION("""COMPUTED_VALUE"""),3.46)</f>
        <v>3.46</v>
      </c>
      <c r="H279" s="1">
        <f ca="1">IFERROR(__xludf.DUMMYFUNCTION("""COMPUTED_VALUE"""),4)</f>
        <v>4</v>
      </c>
      <c r="I279" s="1">
        <f ca="1">IFERROR(__xludf.DUMMYFUNCTION("""COMPUTED_VALUE"""),12)</f>
        <v>12</v>
      </c>
      <c r="J279" s="1">
        <f ca="1">IFERROR(__xludf.DUMMYFUNCTION("""COMPUTED_VALUE"""),5)</f>
        <v>5</v>
      </c>
      <c r="K279" s="1">
        <f ca="1">IFERROR(__xludf.DUMMYFUNCTION("""COMPUTED_VALUE"""),9)</f>
        <v>9</v>
      </c>
      <c r="L279" s="1">
        <f ca="1">IFERROR(__xludf.DUMMYFUNCTION("""COMPUTED_VALUE"""),4)</f>
        <v>4</v>
      </c>
      <c r="M279" s="1">
        <f ca="1">IFERROR(__xludf.DUMMYFUNCTION("""COMPUTED_VALUE"""),12)</f>
        <v>12</v>
      </c>
      <c r="N279" s="1">
        <f ca="1">IFERROR(__xludf.DUMMYFUNCTION("""COMPUTED_VALUE"""),2129)</f>
        <v>2129</v>
      </c>
      <c r="O279" s="1">
        <f ca="1">IFERROR(__xludf.DUMMYFUNCTION("""COMPUTED_VALUE"""),2301)</f>
        <v>2301</v>
      </c>
      <c r="P279" s="1">
        <f ca="1">IFERROR(__xludf.DUMMYFUNCTION("""COMPUTED_VALUE"""),1330)</f>
        <v>1330</v>
      </c>
      <c r="Q279" s="1">
        <f ca="1">IFERROR(__xludf.DUMMYFUNCTION("""COMPUTED_VALUE"""),745)</f>
        <v>745</v>
      </c>
      <c r="R279" s="1">
        <f ca="1">IFERROR(__xludf.DUMMYFUNCTION("""COMPUTED_VALUE"""),1795)</f>
        <v>1795</v>
      </c>
      <c r="S279" s="1">
        <f ca="1">IFERROR(__xludf.DUMMYFUNCTION("""COMPUTED_VALUE"""),0.415)</f>
        <v>0.41499999999999998</v>
      </c>
      <c r="T279" s="1">
        <f ca="1">IFERROR(__xludf.DUMMYFUNCTION("""COMPUTED_VALUE"""),207)</f>
        <v>207</v>
      </c>
      <c r="U279" s="1">
        <f ca="1">IFERROR(__xludf.DUMMYFUNCTION("""COMPUTED_VALUE"""),632)</f>
        <v>632</v>
      </c>
      <c r="V279" s="1">
        <f ca="1">IFERROR(__xludf.DUMMYFUNCTION("""COMPUTED_VALUE"""),0.328)</f>
        <v>0.32800000000000001</v>
      </c>
      <c r="W279" s="1">
        <f ca="1">IFERROR(__xludf.DUMMYFUNCTION("""COMPUTED_VALUE"""),432)</f>
        <v>432</v>
      </c>
      <c r="X279" s="1">
        <f ca="1">IFERROR(__xludf.DUMMYFUNCTION("""COMPUTED_VALUE"""),611)</f>
        <v>611</v>
      </c>
      <c r="Y279" s="1">
        <f ca="1">IFERROR(__xludf.DUMMYFUNCTION("""COMPUTED_VALUE"""),0.707)</f>
        <v>0.70699999999999996</v>
      </c>
      <c r="Z279" s="1">
        <f ca="1">IFERROR(__xludf.DUMMYFUNCTION("""COMPUTED_VALUE"""),323)</f>
        <v>323</v>
      </c>
      <c r="AA279" s="1">
        <f ca="1">IFERROR(__xludf.DUMMYFUNCTION("""COMPUTED_VALUE"""),1068)</f>
        <v>1068</v>
      </c>
      <c r="AB279" s="1">
        <f ca="1">IFERROR(__xludf.DUMMYFUNCTION("""COMPUTED_VALUE"""),412)</f>
        <v>412</v>
      </c>
      <c r="AC279" s="1">
        <f ca="1">IFERROR(__xludf.DUMMYFUNCTION("""COMPUTED_VALUE"""),168)</f>
        <v>168</v>
      </c>
      <c r="AD279" s="1">
        <f ca="1">IFERROR(__xludf.DUMMYFUNCTION("""COMPUTED_VALUE"""),181)</f>
        <v>181</v>
      </c>
      <c r="AE279" s="1">
        <f ca="1">IFERROR(__xludf.DUMMYFUNCTION("""COMPUTED_VALUE"""),363)</f>
        <v>363</v>
      </c>
      <c r="AF279" s="1">
        <f ca="1">IFERROR(__xludf.DUMMYFUNCTION("""COMPUTED_VALUE"""),531)</f>
        <v>531</v>
      </c>
    </row>
    <row r="280" spans="1:32" ht="12.5" x14ac:dyDescent="0.25">
      <c r="A280" s="1" t="str">
        <f ca="1">IFERROR(__xludf.DUMMYFUNCTION("""COMPUTED_VALUE"""),"Saint Louis")</f>
        <v>Saint Louis</v>
      </c>
      <c r="B280" s="1">
        <f ca="1">IFERROR(__xludf.DUMMYFUNCTION("""COMPUTED_VALUE"""),31)</f>
        <v>31</v>
      </c>
      <c r="C280" s="1">
        <f ca="1">IFERROR(__xludf.DUMMYFUNCTION("""COMPUTED_VALUE"""),12)</f>
        <v>12</v>
      </c>
      <c r="D280" s="1">
        <f ca="1">IFERROR(__xludf.DUMMYFUNCTION("""COMPUTED_VALUE"""),19)</f>
        <v>19</v>
      </c>
      <c r="E280" s="1">
        <f ca="1">IFERROR(__xludf.DUMMYFUNCTION("""COMPUTED_VALUE"""),0.387)</f>
        <v>0.38700000000000001</v>
      </c>
      <c r="F280" s="1">
        <f ca="1">IFERROR(__xludf.DUMMYFUNCTION("""COMPUTED_VALUE"""),2.83)</f>
        <v>2.83</v>
      </c>
      <c r="G280" s="1">
        <f ca="1">IFERROR(__xludf.DUMMYFUNCTION("""COMPUTED_VALUE"""),3.06)</f>
        <v>3.06</v>
      </c>
      <c r="H280" s="1">
        <f ca="1">IFERROR(__xludf.DUMMYFUNCTION("""COMPUTED_VALUE"""),6)</f>
        <v>6</v>
      </c>
      <c r="I280" s="1">
        <f ca="1">IFERROR(__xludf.DUMMYFUNCTION("""COMPUTED_VALUE"""),10)</f>
        <v>10</v>
      </c>
      <c r="J280" s="1">
        <f ca="1">IFERROR(__xludf.DUMMYFUNCTION("""COMPUTED_VALUE"""),9)</f>
        <v>9</v>
      </c>
      <c r="K280" s="1">
        <f ca="1">IFERROR(__xludf.DUMMYFUNCTION("""COMPUTED_VALUE"""),7)</f>
        <v>7</v>
      </c>
      <c r="L280" s="1">
        <f ca="1">IFERROR(__xludf.DUMMYFUNCTION("""COMPUTED_VALUE"""),1)</f>
        <v>1</v>
      </c>
      <c r="M280" s="1">
        <f ca="1">IFERROR(__xludf.DUMMYFUNCTION("""COMPUTED_VALUE"""),10)</f>
        <v>10</v>
      </c>
      <c r="N280" s="1">
        <f ca="1">IFERROR(__xludf.DUMMYFUNCTION("""COMPUTED_VALUE"""),1953)</f>
        <v>1953</v>
      </c>
      <c r="O280" s="1">
        <f ca="1">IFERROR(__xludf.DUMMYFUNCTION("""COMPUTED_VALUE"""),1933)</f>
        <v>1933</v>
      </c>
      <c r="P280" s="1">
        <f ca="1">IFERROR(__xludf.DUMMYFUNCTION("""COMPUTED_VALUE"""),1240)</f>
        <v>1240</v>
      </c>
      <c r="Q280" s="1">
        <f ca="1">IFERROR(__xludf.DUMMYFUNCTION("""COMPUTED_VALUE"""),715)</f>
        <v>715</v>
      </c>
      <c r="R280" s="1">
        <f ca="1">IFERROR(__xludf.DUMMYFUNCTION("""COMPUTED_VALUE"""),1638)</f>
        <v>1638</v>
      </c>
      <c r="S280" s="1">
        <f ca="1">IFERROR(__xludf.DUMMYFUNCTION("""COMPUTED_VALUE"""),0.437)</f>
        <v>0.437</v>
      </c>
      <c r="T280" s="1">
        <f ca="1">IFERROR(__xludf.DUMMYFUNCTION("""COMPUTED_VALUE"""),170)</f>
        <v>170</v>
      </c>
      <c r="U280" s="1">
        <f ca="1">IFERROR(__xludf.DUMMYFUNCTION("""COMPUTED_VALUE"""),521)</f>
        <v>521</v>
      </c>
      <c r="V280" s="1">
        <f ca="1">IFERROR(__xludf.DUMMYFUNCTION("""COMPUTED_VALUE"""),0.326)</f>
        <v>0.32600000000000001</v>
      </c>
      <c r="W280" s="1">
        <f ca="1">IFERROR(__xludf.DUMMYFUNCTION("""COMPUTED_VALUE"""),353)</f>
        <v>353</v>
      </c>
      <c r="X280" s="1">
        <f ca="1">IFERROR(__xludf.DUMMYFUNCTION("""COMPUTED_VALUE"""),538)</f>
        <v>538</v>
      </c>
      <c r="Y280" s="1">
        <f ca="1">IFERROR(__xludf.DUMMYFUNCTION("""COMPUTED_VALUE"""),0.656)</f>
        <v>0.65600000000000003</v>
      </c>
      <c r="Z280" s="1">
        <f ca="1">IFERROR(__xludf.DUMMYFUNCTION("""COMPUTED_VALUE"""),292)</f>
        <v>292</v>
      </c>
      <c r="AA280" s="1">
        <f ca="1">IFERROR(__xludf.DUMMYFUNCTION("""COMPUTED_VALUE"""),978)</f>
        <v>978</v>
      </c>
      <c r="AB280" s="1">
        <f ca="1">IFERROR(__xludf.DUMMYFUNCTION("""COMPUTED_VALUE"""),421)</f>
        <v>421</v>
      </c>
      <c r="AC280" s="1">
        <f ca="1">IFERROR(__xludf.DUMMYFUNCTION("""COMPUTED_VALUE"""),198)</f>
        <v>198</v>
      </c>
      <c r="AD280" s="1">
        <f ca="1">IFERROR(__xludf.DUMMYFUNCTION("""COMPUTED_VALUE"""),109)</f>
        <v>109</v>
      </c>
      <c r="AE280" s="1">
        <f ca="1">IFERROR(__xludf.DUMMYFUNCTION("""COMPUTED_VALUE"""),414)</f>
        <v>414</v>
      </c>
      <c r="AF280" s="1">
        <f ca="1">IFERROR(__xludf.DUMMYFUNCTION("""COMPUTED_VALUE"""),589)</f>
        <v>589</v>
      </c>
    </row>
    <row r="281" spans="1:32" ht="12.5" x14ac:dyDescent="0.25">
      <c r="A281" s="1" t="str">
        <f ca="1">IFERROR(__xludf.DUMMYFUNCTION("""COMPUTED_VALUE"""),"Saint Mary's (CA)")</f>
        <v>Saint Mary's (CA)</v>
      </c>
      <c r="B281" s="1">
        <f ca="1">IFERROR(__xludf.DUMMYFUNCTION("""COMPUTED_VALUE"""),34)</f>
        <v>34</v>
      </c>
      <c r="C281" s="1">
        <f ca="1">IFERROR(__xludf.DUMMYFUNCTION("""COMPUTED_VALUE"""),25)</f>
        <v>25</v>
      </c>
      <c r="D281" s="1">
        <f ca="1">IFERROR(__xludf.DUMMYFUNCTION("""COMPUTED_VALUE"""),9)</f>
        <v>9</v>
      </c>
      <c r="E281" s="1">
        <f ca="1">IFERROR(__xludf.DUMMYFUNCTION("""COMPUTED_VALUE"""),0.735)</f>
        <v>0.73499999999999999</v>
      </c>
      <c r="F281" s="1">
        <f ca="1">IFERROR(__xludf.DUMMYFUNCTION("""COMPUTED_VALUE"""),13.04)</f>
        <v>13.04</v>
      </c>
      <c r="G281" s="1">
        <f ca="1">IFERROR(__xludf.DUMMYFUNCTION("""COMPUTED_VALUE"""),1.95)</f>
        <v>1.95</v>
      </c>
      <c r="H281" s="1">
        <f ca="1">IFERROR(__xludf.DUMMYFUNCTION("""COMPUTED_VALUE"""),11)</f>
        <v>11</v>
      </c>
      <c r="I281" s="1">
        <f ca="1">IFERROR(__xludf.DUMMYFUNCTION("""COMPUTED_VALUE"""),3)</f>
        <v>3</v>
      </c>
      <c r="J281" s="1">
        <f ca="1">IFERROR(__xludf.DUMMYFUNCTION("""COMPUTED_VALUE"""),15)</f>
        <v>15</v>
      </c>
      <c r="K281" s="1">
        <f ca="1">IFERROR(__xludf.DUMMYFUNCTION("""COMPUTED_VALUE"""),3)</f>
        <v>3</v>
      </c>
      <c r="L281" s="1">
        <f ca="1">IFERROR(__xludf.DUMMYFUNCTION("""COMPUTED_VALUE"""),6)</f>
        <v>6</v>
      </c>
      <c r="M281" s="1">
        <f ca="1">IFERROR(__xludf.DUMMYFUNCTION("""COMPUTED_VALUE"""),4)</f>
        <v>4</v>
      </c>
      <c r="N281" s="1">
        <f ca="1">IFERROR(__xludf.DUMMYFUNCTION("""COMPUTED_VALUE"""),2684)</f>
        <v>2684</v>
      </c>
      <c r="O281" s="1">
        <f ca="1">IFERROR(__xludf.DUMMYFUNCTION("""COMPUTED_VALUE"""),2253)</f>
        <v>2253</v>
      </c>
      <c r="P281" s="1">
        <f ca="1">IFERROR(__xludf.DUMMYFUNCTION("""COMPUTED_VALUE"""),1365)</f>
        <v>1365</v>
      </c>
      <c r="Q281" s="1">
        <f ca="1">IFERROR(__xludf.DUMMYFUNCTION("""COMPUTED_VALUE"""),946)</f>
        <v>946</v>
      </c>
      <c r="R281" s="1">
        <f ca="1">IFERROR(__xludf.DUMMYFUNCTION("""COMPUTED_VALUE"""),1951)</f>
        <v>1951</v>
      </c>
      <c r="S281" s="1">
        <f ca="1">IFERROR(__xludf.DUMMYFUNCTION("""COMPUTED_VALUE"""),0.485)</f>
        <v>0.48499999999999999</v>
      </c>
      <c r="T281" s="1">
        <f ca="1">IFERROR(__xludf.DUMMYFUNCTION("""COMPUTED_VALUE"""),291)</f>
        <v>291</v>
      </c>
      <c r="U281" s="1">
        <f ca="1">IFERROR(__xludf.DUMMYFUNCTION("""COMPUTED_VALUE"""),746)</f>
        <v>746</v>
      </c>
      <c r="V281" s="1">
        <f ca="1">IFERROR(__xludf.DUMMYFUNCTION("""COMPUTED_VALUE"""),0.39)</f>
        <v>0.39</v>
      </c>
      <c r="W281" s="1">
        <f ca="1">IFERROR(__xludf.DUMMYFUNCTION("""COMPUTED_VALUE"""),501)</f>
        <v>501</v>
      </c>
      <c r="X281" s="1">
        <f ca="1">IFERROR(__xludf.DUMMYFUNCTION("""COMPUTED_VALUE"""),660)</f>
        <v>660</v>
      </c>
      <c r="Y281" s="1">
        <f ca="1">IFERROR(__xludf.DUMMYFUNCTION("""COMPUTED_VALUE"""),0.759)</f>
        <v>0.75900000000000001</v>
      </c>
      <c r="Z281" s="1">
        <f ca="1">IFERROR(__xludf.DUMMYFUNCTION("""COMPUTED_VALUE"""),361)</f>
        <v>361</v>
      </c>
      <c r="AA281" s="1">
        <f ca="1">IFERROR(__xludf.DUMMYFUNCTION("""COMPUTED_VALUE"""),1179)</f>
        <v>1179</v>
      </c>
      <c r="AB281" s="1">
        <f ca="1">IFERROR(__xludf.DUMMYFUNCTION("""COMPUTED_VALUE"""),561)</f>
        <v>561</v>
      </c>
      <c r="AC281" s="1">
        <f ca="1">IFERROR(__xludf.DUMMYFUNCTION("""COMPUTED_VALUE"""),243)</f>
        <v>243</v>
      </c>
      <c r="AD281" s="1">
        <f ca="1">IFERROR(__xludf.DUMMYFUNCTION("""COMPUTED_VALUE"""),112)</f>
        <v>112</v>
      </c>
      <c r="AE281" s="1">
        <f ca="1">IFERROR(__xludf.DUMMYFUNCTION("""COMPUTED_VALUE"""),381)</f>
        <v>381</v>
      </c>
      <c r="AF281" s="1">
        <f ca="1">IFERROR(__xludf.DUMMYFUNCTION("""COMPUTED_VALUE"""),598)</f>
        <v>598</v>
      </c>
    </row>
    <row r="282" spans="1:32" ht="12.5" x14ac:dyDescent="0.25">
      <c r="A282" s="1" t="str">
        <f ca="1">IFERROR(__xludf.DUMMYFUNCTION("""COMPUTED_VALUE"""),"Saint Peter'sNCAA")</f>
        <v>Saint Peter'sNCAA</v>
      </c>
      <c r="B282" s="1">
        <f ca="1">IFERROR(__xludf.DUMMYFUNCTION("""COMPUTED_VALUE"""),34)</f>
        <v>34</v>
      </c>
      <c r="C282" s="1">
        <f ca="1">IFERROR(__xludf.DUMMYFUNCTION("""COMPUTED_VALUE"""),20)</f>
        <v>20</v>
      </c>
      <c r="D282" s="1">
        <f ca="1">IFERROR(__xludf.DUMMYFUNCTION("""COMPUTED_VALUE"""),14)</f>
        <v>14</v>
      </c>
      <c r="E282" s="1">
        <f ca="1">IFERROR(__xludf.DUMMYFUNCTION("""COMPUTED_VALUE"""),0.588)</f>
        <v>0.58799999999999997</v>
      </c>
      <c r="F282" s="1">
        <f ca="1">IFERROR(__xludf.DUMMYFUNCTION("""COMPUTED_VALUE"""),-0.28)</f>
        <v>-0.28000000000000003</v>
      </c>
      <c r="G282" s="1">
        <f ca="1">IFERROR(__xludf.DUMMYFUNCTION("""COMPUTED_VALUE"""),-1.08)</f>
        <v>-1.08</v>
      </c>
      <c r="H282" s="1">
        <f ca="1">IFERROR(__xludf.DUMMYFUNCTION("""COMPUTED_VALUE"""),11)</f>
        <v>11</v>
      </c>
      <c r="I282" s="1">
        <f ca="1">IFERROR(__xludf.DUMMYFUNCTION("""COMPUTED_VALUE"""),7)</f>
        <v>7</v>
      </c>
      <c r="J282" s="1">
        <f ca="1">IFERROR(__xludf.DUMMYFUNCTION("""COMPUTED_VALUE"""),8)</f>
        <v>8</v>
      </c>
      <c r="K282" s="1">
        <f ca="1">IFERROR(__xludf.DUMMYFUNCTION("""COMPUTED_VALUE"""),3)</f>
        <v>3</v>
      </c>
      <c r="L282" s="1">
        <f ca="1">IFERROR(__xludf.DUMMYFUNCTION("""COMPUTED_VALUE"""),8)</f>
        <v>8</v>
      </c>
      <c r="M282" s="1">
        <f ca="1">IFERROR(__xludf.DUMMYFUNCTION("""COMPUTED_VALUE"""),8)</f>
        <v>8</v>
      </c>
      <c r="N282" s="1">
        <f ca="1">IFERROR(__xludf.DUMMYFUNCTION("""COMPUTED_VALUE"""),2069)</f>
        <v>2069</v>
      </c>
      <c r="O282" s="1">
        <f ca="1">IFERROR(__xludf.DUMMYFUNCTION("""COMPUTED_VALUE"""),2042)</f>
        <v>2042</v>
      </c>
      <c r="P282" s="1">
        <f ca="1">IFERROR(__xludf.DUMMYFUNCTION("""COMPUTED_VALUE"""),1366)</f>
        <v>1366</v>
      </c>
      <c r="Q282" s="1">
        <f ca="1">IFERROR(__xludf.DUMMYFUNCTION("""COMPUTED_VALUE"""),713)</f>
        <v>713</v>
      </c>
      <c r="R282" s="1">
        <f ca="1">IFERROR(__xludf.DUMMYFUNCTION("""COMPUTED_VALUE"""),1782)</f>
        <v>1782</v>
      </c>
      <c r="S282" s="1">
        <f ca="1">IFERROR(__xludf.DUMMYFUNCTION("""COMPUTED_VALUE"""),0.4)</f>
        <v>0.4</v>
      </c>
      <c r="T282" s="1">
        <f ca="1">IFERROR(__xludf.DUMMYFUNCTION("""COMPUTED_VALUE"""),197)</f>
        <v>197</v>
      </c>
      <c r="U282" s="1">
        <f ca="1">IFERROR(__xludf.DUMMYFUNCTION("""COMPUTED_VALUE"""),573)</f>
        <v>573</v>
      </c>
      <c r="V282" s="1">
        <f ca="1">IFERROR(__xludf.DUMMYFUNCTION("""COMPUTED_VALUE"""),0.344)</f>
        <v>0.34399999999999997</v>
      </c>
      <c r="W282" s="1">
        <f ca="1">IFERROR(__xludf.DUMMYFUNCTION("""COMPUTED_VALUE"""),446)</f>
        <v>446</v>
      </c>
      <c r="X282" s="1">
        <f ca="1">IFERROR(__xludf.DUMMYFUNCTION("""COMPUTED_VALUE"""),693)</f>
        <v>693</v>
      </c>
      <c r="Y282" s="1">
        <f ca="1">IFERROR(__xludf.DUMMYFUNCTION("""COMPUTED_VALUE"""),0.644)</f>
        <v>0.64400000000000002</v>
      </c>
      <c r="Z282" s="1">
        <f ca="1">IFERROR(__xludf.DUMMYFUNCTION("""COMPUTED_VALUE"""),384)</f>
        <v>384</v>
      </c>
      <c r="AA282" s="1">
        <f ca="1">IFERROR(__xludf.DUMMYFUNCTION("""COMPUTED_VALUE"""),1209)</f>
        <v>1209</v>
      </c>
      <c r="AB282" s="1">
        <f ca="1">IFERROR(__xludf.DUMMYFUNCTION("""COMPUTED_VALUE"""),383)</f>
        <v>383</v>
      </c>
      <c r="AC282" s="1">
        <f ca="1">IFERROR(__xludf.DUMMYFUNCTION("""COMPUTED_VALUE"""),263)</f>
        <v>263</v>
      </c>
      <c r="AD282" s="1">
        <f ca="1">IFERROR(__xludf.DUMMYFUNCTION("""COMPUTED_VALUE"""),154)</f>
        <v>154</v>
      </c>
      <c r="AE282" s="1">
        <f ca="1">IFERROR(__xludf.DUMMYFUNCTION("""COMPUTED_VALUE"""),511)</f>
        <v>511</v>
      </c>
      <c r="AF282" s="1">
        <f ca="1">IFERROR(__xludf.DUMMYFUNCTION("""COMPUTED_VALUE"""),662)</f>
        <v>662</v>
      </c>
    </row>
    <row r="283" spans="1:32" ht="12.5" x14ac:dyDescent="0.25">
      <c r="A283" s="1" t="str">
        <f ca="1">IFERROR(__xludf.DUMMYFUNCTION("""COMPUTED_VALUE"""),"Sam Houston State")</f>
        <v>Sam Houston State</v>
      </c>
      <c r="B283" s="1">
        <f ca="1">IFERROR(__xludf.DUMMYFUNCTION("""COMPUTED_VALUE"""),31)</f>
        <v>31</v>
      </c>
      <c r="C283" s="1">
        <f ca="1">IFERROR(__xludf.DUMMYFUNCTION("""COMPUTED_VALUE"""),18)</f>
        <v>18</v>
      </c>
      <c r="D283" s="1">
        <f ca="1">IFERROR(__xludf.DUMMYFUNCTION("""COMPUTED_VALUE"""),13)</f>
        <v>13</v>
      </c>
      <c r="E283" s="1">
        <f ca="1">IFERROR(__xludf.DUMMYFUNCTION("""COMPUTED_VALUE"""),0.581)</f>
        <v>0.58099999999999996</v>
      </c>
      <c r="F283" s="1">
        <f ca="1">IFERROR(__xludf.DUMMYFUNCTION("""COMPUTED_VALUE"""),-2.38)</f>
        <v>-2.38</v>
      </c>
      <c r="G283" s="1">
        <f ca="1">IFERROR(__xludf.DUMMYFUNCTION("""COMPUTED_VALUE"""),-3.9)</f>
        <v>-3.9</v>
      </c>
      <c r="H283" s="1">
        <f ca="1">IFERROR(__xludf.DUMMYFUNCTION("""COMPUTED_VALUE"""),10)</f>
        <v>10</v>
      </c>
      <c r="I283" s="1">
        <f ca="1">IFERROR(__xludf.DUMMYFUNCTION("""COMPUTED_VALUE"""),6)</f>
        <v>6</v>
      </c>
      <c r="J283" s="1">
        <f ca="1">IFERROR(__xludf.DUMMYFUNCTION("""COMPUTED_VALUE"""),9)</f>
        <v>9</v>
      </c>
      <c r="K283" s="1">
        <f ca="1">IFERROR(__xludf.DUMMYFUNCTION("""COMPUTED_VALUE"""),5)</f>
        <v>5</v>
      </c>
      <c r="L283" s="1">
        <f ca="1">IFERROR(__xludf.DUMMYFUNCTION("""COMPUTED_VALUE"""),7)</f>
        <v>7</v>
      </c>
      <c r="M283" s="1">
        <f ca="1">IFERROR(__xludf.DUMMYFUNCTION("""COMPUTED_VALUE"""),6)</f>
        <v>6</v>
      </c>
      <c r="N283" s="1">
        <f ca="1">IFERROR(__xludf.DUMMYFUNCTION("""COMPUTED_VALUE"""),2161)</f>
        <v>2161</v>
      </c>
      <c r="O283" s="1">
        <f ca="1">IFERROR(__xludf.DUMMYFUNCTION("""COMPUTED_VALUE"""),2049)</f>
        <v>2049</v>
      </c>
      <c r="P283" s="1">
        <f ca="1">IFERROR(__xludf.DUMMYFUNCTION("""COMPUTED_VALUE"""),1245)</f>
        <v>1245</v>
      </c>
      <c r="Q283" s="1">
        <f ca="1">IFERROR(__xludf.DUMMYFUNCTION("""COMPUTED_VALUE"""),769)</f>
        <v>769</v>
      </c>
      <c r="R283" s="1">
        <f ca="1">IFERROR(__xludf.DUMMYFUNCTION("""COMPUTED_VALUE"""),1747)</f>
        <v>1747</v>
      </c>
      <c r="S283" s="1">
        <f ca="1">IFERROR(__xludf.DUMMYFUNCTION("""COMPUTED_VALUE"""),0.44)</f>
        <v>0.44</v>
      </c>
      <c r="T283" s="1">
        <f ca="1">IFERROR(__xludf.DUMMYFUNCTION("""COMPUTED_VALUE"""),185)</f>
        <v>185</v>
      </c>
      <c r="U283" s="1">
        <f ca="1">IFERROR(__xludf.DUMMYFUNCTION("""COMPUTED_VALUE"""),624)</f>
        <v>624</v>
      </c>
      <c r="V283" s="1">
        <f ca="1">IFERROR(__xludf.DUMMYFUNCTION("""COMPUTED_VALUE"""),0.296)</f>
        <v>0.29599999999999999</v>
      </c>
      <c r="W283" s="1">
        <f ca="1">IFERROR(__xludf.DUMMYFUNCTION("""COMPUTED_VALUE"""),438)</f>
        <v>438</v>
      </c>
      <c r="X283" s="1">
        <f ca="1">IFERROR(__xludf.DUMMYFUNCTION("""COMPUTED_VALUE"""),663)</f>
        <v>663</v>
      </c>
      <c r="Y283" s="1">
        <f ca="1">IFERROR(__xludf.DUMMYFUNCTION("""COMPUTED_VALUE"""),0.661)</f>
        <v>0.66100000000000003</v>
      </c>
      <c r="Z283" s="1">
        <f ca="1">IFERROR(__xludf.DUMMYFUNCTION("""COMPUTED_VALUE"""),382)</f>
        <v>382</v>
      </c>
      <c r="AA283" s="1">
        <f ca="1">IFERROR(__xludf.DUMMYFUNCTION("""COMPUTED_VALUE"""),1156)</f>
        <v>1156</v>
      </c>
      <c r="AB283" s="1">
        <f ca="1">IFERROR(__xludf.DUMMYFUNCTION("""COMPUTED_VALUE"""),538)</f>
        <v>538</v>
      </c>
      <c r="AC283" s="1">
        <f ca="1">IFERROR(__xludf.DUMMYFUNCTION("""COMPUTED_VALUE"""),245)</f>
        <v>245</v>
      </c>
      <c r="AD283" s="1">
        <f ca="1">IFERROR(__xludf.DUMMYFUNCTION("""COMPUTED_VALUE"""),69)</f>
        <v>69</v>
      </c>
      <c r="AE283" s="1">
        <f ca="1">IFERROR(__xludf.DUMMYFUNCTION("""COMPUTED_VALUE"""),447)</f>
        <v>447</v>
      </c>
      <c r="AF283" s="1">
        <f ca="1">IFERROR(__xludf.DUMMYFUNCTION("""COMPUTED_VALUE"""),634)</f>
        <v>634</v>
      </c>
    </row>
    <row r="284" spans="1:32" ht="12.5" x14ac:dyDescent="0.25">
      <c r="A284" s="1" t="str">
        <f ca="1">IFERROR(__xludf.DUMMYFUNCTION("""COMPUTED_VALUE"""),"Samford")</f>
        <v>Samford</v>
      </c>
      <c r="B284" s="1">
        <f ca="1">IFERROR(__xludf.DUMMYFUNCTION("""COMPUTED_VALUE"""),31)</f>
        <v>31</v>
      </c>
      <c r="C284" s="1">
        <f ca="1">IFERROR(__xludf.DUMMYFUNCTION("""COMPUTED_VALUE"""),12)</f>
        <v>12</v>
      </c>
      <c r="D284" s="1">
        <f ca="1">IFERROR(__xludf.DUMMYFUNCTION("""COMPUTED_VALUE"""),19)</f>
        <v>19</v>
      </c>
      <c r="E284" s="1">
        <f ca="1">IFERROR(__xludf.DUMMYFUNCTION("""COMPUTED_VALUE"""),0.387)</f>
        <v>0.38700000000000001</v>
      </c>
      <c r="F284" s="1">
        <f ca="1">IFERROR(__xludf.DUMMYFUNCTION("""COMPUTED_VALUE"""),-11.39)</f>
        <v>-11.39</v>
      </c>
      <c r="G284" s="1">
        <f ca="1">IFERROR(__xludf.DUMMYFUNCTION("""COMPUTED_VALUE"""),-4.22)</f>
        <v>-4.22</v>
      </c>
      <c r="H284" s="1">
        <f ca="1">IFERROR(__xludf.DUMMYFUNCTION("""COMPUTED_VALUE"""),4)</f>
        <v>4</v>
      </c>
      <c r="I284" s="1">
        <f ca="1">IFERROR(__xludf.DUMMYFUNCTION("""COMPUTED_VALUE"""),14)</f>
        <v>14</v>
      </c>
      <c r="J284" s="1">
        <f ca="1">IFERROR(__xludf.DUMMYFUNCTION("""COMPUTED_VALUE"""),6)</f>
        <v>6</v>
      </c>
      <c r="K284" s="1">
        <f ca="1">IFERROR(__xludf.DUMMYFUNCTION("""COMPUTED_VALUE"""),8)</f>
        <v>8</v>
      </c>
      <c r="L284" s="1">
        <f ca="1">IFERROR(__xludf.DUMMYFUNCTION("""COMPUTED_VALUE"""),5)</f>
        <v>5</v>
      </c>
      <c r="M284" s="1">
        <f ca="1">IFERROR(__xludf.DUMMYFUNCTION("""COMPUTED_VALUE"""),9)</f>
        <v>9</v>
      </c>
      <c r="N284" s="1">
        <f ca="1">IFERROR(__xludf.DUMMYFUNCTION("""COMPUTED_VALUE"""),1880)</f>
        <v>1880</v>
      </c>
      <c r="O284" s="1">
        <f ca="1">IFERROR(__xludf.DUMMYFUNCTION("""COMPUTED_VALUE"""),2072)</f>
        <v>2072</v>
      </c>
      <c r="P284" s="1">
        <f ca="1">IFERROR(__xludf.DUMMYFUNCTION("""COMPUTED_VALUE"""),1250)</f>
        <v>1250</v>
      </c>
      <c r="Q284" s="1">
        <f ca="1">IFERROR(__xludf.DUMMYFUNCTION("""COMPUTED_VALUE"""),627)</f>
        <v>627</v>
      </c>
      <c r="R284" s="1">
        <f ca="1">IFERROR(__xludf.DUMMYFUNCTION("""COMPUTED_VALUE"""),1464)</f>
        <v>1464</v>
      </c>
      <c r="S284" s="1">
        <f ca="1">IFERROR(__xludf.DUMMYFUNCTION("""COMPUTED_VALUE"""),0.428)</f>
        <v>0.42799999999999999</v>
      </c>
      <c r="T284" s="1">
        <f ca="1">IFERROR(__xludf.DUMMYFUNCTION("""COMPUTED_VALUE"""),275)</f>
        <v>275</v>
      </c>
      <c r="U284" s="1">
        <f ca="1">IFERROR(__xludf.DUMMYFUNCTION("""COMPUTED_VALUE"""),776)</f>
        <v>776</v>
      </c>
      <c r="V284" s="1">
        <f ca="1">IFERROR(__xludf.DUMMYFUNCTION("""COMPUTED_VALUE"""),0.354)</f>
        <v>0.35399999999999998</v>
      </c>
      <c r="W284" s="1">
        <f ca="1">IFERROR(__xludf.DUMMYFUNCTION("""COMPUTED_VALUE"""),351)</f>
        <v>351</v>
      </c>
      <c r="X284" s="1">
        <f ca="1">IFERROR(__xludf.DUMMYFUNCTION("""COMPUTED_VALUE"""),520)</f>
        <v>520</v>
      </c>
      <c r="Y284" s="1">
        <f ca="1">IFERROR(__xludf.DUMMYFUNCTION("""COMPUTED_VALUE"""),0.675)</f>
        <v>0.67500000000000004</v>
      </c>
      <c r="Z284" s="1">
        <f ca="1">IFERROR(__xludf.DUMMYFUNCTION("""COMPUTED_VALUE"""),190)</f>
        <v>190</v>
      </c>
      <c r="AA284" s="1">
        <f ca="1">IFERROR(__xludf.DUMMYFUNCTION("""COMPUTED_VALUE"""),840)</f>
        <v>840</v>
      </c>
      <c r="AB284" s="1">
        <f ca="1">IFERROR(__xludf.DUMMYFUNCTION("""COMPUTED_VALUE"""),409)</f>
        <v>409</v>
      </c>
      <c r="AC284" s="1">
        <f ca="1">IFERROR(__xludf.DUMMYFUNCTION("""COMPUTED_VALUE"""),182)</f>
        <v>182</v>
      </c>
      <c r="AD284" s="1">
        <f ca="1">IFERROR(__xludf.DUMMYFUNCTION("""COMPUTED_VALUE"""),49)</f>
        <v>49</v>
      </c>
      <c r="AE284" s="1">
        <f ca="1">IFERROR(__xludf.DUMMYFUNCTION("""COMPUTED_VALUE"""),418)</f>
        <v>418</v>
      </c>
      <c r="AF284" s="1">
        <f ca="1">IFERROR(__xludf.DUMMYFUNCTION("""COMPUTED_VALUE"""),523)</f>
        <v>523</v>
      </c>
    </row>
    <row r="285" spans="1:32" ht="12.5" x14ac:dyDescent="0.25">
      <c r="A285" s="1" t="str">
        <f ca="1">IFERROR(__xludf.DUMMYFUNCTION("""COMPUTED_VALUE"""),"San Diego StateNCAA")</f>
        <v>San Diego StateNCAA</v>
      </c>
      <c r="B285" s="1">
        <f ca="1">IFERROR(__xludf.DUMMYFUNCTION("""COMPUTED_VALUE"""),37)</f>
        <v>37</v>
      </c>
      <c r="C285" s="1">
        <f ca="1">IFERROR(__xludf.DUMMYFUNCTION("""COMPUTED_VALUE"""),34)</f>
        <v>34</v>
      </c>
      <c r="D285" s="1">
        <f ca="1">IFERROR(__xludf.DUMMYFUNCTION("""COMPUTED_VALUE"""),3)</f>
        <v>3</v>
      </c>
      <c r="E285" s="1">
        <f ca="1">IFERROR(__xludf.DUMMYFUNCTION("""COMPUTED_VALUE"""),0.919)</f>
        <v>0.91900000000000004</v>
      </c>
      <c r="F285" s="1">
        <f ca="1">IFERROR(__xludf.DUMMYFUNCTION("""COMPUTED_VALUE"""),17.96)</f>
        <v>17.96</v>
      </c>
      <c r="G285" s="1">
        <f ca="1">IFERROR(__xludf.DUMMYFUNCTION("""COMPUTED_VALUE"""),6.36)</f>
        <v>6.36</v>
      </c>
      <c r="H285" s="1">
        <f ca="1">IFERROR(__xludf.DUMMYFUNCTION("""COMPUTED_VALUE"""),14)</f>
        <v>14</v>
      </c>
      <c r="I285" s="1">
        <f ca="1">IFERROR(__xludf.DUMMYFUNCTION("""COMPUTED_VALUE"""),2)</f>
        <v>2</v>
      </c>
      <c r="J285" s="1">
        <f ca="1">IFERROR(__xludf.DUMMYFUNCTION("""COMPUTED_VALUE"""),14)</f>
        <v>14</v>
      </c>
      <c r="K285" s="1">
        <f ca="1">IFERROR(__xludf.DUMMYFUNCTION("""COMPUTED_VALUE"""),1)</f>
        <v>1</v>
      </c>
      <c r="L285" s="1">
        <f ca="1">IFERROR(__xludf.DUMMYFUNCTION("""COMPUTED_VALUE"""),11)</f>
        <v>11</v>
      </c>
      <c r="M285" s="1">
        <f ca="1">IFERROR(__xludf.DUMMYFUNCTION("""COMPUTED_VALUE"""),1)</f>
        <v>1</v>
      </c>
      <c r="N285" s="1">
        <f ca="1">IFERROR(__xludf.DUMMYFUNCTION("""COMPUTED_VALUE"""),2660)</f>
        <v>2660</v>
      </c>
      <c r="O285" s="1">
        <f ca="1">IFERROR(__xludf.DUMMYFUNCTION("""COMPUTED_VALUE"""),2192)</f>
        <v>2192</v>
      </c>
      <c r="P285" s="1">
        <f ca="1">IFERROR(__xludf.DUMMYFUNCTION("""COMPUTED_VALUE"""),1490)</f>
        <v>1490</v>
      </c>
      <c r="Q285" s="1">
        <f ca="1">IFERROR(__xludf.DUMMYFUNCTION("""COMPUTED_VALUE"""),991)</f>
        <v>991</v>
      </c>
      <c r="R285" s="1">
        <f ca="1">IFERROR(__xludf.DUMMYFUNCTION("""COMPUTED_VALUE"""),2141)</f>
        <v>2141</v>
      </c>
      <c r="S285" s="1">
        <f ca="1">IFERROR(__xludf.DUMMYFUNCTION("""COMPUTED_VALUE"""),0.463)</f>
        <v>0.46300000000000002</v>
      </c>
      <c r="T285" s="1">
        <f ca="1">IFERROR(__xludf.DUMMYFUNCTION("""COMPUTED_VALUE"""),223)</f>
        <v>223</v>
      </c>
      <c r="U285" s="1">
        <f ca="1">IFERROR(__xludf.DUMMYFUNCTION("""COMPUTED_VALUE"""),639)</f>
        <v>639</v>
      </c>
      <c r="V285" s="1">
        <f ca="1">IFERROR(__xludf.DUMMYFUNCTION("""COMPUTED_VALUE"""),0.349)</f>
        <v>0.34899999999999998</v>
      </c>
      <c r="W285" s="1">
        <f ca="1">IFERROR(__xludf.DUMMYFUNCTION("""COMPUTED_VALUE"""),455)</f>
        <v>455</v>
      </c>
      <c r="X285" s="1">
        <f ca="1">IFERROR(__xludf.DUMMYFUNCTION("""COMPUTED_VALUE"""),653)</f>
        <v>653</v>
      </c>
      <c r="Y285" s="1">
        <f ca="1">IFERROR(__xludf.DUMMYFUNCTION("""COMPUTED_VALUE"""),0.697)</f>
        <v>0.69699999999999995</v>
      </c>
      <c r="Z285" s="1">
        <f ca="1">IFERROR(__xludf.DUMMYFUNCTION("""COMPUTED_VALUE"""),472)</f>
        <v>472</v>
      </c>
      <c r="AA285" s="1">
        <f ca="1">IFERROR(__xludf.DUMMYFUNCTION("""COMPUTED_VALUE"""),1396)</f>
        <v>1396</v>
      </c>
      <c r="AB285" s="1">
        <f ca="1">IFERROR(__xludf.DUMMYFUNCTION("""COMPUTED_VALUE"""),499)</f>
        <v>499</v>
      </c>
      <c r="AC285" s="1">
        <f ca="1">IFERROR(__xludf.DUMMYFUNCTION("""COMPUTED_VALUE"""),227)</f>
        <v>227</v>
      </c>
      <c r="AD285" s="1">
        <f ca="1">IFERROR(__xludf.DUMMYFUNCTION("""COMPUTED_VALUE"""),170)</f>
        <v>170</v>
      </c>
      <c r="AE285" s="1">
        <f ca="1">IFERROR(__xludf.DUMMYFUNCTION("""COMPUTED_VALUE"""),402)</f>
        <v>402</v>
      </c>
      <c r="AF285" s="1">
        <f ca="1">IFERROR(__xludf.DUMMYFUNCTION("""COMPUTED_VALUE"""),542)</f>
        <v>542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IFERROR(__xludf.DUMMYFUNCTION("""COMPUTED_VALUE"""),"San Diego")</f>
        <v>San Diego</v>
      </c>
      <c r="B288" s="1">
        <f ca="1">IFERROR(__xludf.DUMMYFUNCTION("""COMPUTED_VALUE"""),30)</f>
        <v>30</v>
      </c>
      <c r="C288" s="1">
        <f ca="1">IFERROR(__xludf.DUMMYFUNCTION("""COMPUTED_VALUE"""),6)</f>
        <v>6</v>
      </c>
      <c r="D288" s="1">
        <f ca="1">IFERROR(__xludf.DUMMYFUNCTION("""COMPUTED_VALUE"""),24)</f>
        <v>24</v>
      </c>
      <c r="E288" s="1">
        <f ca="1">IFERROR(__xludf.DUMMYFUNCTION("""COMPUTED_VALUE"""),0.2)</f>
        <v>0.2</v>
      </c>
      <c r="F288" s="1">
        <f ca="1">IFERROR(__xludf.DUMMYFUNCTION("""COMPUTED_VALUE"""),-8.6)</f>
        <v>-8.6</v>
      </c>
      <c r="G288" s="1">
        <f ca="1">IFERROR(__xludf.DUMMYFUNCTION("""COMPUTED_VALUE"""),3.18)</f>
        <v>3.18</v>
      </c>
      <c r="H288" s="1">
        <f ca="1">IFERROR(__xludf.DUMMYFUNCTION("""COMPUTED_VALUE"""),2)</f>
        <v>2</v>
      </c>
      <c r="I288" s="1">
        <f ca="1">IFERROR(__xludf.DUMMYFUNCTION("""COMPUTED_VALUE"""),12)</f>
        <v>12</v>
      </c>
      <c r="J288" s="1">
        <f ca="1">IFERROR(__xludf.DUMMYFUNCTION("""COMPUTED_VALUE"""),5)</f>
        <v>5</v>
      </c>
      <c r="K288" s="1">
        <f ca="1">IFERROR(__xludf.DUMMYFUNCTION("""COMPUTED_VALUE"""),9)</f>
        <v>9</v>
      </c>
      <c r="L288" s="1">
        <f ca="1">IFERROR(__xludf.DUMMYFUNCTION("""COMPUTED_VALUE"""),0)</f>
        <v>0</v>
      </c>
      <c r="M288" s="1">
        <f ca="1">IFERROR(__xludf.DUMMYFUNCTION("""COMPUTED_VALUE"""),12)</f>
        <v>12</v>
      </c>
      <c r="N288" s="1">
        <f ca="1">IFERROR(__xludf.DUMMYFUNCTION("""COMPUTED_VALUE"""),1826)</f>
        <v>1826</v>
      </c>
      <c r="O288" s="1">
        <f ca="1">IFERROR(__xludf.DUMMYFUNCTION("""COMPUTED_VALUE"""),2114)</f>
        <v>2114</v>
      </c>
      <c r="P288" s="1">
        <f ca="1">IFERROR(__xludf.DUMMYFUNCTION("""COMPUTED_VALUE"""),1205)</f>
        <v>1205</v>
      </c>
      <c r="Q288" s="1">
        <f ca="1">IFERROR(__xludf.DUMMYFUNCTION("""COMPUTED_VALUE"""),641)</f>
        <v>641</v>
      </c>
      <c r="R288" s="1">
        <f ca="1">IFERROR(__xludf.DUMMYFUNCTION("""COMPUTED_VALUE"""),1519)</f>
        <v>1519</v>
      </c>
      <c r="S288" s="1">
        <f ca="1">IFERROR(__xludf.DUMMYFUNCTION("""COMPUTED_VALUE"""),0.422)</f>
        <v>0.42199999999999999</v>
      </c>
      <c r="T288" s="1">
        <f ca="1">IFERROR(__xludf.DUMMYFUNCTION("""COMPUTED_VALUE"""),163)</f>
        <v>163</v>
      </c>
      <c r="U288" s="1">
        <f ca="1">IFERROR(__xludf.DUMMYFUNCTION("""COMPUTED_VALUE"""),492)</f>
        <v>492</v>
      </c>
      <c r="V288" s="1">
        <f ca="1">IFERROR(__xludf.DUMMYFUNCTION("""COMPUTED_VALUE"""),0.331)</f>
        <v>0.33100000000000002</v>
      </c>
      <c r="W288" s="1">
        <f ca="1">IFERROR(__xludf.DUMMYFUNCTION("""COMPUTED_VALUE"""),381)</f>
        <v>381</v>
      </c>
      <c r="X288" s="1">
        <f ca="1">IFERROR(__xludf.DUMMYFUNCTION("""COMPUTED_VALUE"""),561)</f>
        <v>561</v>
      </c>
      <c r="Y288" s="1">
        <f ca="1">IFERROR(__xludf.DUMMYFUNCTION("""COMPUTED_VALUE"""),0.679)</f>
        <v>0.67900000000000005</v>
      </c>
      <c r="Z288" s="1">
        <f ca="1">IFERROR(__xludf.DUMMYFUNCTION("""COMPUTED_VALUE"""),251)</f>
        <v>251</v>
      </c>
      <c r="AA288" s="1">
        <f ca="1">IFERROR(__xludf.DUMMYFUNCTION("""COMPUTED_VALUE"""),871)</f>
        <v>871</v>
      </c>
      <c r="AB288" s="1">
        <f ca="1">IFERROR(__xludf.DUMMYFUNCTION("""COMPUTED_VALUE"""),338)</f>
        <v>338</v>
      </c>
      <c r="AC288" s="1">
        <f ca="1">IFERROR(__xludf.DUMMYFUNCTION("""COMPUTED_VALUE"""),155)</f>
        <v>155</v>
      </c>
      <c r="AD288" s="1">
        <f ca="1">IFERROR(__xludf.DUMMYFUNCTION("""COMPUTED_VALUE"""),87)</f>
        <v>87</v>
      </c>
      <c r="AE288" s="1">
        <f ca="1">IFERROR(__xludf.DUMMYFUNCTION("""COMPUTED_VALUE"""),440)</f>
        <v>440</v>
      </c>
      <c r="AF288" s="1">
        <f ca="1">IFERROR(__xludf.DUMMYFUNCTION("""COMPUTED_VALUE"""),589)</f>
        <v>589</v>
      </c>
    </row>
    <row r="289" spans="1:32" ht="12.5" x14ac:dyDescent="0.25">
      <c r="A289" s="1" t="str">
        <f ca="1">IFERROR(__xludf.DUMMYFUNCTION("""COMPUTED_VALUE"""),"San Francisco")</f>
        <v>San Francisco</v>
      </c>
      <c r="B289" s="1">
        <f ca="1">IFERROR(__xludf.DUMMYFUNCTION("""COMPUTED_VALUE"""),34)</f>
        <v>34</v>
      </c>
      <c r="C289" s="1">
        <f ca="1">IFERROR(__xludf.DUMMYFUNCTION("""COMPUTED_VALUE"""),19)</f>
        <v>19</v>
      </c>
      <c r="D289" s="1">
        <f ca="1">IFERROR(__xludf.DUMMYFUNCTION("""COMPUTED_VALUE"""),15)</f>
        <v>15</v>
      </c>
      <c r="E289" s="1">
        <f ca="1">IFERROR(__xludf.DUMMYFUNCTION("""COMPUTED_VALUE"""),0.559)</f>
        <v>0.55900000000000005</v>
      </c>
      <c r="F289" s="1">
        <f ca="1">IFERROR(__xludf.DUMMYFUNCTION("""COMPUTED_VALUE"""),1.78)</f>
        <v>1.78</v>
      </c>
      <c r="G289" s="1">
        <f ca="1">IFERROR(__xludf.DUMMYFUNCTION("""COMPUTED_VALUE"""),3.06)</f>
        <v>3.06</v>
      </c>
      <c r="H289" s="1">
        <f ca="1">IFERROR(__xludf.DUMMYFUNCTION("""COMPUTED_VALUE"""),10)</f>
        <v>10</v>
      </c>
      <c r="I289" s="1">
        <f ca="1">IFERROR(__xludf.DUMMYFUNCTION("""COMPUTED_VALUE"""),4)</f>
        <v>4</v>
      </c>
      <c r="J289" s="1">
        <f ca="1">IFERROR(__xludf.DUMMYFUNCTION("""COMPUTED_VALUE"""),13)</f>
        <v>13</v>
      </c>
      <c r="K289" s="1">
        <f ca="1">IFERROR(__xludf.DUMMYFUNCTION("""COMPUTED_VALUE"""),4)</f>
        <v>4</v>
      </c>
      <c r="L289" s="1">
        <f ca="1">IFERROR(__xludf.DUMMYFUNCTION("""COMPUTED_VALUE"""),5)</f>
        <v>5</v>
      </c>
      <c r="M289" s="1">
        <f ca="1">IFERROR(__xludf.DUMMYFUNCTION("""COMPUTED_VALUE"""),8)</f>
        <v>8</v>
      </c>
      <c r="N289" s="1">
        <f ca="1">IFERROR(__xludf.DUMMYFUNCTION("""COMPUTED_VALUE"""),2384)</f>
        <v>2384</v>
      </c>
      <c r="O289" s="1">
        <f ca="1">IFERROR(__xludf.DUMMYFUNCTION("""COMPUTED_VALUE"""),2401)</f>
        <v>2401</v>
      </c>
      <c r="P289" s="1">
        <f ca="1">IFERROR(__xludf.DUMMYFUNCTION("""COMPUTED_VALUE"""),1380)</f>
        <v>1380</v>
      </c>
      <c r="Q289" s="1">
        <f ca="1">IFERROR(__xludf.DUMMYFUNCTION("""COMPUTED_VALUE"""),828)</f>
        <v>828</v>
      </c>
      <c r="R289" s="1">
        <f ca="1">IFERROR(__xludf.DUMMYFUNCTION("""COMPUTED_VALUE"""),1889)</f>
        <v>1889</v>
      </c>
      <c r="S289" s="1">
        <f ca="1">IFERROR(__xludf.DUMMYFUNCTION("""COMPUTED_VALUE"""),0.438)</f>
        <v>0.438</v>
      </c>
      <c r="T289" s="1">
        <f ca="1">IFERROR(__xludf.DUMMYFUNCTION("""COMPUTED_VALUE"""),227)</f>
        <v>227</v>
      </c>
      <c r="U289" s="1">
        <f ca="1">IFERROR(__xludf.DUMMYFUNCTION("""COMPUTED_VALUE"""),674)</f>
        <v>674</v>
      </c>
      <c r="V289" s="1">
        <f ca="1">IFERROR(__xludf.DUMMYFUNCTION("""COMPUTED_VALUE"""),0.337)</f>
        <v>0.33700000000000002</v>
      </c>
      <c r="W289" s="1">
        <f ca="1">IFERROR(__xludf.DUMMYFUNCTION("""COMPUTED_VALUE"""),501)</f>
        <v>501</v>
      </c>
      <c r="X289" s="1">
        <f ca="1">IFERROR(__xludf.DUMMYFUNCTION("""COMPUTED_VALUE"""),728)</f>
        <v>728</v>
      </c>
      <c r="Y289" s="1">
        <f ca="1">IFERROR(__xludf.DUMMYFUNCTION("""COMPUTED_VALUE"""),0.688)</f>
        <v>0.68799999999999994</v>
      </c>
      <c r="Z289" s="1">
        <f ca="1">IFERROR(__xludf.DUMMYFUNCTION("""COMPUTED_VALUE"""),368)</f>
        <v>368</v>
      </c>
      <c r="AA289" s="1">
        <f ca="1">IFERROR(__xludf.DUMMYFUNCTION("""COMPUTED_VALUE"""),1302)</f>
        <v>1302</v>
      </c>
      <c r="AB289" s="1">
        <f ca="1">IFERROR(__xludf.DUMMYFUNCTION("""COMPUTED_VALUE"""),430)</f>
        <v>430</v>
      </c>
      <c r="AC289" s="1">
        <f ca="1">IFERROR(__xludf.DUMMYFUNCTION("""COMPUTED_VALUE"""),182)</f>
        <v>182</v>
      </c>
      <c r="AD289" s="1">
        <f ca="1">IFERROR(__xludf.DUMMYFUNCTION("""COMPUTED_VALUE"""),83)</f>
        <v>83</v>
      </c>
      <c r="AE289" s="1">
        <f ca="1">IFERROR(__xludf.DUMMYFUNCTION("""COMPUTED_VALUE"""),493)</f>
        <v>493</v>
      </c>
      <c r="AF289" s="1">
        <f ca="1">IFERROR(__xludf.DUMMYFUNCTION("""COMPUTED_VALUE"""),663)</f>
        <v>663</v>
      </c>
    </row>
    <row r="290" spans="1:32" ht="12.5" x14ac:dyDescent="0.25">
      <c r="A290" s="1" t="str">
        <f ca="1">IFERROR(__xludf.DUMMYFUNCTION("""COMPUTED_VALUE"""),"San Jose State")</f>
        <v>San Jose State</v>
      </c>
      <c r="B290" s="1">
        <f ca="1">IFERROR(__xludf.DUMMYFUNCTION("""COMPUTED_VALUE"""),33)</f>
        <v>33</v>
      </c>
      <c r="C290" s="1">
        <f ca="1">IFERROR(__xludf.DUMMYFUNCTION("""COMPUTED_VALUE"""),17)</f>
        <v>17</v>
      </c>
      <c r="D290" s="1">
        <f ca="1">IFERROR(__xludf.DUMMYFUNCTION("""COMPUTED_VALUE"""),16)</f>
        <v>16</v>
      </c>
      <c r="E290" s="1">
        <f ca="1">IFERROR(__xludf.DUMMYFUNCTION("""COMPUTED_VALUE"""),0.515)</f>
        <v>0.51500000000000001</v>
      </c>
      <c r="F290" s="1">
        <f ca="1">IFERROR(__xludf.DUMMYFUNCTION("""COMPUTED_VALUE"""),-1.54)</f>
        <v>-1.54</v>
      </c>
      <c r="G290" s="1">
        <f ca="1">IFERROR(__xludf.DUMMYFUNCTION("""COMPUTED_VALUE"""),-0.08)</f>
        <v>-0.08</v>
      </c>
      <c r="H290" s="1">
        <f ca="1">IFERROR(__xludf.DUMMYFUNCTION("""COMPUTED_VALUE"""),5)</f>
        <v>5</v>
      </c>
      <c r="I290" s="1">
        <f ca="1">IFERROR(__xludf.DUMMYFUNCTION("""COMPUTED_VALUE"""),11)</f>
        <v>11</v>
      </c>
      <c r="J290" s="1">
        <f ca="1">IFERROR(__xludf.DUMMYFUNCTION("""COMPUTED_VALUE"""),9)</f>
        <v>9</v>
      </c>
      <c r="K290" s="1">
        <f ca="1">IFERROR(__xludf.DUMMYFUNCTION("""COMPUTED_VALUE"""),6)</f>
        <v>6</v>
      </c>
      <c r="L290" s="1">
        <f ca="1">IFERROR(__xludf.DUMMYFUNCTION("""COMPUTED_VALUE"""),6)</f>
        <v>6</v>
      </c>
      <c r="M290" s="1">
        <f ca="1">IFERROR(__xludf.DUMMYFUNCTION("""COMPUTED_VALUE"""),9)</f>
        <v>9</v>
      </c>
      <c r="N290" s="1">
        <f ca="1">IFERROR(__xludf.DUMMYFUNCTION("""COMPUTED_VALUE"""),2391)</f>
        <v>2391</v>
      </c>
      <c r="O290" s="1">
        <f ca="1">IFERROR(__xludf.DUMMYFUNCTION("""COMPUTED_VALUE"""),2405)</f>
        <v>2405</v>
      </c>
      <c r="P290" s="1">
        <f ca="1">IFERROR(__xludf.DUMMYFUNCTION("""COMPUTED_VALUE"""),1360)</f>
        <v>1360</v>
      </c>
      <c r="Q290" s="1">
        <f ca="1">IFERROR(__xludf.DUMMYFUNCTION("""COMPUTED_VALUE"""),808)</f>
        <v>808</v>
      </c>
      <c r="R290" s="1">
        <f ca="1">IFERROR(__xludf.DUMMYFUNCTION("""COMPUTED_VALUE"""),1999)</f>
        <v>1999</v>
      </c>
      <c r="S290" s="1">
        <f ca="1">IFERROR(__xludf.DUMMYFUNCTION("""COMPUTED_VALUE"""),0.404)</f>
        <v>0.40400000000000003</v>
      </c>
      <c r="T290" s="1">
        <f ca="1">IFERROR(__xludf.DUMMYFUNCTION("""COMPUTED_VALUE"""),207)</f>
        <v>207</v>
      </c>
      <c r="U290" s="1">
        <f ca="1">IFERROR(__xludf.DUMMYFUNCTION("""COMPUTED_VALUE"""),556)</f>
        <v>556</v>
      </c>
      <c r="V290" s="1">
        <f ca="1">IFERROR(__xludf.DUMMYFUNCTION("""COMPUTED_VALUE"""),0.372)</f>
        <v>0.372</v>
      </c>
      <c r="W290" s="1">
        <f ca="1">IFERROR(__xludf.DUMMYFUNCTION("""COMPUTED_VALUE"""),568)</f>
        <v>568</v>
      </c>
      <c r="X290" s="1">
        <f ca="1">IFERROR(__xludf.DUMMYFUNCTION("""COMPUTED_VALUE"""),753)</f>
        <v>753</v>
      </c>
      <c r="Y290" s="1">
        <f ca="1">IFERROR(__xludf.DUMMYFUNCTION("""COMPUTED_VALUE"""),0.754)</f>
        <v>0.754</v>
      </c>
      <c r="Z290" s="1">
        <f ca="1">IFERROR(__xludf.DUMMYFUNCTION("""COMPUTED_VALUE"""),407)</f>
        <v>407</v>
      </c>
      <c r="AA290" s="1">
        <f ca="1">IFERROR(__xludf.DUMMYFUNCTION("""COMPUTED_VALUE"""),1231)</f>
        <v>1231</v>
      </c>
      <c r="AB290" s="1">
        <f ca="1">IFERROR(__xludf.DUMMYFUNCTION("""COMPUTED_VALUE"""),406)</f>
        <v>406</v>
      </c>
      <c r="AC290" s="1">
        <f ca="1">IFERROR(__xludf.DUMMYFUNCTION("""COMPUTED_VALUE"""),179)</f>
        <v>179</v>
      </c>
      <c r="AD290" s="1">
        <f ca="1">IFERROR(__xludf.DUMMYFUNCTION("""COMPUTED_VALUE"""),82)</f>
        <v>82</v>
      </c>
      <c r="AE290" s="1">
        <f ca="1">IFERROR(__xludf.DUMMYFUNCTION("""COMPUTED_VALUE"""),363)</f>
        <v>363</v>
      </c>
      <c r="AF290" s="1">
        <f ca="1">IFERROR(__xludf.DUMMYFUNCTION("""COMPUTED_VALUE"""),629)</f>
        <v>629</v>
      </c>
    </row>
    <row r="291" spans="1:32" ht="12.5" x14ac:dyDescent="0.25">
      <c r="A291" s="1" t="str">
        <f ca="1">IFERROR(__xludf.DUMMYFUNCTION("""COMPUTED_VALUE"""),"Santa Clara")</f>
        <v>Santa Clara</v>
      </c>
      <c r="B291" s="1">
        <f ca="1">IFERROR(__xludf.DUMMYFUNCTION("""COMPUTED_VALUE"""),38)</f>
        <v>38</v>
      </c>
      <c r="C291" s="1">
        <f ca="1">IFERROR(__xludf.DUMMYFUNCTION("""COMPUTED_VALUE"""),24)</f>
        <v>24</v>
      </c>
      <c r="D291" s="1">
        <f ca="1">IFERROR(__xludf.DUMMYFUNCTION("""COMPUTED_VALUE"""),14)</f>
        <v>14</v>
      </c>
      <c r="E291" s="1">
        <f ca="1">IFERROR(__xludf.DUMMYFUNCTION("""COMPUTED_VALUE"""),0.632)</f>
        <v>0.63200000000000001</v>
      </c>
      <c r="F291" s="1">
        <f ca="1">IFERROR(__xludf.DUMMYFUNCTION("""COMPUTED_VALUE"""),3.06)</f>
        <v>3.06</v>
      </c>
      <c r="G291" s="1">
        <f ca="1">IFERROR(__xludf.DUMMYFUNCTION("""COMPUTED_VALUE"""),1.25)</f>
        <v>1.25</v>
      </c>
      <c r="H291" s="1">
        <f ca="1">IFERROR(__xludf.DUMMYFUNCTION("""COMPUTED_VALUE"""),8)</f>
        <v>8</v>
      </c>
      <c r="I291" s="1">
        <f ca="1">IFERROR(__xludf.DUMMYFUNCTION("""COMPUTED_VALUE"""),6)</f>
        <v>6</v>
      </c>
      <c r="J291" s="1">
        <f ca="1">IFERROR(__xludf.DUMMYFUNCTION("""COMPUTED_VALUE"""),15)</f>
        <v>15</v>
      </c>
      <c r="K291" s="1">
        <f ca="1">IFERROR(__xludf.DUMMYFUNCTION("""COMPUTED_VALUE"""),5)</f>
        <v>5</v>
      </c>
      <c r="L291" s="1">
        <f ca="1">IFERROR(__xludf.DUMMYFUNCTION("""COMPUTED_VALUE"""),8)</f>
        <v>8</v>
      </c>
      <c r="M291" s="1">
        <f ca="1">IFERROR(__xludf.DUMMYFUNCTION("""COMPUTED_VALUE"""),6)</f>
        <v>6</v>
      </c>
      <c r="N291" s="1">
        <f ca="1">IFERROR(__xludf.DUMMYFUNCTION("""COMPUTED_VALUE"""),2810)</f>
        <v>2810</v>
      </c>
      <c r="O291" s="1">
        <f ca="1">IFERROR(__xludf.DUMMYFUNCTION("""COMPUTED_VALUE"""),2690)</f>
        <v>2690</v>
      </c>
      <c r="P291" s="1">
        <f ca="1">IFERROR(__xludf.DUMMYFUNCTION("""COMPUTED_VALUE"""),1535)</f>
        <v>1535</v>
      </c>
      <c r="Q291" s="1">
        <f ca="1">IFERROR(__xludf.DUMMYFUNCTION("""COMPUTED_VALUE"""),909)</f>
        <v>909</v>
      </c>
      <c r="R291" s="1">
        <f ca="1">IFERROR(__xludf.DUMMYFUNCTION("""COMPUTED_VALUE"""),2112)</f>
        <v>2112</v>
      </c>
      <c r="S291" s="1">
        <f ca="1">IFERROR(__xludf.DUMMYFUNCTION("""COMPUTED_VALUE"""),0.43)</f>
        <v>0.43</v>
      </c>
      <c r="T291" s="1">
        <f ca="1">IFERROR(__xludf.DUMMYFUNCTION("""COMPUTED_VALUE"""),273)</f>
        <v>273</v>
      </c>
      <c r="U291" s="1">
        <f ca="1">IFERROR(__xludf.DUMMYFUNCTION("""COMPUTED_VALUE"""),777)</f>
        <v>777</v>
      </c>
      <c r="V291" s="1">
        <f ca="1">IFERROR(__xludf.DUMMYFUNCTION("""COMPUTED_VALUE"""),0.351)</f>
        <v>0.35099999999999998</v>
      </c>
      <c r="W291" s="1">
        <f ca="1">IFERROR(__xludf.DUMMYFUNCTION("""COMPUTED_VALUE"""),719)</f>
        <v>719</v>
      </c>
      <c r="X291" s="1">
        <f ca="1">IFERROR(__xludf.DUMMYFUNCTION("""COMPUTED_VALUE"""),990)</f>
        <v>990</v>
      </c>
      <c r="Y291" s="1">
        <f ca="1">IFERROR(__xludf.DUMMYFUNCTION("""COMPUTED_VALUE"""),0.726)</f>
        <v>0.72599999999999998</v>
      </c>
      <c r="Z291" s="1">
        <f ca="1">IFERROR(__xludf.DUMMYFUNCTION("""COMPUTED_VALUE"""),499)</f>
        <v>499</v>
      </c>
      <c r="AA291" s="1">
        <f ca="1">IFERROR(__xludf.DUMMYFUNCTION("""COMPUTED_VALUE"""),1379)</f>
        <v>1379</v>
      </c>
      <c r="AB291" s="1">
        <f ca="1">IFERROR(__xludf.DUMMYFUNCTION("""COMPUTED_VALUE"""),487)</f>
        <v>487</v>
      </c>
      <c r="AC291" s="1">
        <f ca="1">IFERROR(__xludf.DUMMYFUNCTION("""COMPUTED_VALUE"""),275)</f>
        <v>275</v>
      </c>
      <c r="AD291" s="1">
        <f ca="1">IFERROR(__xludf.DUMMYFUNCTION("""COMPUTED_VALUE"""),116)</f>
        <v>116</v>
      </c>
      <c r="AE291" s="1">
        <f ca="1">IFERROR(__xludf.DUMMYFUNCTION("""COMPUTED_VALUE"""),532)</f>
        <v>532</v>
      </c>
      <c r="AF291" s="1">
        <f ca="1">IFERROR(__xludf.DUMMYFUNCTION("""COMPUTED_VALUE"""),787)</f>
        <v>787</v>
      </c>
    </row>
    <row r="292" spans="1:32" ht="12.5" x14ac:dyDescent="0.25">
      <c r="A292" s="1" t="str">
        <f ca="1">IFERROR(__xludf.DUMMYFUNCTION("""COMPUTED_VALUE"""),"Savannah State")</f>
        <v>Savannah State</v>
      </c>
      <c r="B292" s="1">
        <f ca="1">IFERROR(__xludf.DUMMYFUNCTION("""COMPUTED_VALUE"""),30)</f>
        <v>30</v>
      </c>
      <c r="C292" s="1">
        <f ca="1">IFERROR(__xludf.DUMMYFUNCTION("""COMPUTED_VALUE"""),12)</f>
        <v>12</v>
      </c>
      <c r="D292" s="1">
        <f ca="1">IFERROR(__xludf.DUMMYFUNCTION("""COMPUTED_VALUE"""),18)</f>
        <v>18</v>
      </c>
      <c r="E292" s="1">
        <f ca="1">IFERROR(__xludf.DUMMYFUNCTION("""COMPUTED_VALUE"""),0.4)</f>
        <v>0.4</v>
      </c>
      <c r="F292" s="1">
        <f ca="1">IFERROR(__xludf.DUMMYFUNCTION("""COMPUTED_VALUE"""),-9.06)</f>
        <v>-9.06</v>
      </c>
      <c r="G292" s="1">
        <f ca="1">IFERROR(__xludf.DUMMYFUNCTION("""COMPUTED_VALUE"""),-2.44)</f>
        <v>-2.44</v>
      </c>
      <c r="H292" s="1" t="str">
        <f ca="1">IFERROR(__xludf.DUMMYFUNCTION("""COMPUTED_VALUE"""),"")</f>
        <v/>
      </c>
      <c r="I292" s="1" t="str">
        <f ca="1">IFERROR(__xludf.DUMMYFUNCTION("""COMPUTED_VALUE"""),"")</f>
        <v/>
      </c>
      <c r="J292" s="1">
        <f ca="1">IFERROR(__xludf.DUMMYFUNCTION("""COMPUTED_VALUE"""),6)</f>
        <v>6</v>
      </c>
      <c r="K292" s="1">
        <f ca="1">IFERROR(__xludf.DUMMYFUNCTION("""COMPUTED_VALUE"""),4)</f>
        <v>4</v>
      </c>
      <c r="L292" s="1">
        <f ca="1">IFERROR(__xludf.DUMMYFUNCTION("""COMPUTED_VALUE"""),4)</f>
        <v>4</v>
      </c>
      <c r="M292" s="1">
        <f ca="1">IFERROR(__xludf.DUMMYFUNCTION("""COMPUTED_VALUE"""),14)</f>
        <v>14</v>
      </c>
      <c r="N292" s="1">
        <f ca="1">IFERROR(__xludf.DUMMYFUNCTION("""COMPUTED_VALUE"""),1818)</f>
        <v>1818</v>
      </c>
      <c r="O292" s="1">
        <f ca="1">IFERROR(__xludf.DUMMYFUNCTION("""COMPUTED_VALUE"""),1808)</f>
        <v>1808</v>
      </c>
      <c r="P292" s="1">
        <f ca="1">IFERROR(__xludf.DUMMYFUNCTION("""COMPUTED_VALUE"""),1215)</f>
        <v>1215</v>
      </c>
      <c r="Q292" s="1">
        <f ca="1">IFERROR(__xludf.DUMMYFUNCTION("""COMPUTED_VALUE"""),640)</f>
        <v>640</v>
      </c>
      <c r="R292" s="1">
        <f ca="1">IFERROR(__xludf.DUMMYFUNCTION("""COMPUTED_VALUE"""),1562)</f>
        <v>1562</v>
      </c>
      <c r="S292" s="1">
        <f ca="1">IFERROR(__xludf.DUMMYFUNCTION("""COMPUTED_VALUE"""),0.41)</f>
        <v>0.41</v>
      </c>
      <c r="T292" s="1">
        <f ca="1">IFERROR(__xludf.DUMMYFUNCTION("""COMPUTED_VALUE"""),166)</f>
        <v>166</v>
      </c>
      <c r="U292" s="1">
        <f ca="1">IFERROR(__xludf.DUMMYFUNCTION("""COMPUTED_VALUE"""),534)</f>
        <v>534</v>
      </c>
      <c r="V292" s="1">
        <f ca="1">IFERROR(__xludf.DUMMYFUNCTION("""COMPUTED_VALUE"""),0.311)</f>
        <v>0.311</v>
      </c>
      <c r="W292" s="1">
        <f ca="1">IFERROR(__xludf.DUMMYFUNCTION("""COMPUTED_VALUE"""),372)</f>
        <v>372</v>
      </c>
      <c r="X292" s="1">
        <f ca="1">IFERROR(__xludf.DUMMYFUNCTION("""COMPUTED_VALUE"""),563)</f>
        <v>563</v>
      </c>
      <c r="Y292" s="1">
        <f ca="1">IFERROR(__xludf.DUMMYFUNCTION("""COMPUTED_VALUE"""),0.661)</f>
        <v>0.66100000000000003</v>
      </c>
      <c r="Z292" s="1">
        <f ca="1">IFERROR(__xludf.DUMMYFUNCTION("""COMPUTED_VALUE"""),314)</f>
        <v>314</v>
      </c>
      <c r="AA292" s="1">
        <f ca="1">IFERROR(__xludf.DUMMYFUNCTION("""COMPUTED_VALUE"""),1001)</f>
        <v>1001</v>
      </c>
      <c r="AB292" s="1">
        <f ca="1">IFERROR(__xludf.DUMMYFUNCTION("""COMPUTED_VALUE"""),316)</f>
        <v>316</v>
      </c>
      <c r="AC292" s="1">
        <f ca="1">IFERROR(__xludf.DUMMYFUNCTION("""COMPUTED_VALUE"""),217)</f>
        <v>217</v>
      </c>
      <c r="AD292" s="1">
        <f ca="1">IFERROR(__xludf.DUMMYFUNCTION("""COMPUTED_VALUE"""),105)</f>
        <v>105</v>
      </c>
      <c r="AE292" s="1">
        <f ca="1">IFERROR(__xludf.DUMMYFUNCTION("""COMPUTED_VALUE"""),448)</f>
        <v>448</v>
      </c>
      <c r="AF292" s="1">
        <f ca="1">IFERROR(__xludf.DUMMYFUNCTION("""COMPUTED_VALUE"""),572)</f>
        <v>572</v>
      </c>
    </row>
    <row r="293" spans="1:32" ht="12.5" x14ac:dyDescent="0.25">
      <c r="A293" s="1" t="str">
        <f ca="1">IFERROR(__xludf.DUMMYFUNCTION("""COMPUTED_VALUE"""),"Seattle")</f>
        <v>Seattle</v>
      </c>
      <c r="B293" s="1">
        <f ca="1">IFERROR(__xludf.DUMMYFUNCTION("""COMPUTED_VALUE"""),31)</f>
        <v>31</v>
      </c>
      <c r="C293" s="1">
        <f ca="1">IFERROR(__xludf.DUMMYFUNCTION("""COMPUTED_VALUE"""),11)</f>
        <v>11</v>
      </c>
      <c r="D293" s="1">
        <f ca="1">IFERROR(__xludf.DUMMYFUNCTION("""COMPUTED_VALUE"""),20)</f>
        <v>20</v>
      </c>
      <c r="E293" s="1">
        <f ca="1">IFERROR(__xludf.DUMMYFUNCTION("""COMPUTED_VALUE"""),0.355)</f>
        <v>0.35499999999999998</v>
      </c>
      <c r="F293" s="1">
        <f ca="1">IFERROR(__xludf.DUMMYFUNCTION("""COMPUTED_VALUE"""),-9.26)</f>
        <v>-9.26</v>
      </c>
      <c r="G293" s="1">
        <f ca="1">IFERROR(__xludf.DUMMYFUNCTION("""COMPUTED_VALUE"""),-2.36)</f>
        <v>-2.36</v>
      </c>
      <c r="H293" s="1" t="str">
        <f ca="1">IFERROR(__xludf.DUMMYFUNCTION("""COMPUTED_VALUE"""),"")</f>
        <v/>
      </c>
      <c r="I293" s="1" t="str">
        <f ca="1">IFERROR(__xludf.DUMMYFUNCTION("""COMPUTED_VALUE"""),"")</f>
        <v/>
      </c>
      <c r="J293" s="1">
        <f ca="1">IFERROR(__xludf.DUMMYFUNCTION("""COMPUTED_VALUE"""),6)</f>
        <v>6</v>
      </c>
      <c r="K293" s="1">
        <f ca="1">IFERROR(__xludf.DUMMYFUNCTION("""COMPUTED_VALUE"""),6)</f>
        <v>6</v>
      </c>
      <c r="L293" s="1">
        <f ca="1">IFERROR(__xludf.DUMMYFUNCTION("""COMPUTED_VALUE"""),4)</f>
        <v>4</v>
      </c>
      <c r="M293" s="1">
        <f ca="1">IFERROR(__xludf.DUMMYFUNCTION("""COMPUTED_VALUE"""),13)</f>
        <v>13</v>
      </c>
      <c r="N293" s="1">
        <f ca="1">IFERROR(__xludf.DUMMYFUNCTION("""COMPUTED_VALUE"""),2138)</f>
        <v>2138</v>
      </c>
      <c r="O293" s="1">
        <f ca="1">IFERROR(__xludf.DUMMYFUNCTION("""COMPUTED_VALUE"""),2352)</f>
        <v>2352</v>
      </c>
      <c r="P293" s="1">
        <f ca="1">IFERROR(__xludf.DUMMYFUNCTION("""COMPUTED_VALUE"""),1240)</f>
        <v>1240</v>
      </c>
      <c r="Q293" s="1">
        <f ca="1">IFERROR(__xludf.DUMMYFUNCTION("""COMPUTED_VALUE"""),758)</f>
        <v>758</v>
      </c>
      <c r="R293" s="1">
        <f ca="1">IFERROR(__xludf.DUMMYFUNCTION("""COMPUTED_VALUE"""),1897)</f>
        <v>1897</v>
      </c>
      <c r="S293" s="1">
        <f ca="1">IFERROR(__xludf.DUMMYFUNCTION("""COMPUTED_VALUE"""),0.4)</f>
        <v>0.4</v>
      </c>
      <c r="T293" s="1">
        <f ca="1">IFERROR(__xludf.DUMMYFUNCTION("""COMPUTED_VALUE"""),175)</f>
        <v>175</v>
      </c>
      <c r="U293" s="1">
        <f ca="1">IFERROR(__xludf.DUMMYFUNCTION("""COMPUTED_VALUE"""),578)</f>
        <v>578</v>
      </c>
      <c r="V293" s="1">
        <f ca="1">IFERROR(__xludf.DUMMYFUNCTION("""COMPUTED_VALUE"""),0.303)</f>
        <v>0.30299999999999999</v>
      </c>
      <c r="W293" s="1">
        <f ca="1">IFERROR(__xludf.DUMMYFUNCTION("""COMPUTED_VALUE"""),447)</f>
        <v>447</v>
      </c>
      <c r="X293" s="1">
        <f ca="1">IFERROR(__xludf.DUMMYFUNCTION("""COMPUTED_VALUE"""),680)</f>
        <v>680</v>
      </c>
      <c r="Y293" s="1">
        <f ca="1">IFERROR(__xludf.DUMMYFUNCTION("""COMPUTED_VALUE"""),0.657)</f>
        <v>0.65700000000000003</v>
      </c>
      <c r="Z293" s="1">
        <f ca="1">IFERROR(__xludf.DUMMYFUNCTION("""COMPUTED_VALUE"""),450)</f>
        <v>450</v>
      </c>
      <c r="AA293" s="1">
        <f ca="1">IFERROR(__xludf.DUMMYFUNCTION("""COMPUTED_VALUE"""),1167)</f>
        <v>1167</v>
      </c>
      <c r="AB293" s="1">
        <f ca="1">IFERROR(__xludf.DUMMYFUNCTION("""COMPUTED_VALUE"""),358)</f>
        <v>358</v>
      </c>
      <c r="AC293" s="1">
        <f ca="1">IFERROR(__xludf.DUMMYFUNCTION("""COMPUTED_VALUE"""),259)</f>
        <v>259</v>
      </c>
      <c r="AD293" s="1">
        <f ca="1">IFERROR(__xludf.DUMMYFUNCTION("""COMPUTED_VALUE"""),60)</f>
        <v>60</v>
      </c>
      <c r="AE293" s="1">
        <f ca="1">IFERROR(__xludf.DUMMYFUNCTION("""COMPUTED_VALUE"""),541)</f>
        <v>541</v>
      </c>
      <c r="AF293" s="1">
        <f ca="1">IFERROR(__xludf.DUMMYFUNCTION("""COMPUTED_VALUE"""),678)</f>
        <v>678</v>
      </c>
    </row>
    <row r="294" spans="1:32" ht="12.5" x14ac:dyDescent="0.25">
      <c r="A294" s="1" t="str">
        <f ca="1">IFERROR(__xludf.DUMMYFUNCTION("""COMPUTED_VALUE"""),"Seton Hall")</f>
        <v>Seton Hall</v>
      </c>
      <c r="B294" s="1">
        <f ca="1">IFERROR(__xludf.DUMMYFUNCTION("""COMPUTED_VALUE"""),31)</f>
        <v>31</v>
      </c>
      <c r="C294" s="1">
        <f ca="1">IFERROR(__xludf.DUMMYFUNCTION("""COMPUTED_VALUE"""),13)</f>
        <v>13</v>
      </c>
      <c r="D294" s="1">
        <f ca="1">IFERROR(__xludf.DUMMYFUNCTION("""COMPUTED_VALUE"""),18)</f>
        <v>18</v>
      </c>
      <c r="E294" s="1">
        <f ca="1">IFERROR(__xludf.DUMMYFUNCTION("""COMPUTED_VALUE"""),0.419)</f>
        <v>0.41899999999999998</v>
      </c>
      <c r="F294" s="1">
        <f ca="1">IFERROR(__xludf.DUMMYFUNCTION("""COMPUTED_VALUE"""),11.03)</f>
        <v>11.03</v>
      </c>
      <c r="G294" s="1">
        <f ca="1">IFERROR(__xludf.DUMMYFUNCTION("""COMPUTED_VALUE"""),9.33)</f>
        <v>9.33</v>
      </c>
      <c r="H294" s="1">
        <f ca="1">IFERROR(__xludf.DUMMYFUNCTION("""COMPUTED_VALUE"""),7)</f>
        <v>7</v>
      </c>
      <c r="I294" s="1">
        <f ca="1">IFERROR(__xludf.DUMMYFUNCTION("""COMPUTED_VALUE"""),11)</f>
        <v>11</v>
      </c>
      <c r="J294" s="1">
        <f ca="1">IFERROR(__xludf.DUMMYFUNCTION("""COMPUTED_VALUE"""),8)</f>
        <v>8</v>
      </c>
      <c r="K294" s="1">
        <f ca="1">IFERROR(__xludf.DUMMYFUNCTION("""COMPUTED_VALUE"""),7)</f>
        <v>7</v>
      </c>
      <c r="L294" s="1">
        <f ca="1">IFERROR(__xludf.DUMMYFUNCTION("""COMPUTED_VALUE"""),4)</f>
        <v>4</v>
      </c>
      <c r="M294" s="1">
        <f ca="1">IFERROR(__xludf.DUMMYFUNCTION("""COMPUTED_VALUE"""),7)</f>
        <v>7</v>
      </c>
      <c r="N294" s="1">
        <f ca="1">IFERROR(__xludf.DUMMYFUNCTION("""COMPUTED_VALUE"""),2092)</f>
        <v>2092</v>
      </c>
      <c r="O294" s="1">
        <f ca="1">IFERROR(__xludf.DUMMYFUNCTION("""COMPUTED_VALUE"""),2039)</f>
        <v>2039</v>
      </c>
      <c r="P294" s="1">
        <f ca="1">IFERROR(__xludf.DUMMYFUNCTION("""COMPUTED_VALUE"""),1250)</f>
        <v>1250</v>
      </c>
      <c r="Q294" s="1">
        <f ca="1">IFERROR(__xludf.DUMMYFUNCTION("""COMPUTED_VALUE"""),759)</f>
        <v>759</v>
      </c>
      <c r="R294" s="1">
        <f ca="1">IFERROR(__xludf.DUMMYFUNCTION("""COMPUTED_VALUE"""),1838)</f>
        <v>1838</v>
      </c>
      <c r="S294" s="1">
        <f ca="1">IFERROR(__xludf.DUMMYFUNCTION("""COMPUTED_VALUE"""),0.413)</f>
        <v>0.41299999999999998</v>
      </c>
      <c r="T294" s="1">
        <f ca="1">IFERROR(__xludf.DUMMYFUNCTION("""COMPUTED_VALUE"""),187)</f>
        <v>187</v>
      </c>
      <c r="U294" s="1">
        <f ca="1">IFERROR(__xludf.DUMMYFUNCTION("""COMPUTED_VALUE"""),611)</f>
        <v>611</v>
      </c>
      <c r="V294" s="1">
        <f ca="1">IFERROR(__xludf.DUMMYFUNCTION("""COMPUTED_VALUE"""),0.306)</f>
        <v>0.30599999999999999</v>
      </c>
      <c r="W294" s="1">
        <f ca="1">IFERROR(__xludf.DUMMYFUNCTION("""COMPUTED_VALUE"""),387)</f>
        <v>387</v>
      </c>
      <c r="X294" s="1">
        <f ca="1">IFERROR(__xludf.DUMMYFUNCTION("""COMPUTED_VALUE"""),576)</f>
        <v>576</v>
      </c>
      <c r="Y294" s="1">
        <f ca="1">IFERROR(__xludf.DUMMYFUNCTION("""COMPUTED_VALUE"""),0.672)</f>
        <v>0.67200000000000004</v>
      </c>
      <c r="Z294" s="1">
        <f ca="1">IFERROR(__xludf.DUMMYFUNCTION("""COMPUTED_VALUE"""),348)</f>
        <v>348</v>
      </c>
      <c r="AA294" s="1">
        <f ca="1">IFERROR(__xludf.DUMMYFUNCTION("""COMPUTED_VALUE"""),1100)</f>
        <v>1100</v>
      </c>
      <c r="AB294" s="1">
        <f ca="1">IFERROR(__xludf.DUMMYFUNCTION("""COMPUTED_VALUE"""),422)</f>
        <v>422</v>
      </c>
      <c r="AC294" s="1">
        <f ca="1">IFERROR(__xludf.DUMMYFUNCTION("""COMPUTED_VALUE"""),227)</f>
        <v>227</v>
      </c>
      <c r="AD294" s="1">
        <f ca="1">IFERROR(__xludf.DUMMYFUNCTION("""COMPUTED_VALUE"""),110)</f>
        <v>110</v>
      </c>
      <c r="AE294" s="1">
        <f ca="1">IFERROR(__xludf.DUMMYFUNCTION("""COMPUTED_VALUE"""),381)</f>
        <v>381</v>
      </c>
      <c r="AF294" s="1">
        <f ca="1">IFERROR(__xludf.DUMMYFUNCTION("""COMPUTED_VALUE"""),588)</f>
        <v>588</v>
      </c>
    </row>
    <row r="295" spans="1:32" ht="12.5" x14ac:dyDescent="0.25">
      <c r="A295" s="1" t="str">
        <f ca="1">IFERROR(__xludf.DUMMYFUNCTION("""COMPUTED_VALUE"""),"Siena")</f>
        <v>Siena</v>
      </c>
      <c r="B295" s="1">
        <f ca="1">IFERROR(__xludf.DUMMYFUNCTION("""COMPUTED_VALUE"""),31)</f>
        <v>31</v>
      </c>
      <c r="C295" s="1">
        <f ca="1">IFERROR(__xludf.DUMMYFUNCTION("""COMPUTED_VALUE"""),13)</f>
        <v>13</v>
      </c>
      <c r="D295" s="1">
        <f ca="1">IFERROR(__xludf.DUMMYFUNCTION("""COMPUTED_VALUE"""),18)</f>
        <v>18</v>
      </c>
      <c r="E295" s="1">
        <f ca="1">IFERROR(__xludf.DUMMYFUNCTION("""COMPUTED_VALUE"""),0.419)</f>
        <v>0.41899999999999998</v>
      </c>
      <c r="F295" s="1">
        <f ca="1">IFERROR(__xludf.DUMMYFUNCTION("""COMPUTED_VALUE"""),-3.83)</f>
        <v>-3.83</v>
      </c>
      <c r="G295" s="1">
        <f ca="1">IFERROR(__xludf.DUMMYFUNCTION("""COMPUTED_VALUE"""),-1.71)</f>
        <v>-1.71</v>
      </c>
      <c r="H295" s="1">
        <f ca="1">IFERROR(__xludf.DUMMYFUNCTION("""COMPUTED_VALUE"""),8)</f>
        <v>8</v>
      </c>
      <c r="I295" s="1">
        <f ca="1">IFERROR(__xludf.DUMMYFUNCTION("""COMPUTED_VALUE"""),10)</f>
        <v>10</v>
      </c>
      <c r="J295" s="1">
        <f ca="1">IFERROR(__xludf.DUMMYFUNCTION("""COMPUTED_VALUE"""),8)</f>
        <v>8</v>
      </c>
      <c r="K295" s="1">
        <f ca="1">IFERROR(__xludf.DUMMYFUNCTION("""COMPUTED_VALUE"""),7)</f>
        <v>7</v>
      </c>
      <c r="L295" s="1">
        <f ca="1">IFERROR(__xludf.DUMMYFUNCTION("""COMPUTED_VALUE"""),4)</f>
        <v>4</v>
      </c>
      <c r="M295" s="1">
        <f ca="1">IFERROR(__xludf.DUMMYFUNCTION("""COMPUTED_VALUE"""),10)</f>
        <v>10</v>
      </c>
      <c r="N295" s="1">
        <f ca="1">IFERROR(__xludf.DUMMYFUNCTION("""COMPUTED_VALUE"""),2103)</f>
        <v>2103</v>
      </c>
      <c r="O295" s="1">
        <f ca="1">IFERROR(__xludf.DUMMYFUNCTION("""COMPUTED_VALUE"""),2169)</f>
        <v>2169</v>
      </c>
      <c r="P295" s="1">
        <f ca="1">IFERROR(__xludf.DUMMYFUNCTION("""COMPUTED_VALUE"""),1255)</f>
        <v>1255</v>
      </c>
      <c r="Q295" s="1">
        <f ca="1">IFERROR(__xludf.DUMMYFUNCTION("""COMPUTED_VALUE"""),762)</f>
        <v>762</v>
      </c>
      <c r="R295" s="1">
        <f ca="1">IFERROR(__xludf.DUMMYFUNCTION("""COMPUTED_VALUE"""),1841)</f>
        <v>1841</v>
      </c>
      <c r="S295" s="1">
        <f ca="1">IFERROR(__xludf.DUMMYFUNCTION("""COMPUTED_VALUE"""),0.414)</f>
        <v>0.41399999999999998</v>
      </c>
      <c r="T295" s="1">
        <f ca="1">IFERROR(__xludf.DUMMYFUNCTION("""COMPUTED_VALUE"""),160)</f>
        <v>160</v>
      </c>
      <c r="U295" s="1">
        <f ca="1">IFERROR(__xludf.DUMMYFUNCTION("""COMPUTED_VALUE"""),479)</f>
        <v>479</v>
      </c>
      <c r="V295" s="1">
        <f ca="1">IFERROR(__xludf.DUMMYFUNCTION("""COMPUTED_VALUE"""),0.334)</f>
        <v>0.33400000000000002</v>
      </c>
      <c r="W295" s="1">
        <f ca="1">IFERROR(__xludf.DUMMYFUNCTION("""COMPUTED_VALUE"""),419)</f>
        <v>419</v>
      </c>
      <c r="X295" s="1">
        <f ca="1">IFERROR(__xludf.DUMMYFUNCTION("""COMPUTED_VALUE"""),617)</f>
        <v>617</v>
      </c>
      <c r="Y295" s="1">
        <f ca="1">IFERROR(__xludf.DUMMYFUNCTION("""COMPUTED_VALUE"""),0.679)</f>
        <v>0.67900000000000005</v>
      </c>
      <c r="Z295" s="1">
        <f ca="1">IFERROR(__xludf.DUMMYFUNCTION("""COMPUTED_VALUE"""),433)</f>
        <v>433</v>
      </c>
      <c r="AA295" s="1">
        <f ca="1">IFERROR(__xludf.DUMMYFUNCTION("""COMPUTED_VALUE"""),1183)</f>
        <v>1183</v>
      </c>
      <c r="AB295" s="1">
        <f ca="1">IFERROR(__xludf.DUMMYFUNCTION("""COMPUTED_VALUE"""),378)</f>
        <v>378</v>
      </c>
      <c r="AC295" s="1">
        <f ca="1">IFERROR(__xludf.DUMMYFUNCTION("""COMPUTED_VALUE"""),205)</f>
        <v>205</v>
      </c>
      <c r="AD295" s="1">
        <f ca="1">IFERROR(__xludf.DUMMYFUNCTION("""COMPUTED_VALUE"""),116)</f>
        <v>116</v>
      </c>
      <c r="AE295" s="1">
        <f ca="1">IFERROR(__xludf.DUMMYFUNCTION("""COMPUTED_VALUE"""),444)</f>
        <v>444</v>
      </c>
      <c r="AF295" s="1">
        <f ca="1">IFERROR(__xludf.DUMMYFUNCTION("""COMPUTED_VALUE"""),516)</f>
        <v>516</v>
      </c>
    </row>
    <row r="296" spans="1:32" ht="12.5" x14ac:dyDescent="0.25">
      <c r="A296" s="1" t="str">
        <f ca="1">IFERROR(__xludf.DUMMYFUNCTION("""COMPUTED_VALUE"""),"South Alabama")</f>
        <v>South Alabama</v>
      </c>
      <c r="B296" s="1">
        <f ca="1">IFERROR(__xludf.DUMMYFUNCTION("""COMPUTED_VALUE"""),28)</f>
        <v>28</v>
      </c>
      <c r="C296" s="1">
        <f ca="1">IFERROR(__xludf.DUMMYFUNCTION("""COMPUTED_VALUE"""),12)</f>
        <v>12</v>
      </c>
      <c r="D296" s="1">
        <f ca="1">IFERROR(__xludf.DUMMYFUNCTION("""COMPUTED_VALUE"""),16)</f>
        <v>16</v>
      </c>
      <c r="E296" s="1">
        <f ca="1">IFERROR(__xludf.DUMMYFUNCTION("""COMPUTED_VALUE"""),0.429)</f>
        <v>0.42899999999999999</v>
      </c>
      <c r="F296" s="1">
        <f ca="1">IFERROR(__xludf.DUMMYFUNCTION("""COMPUTED_VALUE"""),-9.8)</f>
        <v>-9.8000000000000007</v>
      </c>
      <c r="G296" s="1">
        <f ca="1">IFERROR(__xludf.DUMMYFUNCTION("""COMPUTED_VALUE"""),-4.34)</f>
        <v>-4.34</v>
      </c>
      <c r="H296" s="1">
        <f ca="1">IFERROR(__xludf.DUMMYFUNCTION("""COMPUTED_VALUE"""),6)</f>
        <v>6</v>
      </c>
      <c r="I296" s="1">
        <f ca="1">IFERROR(__xludf.DUMMYFUNCTION("""COMPUTED_VALUE"""),10)</f>
        <v>10</v>
      </c>
      <c r="J296" s="1">
        <f ca="1">IFERROR(__xludf.DUMMYFUNCTION("""COMPUTED_VALUE"""),8)</f>
        <v>8</v>
      </c>
      <c r="K296" s="1">
        <f ca="1">IFERROR(__xludf.DUMMYFUNCTION("""COMPUTED_VALUE"""),6)</f>
        <v>6</v>
      </c>
      <c r="L296" s="1">
        <f ca="1">IFERROR(__xludf.DUMMYFUNCTION("""COMPUTED_VALUE"""),4)</f>
        <v>4</v>
      </c>
      <c r="M296" s="1">
        <f ca="1">IFERROR(__xludf.DUMMYFUNCTION("""COMPUTED_VALUE"""),9)</f>
        <v>9</v>
      </c>
      <c r="N296" s="1">
        <f ca="1">IFERROR(__xludf.DUMMYFUNCTION("""COMPUTED_VALUE"""),1969)</f>
        <v>1969</v>
      </c>
      <c r="O296" s="1">
        <f ca="1">IFERROR(__xludf.DUMMYFUNCTION("""COMPUTED_VALUE"""),2041)</f>
        <v>2041</v>
      </c>
      <c r="P296" s="1">
        <f ca="1">IFERROR(__xludf.DUMMYFUNCTION("""COMPUTED_VALUE"""),1130)</f>
        <v>1130</v>
      </c>
      <c r="Q296" s="1">
        <f ca="1">IFERROR(__xludf.DUMMYFUNCTION("""COMPUTED_VALUE"""),684)</f>
        <v>684</v>
      </c>
      <c r="R296" s="1">
        <f ca="1">IFERROR(__xludf.DUMMYFUNCTION("""COMPUTED_VALUE"""),1618)</f>
        <v>1618</v>
      </c>
      <c r="S296" s="1">
        <f ca="1">IFERROR(__xludf.DUMMYFUNCTION("""COMPUTED_VALUE"""),0.423)</f>
        <v>0.42299999999999999</v>
      </c>
      <c r="T296" s="1">
        <f ca="1">IFERROR(__xludf.DUMMYFUNCTION("""COMPUTED_VALUE"""),158)</f>
        <v>158</v>
      </c>
      <c r="U296" s="1">
        <f ca="1">IFERROR(__xludf.DUMMYFUNCTION("""COMPUTED_VALUE"""),475)</f>
        <v>475</v>
      </c>
      <c r="V296" s="1">
        <f ca="1">IFERROR(__xludf.DUMMYFUNCTION("""COMPUTED_VALUE"""),0.333)</f>
        <v>0.33300000000000002</v>
      </c>
      <c r="W296" s="1">
        <f ca="1">IFERROR(__xludf.DUMMYFUNCTION("""COMPUTED_VALUE"""),443)</f>
        <v>443</v>
      </c>
      <c r="X296" s="1">
        <f ca="1">IFERROR(__xludf.DUMMYFUNCTION("""COMPUTED_VALUE"""),666)</f>
        <v>666</v>
      </c>
      <c r="Y296" s="1">
        <f ca="1">IFERROR(__xludf.DUMMYFUNCTION("""COMPUTED_VALUE"""),0.665)</f>
        <v>0.66500000000000004</v>
      </c>
      <c r="Z296" s="1">
        <f ca="1">IFERROR(__xludf.DUMMYFUNCTION("""COMPUTED_VALUE"""),375)</f>
        <v>375</v>
      </c>
      <c r="AA296" s="1">
        <f ca="1">IFERROR(__xludf.DUMMYFUNCTION("""COMPUTED_VALUE"""),1024)</f>
        <v>1024</v>
      </c>
      <c r="AB296" s="1">
        <f ca="1">IFERROR(__xludf.DUMMYFUNCTION("""COMPUTED_VALUE"""),341)</f>
        <v>341</v>
      </c>
      <c r="AC296" s="1">
        <f ca="1">IFERROR(__xludf.DUMMYFUNCTION("""COMPUTED_VALUE"""),196)</f>
        <v>196</v>
      </c>
      <c r="AD296" s="1">
        <f ca="1">IFERROR(__xludf.DUMMYFUNCTION("""COMPUTED_VALUE"""),138)</f>
        <v>138</v>
      </c>
      <c r="AE296" s="1">
        <f ca="1">IFERROR(__xludf.DUMMYFUNCTION("""COMPUTED_VALUE"""),396)</f>
        <v>396</v>
      </c>
      <c r="AF296" s="1">
        <f ca="1">IFERROR(__xludf.DUMMYFUNCTION("""COMPUTED_VALUE"""),506)</f>
        <v>506</v>
      </c>
    </row>
    <row r="297" spans="1:32" ht="12.5" x14ac:dyDescent="0.25">
      <c r="A297" s="1" t="str">
        <f ca="1">IFERROR(__xludf.DUMMYFUNCTION("""COMPUTED_VALUE"""),"South Carolina State")</f>
        <v>South Carolina State</v>
      </c>
      <c r="B297" s="1">
        <f ca="1">IFERROR(__xludf.DUMMYFUNCTION("""COMPUTED_VALUE"""),32)</f>
        <v>32</v>
      </c>
      <c r="C297" s="1">
        <f ca="1">IFERROR(__xludf.DUMMYFUNCTION("""COMPUTED_VALUE"""),10)</f>
        <v>10</v>
      </c>
      <c r="D297" s="1">
        <f ca="1">IFERROR(__xludf.DUMMYFUNCTION("""COMPUTED_VALUE"""),22)</f>
        <v>22</v>
      </c>
      <c r="E297" s="1">
        <f ca="1">IFERROR(__xludf.DUMMYFUNCTION("""COMPUTED_VALUE"""),0.313)</f>
        <v>0.313</v>
      </c>
      <c r="F297" s="1">
        <f ca="1">IFERROR(__xludf.DUMMYFUNCTION("""COMPUTED_VALUE"""),-16.71)</f>
        <v>-16.71</v>
      </c>
      <c r="G297" s="1">
        <f ca="1">IFERROR(__xludf.DUMMYFUNCTION("""COMPUTED_VALUE"""),-8.57)</f>
        <v>-8.57</v>
      </c>
      <c r="H297" s="1">
        <f ca="1">IFERROR(__xludf.DUMMYFUNCTION("""COMPUTED_VALUE"""),5)</f>
        <v>5</v>
      </c>
      <c r="I297" s="1">
        <f ca="1">IFERROR(__xludf.DUMMYFUNCTION("""COMPUTED_VALUE"""),11)</f>
        <v>11</v>
      </c>
      <c r="J297" s="1">
        <f ca="1">IFERROR(__xludf.DUMMYFUNCTION("""COMPUTED_VALUE"""),8)</f>
        <v>8</v>
      </c>
      <c r="K297" s="1">
        <f ca="1">IFERROR(__xludf.DUMMYFUNCTION("""COMPUTED_VALUE"""),6)</f>
        <v>6</v>
      </c>
      <c r="L297" s="1">
        <f ca="1">IFERROR(__xludf.DUMMYFUNCTION("""COMPUTED_VALUE"""),1)</f>
        <v>1</v>
      </c>
      <c r="M297" s="1">
        <f ca="1">IFERROR(__xludf.DUMMYFUNCTION("""COMPUTED_VALUE"""),13)</f>
        <v>13</v>
      </c>
      <c r="N297" s="1">
        <f ca="1">IFERROR(__xludf.DUMMYFUNCTION("""COMPUTED_VALUE"""),2119)</f>
        <v>2119</v>
      </c>
      <c r="O297" s="1">
        <f ca="1">IFERROR(__xludf.DUMMYFUNCTION("""COMPUTED_VALUE"""),2276)</f>
        <v>2276</v>
      </c>
      <c r="P297" s="1">
        <f ca="1">IFERROR(__xludf.DUMMYFUNCTION("""COMPUTED_VALUE"""),1290)</f>
        <v>1290</v>
      </c>
      <c r="Q297" s="1">
        <f ca="1">IFERROR(__xludf.DUMMYFUNCTION("""COMPUTED_VALUE"""),764)</f>
        <v>764</v>
      </c>
      <c r="R297" s="1">
        <f ca="1">IFERROR(__xludf.DUMMYFUNCTION("""COMPUTED_VALUE"""),1781)</f>
        <v>1781</v>
      </c>
      <c r="S297" s="1">
        <f ca="1">IFERROR(__xludf.DUMMYFUNCTION("""COMPUTED_VALUE"""),0.429)</f>
        <v>0.42899999999999999</v>
      </c>
      <c r="T297" s="1">
        <f ca="1">IFERROR(__xludf.DUMMYFUNCTION("""COMPUTED_VALUE"""),178)</f>
        <v>178</v>
      </c>
      <c r="U297" s="1">
        <f ca="1">IFERROR(__xludf.DUMMYFUNCTION("""COMPUTED_VALUE"""),559)</f>
        <v>559</v>
      </c>
      <c r="V297" s="1">
        <f ca="1">IFERROR(__xludf.DUMMYFUNCTION("""COMPUTED_VALUE"""),0.318)</f>
        <v>0.318</v>
      </c>
      <c r="W297" s="1">
        <f ca="1">IFERROR(__xludf.DUMMYFUNCTION("""COMPUTED_VALUE"""),413)</f>
        <v>413</v>
      </c>
      <c r="X297" s="1">
        <f ca="1">IFERROR(__xludf.DUMMYFUNCTION("""COMPUTED_VALUE"""),612)</f>
        <v>612</v>
      </c>
      <c r="Y297" s="1">
        <f ca="1">IFERROR(__xludf.DUMMYFUNCTION("""COMPUTED_VALUE"""),0.675)</f>
        <v>0.67500000000000004</v>
      </c>
      <c r="Z297" s="1">
        <f ca="1">IFERROR(__xludf.DUMMYFUNCTION("""COMPUTED_VALUE"""),398)</f>
        <v>398</v>
      </c>
      <c r="AA297" s="1">
        <f ca="1">IFERROR(__xludf.DUMMYFUNCTION("""COMPUTED_VALUE"""),1102)</f>
        <v>1102</v>
      </c>
      <c r="AB297" s="1">
        <f ca="1">IFERROR(__xludf.DUMMYFUNCTION("""COMPUTED_VALUE"""),385)</f>
        <v>385</v>
      </c>
      <c r="AC297" s="1">
        <f ca="1">IFERROR(__xludf.DUMMYFUNCTION("""COMPUTED_VALUE"""),193)</f>
        <v>193</v>
      </c>
      <c r="AD297" s="1">
        <f ca="1">IFERROR(__xludf.DUMMYFUNCTION("""COMPUTED_VALUE"""),116)</f>
        <v>116</v>
      </c>
      <c r="AE297" s="1">
        <f ca="1">IFERROR(__xludf.DUMMYFUNCTION("""COMPUTED_VALUE"""),536)</f>
        <v>536</v>
      </c>
      <c r="AF297" s="1">
        <f ca="1">IFERROR(__xludf.DUMMYFUNCTION("""COMPUTED_VALUE"""),655)</f>
        <v>655</v>
      </c>
    </row>
    <row r="298" spans="1:32" ht="12.5" x14ac:dyDescent="0.25">
      <c r="A298" s="1" t="str">
        <f ca="1">IFERROR(__xludf.DUMMYFUNCTION("""COMPUTED_VALUE"""),"South Carolina Upstate")</f>
        <v>South Carolina Upstate</v>
      </c>
      <c r="B298" s="1">
        <f ca="1">IFERROR(__xludf.DUMMYFUNCTION("""COMPUTED_VALUE"""),30)</f>
        <v>30</v>
      </c>
      <c r="C298" s="1">
        <f ca="1">IFERROR(__xludf.DUMMYFUNCTION("""COMPUTED_VALUE"""),5)</f>
        <v>5</v>
      </c>
      <c r="D298" s="1">
        <f ca="1">IFERROR(__xludf.DUMMYFUNCTION("""COMPUTED_VALUE"""),25)</f>
        <v>25</v>
      </c>
      <c r="E298" s="1">
        <f ca="1">IFERROR(__xludf.DUMMYFUNCTION("""COMPUTED_VALUE"""),0.167)</f>
        <v>0.16700000000000001</v>
      </c>
      <c r="F298" s="1">
        <f ca="1">IFERROR(__xludf.DUMMYFUNCTION("""COMPUTED_VALUE"""),-12.44)</f>
        <v>-12.44</v>
      </c>
      <c r="G298" s="1">
        <f ca="1">IFERROR(__xludf.DUMMYFUNCTION("""COMPUTED_VALUE"""),-0.94)</f>
        <v>-0.94</v>
      </c>
      <c r="H298" s="1">
        <f ca="1">IFERROR(__xludf.DUMMYFUNCTION("""COMPUTED_VALUE"""),4)</f>
        <v>4</v>
      </c>
      <c r="I298" s="1">
        <f ca="1">IFERROR(__xludf.DUMMYFUNCTION("""COMPUTED_VALUE"""),16)</f>
        <v>16</v>
      </c>
      <c r="J298" s="1">
        <f ca="1">IFERROR(__xludf.DUMMYFUNCTION("""COMPUTED_VALUE"""),3)</f>
        <v>3</v>
      </c>
      <c r="K298" s="1">
        <f ca="1">IFERROR(__xludf.DUMMYFUNCTION("""COMPUTED_VALUE"""),8)</f>
        <v>8</v>
      </c>
      <c r="L298" s="1">
        <f ca="1">IFERROR(__xludf.DUMMYFUNCTION("""COMPUTED_VALUE"""),2)</f>
        <v>2</v>
      </c>
      <c r="M298" s="1">
        <f ca="1">IFERROR(__xludf.DUMMYFUNCTION("""COMPUTED_VALUE"""),14)</f>
        <v>14</v>
      </c>
      <c r="N298" s="1">
        <f ca="1">IFERROR(__xludf.DUMMYFUNCTION("""COMPUTED_VALUE"""),1746)</f>
        <v>1746</v>
      </c>
      <c r="O298" s="1">
        <f ca="1">IFERROR(__xludf.DUMMYFUNCTION("""COMPUTED_VALUE"""),2091)</f>
        <v>2091</v>
      </c>
      <c r="P298" s="1">
        <f ca="1">IFERROR(__xludf.DUMMYFUNCTION("""COMPUTED_VALUE"""),1215)</f>
        <v>1215</v>
      </c>
      <c r="Q298" s="1">
        <f ca="1">IFERROR(__xludf.DUMMYFUNCTION("""COMPUTED_VALUE"""),625)</f>
        <v>625</v>
      </c>
      <c r="R298" s="1">
        <f ca="1">IFERROR(__xludf.DUMMYFUNCTION("""COMPUTED_VALUE"""),1680)</f>
        <v>1680</v>
      </c>
      <c r="S298" s="1">
        <f ca="1">IFERROR(__xludf.DUMMYFUNCTION("""COMPUTED_VALUE"""),0.372)</f>
        <v>0.372</v>
      </c>
      <c r="T298" s="1">
        <f ca="1">IFERROR(__xludf.DUMMYFUNCTION("""COMPUTED_VALUE"""),214)</f>
        <v>214</v>
      </c>
      <c r="U298" s="1">
        <f ca="1">IFERROR(__xludf.DUMMYFUNCTION("""COMPUTED_VALUE"""),735)</f>
        <v>735</v>
      </c>
      <c r="V298" s="1">
        <f ca="1">IFERROR(__xludf.DUMMYFUNCTION("""COMPUTED_VALUE"""),0.291)</f>
        <v>0.29099999999999998</v>
      </c>
      <c r="W298" s="1">
        <f ca="1">IFERROR(__xludf.DUMMYFUNCTION("""COMPUTED_VALUE"""),282)</f>
        <v>282</v>
      </c>
      <c r="X298" s="1">
        <f ca="1">IFERROR(__xludf.DUMMYFUNCTION("""COMPUTED_VALUE"""),470)</f>
        <v>470</v>
      </c>
      <c r="Y298" s="1">
        <f ca="1">IFERROR(__xludf.DUMMYFUNCTION("""COMPUTED_VALUE"""),0.6)</f>
        <v>0.6</v>
      </c>
      <c r="Z298" s="1">
        <f ca="1">IFERROR(__xludf.DUMMYFUNCTION("""COMPUTED_VALUE"""),378)</f>
        <v>378</v>
      </c>
      <c r="AA298" s="1">
        <f ca="1">IFERROR(__xludf.DUMMYFUNCTION("""COMPUTED_VALUE"""),1020)</f>
        <v>1020</v>
      </c>
      <c r="AB298" s="1">
        <f ca="1">IFERROR(__xludf.DUMMYFUNCTION("""COMPUTED_VALUE"""),341)</f>
        <v>341</v>
      </c>
      <c r="AC298" s="1">
        <f ca="1">IFERROR(__xludf.DUMMYFUNCTION("""COMPUTED_VALUE"""),174)</f>
        <v>174</v>
      </c>
      <c r="AD298" s="1">
        <f ca="1">IFERROR(__xludf.DUMMYFUNCTION("""COMPUTED_VALUE"""),110)</f>
        <v>110</v>
      </c>
      <c r="AE298" s="1">
        <f ca="1">IFERROR(__xludf.DUMMYFUNCTION("""COMPUTED_VALUE"""),440)</f>
        <v>440</v>
      </c>
      <c r="AF298" s="1">
        <f ca="1">IFERROR(__xludf.DUMMYFUNCTION("""COMPUTED_VALUE"""),554)</f>
        <v>554</v>
      </c>
    </row>
    <row r="299" spans="1:32" ht="12.5" x14ac:dyDescent="0.25">
      <c r="A299" s="1" t="str">
        <f ca="1">IFERROR(__xludf.DUMMYFUNCTION("""COMPUTED_VALUE"""),"South Carolina")</f>
        <v>South Carolina</v>
      </c>
      <c r="B299" s="1">
        <f ca="1">IFERROR(__xludf.DUMMYFUNCTION("""COMPUTED_VALUE"""),30)</f>
        <v>30</v>
      </c>
      <c r="C299" s="1">
        <f ca="1">IFERROR(__xludf.DUMMYFUNCTION("""COMPUTED_VALUE"""),14)</f>
        <v>14</v>
      </c>
      <c r="D299" s="1">
        <f ca="1">IFERROR(__xludf.DUMMYFUNCTION("""COMPUTED_VALUE"""),16)</f>
        <v>16</v>
      </c>
      <c r="E299" s="1">
        <f ca="1">IFERROR(__xludf.DUMMYFUNCTION("""COMPUTED_VALUE"""),0.467)</f>
        <v>0.46700000000000003</v>
      </c>
      <c r="F299" s="1">
        <f ca="1">IFERROR(__xludf.DUMMYFUNCTION("""COMPUTED_VALUE"""),4.17)</f>
        <v>4.17</v>
      </c>
      <c r="G299" s="1">
        <f ca="1">IFERROR(__xludf.DUMMYFUNCTION("""COMPUTED_VALUE"""),5.6)</f>
        <v>5.6</v>
      </c>
      <c r="H299" s="1">
        <f ca="1">IFERROR(__xludf.DUMMYFUNCTION("""COMPUTED_VALUE"""),5)</f>
        <v>5</v>
      </c>
      <c r="I299" s="1">
        <f ca="1">IFERROR(__xludf.DUMMYFUNCTION("""COMPUTED_VALUE"""),11)</f>
        <v>11</v>
      </c>
      <c r="J299" s="1">
        <f ca="1">IFERROR(__xludf.DUMMYFUNCTION("""COMPUTED_VALUE"""),11)</f>
        <v>11</v>
      </c>
      <c r="K299" s="1">
        <f ca="1">IFERROR(__xludf.DUMMYFUNCTION("""COMPUTED_VALUE"""),6)</f>
        <v>6</v>
      </c>
      <c r="L299" s="1">
        <f ca="1">IFERROR(__xludf.DUMMYFUNCTION("""COMPUTED_VALUE"""),3)</f>
        <v>3</v>
      </c>
      <c r="M299" s="1">
        <f ca="1">IFERROR(__xludf.DUMMYFUNCTION("""COMPUTED_VALUE"""),9)</f>
        <v>9</v>
      </c>
      <c r="N299" s="1">
        <f ca="1">IFERROR(__xludf.DUMMYFUNCTION("""COMPUTED_VALUE"""),2027)</f>
        <v>2027</v>
      </c>
      <c r="O299" s="1">
        <f ca="1">IFERROR(__xludf.DUMMYFUNCTION("""COMPUTED_VALUE"""),2070)</f>
        <v>2070</v>
      </c>
      <c r="P299" s="1">
        <f ca="1">IFERROR(__xludf.DUMMYFUNCTION("""COMPUTED_VALUE"""),1220)</f>
        <v>1220</v>
      </c>
      <c r="Q299" s="1">
        <f ca="1">IFERROR(__xludf.DUMMYFUNCTION("""COMPUTED_VALUE"""),741)</f>
        <v>741</v>
      </c>
      <c r="R299" s="1">
        <f ca="1">IFERROR(__xludf.DUMMYFUNCTION("""COMPUTED_VALUE"""),1878)</f>
        <v>1878</v>
      </c>
      <c r="S299" s="1">
        <f ca="1">IFERROR(__xludf.DUMMYFUNCTION("""COMPUTED_VALUE"""),0.395)</f>
        <v>0.39500000000000002</v>
      </c>
      <c r="T299" s="1">
        <f ca="1">IFERROR(__xludf.DUMMYFUNCTION("""COMPUTED_VALUE"""),207)</f>
        <v>207</v>
      </c>
      <c r="U299" s="1">
        <f ca="1">IFERROR(__xludf.DUMMYFUNCTION("""COMPUTED_VALUE"""),662)</f>
        <v>662</v>
      </c>
      <c r="V299" s="1">
        <f ca="1">IFERROR(__xludf.DUMMYFUNCTION("""COMPUTED_VALUE"""),0.313)</f>
        <v>0.313</v>
      </c>
      <c r="W299" s="1">
        <f ca="1">IFERROR(__xludf.DUMMYFUNCTION("""COMPUTED_VALUE"""),338)</f>
        <v>338</v>
      </c>
      <c r="X299" s="1">
        <f ca="1">IFERROR(__xludf.DUMMYFUNCTION("""COMPUTED_VALUE"""),510)</f>
        <v>510</v>
      </c>
      <c r="Y299" s="1">
        <f ca="1">IFERROR(__xludf.DUMMYFUNCTION("""COMPUTED_VALUE"""),0.663)</f>
        <v>0.66300000000000003</v>
      </c>
      <c r="Z299" s="1">
        <f ca="1">IFERROR(__xludf.DUMMYFUNCTION("""COMPUTED_VALUE"""),441)</f>
        <v>441</v>
      </c>
      <c r="AA299" s="1">
        <f ca="1">IFERROR(__xludf.DUMMYFUNCTION("""COMPUTED_VALUE"""),1144)</f>
        <v>1144</v>
      </c>
      <c r="AB299" s="1">
        <f ca="1">IFERROR(__xludf.DUMMYFUNCTION("""COMPUTED_VALUE"""),327)</f>
        <v>327</v>
      </c>
      <c r="AC299" s="1">
        <f ca="1">IFERROR(__xludf.DUMMYFUNCTION("""COMPUTED_VALUE"""),208)</f>
        <v>208</v>
      </c>
      <c r="AD299" s="1">
        <f ca="1">IFERROR(__xludf.DUMMYFUNCTION("""COMPUTED_VALUE"""),186)</f>
        <v>186</v>
      </c>
      <c r="AE299" s="1">
        <f ca="1">IFERROR(__xludf.DUMMYFUNCTION("""COMPUTED_VALUE"""),402)</f>
        <v>402</v>
      </c>
      <c r="AF299" s="1">
        <f ca="1">IFERROR(__xludf.DUMMYFUNCTION("""COMPUTED_VALUE"""),562)</f>
        <v>562</v>
      </c>
    </row>
    <row r="300" spans="1:32" ht="12.5" x14ac:dyDescent="0.25">
      <c r="A300" s="1" t="str">
        <f ca="1">IFERROR(__xludf.DUMMYFUNCTION("""COMPUTED_VALUE"""),"South Dakota State")</f>
        <v>South Dakota State</v>
      </c>
      <c r="B300" s="1">
        <f ca="1">IFERROR(__xludf.DUMMYFUNCTION("""COMPUTED_VALUE"""),31)</f>
        <v>31</v>
      </c>
      <c r="C300" s="1">
        <f ca="1">IFERROR(__xludf.DUMMYFUNCTION("""COMPUTED_VALUE"""),19)</f>
        <v>19</v>
      </c>
      <c r="D300" s="1">
        <f ca="1">IFERROR(__xludf.DUMMYFUNCTION("""COMPUTED_VALUE"""),12)</f>
        <v>12</v>
      </c>
      <c r="E300" s="1">
        <f ca="1">IFERROR(__xludf.DUMMYFUNCTION("""COMPUTED_VALUE"""),0.613)</f>
        <v>0.61299999999999999</v>
      </c>
      <c r="F300" s="1">
        <f ca="1">IFERROR(__xludf.DUMMYFUNCTION("""COMPUTED_VALUE"""),3.1)</f>
        <v>3.1</v>
      </c>
      <c r="G300" s="1">
        <f ca="1">IFERROR(__xludf.DUMMYFUNCTION("""COMPUTED_VALUE"""),-4.04)</f>
        <v>-4.04</v>
      </c>
      <c r="H300" s="1">
        <f ca="1">IFERROR(__xludf.DUMMYFUNCTION("""COMPUTED_VALUE"""),10)</f>
        <v>10</v>
      </c>
      <c r="I300" s="1">
        <f ca="1">IFERROR(__xludf.DUMMYFUNCTION("""COMPUTED_VALUE"""),8)</f>
        <v>8</v>
      </c>
      <c r="J300" s="1">
        <f ca="1">IFERROR(__xludf.DUMMYFUNCTION("""COMPUTED_VALUE"""),10)</f>
        <v>10</v>
      </c>
      <c r="K300" s="1">
        <f ca="1">IFERROR(__xludf.DUMMYFUNCTION("""COMPUTED_VALUE"""),5)</f>
        <v>5</v>
      </c>
      <c r="L300" s="1">
        <f ca="1">IFERROR(__xludf.DUMMYFUNCTION("""COMPUTED_VALUE"""),8)</f>
        <v>8</v>
      </c>
      <c r="M300" s="1">
        <f ca="1">IFERROR(__xludf.DUMMYFUNCTION("""COMPUTED_VALUE"""),6)</f>
        <v>6</v>
      </c>
      <c r="N300" s="1">
        <f ca="1">IFERROR(__xludf.DUMMYFUNCTION("""COMPUTED_VALUE"""),2533)</f>
        <v>2533</v>
      </c>
      <c r="O300" s="1">
        <f ca="1">IFERROR(__xludf.DUMMYFUNCTION("""COMPUTED_VALUE"""),2285)</f>
        <v>2285</v>
      </c>
      <c r="P300" s="1">
        <f ca="1">IFERROR(__xludf.DUMMYFUNCTION("""COMPUTED_VALUE"""),1240)</f>
        <v>1240</v>
      </c>
      <c r="Q300" s="1">
        <f ca="1">IFERROR(__xludf.DUMMYFUNCTION("""COMPUTED_VALUE"""),884)</f>
        <v>884</v>
      </c>
      <c r="R300" s="1">
        <f ca="1">IFERROR(__xludf.DUMMYFUNCTION("""COMPUTED_VALUE"""),1901)</f>
        <v>1901</v>
      </c>
      <c r="S300" s="1">
        <f ca="1">IFERROR(__xludf.DUMMYFUNCTION("""COMPUTED_VALUE"""),0.465)</f>
        <v>0.46500000000000002</v>
      </c>
      <c r="T300" s="1">
        <f ca="1">IFERROR(__xludf.DUMMYFUNCTION("""COMPUTED_VALUE"""),276)</f>
        <v>276</v>
      </c>
      <c r="U300" s="1">
        <f ca="1">IFERROR(__xludf.DUMMYFUNCTION("""COMPUTED_VALUE"""),672)</f>
        <v>672</v>
      </c>
      <c r="V300" s="1">
        <f ca="1">IFERROR(__xludf.DUMMYFUNCTION("""COMPUTED_VALUE"""),0.411)</f>
        <v>0.41099999999999998</v>
      </c>
      <c r="W300" s="1">
        <f ca="1">IFERROR(__xludf.DUMMYFUNCTION("""COMPUTED_VALUE"""),489)</f>
        <v>489</v>
      </c>
      <c r="X300" s="1">
        <f ca="1">IFERROR(__xludf.DUMMYFUNCTION("""COMPUTED_VALUE"""),672)</f>
        <v>672</v>
      </c>
      <c r="Y300" s="1">
        <f ca="1">IFERROR(__xludf.DUMMYFUNCTION("""COMPUTED_VALUE"""),0.728)</f>
        <v>0.72799999999999998</v>
      </c>
      <c r="Z300" s="1">
        <f ca="1">IFERROR(__xludf.DUMMYFUNCTION("""COMPUTED_VALUE"""),377)</f>
        <v>377</v>
      </c>
      <c r="AA300" s="1">
        <f ca="1">IFERROR(__xludf.DUMMYFUNCTION("""COMPUTED_VALUE"""),1095)</f>
        <v>1095</v>
      </c>
      <c r="AB300" s="1">
        <f ca="1">IFERROR(__xludf.DUMMYFUNCTION("""COMPUTED_VALUE"""),471)</f>
        <v>471</v>
      </c>
      <c r="AC300" s="1">
        <f ca="1">IFERROR(__xludf.DUMMYFUNCTION("""COMPUTED_VALUE"""),189)</f>
        <v>189</v>
      </c>
      <c r="AD300" s="1">
        <f ca="1">IFERROR(__xludf.DUMMYFUNCTION("""COMPUTED_VALUE"""),82)</f>
        <v>82</v>
      </c>
      <c r="AE300" s="1">
        <f ca="1">IFERROR(__xludf.DUMMYFUNCTION("""COMPUTED_VALUE"""),308)</f>
        <v>308</v>
      </c>
      <c r="AF300" s="1">
        <f ca="1">IFERROR(__xludf.DUMMYFUNCTION("""COMPUTED_VALUE"""),567)</f>
        <v>567</v>
      </c>
    </row>
    <row r="301" spans="1:32" ht="12.5" x14ac:dyDescent="0.25">
      <c r="A301" s="1" t="str">
        <f ca="1">IFERROR(__xludf.DUMMYFUNCTION("""COMPUTED_VALUE"""),"South Dakota")</f>
        <v>South Dakota</v>
      </c>
      <c r="B301" s="1">
        <f ca="1">IFERROR(__xludf.DUMMYFUNCTION("""COMPUTED_VALUE"""),33)</f>
        <v>33</v>
      </c>
      <c r="C301" s="1">
        <f ca="1">IFERROR(__xludf.DUMMYFUNCTION("""COMPUTED_VALUE"""),18)</f>
        <v>18</v>
      </c>
      <c r="D301" s="1">
        <f ca="1">IFERROR(__xludf.DUMMYFUNCTION("""COMPUTED_VALUE"""),15)</f>
        <v>15</v>
      </c>
      <c r="E301" s="1">
        <f ca="1">IFERROR(__xludf.DUMMYFUNCTION("""COMPUTED_VALUE"""),0.545)</f>
        <v>0.54500000000000004</v>
      </c>
      <c r="F301" s="1">
        <f ca="1">IFERROR(__xludf.DUMMYFUNCTION("""COMPUTED_VALUE"""),-9.72)</f>
        <v>-9.7200000000000006</v>
      </c>
      <c r="G301" s="1">
        <f ca="1">IFERROR(__xludf.DUMMYFUNCTION("""COMPUTED_VALUE"""),-10.48)</f>
        <v>-10.48</v>
      </c>
      <c r="H301" s="1">
        <f ca="1">IFERROR(__xludf.DUMMYFUNCTION("""COMPUTED_VALUE"""),7)</f>
        <v>7</v>
      </c>
      <c r="I301" s="1">
        <f ca="1">IFERROR(__xludf.DUMMYFUNCTION("""COMPUTED_VALUE"""),5)</f>
        <v>5</v>
      </c>
      <c r="J301" s="1">
        <f ca="1">IFERROR(__xludf.DUMMYFUNCTION("""COMPUTED_VALUE"""),13)</f>
        <v>13</v>
      </c>
      <c r="K301" s="1">
        <f ca="1">IFERROR(__xludf.DUMMYFUNCTION("""COMPUTED_VALUE"""),2)</f>
        <v>2</v>
      </c>
      <c r="L301" s="1">
        <f ca="1">IFERROR(__xludf.DUMMYFUNCTION("""COMPUTED_VALUE"""),3)</f>
        <v>3</v>
      </c>
      <c r="M301" s="1">
        <f ca="1">IFERROR(__xludf.DUMMYFUNCTION("""COMPUTED_VALUE"""),11)</f>
        <v>11</v>
      </c>
      <c r="N301" s="1">
        <f ca="1">IFERROR(__xludf.DUMMYFUNCTION("""COMPUTED_VALUE"""),2632)</f>
        <v>2632</v>
      </c>
      <c r="O301" s="1">
        <f ca="1">IFERROR(__xludf.DUMMYFUNCTION("""COMPUTED_VALUE"""),2507)</f>
        <v>2507</v>
      </c>
      <c r="P301" s="1">
        <f ca="1">IFERROR(__xludf.DUMMYFUNCTION("""COMPUTED_VALUE"""),1340)</f>
        <v>1340</v>
      </c>
      <c r="Q301" s="1">
        <f ca="1">IFERROR(__xludf.DUMMYFUNCTION("""COMPUTED_VALUE"""),939)</f>
        <v>939</v>
      </c>
      <c r="R301" s="1">
        <f ca="1">IFERROR(__xludf.DUMMYFUNCTION("""COMPUTED_VALUE"""),2063)</f>
        <v>2063</v>
      </c>
      <c r="S301" s="1">
        <f ca="1">IFERROR(__xludf.DUMMYFUNCTION("""COMPUTED_VALUE"""),0.455)</f>
        <v>0.45500000000000002</v>
      </c>
      <c r="T301" s="1">
        <f ca="1">IFERROR(__xludf.DUMMYFUNCTION("""COMPUTED_VALUE"""),252)</f>
        <v>252</v>
      </c>
      <c r="U301" s="1">
        <f ca="1">IFERROR(__xludf.DUMMYFUNCTION("""COMPUTED_VALUE"""),723)</f>
        <v>723</v>
      </c>
      <c r="V301" s="1">
        <f ca="1">IFERROR(__xludf.DUMMYFUNCTION("""COMPUTED_VALUE"""),0.349)</f>
        <v>0.34899999999999998</v>
      </c>
      <c r="W301" s="1">
        <f ca="1">IFERROR(__xludf.DUMMYFUNCTION("""COMPUTED_VALUE"""),502)</f>
        <v>502</v>
      </c>
      <c r="X301" s="1">
        <f ca="1">IFERROR(__xludf.DUMMYFUNCTION("""COMPUTED_VALUE"""),752)</f>
        <v>752</v>
      </c>
      <c r="Y301" s="1">
        <f ca="1">IFERROR(__xludf.DUMMYFUNCTION("""COMPUTED_VALUE"""),0.668)</f>
        <v>0.66800000000000004</v>
      </c>
      <c r="Z301" s="1">
        <f ca="1">IFERROR(__xludf.DUMMYFUNCTION("""COMPUTED_VALUE"""),374)</f>
        <v>374</v>
      </c>
      <c r="AA301" s="1">
        <f ca="1">IFERROR(__xludf.DUMMYFUNCTION("""COMPUTED_VALUE"""),1268)</f>
        <v>1268</v>
      </c>
      <c r="AB301" s="1">
        <f ca="1">IFERROR(__xludf.DUMMYFUNCTION("""COMPUTED_VALUE"""),487)</f>
        <v>487</v>
      </c>
      <c r="AC301" s="1">
        <f ca="1">IFERROR(__xludf.DUMMYFUNCTION("""COMPUTED_VALUE"""),221)</f>
        <v>221</v>
      </c>
      <c r="AD301" s="1">
        <f ca="1">IFERROR(__xludf.DUMMYFUNCTION("""COMPUTED_VALUE"""),94)</f>
        <v>94</v>
      </c>
      <c r="AE301" s="1">
        <f ca="1">IFERROR(__xludf.DUMMYFUNCTION("""COMPUTED_VALUE"""),417)</f>
        <v>417</v>
      </c>
      <c r="AF301" s="1">
        <f ca="1">IFERROR(__xludf.DUMMYFUNCTION("""COMPUTED_VALUE"""),577)</f>
        <v>577</v>
      </c>
    </row>
    <row r="302" spans="1:32" ht="12.5" x14ac:dyDescent="0.25">
      <c r="A302" s="1" t="str">
        <f ca="1">IFERROR(__xludf.DUMMYFUNCTION("""COMPUTED_VALUE"""),"South Florida")</f>
        <v>South Florida</v>
      </c>
      <c r="B302" s="1">
        <f ca="1">IFERROR(__xludf.DUMMYFUNCTION("""COMPUTED_VALUE"""),33)</f>
        <v>33</v>
      </c>
      <c r="C302" s="1">
        <f ca="1">IFERROR(__xludf.DUMMYFUNCTION("""COMPUTED_VALUE"""),10)</f>
        <v>10</v>
      </c>
      <c r="D302" s="1">
        <f ca="1">IFERROR(__xludf.DUMMYFUNCTION("""COMPUTED_VALUE"""),23)</f>
        <v>23</v>
      </c>
      <c r="E302" s="1">
        <f ca="1">IFERROR(__xludf.DUMMYFUNCTION("""COMPUTED_VALUE"""),0.303)</f>
        <v>0.30299999999999999</v>
      </c>
      <c r="F302" s="1">
        <f ca="1">IFERROR(__xludf.DUMMYFUNCTION("""COMPUTED_VALUE"""),4.28)</f>
        <v>4.28</v>
      </c>
      <c r="G302" s="1">
        <f ca="1">IFERROR(__xludf.DUMMYFUNCTION("""COMPUTED_VALUE"""),8.89)</f>
        <v>8.89</v>
      </c>
      <c r="H302" s="1">
        <f ca="1">IFERROR(__xludf.DUMMYFUNCTION("""COMPUTED_VALUE"""),3)</f>
        <v>3</v>
      </c>
      <c r="I302" s="1">
        <f ca="1">IFERROR(__xludf.DUMMYFUNCTION("""COMPUTED_VALUE"""),15)</f>
        <v>15</v>
      </c>
      <c r="J302" s="1">
        <f ca="1">IFERROR(__xludf.DUMMYFUNCTION("""COMPUTED_VALUE"""),7)</f>
        <v>7</v>
      </c>
      <c r="K302" s="1">
        <f ca="1">IFERROR(__xludf.DUMMYFUNCTION("""COMPUTED_VALUE"""),9)</f>
        <v>9</v>
      </c>
      <c r="L302" s="1">
        <f ca="1">IFERROR(__xludf.DUMMYFUNCTION("""COMPUTED_VALUE"""),1)</f>
        <v>1</v>
      </c>
      <c r="M302" s="1">
        <f ca="1">IFERROR(__xludf.DUMMYFUNCTION("""COMPUTED_VALUE"""),12)</f>
        <v>12</v>
      </c>
      <c r="N302" s="1">
        <f ca="1">IFERROR(__xludf.DUMMYFUNCTION("""COMPUTED_VALUE"""),2044)</f>
        <v>2044</v>
      </c>
      <c r="O302" s="1">
        <f ca="1">IFERROR(__xludf.DUMMYFUNCTION("""COMPUTED_VALUE"""),2196)</f>
        <v>2196</v>
      </c>
      <c r="P302" s="1">
        <f ca="1">IFERROR(__xludf.DUMMYFUNCTION("""COMPUTED_VALUE"""),1340)</f>
        <v>1340</v>
      </c>
      <c r="Q302" s="1">
        <f ca="1">IFERROR(__xludf.DUMMYFUNCTION("""COMPUTED_VALUE"""),711)</f>
        <v>711</v>
      </c>
      <c r="R302" s="1">
        <f ca="1">IFERROR(__xludf.DUMMYFUNCTION("""COMPUTED_VALUE"""),1710)</f>
        <v>1710</v>
      </c>
      <c r="S302" s="1">
        <f ca="1">IFERROR(__xludf.DUMMYFUNCTION("""COMPUTED_VALUE"""),0.416)</f>
        <v>0.41599999999999998</v>
      </c>
      <c r="T302" s="1">
        <f ca="1">IFERROR(__xludf.DUMMYFUNCTION("""COMPUTED_VALUE"""),159)</f>
        <v>159</v>
      </c>
      <c r="U302" s="1">
        <f ca="1">IFERROR(__xludf.DUMMYFUNCTION("""COMPUTED_VALUE"""),524)</f>
        <v>524</v>
      </c>
      <c r="V302" s="1">
        <f ca="1">IFERROR(__xludf.DUMMYFUNCTION("""COMPUTED_VALUE"""),0.303)</f>
        <v>0.30299999999999999</v>
      </c>
      <c r="W302" s="1">
        <f ca="1">IFERROR(__xludf.DUMMYFUNCTION("""COMPUTED_VALUE"""),463)</f>
        <v>463</v>
      </c>
      <c r="X302" s="1">
        <f ca="1">IFERROR(__xludf.DUMMYFUNCTION("""COMPUTED_VALUE"""),652)</f>
        <v>652</v>
      </c>
      <c r="Y302" s="1">
        <f ca="1">IFERROR(__xludf.DUMMYFUNCTION("""COMPUTED_VALUE"""),0.71)</f>
        <v>0.71</v>
      </c>
      <c r="Z302" s="1">
        <f ca="1">IFERROR(__xludf.DUMMYFUNCTION("""COMPUTED_VALUE"""),405)</f>
        <v>405</v>
      </c>
      <c r="AA302" s="1">
        <f ca="1">IFERROR(__xludf.DUMMYFUNCTION("""COMPUTED_VALUE"""),1169)</f>
        <v>1169</v>
      </c>
      <c r="AB302" s="1">
        <f ca="1">IFERROR(__xludf.DUMMYFUNCTION("""COMPUTED_VALUE"""),407)</f>
        <v>407</v>
      </c>
      <c r="AC302" s="1">
        <f ca="1">IFERROR(__xludf.DUMMYFUNCTION("""COMPUTED_VALUE"""),162)</f>
        <v>162</v>
      </c>
      <c r="AD302" s="1">
        <f ca="1">IFERROR(__xludf.DUMMYFUNCTION("""COMPUTED_VALUE"""),122)</f>
        <v>122</v>
      </c>
      <c r="AE302" s="1">
        <f ca="1">IFERROR(__xludf.DUMMYFUNCTION("""COMPUTED_VALUE"""),496)</f>
        <v>496</v>
      </c>
      <c r="AF302" s="1">
        <f ca="1">IFERROR(__xludf.DUMMYFUNCTION("""COMPUTED_VALUE"""),632)</f>
        <v>632</v>
      </c>
    </row>
    <row r="303" spans="1:32" ht="12.5" x14ac:dyDescent="0.25">
      <c r="A303" s="1" t="str">
        <f ca="1">IFERROR(__xludf.DUMMYFUNCTION("""COMPUTED_VALUE"""),"Southeast Missouri State")</f>
        <v>Southeast Missouri State</v>
      </c>
      <c r="B303" s="1">
        <f ca="1">IFERROR(__xludf.DUMMYFUNCTION("""COMPUTED_VALUE"""),32)</f>
        <v>32</v>
      </c>
      <c r="C303" s="1">
        <f ca="1">IFERROR(__xludf.DUMMYFUNCTION("""COMPUTED_VALUE"""),10)</f>
        <v>10</v>
      </c>
      <c r="D303" s="1">
        <f ca="1">IFERROR(__xludf.DUMMYFUNCTION("""COMPUTED_VALUE"""),22)</f>
        <v>22</v>
      </c>
      <c r="E303" s="1">
        <f ca="1">IFERROR(__xludf.DUMMYFUNCTION("""COMPUTED_VALUE"""),0.313)</f>
        <v>0.313</v>
      </c>
      <c r="F303" s="1">
        <f ca="1">IFERROR(__xludf.DUMMYFUNCTION("""COMPUTED_VALUE"""),-12.27)</f>
        <v>-12.27</v>
      </c>
      <c r="G303" s="1">
        <f ca="1">IFERROR(__xludf.DUMMYFUNCTION("""COMPUTED_VALUE"""),-5.4)</f>
        <v>-5.4</v>
      </c>
      <c r="H303" s="1">
        <f ca="1">IFERROR(__xludf.DUMMYFUNCTION("""COMPUTED_VALUE"""),6)</f>
        <v>6</v>
      </c>
      <c r="I303" s="1">
        <f ca="1">IFERROR(__xludf.DUMMYFUNCTION("""COMPUTED_VALUE"""),12)</f>
        <v>12</v>
      </c>
      <c r="J303" s="1">
        <f ca="1">IFERROR(__xludf.DUMMYFUNCTION("""COMPUTED_VALUE"""),5)</f>
        <v>5</v>
      </c>
      <c r="K303" s="1">
        <f ca="1">IFERROR(__xludf.DUMMYFUNCTION("""COMPUTED_VALUE"""),8)</f>
        <v>8</v>
      </c>
      <c r="L303" s="1">
        <f ca="1">IFERROR(__xludf.DUMMYFUNCTION("""COMPUTED_VALUE"""),4)</f>
        <v>4</v>
      </c>
      <c r="M303" s="1">
        <f ca="1">IFERROR(__xludf.DUMMYFUNCTION("""COMPUTED_VALUE"""),13)</f>
        <v>13</v>
      </c>
      <c r="N303" s="1">
        <f ca="1">IFERROR(__xludf.DUMMYFUNCTION("""COMPUTED_VALUE"""),2117)</f>
        <v>2117</v>
      </c>
      <c r="O303" s="1">
        <f ca="1">IFERROR(__xludf.DUMMYFUNCTION("""COMPUTED_VALUE"""),2281)</f>
        <v>2281</v>
      </c>
      <c r="P303" s="1">
        <f ca="1">IFERROR(__xludf.DUMMYFUNCTION("""COMPUTED_VALUE"""),1290)</f>
        <v>1290</v>
      </c>
      <c r="Q303" s="1">
        <f ca="1">IFERROR(__xludf.DUMMYFUNCTION("""COMPUTED_VALUE"""),731)</f>
        <v>731</v>
      </c>
      <c r="R303" s="1">
        <f ca="1">IFERROR(__xludf.DUMMYFUNCTION("""COMPUTED_VALUE"""),1678)</f>
        <v>1678</v>
      </c>
      <c r="S303" s="1">
        <f ca="1">IFERROR(__xludf.DUMMYFUNCTION("""COMPUTED_VALUE"""),0.436)</f>
        <v>0.436</v>
      </c>
      <c r="T303" s="1">
        <f ca="1">IFERROR(__xludf.DUMMYFUNCTION("""COMPUTED_VALUE"""),163)</f>
        <v>163</v>
      </c>
      <c r="U303" s="1">
        <f ca="1">IFERROR(__xludf.DUMMYFUNCTION("""COMPUTED_VALUE"""),478)</f>
        <v>478</v>
      </c>
      <c r="V303" s="1">
        <f ca="1">IFERROR(__xludf.DUMMYFUNCTION("""COMPUTED_VALUE"""),0.341)</f>
        <v>0.34100000000000003</v>
      </c>
      <c r="W303" s="1">
        <f ca="1">IFERROR(__xludf.DUMMYFUNCTION("""COMPUTED_VALUE"""),492)</f>
        <v>492</v>
      </c>
      <c r="X303" s="1">
        <f ca="1">IFERROR(__xludf.DUMMYFUNCTION("""COMPUTED_VALUE"""),794)</f>
        <v>794</v>
      </c>
      <c r="Y303" s="1">
        <f ca="1">IFERROR(__xludf.DUMMYFUNCTION("""COMPUTED_VALUE"""),0.62)</f>
        <v>0.62</v>
      </c>
      <c r="Z303" s="1">
        <f ca="1">IFERROR(__xludf.DUMMYFUNCTION("""COMPUTED_VALUE"""),346)</f>
        <v>346</v>
      </c>
      <c r="AA303" s="1">
        <f ca="1">IFERROR(__xludf.DUMMYFUNCTION("""COMPUTED_VALUE"""),1112)</f>
        <v>1112</v>
      </c>
      <c r="AB303" s="1">
        <f ca="1">IFERROR(__xludf.DUMMYFUNCTION("""COMPUTED_VALUE"""),389)</f>
        <v>389</v>
      </c>
      <c r="AC303" s="1">
        <f ca="1">IFERROR(__xludf.DUMMYFUNCTION("""COMPUTED_VALUE"""),146)</f>
        <v>146</v>
      </c>
      <c r="AD303" s="1">
        <f ca="1">IFERROR(__xludf.DUMMYFUNCTION("""COMPUTED_VALUE"""),120)</f>
        <v>120</v>
      </c>
      <c r="AE303" s="1">
        <f ca="1">IFERROR(__xludf.DUMMYFUNCTION("""COMPUTED_VALUE"""),463)</f>
        <v>463</v>
      </c>
      <c r="AF303" s="1">
        <f ca="1">IFERROR(__xludf.DUMMYFUNCTION("""COMPUTED_VALUE"""),677)</f>
        <v>677</v>
      </c>
    </row>
    <row r="304" spans="1:32" ht="12.5" x14ac:dyDescent="0.25">
      <c r="A304" s="1" t="str">
        <f ca="1">IFERROR(__xludf.DUMMYFUNCTION("""COMPUTED_VALUE"""),"Southeastern Louisiana")</f>
        <v>Southeastern Louisiana</v>
      </c>
      <c r="B304" s="1">
        <f ca="1">IFERROR(__xludf.DUMMYFUNCTION("""COMPUTED_VALUE"""),29)</f>
        <v>29</v>
      </c>
      <c r="C304" s="1">
        <f ca="1">IFERROR(__xludf.DUMMYFUNCTION("""COMPUTED_VALUE"""),15)</f>
        <v>15</v>
      </c>
      <c r="D304" s="1">
        <f ca="1">IFERROR(__xludf.DUMMYFUNCTION("""COMPUTED_VALUE"""),14)</f>
        <v>14</v>
      </c>
      <c r="E304" s="1">
        <f ca="1">IFERROR(__xludf.DUMMYFUNCTION("""COMPUTED_VALUE"""),0.517)</f>
        <v>0.51700000000000002</v>
      </c>
      <c r="F304" s="1">
        <f ca="1">IFERROR(__xludf.DUMMYFUNCTION("""COMPUTED_VALUE"""),-8.93)</f>
        <v>-8.93</v>
      </c>
      <c r="G304" s="1">
        <f ca="1">IFERROR(__xludf.DUMMYFUNCTION("""COMPUTED_VALUE"""),-5.4)</f>
        <v>-5.4</v>
      </c>
      <c r="H304" s="1">
        <f ca="1">IFERROR(__xludf.DUMMYFUNCTION("""COMPUTED_VALUE"""),9)</f>
        <v>9</v>
      </c>
      <c r="I304" s="1">
        <f ca="1">IFERROR(__xludf.DUMMYFUNCTION("""COMPUTED_VALUE"""),7)</f>
        <v>7</v>
      </c>
      <c r="J304" s="1">
        <f ca="1">IFERROR(__xludf.DUMMYFUNCTION("""COMPUTED_VALUE"""),9)</f>
        <v>9</v>
      </c>
      <c r="K304" s="1">
        <f ca="1">IFERROR(__xludf.DUMMYFUNCTION("""COMPUTED_VALUE"""),2)</f>
        <v>2</v>
      </c>
      <c r="L304" s="1">
        <f ca="1">IFERROR(__xludf.DUMMYFUNCTION("""COMPUTED_VALUE"""),5)</f>
        <v>5</v>
      </c>
      <c r="M304" s="1">
        <f ca="1">IFERROR(__xludf.DUMMYFUNCTION("""COMPUTED_VALUE"""),10)</f>
        <v>10</v>
      </c>
      <c r="N304" s="1">
        <f ca="1">IFERROR(__xludf.DUMMYFUNCTION("""COMPUTED_VALUE"""),2031)</f>
        <v>2031</v>
      </c>
      <c r="O304" s="1">
        <f ca="1">IFERROR(__xludf.DUMMYFUNCTION("""COMPUTED_VALUE"""),2003)</f>
        <v>2003</v>
      </c>
      <c r="P304" s="1">
        <f ca="1">IFERROR(__xludf.DUMMYFUNCTION("""COMPUTED_VALUE"""),1165)</f>
        <v>1165</v>
      </c>
      <c r="Q304" s="1">
        <f ca="1">IFERROR(__xludf.DUMMYFUNCTION("""COMPUTED_VALUE"""),705)</f>
        <v>705</v>
      </c>
      <c r="R304" s="1">
        <f ca="1">IFERROR(__xludf.DUMMYFUNCTION("""COMPUTED_VALUE"""),1614)</f>
        <v>1614</v>
      </c>
      <c r="S304" s="1">
        <f ca="1">IFERROR(__xludf.DUMMYFUNCTION("""COMPUTED_VALUE"""),0.437)</f>
        <v>0.437</v>
      </c>
      <c r="T304" s="1">
        <f ca="1">IFERROR(__xludf.DUMMYFUNCTION("""COMPUTED_VALUE"""),181)</f>
        <v>181</v>
      </c>
      <c r="U304" s="1">
        <f ca="1">IFERROR(__xludf.DUMMYFUNCTION("""COMPUTED_VALUE"""),528)</f>
        <v>528</v>
      </c>
      <c r="V304" s="1">
        <f ca="1">IFERROR(__xludf.DUMMYFUNCTION("""COMPUTED_VALUE"""),0.343)</f>
        <v>0.34300000000000003</v>
      </c>
      <c r="W304" s="1">
        <f ca="1">IFERROR(__xludf.DUMMYFUNCTION("""COMPUTED_VALUE"""),440)</f>
        <v>440</v>
      </c>
      <c r="X304" s="1">
        <f ca="1">IFERROR(__xludf.DUMMYFUNCTION("""COMPUTED_VALUE"""),610)</f>
        <v>610</v>
      </c>
      <c r="Y304" s="1">
        <f ca="1">IFERROR(__xludf.DUMMYFUNCTION("""COMPUTED_VALUE"""),0.721)</f>
        <v>0.72099999999999997</v>
      </c>
      <c r="Z304" s="1">
        <f ca="1">IFERROR(__xludf.DUMMYFUNCTION("""COMPUTED_VALUE"""),326)</f>
        <v>326</v>
      </c>
      <c r="AA304" s="1">
        <f ca="1">IFERROR(__xludf.DUMMYFUNCTION("""COMPUTED_VALUE"""),984)</f>
        <v>984</v>
      </c>
      <c r="AB304" s="1">
        <f ca="1">IFERROR(__xludf.DUMMYFUNCTION("""COMPUTED_VALUE"""),415)</f>
        <v>415</v>
      </c>
      <c r="AC304" s="1">
        <f ca="1">IFERROR(__xludf.DUMMYFUNCTION("""COMPUTED_VALUE"""),181)</f>
        <v>181</v>
      </c>
      <c r="AD304" s="1">
        <f ca="1">IFERROR(__xludf.DUMMYFUNCTION("""COMPUTED_VALUE"""),112)</f>
        <v>112</v>
      </c>
      <c r="AE304" s="1">
        <f ca="1">IFERROR(__xludf.DUMMYFUNCTION("""COMPUTED_VALUE"""),389)</f>
        <v>389</v>
      </c>
      <c r="AF304" s="1">
        <f ca="1">IFERROR(__xludf.DUMMYFUNCTION("""COMPUTED_VALUE"""),570)</f>
        <v>570</v>
      </c>
    </row>
    <row r="305" spans="1:32" ht="12.5" x14ac:dyDescent="0.25">
      <c r="A305" s="1" t="str">
        <f ca="1">IFERROR(__xludf.DUMMYFUNCTION("""COMPUTED_VALUE"""),"Southern CaliforniaNCAA")</f>
        <v>Southern CaliforniaNCAA</v>
      </c>
      <c r="B305" s="1">
        <f ca="1">IFERROR(__xludf.DUMMYFUNCTION("""COMPUTED_VALUE"""),34)</f>
        <v>34</v>
      </c>
      <c r="C305" s="1">
        <f ca="1">IFERROR(__xludf.DUMMYFUNCTION("""COMPUTED_VALUE"""),19)</f>
        <v>19</v>
      </c>
      <c r="D305" s="1">
        <f ca="1">IFERROR(__xludf.DUMMYFUNCTION("""COMPUTED_VALUE"""),15)</f>
        <v>15</v>
      </c>
      <c r="E305" s="1">
        <f ca="1">IFERROR(__xludf.DUMMYFUNCTION("""COMPUTED_VALUE"""),0.559)</f>
        <v>0.55900000000000005</v>
      </c>
      <c r="F305" s="1">
        <f ca="1">IFERROR(__xludf.DUMMYFUNCTION("""COMPUTED_VALUE"""),11.52)</f>
        <v>11.52</v>
      </c>
      <c r="G305" s="1">
        <f ca="1">IFERROR(__xludf.DUMMYFUNCTION("""COMPUTED_VALUE"""),7.97)</f>
        <v>7.97</v>
      </c>
      <c r="H305" s="1">
        <f ca="1">IFERROR(__xludf.DUMMYFUNCTION("""COMPUTED_VALUE"""),10)</f>
        <v>10</v>
      </c>
      <c r="I305" s="1">
        <f ca="1">IFERROR(__xludf.DUMMYFUNCTION("""COMPUTED_VALUE"""),8)</f>
        <v>8</v>
      </c>
      <c r="J305" s="1">
        <f ca="1">IFERROR(__xludf.DUMMYFUNCTION("""COMPUTED_VALUE"""),12)</f>
        <v>12</v>
      </c>
      <c r="K305" s="1">
        <f ca="1">IFERROR(__xludf.DUMMYFUNCTION("""COMPUTED_VALUE"""),4)</f>
        <v>4</v>
      </c>
      <c r="L305" s="1">
        <f ca="1">IFERROR(__xludf.DUMMYFUNCTION("""COMPUTED_VALUE"""),5)</f>
        <v>5</v>
      </c>
      <c r="M305" s="1">
        <f ca="1">IFERROR(__xludf.DUMMYFUNCTION("""COMPUTED_VALUE"""),8)</f>
        <v>8</v>
      </c>
      <c r="N305" s="1">
        <f ca="1">IFERROR(__xludf.DUMMYFUNCTION("""COMPUTED_VALUE"""),2252)</f>
        <v>2252</v>
      </c>
      <c r="O305" s="1">
        <f ca="1">IFERROR(__xludf.DUMMYFUNCTION("""COMPUTED_VALUE"""),2131)</f>
        <v>2131</v>
      </c>
      <c r="P305" s="1">
        <f ca="1">IFERROR(__xludf.DUMMYFUNCTION("""COMPUTED_VALUE"""),1365)</f>
        <v>1365</v>
      </c>
      <c r="Q305" s="1">
        <f ca="1">IFERROR(__xludf.DUMMYFUNCTION("""COMPUTED_VALUE"""),813)</f>
        <v>813</v>
      </c>
      <c r="R305" s="1">
        <f ca="1">IFERROR(__xludf.DUMMYFUNCTION("""COMPUTED_VALUE"""),1832)</f>
        <v>1832</v>
      </c>
      <c r="S305" s="1">
        <f ca="1">IFERROR(__xludf.DUMMYFUNCTION("""COMPUTED_VALUE"""),0.444)</f>
        <v>0.44400000000000001</v>
      </c>
      <c r="T305" s="1">
        <f ca="1">IFERROR(__xludf.DUMMYFUNCTION("""COMPUTED_VALUE"""),204)</f>
        <v>204</v>
      </c>
      <c r="U305" s="1">
        <f ca="1">IFERROR(__xludf.DUMMYFUNCTION("""COMPUTED_VALUE"""),577)</f>
        <v>577</v>
      </c>
      <c r="V305" s="1">
        <f ca="1">IFERROR(__xludf.DUMMYFUNCTION("""COMPUTED_VALUE"""),0.354)</f>
        <v>0.35399999999999998</v>
      </c>
      <c r="W305" s="1">
        <f ca="1">IFERROR(__xludf.DUMMYFUNCTION("""COMPUTED_VALUE"""),422)</f>
        <v>422</v>
      </c>
      <c r="X305" s="1">
        <f ca="1">IFERROR(__xludf.DUMMYFUNCTION("""COMPUTED_VALUE"""),648)</f>
        <v>648</v>
      </c>
      <c r="Y305" s="1">
        <f ca="1">IFERROR(__xludf.DUMMYFUNCTION("""COMPUTED_VALUE"""),0.651)</f>
        <v>0.65100000000000002</v>
      </c>
      <c r="Z305" s="1">
        <f ca="1">IFERROR(__xludf.DUMMYFUNCTION("""COMPUTED_VALUE"""),340)</f>
        <v>340</v>
      </c>
      <c r="AA305" s="1">
        <f ca="1">IFERROR(__xludf.DUMMYFUNCTION("""COMPUTED_VALUE"""),1153)</f>
        <v>1153</v>
      </c>
      <c r="AB305" s="1">
        <f ca="1">IFERROR(__xludf.DUMMYFUNCTION("""COMPUTED_VALUE"""),402)</f>
        <v>402</v>
      </c>
      <c r="AC305" s="1">
        <f ca="1">IFERROR(__xludf.DUMMYFUNCTION("""COMPUTED_VALUE"""),199)</f>
        <v>199</v>
      </c>
      <c r="AD305" s="1">
        <f ca="1">IFERROR(__xludf.DUMMYFUNCTION("""COMPUTED_VALUE"""),104)</f>
        <v>104</v>
      </c>
      <c r="AE305" s="1">
        <f ca="1">IFERROR(__xludf.DUMMYFUNCTION("""COMPUTED_VALUE"""),390)</f>
        <v>390</v>
      </c>
      <c r="AF305" s="1">
        <f ca="1">IFERROR(__xludf.DUMMYFUNCTION("""COMPUTED_VALUE"""),589)</f>
        <v>589</v>
      </c>
    </row>
    <row r="306" spans="1:32" ht="12.5" x14ac:dyDescent="0.25">
      <c r="A306" s="1" t="str">
        <f ca="1">IFERROR(__xludf.DUMMYFUNCTION("""COMPUTED_VALUE"""),"SIU Edwardsville")</f>
        <v>SIU Edwardsville</v>
      </c>
      <c r="B306" s="1">
        <f ca="1">IFERROR(__xludf.DUMMYFUNCTION("""COMPUTED_VALUE"""),29)</f>
        <v>29</v>
      </c>
      <c r="C306" s="1">
        <f ca="1">IFERROR(__xludf.DUMMYFUNCTION("""COMPUTED_VALUE"""),8)</f>
        <v>8</v>
      </c>
      <c r="D306" s="1">
        <f ca="1">IFERROR(__xludf.DUMMYFUNCTION("""COMPUTED_VALUE"""),21)</f>
        <v>21</v>
      </c>
      <c r="E306" s="1">
        <f ca="1">IFERROR(__xludf.DUMMYFUNCTION("""COMPUTED_VALUE"""),0.276)</f>
        <v>0.27600000000000002</v>
      </c>
      <c r="F306" s="1">
        <f ca="1">IFERROR(__xludf.DUMMYFUNCTION("""COMPUTED_VALUE"""),-22.39)</f>
        <v>-22.39</v>
      </c>
      <c r="G306" s="1">
        <f ca="1">IFERROR(__xludf.DUMMYFUNCTION("""COMPUTED_VALUE"""),-3.67)</f>
        <v>-3.67</v>
      </c>
      <c r="H306" s="1" t="str">
        <f ca="1">IFERROR(__xludf.DUMMYFUNCTION("""COMPUTED_VALUE"""),"")</f>
        <v/>
      </c>
      <c r="I306" s="1" t="str">
        <f ca="1">IFERROR(__xludf.DUMMYFUNCTION("""COMPUTED_VALUE"""),"")</f>
        <v/>
      </c>
      <c r="J306" s="1">
        <f ca="1">IFERROR(__xludf.DUMMYFUNCTION("""COMPUTED_VALUE"""),6)</f>
        <v>6</v>
      </c>
      <c r="K306" s="1">
        <f ca="1">IFERROR(__xludf.DUMMYFUNCTION("""COMPUTED_VALUE"""),8)</f>
        <v>8</v>
      </c>
      <c r="L306" s="1">
        <f ca="1">IFERROR(__xludf.DUMMYFUNCTION("""COMPUTED_VALUE"""),0)</f>
        <v>0</v>
      </c>
      <c r="M306" s="1">
        <f ca="1">IFERROR(__xludf.DUMMYFUNCTION("""COMPUTED_VALUE"""),13)</f>
        <v>13</v>
      </c>
      <c r="N306" s="1">
        <f ca="1">IFERROR(__xludf.DUMMYFUNCTION("""COMPUTED_VALUE"""),1879)</f>
        <v>1879</v>
      </c>
      <c r="O306" s="1">
        <f ca="1">IFERROR(__xludf.DUMMYFUNCTION("""COMPUTED_VALUE"""),2248)</f>
        <v>2248</v>
      </c>
      <c r="P306" s="1">
        <f ca="1">IFERROR(__xludf.DUMMYFUNCTION("""COMPUTED_VALUE"""),1180)</f>
        <v>1180</v>
      </c>
      <c r="Q306" s="1">
        <f ca="1">IFERROR(__xludf.DUMMYFUNCTION("""COMPUTED_VALUE"""),668)</f>
        <v>668</v>
      </c>
      <c r="R306" s="1">
        <f ca="1">IFERROR(__xludf.DUMMYFUNCTION("""COMPUTED_VALUE"""),1584)</f>
        <v>1584</v>
      </c>
      <c r="S306" s="1">
        <f ca="1">IFERROR(__xludf.DUMMYFUNCTION("""COMPUTED_VALUE"""),0.422)</f>
        <v>0.42199999999999999</v>
      </c>
      <c r="T306" s="1">
        <f ca="1">IFERROR(__xludf.DUMMYFUNCTION("""COMPUTED_VALUE"""),197)</f>
        <v>197</v>
      </c>
      <c r="U306" s="1">
        <f ca="1">IFERROR(__xludf.DUMMYFUNCTION("""COMPUTED_VALUE"""),590)</f>
        <v>590</v>
      </c>
      <c r="V306" s="1">
        <f ca="1">IFERROR(__xludf.DUMMYFUNCTION("""COMPUTED_VALUE"""),0.334)</f>
        <v>0.33400000000000002</v>
      </c>
      <c r="W306" s="1">
        <f ca="1">IFERROR(__xludf.DUMMYFUNCTION("""COMPUTED_VALUE"""),346)</f>
        <v>346</v>
      </c>
      <c r="X306" s="1">
        <f ca="1">IFERROR(__xludf.DUMMYFUNCTION("""COMPUTED_VALUE"""),517)</f>
        <v>517</v>
      </c>
      <c r="Y306" s="1">
        <f ca="1">IFERROR(__xludf.DUMMYFUNCTION("""COMPUTED_VALUE"""),0.669)</f>
        <v>0.66900000000000004</v>
      </c>
      <c r="Z306" s="1">
        <f ca="1">IFERROR(__xludf.DUMMYFUNCTION("""COMPUTED_VALUE"""),246)</f>
        <v>246</v>
      </c>
      <c r="AA306" s="1">
        <f ca="1">IFERROR(__xludf.DUMMYFUNCTION("""COMPUTED_VALUE"""),895)</f>
        <v>895</v>
      </c>
      <c r="AB306" s="1">
        <f ca="1">IFERROR(__xludf.DUMMYFUNCTION("""COMPUTED_VALUE"""),386)</f>
        <v>386</v>
      </c>
      <c r="AC306" s="1">
        <f ca="1">IFERROR(__xludf.DUMMYFUNCTION("""COMPUTED_VALUE"""),167)</f>
        <v>167</v>
      </c>
      <c r="AD306" s="1">
        <f ca="1">IFERROR(__xludf.DUMMYFUNCTION("""COMPUTED_VALUE"""),83)</f>
        <v>83</v>
      </c>
      <c r="AE306" s="1">
        <f ca="1">IFERROR(__xludf.DUMMYFUNCTION("""COMPUTED_VALUE"""),489)</f>
        <v>489</v>
      </c>
      <c r="AF306" s="1">
        <f ca="1">IFERROR(__xludf.DUMMYFUNCTION("""COMPUTED_VALUE"""),589)</f>
        <v>589</v>
      </c>
    </row>
    <row r="307" spans="1:32" ht="12.5" x14ac:dyDescent="0.25">
      <c r="A307" s="1" t="str">
        <f ca="1">IFERROR(__xludf.DUMMYFUNCTION("""COMPUTED_VALUE"""),"Southern Illinois")</f>
        <v>Southern Illinois</v>
      </c>
      <c r="B307" s="1">
        <f ca="1">IFERROR(__xludf.DUMMYFUNCTION("""COMPUTED_VALUE"""),32)</f>
        <v>32</v>
      </c>
      <c r="C307" s="1">
        <f ca="1">IFERROR(__xludf.DUMMYFUNCTION("""COMPUTED_VALUE"""),13)</f>
        <v>13</v>
      </c>
      <c r="D307" s="1">
        <f ca="1">IFERROR(__xludf.DUMMYFUNCTION("""COMPUTED_VALUE"""),19)</f>
        <v>19</v>
      </c>
      <c r="E307" s="1">
        <f ca="1">IFERROR(__xludf.DUMMYFUNCTION("""COMPUTED_VALUE"""),0.406)</f>
        <v>0.40600000000000003</v>
      </c>
      <c r="F307" s="1">
        <f ca="1">IFERROR(__xludf.DUMMYFUNCTION("""COMPUTED_VALUE"""),-2.46)</f>
        <v>-2.46</v>
      </c>
      <c r="G307" s="1">
        <f ca="1">IFERROR(__xludf.DUMMYFUNCTION("""COMPUTED_VALUE"""),1.48)</f>
        <v>1.48</v>
      </c>
      <c r="H307" s="1">
        <f ca="1">IFERROR(__xludf.DUMMYFUNCTION("""COMPUTED_VALUE"""),5)</f>
        <v>5</v>
      </c>
      <c r="I307" s="1">
        <f ca="1">IFERROR(__xludf.DUMMYFUNCTION("""COMPUTED_VALUE"""),13)</f>
        <v>13</v>
      </c>
      <c r="J307" s="1">
        <f ca="1">IFERROR(__xludf.DUMMYFUNCTION("""COMPUTED_VALUE"""),8)</f>
        <v>8</v>
      </c>
      <c r="K307" s="1">
        <f ca="1">IFERROR(__xludf.DUMMYFUNCTION("""COMPUTED_VALUE"""),8)</f>
        <v>8</v>
      </c>
      <c r="L307" s="1">
        <f ca="1">IFERROR(__xludf.DUMMYFUNCTION("""COMPUTED_VALUE"""),3)</f>
        <v>3</v>
      </c>
      <c r="M307" s="1">
        <f ca="1">IFERROR(__xludf.DUMMYFUNCTION("""COMPUTED_VALUE"""),9)</f>
        <v>9</v>
      </c>
      <c r="N307" s="1">
        <f ca="1">IFERROR(__xludf.DUMMYFUNCTION("""COMPUTED_VALUE"""),1953)</f>
        <v>1953</v>
      </c>
      <c r="O307" s="1">
        <f ca="1">IFERROR(__xludf.DUMMYFUNCTION("""COMPUTED_VALUE"""),2079)</f>
        <v>2079</v>
      </c>
      <c r="P307" s="1">
        <f ca="1">IFERROR(__xludf.DUMMYFUNCTION("""COMPUTED_VALUE"""),1290)</f>
        <v>1290</v>
      </c>
      <c r="Q307" s="1">
        <f ca="1">IFERROR(__xludf.DUMMYFUNCTION("""COMPUTED_VALUE"""),691)</f>
        <v>691</v>
      </c>
      <c r="R307" s="1">
        <f ca="1">IFERROR(__xludf.DUMMYFUNCTION("""COMPUTED_VALUE"""),1618)</f>
        <v>1618</v>
      </c>
      <c r="S307" s="1">
        <f ca="1">IFERROR(__xludf.DUMMYFUNCTION("""COMPUTED_VALUE"""),0.427)</f>
        <v>0.42699999999999999</v>
      </c>
      <c r="T307" s="1">
        <f ca="1">IFERROR(__xludf.DUMMYFUNCTION("""COMPUTED_VALUE"""),141)</f>
        <v>141</v>
      </c>
      <c r="U307" s="1">
        <f ca="1">IFERROR(__xludf.DUMMYFUNCTION("""COMPUTED_VALUE"""),439)</f>
        <v>439</v>
      </c>
      <c r="V307" s="1">
        <f ca="1">IFERROR(__xludf.DUMMYFUNCTION("""COMPUTED_VALUE"""),0.321)</f>
        <v>0.32100000000000001</v>
      </c>
      <c r="W307" s="1">
        <f ca="1">IFERROR(__xludf.DUMMYFUNCTION("""COMPUTED_VALUE"""),430)</f>
        <v>430</v>
      </c>
      <c r="X307" s="1">
        <f ca="1">IFERROR(__xludf.DUMMYFUNCTION("""COMPUTED_VALUE"""),621)</f>
        <v>621</v>
      </c>
      <c r="Y307" s="1">
        <f ca="1">IFERROR(__xludf.DUMMYFUNCTION("""COMPUTED_VALUE"""),0.692)</f>
        <v>0.69199999999999995</v>
      </c>
      <c r="Z307" s="1">
        <f ca="1">IFERROR(__xludf.DUMMYFUNCTION("""COMPUTED_VALUE"""),316)</f>
        <v>316</v>
      </c>
      <c r="AA307" s="1">
        <f ca="1">IFERROR(__xludf.DUMMYFUNCTION("""COMPUTED_VALUE"""),1059)</f>
        <v>1059</v>
      </c>
      <c r="AB307" s="1">
        <f ca="1">IFERROR(__xludf.DUMMYFUNCTION("""COMPUTED_VALUE"""),365)</f>
        <v>365</v>
      </c>
      <c r="AC307" s="1">
        <f ca="1">IFERROR(__xludf.DUMMYFUNCTION("""COMPUTED_VALUE"""),179)</f>
        <v>179</v>
      </c>
      <c r="AD307" s="1">
        <f ca="1">IFERROR(__xludf.DUMMYFUNCTION("""COMPUTED_VALUE"""),82)</f>
        <v>82</v>
      </c>
      <c r="AE307" s="1">
        <f ca="1">IFERROR(__xludf.DUMMYFUNCTION("""COMPUTED_VALUE"""),456)</f>
        <v>456</v>
      </c>
      <c r="AF307" s="1">
        <f ca="1">IFERROR(__xludf.DUMMYFUNCTION("""COMPUTED_VALUE"""),634)</f>
        <v>634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IFERROR(__xludf.DUMMYFUNCTION("""COMPUTED_VALUE"""),"Southern Methodist")</f>
        <v>Southern Methodist</v>
      </c>
      <c r="B310" s="1">
        <f ca="1">IFERROR(__xludf.DUMMYFUNCTION("""COMPUTED_VALUE"""),35)</f>
        <v>35</v>
      </c>
      <c r="C310" s="1">
        <f ca="1">IFERROR(__xludf.DUMMYFUNCTION("""COMPUTED_VALUE"""),20)</f>
        <v>20</v>
      </c>
      <c r="D310" s="1">
        <f ca="1">IFERROR(__xludf.DUMMYFUNCTION("""COMPUTED_VALUE"""),15)</f>
        <v>15</v>
      </c>
      <c r="E310" s="1">
        <f ca="1">IFERROR(__xludf.DUMMYFUNCTION("""COMPUTED_VALUE"""),0.571)</f>
        <v>0.57099999999999995</v>
      </c>
      <c r="F310" s="1">
        <f ca="1">IFERROR(__xludf.DUMMYFUNCTION("""COMPUTED_VALUE"""),1.04)</f>
        <v>1.04</v>
      </c>
      <c r="G310" s="1">
        <f ca="1">IFERROR(__xludf.DUMMYFUNCTION("""COMPUTED_VALUE"""),-0.39)</f>
        <v>-0.39</v>
      </c>
      <c r="H310" s="1">
        <f ca="1">IFERROR(__xludf.DUMMYFUNCTION("""COMPUTED_VALUE"""),8)</f>
        <v>8</v>
      </c>
      <c r="I310" s="1">
        <f ca="1">IFERROR(__xludf.DUMMYFUNCTION("""COMPUTED_VALUE"""),8)</f>
        <v>8</v>
      </c>
      <c r="J310" s="1">
        <f ca="1">IFERROR(__xludf.DUMMYFUNCTION("""COMPUTED_VALUE"""),15)</f>
        <v>15</v>
      </c>
      <c r="K310" s="1">
        <f ca="1">IFERROR(__xludf.DUMMYFUNCTION("""COMPUTED_VALUE"""),7)</f>
        <v>7</v>
      </c>
      <c r="L310" s="1">
        <f ca="1">IFERROR(__xludf.DUMMYFUNCTION("""COMPUTED_VALUE"""),5)</f>
        <v>5</v>
      </c>
      <c r="M310" s="1">
        <f ca="1">IFERROR(__xludf.DUMMYFUNCTION("""COMPUTED_VALUE"""),7)</f>
        <v>7</v>
      </c>
      <c r="N310" s="1">
        <f ca="1">IFERROR(__xludf.DUMMYFUNCTION("""COMPUTED_VALUE"""),2262)</f>
        <v>2262</v>
      </c>
      <c r="O310" s="1">
        <f ca="1">IFERROR(__xludf.DUMMYFUNCTION("""COMPUTED_VALUE"""),2147)</f>
        <v>2147</v>
      </c>
      <c r="P310" s="1">
        <f ca="1">IFERROR(__xludf.DUMMYFUNCTION("""COMPUTED_VALUE"""),1415)</f>
        <v>1415</v>
      </c>
      <c r="Q310" s="1">
        <f ca="1">IFERROR(__xludf.DUMMYFUNCTION("""COMPUTED_VALUE"""),788)</f>
        <v>788</v>
      </c>
      <c r="R310" s="1">
        <f ca="1">IFERROR(__xludf.DUMMYFUNCTION("""COMPUTED_VALUE"""),1634)</f>
        <v>1634</v>
      </c>
      <c r="S310" s="1">
        <f ca="1">IFERROR(__xludf.DUMMYFUNCTION("""COMPUTED_VALUE"""),0.482)</f>
        <v>0.48199999999999998</v>
      </c>
      <c r="T310" s="1">
        <f ca="1">IFERROR(__xludf.DUMMYFUNCTION("""COMPUTED_VALUE"""),277)</f>
        <v>277</v>
      </c>
      <c r="U310" s="1">
        <f ca="1">IFERROR(__xludf.DUMMYFUNCTION("""COMPUTED_VALUE"""),703)</f>
        <v>703</v>
      </c>
      <c r="V310" s="1">
        <f ca="1">IFERROR(__xludf.DUMMYFUNCTION("""COMPUTED_VALUE"""),0.394)</f>
        <v>0.39400000000000002</v>
      </c>
      <c r="W310" s="1">
        <f ca="1">IFERROR(__xludf.DUMMYFUNCTION("""COMPUTED_VALUE"""),409)</f>
        <v>409</v>
      </c>
      <c r="X310" s="1">
        <f ca="1">IFERROR(__xludf.DUMMYFUNCTION("""COMPUTED_VALUE"""),551)</f>
        <v>551</v>
      </c>
      <c r="Y310" s="1">
        <f ca="1">IFERROR(__xludf.DUMMYFUNCTION("""COMPUTED_VALUE"""),0.742)</f>
        <v>0.74199999999999999</v>
      </c>
      <c r="Z310" s="1">
        <f ca="1">IFERROR(__xludf.DUMMYFUNCTION("""COMPUTED_VALUE"""),222)</f>
        <v>222</v>
      </c>
      <c r="AA310" s="1">
        <f ca="1">IFERROR(__xludf.DUMMYFUNCTION("""COMPUTED_VALUE"""),966)</f>
        <v>966</v>
      </c>
      <c r="AB310" s="1">
        <f ca="1">IFERROR(__xludf.DUMMYFUNCTION("""COMPUTED_VALUE"""),488)</f>
        <v>488</v>
      </c>
      <c r="AC310" s="1">
        <f ca="1">IFERROR(__xludf.DUMMYFUNCTION("""COMPUTED_VALUE"""),217)</f>
        <v>217</v>
      </c>
      <c r="AD310" s="1">
        <f ca="1">IFERROR(__xludf.DUMMYFUNCTION("""COMPUTED_VALUE"""),107)</f>
        <v>107</v>
      </c>
      <c r="AE310" s="1">
        <f ca="1">IFERROR(__xludf.DUMMYFUNCTION("""COMPUTED_VALUE"""),490)</f>
        <v>490</v>
      </c>
      <c r="AF310" s="1">
        <f ca="1">IFERROR(__xludf.DUMMYFUNCTION("""COMPUTED_VALUE"""),572)</f>
        <v>572</v>
      </c>
    </row>
    <row r="311" spans="1:32" ht="12.5" x14ac:dyDescent="0.25">
      <c r="A311" s="1" t="str">
        <f ca="1">IFERROR(__xludf.DUMMYFUNCTION("""COMPUTED_VALUE"""),"Southern Mississippi")</f>
        <v>Southern Mississippi</v>
      </c>
      <c r="B311" s="1">
        <f ca="1">IFERROR(__xludf.DUMMYFUNCTION("""COMPUTED_VALUE"""),32)</f>
        <v>32</v>
      </c>
      <c r="C311" s="1">
        <f ca="1">IFERROR(__xludf.DUMMYFUNCTION("""COMPUTED_VALUE"""),22)</f>
        <v>22</v>
      </c>
      <c r="D311" s="1">
        <f ca="1">IFERROR(__xludf.DUMMYFUNCTION("""COMPUTED_VALUE"""),10)</f>
        <v>10</v>
      </c>
      <c r="E311" s="1">
        <f ca="1">IFERROR(__xludf.DUMMYFUNCTION("""COMPUTED_VALUE"""),0.688)</f>
        <v>0.68799999999999994</v>
      </c>
      <c r="F311" s="1">
        <f ca="1">IFERROR(__xludf.DUMMYFUNCTION("""COMPUTED_VALUE"""),8.41)</f>
        <v>8.41</v>
      </c>
      <c r="G311" s="1">
        <f ca="1">IFERROR(__xludf.DUMMYFUNCTION("""COMPUTED_VALUE"""),1.9)</f>
        <v>1.9</v>
      </c>
      <c r="H311" s="1">
        <f ca="1">IFERROR(__xludf.DUMMYFUNCTION("""COMPUTED_VALUE"""),9)</f>
        <v>9</v>
      </c>
      <c r="I311" s="1">
        <f ca="1">IFERROR(__xludf.DUMMYFUNCTION("""COMPUTED_VALUE"""),7)</f>
        <v>7</v>
      </c>
      <c r="J311" s="1">
        <f ca="1">IFERROR(__xludf.DUMMYFUNCTION("""COMPUTED_VALUE"""),13)</f>
        <v>13</v>
      </c>
      <c r="K311" s="1">
        <f ca="1">IFERROR(__xludf.DUMMYFUNCTION("""COMPUTED_VALUE"""),2)</f>
        <v>2</v>
      </c>
      <c r="L311" s="1">
        <f ca="1">IFERROR(__xludf.DUMMYFUNCTION("""COMPUTED_VALUE"""),6)</f>
        <v>6</v>
      </c>
      <c r="M311" s="1">
        <f ca="1">IFERROR(__xludf.DUMMYFUNCTION("""COMPUTED_VALUE"""),6)</f>
        <v>6</v>
      </c>
      <c r="N311" s="1">
        <f ca="1">IFERROR(__xludf.DUMMYFUNCTION("""COMPUTED_VALUE"""),2371)</f>
        <v>2371</v>
      </c>
      <c r="O311" s="1">
        <f ca="1">IFERROR(__xludf.DUMMYFUNCTION("""COMPUTED_VALUE"""),2093)</f>
        <v>2093</v>
      </c>
      <c r="P311" s="1">
        <f ca="1">IFERROR(__xludf.DUMMYFUNCTION("""COMPUTED_VALUE"""),1285)</f>
        <v>1285</v>
      </c>
      <c r="Q311" s="1">
        <f ca="1">IFERROR(__xludf.DUMMYFUNCTION("""COMPUTED_VALUE"""),825)</f>
        <v>825</v>
      </c>
      <c r="R311" s="1">
        <f ca="1">IFERROR(__xludf.DUMMYFUNCTION("""COMPUTED_VALUE"""),1821)</f>
        <v>1821</v>
      </c>
      <c r="S311" s="1">
        <f ca="1">IFERROR(__xludf.DUMMYFUNCTION("""COMPUTED_VALUE"""),0.453)</f>
        <v>0.45300000000000001</v>
      </c>
      <c r="T311" s="1">
        <f ca="1">IFERROR(__xludf.DUMMYFUNCTION("""COMPUTED_VALUE"""),172)</f>
        <v>172</v>
      </c>
      <c r="U311" s="1">
        <f ca="1">IFERROR(__xludf.DUMMYFUNCTION("""COMPUTED_VALUE"""),468)</f>
        <v>468</v>
      </c>
      <c r="V311" s="1">
        <f ca="1">IFERROR(__xludf.DUMMYFUNCTION("""COMPUTED_VALUE"""),0.368)</f>
        <v>0.36799999999999999</v>
      </c>
      <c r="W311" s="1">
        <f ca="1">IFERROR(__xludf.DUMMYFUNCTION("""COMPUTED_VALUE"""),549)</f>
        <v>549</v>
      </c>
      <c r="X311" s="1">
        <f ca="1">IFERROR(__xludf.DUMMYFUNCTION("""COMPUTED_VALUE"""),752)</f>
        <v>752</v>
      </c>
      <c r="Y311" s="1">
        <f ca="1">IFERROR(__xludf.DUMMYFUNCTION("""COMPUTED_VALUE"""),0.73)</f>
        <v>0.73</v>
      </c>
      <c r="Z311" s="1">
        <f ca="1">IFERROR(__xludf.DUMMYFUNCTION("""COMPUTED_VALUE"""),439)</f>
        <v>439</v>
      </c>
      <c r="AA311" s="1">
        <f ca="1">IFERROR(__xludf.DUMMYFUNCTION("""COMPUTED_VALUE"""),1228)</f>
        <v>1228</v>
      </c>
      <c r="AB311" s="1">
        <f ca="1">IFERROR(__xludf.DUMMYFUNCTION("""COMPUTED_VALUE"""),380)</f>
        <v>380</v>
      </c>
      <c r="AC311" s="1">
        <f ca="1">IFERROR(__xludf.DUMMYFUNCTION("""COMPUTED_VALUE"""),178)</f>
        <v>178</v>
      </c>
      <c r="AD311" s="1">
        <f ca="1">IFERROR(__xludf.DUMMYFUNCTION("""COMPUTED_VALUE"""),114)</f>
        <v>114</v>
      </c>
      <c r="AE311" s="1">
        <f ca="1">IFERROR(__xludf.DUMMYFUNCTION("""COMPUTED_VALUE"""),379)</f>
        <v>379</v>
      </c>
      <c r="AF311" s="1">
        <f ca="1">IFERROR(__xludf.DUMMYFUNCTION("""COMPUTED_VALUE"""),614)</f>
        <v>614</v>
      </c>
    </row>
    <row r="312" spans="1:32" ht="12.5" x14ac:dyDescent="0.25">
      <c r="A312" s="1" t="str">
        <f ca="1">IFERROR(__xludf.DUMMYFUNCTION("""COMPUTED_VALUE"""),"Southern Utah")</f>
        <v>Southern Utah</v>
      </c>
      <c r="B312" s="1">
        <f ca="1">IFERROR(__xludf.DUMMYFUNCTION("""COMPUTED_VALUE"""),30)</f>
        <v>30</v>
      </c>
      <c r="C312" s="1">
        <f ca="1">IFERROR(__xludf.DUMMYFUNCTION("""COMPUTED_VALUE"""),11)</f>
        <v>11</v>
      </c>
      <c r="D312" s="1">
        <f ca="1">IFERROR(__xludf.DUMMYFUNCTION("""COMPUTED_VALUE"""),19)</f>
        <v>19</v>
      </c>
      <c r="E312" s="1">
        <f ca="1">IFERROR(__xludf.DUMMYFUNCTION("""COMPUTED_VALUE"""),0.367)</f>
        <v>0.36699999999999999</v>
      </c>
      <c r="F312" s="1">
        <f ca="1">IFERROR(__xludf.DUMMYFUNCTION("""COMPUTED_VALUE"""),-7.8)</f>
        <v>-7.8</v>
      </c>
      <c r="G312" s="1">
        <f ca="1">IFERROR(__xludf.DUMMYFUNCTION("""COMPUTED_VALUE"""),-3.44)</f>
        <v>-3.44</v>
      </c>
      <c r="H312" s="1">
        <f ca="1">IFERROR(__xludf.DUMMYFUNCTION("""COMPUTED_VALUE"""),7)</f>
        <v>7</v>
      </c>
      <c r="I312" s="1">
        <f ca="1">IFERROR(__xludf.DUMMYFUNCTION("""COMPUTED_VALUE"""),11)</f>
        <v>11</v>
      </c>
      <c r="J312" s="1">
        <f ca="1">IFERROR(__xludf.DUMMYFUNCTION("""COMPUTED_VALUE"""),6)</f>
        <v>6</v>
      </c>
      <c r="K312" s="1">
        <f ca="1">IFERROR(__xludf.DUMMYFUNCTION("""COMPUTED_VALUE"""),8)</f>
        <v>8</v>
      </c>
      <c r="L312" s="1">
        <f ca="1">IFERROR(__xludf.DUMMYFUNCTION("""COMPUTED_VALUE"""),4)</f>
        <v>4</v>
      </c>
      <c r="M312" s="1">
        <f ca="1">IFERROR(__xludf.DUMMYFUNCTION("""COMPUTED_VALUE"""),8)</f>
        <v>8</v>
      </c>
      <c r="N312" s="1">
        <f ca="1">IFERROR(__xludf.DUMMYFUNCTION("""COMPUTED_VALUE"""),2077)</f>
        <v>2077</v>
      </c>
      <c r="O312" s="1">
        <f ca="1">IFERROR(__xludf.DUMMYFUNCTION("""COMPUTED_VALUE"""),2192)</f>
        <v>2192</v>
      </c>
      <c r="P312" s="1">
        <f ca="1">IFERROR(__xludf.DUMMYFUNCTION("""COMPUTED_VALUE"""),1200)</f>
        <v>1200</v>
      </c>
      <c r="Q312" s="1">
        <f ca="1">IFERROR(__xludf.DUMMYFUNCTION("""COMPUTED_VALUE"""),736)</f>
        <v>736</v>
      </c>
      <c r="R312" s="1">
        <f ca="1">IFERROR(__xludf.DUMMYFUNCTION("""COMPUTED_VALUE"""),1572)</f>
        <v>1572</v>
      </c>
      <c r="S312" s="1">
        <f ca="1">IFERROR(__xludf.DUMMYFUNCTION("""COMPUTED_VALUE"""),0.468)</f>
        <v>0.46800000000000003</v>
      </c>
      <c r="T312" s="1">
        <f ca="1">IFERROR(__xludf.DUMMYFUNCTION("""COMPUTED_VALUE"""),97)</f>
        <v>97</v>
      </c>
      <c r="U312" s="1">
        <f ca="1">IFERROR(__xludf.DUMMYFUNCTION("""COMPUTED_VALUE"""),284)</f>
        <v>284</v>
      </c>
      <c r="V312" s="1">
        <f ca="1">IFERROR(__xludf.DUMMYFUNCTION("""COMPUTED_VALUE"""),0.342)</f>
        <v>0.34200000000000003</v>
      </c>
      <c r="W312" s="1">
        <f ca="1">IFERROR(__xludf.DUMMYFUNCTION("""COMPUTED_VALUE"""),508)</f>
        <v>508</v>
      </c>
      <c r="X312" s="1">
        <f ca="1">IFERROR(__xludf.DUMMYFUNCTION("""COMPUTED_VALUE"""),716)</f>
        <v>716</v>
      </c>
      <c r="Y312" s="1">
        <f ca="1">IFERROR(__xludf.DUMMYFUNCTION("""COMPUTED_VALUE"""),0.709)</f>
        <v>0.70899999999999996</v>
      </c>
      <c r="Z312" s="1">
        <f ca="1">IFERROR(__xludf.DUMMYFUNCTION("""COMPUTED_VALUE"""),340)</f>
        <v>340</v>
      </c>
      <c r="AA312" s="1">
        <f ca="1">IFERROR(__xludf.DUMMYFUNCTION("""COMPUTED_VALUE"""),1011)</f>
        <v>1011</v>
      </c>
      <c r="AB312" s="1">
        <f ca="1">IFERROR(__xludf.DUMMYFUNCTION("""COMPUTED_VALUE"""),423)</f>
        <v>423</v>
      </c>
      <c r="AC312" s="1">
        <f ca="1">IFERROR(__xludf.DUMMYFUNCTION("""COMPUTED_VALUE"""),161)</f>
        <v>161</v>
      </c>
      <c r="AD312" s="1">
        <f ca="1">IFERROR(__xludf.DUMMYFUNCTION("""COMPUTED_VALUE"""),135)</f>
        <v>135</v>
      </c>
      <c r="AE312" s="1">
        <f ca="1">IFERROR(__xludf.DUMMYFUNCTION("""COMPUTED_VALUE"""),479)</f>
        <v>479</v>
      </c>
      <c r="AF312" s="1">
        <f ca="1">IFERROR(__xludf.DUMMYFUNCTION("""COMPUTED_VALUE"""),651)</f>
        <v>651</v>
      </c>
    </row>
    <row r="313" spans="1:32" ht="12.5" x14ac:dyDescent="0.25">
      <c r="A313" s="1" t="str">
        <f ca="1">IFERROR(__xludf.DUMMYFUNCTION("""COMPUTED_VALUE"""),"Southern")</f>
        <v>Southern</v>
      </c>
      <c r="B313" s="1">
        <f ca="1">IFERROR(__xludf.DUMMYFUNCTION("""COMPUTED_VALUE"""),30)</f>
        <v>30</v>
      </c>
      <c r="C313" s="1">
        <f ca="1">IFERROR(__xludf.DUMMYFUNCTION("""COMPUTED_VALUE"""),4)</f>
        <v>4</v>
      </c>
      <c r="D313" s="1">
        <f ca="1">IFERROR(__xludf.DUMMYFUNCTION("""COMPUTED_VALUE"""),26)</f>
        <v>26</v>
      </c>
      <c r="E313" s="1">
        <f ca="1">IFERROR(__xludf.DUMMYFUNCTION("""COMPUTED_VALUE"""),0.133)</f>
        <v>0.13300000000000001</v>
      </c>
      <c r="F313" s="1">
        <f ca="1">IFERROR(__xludf.DUMMYFUNCTION("""COMPUTED_VALUE"""),-25.62)</f>
        <v>-25.62</v>
      </c>
      <c r="G313" s="1">
        <f ca="1">IFERROR(__xludf.DUMMYFUNCTION("""COMPUTED_VALUE"""),-9.47)</f>
        <v>-9.4700000000000006</v>
      </c>
      <c r="H313" s="1">
        <f ca="1">IFERROR(__xludf.DUMMYFUNCTION("""COMPUTED_VALUE"""),3)</f>
        <v>3</v>
      </c>
      <c r="I313" s="1">
        <f ca="1">IFERROR(__xludf.DUMMYFUNCTION("""COMPUTED_VALUE"""),15)</f>
        <v>15</v>
      </c>
      <c r="J313" s="1">
        <f ca="1">IFERROR(__xludf.DUMMYFUNCTION("""COMPUTED_VALUE"""),3)</f>
        <v>3</v>
      </c>
      <c r="K313" s="1">
        <f ca="1">IFERROR(__xludf.DUMMYFUNCTION("""COMPUTED_VALUE"""),11)</f>
        <v>11</v>
      </c>
      <c r="L313" s="1">
        <f ca="1">IFERROR(__xludf.DUMMYFUNCTION("""COMPUTED_VALUE"""),1)</f>
        <v>1</v>
      </c>
      <c r="M313" s="1">
        <f ca="1">IFERROR(__xludf.DUMMYFUNCTION("""COMPUTED_VALUE"""),13)</f>
        <v>13</v>
      </c>
      <c r="N313" s="1">
        <f ca="1">IFERROR(__xludf.DUMMYFUNCTION("""COMPUTED_VALUE"""),1701)</f>
        <v>1701</v>
      </c>
      <c r="O313" s="1">
        <f ca="1">IFERROR(__xludf.DUMMYFUNCTION("""COMPUTED_VALUE"""),2162)</f>
        <v>2162</v>
      </c>
      <c r="P313" s="1">
        <f ca="1">IFERROR(__xludf.DUMMYFUNCTION("""COMPUTED_VALUE"""),1210)</f>
        <v>1210</v>
      </c>
      <c r="Q313" s="1">
        <f ca="1">IFERROR(__xludf.DUMMYFUNCTION("""COMPUTED_VALUE"""),610)</f>
        <v>610</v>
      </c>
      <c r="R313" s="1">
        <f ca="1">IFERROR(__xludf.DUMMYFUNCTION("""COMPUTED_VALUE"""),1597)</f>
        <v>1597</v>
      </c>
      <c r="S313" s="1">
        <f ca="1">IFERROR(__xludf.DUMMYFUNCTION("""COMPUTED_VALUE"""),0.382)</f>
        <v>0.38200000000000001</v>
      </c>
      <c r="T313" s="1">
        <f ca="1">IFERROR(__xludf.DUMMYFUNCTION("""COMPUTED_VALUE"""),153)</f>
        <v>153</v>
      </c>
      <c r="U313" s="1">
        <f ca="1">IFERROR(__xludf.DUMMYFUNCTION("""COMPUTED_VALUE"""),517)</f>
        <v>517</v>
      </c>
      <c r="V313" s="1">
        <f ca="1">IFERROR(__xludf.DUMMYFUNCTION("""COMPUTED_VALUE"""),0.296)</f>
        <v>0.29599999999999999</v>
      </c>
      <c r="W313" s="1">
        <f ca="1">IFERROR(__xludf.DUMMYFUNCTION("""COMPUTED_VALUE"""),328)</f>
        <v>328</v>
      </c>
      <c r="X313" s="1">
        <f ca="1">IFERROR(__xludf.DUMMYFUNCTION("""COMPUTED_VALUE"""),550)</f>
        <v>550</v>
      </c>
      <c r="Y313" s="1">
        <f ca="1">IFERROR(__xludf.DUMMYFUNCTION("""COMPUTED_VALUE"""),0.596)</f>
        <v>0.59599999999999997</v>
      </c>
      <c r="Z313" s="1">
        <f ca="1">IFERROR(__xludf.DUMMYFUNCTION("""COMPUTED_VALUE"""),318)</f>
        <v>318</v>
      </c>
      <c r="AA313" s="1">
        <f ca="1">IFERROR(__xludf.DUMMYFUNCTION("""COMPUTED_VALUE"""),988)</f>
        <v>988</v>
      </c>
      <c r="AB313" s="1">
        <f ca="1">IFERROR(__xludf.DUMMYFUNCTION("""COMPUTED_VALUE"""),350)</f>
        <v>350</v>
      </c>
      <c r="AC313" s="1">
        <f ca="1">IFERROR(__xludf.DUMMYFUNCTION("""COMPUTED_VALUE"""),165)</f>
        <v>165</v>
      </c>
      <c r="AD313" s="1">
        <f ca="1">IFERROR(__xludf.DUMMYFUNCTION("""COMPUTED_VALUE"""),100)</f>
        <v>100</v>
      </c>
      <c r="AE313" s="1">
        <f ca="1">IFERROR(__xludf.DUMMYFUNCTION("""COMPUTED_VALUE"""),498)</f>
        <v>498</v>
      </c>
      <c r="AF313" s="1">
        <f ca="1">IFERROR(__xludf.DUMMYFUNCTION("""COMPUTED_VALUE"""),507)</f>
        <v>507</v>
      </c>
    </row>
    <row r="314" spans="1:32" ht="12.5" x14ac:dyDescent="0.25">
      <c r="A314" s="1" t="str">
        <f ca="1">IFERROR(__xludf.DUMMYFUNCTION("""COMPUTED_VALUE"""),"St. Bonaventure")</f>
        <v>St. Bonaventure</v>
      </c>
      <c r="B314" s="1">
        <f ca="1">IFERROR(__xludf.DUMMYFUNCTION("""COMPUTED_VALUE"""),31)</f>
        <v>31</v>
      </c>
      <c r="C314" s="1">
        <f ca="1">IFERROR(__xludf.DUMMYFUNCTION("""COMPUTED_VALUE"""),16)</f>
        <v>16</v>
      </c>
      <c r="D314" s="1">
        <f ca="1">IFERROR(__xludf.DUMMYFUNCTION("""COMPUTED_VALUE"""),15)</f>
        <v>15</v>
      </c>
      <c r="E314" s="1">
        <f ca="1">IFERROR(__xludf.DUMMYFUNCTION("""COMPUTED_VALUE"""),0.516)</f>
        <v>0.51600000000000001</v>
      </c>
      <c r="F314" s="1">
        <f ca="1">IFERROR(__xludf.DUMMYFUNCTION("""COMPUTED_VALUE"""),1.31)</f>
        <v>1.31</v>
      </c>
      <c r="G314" s="1">
        <f ca="1">IFERROR(__xludf.DUMMYFUNCTION("""COMPUTED_VALUE"""),1.73)</f>
        <v>1.73</v>
      </c>
      <c r="H314" s="1">
        <f ca="1">IFERROR(__xludf.DUMMYFUNCTION("""COMPUTED_VALUE"""),8)</f>
        <v>8</v>
      </c>
      <c r="I314" s="1">
        <f ca="1">IFERROR(__xludf.DUMMYFUNCTION("""COMPUTED_VALUE"""),8)</f>
        <v>8</v>
      </c>
      <c r="J314" s="1">
        <f ca="1">IFERROR(__xludf.DUMMYFUNCTION("""COMPUTED_VALUE"""),10)</f>
        <v>10</v>
      </c>
      <c r="K314" s="1">
        <f ca="1">IFERROR(__xludf.DUMMYFUNCTION("""COMPUTED_VALUE"""),5)</f>
        <v>5</v>
      </c>
      <c r="L314" s="1">
        <f ca="1">IFERROR(__xludf.DUMMYFUNCTION("""COMPUTED_VALUE"""),6)</f>
        <v>6</v>
      </c>
      <c r="M314" s="1">
        <f ca="1">IFERROR(__xludf.DUMMYFUNCTION("""COMPUTED_VALUE"""),9)</f>
        <v>9</v>
      </c>
      <c r="N314" s="1">
        <f ca="1">IFERROR(__xludf.DUMMYFUNCTION("""COMPUTED_VALUE"""),2156)</f>
        <v>2156</v>
      </c>
      <c r="O314" s="1">
        <f ca="1">IFERROR(__xludf.DUMMYFUNCTION("""COMPUTED_VALUE"""),2169)</f>
        <v>2169</v>
      </c>
      <c r="P314" s="1">
        <f ca="1">IFERROR(__xludf.DUMMYFUNCTION("""COMPUTED_VALUE"""),1290)</f>
        <v>1290</v>
      </c>
      <c r="Q314" s="1">
        <f ca="1">IFERROR(__xludf.DUMMYFUNCTION("""COMPUTED_VALUE"""),744)</f>
        <v>744</v>
      </c>
      <c r="R314" s="1">
        <f ca="1">IFERROR(__xludf.DUMMYFUNCTION("""COMPUTED_VALUE"""),1632)</f>
        <v>1632</v>
      </c>
      <c r="S314" s="1">
        <f ca="1">IFERROR(__xludf.DUMMYFUNCTION("""COMPUTED_VALUE"""),0.456)</f>
        <v>0.45600000000000002</v>
      </c>
      <c r="T314" s="1">
        <f ca="1">IFERROR(__xludf.DUMMYFUNCTION("""COMPUTED_VALUE"""),169)</f>
        <v>169</v>
      </c>
      <c r="U314" s="1">
        <f ca="1">IFERROR(__xludf.DUMMYFUNCTION("""COMPUTED_VALUE"""),481)</f>
        <v>481</v>
      </c>
      <c r="V314" s="1">
        <f ca="1">IFERROR(__xludf.DUMMYFUNCTION("""COMPUTED_VALUE"""),0.351)</f>
        <v>0.35099999999999998</v>
      </c>
      <c r="W314" s="1">
        <f ca="1">IFERROR(__xludf.DUMMYFUNCTION("""COMPUTED_VALUE"""),499)</f>
        <v>499</v>
      </c>
      <c r="X314" s="1">
        <f ca="1">IFERROR(__xludf.DUMMYFUNCTION("""COMPUTED_VALUE"""),714)</f>
        <v>714</v>
      </c>
      <c r="Y314" s="1">
        <f ca="1">IFERROR(__xludf.DUMMYFUNCTION("""COMPUTED_VALUE"""),0.699)</f>
        <v>0.69899999999999995</v>
      </c>
      <c r="Z314" s="1">
        <f ca="1">IFERROR(__xludf.DUMMYFUNCTION("""COMPUTED_VALUE"""),339)</f>
        <v>339</v>
      </c>
      <c r="AA314" s="1">
        <f ca="1">IFERROR(__xludf.DUMMYFUNCTION("""COMPUTED_VALUE"""),1109)</f>
        <v>1109</v>
      </c>
      <c r="AB314" s="1">
        <f ca="1">IFERROR(__xludf.DUMMYFUNCTION("""COMPUTED_VALUE"""),398)</f>
        <v>398</v>
      </c>
      <c r="AC314" s="1">
        <f ca="1">IFERROR(__xludf.DUMMYFUNCTION("""COMPUTED_VALUE"""),156)</f>
        <v>156</v>
      </c>
      <c r="AD314" s="1">
        <f ca="1">IFERROR(__xludf.DUMMYFUNCTION("""COMPUTED_VALUE"""),106)</f>
        <v>106</v>
      </c>
      <c r="AE314" s="1">
        <f ca="1">IFERROR(__xludf.DUMMYFUNCTION("""COMPUTED_VALUE"""),459)</f>
        <v>459</v>
      </c>
      <c r="AF314" s="1">
        <f ca="1">IFERROR(__xludf.DUMMYFUNCTION("""COMPUTED_VALUE"""),562)</f>
        <v>562</v>
      </c>
    </row>
    <row r="315" spans="1:32" ht="12.5" x14ac:dyDescent="0.25">
      <c r="A315" s="1" t="str">
        <f ca="1">IFERROR(__xludf.DUMMYFUNCTION("""COMPUTED_VALUE"""),"St. Francis (NY)")</f>
        <v>St. Francis (NY)</v>
      </c>
      <c r="B315" s="1">
        <f ca="1">IFERROR(__xludf.DUMMYFUNCTION("""COMPUTED_VALUE"""),30)</f>
        <v>30</v>
      </c>
      <c r="C315" s="1">
        <f ca="1">IFERROR(__xludf.DUMMYFUNCTION("""COMPUTED_VALUE"""),15)</f>
        <v>15</v>
      </c>
      <c r="D315" s="1">
        <f ca="1">IFERROR(__xludf.DUMMYFUNCTION("""COMPUTED_VALUE"""),15)</f>
        <v>15</v>
      </c>
      <c r="E315" s="1">
        <f ca="1">IFERROR(__xludf.DUMMYFUNCTION("""COMPUTED_VALUE"""),0.5)</f>
        <v>0.5</v>
      </c>
      <c r="F315" s="1">
        <f ca="1">IFERROR(__xludf.DUMMYFUNCTION("""COMPUTED_VALUE"""),-5.45)</f>
        <v>-5.45</v>
      </c>
      <c r="G315" s="1">
        <f ca="1">IFERROR(__xludf.DUMMYFUNCTION("""COMPUTED_VALUE"""),-5.85)</f>
        <v>-5.85</v>
      </c>
      <c r="H315" s="1">
        <f ca="1">IFERROR(__xludf.DUMMYFUNCTION("""COMPUTED_VALUE"""),10)</f>
        <v>10</v>
      </c>
      <c r="I315" s="1">
        <f ca="1">IFERROR(__xludf.DUMMYFUNCTION("""COMPUTED_VALUE"""),8)</f>
        <v>8</v>
      </c>
      <c r="J315" s="1">
        <f ca="1">IFERROR(__xludf.DUMMYFUNCTION("""COMPUTED_VALUE"""),10)</f>
        <v>10</v>
      </c>
      <c r="K315" s="1">
        <f ca="1">IFERROR(__xludf.DUMMYFUNCTION("""COMPUTED_VALUE"""),3)</f>
        <v>3</v>
      </c>
      <c r="L315" s="1">
        <f ca="1">IFERROR(__xludf.DUMMYFUNCTION("""COMPUTED_VALUE"""),5)</f>
        <v>5</v>
      </c>
      <c r="M315" s="1">
        <f ca="1">IFERROR(__xludf.DUMMYFUNCTION("""COMPUTED_VALUE"""),10)</f>
        <v>10</v>
      </c>
      <c r="N315" s="1">
        <f ca="1">IFERROR(__xludf.DUMMYFUNCTION("""COMPUTED_VALUE"""),2002)</f>
        <v>2002</v>
      </c>
      <c r="O315" s="1">
        <f ca="1">IFERROR(__xludf.DUMMYFUNCTION("""COMPUTED_VALUE"""),1990)</f>
        <v>1990</v>
      </c>
      <c r="P315" s="1">
        <f ca="1">IFERROR(__xludf.DUMMYFUNCTION("""COMPUTED_VALUE"""),1200)</f>
        <v>1200</v>
      </c>
      <c r="Q315" s="1">
        <f ca="1">IFERROR(__xludf.DUMMYFUNCTION("""COMPUTED_VALUE"""),673)</f>
        <v>673</v>
      </c>
      <c r="R315" s="1">
        <f ca="1">IFERROR(__xludf.DUMMYFUNCTION("""COMPUTED_VALUE"""),1685)</f>
        <v>1685</v>
      </c>
      <c r="S315" s="1">
        <f ca="1">IFERROR(__xludf.DUMMYFUNCTION("""COMPUTED_VALUE"""),0.399)</f>
        <v>0.39900000000000002</v>
      </c>
      <c r="T315" s="1">
        <f ca="1">IFERROR(__xludf.DUMMYFUNCTION("""COMPUTED_VALUE"""),209)</f>
        <v>209</v>
      </c>
      <c r="U315" s="1">
        <f ca="1">IFERROR(__xludf.DUMMYFUNCTION("""COMPUTED_VALUE"""),673)</f>
        <v>673</v>
      </c>
      <c r="V315" s="1">
        <f ca="1">IFERROR(__xludf.DUMMYFUNCTION("""COMPUTED_VALUE"""),0.311)</f>
        <v>0.311</v>
      </c>
      <c r="W315" s="1">
        <f ca="1">IFERROR(__xludf.DUMMYFUNCTION("""COMPUTED_VALUE"""),447)</f>
        <v>447</v>
      </c>
      <c r="X315" s="1">
        <f ca="1">IFERROR(__xludf.DUMMYFUNCTION("""COMPUTED_VALUE"""),675)</f>
        <v>675</v>
      </c>
      <c r="Y315" s="1">
        <f ca="1">IFERROR(__xludf.DUMMYFUNCTION("""COMPUTED_VALUE"""),0.662)</f>
        <v>0.66200000000000003</v>
      </c>
      <c r="Z315" s="1">
        <f ca="1">IFERROR(__xludf.DUMMYFUNCTION("""COMPUTED_VALUE"""),363)</f>
        <v>363</v>
      </c>
      <c r="AA315" s="1">
        <f ca="1">IFERROR(__xludf.DUMMYFUNCTION("""COMPUTED_VALUE"""),989)</f>
        <v>989</v>
      </c>
      <c r="AB315" s="1">
        <f ca="1">IFERROR(__xludf.DUMMYFUNCTION("""COMPUTED_VALUE"""),349)</f>
        <v>349</v>
      </c>
      <c r="AC315" s="1">
        <f ca="1">IFERROR(__xludf.DUMMYFUNCTION("""COMPUTED_VALUE"""),234)</f>
        <v>234</v>
      </c>
      <c r="AD315" s="1">
        <f ca="1">IFERROR(__xludf.DUMMYFUNCTION("""COMPUTED_VALUE"""),72)</f>
        <v>72</v>
      </c>
      <c r="AE315" s="1">
        <f ca="1">IFERROR(__xludf.DUMMYFUNCTION("""COMPUTED_VALUE"""),399)</f>
        <v>399</v>
      </c>
      <c r="AF315" s="1">
        <f ca="1">IFERROR(__xludf.DUMMYFUNCTION("""COMPUTED_VALUE"""),641)</f>
        <v>641</v>
      </c>
    </row>
    <row r="316" spans="1:32" ht="12.5" x14ac:dyDescent="0.25">
      <c r="A316" s="1" t="str">
        <f ca="1">IFERROR(__xludf.DUMMYFUNCTION("""COMPUTED_VALUE"""),"St. John's (NY)NCAA")</f>
        <v>St. John's (NY)NCAA</v>
      </c>
      <c r="B316" s="1">
        <f ca="1">IFERROR(__xludf.DUMMYFUNCTION("""COMPUTED_VALUE"""),33)</f>
        <v>33</v>
      </c>
      <c r="C316" s="1">
        <f ca="1">IFERROR(__xludf.DUMMYFUNCTION("""COMPUTED_VALUE"""),21)</f>
        <v>21</v>
      </c>
      <c r="D316" s="1">
        <f ca="1">IFERROR(__xludf.DUMMYFUNCTION("""COMPUTED_VALUE"""),12)</f>
        <v>12</v>
      </c>
      <c r="E316" s="1">
        <f ca="1">IFERROR(__xludf.DUMMYFUNCTION("""COMPUTED_VALUE"""),0.636)</f>
        <v>0.63600000000000001</v>
      </c>
      <c r="F316" s="1">
        <f ca="1">IFERROR(__xludf.DUMMYFUNCTION("""COMPUTED_VALUE"""),13.1)</f>
        <v>13.1</v>
      </c>
      <c r="G316" s="1">
        <f ca="1">IFERROR(__xludf.DUMMYFUNCTION("""COMPUTED_VALUE"""),10.01)</f>
        <v>10.01</v>
      </c>
      <c r="H316" s="1">
        <f ca="1">IFERROR(__xludf.DUMMYFUNCTION("""COMPUTED_VALUE"""),12)</f>
        <v>12</v>
      </c>
      <c r="I316" s="1">
        <f ca="1">IFERROR(__xludf.DUMMYFUNCTION("""COMPUTED_VALUE"""),6)</f>
        <v>6</v>
      </c>
      <c r="J316" s="1">
        <f ca="1">IFERROR(__xludf.DUMMYFUNCTION("""COMPUTED_VALUE"""),12)</f>
        <v>12</v>
      </c>
      <c r="K316" s="1">
        <f ca="1">IFERROR(__xludf.DUMMYFUNCTION("""COMPUTED_VALUE"""),3)</f>
        <v>3</v>
      </c>
      <c r="L316" s="1">
        <f ca="1">IFERROR(__xludf.DUMMYFUNCTION("""COMPUTED_VALUE"""),5)</f>
        <v>5</v>
      </c>
      <c r="M316" s="1">
        <f ca="1">IFERROR(__xludf.DUMMYFUNCTION("""COMPUTED_VALUE"""),7)</f>
        <v>7</v>
      </c>
      <c r="N316" s="1">
        <f ca="1">IFERROR(__xludf.DUMMYFUNCTION("""COMPUTED_VALUE"""),2313)</f>
        <v>2313</v>
      </c>
      <c r="O316" s="1">
        <f ca="1">IFERROR(__xludf.DUMMYFUNCTION("""COMPUTED_VALUE"""),2211)</f>
        <v>2211</v>
      </c>
      <c r="P316" s="1">
        <f ca="1">IFERROR(__xludf.DUMMYFUNCTION("""COMPUTED_VALUE"""),1325)</f>
        <v>1325</v>
      </c>
      <c r="Q316" s="1">
        <f ca="1">IFERROR(__xludf.DUMMYFUNCTION("""COMPUTED_VALUE"""),807)</f>
        <v>807</v>
      </c>
      <c r="R316" s="1">
        <f ca="1">IFERROR(__xludf.DUMMYFUNCTION("""COMPUTED_VALUE"""),1773)</f>
        <v>1773</v>
      </c>
      <c r="S316" s="1">
        <f ca="1">IFERROR(__xludf.DUMMYFUNCTION("""COMPUTED_VALUE"""),0.455)</f>
        <v>0.45500000000000002</v>
      </c>
      <c r="T316" s="1">
        <f ca="1">IFERROR(__xludf.DUMMYFUNCTION("""COMPUTED_VALUE"""),143)</f>
        <v>143</v>
      </c>
      <c r="U316" s="1">
        <f ca="1">IFERROR(__xludf.DUMMYFUNCTION("""COMPUTED_VALUE"""),427)</f>
        <v>427</v>
      </c>
      <c r="V316" s="1">
        <f ca="1">IFERROR(__xludf.DUMMYFUNCTION("""COMPUTED_VALUE"""),0.335)</f>
        <v>0.33500000000000002</v>
      </c>
      <c r="W316" s="1">
        <f ca="1">IFERROR(__xludf.DUMMYFUNCTION("""COMPUTED_VALUE"""),556)</f>
        <v>556</v>
      </c>
      <c r="X316" s="1">
        <f ca="1">IFERROR(__xludf.DUMMYFUNCTION("""COMPUTED_VALUE"""),783)</f>
        <v>783</v>
      </c>
      <c r="Y316" s="1">
        <f ca="1">IFERROR(__xludf.DUMMYFUNCTION("""COMPUTED_VALUE"""),0.71)</f>
        <v>0.71</v>
      </c>
      <c r="Z316" s="1">
        <f ca="1">IFERROR(__xludf.DUMMYFUNCTION("""COMPUTED_VALUE"""),354)</f>
        <v>354</v>
      </c>
      <c r="AA316" s="1">
        <f ca="1">IFERROR(__xludf.DUMMYFUNCTION("""COMPUTED_VALUE"""),1068)</f>
        <v>1068</v>
      </c>
      <c r="AB316" s="1">
        <f ca="1">IFERROR(__xludf.DUMMYFUNCTION("""COMPUTED_VALUE"""),417)</f>
        <v>417</v>
      </c>
      <c r="AC316" s="1">
        <f ca="1">IFERROR(__xludf.DUMMYFUNCTION("""COMPUTED_VALUE"""),266)</f>
        <v>266</v>
      </c>
      <c r="AD316" s="1">
        <f ca="1">IFERROR(__xludf.DUMMYFUNCTION("""COMPUTED_VALUE"""),94)</f>
        <v>94</v>
      </c>
      <c r="AE316" s="1">
        <f ca="1">IFERROR(__xludf.DUMMYFUNCTION("""COMPUTED_VALUE"""),408)</f>
        <v>408</v>
      </c>
      <c r="AF316" s="1">
        <f ca="1">IFERROR(__xludf.DUMMYFUNCTION("""COMPUTED_VALUE"""),626)</f>
        <v>626</v>
      </c>
    </row>
    <row r="317" spans="1:32" ht="12.5" x14ac:dyDescent="0.25">
      <c r="A317" s="1" t="str">
        <f ca="1">IFERROR(__xludf.DUMMYFUNCTION("""COMPUTED_VALUE"""),"Stanford")</f>
        <v>Stanford</v>
      </c>
      <c r="B317" s="1">
        <f ca="1">IFERROR(__xludf.DUMMYFUNCTION("""COMPUTED_VALUE"""),31)</f>
        <v>31</v>
      </c>
      <c r="C317" s="1">
        <f ca="1">IFERROR(__xludf.DUMMYFUNCTION("""COMPUTED_VALUE"""),15)</f>
        <v>15</v>
      </c>
      <c r="D317" s="1">
        <f ca="1">IFERROR(__xludf.DUMMYFUNCTION("""COMPUTED_VALUE"""),16)</f>
        <v>16</v>
      </c>
      <c r="E317" s="1">
        <f ca="1">IFERROR(__xludf.DUMMYFUNCTION("""COMPUTED_VALUE"""),0.484)</f>
        <v>0.48399999999999999</v>
      </c>
      <c r="F317" s="1">
        <f ca="1">IFERROR(__xludf.DUMMYFUNCTION("""COMPUTED_VALUE"""),6.4)</f>
        <v>6.4</v>
      </c>
      <c r="G317" s="1">
        <f ca="1">IFERROR(__xludf.DUMMYFUNCTION("""COMPUTED_VALUE"""),5.17)</f>
        <v>5.17</v>
      </c>
      <c r="H317" s="1">
        <f ca="1">IFERROR(__xludf.DUMMYFUNCTION("""COMPUTED_VALUE"""),7)</f>
        <v>7</v>
      </c>
      <c r="I317" s="1">
        <f ca="1">IFERROR(__xludf.DUMMYFUNCTION("""COMPUTED_VALUE"""),11)</f>
        <v>11</v>
      </c>
      <c r="J317" s="1">
        <f ca="1">IFERROR(__xludf.DUMMYFUNCTION("""COMPUTED_VALUE"""),11)</f>
        <v>11</v>
      </c>
      <c r="K317" s="1">
        <f ca="1">IFERROR(__xludf.DUMMYFUNCTION("""COMPUTED_VALUE"""),5)</f>
        <v>5</v>
      </c>
      <c r="L317" s="1">
        <f ca="1">IFERROR(__xludf.DUMMYFUNCTION("""COMPUTED_VALUE"""),3)</f>
        <v>3</v>
      </c>
      <c r="M317" s="1">
        <f ca="1">IFERROR(__xludf.DUMMYFUNCTION("""COMPUTED_VALUE"""),8)</f>
        <v>8</v>
      </c>
      <c r="N317" s="1">
        <f ca="1">IFERROR(__xludf.DUMMYFUNCTION("""COMPUTED_VALUE"""),2058)</f>
        <v>2058</v>
      </c>
      <c r="O317" s="1">
        <f ca="1">IFERROR(__xludf.DUMMYFUNCTION("""COMPUTED_VALUE"""),2020)</f>
        <v>2020</v>
      </c>
      <c r="P317" s="1">
        <f ca="1">IFERROR(__xludf.DUMMYFUNCTION("""COMPUTED_VALUE"""),1245)</f>
        <v>1245</v>
      </c>
      <c r="Q317" s="1">
        <f ca="1">IFERROR(__xludf.DUMMYFUNCTION("""COMPUTED_VALUE"""),722)</f>
        <v>722</v>
      </c>
      <c r="R317" s="1">
        <f ca="1">IFERROR(__xludf.DUMMYFUNCTION("""COMPUTED_VALUE"""),1676)</f>
        <v>1676</v>
      </c>
      <c r="S317" s="1">
        <f ca="1">IFERROR(__xludf.DUMMYFUNCTION("""COMPUTED_VALUE"""),0.431)</f>
        <v>0.43099999999999999</v>
      </c>
      <c r="T317" s="1">
        <f ca="1">IFERROR(__xludf.DUMMYFUNCTION("""COMPUTED_VALUE"""),198)</f>
        <v>198</v>
      </c>
      <c r="U317" s="1">
        <f ca="1">IFERROR(__xludf.DUMMYFUNCTION("""COMPUTED_VALUE"""),556)</f>
        <v>556</v>
      </c>
      <c r="V317" s="1">
        <f ca="1">IFERROR(__xludf.DUMMYFUNCTION("""COMPUTED_VALUE"""),0.356)</f>
        <v>0.35599999999999998</v>
      </c>
      <c r="W317" s="1">
        <f ca="1">IFERROR(__xludf.DUMMYFUNCTION("""COMPUTED_VALUE"""),416)</f>
        <v>416</v>
      </c>
      <c r="X317" s="1">
        <f ca="1">IFERROR(__xludf.DUMMYFUNCTION("""COMPUTED_VALUE"""),632)</f>
        <v>632</v>
      </c>
      <c r="Y317" s="1">
        <f ca="1">IFERROR(__xludf.DUMMYFUNCTION("""COMPUTED_VALUE"""),0.658)</f>
        <v>0.65800000000000003</v>
      </c>
      <c r="Z317" s="1">
        <f ca="1">IFERROR(__xludf.DUMMYFUNCTION("""COMPUTED_VALUE"""),341)</f>
        <v>341</v>
      </c>
      <c r="AA317" s="1">
        <f ca="1">IFERROR(__xludf.DUMMYFUNCTION("""COMPUTED_VALUE"""),1056)</f>
        <v>1056</v>
      </c>
      <c r="AB317" s="1">
        <f ca="1">IFERROR(__xludf.DUMMYFUNCTION("""COMPUTED_VALUE"""),360)</f>
        <v>360</v>
      </c>
      <c r="AC317" s="1">
        <f ca="1">IFERROR(__xludf.DUMMYFUNCTION("""COMPUTED_VALUE"""),149)</f>
        <v>149</v>
      </c>
      <c r="AD317" s="1">
        <f ca="1">IFERROR(__xludf.DUMMYFUNCTION("""COMPUTED_VALUE"""),106)</f>
        <v>106</v>
      </c>
      <c r="AE317" s="1">
        <f ca="1">IFERROR(__xludf.DUMMYFUNCTION("""COMPUTED_VALUE"""),416)</f>
        <v>416</v>
      </c>
      <c r="AF317" s="1">
        <f ca="1">IFERROR(__xludf.DUMMYFUNCTION("""COMPUTED_VALUE"""),572)</f>
        <v>572</v>
      </c>
    </row>
    <row r="318" spans="1:32" ht="12.5" x14ac:dyDescent="0.25">
      <c r="A318" s="1" t="str">
        <f ca="1">IFERROR(__xludf.DUMMYFUNCTION("""COMPUTED_VALUE"""),"Stephen F. Austin")</f>
        <v>Stephen F. Austin</v>
      </c>
      <c r="B318" s="1">
        <f ca="1">IFERROR(__xludf.DUMMYFUNCTION("""COMPUTED_VALUE"""),29)</f>
        <v>29</v>
      </c>
      <c r="C318" s="1">
        <f ca="1">IFERROR(__xludf.DUMMYFUNCTION("""COMPUTED_VALUE"""),18)</f>
        <v>18</v>
      </c>
      <c r="D318" s="1">
        <f ca="1">IFERROR(__xludf.DUMMYFUNCTION("""COMPUTED_VALUE"""),11)</f>
        <v>11</v>
      </c>
      <c r="E318" s="1">
        <f ca="1">IFERROR(__xludf.DUMMYFUNCTION("""COMPUTED_VALUE"""),0.621)</f>
        <v>0.621</v>
      </c>
      <c r="F318" s="1">
        <f ca="1">IFERROR(__xludf.DUMMYFUNCTION("""COMPUTED_VALUE"""),-3.29)</f>
        <v>-3.29</v>
      </c>
      <c r="G318" s="1">
        <f ca="1">IFERROR(__xludf.DUMMYFUNCTION("""COMPUTED_VALUE"""),-7.73)</f>
        <v>-7.73</v>
      </c>
      <c r="H318" s="1">
        <f ca="1">IFERROR(__xludf.DUMMYFUNCTION("""COMPUTED_VALUE"""),9)</f>
        <v>9</v>
      </c>
      <c r="I318" s="1">
        <f ca="1">IFERROR(__xludf.DUMMYFUNCTION("""COMPUTED_VALUE"""),7)</f>
        <v>7</v>
      </c>
      <c r="J318" s="1">
        <f ca="1">IFERROR(__xludf.DUMMYFUNCTION("""COMPUTED_VALUE"""),13)</f>
        <v>13</v>
      </c>
      <c r="K318" s="1">
        <f ca="1">IFERROR(__xludf.DUMMYFUNCTION("""COMPUTED_VALUE"""),3)</f>
        <v>3</v>
      </c>
      <c r="L318" s="1">
        <f ca="1">IFERROR(__xludf.DUMMYFUNCTION("""COMPUTED_VALUE"""),5)</f>
        <v>5</v>
      </c>
      <c r="M318" s="1">
        <f ca="1">IFERROR(__xludf.DUMMYFUNCTION("""COMPUTED_VALUE"""),7)</f>
        <v>7</v>
      </c>
      <c r="N318" s="1">
        <f ca="1">IFERROR(__xludf.DUMMYFUNCTION("""COMPUTED_VALUE"""),1926)</f>
        <v>1926</v>
      </c>
      <c r="O318" s="1">
        <f ca="1">IFERROR(__xludf.DUMMYFUNCTION("""COMPUTED_VALUE"""),1643)</f>
        <v>1643</v>
      </c>
      <c r="P318" s="1">
        <f ca="1">IFERROR(__xludf.DUMMYFUNCTION("""COMPUTED_VALUE"""),1170)</f>
        <v>1170</v>
      </c>
      <c r="Q318" s="1">
        <f ca="1">IFERROR(__xludf.DUMMYFUNCTION("""COMPUTED_VALUE"""),703)</f>
        <v>703</v>
      </c>
      <c r="R318" s="1">
        <f ca="1">IFERROR(__xludf.DUMMYFUNCTION("""COMPUTED_VALUE"""),1536)</f>
        <v>1536</v>
      </c>
      <c r="S318" s="1">
        <f ca="1">IFERROR(__xludf.DUMMYFUNCTION("""COMPUTED_VALUE"""),0.458)</f>
        <v>0.45800000000000002</v>
      </c>
      <c r="T318" s="1">
        <f ca="1">IFERROR(__xludf.DUMMYFUNCTION("""COMPUTED_VALUE"""),112)</f>
        <v>112</v>
      </c>
      <c r="U318" s="1">
        <f ca="1">IFERROR(__xludf.DUMMYFUNCTION("""COMPUTED_VALUE"""),360)</f>
        <v>360</v>
      </c>
      <c r="V318" s="1">
        <f ca="1">IFERROR(__xludf.DUMMYFUNCTION("""COMPUTED_VALUE"""),0.311)</f>
        <v>0.311</v>
      </c>
      <c r="W318" s="1">
        <f ca="1">IFERROR(__xludf.DUMMYFUNCTION("""COMPUTED_VALUE"""),408)</f>
        <v>408</v>
      </c>
      <c r="X318" s="1">
        <f ca="1">IFERROR(__xludf.DUMMYFUNCTION("""COMPUTED_VALUE"""),566)</f>
        <v>566</v>
      </c>
      <c r="Y318" s="1">
        <f ca="1">IFERROR(__xludf.DUMMYFUNCTION("""COMPUTED_VALUE"""),0.721)</f>
        <v>0.72099999999999997</v>
      </c>
      <c r="Z318" s="1">
        <f ca="1">IFERROR(__xludf.DUMMYFUNCTION("""COMPUTED_VALUE"""),358)</f>
        <v>358</v>
      </c>
      <c r="AA318" s="1">
        <f ca="1">IFERROR(__xludf.DUMMYFUNCTION("""COMPUTED_VALUE"""),1029)</f>
        <v>1029</v>
      </c>
      <c r="AB318" s="1">
        <f ca="1">IFERROR(__xludf.DUMMYFUNCTION("""COMPUTED_VALUE"""),424)</f>
        <v>424</v>
      </c>
      <c r="AC318" s="1">
        <f ca="1">IFERROR(__xludf.DUMMYFUNCTION("""COMPUTED_VALUE"""),200)</f>
        <v>200</v>
      </c>
      <c r="AD318" s="1">
        <f ca="1">IFERROR(__xludf.DUMMYFUNCTION("""COMPUTED_VALUE"""),40)</f>
        <v>40</v>
      </c>
      <c r="AE318" s="1">
        <f ca="1">IFERROR(__xludf.DUMMYFUNCTION("""COMPUTED_VALUE"""),404)</f>
        <v>404</v>
      </c>
      <c r="AF318" s="1">
        <f ca="1">IFERROR(__xludf.DUMMYFUNCTION("""COMPUTED_VALUE"""),511)</f>
        <v>511</v>
      </c>
    </row>
    <row r="319" spans="1:32" ht="12.5" x14ac:dyDescent="0.25">
      <c r="A319" s="1" t="str">
        <f ca="1">IFERROR(__xludf.DUMMYFUNCTION("""COMPUTED_VALUE"""),"Stetson")</f>
        <v>Stetson</v>
      </c>
      <c r="B319" s="1">
        <f ca="1">IFERROR(__xludf.DUMMYFUNCTION("""COMPUTED_VALUE"""),31)</f>
        <v>31</v>
      </c>
      <c r="C319" s="1">
        <f ca="1">IFERROR(__xludf.DUMMYFUNCTION("""COMPUTED_VALUE"""),8)</f>
        <v>8</v>
      </c>
      <c r="D319" s="1">
        <f ca="1">IFERROR(__xludf.DUMMYFUNCTION("""COMPUTED_VALUE"""),23)</f>
        <v>23</v>
      </c>
      <c r="E319" s="1">
        <f ca="1">IFERROR(__xludf.DUMMYFUNCTION("""COMPUTED_VALUE"""),0.258)</f>
        <v>0.25800000000000001</v>
      </c>
      <c r="F319" s="1">
        <f ca="1">IFERROR(__xludf.DUMMYFUNCTION("""COMPUTED_VALUE"""),-10.73)</f>
        <v>-10.73</v>
      </c>
      <c r="G319" s="1">
        <f ca="1">IFERROR(__xludf.DUMMYFUNCTION("""COMPUTED_VALUE"""),-2.86)</f>
        <v>-2.86</v>
      </c>
      <c r="H319" s="1">
        <f ca="1">IFERROR(__xludf.DUMMYFUNCTION("""COMPUTED_VALUE"""),6)</f>
        <v>6</v>
      </c>
      <c r="I319" s="1">
        <f ca="1">IFERROR(__xludf.DUMMYFUNCTION("""COMPUTED_VALUE"""),14)</f>
        <v>14</v>
      </c>
      <c r="J319" s="1">
        <f ca="1">IFERROR(__xludf.DUMMYFUNCTION("""COMPUTED_VALUE"""),5)</f>
        <v>5</v>
      </c>
      <c r="K319" s="1">
        <f ca="1">IFERROR(__xludf.DUMMYFUNCTION("""COMPUTED_VALUE"""),8)</f>
        <v>8</v>
      </c>
      <c r="L319" s="1">
        <f ca="1">IFERROR(__xludf.DUMMYFUNCTION("""COMPUTED_VALUE"""),3)</f>
        <v>3</v>
      </c>
      <c r="M319" s="1">
        <f ca="1">IFERROR(__xludf.DUMMYFUNCTION("""COMPUTED_VALUE"""),12)</f>
        <v>12</v>
      </c>
      <c r="N319" s="1">
        <f ca="1">IFERROR(__xludf.DUMMYFUNCTION("""COMPUTED_VALUE"""),1986)</f>
        <v>1986</v>
      </c>
      <c r="O319" s="1">
        <f ca="1">IFERROR(__xludf.DUMMYFUNCTION("""COMPUTED_VALUE"""),2228)</f>
        <v>2228</v>
      </c>
      <c r="P319" s="1">
        <f ca="1">IFERROR(__xludf.DUMMYFUNCTION("""COMPUTED_VALUE"""),1260)</f>
        <v>1260</v>
      </c>
      <c r="Q319" s="1">
        <f ca="1">IFERROR(__xludf.DUMMYFUNCTION("""COMPUTED_VALUE"""),701)</f>
        <v>701</v>
      </c>
      <c r="R319" s="1">
        <f ca="1">IFERROR(__xludf.DUMMYFUNCTION("""COMPUTED_VALUE"""),1641)</f>
        <v>1641</v>
      </c>
      <c r="S319" s="1">
        <f ca="1">IFERROR(__xludf.DUMMYFUNCTION("""COMPUTED_VALUE"""),0.427)</f>
        <v>0.42699999999999999</v>
      </c>
      <c r="T319" s="1">
        <f ca="1">IFERROR(__xludf.DUMMYFUNCTION("""COMPUTED_VALUE"""),164)</f>
        <v>164</v>
      </c>
      <c r="U319" s="1">
        <f ca="1">IFERROR(__xludf.DUMMYFUNCTION("""COMPUTED_VALUE"""),552)</f>
        <v>552</v>
      </c>
      <c r="V319" s="1">
        <f ca="1">IFERROR(__xludf.DUMMYFUNCTION("""COMPUTED_VALUE"""),0.297)</f>
        <v>0.29699999999999999</v>
      </c>
      <c r="W319" s="1">
        <f ca="1">IFERROR(__xludf.DUMMYFUNCTION("""COMPUTED_VALUE"""),420)</f>
        <v>420</v>
      </c>
      <c r="X319" s="1">
        <f ca="1">IFERROR(__xludf.DUMMYFUNCTION("""COMPUTED_VALUE"""),677)</f>
        <v>677</v>
      </c>
      <c r="Y319" s="1">
        <f ca="1">IFERROR(__xludf.DUMMYFUNCTION("""COMPUTED_VALUE"""),0.62)</f>
        <v>0.62</v>
      </c>
      <c r="Z319" s="1">
        <f ca="1">IFERROR(__xludf.DUMMYFUNCTION("""COMPUTED_VALUE"""),365)</f>
        <v>365</v>
      </c>
      <c r="AA319" s="1">
        <f ca="1">IFERROR(__xludf.DUMMYFUNCTION("""COMPUTED_VALUE"""),1025)</f>
        <v>1025</v>
      </c>
      <c r="AB319" s="1">
        <f ca="1">IFERROR(__xludf.DUMMYFUNCTION("""COMPUTED_VALUE"""),295)</f>
        <v>295</v>
      </c>
      <c r="AC319" s="1">
        <f ca="1">IFERROR(__xludf.DUMMYFUNCTION("""COMPUTED_VALUE"""),235)</f>
        <v>235</v>
      </c>
      <c r="AD319" s="1">
        <f ca="1">IFERROR(__xludf.DUMMYFUNCTION("""COMPUTED_VALUE"""),90)</f>
        <v>90</v>
      </c>
      <c r="AE319" s="1">
        <f ca="1">IFERROR(__xludf.DUMMYFUNCTION("""COMPUTED_VALUE"""),501)</f>
        <v>501</v>
      </c>
      <c r="AF319" s="1">
        <f ca="1">IFERROR(__xludf.DUMMYFUNCTION("""COMPUTED_VALUE"""),660)</f>
        <v>660</v>
      </c>
    </row>
    <row r="320" spans="1:32" ht="12.5" x14ac:dyDescent="0.25">
      <c r="A320" s="1" t="str">
        <f ca="1">IFERROR(__xludf.DUMMYFUNCTION("""COMPUTED_VALUE"""),"Stony Brook")</f>
        <v>Stony Brook</v>
      </c>
      <c r="B320" s="1">
        <f ca="1">IFERROR(__xludf.DUMMYFUNCTION("""COMPUTED_VALUE"""),32)</f>
        <v>32</v>
      </c>
      <c r="C320" s="1">
        <f ca="1">IFERROR(__xludf.DUMMYFUNCTION("""COMPUTED_VALUE"""),15)</f>
        <v>15</v>
      </c>
      <c r="D320" s="1">
        <f ca="1">IFERROR(__xludf.DUMMYFUNCTION("""COMPUTED_VALUE"""),17)</f>
        <v>17</v>
      </c>
      <c r="E320" s="1">
        <f ca="1">IFERROR(__xludf.DUMMYFUNCTION("""COMPUTED_VALUE"""),0.469)</f>
        <v>0.46899999999999997</v>
      </c>
      <c r="F320" s="1">
        <f ca="1">IFERROR(__xludf.DUMMYFUNCTION("""COMPUTED_VALUE"""),-6.85)</f>
        <v>-6.85</v>
      </c>
      <c r="G320" s="1">
        <f ca="1">IFERROR(__xludf.DUMMYFUNCTION("""COMPUTED_VALUE"""),-6.2)</f>
        <v>-6.2</v>
      </c>
      <c r="H320" s="1">
        <f ca="1">IFERROR(__xludf.DUMMYFUNCTION("""COMPUTED_VALUE"""),8)</f>
        <v>8</v>
      </c>
      <c r="I320" s="1">
        <f ca="1">IFERROR(__xludf.DUMMYFUNCTION("""COMPUTED_VALUE"""),8)</f>
        <v>8</v>
      </c>
      <c r="J320" s="1">
        <f ca="1">IFERROR(__xludf.DUMMYFUNCTION("""COMPUTED_VALUE"""),7)</f>
        <v>7</v>
      </c>
      <c r="K320" s="1">
        <f ca="1">IFERROR(__xludf.DUMMYFUNCTION("""COMPUTED_VALUE"""),7)</f>
        <v>7</v>
      </c>
      <c r="L320" s="1">
        <f ca="1">IFERROR(__xludf.DUMMYFUNCTION("""COMPUTED_VALUE"""),6)</f>
        <v>6</v>
      </c>
      <c r="M320" s="1">
        <f ca="1">IFERROR(__xludf.DUMMYFUNCTION("""COMPUTED_VALUE"""),10)</f>
        <v>10</v>
      </c>
      <c r="N320" s="1">
        <f ca="1">IFERROR(__xludf.DUMMYFUNCTION("""COMPUTED_VALUE"""),1951)</f>
        <v>1951</v>
      </c>
      <c r="O320" s="1">
        <f ca="1">IFERROR(__xludf.DUMMYFUNCTION("""COMPUTED_VALUE"""),1934)</f>
        <v>1934</v>
      </c>
      <c r="P320" s="1">
        <f ca="1">IFERROR(__xludf.DUMMYFUNCTION("""COMPUTED_VALUE"""),1310)</f>
        <v>1310</v>
      </c>
      <c r="Q320" s="1">
        <f ca="1">IFERROR(__xludf.DUMMYFUNCTION("""COMPUTED_VALUE"""),679)</f>
        <v>679</v>
      </c>
      <c r="R320" s="1">
        <f ca="1">IFERROR(__xludf.DUMMYFUNCTION("""COMPUTED_VALUE"""),1777)</f>
        <v>1777</v>
      </c>
      <c r="S320" s="1">
        <f ca="1">IFERROR(__xludf.DUMMYFUNCTION("""COMPUTED_VALUE"""),0.382)</f>
        <v>0.38200000000000001</v>
      </c>
      <c r="T320" s="1">
        <f ca="1">IFERROR(__xludf.DUMMYFUNCTION("""COMPUTED_VALUE"""),221)</f>
        <v>221</v>
      </c>
      <c r="U320" s="1">
        <f ca="1">IFERROR(__xludf.DUMMYFUNCTION("""COMPUTED_VALUE"""),640)</f>
        <v>640</v>
      </c>
      <c r="V320" s="1">
        <f ca="1">IFERROR(__xludf.DUMMYFUNCTION("""COMPUTED_VALUE"""),0.345)</f>
        <v>0.34499999999999997</v>
      </c>
      <c r="W320" s="1">
        <f ca="1">IFERROR(__xludf.DUMMYFUNCTION("""COMPUTED_VALUE"""),372)</f>
        <v>372</v>
      </c>
      <c r="X320" s="1">
        <f ca="1">IFERROR(__xludf.DUMMYFUNCTION("""COMPUTED_VALUE"""),565)</f>
        <v>565</v>
      </c>
      <c r="Y320" s="1">
        <f ca="1">IFERROR(__xludf.DUMMYFUNCTION("""COMPUTED_VALUE"""),0.658)</f>
        <v>0.65800000000000003</v>
      </c>
      <c r="Z320" s="1">
        <f ca="1">IFERROR(__xludf.DUMMYFUNCTION("""COMPUTED_VALUE"""),375)</f>
        <v>375</v>
      </c>
      <c r="AA320" s="1">
        <f ca="1">IFERROR(__xludf.DUMMYFUNCTION("""COMPUTED_VALUE"""),1168)</f>
        <v>1168</v>
      </c>
      <c r="AB320" s="1">
        <f ca="1">IFERROR(__xludf.DUMMYFUNCTION("""COMPUTED_VALUE"""),305)</f>
        <v>305</v>
      </c>
      <c r="AC320" s="1">
        <f ca="1">IFERROR(__xludf.DUMMYFUNCTION("""COMPUTED_VALUE"""),172)</f>
        <v>172</v>
      </c>
      <c r="AD320" s="1">
        <f ca="1">IFERROR(__xludf.DUMMYFUNCTION("""COMPUTED_VALUE"""),89)</f>
        <v>89</v>
      </c>
      <c r="AE320" s="1">
        <f ca="1">IFERROR(__xludf.DUMMYFUNCTION("""COMPUTED_VALUE"""),395)</f>
        <v>395</v>
      </c>
      <c r="AF320" s="1">
        <f ca="1">IFERROR(__xludf.DUMMYFUNCTION("""COMPUTED_VALUE"""),568)</f>
        <v>568</v>
      </c>
    </row>
    <row r="321" spans="1:32" ht="12.5" x14ac:dyDescent="0.25">
      <c r="A321" s="1" t="str">
        <f ca="1">IFERROR(__xludf.DUMMYFUNCTION("""COMPUTED_VALUE"""),"SyracuseNCAA")</f>
        <v>SyracuseNCAA</v>
      </c>
      <c r="B321" s="1">
        <f ca="1">IFERROR(__xludf.DUMMYFUNCTION("""COMPUTED_VALUE"""),35)</f>
        <v>35</v>
      </c>
      <c r="C321" s="1">
        <f ca="1">IFERROR(__xludf.DUMMYFUNCTION("""COMPUTED_VALUE"""),27)</f>
        <v>27</v>
      </c>
      <c r="D321" s="1">
        <f ca="1">IFERROR(__xludf.DUMMYFUNCTION("""COMPUTED_VALUE"""),8)</f>
        <v>8</v>
      </c>
      <c r="E321" s="1">
        <f ca="1">IFERROR(__xludf.DUMMYFUNCTION("""COMPUTED_VALUE"""),0.771)</f>
        <v>0.77100000000000002</v>
      </c>
      <c r="F321" s="1">
        <f ca="1">IFERROR(__xludf.DUMMYFUNCTION("""COMPUTED_VALUE"""),18.85)</f>
        <v>18.850000000000001</v>
      </c>
      <c r="G321" s="1">
        <f ca="1">IFERROR(__xludf.DUMMYFUNCTION("""COMPUTED_VALUE"""),8.79)</f>
        <v>8.7899999999999991</v>
      </c>
      <c r="H321" s="1">
        <f ca="1">IFERROR(__xludf.DUMMYFUNCTION("""COMPUTED_VALUE"""),12)</f>
        <v>12</v>
      </c>
      <c r="I321" s="1">
        <f ca="1">IFERROR(__xludf.DUMMYFUNCTION("""COMPUTED_VALUE"""),6)</f>
        <v>6</v>
      </c>
      <c r="J321" s="1">
        <f ca="1">IFERROR(__xludf.DUMMYFUNCTION("""COMPUTED_VALUE"""),16)</f>
        <v>16</v>
      </c>
      <c r="K321" s="1">
        <f ca="1">IFERROR(__xludf.DUMMYFUNCTION("""COMPUTED_VALUE"""),3)</f>
        <v>3</v>
      </c>
      <c r="L321" s="1">
        <f ca="1">IFERROR(__xludf.DUMMYFUNCTION("""COMPUTED_VALUE"""),6)</f>
        <v>6</v>
      </c>
      <c r="M321" s="1">
        <f ca="1">IFERROR(__xludf.DUMMYFUNCTION("""COMPUTED_VALUE"""),3)</f>
        <v>3</v>
      </c>
      <c r="N321" s="1">
        <f ca="1">IFERROR(__xludf.DUMMYFUNCTION("""COMPUTED_VALUE"""),2568)</f>
        <v>2568</v>
      </c>
      <c r="O321" s="1">
        <f ca="1">IFERROR(__xludf.DUMMYFUNCTION("""COMPUTED_VALUE"""),2216)</f>
        <v>2216</v>
      </c>
      <c r="P321" s="1">
        <f ca="1">IFERROR(__xludf.DUMMYFUNCTION("""COMPUTED_VALUE"""),1410)</f>
        <v>1410</v>
      </c>
      <c r="Q321" s="1">
        <f ca="1">IFERROR(__xludf.DUMMYFUNCTION("""COMPUTED_VALUE"""),936)</f>
        <v>936</v>
      </c>
      <c r="R321" s="1">
        <f ca="1">IFERROR(__xludf.DUMMYFUNCTION("""COMPUTED_VALUE"""),1983)</f>
        <v>1983</v>
      </c>
      <c r="S321" s="1">
        <f ca="1">IFERROR(__xludf.DUMMYFUNCTION("""COMPUTED_VALUE"""),0.472)</f>
        <v>0.47199999999999998</v>
      </c>
      <c r="T321" s="1">
        <f ca="1">IFERROR(__xludf.DUMMYFUNCTION("""COMPUTED_VALUE"""),222)</f>
        <v>222</v>
      </c>
      <c r="U321" s="1">
        <f ca="1">IFERROR(__xludf.DUMMYFUNCTION("""COMPUTED_VALUE"""),628)</f>
        <v>628</v>
      </c>
      <c r="V321" s="1">
        <f ca="1">IFERROR(__xludf.DUMMYFUNCTION("""COMPUTED_VALUE"""),0.354)</f>
        <v>0.35399999999999998</v>
      </c>
      <c r="W321" s="1">
        <f ca="1">IFERROR(__xludf.DUMMYFUNCTION("""COMPUTED_VALUE"""),474)</f>
        <v>474</v>
      </c>
      <c r="X321" s="1">
        <f ca="1">IFERROR(__xludf.DUMMYFUNCTION("""COMPUTED_VALUE"""),713)</f>
        <v>713</v>
      </c>
      <c r="Y321" s="1">
        <f ca="1">IFERROR(__xludf.DUMMYFUNCTION("""COMPUTED_VALUE"""),0.665)</f>
        <v>0.66500000000000004</v>
      </c>
      <c r="Z321" s="1">
        <f ca="1">IFERROR(__xludf.DUMMYFUNCTION("""COMPUTED_VALUE"""),429)</f>
        <v>429</v>
      </c>
      <c r="AA321" s="1">
        <f ca="1">IFERROR(__xludf.DUMMYFUNCTION("""COMPUTED_VALUE"""),1308)</f>
        <v>1308</v>
      </c>
      <c r="AB321" s="1">
        <f ca="1">IFERROR(__xludf.DUMMYFUNCTION("""COMPUTED_VALUE"""),566)</f>
        <v>566</v>
      </c>
      <c r="AC321" s="1">
        <f ca="1">IFERROR(__xludf.DUMMYFUNCTION("""COMPUTED_VALUE"""),304)</f>
        <v>304</v>
      </c>
      <c r="AD321" s="1">
        <f ca="1">IFERROR(__xludf.DUMMYFUNCTION("""COMPUTED_VALUE"""),231)</f>
        <v>231</v>
      </c>
      <c r="AE321" s="1">
        <f ca="1">IFERROR(__xludf.DUMMYFUNCTION("""COMPUTED_VALUE"""),433)</f>
        <v>433</v>
      </c>
      <c r="AF321" s="1">
        <f ca="1">IFERROR(__xludf.DUMMYFUNCTION("""COMPUTED_VALUE"""),544)</f>
        <v>544</v>
      </c>
    </row>
    <row r="322" spans="1:32" ht="12.5" x14ac:dyDescent="0.25">
      <c r="A322" s="1" t="str">
        <f ca="1">IFERROR(__xludf.DUMMYFUNCTION("""COMPUTED_VALUE"""),"TempleNCAA")</f>
        <v>TempleNCAA</v>
      </c>
      <c r="B322" s="1">
        <f ca="1">IFERROR(__xludf.DUMMYFUNCTION("""COMPUTED_VALUE"""),34)</f>
        <v>34</v>
      </c>
      <c r="C322" s="1">
        <f ca="1">IFERROR(__xludf.DUMMYFUNCTION("""COMPUTED_VALUE"""),26)</f>
        <v>26</v>
      </c>
      <c r="D322" s="1">
        <f ca="1">IFERROR(__xludf.DUMMYFUNCTION("""COMPUTED_VALUE"""),8)</f>
        <v>8</v>
      </c>
      <c r="E322" s="1">
        <f ca="1">IFERROR(__xludf.DUMMYFUNCTION("""COMPUTED_VALUE"""),0.765)</f>
        <v>0.76500000000000001</v>
      </c>
      <c r="F322" s="1">
        <f ca="1">IFERROR(__xludf.DUMMYFUNCTION("""COMPUTED_VALUE"""),12.35)</f>
        <v>12.35</v>
      </c>
      <c r="G322" s="1">
        <f ca="1">IFERROR(__xludf.DUMMYFUNCTION("""COMPUTED_VALUE"""),4.23)</f>
        <v>4.2300000000000004</v>
      </c>
      <c r="H322" s="1">
        <f ca="1">IFERROR(__xludf.DUMMYFUNCTION("""COMPUTED_VALUE"""),14)</f>
        <v>14</v>
      </c>
      <c r="I322" s="1">
        <f ca="1">IFERROR(__xludf.DUMMYFUNCTION("""COMPUTED_VALUE"""),2)</f>
        <v>2</v>
      </c>
      <c r="J322" s="1">
        <f ca="1">IFERROR(__xludf.DUMMYFUNCTION("""COMPUTED_VALUE"""),14)</f>
        <v>14</v>
      </c>
      <c r="K322" s="1">
        <f ca="1">IFERROR(__xludf.DUMMYFUNCTION("""COMPUTED_VALUE"""),0)</f>
        <v>0</v>
      </c>
      <c r="L322" s="1">
        <f ca="1">IFERROR(__xludf.DUMMYFUNCTION("""COMPUTED_VALUE"""),7)</f>
        <v>7</v>
      </c>
      <c r="M322" s="1">
        <f ca="1">IFERROR(__xludf.DUMMYFUNCTION("""COMPUTED_VALUE"""),4)</f>
        <v>4</v>
      </c>
      <c r="N322" s="1">
        <f ca="1">IFERROR(__xludf.DUMMYFUNCTION("""COMPUTED_VALUE"""),2400)</f>
        <v>2400</v>
      </c>
      <c r="O322" s="1">
        <f ca="1">IFERROR(__xludf.DUMMYFUNCTION("""COMPUTED_VALUE"""),2124)</f>
        <v>2124</v>
      </c>
      <c r="P322" s="1">
        <f ca="1">IFERROR(__xludf.DUMMYFUNCTION("""COMPUTED_VALUE"""),1375)</f>
        <v>1375</v>
      </c>
      <c r="Q322" s="1">
        <f ca="1">IFERROR(__xludf.DUMMYFUNCTION("""COMPUTED_VALUE"""),868)</f>
        <v>868</v>
      </c>
      <c r="R322" s="1">
        <f ca="1">IFERROR(__xludf.DUMMYFUNCTION("""COMPUTED_VALUE"""),1943)</f>
        <v>1943</v>
      </c>
      <c r="S322" s="1">
        <f ca="1">IFERROR(__xludf.DUMMYFUNCTION("""COMPUTED_VALUE"""),0.447)</f>
        <v>0.44700000000000001</v>
      </c>
      <c r="T322" s="1">
        <f ca="1">IFERROR(__xludf.DUMMYFUNCTION("""COMPUTED_VALUE"""),206)</f>
        <v>206</v>
      </c>
      <c r="U322" s="1">
        <f ca="1">IFERROR(__xludf.DUMMYFUNCTION("""COMPUTED_VALUE"""),583)</f>
        <v>583</v>
      </c>
      <c r="V322" s="1">
        <f ca="1">IFERROR(__xludf.DUMMYFUNCTION("""COMPUTED_VALUE"""),0.353)</f>
        <v>0.35299999999999998</v>
      </c>
      <c r="W322" s="1">
        <f ca="1">IFERROR(__xludf.DUMMYFUNCTION("""COMPUTED_VALUE"""),458)</f>
        <v>458</v>
      </c>
      <c r="X322" s="1">
        <f ca="1">IFERROR(__xludf.DUMMYFUNCTION("""COMPUTED_VALUE"""),656)</f>
        <v>656</v>
      </c>
      <c r="Y322" s="1">
        <f ca="1">IFERROR(__xludf.DUMMYFUNCTION("""COMPUTED_VALUE"""),0.698)</f>
        <v>0.69799999999999995</v>
      </c>
      <c r="Z322" s="1">
        <f ca="1">IFERROR(__xludf.DUMMYFUNCTION("""COMPUTED_VALUE"""),374)</f>
        <v>374</v>
      </c>
      <c r="AA322" s="1">
        <f ca="1">IFERROR(__xludf.DUMMYFUNCTION("""COMPUTED_VALUE"""),1218)</f>
        <v>1218</v>
      </c>
      <c r="AB322" s="1">
        <f ca="1">IFERROR(__xludf.DUMMYFUNCTION("""COMPUTED_VALUE"""),511)</f>
        <v>511</v>
      </c>
      <c r="AC322" s="1">
        <f ca="1">IFERROR(__xludf.DUMMYFUNCTION("""COMPUTED_VALUE"""),231)</f>
        <v>231</v>
      </c>
      <c r="AD322" s="1">
        <f ca="1">IFERROR(__xludf.DUMMYFUNCTION("""COMPUTED_VALUE"""),156)</f>
        <v>156</v>
      </c>
      <c r="AE322" s="1">
        <f ca="1">IFERROR(__xludf.DUMMYFUNCTION("""COMPUTED_VALUE"""),368)</f>
        <v>368</v>
      </c>
      <c r="AF322" s="1">
        <f ca="1">IFERROR(__xludf.DUMMYFUNCTION("""COMPUTED_VALUE"""),538)</f>
        <v>538</v>
      </c>
    </row>
    <row r="323" spans="1:32" ht="12.5" x14ac:dyDescent="0.25">
      <c r="A323" s="1" t="str">
        <f ca="1">IFERROR(__xludf.DUMMYFUNCTION("""COMPUTED_VALUE"""),"Tennessee-Martin")</f>
        <v>Tennessee-Martin</v>
      </c>
      <c r="B323" s="1">
        <f ca="1">IFERROR(__xludf.DUMMYFUNCTION("""COMPUTED_VALUE"""),33)</f>
        <v>33</v>
      </c>
      <c r="C323" s="1">
        <f ca="1">IFERROR(__xludf.DUMMYFUNCTION("""COMPUTED_VALUE"""),12)</f>
        <v>12</v>
      </c>
      <c r="D323" s="1">
        <f ca="1">IFERROR(__xludf.DUMMYFUNCTION("""COMPUTED_VALUE"""),21)</f>
        <v>21</v>
      </c>
      <c r="E323" s="1">
        <f ca="1">IFERROR(__xludf.DUMMYFUNCTION("""COMPUTED_VALUE"""),0.364)</f>
        <v>0.36399999999999999</v>
      </c>
      <c r="F323" s="1">
        <f ca="1">IFERROR(__xludf.DUMMYFUNCTION("""COMPUTED_VALUE"""),-12.77)</f>
        <v>-12.77</v>
      </c>
      <c r="G323" s="1">
        <f ca="1">IFERROR(__xludf.DUMMYFUNCTION("""COMPUTED_VALUE"""),-5)</f>
        <v>-5</v>
      </c>
      <c r="H323" s="1">
        <f ca="1">IFERROR(__xludf.DUMMYFUNCTION("""COMPUTED_VALUE"""),6)</f>
        <v>6</v>
      </c>
      <c r="I323" s="1">
        <f ca="1">IFERROR(__xludf.DUMMYFUNCTION("""COMPUTED_VALUE"""),12)</f>
        <v>12</v>
      </c>
      <c r="J323" s="1">
        <f ca="1">IFERROR(__xludf.DUMMYFUNCTION("""COMPUTED_VALUE"""),7)</f>
        <v>7</v>
      </c>
      <c r="K323" s="1">
        <f ca="1">IFERROR(__xludf.DUMMYFUNCTION("""COMPUTED_VALUE"""),7)</f>
        <v>7</v>
      </c>
      <c r="L323" s="1">
        <f ca="1">IFERROR(__xludf.DUMMYFUNCTION("""COMPUTED_VALUE"""),4)</f>
        <v>4</v>
      </c>
      <c r="M323" s="1">
        <f ca="1">IFERROR(__xludf.DUMMYFUNCTION("""COMPUTED_VALUE"""),13)</f>
        <v>13</v>
      </c>
      <c r="N323" s="1">
        <f ca="1">IFERROR(__xludf.DUMMYFUNCTION("""COMPUTED_VALUE"""),2264)</f>
        <v>2264</v>
      </c>
      <c r="O323" s="1">
        <f ca="1">IFERROR(__xludf.DUMMYFUNCTION("""COMPUTED_VALUE"""),2454)</f>
        <v>2454</v>
      </c>
      <c r="P323" s="1">
        <f ca="1">IFERROR(__xludf.DUMMYFUNCTION("""COMPUTED_VALUE"""),1335)</f>
        <v>1335</v>
      </c>
      <c r="Q323" s="1">
        <f ca="1">IFERROR(__xludf.DUMMYFUNCTION("""COMPUTED_VALUE"""),777)</f>
        <v>777</v>
      </c>
      <c r="R323" s="1">
        <f ca="1">IFERROR(__xludf.DUMMYFUNCTION("""COMPUTED_VALUE"""),1836)</f>
        <v>1836</v>
      </c>
      <c r="S323" s="1">
        <f ca="1">IFERROR(__xludf.DUMMYFUNCTION("""COMPUTED_VALUE"""),0.423)</f>
        <v>0.42299999999999999</v>
      </c>
      <c r="T323" s="1">
        <f ca="1">IFERROR(__xludf.DUMMYFUNCTION("""COMPUTED_VALUE"""),181)</f>
        <v>181</v>
      </c>
      <c r="U323" s="1">
        <f ca="1">IFERROR(__xludf.DUMMYFUNCTION("""COMPUTED_VALUE"""),555)</f>
        <v>555</v>
      </c>
      <c r="V323" s="1">
        <f ca="1">IFERROR(__xludf.DUMMYFUNCTION("""COMPUTED_VALUE"""),0.326)</f>
        <v>0.32600000000000001</v>
      </c>
      <c r="W323" s="1">
        <f ca="1">IFERROR(__xludf.DUMMYFUNCTION("""COMPUTED_VALUE"""),529)</f>
        <v>529</v>
      </c>
      <c r="X323" s="1">
        <f ca="1">IFERROR(__xludf.DUMMYFUNCTION("""COMPUTED_VALUE"""),715)</f>
        <v>715</v>
      </c>
      <c r="Y323" s="1">
        <f ca="1">IFERROR(__xludf.DUMMYFUNCTION("""COMPUTED_VALUE"""),0.74)</f>
        <v>0.74</v>
      </c>
      <c r="Z323" s="1">
        <f ca="1">IFERROR(__xludf.DUMMYFUNCTION("""COMPUTED_VALUE"""),358)</f>
        <v>358</v>
      </c>
      <c r="AA323" s="1">
        <f ca="1">IFERROR(__xludf.DUMMYFUNCTION("""COMPUTED_VALUE"""),1088)</f>
        <v>1088</v>
      </c>
      <c r="AB323" s="1">
        <f ca="1">IFERROR(__xludf.DUMMYFUNCTION("""COMPUTED_VALUE"""),362)</f>
        <v>362</v>
      </c>
      <c r="AC323" s="1">
        <f ca="1">IFERROR(__xludf.DUMMYFUNCTION("""COMPUTED_VALUE"""),221)</f>
        <v>221</v>
      </c>
      <c r="AD323" s="1">
        <f ca="1">IFERROR(__xludf.DUMMYFUNCTION("""COMPUTED_VALUE"""),87)</f>
        <v>87</v>
      </c>
      <c r="AE323" s="1">
        <f ca="1">IFERROR(__xludf.DUMMYFUNCTION("""COMPUTED_VALUE"""),504)</f>
        <v>504</v>
      </c>
      <c r="AF323" s="1">
        <f ca="1">IFERROR(__xludf.DUMMYFUNCTION("""COMPUTED_VALUE"""),673)</f>
        <v>673</v>
      </c>
    </row>
    <row r="324" spans="1:32" ht="12.5" x14ac:dyDescent="0.25">
      <c r="A324" s="1" t="str">
        <f ca="1">IFERROR(__xludf.DUMMYFUNCTION("""COMPUTED_VALUE"""),"Tennessee State")</f>
        <v>Tennessee State</v>
      </c>
      <c r="B324" s="1">
        <f ca="1">IFERROR(__xludf.DUMMYFUNCTION("""COMPUTED_VALUE"""),30)</f>
        <v>30</v>
      </c>
      <c r="C324" s="1">
        <f ca="1">IFERROR(__xludf.DUMMYFUNCTION("""COMPUTED_VALUE"""),14)</f>
        <v>14</v>
      </c>
      <c r="D324" s="1">
        <f ca="1">IFERROR(__xludf.DUMMYFUNCTION("""COMPUTED_VALUE"""),16)</f>
        <v>16</v>
      </c>
      <c r="E324" s="1">
        <f ca="1">IFERROR(__xludf.DUMMYFUNCTION("""COMPUTED_VALUE"""),0.467)</f>
        <v>0.46700000000000003</v>
      </c>
      <c r="F324" s="1">
        <f ca="1">IFERROR(__xludf.DUMMYFUNCTION("""COMPUTED_VALUE"""),-7.12)</f>
        <v>-7.12</v>
      </c>
      <c r="G324" s="1">
        <f ca="1">IFERROR(__xludf.DUMMYFUNCTION("""COMPUTED_VALUE"""),-4.73)</f>
        <v>-4.7300000000000004</v>
      </c>
      <c r="H324" s="1">
        <f ca="1">IFERROR(__xludf.DUMMYFUNCTION("""COMPUTED_VALUE"""),10)</f>
        <v>10</v>
      </c>
      <c r="I324" s="1">
        <f ca="1">IFERROR(__xludf.DUMMYFUNCTION("""COMPUTED_VALUE"""),8)</f>
        <v>8</v>
      </c>
      <c r="J324" s="1">
        <f ca="1">IFERROR(__xludf.DUMMYFUNCTION("""COMPUTED_VALUE"""),11)</f>
        <v>11</v>
      </c>
      <c r="K324" s="1">
        <f ca="1">IFERROR(__xludf.DUMMYFUNCTION("""COMPUTED_VALUE"""),2)</f>
        <v>2</v>
      </c>
      <c r="L324" s="1">
        <f ca="1">IFERROR(__xludf.DUMMYFUNCTION("""COMPUTED_VALUE"""),3)</f>
        <v>3</v>
      </c>
      <c r="M324" s="1">
        <f ca="1">IFERROR(__xludf.DUMMYFUNCTION("""COMPUTED_VALUE"""),13)</f>
        <v>13</v>
      </c>
      <c r="N324" s="1">
        <f ca="1">IFERROR(__xludf.DUMMYFUNCTION("""COMPUTED_VALUE"""),2044)</f>
        <v>2044</v>
      </c>
      <c r="O324" s="1">
        <f ca="1">IFERROR(__xludf.DUMMYFUNCTION("""COMPUTED_VALUE"""),2040)</f>
        <v>2040</v>
      </c>
      <c r="P324" s="1">
        <f ca="1">IFERROR(__xludf.DUMMYFUNCTION("""COMPUTED_VALUE"""),1214)</f>
        <v>1214</v>
      </c>
      <c r="Q324" s="1">
        <f ca="1">IFERROR(__xludf.DUMMYFUNCTION("""COMPUTED_VALUE"""),676)</f>
        <v>676</v>
      </c>
      <c r="R324" s="1">
        <f ca="1">IFERROR(__xludf.DUMMYFUNCTION("""COMPUTED_VALUE"""),1587)</f>
        <v>1587</v>
      </c>
      <c r="S324" s="1">
        <f ca="1">IFERROR(__xludf.DUMMYFUNCTION("""COMPUTED_VALUE"""),0.426)</f>
        <v>0.42599999999999999</v>
      </c>
      <c r="T324" s="1">
        <f ca="1">IFERROR(__xludf.DUMMYFUNCTION("""COMPUTED_VALUE"""),216)</f>
        <v>216</v>
      </c>
      <c r="U324" s="1">
        <f ca="1">IFERROR(__xludf.DUMMYFUNCTION("""COMPUTED_VALUE"""),586)</f>
        <v>586</v>
      </c>
      <c r="V324" s="1">
        <f ca="1">IFERROR(__xludf.DUMMYFUNCTION("""COMPUTED_VALUE"""),0.369)</f>
        <v>0.36899999999999999</v>
      </c>
      <c r="W324" s="1">
        <f ca="1">IFERROR(__xludf.DUMMYFUNCTION("""COMPUTED_VALUE"""),476)</f>
        <v>476</v>
      </c>
      <c r="X324" s="1">
        <f ca="1">IFERROR(__xludf.DUMMYFUNCTION("""COMPUTED_VALUE"""),625)</f>
        <v>625</v>
      </c>
      <c r="Y324" s="1">
        <f ca="1">IFERROR(__xludf.DUMMYFUNCTION("""COMPUTED_VALUE"""),0.762)</f>
        <v>0.76200000000000001</v>
      </c>
      <c r="Z324" s="1">
        <f ca="1">IFERROR(__xludf.DUMMYFUNCTION("""COMPUTED_VALUE"""),331)</f>
        <v>331</v>
      </c>
      <c r="AA324" s="1">
        <f ca="1">IFERROR(__xludf.DUMMYFUNCTION("""COMPUTED_VALUE"""),994)</f>
        <v>994</v>
      </c>
      <c r="AB324" s="1">
        <f ca="1">IFERROR(__xludf.DUMMYFUNCTION("""COMPUTED_VALUE"""),373)</f>
        <v>373</v>
      </c>
      <c r="AC324" s="1">
        <f ca="1">IFERROR(__xludf.DUMMYFUNCTION("""COMPUTED_VALUE"""),197)</f>
        <v>197</v>
      </c>
      <c r="AD324" s="1">
        <f ca="1">IFERROR(__xludf.DUMMYFUNCTION("""COMPUTED_VALUE"""),104)</f>
        <v>104</v>
      </c>
      <c r="AE324" s="1">
        <f ca="1">IFERROR(__xludf.DUMMYFUNCTION("""COMPUTED_VALUE"""),451)</f>
        <v>451</v>
      </c>
      <c r="AF324" s="1">
        <f ca="1">IFERROR(__xludf.DUMMYFUNCTION("""COMPUTED_VALUE"""),559)</f>
        <v>559</v>
      </c>
    </row>
    <row r="325" spans="1:32" ht="12.5" x14ac:dyDescent="0.25">
      <c r="A325" s="1" t="str">
        <f ca="1">IFERROR(__xludf.DUMMYFUNCTION("""COMPUTED_VALUE"""),"Tennessee Tech")</f>
        <v>Tennessee Tech</v>
      </c>
      <c r="B325" s="1">
        <f ca="1">IFERROR(__xludf.DUMMYFUNCTION("""COMPUTED_VALUE"""),33)</f>
        <v>33</v>
      </c>
      <c r="C325" s="1">
        <f ca="1">IFERROR(__xludf.DUMMYFUNCTION("""COMPUTED_VALUE"""),20)</f>
        <v>20</v>
      </c>
      <c r="D325" s="1">
        <f ca="1">IFERROR(__xludf.DUMMYFUNCTION("""COMPUTED_VALUE"""),13)</f>
        <v>13</v>
      </c>
      <c r="E325" s="1">
        <f ca="1">IFERROR(__xludf.DUMMYFUNCTION("""COMPUTED_VALUE"""),0.606)</f>
        <v>0.60599999999999998</v>
      </c>
      <c r="F325" s="1">
        <f ca="1">IFERROR(__xludf.DUMMYFUNCTION("""COMPUTED_VALUE"""),-5.64)</f>
        <v>-5.64</v>
      </c>
      <c r="G325" s="1">
        <f ca="1">IFERROR(__xludf.DUMMYFUNCTION("""COMPUTED_VALUE"""),-5.77)</f>
        <v>-5.77</v>
      </c>
      <c r="H325" s="1">
        <f ca="1">IFERROR(__xludf.DUMMYFUNCTION("""COMPUTED_VALUE"""),12)</f>
        <v>12</v>
      </c>
      <c r="I325" s="1">
        <f ca="1">IFERROR(__xludf.DUMMYFUNCTION("""COMPUTED_VALUE"""),6)</f>
        <v>6</v>
      </c>
      <c r="J325" s="1">
        <f ca="1">IFERROR(__xludf.DUMMYFUNCTION("""COMPUTED_VALUE"""),10)</f>
        <v>10</v>
      </c>
      <c r="K325" s="1">
        <f ca="1">IFERROR(__xludf.DUMMYFUNCTION("""COMPUTED_VALUE"""),5)</f>
        <v>5</v>
      </c>
      <c r="L325" s="1">
        <f ca="1">IFERROR(__xludf.DUMMYFUNCTION("""COMPUTED_VALUE"""),7)</f>
        <v>7</v>
      </c>
      <c r="M325" s="1">
        <f ca="1">IFERROR(__xludf.DUMMYFUNCTION("""COMPUTED_VALUE"""),7)</f>
        <v>7</v>
      </c>
      <c r="N325" s="1">
        <f ca="1">IFERROR(__xludf.DUMMYFUNCTION("""COMPUTED_VALUE"""),2462)</f>
        <v>2462</v>
      </c>
      <c r="O325" s="1">
        <f ca="1">IFERROR(__xludf.DUMMYFUNCTION("""COMPUTED_VALUE"""),2307)</f>
        <v>2307</v>
      </c>
      <c r="P325" s="1">
        <f ca="1">IFERROR(__xludf.DUMMYFUNCTION("""COMPUTED_VALUE"""),1335)</f>
        <v>1335</v>
      </c>
      <c r="Q325" s="1">
        <f ca="1">IFERROR(__xludf.DUMMYFUNCTION("""COMPUTED_VALUE"""),890)</f>
        <v>890</v>
      </c>
      <c r="R325" s="1">
        <f ca="1">IFERROR(__xludf.DUMMYFUNCTION("""COMPUTED_VALUE"""),1863)</f>
        <v>1863</v>
      </c>
      <c r="S325" s="1">
        <f ca="1">IFERROR(__xludf.DUMMYFUNCTION("""COMPUTED_VALUE"""),0.478)</f>
        <v>0.47799999999999998</v>
      </c>
      <c r="T325" s="1">
        <f ca="1">IFERROR(__xludf.DUMMYFUNCTION("""COMPUTED_VALUE"""),152)</f>
        <v>152</v>
      </c>
      <c r="U325" s="1">
        <f ca="1">IFERROR(__xludf.DUMMYFUNCTION("""COMPUTED_VALUE"""),437)</f>
        <v>437</v>
      </c>
      <c r="V325" s="1">
        <f ca="1">IFERROR(__xludf.DUMMYFUNCTION("""COMPUTED_VALUE"""),0.348)</f>
        <v>0.34799999999999998</v>
      </c>
      <c r="W325" s="1">
        <f ca="1">IFERROR(__xludf.DUMMYFUNCTION("""COMPUTED_VALUE"""),530)</f>
        <v>530</v>
      </c>
      <c r="X325" s="1">
        <f ca="1">IFERROR(__xludf.DUMMYFUNCTION("""COMPUTED_VALUE"""),799)</f>
        <v>799</v>
      </c>
      <c r="Y325" s="1">
        <f ca="1">IFERROR(__xludf.DUMMYFUNCTION("""COMPUTED_VALUE"""),0.663)</f>
        <v>0.66300000000000003</v>
      </c>
      <c r="Z325" s="1">
        <f ca="1">IFERROR(__xludf.DUMMYFUNCTION("""COMPUTED_VALUE"""),390)</f>
        <v>390</v>
      </c>
      <c r="AA325" s="1">
        <f ca="1">IFERROR(__xludf.DUMMYFUNCTION("""COMPUTED_VALUE"""),1214)</f>
        <v>1214</v>
      </c>
      <c r="AB325" s="1">
        <f ca="1">IFERROR(__xludf.DUMMYFUNCTION("""COMPUTED_VALUE"""),462)</f>
        <v>462</v>
      </c>
      <c r="AC325" s="1">
        <f ca="1">IFERROR(__xludf.DUMMYFUNCTION("""COMPUTED_VALUE"""),279)</f>
        <v>279</v>
      </c>
      <c r="AD325" s="1">
        <f ca="1">IFERROR(__xludf.DUMMYFUNCTION("""COMPUTED_VALUE"""),72)</f>
        <v>72</v>
      </c>
      <c r="AE325" s="1">
        <f ca="1">IFERROR(__xludf.DUMMYFUNCTION("""COMPUTED_VALUE"""),537)</f>
        <v>537</v>
      </c>
      <c r="AF325" s="1">
        <f ca="1">IFERROR(__xludf.DUMMYFUNCTION("""COMPUTED_VALUE"""),666)</f>
        <v>666</v>
      </c>
    </row>
    <row r="326" spans="1:32" ht="12.5" x14ac:dyDescent="0.25">
      <c r="A326" s="1" t="str">
        <f ca="1">IFERROR(__xludf.DUMMYFUNCTION("""COMPUTED_VALUE"""),"TennesseeNCAA")</f>
        <v>TennesseeNCAA</v>
      </c>
      <c r="B326" s="1">
        <f ca="1">IFERROR(__xludf.DUMMYFUNCTION("""COMPUTED_VALUE"""),34)</f>
        <v>34</v>
      </c>
      <c r="C326" s="1">
        <f ca="1">IFERROR(__xludf.DUMMYFUNCTION("""COMPUTED_VALUE"""),19)</f>
        <v>19</v>
      </c>
      <c r="D326" s="1">
        <f ca="1">IFERROR(__xludf.DUMMYFUNCTION("""COMPUTED_VALUE"""),15)</f>
        <v>15</v>
      </c>
      <c r="E326" s="1">
        <f ca="1">IFERROR(__xludf.DUMMYFUNCTION("""COMPUTED_VALUE"""),0.559)</f>
        <v>0.55900000000000005</v>
      </c>
      <c r="F326" s="1">
        <f ca="1">IFERROR(__xludf.DUMMYFUNCTION("""COMPUTED_VALUE"""),11.08)</f>
        <v>11.08</v>
      </c>
      <c r="G326" s="1">
        <f ca="1">IFERROR(__xludf.DUMMYFUNCTION("""COMPUTED_VALUE"""),8.73)</f>
        <v>8.73</v>
      </c>
      <c r="H326" s="1">
        <f ca="1">IFERROR(__xludf.DUMMYFUNCTION("""COMPUTED_VALUE"""),8)</f>
        <v>8</v>
      </c>
      <c r="I326" s="1">
        <f ca="1">IFERROR(__xludf.DUMMYFUNCTION("""COMPUTED_VALUE"""),8)</f>
        <v>8</v>
      </c>
      <c r="J326" s="1">
        <f ca="1">IFERROR(__xludf.DUMMYFUNCTION("""COMPUTED_VALUE"""),10)</f>
        <v>10</v>
      </c>
      <c r="K326" s="1">
        <f ca="1">IFERROR(__xludf.DUMMYFUNCTION("""COMPUTED_VALUE"""),8)</f>
        <v>8</v>
      </c>
      <c r="L326" s="1">
        <f ca="1">IFERROR(__xludf.DUMMYFUNCTION("""COMPUTED_VALUE"""),5)</f>
        <v>5</v>
      </c>
      <c r="M326" s="1">
        <f ca="1">IFERROR(__xludf.DUMMYFUNCTION("""COMPUTED_VALUE"""),4)</f>
        <v>4</v>
      </c>
      <c r="N326" s="1">
        <f ca="1">IFERROR(__xludf.DUMMYFUNCTION("""COMPUTED_VALUE"""),2376)</f>
        <v>2376</v>
      </c>
      <c r="O326" s="1">
        <f ca="1">IFERROR(__xludf.DUMMYFUNCTION("""COMPUTED_VALUE"""),2296)</f>
        <v>2296</v>
      </c>
      <c r="P326" s="1">
        <f ca="1">IFERROR(__xludf.DUMMYFUNCTION("""COMPUTED_VALUE"""),1370)</f>
        <v>1370</v>
      </c>
      <c r="Q326" s="1">
        <f ca="1">IFERROR(__xludf.DUMMYFUNCTION("""COMPUTED_VALUE"""),837)</f>
        <v>837</v>
      </c>
      <c r="R326" s="1">
        <f ca="1">IFERROR(__xludf.DUMMYFUNCTION("""COMPUTED_VALUE"""),1941)</f>
        <v>1941</v>
      </c>
      <c r="S326" s="1">
        <f ca="1">IFERROR(__xludf.DUMMYFUNCTION("""COMPUTED_VALUE"""),0.431)</f>
        <v>0.43099999999999999</v>
      </c>
      <c r="T326" s="1">
        <f ca="1">IFERROR(__xludf.DUMMYFUNCTION("""COMPUTED_VALUE"""),175)</f>
        <v>175</v>
      </c>
      <c r="U326" s="1">
        <f ca="1">IFERROR(__xludf.DUMMYFUNCTION("""COMPUTED_VALUE"""),583)</f>
        <v>583</v>
      </c>
      <c r="V326" s="1">
        <f ca="1">IFERROR(__xludf.DUMMYFUNCTION("""COMPUTED_VALUE"""),0.3)</f>
        <v>0.3</v>
      </c>
      <c r="W326" s="1">
        <f ca="1">IFERROR(__xludf.DUMMYFUNCTION("""COMPUTED_VALUE"""),527)</f>
        <v>527</v>
      </c>
      <c r="X326" s="1">
        <f ca="1">IFERROR(__xludf.DUMMYFUNCTION("""COMPUTED_VALUE"""),770)</f>
        <v>770</v>
      </c>
      <c r="Y326" s="1">
        <f ca="1">IFERROR(__xludf.DUMMYFUNCTION("""COMPUTED_VALUE"""),0.684)</f>
        <v>0.68400000000000005</v>
      </c>
      <c r="Z326" s="1">
        <f ca="1">IFERROR(__xludf.DUMMYFUNCTION("""COMPUTED_VALUE"""),464)</f>
        <v>464</v>
      </c>
      <c r="AA326" s="1">
        <f ca="1">IFERROR(__xludf.DUMMYFUNCTION("""COMPUTED_VALUE"""),1279)</f>
        <v>1279</v>
      </c>
      <c r="AB326" s="1">
        <f ca="1">IFERROR(__xludf.DUMMYFUNCTION("""COMPUTED_VALUE"""),443)</f>
        <v>443</v>
      </c>
      <c r="AC326" s="1">
        <f ca="1">IFERROR(__xludf.DUMMYFUNCTION("""COMPUTED_VALUE"""),250)</f>
        <v>250</v>
      </c>
      <c r="AD326" s="1">
        <f ca="1">IFERROR(__xludf.DUMMYFUNCTION("""COMPUTED_VALUE"""),126)</f>
        <v>126</v>
      </c>
      <c r="AE326" s="1">
        <f ca="1">IFERROR(__xludf.DUMMYFUNCTION("""COMPUTED_VALUE"""),454)</f>
        <v>454</v>
      </c>
      <c r="AF326" s="1">
        <f ca="1">IFERROR(__xludf.DUMMYFUNCTION("""COMPUTED_VALUE"""),662)</f>
        <v>662</v>
      </c>
    </row>
    <row r="327" spans="1:32" ht="12.5" x14ac:dyDescent="0.25">
      <c r="A327" s="1" t="str">
        <f ca="1">IFERROR(__xludf.DUMMYFUNCTION("""COMPUTED_VALUE"""),"Texas A&amp;M-Corpus Christi")</f>
        <v>Texas A&amp;M-Corpus Christi</v>
      </c>
      <c r="B327" s="1">
        <f ca="1">IFERROR(__xludf.DUMMYFUNCTION("""COMPUTED_VALUE"""),31)</f>
        <v>31</v>
      </c>
      <c r="C327" s="1">
        <f ca="1">IFERROR(__xludf.DUMMYFUNCTION("""COMPUTED_VALUE"""),10)</f>
        <v>10</v>
      </c>
      <c r="D327" s="1">
        <f ca="1">IFERROR(__xludf.DUMMYFUNCTION("""COMPUTED_VALUE"""),21)</f>
        <v>21</v>
      </c>
      <c r="E327" s="1">
        <f ca="1">IFERROR(__xludf.DUMMYFUNCTION("""COMPUTED_VALUE"""),0.323)</f>
        <v>0.32300000000000001</v>
      </c>
      <c r="F327" s="1">
        <f ca="1">IFERROR(__xludf.DUMMYFUNCTION("""COMPUTED_VALUE"""),-12.31)</f>
        <v>-12.31</v>
      </c>
      <c r="G327" s="1">
        <f ca="1">IFERROR(__xludf.DUMMYFUNCTION("""COMPUTED_VALUE"""),-2.09)</f>
        <v>-2.09</v>
      </c>
      <c r="H327" s="1">
        <f ca="1">IFERROR(__xludf.DUMMYFUNCTION("""COMPUTED_VALUE"""),5)</f>
        <v>5</v>
      </c>
      <c r="I327" s="1">
        <f ca="1">IFERROR(__xludf.DUMMYFUNCTION("""COMPUTED_VALUE"""),11)</f>
        <v>11</v>
      </c>
      <c r="J327" s="1">
        <f ca="1">IFERROR(__xludf.DUMMYFUNCTION("""COMPUTED_VALUE"""),6)</f>
        <v>6</v>
      </c>
      <c r="K327" s="1">
        <f ca="1">IFERROR(__xludf.DUMMYFUNCTION("""COMPUTED_VALUE"""),7)</f>
        <v>7</v>
      </c>
      <c r="L327" s="1">
        <f ca="1">IFERROR(__xludf.DUMMYFUNCTION("""COMPUTED_VALUE"""),2)</f>
        <v>2</v>
      </c>
      <c r="M327" s="1">
        <f ca="1">IFERROR(__xludf.DUMMYFUNCTION("""COMPUTED_VALUE"""),12)</f>
        <v>12</v>
      </c>
      <c r="N327" s="1">
        <f ca="1">IFERROR(__xludf.DUMMYFUNCTION("""COMPUTED_VALUE"""),1943)</f>
        <v>1943</v>
      </c>
      <c r="O327" s="1">
        <f ca="1">IFERROR(__xludf.DUMMYFUNCTION("""COMPUTED_VALUE"""),2194)</f>
        <v>2194</v>
      </c>
      <c r="P327" s="1">
        <f ca="1">IFERROR(__xludf.DUMMYFUNCTION("""COMPUTED_VALUE"""),1250)</f>
        <v>1250</v>
      </c>
      <c r="Q327" s="1">
        <f ca="1">IFERROR(__xludf.DUMMYFUNCTION("""COMPUTED_VALUE"""),684)</f>
        <v>684</v>
      </c>
      <c r="R327" s="1">
        <f ca="1">IFERROR(__xludf.DUMMYFUNCTION("""COMPUTED_VALUE"""),1583)</f>
        <v>1583</v>
      </c>
      <c r="S327" s="1">
        <f ca="1">IFERROR(__xludf.DUMMYFUNCTION("""COMPUTED_VALUE"""),0.432)</f>
        <v>0.432</v>
      </c>
      <c r="T327" s="1">
        <f ca="1">IFERROR(__xludf.DUMMYFUNCTION("""COMPUTED_VALUE"""),145)</f>
        <v>145</v>
      </c>
      <c r="U327" s="1">
        <f ca="1">IFERROR(__xludf.DUMMYFUNCTION("""COMPUTED_VALUE"""),487)</f>
        <v>487</v>
      </c>
      <c r="V327" s="1">
        <f ca="1">IFERROR(__xludf.DUMMYFUNCTION("""COMPUTED_VALUE"""),0.298)</f>
        <v>0.29799999999999999</v>
      </c>
      <c r="W327" s="1">
        <f ca="1">IFERROR(__xludf.DUMMYFUNCTION("""COMPUTED_VALUE"""),430)</f>
        <v>430</v>
      </c>
      <c r="X327" s="1">
        <f ca="1">IFERROR(__xludf.DUMMYFUNCTION("""COMPUTED_VALUE"""),668)</f>
        <v>668</v>
      </c>
      <c r="Y327" s="1">
        <f ca="1">IFERROR(__xludf.DUMMYFUNCTION("""COMPUTED_VALUE"""),0.644)</f>
        <v>0.64400000000000002</v>
      </c>
      <c r="Z327" s="1">
        <f ca="1">IFERROR(__xludf.DUMMYFUNCTION("""COMPUTED_VALUE"""),363)</f>
        <v>363</v>
      </c>
      <c r="AA327" s="1">
        <f ca="1">IFERROR(__xludf.DUMMYFUNCTION("""COMPUTED_VALUE"""),1045)</f>
        <v>1045</v>
      </c>
      <c r="AB327" s="1">
        <f ca="1">IFERROR(__xludf.DUMMYFUNCTION("""COMPUTED_VALUE"""),350)</f>
        <v>350</v>
      </c>
      <c r="AC327" s="1">
        <f ca="1">IFERROR(__xludf.DUMMYFUNCTION("""COMPUTED_VALUE"""),199)</f>
        <v>199</v>
      </c>
      <c r="AD327" s="1">
        <f ca="1">IFERROR(__xludf.DUMMYFUNCTION("""COMPUTED_VALUE"""),109)</f>
        <v>109</v>
      </c>
      <c r="AE327" s="1">
        <f ca="1">IFERROR(__xludf.DUMMYFUNCTION("""COMPUTED_VALUE"""),540)</f>
        <v>540</v>
      </c>
      <c r="AF327" s="1">
        <f ca="1">IFERROR(__xludf.DUMMYFUNCTION("""COMPUTED_VALUE"""),555)</f>
        <v>555</v>
      </c>
    </row>
    <row r="328" spans="1:32" ht="12.5" x14ac:dyDescent="0.25">
      <c r="A328" s="1" t="str">
        <f ca="1">IFERROR(__xludf.DUMMYFUNCTION("""COMPUTED_VALUE"""),"Texas A&amp;MNCAA")</f>
        <v>Texas A&amp;MNCAA</v>
      </c>
      <c r="B328" s="1">
        <f ca="1">IFERROR(__xludf.DUMMYFUNCTION("""COMPUTED_VALUE"""),33)</f>
        <v>33</v>
      </c>
      <c r="C328" s="1">
        <f ca="1">IFERROR(__xludf.DUMMYFUNCTION("""COMPUTED_VALUE"""),24)</f>
        <v>24</v>
      </c>
      <c r="D328" s="1">
        <f ca="1">IFERROR(__xludf.DUMMYFUNCTION("""COMPUTED_VALUE"""),9)</f>
        <v>9</v>
      </c>
      <c r="E328" s="1">
        <f ca="1">IFERROR(__xludf.DUMMYFUNCTION("""COMPUTED_VALUE"""),0.727)</f>
        <v>0.72699999999999998</v>
      </c>
      <c r="F328" s="1">
        <f ca="1">IFERROR(__xludf.DUMMYFUNCTION("""COMPUTED_VALUE"""),12.62)</f>
        <v>12.62</v>
      </c>
      <c r="G328" s="1">
        <f ca="1">IFERROR(__xludf.DUMMYFUNCTION("""COMPUTED_VALUE"""),5.94)</f>
        <v>5.94</v>
      </c>
      <c r="H328" s="1">
        <f ca="1">IFERROR(__xludf.DUMMYFUNCTION("""COMPUTED_VALUE"""),10)</f>
        <v>10</v>
      </c>
      <c r="I328" s="1">
        <f ca="1">IFERROR(__xludf.DUMMYFUNCTION("""COMPUTED_VALUE"""),6)</f>
        <v>6</v>
      </c>
      <c r="J328" s="1">
        <f ca="1">IFERROR(__xludf.DUMMYFUNCTION("""COMPUTED_VALUE"""),15)</f>
        <v>15</v>
      </c>
      <c r="K328" s="1">
        <f ca="1">IFERROR(__xludf.DUMMYFUNCTION("""COMPUTED_VALUE"""),2)</f>
        <v>2</v>
      </c>
      <c r="L328" s="1">
        <f ca="1">IFERROR(__xludf.DUMMYFUNCTION("""COMPUTED_VALUE"""),5)</f>
        <v>5</v>
      </c>
      <c r="M328" s="1">
        <f ca="1">IFERROR(__xludf.DUMMYFUNCTION("""COMPUTED_VALUE"""),4)</f>
        <v>4</v>
      </c>
      <c r="N328" s="1">
        <f ca="1">IFERROR(__xludf.DUMMYFUNCTION("""COMPUTED_VALUE"""),2254)</f>
        <v>2254</v>
      </c>
      <c r="O328" s="1">
        <f ca="1">IFERROR(__xludf.DUMMYFUNCTION("""COMPUTED_VALUE"""),2009)</f>
        <v>2009</v>
      </c>
      <c r="P328" s="1">
        <f ca="1">IFERROR(__xludf.DUMMYFUNCTION("""COMPUTED_VALUE"""),1340)</f>
        <v>1340</v>
      </c>
      <c r="Q328" s="1">
        <f ca="1">IFERROR(__xludf.DUMMYFUNCTION("""COMPUTED_VALUE"""),758)</f>
        <v>758</v>
      </c>
      <c r="R328" s="1">
        <f ca="1">IFERROR(__xludf.DUMMYFUNCTION("""COMPUTED_VALUE"""),1719)</f>
        <v>1719</v>
      </c>
      <c r="S328" s="1">
        <f ca="1">IFERROR(__xludf.DUMMYFUNCTION("""COMPUTED_VALUE"""),0.441)</f>
        <v>0.441</v>
      </c>
      <c r="T328" s="1">
        <f ca="1">IFERROR(__xludf.DUMMYFUNCTION("""COMPUTED_VALUE"""),181)</f>
        <v>181</v>
      </c>
      <c r="U328" s="1">
        <f ca="1">IFERROR(__xludf.DUMMYFUNCTION("""COMPUTED_VALUE"""),534)</f>
        <v>534</v>
      </c>
      <c r="V328" s="1">
        <f ca="1">IFERROR(__xludf.DUMMYFUNCTION("""COMPUTED_VALUE"""),0.339)</f>
        <v>0.33900000000000002</v>
      </c>
      <c r="W328" s="1">
        <f ca="1">IFERROR(__xludf.DUMMYFUNCTION("""COMPUTED_VALUE"""),557)</f>
        <v>557</v>
      </c>
      <c r="X328" s="1">
        <f ca="1">IFERROR(__xludf.DUMMYFUNCTION("""COMPUTED_VALUE"""),799)</f>
        <v>799</v>
      </c>
      <c r="Y328" s="1">
        <f ca="1">IFERROR(__xludf.DUMMYFUNCTION("""COMPUTED_VALUE"""),0.697)</f>
        <v>0.69699999999999995</v>
      </c>
      <c r="Z328" s="1">
        <f ca="1">IFERROR(__xludf.DUMMYFUNCTION("""COMPUTED_VALUE"""),412)</f>
        <v>412</v>
      </c>
      <c r="AA328" s="1">
        <f ca="1">IFERROR(__xludf.DUMMYFUNCTION("""COMPUTED_VALUE"""),1193)</f>
        <v>1193</v>
      </c>
      <c r="AB328" s="1">
        <f ca="1">IFERROR(__xludf.DUMMYFUNCTION("""COMPUTED_VALUE"""),444)</f>
        <v>444</v>
      </c>
      <c r="AC328" s="1">
        <f ca="1">IFERROR(__xludf.DUMMYFUNCTION("""COMPUTED_VALUE"""),215)</f>
        <v>215</v>
      </c>
      <c r="AD328" s="1">
        <f ca="1">IFERROR(__xludf.DUMMYFUNCTION("""COMPUTED_VALUE"""),51)</f>
        <v>51</v>
      </c>
      <c r="AE328" s="1">
        <f ca="1">IFERROR(__xludf.DUMMYFUNCTION("""COMPUTED_VALUE"""),426)</f>
        <v>426</v>
      </c>
      <c r="AF328" s="1">
        <f ca="1">IFERROR(__xludf.DUMMYFUNCTION("""COMPUTED_VALUE"""),602)</f>
        <v>602</v>
      </c>
    </row>
    <row r="329" spans="1:32" ht="12.5" x14ac:dyDescent="0.25">
      <c r="A329" s="1" t="str">
        <f ca="1">IFERROR(__xludf.DUMMYFUNCTION("""COMPUTED_VALUE"""),"Texas-Arlington")</f>
        <v>Texas-Arlington</v>
      </c>
      <c r="B329" s="1">
        <f ca="1">IFERROR(__xludf.DUMMYFUNCTION("""COMPUTED_VALUE"""),29)</f>
        <v>29</v>
      </c>
      <c r="C329" s="1">
        <f ca="1">IFERROR(__xludf.DUMMYFUNCTION("""COMPUTED_VALUE"""),13)</f>
        <v>13</v>
      </c>
      <c r="D329" s="1">
        <f ca="1">IFERROR(__xludf.DUMMYFUNCTION("""COMPUTED_VALUE"""),16)</f>
        <v>16</v>
      </c>
      <c r="E329" s="1">
        <f ca="1">IFERROR(__xludf.DUMMYFUNCTION("""COMPUTED_VALUE"""),0.448)</f>
        <v>0.44800000000000001</v>
      </c>
      <c r="F329" s="1">
        <f ca="1">IFERROR(__xludf.DUMMYFUNCTION("""COMPUTED_VALUE"""),-7.59)</f>
        <v>-7.59</v>
      </c>
      <c r="G329" s="1">
        <f ca="1">IFERROR(__xludf.DUMMYFUNCTION("""COMPUTED_VALUE"""),-5.47)</f>
        <v>-5.47</v>
      </c>
      <c r="H329" s="1">
        <f ca="1">IFERROR(__xludf.DUMMYFUNCTION("""COMPUTED_VALUE"""),7)</f>
        <v>7</v>
      </c>
      <c r="I329" s="1">
        <f ca="1">IFERROR(__xludf.DUMMYFUNCTION("""COMPUTED_VALUE"""),9)</f>
        <v>9</v>
      </c>
      <c r="J329" s="1">
        <f ca="1">IFERROR(__xludf.DUMMYFUNCTION("""COMPUTED_VALUE"""),9)</f>
        <v>9</v>
      </c>
      <c r="K329" s="1">
        <f ca="1">IFERROR(__xludf.DUMMYFUNCTION("""COMPUTED_VALUE"""),4)</f>
        <v>4</v>
      </c>
      <c r="L329" s="1">
        <f ca="1">IFERROR(__xludf.DUMMYFUNCTION("""COMPUTED_VALUE"""),4)</f>
        <v>4</v>
      </c>
      <c r="M329" s="1">
        <f ca="1">IFERROR(__xludf.DUMMYFUNCTION("""COMPUTED_VALUE"""),12)</f>
        <v>12</v>
      </c>
      <c r="N329" s="1">
        <f ca="1">IFERROR(__xludf.DUMMYFUNCTION("""COMPUTED_VALUE"""),2055)</f>
        <v>2055</v>
      </c>
      <c r="O329" s="1">
        <f ca="1">IFERROR(__xludf.DUMMYFUNCTION("""COMPUTED_VALUE"""),1993)</f>
        <v>1993</v>
      </c>
      <c r="P329" s="1">
        <f ca="1">IFERROR(__xludf.DUMMYFUNCTION("""COMPUTED_VALUE"""),1175)</f>
        <v>1175</v>
      </c>
      <c r="Q329" s="1">
        <f ca="1">IFERROR(__xludf.DUMMYFUNCTION("""COMPUTED_VALUE"""),712)</f>
        <v>712</v>
      </c>
      <c r="R329" s="1">
        <f ca="1">IFERROR(__xludf.DUMMYFUNCTION("""COMPUTED_VALUE"""),1616)</f>
        <v>1616</v>
      </c>
      <c r="S329" s="1">
        <f ca="1">IFERROR(__xludf.DUMMYFUNCTION("""COMPUTED_VALUE"""),0.441)</f>
        <v>0.441</v>
      </c>
      <c r="T329" s="1">
        <f ca="1">IFERROR(__xludf.DUMMYFUNCTION("""COMPUTED_VALUE"""),212)</f>
        <v>212</v>
      </c>
      <c r="U329" s="1">
        <f ca="1">IFERROR(__xludf.DUMMYFUNCTION("""COMPUTED_VALUE"""),607)</f>
        <v>607</v>
      </c>
      <c r="V329" s="1">
        <f ca="1">IFERROR(__xludf.DUMMYFUNCTION("""COMPUTED_VALUE"""),0.349)</f>
        <v>0.34899999999999998</v>
      </c>
      <c r="W329" s="1">
        <f ca="1">IFERROR(__xludf.DUMMYFUNCTION("""COMPUTED_VALUE"""),419)</f>
        <v>419</v>
      </c>
      <c r="X329" s="1">
        <f ca="1">IFERROR(__xludf.DUMMYFUNCTION("""COMPUTED_VALUE"""),594)</f>
        <v>594</v>
      </c>
      <c r="Y329" s="1">
        <f ca="1">IFERROR(__xludf.DUMMYFUNCTION("""COMPUTED_VALUE"""),0.705)</f>
        <v>0.70499999999999996</v>
      </c>
      <c r="Z329" s="1">
        <f ca="1">IFERROR(__xludf.DUMMYFUNCTION("""COMPUTED_VALUE"""),327)</f>
        <v>327</v>
      </c>
      <c r="AA329" s="1">
        <f ca="1">IFERROR(__xludf.DUMMYFUNCTION("""COMPUTED_VALUE"""),1050)</f>
        <v>1050</v>
      </c>
      <c r="AB329" s="1">
        <f ca="1">IFERROR(__xludf.DUMMYFUNCTION("""COMPUTED_VALUE"""),362)</f>
        <v>362</v>
      </c>
      <c r="AC329" s="1">
        <f ca="1">IFERROR(__xludf.DUMMYFUNCTION("""COMPUTED_VALUE"""),199)</f>
        <v>199</v>
      </c>
      <c r="AD329" s="1">
        <f ca="1">IFERROR(__xludf.DUMMYFUNCTION("""COMPUTED_VALUE"""),77)</f>
        <v>77</v>
      </c>
      <c r="AE329" s="1">
        <f ca="1">IFERROR(__xludf.DUMMYFUNCTION("""COMPUTED_VALUE"""),510)</f>
        <v>510</v>
      </c>
      <c r="AF329" s="1">
        <f ca="1">IFERROR(__xludf.DUMMYFUNCTION("""COMPUTED_VALUE"""),624)</f>
        <v>624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IFERROR(__xludf.DUMMYFUNCTION("""COMPUTED_VALUE"""),"Texas Christian")</f>
        <v>Texas Christian</v>
      </c>
      <c r="B332" s="1">
        <f ca="1">IFERROR(__xludf.DUMMYFUNCTION("""COMPUTED_VALUE"""),33)</f>
        <v>33</v>
      </c>
      <c r="C332" s="1">
        <f ca="1">IFERROR(__xludf.DUMMYFUNCTION("""COMPUTED_VALUE"""),11)</f>
        <v>11</v>
      </c>
      <c r="D332" s="1">
        <f ca="1">IFERROR(__xludf.DUMMYFUNCTION("""COMPUTED_VALUE"""),22)</f>
        <v>22</v>
      </c>
      <c r="E332" s="1">
        <f ca="1">IFERROR(__xludf.DUMMYFUNCTION("""COMPUTED_VALUE"""),0.333)</f>
        <v>0.33300000000000002</v>
      </c>
      <c r="F332" s="1">
        <f ca="1">IFERROR(__xludf.DUMMYFUNCTION("""COMPUTED_VALUE"""),0.96)</f>
        <v>0.96</v>
      </c>
      <c r="G332" s="1">
        <f ca="1">IFERROR(__xludf.DUMMYFUNCTION("""COMPUTED_VALUE"""),3.93)</f>
        <v>3.93</v>
      </c>
      <c r="H332" s="1">
        <f ca="1">IFERROR(__xludf.DUMMYFUNCTION("""COMPUTED_VALUE"""),1)</f>
        <v>1</v>
      </c>
      <c r="I332" s="1">
        <f ca="1">IFERROR(__xludf.DUMMYFUNCTION("""COMPUTED_VALUE"""),15)</f>
        <v>15</v>
      </c>
      <c r="J332" s="1">
        <f ca="1">IFERROR(__xludf.DUMMYFUNCTION("""COMPUTED_VALUE"""),8)</f>
        <v>8</v>
      </c>
      <c r="K332" s="1">
        <f ca="1">IFERROR(__xludf.DUMMYFUNCTION("""COMPUTED_VALUE"""),8)</f>
        <v>8</v>
      </c>
      <c r="L332" s="1">
        <f ca="1">IFERROR(__xludf.DUMMYFUNCTION("""COMPUTED_VALUE"""),1)</f>
        <v>1</v>
      </c>
      <c r="M332" s="1">
        <f ca="1">IFERROR(__xludf.DUMMYFUNCTION("""COMPUTED_VALUE"""),11)</f>
        <v>11</v>
      </c>
      <c r="N332" s="1">
        <f ca="1">IFERROR(__xludf.DUMMYFUNCTION("""COMPUTED_VALUE"""),2220)</f>
        <v>2220</v>
      </c>
      <c r="O332" s="1">
        <f ca="1">IFERROR(__xludf.DUMMYFUNCTION("""COMPUTED_VALUE"""),2318)</f>
        <v>2318</v>
      </c>
      <c r="P332" s="1">
        <f ca="1">IFERROR(__xludf.DUMMYFUNCTION("""COMPUTED_VALUE"""),1326)</f>
        <v>1326</v>
      </c>
      <c r="Q332" s="1">
        <f ca="1">IFERROR(__xludf.DUMMYFUNCTION("""COMPUTED_VALUE"""),821)</f>
        <v>821</v>
      </c>
      <c r="R332" s="1">
        <f ca="1">IFERROR(__xludf.DUMMYFUNCTION("""COMPUTED_VALUE"""),1883)</f>
        <v>1883</v>
      </c>
      <c r="S332" s="1">
        <f ca="1">IFERROR(__xludf.DUMMYFUNCTION("""COMPUTED_VALUE"""),0.436)</f>
        <v>0.436</v>
      </c>
      <c r="T332" s="1">
        <f ca="1">IFERROR(__xludf.DUMMYFUNCTION("""COMPUTED_VALUE"""),214)</f>
        <v>214</v>
      </c>
      <c r="U332" s="1">
        <f ca="1">IFERROR(__xludf.DUMMYFUNCTION("""COMPUTED_VALUE"""),612)</f>
        <v>612</v>
      </c>
      <c r="V332" s="1">
        <f ca="1">IFERROR(__xludf.DUMMYFUNCTION("""COMPUTED_VALUE"""),0.35)</f>
        <v>0.35</v>
      </c>
      <c r="W332" s="1">
        <f ca="1">IFERROR(__xludf.DUMMYFUNCTION("""COMPUTED_VALUE"""),364)</f>
        <v>364</v>
      </c>
      <c r="X332" s="1">
        <f ca="1">IFERROR(__xludf.DUMMYFUNCTION("""COMPUTED_VALUE"""),540)</f>
        <v>540</v>
      </c>
      <c r="Y332" s="1">
        <f ca="1">IFERROR(__xludf.DUMMYFUNCTION("""COMPUTED_VALUE"""),0.674)</f>
        <v>0.67400000000000004</v>
      </c>
      <c r="Z332" s="1">
        <f ca="1">IFERROR(__xludf.DUMMYFUNCTION("""COMPUTED_VALUE"""),315)</f>
        <v>315</v>
      </c>
      <c r="AA332" s="1">
        <f ca="1">IFERROR(__xludf.DUMMYFUNCTION("""COMPUTED_VALUE"""),1084)</f>
        <v>1084</v>
      </c>
      <c r="AB332" s="1">
        <f ca="1">IFERROR(__xludf.DUMMYFUNCTION("""COMPUTED_VALUE"""),474)</f>
        <v>474</v>
      </c>
      <c r="AC332" s="1">
        <f ca="1">IFERROR(__xludf.DUMMYFUNCTION("""COMPUTED_VALUE"""),208)</f>
        <v>208</v>
      </c>
      <c r="AD332" s="1">
        <f ca="1">IFERROR(__xludf.DUMMYFUNCTION("""COMPUTED_VALUE"""),74)</f>
        <v>74</v>
      </c>
      <c r="AE332" s="1">
        <f ca="1">IFERROR(__xludf.DUMMYFUNCTION("""COMPUTED_VALUE"""),418)</f>
        <v>418</v>
      </c>
      <c r="AF332" s="1">
        <f ca="1">IFERROR(__xludf.DUMMYFUNCTION("""COMPUTED_VALUE"""),634)</f>
        <v>634</v>
      </c>
    </row>
    <row r="333" spans="1:32" ht="12.5" x14ac:dyDescent="0.25">
      <c r="A333" s="1" t="str">
        <f ca="1">IFERROR(__xludf.DUMMYFUNCTION("""COMPUTED_VALUE"""),"Texas-El Paso")</f>
        <v>Texas-El Paso</v>
      </c>
      <c r="B333" s="1">
        <f ca="1">IFERROR(__xludf.DUMMYFUNCTION("""COMPUTED_VALUE"""),35)</f>
        <v>35</v>
      </c>
      <c r="C333" s="1">
        <f ca="1">IFERROR(__xludf.DUMMYFUNCTION("""COMPUTED_VALUE"""),25)</f>
        <v>25</v>
      </c>
      <c r="D333" s="1">
        <f ca="1">IFERROR(__xludf.DUMMYFUNCTION("""COMPUTED_VALUE"""),10)</f>
        <v>10</v>
      </c>
      <c r="E333" s="1">
        <f ca="1">IFERROR(__xludf.DUMMYFUNCTION("""COMPUTED_VALUE"""),0.714)</f>
        <v>0.71399999999999997</v>
      </c>
      <c r="F333" s="1">
        <f ca="1">IFERROR(__xludf.DUMMYFUNCTION("""COMPUTED_VALUE"""),8.83)</f>
        <v>8.83</v>
      </c>
      <c r="G333" s="1">
        <f ca="1">IFERROR(__xludf.DUMMYFUNCTION("""COMPUTED_VALUE"""),2.47)</f>
        <v>2.4700000000000002</v>
      </c>
      <c r="H333" s="1">
        <f ca="1">IFERROR(__xludf.DUMMYFUNCTION("""COMPUTED_VALUE"""),11)</f>
        <v>11</v>
      </c>
      <c r="I333" s="1">
        <f ca="1">IFERROR(__xludf.DUMMYFUNCTION("""COMPUTED_VALUE"""),5)</f>
        <v>5</v>
      </c>
      <c r="J333" s="1">
        <f ca="1">IFERROR(__xludf.DUMMYFUNCTION("""COMPUTED_VALUE"""),17)</f>
        <v>17</v>
      </c>
      <c r="K333" s="1">
        <f ca="1">IFERROR(__xludf.DUMMYFUNCTION("""COMPUTED_VALUE"""),2)</f>
        <v>2</v>
      </c>
      <c r="L333" s="1">
        <f ca="1">IFERROR(__xludf.DUMMYFUNCTION("""COMPUTED_VALUE"""),5)</f>
        <v>5</v>
      </c>
      <c r="M333" s="1">
        <f ca="1">IFERROR(__xludf.DUMMYFUNCTION("""COMPUTED_VALUE"""),6)</f>
        <v>6</v>
      </c>
      <c r="N333" s="1">
        <f ca="1">IFERROR(__xludf.DUMMYFUNCTION("""COMPUTED_VALUE"""),2470)</f>
        <v>2470</v>
      </c>
      <c r="O333" s="1">
        <f ca="1">IFERROR(__xludf.DUMMYFUNCTION("""COMPUTED_VALUE"""),2225)</f>
        <v>2225</v>
      </c>
      <c r="P333" s="1">
        <f ca="1">IFERROR(__xludf.DUMMYFUNCTION("""COMPUTED_VALUE"""),1415)</f>
        <v>1415</v>
      </c>
      <c r="Q333" s="1">
        <f ca="1">IFERROR(__xludf.DUMMYFUNCTION("""COMPUTED_VALUE"""),878)</f>
        <v>878</v>
      </c>
      <c r="R333" s="1">
        <f ca="1">IFERROR(__xludf.DUMMYFUNCTION("""COMPUTED_VALUE"""),1886)</f>
        <v>1886</v>
      </c>
      <c r="S333" s="1">
        <f ca="1">IFERROR(__xludf.DUMMYFUNCTION("""COMPUTED_VALUE"""),0.466)</f>
        <v>0.46600000000000003</v>
      </c>
      <c r="T333" s="1">
        <f ca="1">IFERROR(__xludf.DUMMYFUNCTION("""COMPUTED_VALUE"""),199)</f>
        <v>199</v>
      </c>
      <c r="U333" s="1">
        <f ca="1">IFERROR(__xludf.DUMMYFUNCTION("""COMPUTED_VALUE"""),547)</f>
        <v>547</v>
      </c>
      <c r="V333" s="1">
        <f ca="1">IFERROR(__xludf.DUMMYFUNCTION("""COMPUTED_VALUE"""),0.364)</f>
        <v>0.36399999999999999</v>
      </c>
      <c r="W333" s="1">
        <f ca="1">IFERROR(__xludf.DUMMYFUNCTION("""COMPUTED_VALUE"""),515)</f>
        <v>515</v>
      </c>
      <c r="X333" s="1">
        <f ca="1">IFERROR(__xludf.DUMMYFUNCTION("""COMPUTED_VALUE"""),769)</f>
        <v>769</v>
      </c>
      <c r="Y333" s="1">
        <f ca="1">IFERROR(__xludf.DUMMYFUNCTION("""COMPUTED_VALUE"""),0.67)</f>
        <v>0.67</v>
      </c>
      <c r="Z333" s="1">
        <f ca="1">IFERROR(__xludf.DUMMYFUNCTION("""COMPUTED_VALUE"""),289)</f>
        <v>289</v>
      </c>
      <c r="AA333" s="1">
        <f ca="1">IFERROR(__xludf.DUMMYFUNCTION("""COMPUTED_VALUE"""),1182)</f>
        <v>1182</v>
      </c>
      <c r="AB333" s="1">
        <f ca="1">IFERROR(__xludf.DUMMYFUNCTION("""COMPUTED_VALUE"""),538)</f>
        <v>538</v>
      </c>
      <c r="AC333" s="1">
        <f ca="1">IFERROR(__xludf.DUMMYFUNCTION("""COMPUTED_VALUE"""),237)</f>
        <v>237</v>
      </c>
      <c r="AD333" s="1">
        <f ca="1">IFERROR(__xludf.DUMMYFUNCTION("""COMPUTED_VALUE"""),133)</f>
        <v>133</v>
      </c>
      <c r="AE333" s="1">
        <f ca="1">IFERROR(__xludf.DUMMYFUNCTION("""COMPUTED_VALUE"""),438)</f>
        <v>438</v>
      </c>
      <c r="AF333" s="1">
        <f ca="1">IFERROR(__xludf.DUMMYFUNCTION("""COMPUTED_VALUE"""),651)</f>
        <v>651</v>
      </c>
    </row>
    <row r="334" spans="1:32" ht="12.5" x14ac:dyDescent="0.25">
      <c r="A334" s="1" t="str">
        <f ca="1">IFERROR(__xludf.DUMMYFUNCTION("""COMPUTED_VALUE"""),"Texas-Rio Grande Valley")</f>
        <v>Texas-Rio Grande Valley</v>
      </c>
      <c r="B334" s="1">
        <f ca="1">IFERROR(__xludf.DUMMYFUNCTION("""COMPUTED_VALUE"""),31)</f>
        <v>31</v>
      </c>
      <c r="C334" s="1">
        <f ca="1">IFERROR(__xludf.DUMMYFUNCTION("""COMPUTED_VALUE"""),6)</f>
        <v>6</v>
      </c>
      <c r="D334" s="1">
        <f ca="1">IFERROR(__xludf.DUMMYFUNCTION("""COMPUTED_VALUE"""),25)</f>
        <v>25</v>
      </c>
      <c r="E334" s="1">
        <f ca="1">IFERROR(__xludf.DUMMYFUNCTION("""COMPUTED_VALUE"""),0.194)</f>
        <v>0.19400000000000001</v>
      </c>
      <c r="F334" s="1">
        <f ca="1">IFERROR(__xludf.DUMMYFUNCTION("""COMPUTED_VALUE"""),-16.55)</f>
        <v>-16.55</v>
      </c>
      <c r="G334" s="1">
        <f ca="1">IFERROR(__xludf.DUMMYFUNCTION("""COMPUTED_VALUE"""),-6.41)</f>
        <v>-6.41</v>
      </c>
      <c r="H334" s="1">
        <f ca="1">IFERROR(__xludf.DUMMYFUNCTION("""COMPUTED_VALUE"""),2)</f>
        <v>2</v>
      </c>
      <c r="I334" s="1">
        <f ca="1">IFERROR(__xludf.DUMMYFUNCTION("""COMPUTED_VALUE"""),10)</f>
        <v>10</v>
      </c>
      <c r="J334" s="1">
        <f ca="1">IFERROR(__xludf.DUMMYFUNCTION("""COMPUTED_VALUE"""),5)</f>
        <v>5</v>
      </c>
      <c r="K334" s="1">
        <f ca="1">IFERROR(__xludf.DUMMYFUNCTION("""COMPUTED_VALUE"""),9)</f>
        <v>9</v>
      </c>
      <c r="L334" s="1">
        <f ca="1">IFERROR(__xludf.DUMMYFUNCTION("""COMPUTED_VALUE"""),0)</f>
        <v>0</v>
      </c>
      <c r="M334" s="1">
        <f ca="1">IFERROR(__xludf.DUMMYFUNCTION("""COMPUTED_VALUE"""),14)</f>
        <v>14</v>
      </c>
      <c r="N334" s="1">
        <f ca="1">IFERROR(__xludf.DUMMYFUNCTION("""COMPUTED_VALUE"""),2114)</f>
        <v>2114</v>
      </c>
      <c r="O334" s="1">
        <f ca="1">IFERROR(__xludf.DUMMYFUNCTION("""COMPUTED_VALUE"""),2357)</f>
        <v>2357</v>
      </c>
      <c r="P334" s="1">
        <f ca="1">IFERROR(__xludf.DUMMYFUNCTION("""COMPUTED_VALUE"""),1245)</f>
        <v>1245</v>
      </c>
      <c r="Q334" s="1">
        <f ca="1">IFERROR(__xludf.DUMMYFUNCTION("""COMPUTED_VALUE"""),695)</f>
        <v>695</v>
      </c>
      <c r="R334" s="1">
        <f ca="1">IFERROR(__xludf.DUMMYFUNCTION("""COMPUTED_VALUE"""),1638)</f>
        <v>1638</v>
      </c>
      <c r="S334" s="1">
        <f ca="1">IFERROR(__xludf.DUMMYFUNCTION("""COMPUTED_VALUE"""),0.424)</f>
        <v>0.42399999999999999</v>
      </c>
      <c r="T334" s="1">
        <f ca="1">IFERROR(__xludf.DUMMYFUNCTION("""COMPUTED_VALUE"""),243)</f>
        <v>243</v>
      </c>
      <c r="U334" s="1">
        <f ca="1">IFERROR(__xludf.DUMMYFUNCTION("""COMPUTED_VALUE"""),632)</f>
        <v>632</v>
      </c>
      <c r="V334" s="1">
        <f ca="1">IFERROR(__xludf.DUMMYFUNCTION("""COMPUTED_VALUE"""),0.384)</f>
        <v>0.38400000000000001</v>
      </c>
      <c r="W334" s="1">
        <f ca="1">IFERROR(__xludf.DUMMYFUNCTION("""COMPUTED_VALUE"""),481)</f>
        <v>481</v>
      </c>
      <c r="X334" s="1">
        <f ca="1">IFERROR(__xludf.DUMMYFUNCTION("""COMPUTED_VALUE"""),710)</f>
        <v>710</v>
      </c>
      <c r="Y334" s="1">
        <f ca="1">IFERROR(__xludf.DUMMYFUNCTION("""COMPUTED_VALUE"""),0.677)</f>
        <v>0.67700000000000005</v>
      </c>
      <c r="Z334" s="1">
        <f ca="1">IFERROR(__xludf.DUMMYFUNCTION("""COMPUTED_VALUE"""),311)</f>
        <v>311</v>
      </c>
      <c r="AA334" s="1">
        <f ca="1">IFERROR(__xludf.DUMMYFUNCTION("""COMPUTED_VALUE"""),984)</f>
        <v>984</v>
      </c>
      <c r="AB334" s="1">
        <f ca="1">IFERROR(__xludf.DUMMYFUNCTION("""COMPUTED_VALUE"""),380)</f>
        <v>380</v>
      </c>
      <c r="AC334" s="1">
        <f ca="1">IFERROR(__xludf.DUMMYFUNCTION("""COMPUTED_VALUE"""),178)</f>
        <v>178</v>
      </c>
      <c r="AD334" s="1">
        <f ca="1">IFERROR(__xludf.DUMMYFUNCTION("""COMPUTED_VALUE"""),54)</f>
        <v>54</v>
      </c>
      <c r="AE334" s="1">
        <f ca="1">IFERROR(__xludf.DUMMYFUNCTION("""COMPUTED_VALUE"""),475)</f>
        <v>475</v>
      </c>
      <c r="AF334" s="1">
        <f ca="1">IFERROR(__xludf.DUMMYFUNCTION("""COMPUTED_VALUE"""),641)</f>
        <v>641</v>
      </c>
    </row>
    <row r="335" spans="1:32" ht="12.5" x14ac:dyDescent="0.25">
      <c r="A335" s="1" t="str">
        <f ca="1">IFERROR(__xludf.DUMMYFUNCTION("""COMPUTED_VALUE"""),"Texas-San AntonioNCAA")</f>
        <v>Texas-San AntonioNCAA</v>
      </c>
      <c r="B335" s="1">
        <f ca="1">IFERROR(__xludf.DUMMYFUNCTION("""COMPUTED_VALUE"""),34)</f>
        <v>34</v>
      </c>
      <c r="C335" s="1">
        <f ca="1">IFERROR(__xludf.DUMMYFUNCTION("""COMPUTED_VALUE"""),20)</f>
        <v>20</v>
      </c>
      <c r="D335" s="1">
        <f ca="1">IFERROR(__xludf.DUMMYFUNCTION("""COMPUTED_VALUE"""),14)</f>
        <v>14</v>
      </c>
      <c r="E335" s="1">
        <f ca="1">IFERROR(__xludf.DUMMYFUNCTION("""COMPUTED_VALUE"""),0.588)</f>
        <v>0.58799999999999997</v>
      </c>
      <c r="F335" s="1">
        <f ca="1">IFERROR(__xludf.DUMMYFUNCTION("""COMPUTED_VALUE"""),-5.8)</f>
        <v>-5.8</v>
      </c>
      <c r="G335" s="1">
        <f ca="1">IFERROR(__xludf.DUMMYFUNCTION("""COMPUTED_VALUE"""),-4.93)</f>
        <v>-4.93</v>
      </c>
      <c r="H335" s="1">
        <f ca="1">IFERROR(__xludf.DUMMYFUNCTION("""COMPUTED_VALUE"""),9)</f>
        <v>9</v>
      </c>
      <c r="I335" s="1">
        <f ca="1">IFERROR(__xludf.DUMMYFUNCTION("""COMPUTED_VALUE"""),7)</f>
        <v>7</v>
      </c>
      <c r="J335" s="1">
        <f ca="1">IFERROR(__xludf.DUMMYFUNCTION("""COMPUTED_VALUE"""),11)</f>
        <v>11</v>
      </c>
      <c r="K335" s="1">
        <f ca="1">IFERROR(__xludf.DUMMYFUNCTION("""COMPUTED_VALUE"""),3)</f>
        <v>3</v>
      </c>
      <c r="L335" s="1">
        <f ca="1">IFERROR(__xludf.DUMMYFUNCTION("""COMPUTED_VALUE"""),5)</f>
        <v>5</v>
      </c>
      <c r="M335" s="1">
        <f ca="1">IFERROR(__xludf.DUMMYFUNCTION("""COMPUTED_VALUE"""),10)</f>
        <v>10</v>
      </c>
      <c r="N335" s="1">
        <f ca="1">IFERROR(__xludf.DUMMYFUNCTION("""COMPUTED_VALUE"""),2384)</f>
        <v>2384</v>
      </c>
      <c r="O335" s="1">
        <f ca="1">IFERROR(__xludf.DUMMYFUNCTION("""COMPUTED_VALUE"""),2363)</f>
        <v>2363</v>
      </c>
      <c r="P335" s="1">
        <f ca="1">IFERROR(__xludf.DUMMYFUNCTION("""COMPUTED_VALUE"""),1360)</f>
        <v>1360</v>
      </c>
      <c r="Q335" s="1">
        <f ca="1">IFERROR(__xludf.DUMMYFUNCTION("""COMPUTED_VALUE"""),802)</f>
        <v>802</v>
      </c>
      <c r="R335" s="1">
        <f ca="1">IFERROR(__xludf.DUMMYFUNCTION("""COMPUTED_VALUE"""),1871)</f>
        <v>1871</v>
      </c>
      <c r="S335" s="1">
        <f ca="1">IFERROR(__xludf.DUMMYFUNCTION("""COMPUTED_VALUE"""),0.429)</f>
        <v>0.42899999999999999</v>
      </c>
      <c r="T335" s="1">
        <f ca="1">IFERROR(__xludf.DUMMYFUNCTION("""COMPUTED_VALUE"""),234)</f>
        <v>234</v>
      </c>
      <c r="U335" s="1">
        <f ca="1">IFERROR(__xludf.DUMMYFUNCTION("""COMPUTED_VALUE"""),667)</f>
        <v>667</v>
      </c>
      <c r="V335" s="1">
        <f ca="1">IFERROR(__xludf.DUMMYFUNCTION("""COMPUTED_VALUE"""),0.351)</f>
        <v>0.35099999999999998</v>
      </c>
      <c r="W335" s="1">
        <f ca="1">IFERROR(__xludf.DUMMYFUNCTION("""COMPUTED_VALUE"""),546)</f>
        <v>546</v>
      </c>
      <c r="X335" s="1">
        <f ca="1">IFERROR(__xludf.DUMMYFUNCTION("""COMPUTED_VALUE"""),774)</f>
        <v>774</v>
      </c>
      <c r="Y335" s="1">
        <f ca="1">IFERROR(__xludf.DUMMYFUNCTION("""COMPUTED_VALUE"""),0.705)</f>
        <v>0.70499999999999996</v>
      </c>
      <c r="Z335" s="1">
        <f ca="1">IFERROR(__xludf.DUMMYFUNCTION("""COMPUTED_VALUE"""),362)</f>
        <v>362</v>
      </c>
      <c r="AA335" s="1">
        <f ca="1">IFERROR(__xludf.DUMMYFUNCTION("""COMPUTED_VALUE"""),1186)</f>
        <v>1186</v>
      </c>
      <c r="AB335" s="1">
        <f ca="1">IFERROR(__xludf.DUMMYFUNCTION("""COMPUTED_VALUE"""),430)</f>
        <v>430</v>
      </c>
      <c r="AC335" s="1">
        <f ca="1">IFERROR(__xludf.DUMMYFUNCTION("""COMPUTED_VALUE"""),240)</f>
        <v>240</v>
      </c>
      <c r="AD335" s="1">
        <f ca="1">IFERROR(__xludf.DUMMYFUNCTION("""COMPUTED_VALUE"""),76)</f>
        <v>76</v>
      </c>
      <c r="AE335" s="1">
        <f ca="1">IFERROR(__xludf.DUMMYFUNCTION("""COMPUTED_VALUE"""),461)</f>
        <v>461</v>
      </c>
      <c r="AF335" s="1">
        <f ca="1">IFERROR(__xludf.DUMMYFUNCTION("""COMPUTED_VALUE"""),657)</f>
        <v>657</v>
      </c>
    </row>
    <row r="336" spans="1:32" ht="12.5" x14ac:dyDescent="0.25">
      <c r="A336" s="1" t="str">
        <f ca="1">IFERROR(__xludf.DUMMYFUNCTION("""COMPUTED_VALUE"""),"Texas Southern")</f>
        <v>Texas Southern</v>
      </c>
      <c r="B336" s="1">
        <f ca="1">IFERROR(__xludf.DUMMYFUNCTION("""COMPUTED_VALUE"""),32)</f>
        <v>32</v>
      </c>
      <c r="C336" s="1">
        <f ca="1">IFERROR(__xludf.DUMMYFUNCTION("""COMPUTED_VALUE"""),19)</f>
        <v>19</v>
      </c>
      <c r="D336" s="1">
        <f ca="1">IFERROR(__xludf.DUMMYFUNCTION("""COMPUTED_VALUE"""),13)</f>
        <v>13</v>
      </c>
      <c r="E336" s="1">
        <f ca="1">IFERROR(__xludf.DUMMYFUNCTION("""COMPUTED_VALUE"""),0.594)</f>
        <v>0.59399999999999997</v>
      </c>
      <c r="F336" s="1">
        <f ca="1">IFERROR(__xludf.DUMMYFUNCTION("""COMPUTED_VALUE"""),-10.14)</f>
        <v>-10.14</v>
      </c>
      <c r="G336" s="1">
        <f ca="1">IFERROR(__xludf.DUMMYFUNCTION("""COMPUTED_VALUE"""),-9.02)</f>
        <v>-9.02</v>
      </c>
      <c r="H336" s="1">
        <f ca="1">IFERROR(__xludf.DUMMYFUNCTION("""COMPUTED_VALUE"""),16)</f>
        <v>16</v>
      </c>
      <c r="I336" s="1">
        <f ca="1">IFERROR(__xludf.DUMMYFUNCTION("""COMPUTED_VALUE"""),2)</f>
        <v>2</v>
      </c>
      <c r="J336" s="1">
        <f ca="1">IFERROR(__xludf.DUMMYFUNCTION("""COMPUTED_VALUE"""),9)</f>
        <v>9</v>
      </c>
      <c r="K336" s="1">
        <f ca="1">IFERROR(__xludf.DUMMYFUNCTION("""COMPUTED_VALUE"""),1)</f>
        <v>1</v>
      </c>
      <c r="L336" s="1">
        <f ca="1">IFERROR(__xludf.DUMMYFUNCTION("""COMPUTED_VALUE"""),8)</f>
        <v>8</v>
      </c>
      <c r="M336" s="1">
        <f ca="1">IFERROR(__xludf.DUMMYFUNCTION("""COMPUTED_VALUE"""),11)</f>
        <v>11</v>
      </c>
      <c r="N336" s="1">
        <f ca="1">IFERROR(__xludf.DUMMYFUNCTION("""COMPUTED_VALUE"""),2056)</f>
        <v>2056</v>
      </c>
      <c r="O336" s="1">
        <f ca="1">IFERROR(__xludf.DUMMYFUNCTION("""COMPUTED_VALUE"""),2092)</f>
        <v>2092</v>
      </c>
      <c r="P336" s="1">
        <f ca="1">IFERROR(__xludf.DUMMYFUNCTION("""COMPUTED_VALUE"""),1295)</f>
        <v>1295</v>
      </c>
      <c r="Q336" s="1">
        <f ca="1">IFERROR(__xludf.DUMMYFUNCTION("""COMPUTED_VALUE"""),691)</f>
        <v>691</v>
      </c>
      <c r="R336" s="1">
        <f ca="1">IFERROR(__xludf.DUMMYFUNCTION("""COMPUTED_VALUE"""),1622)</f>
        <v>1622</v>
      </c>
      <c r="S336" s="1">
        <f ca="1">IFERROR(__xludf.DUMMYFUNCTION("""COMPUTED_VALUE"""),0.426)</f>
        <v>0.42599999999999999</v>
      </c>
      <c r="T336" s="1">
        <f ca="1">IFERROR(__xludf.DUMMYFUNCTION("""COMPUTED_VALUE"""),185)</f>
        <v>185</v>
      </c>
      <c r="U336" s="1">
        <f ca="1">IFERROR(__xludf.DUMMYFUNCTION("""COMPUTED_VALUE"""),614)</f>
        <v>614</v>
      </c>
      <c r="V336" s="1">
        <f ca="1">IFERROR(__xludf.DUMMYFUNCTION("""COMPUTED_VALUE"""),0.301)</f>
        <v>0.30099999999999999</v>
      </c>
      <c r="W336" s="1">
        <f ca="1">IFERROR(__xludf.DUMMYFUNCTION("""COMPUTED_VALUE"""),489)</f>
        <v>489</v>
      </c>
      <c r="X336" s="1">
        <f ca="1">IFERROR(__xludf.DUMMYFUNCTION("""COMPUTED_VALUE"""),774)</f>
        <v>774</v>
      </c>
      <c r="Y336" s="1">
        <f ca="1">IFERROR(__xludf.DUMMYFUNCTION("""COMPUTED_VALUE"""),0.632)</f>
        <v>0.63200000000000001</v>
      </c>
      <c r="Z336" s="1">
        <f ca="1">IFERROR(__xludf.DUMMYFUNCTION("""COMPUTED_VALUE"""),328)</f>
        <v>328</v>
      </c>
      <c r="AA336" s="1">
        <f ca="1">IFERROR(__xludf.DUMMYFUNCTION("""COMPUTED_VALUE"""),1106)</f>
        <v>1106</v>
      </c>
      <c r="AB336" s="1">
        <f ca="1">IFERROR(__xludf.DUMMYFUNCTION("""COMPUTED_VALUE"""),392)</f>
        <v>392</v>
      </c>
      <c r="AC336" s="1">
        <f ca="1">IFERROR(__xludf.DUMMYFUNCTION("""COMPUTED_VALUE"""),258)</f>
        <v>258</v>
      </c>
      <c r="AD336" s="1">
        <f ca="1">IFERROR(__xludf.DUMMYFUNCTION("""COMPUTED_VALUE"""),111)</f>
        <v>111</v>
      </c>
      <c r="AE336" s="1">
        <f ca="1">IFERROR(__xludf.DUMMYFUNCTION("""COMPUTED_VALUE"""),527)</f>
        <v>527</v>
      </c>
      <c r="AF336" s="1">
        <f ca="1">IFERROR(__xludf.DUMMYFUNCTION("""COMPUTED_VALUE"""),598)</f>
        <v>598</v>
      </c>
    </row>
    <row r="337" spans="1:32" ht="12.5" x14ac:dyDescent="0.25">
      <c r="A337" s="1" t="str">
        <f ca="1">IFERROR(__xludf.DUMMYFUNCTION("""COMPUTED_VALUE"""),"Texas State")</f>
        <v>Texas State</v>
      </c>
      <c r="B337" s="1">
        <f ca="1">IFERROR(__xludf.DUMMYFUNCTION("""COMPUTED_VALUE"""),32)</f>
        <v>32</v>
      </c>
      <c r="C337" s="1">
        <f ca="1">IFERROR(__xludf.DUMMYFUNCTION("""COMPUTED_VALUE"""),16)</f>
        <v>16</v>
      </c>
      <c r="D337" s="1">
        <f ca="1">IFERROR(__xludf.DUMMYFUNCTION("""COMPUTED_VALUE"""),16)</f>
        <v>16</v>
      </c>
      <c r="E337" s="1">
        <f ca="1">IFERROR(__xludf.DUMMYFUNCTION("""COMPUTED_VALUE"""),0.5)</f>
        <v>0.5</v>
      </c>
      <c r="F337" s="1">
        <f ca="1">IFERROR(__xludf.DUMMYFUNCTION("""COMPUTED_VALUE"""),-7.65)</f>
        <v>-7.65</v>
      </c>
      <c r="G337" s="1">
        <f ca="1">IFERROR(__xludf.DUMMYFUNCTION("""COMPUTED_VALUE"""),-5.89)</f>
        <v>-5.89</v>
      </c>
      <c r="H337" s="1">
        <f ca="1">IFERROR(__xludf.DUMMYFUNCTION("""COMPUTED_VALUE"""),10)</f>
        <v>10</v>
      </c>
      <c r="I337" s="1">
        <f ca="1">IFERROR(__xludf.DUMMYFUNCTION("""COMPUTED_VALUE"""),6)</f>
        <v>6</v>
      </c>
      <c r="J337" s="1">
        <f ca="1">IFERROR(__xludf.DUMMYFUNCTION("""COMPUTED_VALUE"""),11)</f>
        <v>11</v>
      </c>
      <c r="K337" s="1">
        <f ca="1">IFERROR(__xludf.DUMMYFUNCTION("""COMPUTED_VALUE"""),3)</f>
        <v>3</v>
      </c>
      <c r="L337" s="1">
        <f ca="1">IFERROR(__xludf.DUMMYFUNCTION("""COMPUTED_VALUE"""),3)</f>
        <v>3</v>
      </c>
      <c r="M337" s="1">
        <f ca="1">IFERROR(__xludf.DUMMYFUNCTION("""COMPUTED_VALUE"""),9)</f>
        <v>9</v>
      </c>
      <c r="N337" s="1">
        <f ca="1">IFERROR(__xludf.DUMMYFUNCTION("""COMPUTED_VALUE"""),2506)</f>
        <v>2506</v>
      </c>
      <c r="O337" s="1">
        <f ca="1">IFERROR(__xludf.DUMMYFUNCTION("""COMPUTED_VALUE"""),2510)</f>
        <v>2510</v>
      </c>
      <c r="P337" s="1">
        <f ca="1">IFERROR(__xludf.DUMMYFUNCTION("""COMPUTED_VALUE"""),1290)</f>
        <v>1290</v>
      </c>
      <c r="Q337" s="1">
        <f ca="1">IFERROR(__xludf.DUMMYFUNCTION("""COMPUTED_VALUE"""),866)</f>
        <v>866</v>
      </c>
      <c r="R337" s="1">
        <f ca="1">IFERROR(__xludf.DUMMYFUNCTION("""COMPUTED_VALUE"""),1930)</f>
        <v>1930</v>
      </c>
      <c r="S337" s="1">
        <f ca="1">IFERROR(__xludf.DUMMYFUNCTION("""COMPUTED_VALUE"""),0.449)</f>
        <v>0.44900000000000001</v>
      </c>
      <c r="T337" s="1">
        <f ca="1">IFERROR(__xludf.DUMMYFUNCTION("""COMPUTED_VALUE"""),185)</f>
        <v>185</v>
      </c>
      <c r="U337" s="1">
        <f ca="1">IFERROR(__xludf.DUMMYFUNCTION("""COMPUTED_VALUE"""),579)</f>
        <v>579</v>
      </c>
      <c r="V337" s="1">
        <f ca="1">IFERROR(__xludf.DUMMYFUNCTION("""COMPUTED_VALUE"""),0.32)</f>
        <v>0.32</v>
      </c>
      <c r="W337" s="1">
        <f ca="1">IFERROR(__xludf.DUMMYFUNCTION("""COMPUTED_VALUE"""),589)</f>
        <v>589</v>
      </c>
      <c r="X337" s="1">
        <f ca="1">IFERROR(__xludf.DUMMYFUNCTION("""COMPUTED_VALUE"""),877)</f>
        <v>877</v>
      </c>
      <c r="Y337" s="1">
        <f ca="1">IFERROR(__xludf.DUMMYFUNCTION("""COMPUTED_VALUE"""),0.672)</f>
        <v>0.67200000000000004</v>
      </c>
      <c r="Z337" s="1">
        <f ca="1">IFERROR(__xludf.DUMMYFUNCTION("""COMPUTED_VALUE"""),400)</f>
        <v>400</v>
      </c>
      <c r="AA337" s="1">
        <f ca="1">IFERROR(__xludf.DUMMYFUNCTION("""COMPUTED_VALUE"""),1194)</f>
        <v>1194</v>
      </c>
      <c r="AB337" s="1">
        <f ca="1">IFERROR(__xludf.DUMMYFUNCTION("""COMPUTED_VALUE"""),440)</f>
        <v>440</v>
      </c>
      <c r="AC337" s="1">
        <f ca="1">IFERROR(__xludf.DUMMYFUNCTION("""COMPUTED_VALUE"""),247)</f>
        <v>247</v>
      </c>
      <c r="AD337" s="1">
        <f ca="1">IFERROR(__xludf.DUMMYFUNCTION("""COMPUTED_VALUE"""),104)</f>
        <v>104</v>
      </c>
      <c r="AE337" s="1">
        <f ca="1">IFERROR(__xludf.DUMMYFUNCTION("""COMPUTED_VALUE"""),489)</f>
        <v>489</v>
      </c>
      <c r="AF337" s="1">
        <f ca="1">IFERROR(__xludf.DUMMYFUNCTION("""COMPUTED_VALUE"""),699)</f>
        <v>699</v>
      </c>
    </row>
    <row r="338" spans="1:32" ht="12.5" x14ac:dyDescent="0.25">
      <c r="A338" s="1" t="str">
        <f ca="1">IFERROR(__xludf.DUMMYFUNCTION("""COMPUTED_VALUE"""),"Texas Tech")</f>
        <v>Texas Tech</v>
      </c>
      <c r="B338" s="1">
        <f ca="1">IFERROR(__xludf.DUMMYFUNCTION("""COMPUTED_VALUE"""),32)</f>
        <v>32</v>
      </c>
      <c r="C338" s="1">
        <f ca="1">IFERROR(__xludf.DUMMYFUNCTION("""COMPUTED_VALUE"""),13)</f>
        <v>13</v>
      </c>
      <c r="D338" s="1">
        <f ca="1">IFERROR(__xludf.DUMMYFUNCTION("""COMPUTED_VALUE"""),19)</f>
        <v>19</v>
      </c>
      <c r="E338" s="1">
        <f ca="1">IFERROR(__xludf.DUMMYFUNCTION("""COMPUTED_VALUE"""),0.406)</f>
        <v>0.40600000000000003</v>
      </c>
      <c r="F338" s="1">
        <f ca="1">IFERROR(__xludf.DUMMYFUNCTION("""COMPUTED_VALUE"""),4.02)</f>
        <v>4.0199999999999996</v>
      </c>
      <c r="G338" s="1">
        <f ca="1">IFERROR(__xludf.DUMMYFUNCTION("""COMPUTED_VALUE"""),6.18)</f>
        <v>6.18</v>
      </c>
      <c r="H338" s="1">
        <f ca="1">IFERROR(__xludf.DUMMYFUNCTION("""COMPUTED_VALUE"""),5)</f>
        <v>5</v>
      </c>
      <c r="I338" s="1">
        <f ca="1">IFERROR(__xludf.DUMMYFUNCTION("""COMPUTED_VALUE"""),11)</f>
        <v>11</v>
      </c>
      <c r="J338" s="1">
        <f ca="1">IFERROR(__xludf.DUMMYFUNCTION("""COMPUTED_VALUE"""),11)</f>
        <v>11</v>
      </c>
      <c r="K338" s="1">
        <f ca="1">IFERROR(__xludf.DUMMYFUNCTION("""COMPUTED_VALUE"""),7)</f>
        <v>7</v>
      </c>
      <c r="L338" s="1">
        <f ca="1">IFERROR(__xludf.DUMMYFUNCTION("""COMPUTED_VALUE"""),2)</f>
        <v>2</v>
      </c>
      <c r="M338" s="1">
        <f ca="1">IFERROR(__xludf.DUMMYFUNCTION("""COMPUTED_VALUE"""),9)</f>
        <v>9</v>
      </c>
      <c r="N338" s="1">
        <f ca="1">IFERROR(__xludf.DUMMYFUNCTION("""COMPUTED_VALUE"""),2342)</f>
        <v>2342</v>
      </c>
      <c r="O338" s="1">
        <f ca="1">IFERROR(__xludf.DUMMYFUNCTION("""COMPUTED_VALUE"""),2411)</f>
        <v>2411</v>
      </c>
      <c r="P338" s="1">
        <f ca="1">IFERROR(__xludf.DUMMYFUNCTION("""COMPUTED_VALUE"""),1290)</f>
        <v>1290</v>
      </c>
      <c r="Q338" s="1">
        <f ca="1">IFERROR(__xludf.DUMMYFUNCTION("""COMPUTED_VALUE"""),824)</f>
        <v>824</v>
      </c>
      <c r="R338" s="1">
        <f ca="1">IFERROR(__xludf.DUMMYFUNCTION("""COMPUTED_VALUE"""),1853)</f>
        <v>1853</v>
      </c>
      <c r="S338" s="1">
        <f ca="1">IFERROR(__xludf.DUMMYFUNCTION("""COMPUTED_VALUE"""),0.445)</f>
        <v>0.44500000000000001</v>
      </c>
      <c r="T338" s="1">
        <f ca="1">IFERROR(__xludf.DUMMYFUNCTION("""COMPUTED_VALUE"""),179)</f>
        <v>179</v>
      </c>
      <c r="U338" s="1">
        <f ca="1">IFERROR(__xludf.DUMMYFUNCTION("""COMPUTED_VALUE"""),491)</f>
        <v>491</v>
      </c>
      <c r="V338" s="1">
        <f ca="1">IFERROR(__xludf.DUMMYFUNCTION("""COMPUTED_VALUE"""),0.365)</f>
        <v>0.36499999999999999</v>
      </c>
      <c r="W338" s="1">
        <f ca="1">IFERROR(__xludf.DUMMYFUNCTION("""COMPUTED_VALUE"""),515)</f>
        <v>515</v>
      </c>
      <c r="X338" s="1">
        <f ca="1">IFERROR(__xludf.DUMMYFUNCTION("""COMPUTED_VALUE"""),706)</f>
        <v>706</v>
      </c>
      <c r="Y338" s="1">
        <f ca="1">IFERROR(__xludf.DUMMYFUNCTION("""COMPUTED_VALUE"""),0.729)</f>
        <v>0.72899999999999998</v>
      </c>
      <c r="Z338" s="1">
        <f ca="1">IFERROR(__xludf.DUMMYFUNCTION("""COMPUTED_VALUE"""),361)</f>
        <v>361</v>
      </c>
      <c r="AA338" s="1">
        <f ca="1">IFERROR(__xludf.DUMMYFUNCTION("""COMPUTED_VALUE"""),1080)</f>
        <v>1080</v>
      </c>
      <c r="AB338" s="1">
        <f ca="1">IFERROR(__xludf.DUMMYFUNCTION("""COMPUTED_VALUE"""),426)</f>
        <v>426</v>
      </c>
      <c r="AC338" s="1">
        <f ca="1">IFERROR(__xludf.DUMMYFUNCTION("""COMPUTED_VALUE"""),190)</f>
        <v>190</v>
      </c>
      <c r="AD338" s="1">
        <f ca="1">IFERROR(__xludf.DUMMYFUNCTION("""COMPUTED_VALUE"""),138)</f>
        <v>138</v>
      </c>
      <c r="AE338" s="1">
        <f ca="1">IFERROR(__xludf.DUMMYFUNCTION("""COMPUTED_VALUE"""),442)</f>
        <v>442</v>
      </c>
      <c r="AF338" s="1">
        <f ca="1">IFERROR(__xludf.DUMMYFUNCTION("""COMPUTED_VALUE"""),640)</f>
        <v>640</v>
      </c>
    </row>
    <row r="339" spans="1:32" ht="12.5" x14ac:dyDescent="0.25">
      <c r="A339" s="1" t="str">
        <f ca="1">IFERROR(__xludf.DUMMYFUNCTION("""COMPUTED_VALUE"""),"TexasNCAA")</f>
        <v>TexasNCAA</v>
      </c>
      <c r="B339" s="1">
        <f ca="1">IFERROR(__xludf.DUMMYFUNCTION("""COMPUTED_VALUE"""),36)</f>
        <v>36</v>
      </c>
      <c r="C339" s="1">
        <f ca="1">IFERROR(__xludf.DUMMYFUNCTION("""COMPUTED_VALUE"""),28)</f>
        <v>28</v>
      </c>
      <c r="D339" s="1">
        <f ca="1">IFERROR(__xludf.DUMMYFUNCTION("""COMPUTED_VALUE"""),8)</f>
        <v>8</v>
      </c>
      <c r="E339" s="1">
        <f ca="1">IFERROR(__xludf.DUMMYFUNCTION("""COMPUTED_VALUE"""),0.778)</f>
        <v>0.77800000000000002</v>
      </c>
      <c r="F339" s="1">
        <f ca="1">IFERROR(__xludf.DUMMYFUNCTION("""COMPUTED_VALUE"""),20.82)</f>
        <v>20.82</v>
      </c>
      <c r="G339" s="1">
        <f ca="1">IFERROR(__xludf.DUMMYFUNCTION("""COMPUTED_VALUE"""),7.96)</f>
        <v>7.96</v>
      </c>
      <c r="H339" s="1">
        <f ca="1">IFERROR(__xludf.DUMMYFUNCTION("""COMPUTED_VALUE"""),13)</f>
        <v>13</v>
      </c>
      <c r="I339" s="1">
        <f ca="1">IFERROR(__xludf.DUMMYFUNCTION("""COMPUTED_VALUE"""),3)</f>
        <v>3</v>
      </c>
      <c r="J339" s="1">
        <f ca="1">IFERROR(__xludf.DUMMYFUNCTION("""COMPUTED_VALUE"""),16)</f>
        <v>16</v>
      </c>
      <c r="K339" s="1">
        <f ca="1">IFERROR(__xludf.DUMMYFUNCTION("""COMPUTED_VALUE"""),2)</f>
        <v>2</v>
      </c>
      <c r="L339" s="1">
        <f ca="1">IFERROR(__xludf.DUMMYFUNCTION("""COMPUTED_VALUE"""),7)</f>
        <v>7</v>
      </c>
      <c r="M339" s="1">
        <f ca="1">IFERROR(__xludf.DUMMYFUNCTION("""COMPUTED_VALUE"""),3)</f>
        <v>3</v>
      </c>
      <c r="N339" s="1">
        <f ca="1">IFERROR(__xludf.DUMMYFUNCTION("""COMPUTED_VALUE"""),2701)</f>
        <v>2701</v>
      </c>
      <c r="O339" s="1">
        <f ca="1">IFERROR(__xludf.DUMMYFUNCTION("""COMPUTED_VALUE"""),2238)</f>
        <v>2238</v>
      </c>
      <c r="P339" s="1">
        <f ca="1">IFERROR(__xludf.DUMMYFUNCTION("""COMPUTED_VALUE"""),1450)</f>
        <v>1450</v>
      </c>
      <c r="Q339" s="1">
        <f ca="1">IFERROR(__xludf.DUMMYFUNCTION("""COMPUTED_VALUE"""),954)</f>
        <v>954</v>
      </c>
      <c r="R339" s="1">
        <f ca="1">IFERROR(__xludf.DUMMYFUNCTION("""COMPUTED_VALUE"""),2099)</f>
        <v>2099</v>
      </c>
      <c r="S339" s="1">
        <f ca="1">IFERROR(__xludf.DUMMYFUNCTION("""COMPUTED_VALUE"""),0.455)</f>
        <v>0.45500000000000002</v>
      </c>
      <c r="T339" s="1">
        <f ca="1">IFERROR(__xludf.DUMMYFUNCTION("""COMPUTED_VALUE"""),201)</f>
        <v>201</v>
      </c>
      <c r="U339" s="1">
        <f ca="1">IFERROR(__xludf.DUMMYFUNCTION("""COMPUTED_VALUE"""),535)</f>
        <v>535</v>
      </c>
      <c r="V339" s="1">
        <f ca="1">IFERROR(__xludf.DUMMYFUNCTION("""COMPUTED_VALUE"""),0.376)</f>
        <v>0.376</v>
      </c>
      <c r="W339" s="1">
        <f ca="1">IFERROR(__xludf.DUMMYFUNCTION("""COMPUTED_VALUE"""),592)</f>
        <v>592</v>
      </c>
      <c r="X339" s="1">
        <f ca="1">IFERROR(__xludf.DUMMYFUNCTION("""COMPUTED_VALUE"""),905)</f>
        <v>905</v>
      </c>
      <c r="Y339" s="1">
        <f ca="1">IFERROR(__xludf.DUMMYFUNCTION("""COMPUTED_VALUE"""),0.654)</f>
        <v>0.65400000000000003</v>
      </c>
      <c r="Z339" s="1">
        <f ca="1">IFERROR(__xludf.DUMMYFUNCTION("""COMPUTED_VALUE"""),494)</f>
        <v>494</v>
      </c>
      <c r="AA339" s="1">
        <f ca="1">IFERROR(__xludf.DUMMYFUNCTION("""COMPUTED_VALUE"""),1452)</f>
        <v>1452</v>
      </c>
      <c r="AB339" s="1">
        <f ca="1">IFERROR(__xludf.DUMMYFUNCTION("""COMPUTED_VALUE"""),485)</f>
        <v>485</v>
      </c>
      <c r="AC339" s="1">
        <f ca="1">IFERROR(__xludf.DUMMYFUNCTION("""COMPUTED_VALUE"""),207)</f>
        <v>207</v>
      </c>
      <c r="AD339" s="1">
        <f ca="1">IFERROR(__xludf.DUMMYFUNCTION("""COMPUTED_VALUE"""),183)</f>
        <v>183</v>
      </c>
      <c r="AE339" s="1">
        <f ca="1">IFERROR(__xludf.DUMMYFUNCTION("""COMPUTED_VALUE"""),425)</f>
        <v>425</v>
      </c>
      <c r="AF339" s="1">
        <f ca="1">IFERROR(__xludf.DUMMYFUNCTION("""COMPUTED_VALUE"""),616)</f>
        <v>616</v>
      </c>
    </row>
    <row r="340" spans="1:32" ht="12.5" x14ac:dyDescent="0.25">
      <c r="A340" s="1" t="str">
        <f ca="1">IFERROR(__xludf.DUMMYFUNCTION("""COMPUTED_VALUE"""),"Toledo")</f>
        <v>Toledo</v>
      </c>
      <c r="B340" s="1">
        <f ca="1">IFERROR(__xludf.DUMMYFUNCTION("""COMPUTED_VALUE"""),32)</f>
        <v>32</v>
      </c>
      <c r="C340" s="1">
        <f ca="1">IFERROR(__xludf.DUMMYFUNCTION("""COMPUTED_VALUE"""),4)</f>
        <v>4</v>
      </c>
      <c r="D340" s="1">
        <f ca="1">IFERROR(__xludf.DUMMYFUNCTION("""COMPUTED_VALUE"""),28)</f>
        <v>28</v>
      </c>
      <c r="E340" s="1">
        <f ca="1">IFERROR(__xludf.DUMMYFUNCTION("""COMPUTED_VALUE"""),0.125)</f>
        <v>0.125</v>
      </c>
      <c r="F340" s="1">
        <f ca="1">IFERROR(__xludf.DUMMYFUNCTION("""COMPUTED_VALUE"""),-14.75)</f>
        <v>-14.75</v>
      </c>
      <c r="G340" s="1">
        <f ca="1">IFERROR(__xludf.DUMMYFUNCTION("""COMPUTED_VALUE"""),-0.88)</f>
        <v>-0.88</v>
      </c>
      <c r="H340" s="1">
        <f ca="1">IFERROR(__xludf.DUMMYFUNCTION("""COMPUTED_VALUE"""),1)</f>
        <v>1</v>
      </c>
      <c r="I340" s="1">
        <f ca="1">IFERROR(__xludf.DUMMYFUNCTION("""COMPUTED_VALUE"""),15)</f>
        <v>15</v>
      </c>
      <c r="J340" s="1">
        <f ca="1">IFERROR(__xludf.DUMMYFUNCTION("""COMPUTED_VALUE"""),4)</f>
        <v>4</v>
      </c>
      <c r="K340" s="1">
        <f ca="1">IFERROR(__xludf.DUMMYFUNCTION("""COMPUTED_VALUE"""),12)</f>
        <v>12</v>
      </c>
      <c r="L340" s="1">
        <f ca="1">IFERROR(__xludf.DUMMYFUNCTION("""COMPUTED_VALUE"""),0)</f>
        <v>0</v>
      </c>
      <c r="M340" s="1">
        <f ca="1">IFERROR(__xludf.DUMMYFUNCTION("""COMPUTED_VALUE"""),16)</f>
        <v>16</v>
      </c>
      <c r="N340" s="1">
        <f ca="1">IFERROR(__xludf.DUMMYFUNCTION("""COMPUTED_VALUE"""),1853)</f>
        <v>1853</v>
      </c>
      <c r="O340" s="1">
        <f ca="1">IFERROR(__xludf.DUMMYFUNCTION("""COMPUTED_VALUE"""),2247)</f>
        <v>2247</v>
      </c>
      <c r="P340" s="1">
        <f ca="1">IFERROR(__xludf.DUMMYFUNCTION("""COMPUTED_VALUE"""),1290)</f>
        <v>1290</v>
      </c>
      <c r="Q340" s="1">
        <f ca="1">IFERROR(__xludf.DUMMYFUNCTION("""COMPUTED_VALUE"""),635)</f>
        <v>635</v>
      </c>
      <c r="R340" s="1">
        <f ca="1">IFERROR(__xludf.DUMMYFUNCTION("""COMPUTED_VALUE"""),1557)</f>
        <v>1557</v>
      </c>
      <c r="S340" s="1">
        <f ca="1">IFERROR(__xludf.DUMMYFUNCTION("""COMPUTED_VALUE"""),0.408)</f>
        <v>0.40799999999999997</v>
      </c>
      <c r="T340" s="1">
        <f ca="1">IFERROR(__xludf.DUMMYFUNCTION("""COMPUTED_VALUE"""),170)</f>
        <v>170</v>
      </c>
      <c r="U340" s="1">
        <f ca="1">IFERROR(__xludf.DUMMYFUNCTION("""COMPUTED_VALUE"""),531)</f>
        <v>531</v>
      </c>
      <c r="V340" s="1">
        <f ca="1">IFERROR(__xludf.DUMMYFUNCTION("""COMPUTED_VALUE"""),0.32)</f>
        <v>0.32</v>
      </c>
      <c r="W340" s="1">
        <f ca="1">IFERROR(__xludf.DUMMYFUNCTION("""COMPUTED_VALUE"""),413)</f>
        <v>413</v>
      </c>
      <c r="X340" s="1">
        <f ca="1">IFERROR(__xludf.DUMMYFUNCTION("""COMPUTED_VALUE"""),658)</f>
        <v>658</v>
      </c>
      <c r="Y340" s="1">
        <f ca="1">IFERROR(__xludf.DUMMYFUNCTION("""COMPUTED_VALUE"""),0.628)</f>
        <v>0.628</v>
      </c>
      <c r="Z340" s="1">
        <f ca="1">IFERROR(__xludf.DUMMYFUNCTION("""COMPUTED_VALUE"""),304)</f>
        <v>304</v>
      </c>
      <c r="AA340" s="1">
        <f ca="1">IFERROR(__xludf.DUMMYFUNCTION("""COMPUTED_VALUE"""),1002)</f>
        <v>1002</v>
      </c>
      <c r="AB340" s="1">
        <f ca="1">IFERROR(__xludf.DUMMYFUNCTION("""COMPUTED_VALUE"""),392)</f>
        <v>392</v>
      </c>
      <c r="AC340" s="1">
        <f ca="1">IFERROR(__xludf.DUMMYFUNCTION("""COMPUTED_VALUE"""),174)</f>
        <v>174</v>
      </c>
      <c r="AD340" s="1">
        <f ca="1">IFERROR(__xludf.DUMMYFUNCTION("""COMPUTED_VALUE"""),47)</f>
        <v>47</v>
      </c>
      <c r="AE340" s="1">
        <f ca="1">IFERROR(__xludf.DUMMYFUNCTION("""COMPUTED_VALUE"""),509)</f>
        <v>509</v>
      </c>
      <c r="AF340" s="1">
        <f ca="1">IFERROR(__xludf.DUMMYFUNCTION("""COMPUTED_VALUE"""),538)</f>
        <v>538</v>
      </c>
    </row>
    <row r="341" spans="1:32" ht="12.5" x14ac:dyDescent="0.25">
      <c r="A341" s="1" t="str">
        <f ca="1">IFERROR(__xludf.DUMMYFUNCTION("""COMPUTED_VALUE"""),"Towson")</f>
        <v>Towson</v>
      </c>
      <c r="B341" s="1">
        <f ca="1">IFERROR(__xludf.DUMMYFUNCTION("""COMPUTED_VALUE"""),30)</f>
        <v>30</v>
      </c>
      <c r="C341" s="1">
        <f ca="1">IFERROR(__xludf.DUMMYFUNCTION("""COMPUTED_VALUE"""),4)</f>
        <v>4</v>
      </c>
      <c r="D341" s="1">
        <f ca="1">IFERROR(__xludf.DUMMYFUNCTION("""COMPUTED_VALUE"""),26)</f>
        <v>26</v>
      </c>
      <c r="E341" s="1">
        <f ca="1">IFERROR(__xludf.DUMMYFUNCTION("""COMPUTED_VALUE"""),0.133)</f>
        <v>0.13300000000000001</v>
      </c>
      <c r="F341" s="1">
        <f ca="1">IFERROR(__xludf.DUMMYFUNCTION("""COMPUTED_VALUE"""),-8.06)</f>
        <v>-8.06</v>
      </c>
      <c r="G341" s="1">
        <f ca="1">IFERROR(__xludf.DUMMYFUNCTION("""COMPUTED_VALUE"""),-0.52)</f>
        <v>-0.52</v>
      </c>
      <c r="H341" s="1">
        <f ca="1">IFERROR(__xludf.DUMMYFUNCTION("""COMPUTED_VALUE"""),0)</f>
        <v>0</v>
      </c>
      <c r="I341" s="1">
        <f ca="1">IFERROR(__xludf.DUMMYFUNCTION("""COMPUTED_VALUE"""),18)</f>
        <v>18</v>
      </c>
      <c r="J341" s="1">
        <f ca="1">IFERROR(__xludf.DUMMYFUNCTION("""COMPUTED_VALUE"""),2)</f>
        <v>2</v>
      </c>
      <c r="K341" s="1">
        <f ca="1">IFERROR(__xludf.DUMMYFUNCTION("""COMPUTED_VALUE"""),12)</f>
        <v>12</v>
      </c>
      <c r="L341" s="1">
        <f ca="1">IFERROR(__xludf.DUMMYFUNCTION("""COMPUTED_VALUE"""),2)</f>
        <v>2</v>
      </c>
      <c r="M341" s="1">
        <f ca="1">IFERROR(__xludf.DUMMYFUNCTION("""COMPUTED_VALUE"""),13)</f>
        <v>13</v>
      </c>
      <c r="N341" s="1">
        <f ca="1">IFERROR(__xludf.DUMMYFUNCTION("""COMPUTED_VALUE"""),2053)</f>
        <v>2053</v>
      </c>
      <c r="O341" s="1">
        <f ca="1">IFERROR(__xludf.DUMMYFUNCTION("""COMPUTED_VALUE"""),2279)</f>
        <v>2279</v>
      </c>
      <c r="P341" s="1">
        <f ca="1">IFERROR(__xludf.DUMMYFUNCTION("""COMPUTED_VALUE"""),1210)</f>
        <v>1210</v>
      </c>
      <c r="Q341" s="1">
        <f ca="1">IFERROR(__xludf.DUMMYFUNCTION("""COMPUTED_VALUE"""),715)</f>
        <v>715</v>
      </c>
      <c r="R341" s="1">
        <f ca="1">IFERROR(__xludf.DUMMYFUNCTION("""COMPUTED_VALUE"""),1633)</f>
        <v>1633</v>
      </c>
      <c r="S341" s="1">
        <f ca="1">IFERROR(__xludf.DUMMYFUNCTION("""COMPUTED_VALUE"""),0.438)</f>
        <v>0.438</v>
      </c>
      <c r="T341" s="1">
        <f ca="1">IFERROR(__xludf.DUMMYFUNCTION("""COMPUTED_VALUE"""),179)</f>
        <v>179</v>
      </c>
      <c r="U341" s="1">
        <f ca="1">IFERROR(__xludf.DUMMYFUNCTION("""COMPUTED_VALUE"""),503)</f>
        <v>503</v>
      </c>
      <c r="V341" s="1">
        <f ca="1">IFERROR(__xludf.DUMMYFUNCTION("""COMPUTED_VALUE"""),0.356)</f>
        <v>0.35599999999999998</v>
      </c>
      <c r="W341" s="1">
        <f ca="1">IFERROR(__xludf.DUMMYFUNCTION("""COMPUTED_VALUE"""),444)</f>
        <v>444</v>
      </c>
      <c r="X341" s="1">
        <f ca="1">IFERROR(__xludf.DUMMYFUNCTION("""COMPUTED_VALUE"""),614)</f>
        <v>614</v>
      </c>
      <c r="Y341" s="1">
        <f ca="1">IFERROR(__xludf.DUMMYFUNCTION("""COMPUTED_VALUE"""),0.723)</f>
        <v>0.72299999999999998</v>
      </c>
      <c r="Z341" s="1">
        <f ca="1">IFERROR(__xludf.DUMMYFUNCTION("""COMPUTED_VALUE"""),306)</f>
        <v>306</v>
      </c>
      <c r="AA341" s="1">
        <f ca="1">IFERROR(__xludf.DUMMYFUNCTION("""COMPUTED_VALUE"""),934)</f>
        <v>934</v>
      </c>
      <c r="AB341" s="1">
        <f ca="1">IFERROR(__xludf.DUMMYFUNCTION("""COMPUTED_VALUE"""),342)</f>
        <v>342</v>
      </c>
      <c r="AC341" s="1">
        <f ca="1">IFERROR(__xludf.DUMMYFUNCTION("""COMPUTED_VALUE"""),174)</f>
        <v>174</v>
      </c>
      <c r="AD341" s="1">
        <f ca="1">IFERROR(__xludf.DUMMYFUNCTION("""COMPUTED_VALUE"""),87)</f>
        <v>87</v>
      </c>
      <c r="AE341" s="1">
        <f ca="1">IFERROR(__xludf.DUMMYFUNCTION("""COMPUTED_VALUE"""),361)</f>
        <v>361</v>
      </c>
      <c r="AF341" s="1">
        <f ca="1">IFERROR(__xludf.DUMMYFUNCTION("""COMPUTED_VALUE"""),517)</f>
        <v>517</v>
      </c>
    </row>
    <row r="342" spans="1:32" ht="12.5" x14ac:dyDescent="0.25">
      <c r="A342" s="1" t="str">
        <f ca="1">IFERROR(__xludf.DUMMYFUNCTION("""COMPUTED_VALUE"""),"Troy")</f>
        <v>Troy</v>
      </c>
      <c r="B342" s="1">
        <f ca="1">IFERROR(__xludf.DUMMYFUNCTION("""COMPUTED_VALUE"""),29)</f>
        <v>29</v>
      </c>
      <c r="C342" s="1">
        <f ca="1">IFERROR(__xludf.DUMMYFUNCTION("""COMPUTED_VALUE"""),8)</f>
        <v>8</v>
      </c>
      <c r="D342" s="1">
        <f ca="1">IFERROR(__xludf.DUMMYFUNCTION("""COMPUTED_VALUE"""),21)</f>
        <v>21</v>
      </c>
      <c r="E342" s="1">
        <f ca="1">IFERROR(__xludf.DUMMYFUNCTION("""COMPUTED_VALUE"""),0.276)</f>
        <v>0.27600000000000002</v>
      </c>
      <c r="F342" s="1">
        <f ca="1">IFERROR(__xludf.DUMMYFUNCTION("""COMPUTED_VALUE"""),-9.48)</f>
        <v>-9.48</v>
      </c>
      <c r="G342" s="1">
        <f ca="1">IFERROR(__xludf.DUMMYFUNCTION("""COMPUTED_VALUE"""),-2.05)</f>
        <v>-2.0499999999999998</v>
      </c>
      <c r="H342" s="1">
        <f ca="1">IFERROR(__xludf.DUMMYFUNCTION("""COMPUTED_VALUE"""),6)</f>
        <v>6</v>
      </c>
      <c r="I342" s="1">
        <f ca="1">IFERROR(__xludf.DUMMYFUNCTION("""COMPUTED_VALUE"""),10)</f>
        <v>10</v>
      </c>
      <c r="J342" s="1">
        <f ca="1">IFERROR(__xludf.DUMMYFUNCTION("""COMPUTED_VALUE"""),5)</f>
        <v>5</v>
      </c>
      <c r="K342" s="1">
        <f ca="1">IFERROR(__xludf.DUMMYFUNCTION("""COMPUTED_VALUE"""),6)</f>
        <v>6</v>
      </c>
      <c r="L342" s="1">
        <f ca="1">IFERROR(__xludf.DUMMYFUNCTION("""COMPUTED_VALUE"""),2)</f>
        <v>2</v>
      </c>
      <c r="M342" s="1">
        <f ca="1">IFERROR(__xludf.DUMMYFUNCTION("""COMPUTED_VALUE"""),13)</f>
        <v>13</v>
      </c>
      <c r="N342" s="1">
        <f ca="1">IFERROR(__xludf.DUMMYFUNCTION("""COMPUTED_VALUE"""),2076)</f>
        <v>2076</v>
      </c>
      <c r="O342" s="1">
        <f ca="1">IFERROR(__xludf.DUMMYFUNCTION("""COMPUTED_VALUE"""),2243)</f>
        <v>2243</v>
      </c>
      <c r="P342" s="1">
        <f ca="1">IFERROR(__xludf.DUMMYFUNCTION("""COMPUTED_VALUE"""),1190)</f>
        <v>1190</v>
      </c>
      <c r="Q342" s="1">
        <f ca="1">IFERROR(__xludf.DUMMYFUNCTION("""COMPUTED_VALUE"""),733)</f>
        <v>733</v>
      </c>
      <c r="R342" s="1">
        <f ca="1">IFERROR(__xludf.DUMMYFUNCTION("""COMPUTED_VALUE"""),1796)</f>
        <v>1796</v>
      </c>
      <c r="S342" s="1">
        <f ca="1">IFERROR(__xludf.DUMMYFUNCTION("""COMPUTED_VALUE"""),0.408)</f>
        <v>0.40799999999999997</v>
      </c>
      <c r="T342" s="1">
        <f ca="1">IFERROR(__xludf.DUMMYFUNCTION("""COMPUTED_VALUE"""),255)</f>
        <v>255</v>
      </c>
      <c r="U342" s="1">
        <f ca="1">IFERROR(__xludf.DUMMYFUNCTION("""COMPUTED_VALUE"""),743)</f>
        <v>743</v>
      </c>
      <c r="V342" s="1">
        <f ca="1">IFERROR(__xludf.DUMMYFUNCTION("""COMPUTED_VALUE"""),0.343)</f>
        <v>0.34300000000000003</v>
      </c>
      <c r="W342" s="1">
        <f ca="1">IFERROR(__xludf.DUMMYFUNCTION("""COMPUTED_VALUE"""),355)</f>
        <v>355</v>
      </c>
      <c r="X342" s="1">
        <f ca="1">IFERROR(__xludf.DUMMYFUNCTION("""COMPUTED_VALUE"""),536)</f>
        <v>536</v>
      </c>
      <c r="Y342" s="1">
        <f ca="1">IFERROR(__xludf.DUMMYFUNCTION("""COMPUTED_VALUE"""),0.662)</f>
        <v>0.66200000000000003</v>
      </c>
      <c r="Z342" s="1">
        <f ca="1">IFERROR(__xludf.DUMMYFUNCTION("""COMPUTED_VALUE"""),358)</f>
        <v>358</v>
      </c>
      <c r="AA342" s="1">
        <f ca="1">IFERROR(__xludf.DUMMYFUNCTION("""COMPUTED_VALUE"""),1094)</f>
        <v>1094</v>
      </c>
      <c r="AB342" s="1">
        <f ca="1">IFERROR(__xludf.DUMMYFUNCTION("""COMPUTED_VALUE"""),395)</f>
        <v>395</v>
      </c>
      <c r="AC342" s="1">
        <f ca="1">IFERROR(__xludf.DUMMYFUNCTION("""COMPUTED_VALUE"""),193)</f>
        <v>193</v>
      </c>
      <c r="AD342" s="1">
        <f ca="1">IFERROR(__xludf.DUMMYFUNCTION("""COMPUTED_VALUE"""),104)</f>
        <v>104</v>
      </c>
      <c r="AE342" s="1">
        <f ca="1">IFERROR(__xludf.DUMMYFUNCTION("""COMPUTED_VALUE"""),414)</f>
        <v>414</v>
      </c>
      <c r="AF342" s="1">
        <f ca="1">IFERROR(__xludf.DUMMYFUNCTION("""COMPUTED_VALUE"""),509)</f>
        <v>509</v>
      </c>
    </row>
    <row r="343" spans="1:32" ht="12.5" x14ac:dyDescent="0.25">
      <c r="A343" s="1" t="str">
        <f ca="1">IFERROR(__xludf.DUMMYFUNCTION("""COMPUTED_VALUE"""),"Tulane")</f>
        <v>Tulane</v>
      </c>
      <c r="B343" s="1">
        <f ca="1">IFERROR(__xludf.DUMMYFUNCTION("""COMPUTED_VALUE"""),30)</f>
        <v>30</v>
      </c>
      <c r="C343" s="1">
        <f ca="1">IFERROR(__xludf.DUMMYFUNCTION("""COMPUTED_VALUE"""),13)</f>
        <v>13</v>
      </c>
      <c r="D343" s="1">
        <f ca="1">IFERROR(__xludf.DUMMYFUNCTION("""COMPUTED_VALUE"""),17)</f>
        <v>17</v>
      </c>
      <c r="E343" s="1">
        <f ca="1">IFERROR(__xludf.DUMMYFUNCTION("""COMPUTED_VALUE"""),0.433)</f>
        <v>0.433</v>
      </c>
      <c r="F343" s="1">
        <f ca="1">IFERROR(__xludf.DUMMYFUNCTION("""COMPUTED_VALUE"""),-0.28)</f>
        <v>-0.28000000000000003</v>
      </c>
      <c r="G343" s="1">
        <f ca="1">IFERROR(__xludf.DUMMYFUNCTION("""COMPUTED_VALUE"""),-0.68)</f>
        <v>-0.68</v>
      </c>
      <c r="H343" s="1">
        <f ca="1">IFERROR(__xludf.DUMMYFUNCTION("""COMPUTED_VALUE"""),3)</f>
        <v>3</v>
      </c>
      <c r="I343" s="1">
        <f ca="1">IFERROR(__xludf.DUMMYFUNCTION("""COMPUTED_VALUE"""),13)</f>
        <v>13</v>
      </c>
      <c r="J343" s="1">
        <f ca="1">IFERROR(__xludf.DUMMYFUNCTION("""COMPUTED_VALUE"""),9)</f>
        <v>9</v>
      </c>
      <c r="K343" s="1">
        <f ca="1">IFERROR(__xludf.DUMMYFUNCTION("""COMPUTED_VALUE"""),6)</f>
        <v>6</v>
      </c>
      <c r="L343" s="1">
        <f ca="1">IFERROR(__xludf.DUMMYFUNCTION("""COMPUTED_VALUE"""),4)</f>
        <v>4</v>
      </c>
      <c r="M343" s="1">
        <f ca="1">IFERROR(__xludf.DUMMYFUNCTION("""COMPUTED_VALUE"""),10)</f>
        <v>10</v>
      </c>
      <c r="N343" s="1">
        <f ca="1">IFERROR(__xludf.DUMMYFUNCTION("""COMPUTED_VALUE"""),2057)</f>
        <v>2057</v>
      </c>
      <c r="O343" s="1">
        <f ca="1">IFERROR(__xludf.DUMMYFUNCTION("""COMPUTED_VALUE"""),1975)</f>
        <v>1975</v>
      </c>
      <c r="P343" s="1">
        <f ca="1">IFERROR(__xludf.DUMMYFUNCTION("""COMPUTED_VALUE"""),1205)</f>
        <v>1205</v>
      </c>
      <c r="Q343" s="1">
        <f ca="1">IFERROR(__xludf.DUMMYFUNCTION("""COMPUTED_VALUE"""),708)</f>
        <v>708</v>
      </c>
      <c r="R343" s="1">
        <f ca="1">IFERROR(__xludf.DUMMYFUNCTION("""COMPUTED_VALUE"""),1646)</f>
        <v>1646</v>
      </c>
      <c r="S343" s="1">
        <f ca="1">IFERROR(__xludf.DUMMYFUNCTION("""COMPUTED_VALUE"""),0.43)</f>
        <v>0.43</v>
      </c>
      <c r="T343" s="1">
        <f ca="1">IFERROR(__xludf.DUMMYFUNCTION("""COMPUTED_VALUE"""),230)</f>
        <v>230</v>
      </c>
      <c r="U343" s="1">
        <f ca="1">IFERROR(__xludf.DUMMYFUNCTION("""COMPUTED_VALUE"""),632)</f>
        <v>632</v>
      </c>
      <c r="V343" s="1">
        <f ca="1">IFERROR(__xludf.DUMMYFUNCTION("""COMPUTED_VALUE"""),0.364)</f>
        <v>0.36399999999999999</v>
      </c>
      <c r="W343" s="1">
        <f ca="1">IFERROR(__xludf.DUMMYFUNCTION("""COMPUTED_VALUE"""),411)</f>
        <v>411</v>
      </c>
      <c r="X343" s="1">
        <f ca="1">IFERROR(__xludf.DUMMYFUNCTION("""COMPUTED_VALUE"""),597)</f>
        <v>597</v>
      </c>
      <c r="Y343" s="1">
        <f ca="1">IFERROR(__xludf.DUMMYFUNCTION("""COMPUTED_VALUE"""),0.688)</f>
        <v>0.68799999999999994</v>
      </c>
      <c r="Z343" s="1">
        <f ca="1">IFERROR(__xludf.DUMMYFUNCTION("""COMPUTED_VALUE"""),324)</f>
        <v>324</v>
      </c>
      <c r="AA343" s="1">
        <f ca="1">IFERROR(__xludf.DUMMYFUNCTION("""COMPUTED_VALUE"""),956)</f>
        <v>956</v>
      </c>
      <c r="AB343" s="1">
        <f ca="1">IFERROR(__xludf.DUMMYFUNCTION("""COMPUTED_VALUE"""),403)</f>
        <v>403</v>
      </c>
      <c r="AC343" s="1">
        <f ca="1">IFERROR(__xludf.DUMMYFUNCTION("""COMPUTED_VALUE"""),208)</f>
        <v>208</v>
      </c>
      <c r="AD343" s="1">
        <f ca="1">IFERROR(__xludf.DUMMYFUNCTION("""COMPUTED_VALUE"""),82)</f>
        <v>82</v>
      </c>
      <c r="AE343" s="1">
        <f ca="1">IFERROR(__xludf.DUMMYFUNCTION("""COMPUTED_VALUE"""),367)</f>
        <v>367</v>
      </c>
      <c r="AF343" s="1">
        <f ca="1">IFERROR(__xludf.DUMMYFUNCTION("""COMPUTED_VALUE"""),516)</f>
        <v>516</v>
      </c>
    </row>
    <row r="344" spans="1:32" ht="12.5" x14ac:dyDescent="0.25">
      <c r="A344" s="1" t="str">
        <f ca="1">IFERROR(__xludf.DUMMYFUNCTION("""COMPUTED_VALUE"""),"Tulsa")</f>
        <v>Tulsa</v>
      </c>
      <c r="B344" s="1">
        <f ca="1">IFERROR(__xludf.DUMMYFUNCTION("""COMPUTED_VALUE"""),32)</f>
        <v>32</v>
      </c>
      <c r="C344" s="1">
        <f ca="1">IFERROR(__xludf.DUMMYFUNCTION("""COMPUTED_VALUE"""),19)</f>
        <v>19</v>
      </c>
      <c r="D344" s="1">
        <f ca="1">IFERROR(__xludf.DUMMYFUNCTION("""COMPUTED_VALUE"""),13)</f>
        <v>13</v>
      </c>
      <c r="E344" s="1">
        <f ca="1">IFERROR(__xludf.DUMMYFUNCTION("""COMPUTED_VALUE"""),0.594)</f>
        <v>0.59399999999999997</v>
      </c>
      <c r="F344" s="1">
        <f ca="1">IFERROR(__xludf.DUMMYFUNCTION("""COMPUTED_VALUE"""),6.06)</f>
        <v>6.06</v>
      </c>
      <c r="G344" s="1">
        <f ca="1">IFERROR(__xludf.DUMMYFUNCTION("""COMPUTED_VALUE"""),3.25)</f>
        <v>3.25</v>
      </c>
      <c r="H344" s="1">
        <f ca="1">IFERROR(__xludf.DUMMYFUNCTION("""COMPUTED_VALUE"""),11)</f>
        <v>11</v>
      </c>
      <c r="I344" s="1">
        <f ca="1">IFERROR(__xludf.DUMMYFUNCTION("""COMPUTED_VALUE"""),5)</f>
        <v>5</v>
      </c>
      <c r="J344" s="1">
        <f ca="1">IFERROR(__xludf.DUMMYFUNCTION("""COMPUTED_VALUE"""),12)</f>
        <v>12</v>
      </c>
      <c r="K344" s="1">
        <f ca="1">IFERROR(__xludf.DUMMYFUNCTION("""COMPUTED_VALUE"""),3)</f>
        <v>3</v>
      </c>
      <c r="L344" s="1">
        <f ca="1">IFERROR(__xludf.DUMMYFUNCTION("""COMPUTED_VALUE"""),4)</f>
        <v>4</v>
      </c>
      <c r="M344" s="1">
        <f ca="1">IFERROR(__xludf.DUMMYFUNCTION("""COMPUTED_VALUE"""),7)</f>
        <v>7</v>
      </c>
      <c r="N344" s="1">
        <f ca="1">IFERROR(__xludf.DUMMYFUNCTION("""COMPUTED_VALUE"""),2255)</f>
        <v>2255</v>
      </c>
      <c r="O344" s="1">
        <f ca="1">IFERROR(__xludf.DUMMYFUNCTION("""COMPUTED_VALUE"""),2165)</f>
        <v>2165</v>
      </c>
      <c r="P344" s="1">
        <f ca="1">IFERROR(__xludf.DUMMYFUNCTION("""COMPUTED_VALUE"""),1300)</f>
        <v>1300</v>
      </c>
      <c r="Q344" s="1">
        <f ca="1">IFERROR(__xludf.DUMMYFUNCTION("""COMPUTED_VALUE"""),753)</f>
        <v>753</v>
      </c>
      <c r="R344" s="1">
        <f ca="1">IFERROR(__xludf.DUMMYFUNCTION("""COMPUTED_VALUE"""),1717)</f>
        <v>1717</v>
      </c>
      <c r="S344" s="1">
        <f ca="1">IFERROR(__xludf.DUMMYFUNCTION("""COMPUTED_VALUE"""),0.439)</f>
        <v>0.439</v>
      </c>
      <c r="T344" s="1">
        <f ca="1">IFERROR(__xludf.DUMMYFUNCTION("""COMPUTED_VALUE"""),214)</f>
        <v>214</v>
      </c>
      <c r="U344" s="1">
        <f ca="1">IFERROR(__xludf.DUMMYFUNCTION("""COMPUTED_VALUE"""),613)</f>
        <v>613</v>
      </c>
      <c r="V344" s="1">
        <f ca="1">IFERROR(__xludf.DUMMYFUNCTION("""COMPUTED_VALUE"""),0.349)</f>
        <v>0.34899999999999998</v>
      </c>
      <c r="W344" s="1">
        <f ca="1">IFERROR(__xludf.DUMMYFUNCTION("""COMPUTED_VALUE"""),535)</f>
        <v>535</v>
      </c>
      <c r="X344" s="1">
        <f ca="1">IFERROR(__xludf.DUMMYFUNCTION("""COMPUTED_VALUE"""),763)</f>
        <v>763</v>
      </c>
      <c r="Y344" s="1">
        <f ca="1">IFERROR(__xludf.DUMMYFUNCTION("""COMPUTED_VALUE"""),0.701)</f>
        <v>0.70099999999999996</v>
      </c>
      <c r="Z344" s="1">
        <f ca="1">IFERROR(__xludf.DUMMYFUNCTION("""COMPUTED_VALUE"""),366)</f>
        <v>366</v>
      </c>
      <c r="AA344" s="1">
        <f ca="1">IFERROR(__xludf.DUMMYFUNCTION("""COMPUTED_VALUE"""),1184)</f>
        <v>1184</v>
      </c>
      <c r="AB344" s="1">
        <f ca="1">IFERROR(__xludf.DUMMYFUNCTION("""COMPUTED_VALUE"""),365)</f>
        <v>365</v>
      </c>
      <c r="AC344" s="1">
        <f ca="1">IFERROR(__xludf.DUMMYFUNCTION("""COMPUTED_VALUE"""),142)</f>
        <v>142</v>
      </c>
      <c r="AD344" s="1">
        <f ca="1">IFERROR(__xludf.DUMMYFUNCTION("""COMPUTED_VALUE"""),119)</f>
        <v>119</v>
      </c>
      <c r="AE344" s="1">
        <f ca="1">IFERROR(__xludf.DUMMYFUNCTION("""COMPUTED_VALUE"""),441)</f>
        <v>441</v>
      </c>
      <c r="AF344" s="1">
        <f ca="1">IFERROR(__xludf.DUMMYFUNCTION("""COMPUTED_VALUE"""),636)</f>
        <v>636</v>
      </c>
    </row>
    <row r="345" spans="1:32" ht="12.5" x14ac:dyDescent="0.25">
      <c r="A345" s="1" t="str">
        <f ca="1">IFERROR(__xludf.DUMMYFUNCTION("""COMPUTED_VALUE"""),"UCLANCAA")</f>
        <v>UCLANCAA</v>
      </c>
      <c r="B345" s="1">
        <f ca="1">IFERROR(__xludf.DUMMYFUNCTION("""COMPUTED_VALUE"""),34)</f>
        <v>34</v>
      </c>
      <c r="C345" s="1">
        <f ca="1">IFERROR(__xludf.DUMMYFUNCTION("""COMPUTED_VALUE"""),23)</f>
        <v>23</v>
      </c>
      <c r="D345" s="1">
        <f ca="1">IFERROR(__xludf.DUMMYFUNCTION("""COMPUTED_VALUE"""),11)</f>
        <v>11</v>
      </c>
      <c r="E345" s="1">
        <f ca="1">IFERROR(__xludf.DUMMYFUNCTION("""COMPUTED_VALUE"""),0.676)</f>
        <v>0.67600000000000005</v>
      </c>
      <c r="F345" s="1">
        <f ca="1">IFERROR(__xludf.DUMMYFUNCTION("""COMPUTED_VALUE"""),11.7)</f>
        <v>11.7</v>
      </c>
      <c r="G345" s="1">
        <f ca="1">IFERROR(__xludf.DUMMYFUNCTION("""COMPUTED_VALUE"""),7.93)</f>
        <v>7.93</v>
      </c>
      <c r="H345" s="1">
        <f ca="1">IFERROR(__xludf.DUMMYFUNCTION("""COMPUTED_VALUE"""),13)</f>
        <v>13</v>
      </c>
      <c r="I345" s="1">
        <f ca="1">IFERROR(__xludf.DUMMYFUNCTION("""COMPUTED_VALUE"""),5)</f>
        <v>5</v>
      </c>
      <c r="J345" s="1">
        <f ca="1">IFERROR(__xludf.DUMMYFUNCTION("""COMPUTED_VALUE"""),16)</f>
        <v>16</v>
      </c>
      <c r="K345" s="1">
        <f ca="1">IFERROR(__xludf.DUMMYFUNCTION("""COMPUTED_VALUE"""),2)</f>
        <v>2</v>
      </c>
      <c r="L345" s="1">
        <f ca="1">IFERROR(__xludf.DUMMYFUNCTION("""COMPUTED_VALUE"""),5)</f>
        <v>5</v>
      </c>
      <c r="M345" s="1">
        <f ca="1">IFERROR(__xludf.DUMMYFUNCTION("""COMPUTED_VALUE"""),5)</f>
        <v>5</v>
      </c>
      <c r="N345" s="1">
        <f ca="1">IFERROR(__xludf.DUMMYFUNCTION("""COMPUTED_VALUE"""),2382)</f>
        <v>2382</v>
      </c>
      <c r="O345" s="1">
        <f ca="1">IFERROR(__xludf.DUMMYFUNCTION("""COMPUTED_VALUE"""),2254)</f>
        <v>2254</v>
      </c>
      <c r="P345" s="1">
        <f ca="1">IFERROR(__xludf.DUMMYFUNCTION("""COMPUTED_VALUE"""),1375)</f>
        <v>1375</v>
      </c>
      <c r="Q345" s="1">
        <f ca="1">IFERROR(__xludf.DUMMYFUNCTION("""COMPUTED_VALUE"""),830)</f>
        <v>830</v>
      </c>
      <c r="R345" s="1">
        <f ca="1">IFERROR(__xludf.DUMMYFUNCTION("""COMPUTED_VALUE"""),1824)</f>
        <v>1824</v>
      </c>
      <c r="S345" s="1">
        <f ca="1">IFERROR(__xludf.DUMMYFUNCTION("""COMPUTED_VALUE"""),0.455)</f>
        <v>0.45500000000000002</v>
      </c>
      <c r="T345" s="1">
        <f ca="1">IFERROR(__xludf.DUMMYFUNCTION("""COMPUTED_VALUE"""),173)</f>
        <v>173</v>
      </c>
      <c r="U345" s="1">
        <f ca="1">IFERROR(__xludf.DUMMYFUNCTION("""COMPUTED_VALUE"""),529)</f>
        <v>529</v>
      </c>
      <c r="V345" s="1">
        <f ca="1">IFERROR(__xludf.DUMMYFUNCTION("""COMPUTED_VALUE"""),0.327)</f>
        <v>0.32700000000000001</v>
      </c>
      <c r="W345" s="1">
        <f ca="1">IFERROR(__xludf.DUMMYFUNCTION("""COMPUTED_VALUE"""),549)</f>
        <v>549</v>
      </c>
      <c r="X345" s="1">
        <f ca="1">IFERROR(__xludf.DUMMYFUNCTION("""COMPUTED_VALUE"""),808)</f>
        <v>808</v>
      </c>
      <c r="Y345" s="1">
        <f ca="1">IFERROR(__xludf.DUMMYFUNCTION("""COMPUTED_VALUE"""),0.679)</f>
        <v>0.67900000000000005</v>
      </c>
      <c r="Z345" s="1">
        <f ca="1">IFERROR(__xludf.DUMMYFUNCTION("""COMPUTED_VALUE"""),405)</f>
        <v>405</v>
      </c>
      <c r="AA345" s="1">
        <f ca="1">IFERROR(__xludf.DUMMYFUNCTION("""COMPUTED_VALUE"""),1265)</f>
        <v>1265</v>
      </c>
      <c r="AB345" s="1">
        <f ca="1">IFERROR(__xludf.DUMMYFUNCTION("""COMPUTED_VALUE"""),493)</f>
        <v>493</v>
      </c>
      <c r="AC345" s="1">
        <f ca="1">IFERROR(__xludf.DUMMYFUNCTION("""COMPUTED_VALUE"""),186)</f>
        <v>186</v>
      </c>
      <c r="AD345" s="1">
        <f ca="1">IFERROR(__xludf.DUMMYFUNCTION("""COMPUTED_VALUE"""),198)</f>
        <v>198</v>
      </c>
      <c r="AE345" s="1">
        <f ca="1">IFERROR(__xludf.DUMMYFUNCTION("""COMPUTED_VALUE"""),502)</f>
        <v>502</v>
      </c>
      <c r="AF345" s="1">
        <f ca="1">IFERROR(__xludf.DUMMYFUNCTION("""COMPUTED_VALUE"""),594)</f>
        <v>594</v>
      </c>
    </row>
    <row r="346" spans="1:32" ht="12.5" x14ac:dyDescent="0.25">
      <c r="A346" s="1" t="str">
        <f ca="1">IFERROR(__xludf.DUMMYFUNCTION("""COMPUTED_VALUE"""),"Utah StateNCAA")</f>
        <v>Utah StateNCAA</v>
      </c>
      <c r="B346" s="1">
        <f ca="1">IFERROR(__xludf.DUMMYFUNCTION("""COMPUTED_VALUE"""),34)</f>
        <v>34</v>
      </c>
      <c r="C346" s="1">
        <f ca="1">IFERROR(__xludf.DUMMYFUNCTION("""COMPUTED_VALUE"""),30)</f>
        <v>30</v>
      </c>
      <c r="D346" s="1">
        <f ca="1">IFERROR(__xludf.DUMMYFUNCTION("""COMPUTED_VALUE"""),4)</f>
        <v>4</v>
      </c>
      <c r="E346" s="1">
        <f ca="1">IFERROR(__xludf.DUMMYFUNCTION("""COMPUTED_VALUE"""),0.882)</f>
        <v>0.88200000000000001</v>
      </c>
      <c r="F346" s="1">
        <f ca="1">IFERROR(__xludf.DUMMYFUNCTION("""COMPUTED_VALUE"""),13.23)</f>
        <v>13.23</v>
      </c>
      <c r="G346" s="1">
        <f ca="1">IFERROR(__xludf.DUMMYFUNCTION("""COMPUTED_VALUE"""),0.5)</f>
        <v>0.5</v>
      </c>
      <c r="H346" s="1">
        <f ca="1">IFERROR(__xludf.DUMMYFUNCTION("""COMPUTED_VALUE"""),15)</f>
        <v>15</v>
      </c>
      <c r="I346" s="1">
        <f ca="1">IFERROR(__xludf.DUMMYFUNCTION("""COMPUTED_VALUE"""),1)</f>
        <v>1</v>
      </c>
      <c r="J346" s="1">
        <f ca="1">IFERROR(__xludf.DUMMYFUNCTION("""COMPUTED_VALUE"""),17)</f>
        <v>17</v>
      </c>
      <c r="K346" s="1">
        <f ca="1">IFERROR(__xludf.DUMMYFUNCTION("""COMPUTED_VALUE"""),0)</f>
        <v>0</v>
      </c>
      <c r="L346" s="1">
        <f ca="1">IFERROR(__xludf.DUMMYFUNCTION("""COMPUTED_VALUE"""),11)</f>
        <v>11</v>
      </c>
      <c r="M346" s="1">
        <f ca="1">IFERROR(__xludf.DUMMYFUNCTION("""COMPUTED_VALUE"""),3)</f>
        <v>3</v>
      </c>
      <c r="N346" s="1">
        <f ca="1">IFERROR(__xludf.DUMMYFUNCTION("""COMPUTED_VALUE"""),2449)</f>
        <v>2449</v>
      </c>
      <c r="O346" s="1">
        <f ca="1">IFERROR(__xludf.DUMMYFUNCTION("""COMPUTED_VALUE"""),1995)</f>
        <v>1995</v>
      </c>
      <c r="P346" s="1">
        <f ca="1">IFERROR(__xludf.DUMMYFUNCTION("""COMPUTED_VALUE"""),1370)</f>
        <v>1370</v>
      </c>
      <c r="Q346" s="1">
        <f ca="1">IFERROR(__xludf.DUMMYFUNCTION("""COMPUTED_VALUE"""),840)</f>
        <v>840</v>
      </c>
      <c r="R346" s="1">
        <f ca="1">IFERROR(__xludf.DUMMYFUNCTION("""COMPUTED_VALUE"""),1788)</f>
        <v>1788</v>
      </c>
      <c r="S346" s="1">
        <f ca="1">IFERROR(__xludf.DUMMYFUNCTION("""COMPUTED_VALUE"""),0.47)</f>
        <v>0.47</v>
      </c>
      <c r="T346" s="1">
        <f ca="1">IFERROR(__xludf.DUMMYFUNCTION("""COMPUTED_VALUE"""),206)</f>
        <v>206</v>
      </c>
      <c r="U346" s="1">
        <f ca="1">IFERROR(__xludf.DUMMYFUNCTION("""COMPUTED_VALUE"""),562)</f>
        <v>562</v>
      </c>
      <c r="V346" s="1">
        <f ca="1">IFERROR(__xludf.DUMMYFUNCTION("""COMPUTED_VALUE"""),0.367)</f>
        <v>0.36699999999999999</v>
      </c>
      <c r="W346" s="1">
        <f ca="1">IFERROR(__xludf.DUMMYFUNCTION("""COMPUTED_VALUE"""),563)</f>
        <v>563</v>
      </c>
      <c r="X346" s="1">
        <f ca="1">IFERROR(__xludf.DUMMYFUNCTION("""COMPUTED_VALUE"""),764)</f>
        <v>764</v>
      </c>
      <c r="Y346" s="1">
        <f ca="1">IFERROR(__xludf.DUMMYFUNCTION("""COMPUTED_VALUE"""),0.737)</f>
        <v>0.73699999999999999</v>
      </c>
      <c r="Z346" s="1">
        <f ca="1">IFERROR(__xludf.DUMMYFUNCTION("""COMPUTED_VALUE"""),363)</f>
        <v>363</v>
      </c>
      <c r="AA346" s="1">
        <f ca="1">IFERROR(__xludf.DUMMYFUNCTION("""COMPUTED_VALUE"""),1266)</f>
        <v>1266</v>
      </c>
      <c r="AB346" s="1">
        <f ca="1">IFERROR(__xludf.DUMMYFUNCTION("""COMPUTED_VALUE"""),500)</f>
        <v>500</v>
      </c>
      <c r="AC346" s="1">
        <f ca="1">IFERROR(__xludf.DUMMYFUNCTION("""COMPUTED_VALUE"""),162)</f>
        <v>162</v>
      </c>
      <c r="AD346" s="1">
        <f ca="1">IFERROR(__xludf.DUMMYFUNCTION("""COMPUTED_VALUE"""),110)</f>
        <v>110</v>
      </c>
      <c r="AE346" s="1">
        <f ca="1">IFERROR(__xludf.DUMMYFUNCTION("""COMPUTED_VALUE"""),402)</f>
        <v>402</v>
      </c>
      <c r="AF346" s="1">
        <f ca="1">IFERROR(__xludf.DUMMYFUNCTION("""COMPUTED_VALUE"""),591)</f>
        <v>591</v>
      </c>
    </row>
    <row r="347" spans="1:32" ht="12.5" x14ac:dyDescent="0.25">
      <c r="A347" s="1" t="str">
        <f ca="1">IFERROR(__xludf.DUMMYFUNCTION("""COMPUTED_VALUE"""),"Utah Valley")</f>
        <v>Utah Valley</v>
      </c>
      <c r="B347" s="1">
        <f ca="1">IFERROR(__xludf.DUMMYFUNCTION("""COMPUTED_VALUE"""),30)</f>
        <v>30</v>
      </c>
      <c r="C347" s="1">
        <f ca="1">IFERROR(__xludf.DUMMYFUNCTION("""COMPUTED_VALUE"""),19)</f>
        <v>19</v>
      </c>
      <c r="D347" s="1">
        <f ca="1">IFERROR(__xludf.DUMMYFUNCTION("""COMPUTED_VALUE"""),11)</f>
        <v>11</v>
      </c>
      <c r="E347" s="1">
        <f ca="1">IFERROR(__xludf.DUMMYFUNCTION("""COMPUTED_VALUE"""),0.633)</f>
        <v>0.63300000000000001</v>
      </c>
      <c r="F347" s="1">
        <f ca="1">IFERROR(__xludf.DUMMYFUNCTION("""COMPUTED_VALUE"""),-7.78)</f>
        <v>-7.78</v>
      </c>
      <c r="G347" s="1">
        <f ca="1">IFERROR(__xludf.DUMMYFUNCTION("""COMPUTED_VALUE"""),-9.97)</f>
        <v>-9.9700000000000006</v>
      </c>
      <c r="H347" s="1">
        <f ca="1">IFERROR(__xludf.DUMMYFUNCTION("""COMPUTED_VALUE"""),11)</f>
        <v>11</v>
      </c>
      <c r="I347" s="1">
        <f ca="1">IFERROR(__xludf.DUMMYFUNCTION("""COMPUTED_VALUE"""),1)</f>
        <v>1</v>
      </c>
      <c r="J347" s="1">
        <f ca="1">IFERROR(__xludf.DUMMYFUNCTION("""COMPUTED_VALUE"""),13)</f>
        <v>13</v>
      </c>
      <c r="K347" s="1">
        <f ca="1">IFERROR(__xludf.DUMMYFUNCTION("""COMPUTED_VALUE"""),3)</f>
        <v>3</v>
      </c>
      <c r="L347" s="1">
        <f ca="1">IFERROR(__xludf.DUMMYFUNCTION("""COMPUTED_VALUE"""),6)</f>
        <v>6</v>
      </c>
      <c r="M347" s="1">
        <f ca="1">IFERROR(__xludf.DUMMYFUNCTION("""COMPUTED_VALUE"""),8)</f>
        <v>8</v>
      </c>
      <c r="N347" s="1">
        <f ca="1">IFERROR(__xludf.DUMMYFUNCTION("""COMPUTED_VALUE"""),2276)</f>
        <v>2276</v>
      </c>
      <c r="O347" s="1">
        <f ca="1">IFERROR(__xludf.DUMMYFUNCTION("""COMPUTED_VALUE"""),2054)</f>
        <v>2054</v>
      </c>
      <c r="P347" s="1">
        <f ca="1">IFERROR(__xludf.DUMMYFUNCTION("""COMPUTED_VALUE"""),1225)</f>
        <v>1225</v>
      </c>
      <c r="Q347" s="1">
        <f ca="1">IFERROR(__xludf.DUMMYFUNCTION("""COMPUTED_VALUE"""),744)</f>
        <v>744</v>
      </c>
      <c r="R347" s="1">
        <f ca="1">IFERROR(__xludf.DUMMYFUNCTION("""COMPUTED_VALUE"""),1682)</f>
        <v>1682</v>
      </c>
      <c r="S347" s="1">
        <f ca="1">IFERROR(__xludf.DUMMYFUNCTION("""COMPUTED_VALUE"""),0.442)</f>
        <v>0.442</v>
      </c>
      <c r="T347" s="1">
        <f ca="1">IFERROR(__xludf.DUMMYFUNCTION("""COMPUTED_VALUE"""),197)</f>
        <v>197</v>
      </c>
      <c r="U347" s="1">
        <f ca="1">IFERROR(__xludf.DUMMYFUNCTION("""COMPUTED_VALUE"""),546)</f>
        <v>546</v>
      </c>
      <c r="V347" s="1">
        <f ca="1">IFERROR(__xludf.DUMMYFUNCTION("""COMPUTED_VALUE"""),0.361)</f>
        <v>0.36099999999999999</v>
      </c>
      <c r="W347" s="1">
        <f ca="1">IFERROR(__xludf.DUMMYFUNCTION("""COMPUTED_VALUE"""),591)</f>
        <v>591</v>
      </c>
      <c r="X347" s="1">
        <f ca="1">IFERROR(__xludf.DUMMYFUNCTION("""COMPUTED_VALUE"""),780)</f>
        <v>780</v>
      </c>
      <c r="Y347" s="1">
        <f ca="1">IFERROR(__xludf.DUMMYFUNCTION("""COMPUTED_VALUE"""),0.758)</f>
        <v>0.75800000000000001</v>
      </c>
      <c r="Z347" s="1">
        <f ca="1">IFERROR(__xludf.DUMMYFUNCTION("""COMPUTED_VALUE"""),342)</f>
        <v>342</v>
      </c>
      <c r="AA347" s="1">
        <f ca="1">IFERROR(__xludf.DUMMYFUNCTION("""COMPUTED_VALUE"""),1192)</f>
        <v>1192</v>
      </c>
      <c r="AB347" s="1">
        <f ca="1">IFERROR(__xludf.DUMMYFUNCTION("""COMPUTED_VALUE"""),416)</f>
        <v>416</v>
      </c>
      <c r="AC347" s="1">
        <f ca="1">IFERROR(__xludf.DUMMYFUNCTION("""COMPUTED_VALUE"""),151)</f>
        <v>151</v>
      </c>
      <c r="AD347" s="1">
        <f ca="1">IFERROR(__xludf.DUMMYFUNCTION("""COMPUTED_VALUE"""),92)</f>
        <v>92</v>
      </c>
      <c r="AE347" s="1">
        <f ca="1">IFERROR(__xludf.DUMMYFUNCTION("""COMPUTED_VALUE"""),414)</f>
        <v>414</v>
      </c>
      <c r="AF347" s="1">
        <f ca="1">IFERROR(__xludf.DUMMYFUNCTION("""COMPUTED_VALUE"""),568)</f>
        <v>568</v>
      </c>
    </row>
    <row r="348" spans="1:32" ht="12.5" x14ac:dyDescent="0.25">
      <c r="A348" s="1" t="str">
        <f ca="1">IFERROR(__xludf.DUMMYFUNCTION("""COMPUTED_VALUE"""),"Utah")</f>
        <v>Utah</v>
      </c>
      <c r="B348" s="1">
        <f ca="1">IFERROR(__xludf.DUMMYFUNCTION("""COMPUTED_VALUE"""),31)</f>
        <v>31</v>
      </c>
      <c r="C348" s="1">
        <f ca="1">IFERROR(__xludf.DUMMYFUNCTION("""COMPUTED_VALUE"""),13)</f>
        <v>13</v>
      </c>
      <c r="D348" s="1">
        <f ca="1">IFERROR(__xludf.DUMMYFUNCTION("""COMPUTED_VALUE"""),18)</f>
        <v>18</v>
      </c>
      <c r="E348" s="1">
        <f ca="1">IFERROR(__xludf.DUMMYFUNCTION("""COMPUTED_VALUE"""),0.419)</f>
        <v>0.41899999999999998</v>
      </c>
      <c r="F348" s="1">
        <f ca="1">IFERROR(__xludf.DUMMYFUNCTION("""COMPUTED_VALUE"""),2.46)</f>
        <v>2.46</v>
      </c>
      <c r="G348" s="1">
        <f ca="1">IFERROR(__xludf.DUMMYFUNCTION("""COMPUTED_VALUE"""),6.56)</f>
        <v>6.56</v>
      </c>
      <c r="H348" s="1">
        <f ca="1">IFERROR(__xludf.DUMMYFUNCTION("""COMPUTED_VALUE"""),6)</f>
        <v>6</v>
      </c>
      <c r="I348" s="1">
        <f ca="1">IFERROR(__xludf.DUMMYFUNCTION("""COMPUTED_VALUE"""),10)</f>
        <v>10</v>
      </c>
      <c r="J348" s="1">
        <f ca="1">IFERROR(__xludf.DUMMYFUNCTION("""COMPUTED_VALUE"""),9)</f>
        <v>9</v>
      </c>
      <c r="K348" s="1">
        <f ca="1">IFERROR(__xludf.DUMMYFUNCTION("""COMPUTED_VALUE"""),6)</f>
        <v>6</v>
      </c>
      <c r="L348" s="1">
        <f ca="1">IFERROR(__xludf.DUMMYFUNCTION("""COMPUTED_VALUE"""),4)</f>
        <v>4</v>
      </c>
      <c r="M348" s="1">
        <f ca="1">IFERROR(__xludf.DUMMYFUNCTION("""COMPUTED_VALUE"""),9)</f>
        <v>9</v>
      </c>
      <c r="N348" s="1">
        <f ca="1">IFERROR(__xludf.DUMMYFUNCTION("""COMPUTED_VALUE"""),2078)</f>
        <v>2078</v>
      </c>
      <c r="O348" s="1">
        <f ca="1">IFERROR(__xludf.DUMMYFUNCTION("""COMPUTED_VALUE"""),2177)</f>
        <v>2177</v>
      </c>
      <c r="P348" s="1">
        <f ca="1">IFERROR(__xludf.DUMMYFUNCTION("""COMPUTED_VALUE"""),1240)</f>
        <v>1240</v>
      </c>
      <c r="Q348" s="1">
        <f ca="1">IFERROR(__xludf.DUMMYFUNCTION("""COMPUTED_VALUE"""),734)</f>
        <v>734</v>
      </c>
      <c r="R348" s="1">
        <f ca="1">IFERROR(__xludf.DUMMYFUNCTION("""COMPUTED_VALUE"""),1724)</f>
        <v>1724</v>
      </c>
      <c r="S348" s="1">
        <f ca="1">IFERROR(__xludf.DUMMYFUNCTION("""COMPUTED_VALUE"""),0.426)</f>
        <v>0.42599999999999999</v>
      </c>
      <c r="T348" s="1">
        <f ca="1">IFERROR(__xludf.DUMMYFUNCTION("""COMPUTED_VALUE"""),181)</f>
        <v>181</v>
      </c>
      <c r="U348" s="1">
        <f ca="1">IFERROR(__xludf.DUMMYFUNCTION("""COMPUTED_VALUE"""),546)</f>
        <v>546</v>
      </c>
      <c r="V348" s="1">
        <f ca="1">IFERROR(__xludf.DUMMYFUNCTION("""COMPUTED_VALUE"""),0.332)</f>
        <v>0.33200000000000002</v>
      </c>
      <c r="W348" s="1">
        <f ca="1">IFERROR(__xludf.DUMMYFUNCTION("""COMPUTED_VALUE"""),429)</f>
        <v>429</v>
      </c>
      <c r="X348" s="1">
        <f ca="1">IFERROR(__xludf.DUMMYFUNCTION("""COMPUTED_VALUE"""),618)</f>
        <v>618</v>
      </c>
      <c r="Y348" s="1">
        <f ca="1">IFERROR(__xludf.DUMMYFUNCTION("""COMPUTED_VALUE"""),0.694)</f>
        <v>0.69399999999999995</v>
      </c>
      <c r="Z348" s="1">
        <f ca="1">IFERROR(__xludf.DUMMYFUNCTION("""COMPUTED_VALUE"""),320)</f>
        <v>320</v>
      </c>
      <c r="AA348" s="1">
        <f ca="1">IFERROR(__xludf.DUMMYFUNCTION("""COMPUTED_VALUE"""),1106)</f>
        <v>1106</v>
      </c>
      <c r="AB348" s="1">
        <f ca="1">IFERROR(__xludf.DUMMYFUNCTION("""COMPUTED_VALUE"""),298)</f>
        <v>298</v>
      </c>
      <c r="AC348" s="1">
        <f ca="1">IFERROR(__xludf.DUMMYFUNCTION("""COMPUTED_VALUE"""),141)</f>
        <v>141</v>
      </c>
      <c r="AD348" s="1">
        <f ca="1">IFERROR(__xludf.DUMMYFUNCTION("""COMPUTED_VALUE"""),160)</f>
        <v>160</v>
      </c>
      <c r="AE348" s="1">
        <f ca="1">IFERROR(__xludf.DUMMYFUNCTION("""COMPUTED_VALUE"""),425)</f>
        <v>425</v>
      </c>
      <c r="AF348" s="1">
        <f ca="1">IFERROR(__xludf.DUMMYFUNCTION("""COMPUTED_VALUE"""),598)</f>
        <v>598</v>
      </c>
    </row>
    <row r="349" spans="1:32" ht="12.5" x14ac:dyDescent="0.25">
      <c r="A349" s="1" t="str">
        <f ca="1">IFERROR(__xludf.DUMMYFUNCTION("""COMPUTED_VALUE"""),"Valparaiso")</f>
        <v>Valparaiso</v>
      </c>
      <c r="B349" s="1">
        <f ca="1">IFERROR(__xludf.DUMMYFUNCTION("""COMPUTED_VALUE"""),35)</f>
        <v>35</v>
      </c>
      <c r="C349" s="1">
        <f ca="1">IFERROR(__xludf.DUMMYFUNCTION("""COMPUTED_VALUE"""),23)</f>
        <v>23</v>
      </c>
      <c r="D349" s="1">
        <f ca="1">IFERROR(__xludf.DUMMYFUNCTION("""COMPUTED_VALUE"""),12)</f>
        <v>12</v>
      </c>
      <c r="E349" s="1">
        <f ca="1">IFERROR(__xludf.DUMMYFUNCTION("""COMPUTED_VALUE"""),0.657)</f>
        <v>0.65700000000000003</v>
      </c>
      <c r="F349" s="1">
        <f ca="1">IFERROR(__xludf.DUMMYFUNCTION("""COMPUTED_VALUE"""),4.24)</f>
        <v>4.24</v>
      </c>
      <c r="G349" s="1">
        <f ca="1">IFERROR(__xludf.DUMMYFUNCTION("""COMPUTED_VALUE"""),1.69)</f>
        <v>1.69</v>
      </c>
      <c r="H349" s="1">
        <f ca="1">IFERROR(__xludf.DUMMYFUNCTION("""COMPUTED_VALUE"""),12)</f>
        <v>12</v>
      </c>
      <c r="I349" s="1">
        <f ca="1">IFERROR(__xludf.DUMMYFUNCTION("""COMPUTED_VALUE"""),6)</f>
        <v>6</v>
      </c>
      <c r="J349" s="1">
        <f ca="1">IFERROR(__xludf.DUMMYFUNCTION("""COMPUTED_VALUE"""),13)</f>
        <v>13</v>
      </c>
      <c r="K349" s="1">
        <f ca="1">IFERROR(__xludf.DUMMYFUNCTION("""COMPUTED_VALUE"""),4)</f>
        <v>4</v>
      </c>
      <c r="L349" s="1">
        <f ca="1">IFERROR(__xludf.DUMMYFUNCTION("""COMPUTED_VALUE"""),6)</f>
        <v>6</v>
      </c>
      <c r="M349" s="1">
        <f ca="1">IFERROR(__xludf.DUMMYFUNCTION("""COMPUTED_VALUE"""),8)</f>
        <v>8</v>
      </c>
      <c r="N349" s="1">
        <f ca="1">IFERROR(__xludf.DUMMYFUNCTION("""COMPUTED_VALUE"""),2564)</f>
        <v>2564</v>
      </c>
      <c r="O349" s="1">
        <f ca="1">IFERROR(__xludf.DUMMYFUNCTION("""COMPUTED_VALUE"""),2379)</f>
        <v>2379</v>
      </c>
      <c r="P349" s="1">
        <f ca="1">IFERROR(__xludf.DUMMYFUNCTION("""COMPUTED_VALUE"""),1425)</f>
        <v>1425</v>
      </c>
      <c r="Q349" s="1">
        <f ca="1">IFERROR(__xludf.DUMMYFUNCTION("""COMPUTED_VALUE"""),948)</f>
        <v>948</v>
      </c>
      <c r="R349" s="1">
        <f ca="1">IFERROR(__xludf.DUMMYFUNCTION("""COMPUTED_VALUE"""),2001)</f>
        <v>2001</v>
      </c>
      <c r="S349" s="1">
        <f ca="1">IFERROR(__xludf.DUMMYFUNCTION("""COMPUTED_VALUE"""),0.474)</f>
        <v>0.47399999999999998</v>
      </c>
      <c r="T349" s="1">
        <f ca="1">IFERROR(__xludf.DUMMYFUNCTION("""COMPUTED_VALUE"""),220)</f>
        <v>220</v>
      </c>
      <c r="U349" s="1">
        <f ca="1">IFERROR(__xludf.DUMMYFUNCTION("""COMPUTED_VALUE"""),685)</f>
        <v>685</v>
      </c>
      <c r="V349" s="1">
        <f ca="1">IFERROR(__xludf.DUMMYFUNCTION("""COMPUTED_VALUE"""),0.321)</f>
        <v>0.32100000000000001</v>
      </c>
      <c r="W349" s="1">
        <f ca="1">IFERROR(__xludf.DUMMYFUNCTION("""COMPUTED_VALUE"""),448)</f>
        <v>448</v>
      </c>
      <c r="X349" s="1">
        <f ca="1">IFERROR(__xludf.DUMMYFUNCTION("""COMPUTED_VALUE"""),674)</f>
        <v>674</v>
      </c>
      <c r="Y349" s="1">
        <f ca="1">IFERROR(__xludf.DUMMYFUNCTION("""COMPUTED_VALUE"""),0.665)</f>
        <v>0.66500000000000004</v>
      </c>
      <c r="Z349" s="1">
        <f ca="1">IFERROR(__xludf.DUMMYFUNCTION("""COMPUTED_VALUE"""),394)</f>
        <v>394</v>
      </c>
      <c r="AA349" s="1">
        <f ca="1">IFERROR(__xludf.DUMMYFUNCTION("""COMPUTED_VALUE"""),1218)</f>
        <v>1218</v>
      </c>
      <c r="AB349" s="1">
        <f ca="1">IFERROR(__xludf.DUMMYFUNCTION("""COMPUTED_VALUE"""),553)</f>
        <v>553</v>
      </c>
      <c r="AC349" s="1">
        <f ca="1">IFERROR(__xludf.DUMMYFUNCTION("""COMPUTED_VALUE"""),272)</f>
        <v>272</v>
      </c>
      <c r="AD349" s="1">
        <f ca="1">IFERROR(__xludf.DUMMYFUNCTION("""COMPUTED_VALUE"""),95)</f>
        <v>95</v>
      </c>
      <c r="AE349" s="1">
        <f ca="1">IFERROR(__xludf.DUMMYFUNCTION("""COMPUTED_VALUE"""),481)</f>
        <v>481</v>
      </c>
      <c r="AF349" s="1">
        <f ca="1">IFERROR(__xludf.DUMMYFUNCTION("""COMPUTED_VALUE"""),673)</f>
        <v>673</v>
      </c>
    </row>
    <row r="350" spans="1:32" ht="12.5" x14ac:dyDescent="0.25">
      <c r="A350" s="1" t="str">
        <f ca="1">IFERROR(__xludf.DUMMYFUNCTION("""COMPUTED_VALUE"""),"VanderbiltNCAA")</f>
        <v>VanderbiltNCAA</v>
      </c>
      <c r="B350" s="1">
        <f ca="1">IFERROR(__xludf.DUMMYFUNCTION("""COMPUTED_VALUE"""),34)</f>
        <v>34</v>
      </c>
      <c r="C350" s="1">
        <f ca="1">IFERROR(__xludf.DUMMYFUNCTION("""COMPUTED_VALUE"""),23)</f>
        <v>23</v>
      </c>
      <c r="D350" s="1">
        <f ca="1">IFERROR(__xludf.DUMMYFUNCTION("""COMPUTED_VALUE"""),11)</f>
        <v>11</v>
      </c>
      <c r="E350" s="1">
        <f ca="1">IFERROR(__xludf.DUMMYFUNCTION("""COMPUTED_VALUE"""),0.676)</f>
        <v>0.67600000000000005</v>
      </c>
      <c r="F350" s="1">
        <f ca="1">IFERROR(__xludf.DUMMYFUNCTION("""COMPUTED_VALUE"""),15.1)</f>
        <v>15.1</v>
      </c>
      <c r="G350" s="1">
        <f ca="1">IFERROR(__xludf.DUMMYFUNCTION("""COMPUTED_VALUE"""),6.86)</f>
        <v>6.86</v>
      </c>
      <c r="H350" s="1">
        <f ca="1">IFERROR(__xludf.DUMMYFUNCTION("""COMPUTED_VALUE"""),9)</f>
        <v>9</v>
      </c>
      <c r="I350" s="1">
        <f ca="1">IFERROR(__xludf.DUMMYFUNCTION("""COMPUTED_VALUE"""),7)</f>
        <v>7</v>
      </c>
      <c r="J350" s="1">
        <f ca="1">IFERROR(__xludf.DUMMYFUNCTION("""COMPUTED_VALUE"""),14)</f>
        <v>14</v>
      </c>
      <c r="K350" s="1">
        <f ca="1">IFERROR(__xludf.DUMMYFUNCTION("""COMPUTED_VALUE"""),3)</f>
        <v>3</v>
      </c>
      <c r="L350" s="1">
        <f ca="1">IFERROR(__xludf.DUMMYFUNCTION("""COMPUTED_VALUE"""),5)</f>
        <v>5</v>
      </c>
      <c r="M350" s="1">
        <f ca="1">IFERROR(__xludf.DUMMYFUNCTION("""COMPUTED_VALUE"""),5)</f>
        <v>5</v>
      </c>
      <c r="N350" s="1">
        <f ca="1">IFERROR(__xludf.DUMMYFUNCTION("""COMPUTED_VALUE"""),2581)</f>
        <v>2581</v>
      </c>
      <c r="O350" s="1">
        <f ca="1">IFERROR(__xludf.DUMMYFUNCTION("""COMPUTED_VALUE"""),2301)</f>
        <v>2301</v>
      </c>
      <c r="P350" s="1">
        <f ca="1">IFERROR(__xludf.DUMMYFUNCTION("""COMPUTED_VALUE"""),1375)</f>
        <v>1375</v>
      </c>
      <c r="Q350" s="1">
        <f ca="1">IFERROR(__xludf.DUMMYFUNCTION("""COMPUTED_VALUE"""),848)</f>
        <v>848</v>
      </c>
      <c r="R350" s="1">
        <f ca="1">IFERROR(__xludf.DUMMYFUNCTION("""COMPUTED_VALUE"""),1853)</f>
        <v>1853</v>
      </c>
      <c r="S350" s="1">
        <f ca="1">IFERROR(__xludf.DUMMYFUNCTION("""COMPUTED_VALUE"""),0.458)</f>
        <v>0.45800000000000002</v>
      </c>
      <c r="T350" s="1">
        <f ca="1">IFERROR(__xludf.DUMMYFUNCTION("""COMPUTED_VALUE"""),263)</f>
        <v>263</v>
      </c>
      <c r="U350" s="1">
        <f ca="1">IFERROR(__xludf.DUMMYFUNCTION("""COMPUTED_VALUE"""),708)</f>
        <v>708</v>
      </c>
      <c r="V350" s="1">
        <f ca="1">IFERROR(__xludf.DUMMYFUNCTION("""COMPUTED_VALUE"""),0.371)</f>
        <v>0.371</v>
      </c>
      <c r="W350" s="1">
        <f ca="1">IFERROR(__xludf.DUMMYFUNCTION("""COMPUTED_VALUE"""),622)</f>
        <v>622</v>
      </c>
      <c r="X350" s="1">
        <f ca="1">IFERROR(__xludf.DUMMYFUNCTION("""COMPUTED_VALUE"""),837)</f>
        <v>837</v>
      </c>
      <c r="Y350" s="1">
        <f ca="1">IFERROR(__xludf.DUMMYFUNCTION("""COMPUTED_VALUE"""),0.743)</f>
        <v>0.74299999999999999</v>
      </c>
      <c r="Z350" s="1">
        <f ca="1">IFERROR(__xludf.DUMMYFUNCTION("""COMPUTED_VALUE"""),370)</f>
        <v>370</v>
      </c>
      <c r="AA350" s="1">
        <f ca="1">IFERROR(__xludf.DUMMYFUNCTION("""COMPUTED_VALUE"""),1255)</f>
        <v>1255</v>
      </c>
      <c r="AB350" s="1">
        <f ca="1">IFERROR(__xludf.DUMMYFUNCTION("""COMPUTED_VALUE"""),454)</f>
        <v>454</v>
      </c>
      <c r="AC350" s="1">
        <f ca="1">IFERROR(__xludf.DUMMYFUNCTION("""COMPUTED_VALUE"""),175)</f>
        <v>175</v>
      </c>
      <c r="AD350" s="1">
        <f ca="1">IFERROR(__xludf.DUMMYFUNCTION("""COMPUTED_VALUE"""),162)</f>
        <v>162</v>
      </c>
      <c r="AE350" s="1">
        <f ca="1">IFERROR(__xludf.DUMMYFUNCTION("""COMPUTED_VALUE"""),441)</f>
        <v>441</v>
      </c>
      <c r="AF350" s="1">
        <f ca="1">IFERROR(__xludf.DUMMYFUNCTION("""COMPUTED_VALUE"""),552)</f>
        <v>552</v>
      </c>
    </row>
    <row r="351" spans="1:32" ht="12.5" x14ac:dyDescent="0.25">
      <c r="A351" s="1" t="str">
        <f ca="1">IFERROR(__xludf.DUMMYFUNCTION("""COMPUTED_VALUE"""),"Vermont")</f>
        <v>Vermont</v>
      </c>
      <c r="B351" s="1">
        <f ca="1">IFERROR(__xludf.DUMMYFUNCTION("""COMPUTED_VALUE"""),32)</f>
        <v>32</v>
      </c>
      <c r="C351" s="1">
        <f ca="1">IFERROR(__xludf.DUMMYFUNCTION("""COMPUTED_VALUE"""),23)</f>
        <v>23</v>
      </c>
      <c r="D351" s="1">
        <f ca="1">IFERROR(__xludf.DUMMYFUNCTION("""COMPUTED_VALUE"""),9)</f>
        <v>9</v>
      </c>
      <c r="E351" s="1">
        <f ca="1">IFERROR(__xludf.DUMMYFUNCTION("""COMPUTED_VALUE"""),0.719)</f>
        <v>0.71899999999999997</v>
      </c>
      <c r="F351" s="1">
        <f ca="1">IFERROR(__xludf.DUMMYFUNCTION("""COMPUTED_VALUE"""),0.14)</f>
        <v>0.14000000000000001</v>
      </c>
      <c r="G351" s="1">
        <f ca="1">IFERROR(__xludf.DUMMYFUNCTION("""COMPUTED_VALUE"""),-5.33)</f>
        <v>-5.33</v>
      </c>
      <c r="H351" s="1">
        <f ca="1">IFERROR(__xludf.DUMMYFUNCTION("""COMPUTED_VALUE"""),13)</f>
        <v>13</v>
      </c>
      <c r="I351" s="1">
        <f ca="1">IFERROR(__xludf.DUMMYFUNCTION("""COMPUTED_VALUE"""),3)</f>
        <v>3</v>
      </c>
      <c r="J351" s="1">
        <f ca="1">IFERROR(__xludf.DUMMYFUNCTION("""COMPUTED_VALUE"""),12)</f>
        <v>12</v>
      </c>
      <c r="K351" s="1">
        <f ca="1">IFERROR(__xludf.DUMMYFUNCTION("""COMPUTED_VALUE"""),2)</f>
        <v>2</v>
      </c>
      <c r="L351" s="1">
        <f ca="1">IFERROR(__xludf.DUMMYFUNCTION("""COMPUTED_VALUE"""),10)</f>
        <v>10</v>
      </c>
      <c r="M351" s="1">
        <f ca="1">IFERROR(__xludf.DUMMYFUNCTION("""COMPUTED_VALUE"""),5)</f>
        <v>5</v>
      </c>
      <c r="N351" s="1">
        <f ca="1">IFERROR(__xludf.DUMMYFUNCTION("""COMPUTED_VALUE"""),2147)</f>
        <v>2147</v>
      </c>
      <c r="O351" s="1">
        <f ca="1">IFERROR(__xludf.DUMMYFUNCTION("""COMPUTED_VALUE"""),1972)</f>
        <v>1972</v>
      </c>
      <c r="P351" s="1">
        <f ca="1">IFERROR(__xludf.DUMMYFUNCTION("""COMPUTED_VALUE"""),1290)</f>
        <v>1290</v>
      </c>
      <c r="Q351" s="1">
        <f ca="1">IFERROR(__xludf.DUMMYFUNCTION("""COMPUTED_VALUE"""),779)</f>
        <v>779</v>
      </c>
      <c r="R351" s="1">
        <f ca="1">IFERROR(__xludf.DUMMYFUNCTION("""COMPUTED_VALUE"""),1741)</f>
        <v>1741</v>
      </c>
      <c r="S351" s="1">
        <f ca="1">IFERROR(__xludf.DUMMYFUNCTION("""COMPUTED_VALUE"""),0.447)</f>
        <v>0.44700000000000001</v>
      </c>
      <c r="T351" s="1">
        <f ca="1">IFERROR(__xludf.DUMMYFUNCTION("""COMPUTED_VALUE"""),151)</f>
        <v>151</v>
      </c>
      <c r="U351" s="1">
        <f ca="1">IFERROR(__xludf.DUMMYFUNCTION("""COMPUTED_VALUE"""),430)</f>
        <v>430</v>
      </c>
      <c r="V351" s="1">
        <f ca="1">IFERROR(__xludf.DUMMYFUNCTION("""COMPUTED_VALUE"""),0.351)</f>
        <v>0.35099999999999998</v>
      </c>
      <c r="W351" s="1">
        <f ca="1">IFERROR(__xludf.DUMMYFUNCTION("""COMPUTED_VALUE"""),438)</f>
        <v>438</v>
      </c>
      <c r="X351" s="1">
        <f ca="1">IFERROR(__xludf.DUMMYFUNCTION("""COMPUTED_VALUE"""),648)</f>
        <v>648</v>
      </c>
      <c r="Y351" s="1">
        <f ca="1">IFERROR(__xludf.DUMMYFUNCTION("""COMPUTED_VALUE"""),0.676)</f>
        <v>0.67600000000000005</v>
      </c>
      <c r="Z351" s="1">
        <f ca="1">IFERROR(__xludf.DUMMYFUNCTION("""COMPUTED_VALUE"""),401)</f>
        <v>401</v>
      </c>
      <c r="AA351" s="1">
        <f ca="1">IFERROR(__xludf.DUMMYFUNCTION("""COMPUTED_VALUE"""),1230)</f>
        <v>1230</v>
      </c>
      <c r="AB351" s="1">
        <f ca="1">IFERROR(__xludf.DUMMYFUNCTION("""COMPUTED_VALUE"""),395)</f>
        <v>395</v>
      </c>
      <c r="AC351" s="1">
        <f ca="1">IFERROR(__xludf.DUMMYFUNCTION("""COMPUTED_VALUE"""),160)</f>
        <v>160</v>
      </c>
      <c r="AD351" s="1">
        <f ca="1">IFERROR(__xludf.DUMMYFUNCTION("""COMPUTED_VALUE"""),105)</f>
        <v>105</v>
      </c>
      <c r="AE351" s="1">
        <f ca="1">IFERROR(__xludf.DUMMYFUNCTION("""COMPUTED_VALUE"""),430)</f>
        <v>430</v>
      </c>
      <c r="AF351" s="1">
        <f ca="1">IFERROR(__xludf.DUMMYFUNCTION("""COMPUTED_VALUE"""),527)</f>
        <v>527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IFERROR(__xludf.DUMMYFUNCTION("""COMPUTED_VALUE"""),"VillanovaNCAA")</f>
        <v>VillanovaNCAA</v>
      </c>
      <c r="B354" s="1">
        <f ca="1">IFERROR(__xludf.DUMMYFUNCTION("""COMPUTED_VALUE"""),33)</f>
        <v>33</v>
      </c>
      <c r="C354" s="1">
        <f ca="1">IFERROR(__xludf.DUMMYFUNCTION("""COMPUTED_VALUE"""),21)</f>
        <v>21</v>
      </c>
      <c r="D354" s="1">
        <f ca="1">IFERROR(__xludf.DUMMYFUNCTION("""COMPUTED_VALUE"""),12)</f>
        <v>12</v>
      </c>
      <c r="E354" s="1">
        <f ca="1">IFERROR(__xludf.DUMMYFUNCTION("""COMPUTED_VALUE"""),0.636)</f>
        <v>0.63600000000000001</v>
      </c>
      <c r="F354" s="1">
        <f ca="1">IFERROR(__xludf.DUMMYFUNCTION("""COMPUTED_VALUE"""),15.05)</f>
        <v>15.05</v>
      </c>
      <c r="G354" s="1">
        <f ca="1">IFERROR(__xludf.DUMMYFUNCTION("""COMPUTED_VALUE"""),8.23)</f>
        <v>8.23</v>
      </c>
      <c r="H354" s="1">
        <f ca="1">IFERROR(__xludf.DUMMYFUNCTION("""COMPUTED_VALUE"""),9)</f>
        <v>9</v>
      </c>
      <c r="I354" s="1">
        <f ca="1">IFERROR(__xludf.DUMMYFUNCTION("""COMPUTED_VALUE"""),9)</f>
        <v>9</v>
      </c>
      <c r="J354" s="1">
        <f ca="1">IFERROR(__xludf.DUMMYFUNCTION("""COMPUTED_VALUE"""),13)</f>
        <v>13</v>
      </c>
      <c r="K354" s="1">
        <f ca="1">IFERROR(__xludf.DUMMYFUNCTION("""COMPUTED_VALUE"""),4)</f>
        <v>4</v>
      </c>
      <c r="L354" s="1">
        <f ca="1">IFERROR(__xludf.DUMMYFUNCTION("""COMPUTED_VALUE"""),7)</f>
        <v>7</v>
      </c>
      <c r="M354" s="1">
        <f ca="1">IFERROR(__xludf.DUMMYFUNCTION("""COMPUTED_VALUE"""),5)</f>
        <v>5</v>
      </c>
      <c r="N354" s="1">
        <f ca="1">IFERROR(__xludf.DUMMYFUNCTION("""COMPUTED_VALUE"""),2384)</f>
        <v>2384</v>
      </c>
      <c r="O354" s="1">
        <f ca="1">IFERROR(__xludf.DUMMYFUNCTION("""COMPUTED_VALUE"""),2159)</f>
        <v>2159</v>
      </c>
      <c r="P354" s="1">
        <f ca="1">IFERROR(__xludf.DUMMYFUNCTION("""COMPUTED_VALUE"""),1325)</f>
        <v>1325</v>
      </c>
      <c r="Q354" s="1">
        <f ca="1">IFERROR(__xludf.DUMMYFUNCTION("""COMPUTED_VALUE"""),796)</f>
        <v>796</v>
      </c>
      <c r="R354" s="1">
        <f ca="1">IFERROR(__xludf.DUMMYFUNCTION("""COMPUTED_VALUE"""),1819)</f>
        <v>1819</v>
      </c>
      <c r="S354" s="1">
        <f ca="1">IFERROR(__xludf.DUMMYFUNCTION("""COMPUTED_VALUE"""),0.438)</f>
        <v>0.438</v>
      </c>
      <c r="T354" s="1">
        <f ca="1">IFERROR(__xludf.DUMMYFUNCTION("""COMPUTED_VALUE"""),210)</f>
        <v>210</v>
      </c>
      <c r="U354" s="1">
        <f ca="1">IFERROR(__xludf.DUMMYFUNCTION("""COMPUTED_VALUE"""),604)</f>
        <v>604</v>
      </c>
      <c r="V354" s="1">
        <f ca="1">IFERROR(__xludf.DUMMYFUNCTION("""COMPUTED_VALUE"""),0.348)</f>
        <v>0.34799999999999998</v>
      </c>
      <c r="W354" s="1">
        <f ca="1">IFERROR(__xludf.DUMMYFUNCTION("""COMPUTED_VALUE"""),582)</f>
        <v>582</v>
      </c>
      <c r="X354" s="1">
        <f ca="1">IFERROR(__xludf.DUMMYFUNCTION("""COMPUTED_VALUE"""),769)</f>
        <v>769</v>
      </c>
      <c r="Y354" s="1">
        <f ca="1">IFERROR(__xludf.DUMMYFUNCTION("""COMPUTED_VALUE"""),0.757)</f>
        <v>0.75700000000000001</v>
      </c>
      <c r="Z354" s="1">
        <f ca="1">IFERROR(__xludf.DUMMYFUNCTION("""COMPUTED_VALUE"""),402)</f>
        <v>402</v>
      </c>
      <c r="AA354" s="1">
        <f ca="1">IFERROR(__xludf.DUMMYFUNCTION("""COMPUTED_VALUE"""),1223)</f>
        <v>1223</v>
      </c>
      <c r="AB354" s="1">
        <f ca="1">IFERROR(__xludf.DUMMYFUNCTION("""COMPUTED_VALUE"""),450)</f>
        <v>450</v>
      </c>
      <c r="AC354" s="1">
        <f ca="1">IFERROR(__xludf.DUMMYFUNCTION("""COMPUTED_VALUE"""),208)</f>
        <v>208</v>
      </c>
      <c r="AD354" s="1">
        <f ca="1">IFERROR(__xludf.DUMMYFUNCTION("""COMPUTED_VALUE"""),125)</f>
        <v>125</v>
      </c>
      <c r="AE354" s="1">
        <f ca="1">IFERROR(__xludf.DUMMYFUNCTION("""COMPUTED_VALUE"""),392)</f>
        <v>392</v>
      </c>
      <c r="AF354" s="1">
        <f ca="1">IFERROR(__xludf.DUMMYFUNCTION("""COMPUTED_VALUE"""),578)</f>
        <v>578</v>
      </c>
    </row>
    <row r="355" spans="1:32" ht="12.5" x14ac:dyDescent="0.25">
      <c r="A355" s="1" t="str">
        <f ca="1">IFERROR(__xludf.DUMMYFUNCTION("""COMPUTED_VALUE"""),"Virginia CommonwealthNCAA")</f>
        <v>Virginia CommonwealthNCAA</v>
      </c>
      <c r="B355" s="1">
        <f ca="1">IFERROR(__xludf.DUMMYFUNCTION("""COMPUTED_VALUE"""),40)</f>
        <v>40</v>
      </c>
      <c r="C355" s="1">
        <f ca="1">IFERROR(__xludf.DUMMYFUNCTION("""COMPUTED_VALUE"""),28)</f>
        <v>28</v>
      </c>
      <c r="D355" s="1">
        <f ca="1">IFERROR(__xludf.DUMMYFUNCTION("""COMPUTED_VALUE"""),12)</f>
        <v>12</v>
      </c>
      <c r="E355" s="1">
        <f ca="1">IFERROR(__xludf.DUMMYFUNCTION("""COMPUTED_VALUE"""),0.7)</f>
        <v>0.7</v>
      </c>
      <c r="F355" s="1">
        <f ca="1">IFERROR(__xludf.DUMMYFUNCTION("""COMPUTED_VALUE"""),8.56)</f>
        <v>8.56</v>
      </c>
      <c r="G355" s="1">
        <f ca="1">IFERROR(__xludf.DUMMYFUNCTION("""COMPUTED_VALUE"""),3.78)</f>
        <v>3.78</v>
      </c>
      <c r="H355" s="1">
        <f ca="1">IFERROR(__xludf.DUMMYFUNCTION("""COMPUTED_VALUE"""),12)</f>
        <v>12</v>
      </c>
      <c r="I355" s="1">
        <f ca="1">IFERROR(__xludf.DUMMYFUNCTION("""COMPUTED_VALUE"""),6)</f>
        <v>6</v>
      </c>
      <c r="J355" s="1">
        <f ca="1">IFERROR(__xludf.DUMMYFUNCTION("""COMPUTED_VALUE"""),11)</f>
        <v>11</v>
      </c>
      <c r="K355" s="1">
        <f ca="1">IFERROR(__xludf.DUMMYFUNCTION("""COMPUTED_VALUE"""),3)</f>
        <v>3</v>
      </c>
      <c r="L355" s="1">
        <f ca="1">IFERROR(__xludf.DUMMYFUNCTION("""COMPUTED_VALUE"""),8)</f>
        <v>8</v>
      </c>
      <c r="M355" s="1">
        <f ca="1">IFERROR(__xludf.DUMMYFUNCTION("""COMPUTED_VALUE"""),6)</f>
        <v>6</v>
      </c>
      <c r="N355" s="1">
        <f ca="1">IFERROR(__xludf.DUMMYFUNCTION("""COMPUTED_VALUE"""),2864)</f>
        <v>2864</v>
      </c>
      <c r="O355" s="1">
        <f ca="1">IFERROR(__xludf.DUMMYFUNCTION("""COMPUTED_VALUE"""),2673)</f>
        <v>2673</v>
      </c>
      <c r="P355" s="1">
        <f ca="1">IFERROR(__xludf.DUMMYFUNCTION("""COMPUTED_VALUE"""),1620)</f>
        <v>1620</v>
      </c>
      <c r="Q355" s="1">
        <f ca="1">IFERROR(__xludf.DUMMYFUNCTION("""COMPUTED_VALUE"""),968)</f>
        <v>968</v>
      </c>
      <c r="R355" s="1">
        <f ca="1">IFERROR(__xludf.DUMMYFUNCTION("""COMPUTED_VALUE"""),2228)</f>
        <v>2228</v>
      </c>
      <c r="S355" s="1">
        <f ca="1">IFERROR(__xludf.DUMMYFUNCTION("""COMPUTED_VALUE"""),0.434)</f>
        <v>0.434</v>
      </c>
      <c r="T355" s="1">
        <f ca="1">IFERROR(__xludf.DUMMYFUNCTION("""COMPUTED_VALUE"""),339)</f>
        <v>339</v>
      </c>
      <c r="U355" s="1">
        <f ca="1">IFERROR(__xludf.DUMMYFUNCTION("""COMPUTED_VALUE"""),917)</f>
        <v>917</v>
      </c>
      <c r="V355" s="1">
        <f ca="1">IFERROR(__xludf.DUMMYFUNCTION("""COMPUTED_VALUE"""),0.37)</f>
        <v>0.37</v>
      </c>
      <c r="W355" s="1">
        <f ca="1">IFERROR(__xludf.DUMMYFUNCTION("""COMPUTED_VALUE"""),589)</f>
        <v>589</v>
      </c>
      <c r="X355" s="1">
        <f ca="1">IFERROR(__xludf.DUMMYFUNCTION("""COMPUTED_VALUE"""),824)</f>
        <v>824</v>
      </c>
      <c r="Y355" s="1">
        <f ca="1">IFERROR(__xludf.DUMMYFUNCTION("""COMPUTED_VALUE"""),0.715)</f>
        <v>0.71499999999999997</v>
      </c>
      <c r="Z355" s="1">
        <f ca="1">IFERROR(__xludf.DUMMYFUNCTION("""COMPUTED_VALUE"""),428)</f>
        <v>428</v>
      </c>
      <c r="AA355" s="1">
        <f ca="1">IFERROR(__xludf.DUMMYFUNCTION("""COMPUTED_VALUE"""),1292)</f>
        <v>1292</v>
      </c>
      <c r="AB355" s="1">
        <f ca="1">IFERROR(__xludf.DUMMYFUNCTION("""COMPUTED_VALUE"""),583)</f>
        <v>583</v>
      </c>
      <c r="AC355" s="1">
        <f ca="1">IFERROR(__xludf.DUMMYFUNCTION("""COMPUTED_VALUE"""),328)</f>
        <v>328</v>
      </c>
      <c r="AD355" s="1">
        <f ca="1">IFERROR(__xludf.DUMMYFUNCTION("""COMPUTED_VALUE"""),140)</f>
        <v>140</v>
      </c>
      <c r="AE355" s="1">
        <f ca="1">IFERROR(__xludf.DUMMYFUNCTION("""COMPUTED_VALUE"""),452)</f>
        <v>452</v>
      </c>
      <c r="AF355" s="1">
        <f ca="1">IFERROR(__xludf.DUMMYFUNCTION("""COMPUTED_VALUE"""),735)</f>
        <v>735</v>
      </c>
    </row>
    <row r="356" spans="1:32" ht="12.5" x14ac:dyDescent="0.25">
      <c r="A356" s="1" t="str">
        <f ca="1">IFERROR(__xludf.DUMMYFUNCTION("""COMPUTED_VALUE"""),"VMI")</f>
        <v>VMI</v>
      </c>
      <c r="B356" s="1">
        <f ca="1">IFERROR(__xludf.DUMMYFUNCTION("""COMPUTED_VALUE"""),31)</f>
        <v>31</v>
      </c>
      <c r="C356" s="1">
        <f ca="1">IFERROR(__xludf.DUMMYFUNCTION("""COMPUTED_VALUE"""),18)</f>
        <v>18</v>
      </c>
      <c r="D356" s="1">
        <f ca="1">IFERROR(__xludf.DUMMYFUNCTION("""COMPUTED_VALUE"""),13)</f>
        <v>13</v>
      </c>
      <c r="E356" s="1">
        <f ca="1">IFERROR(__xludf.DUMMYFUNCTION("""COMPUTED_VALUE"""),0.581)</f>
        <v>0.58099999999999996</v>
      </c>
      <c r="F356" s="1">
        <f ca="1">IFERROR(__xludf.DUMMYFUNCTION("""COMPUTED_VALUE"""),-4.23)</f>
        <v>-4.2300000000000004</v>
      </c>
      <c r="G356" s="1">
        <f ca="1">IFERROR(__xludf.DUMMYFUNCTION("""COMPUTED_VALUE"""),-5.45)</f>
        <v>-5.45</v>
      </c>
      <c r="H356" s="1">
        <f ca="1">IFERROR(__xludf.DUMMYFUNCTION("""COMPUTED_VALUE"""),10)</f>
        <v>10</v>
      </c>
      <c r="I356" s="1">
        <f ca="1">IFERROR(__xludf.DUMMYFUNCTION("""COMPUTED_VALUE"""),8)</f>
        <v>8</v>
      </c>
      <c r="J356" s="1">
        <f ca="1">IFERROR(__xludf.DUMMYFUNCTION("""COMPUTED_VALUE"""),11)</f>
        <v>11</v>
      </c>
      <c r="K356" s="1">
        <f ca="1">IFERROR(__xludf.DUMMYFUNCTION("""COMPUTED_VALUE"""),5)</f>
        <v>5</v>
      </c>
      <c r="L356" s="1">
        <f ca="1">IFERROR(__xludf.DUMMYFUNCTION("""COMPUTED_VALUE"""),7)</f>
        <v>7</v>
      </c>
      <c r="M356" s="1">
        <f ca="1">IFERROR(__xludf.DUMMYFUNCTION("""COMPUTED_VALUE"""),7)</f>
        <v>7</v>
      </c>
      <c r="N356" s="1">
        <f ca="1">IFERROR(__xludf.DUMMYFUNCTION("""COMPUTED_VALUE"""),2726)</f>
        <v>2726</v>
      </c>
      <c r="O356" s="1">
        <f ca="1">IFERROR(__xludf.DUMMYFUNCTION("""COMPUTED_VALUE"""),2545)</f>
        <v>2545</v>
      </c>
      <c r="P356" s="1">
        <f ca="1">IFERROR(__xludf.DUMMYFUNCTION("""COMPUTED_VALUE"""),1245)</f>
        <v>1245</v>
      </c>
      <c r="Q356" s="1">
        <f ca="1">IFERROR(__xludf.DUMMYFUNCTION("""COMPUTED_VALUE"""),935)</f>
        <v>935</v>
      </c>
      <c r="R356" s="1">
        <f ca="1">IFERROR(__xludf.DUMMYFUNCTION("""COMPUTED_VALUE"""),2082)</f>
        <v>2082</v>
      </c>
      <c r="S356" s="1">
        <f ca="1">IFERROR(__xludf.DUMMYFUNCTION("""COMPUTED_VALUE"""),0.449)</f>
        <v>0.44900000000000001</v>
      </c>
      <c r="T356" s="1">
        <f ca="1">IFERROR(__xludf.DUMMYFUNCTION("""COMPUTED_VALUE"""),351)</f>
        <v>351</v>
      </c>
      <c r="U356" s="1">
        <f ca="1">IFERROR(__xludf.DUMMYFUNCTION("""COMPUTED_VALUE"""),978)</f>
        <v>978</v>
      </c>
      <c r="V356" s="1">
        <f ca="1">IFERROR(__xludf.DUMMYFUNCTION("""COMPUTED_VALUE"""),0.359)</f>
        <v>0.35899999999999999</v>
      </c>
      <c r="W356" s="1">
        <f ca="1">IFERROR(__xludf.DUMMYFUNCTION("""COMPUTED_VALUE"""),505)</f>
        <v>505</v>
      </c>
      <c r="X356" s="1">
        <f ca="1">IFERROR(__xludf.DUMMYFUNCTION("""COMPUTED_VALUE"""),712)</f>
        <v>712</v>
      </c>
      <c r="Y356" s="1">
        <f ca="1">IFERROR(__xludf.DUMMYFUNCTION("""COMPUTED_VALUE"""),0.709)</f>
        <v>0.70899999999999996</v>
      </c>
      <c r="Z356" s="1">
        <f ca="1">IFERROR(__xludf.DUMMYFUNCTION("""COMPUTED_VALUE"""),380)</f>
        <v>380</v>
      </c>
      <c r="AA356" s="1">
        <f ca="1">IFERROR(__xludf.DUMMYFUNCTION("""COMPUTED_VALUE"""),1163)</f>
        <v>1163</v>
      </c>
      <c r="AB356" s="1">
        <f ca="1">IFERROR(__xludf.DUMMYFUNCTION("""COMPUTED_VALUE"""),462)</f>
        <v>462</v>
      </c>
      <c r="AC356" s="1">
        <f ca="1">IFERROR(__xludf.DUMMYFUNCTION("""COMPUTED_VALUE"""),269)</f>
        <v>269</v>
      </c>
      <c r="AD356" s="1">
        <f ca="1">IFERROR(__xludf.DUMMYFUNCTION("""COMPUTED_VALUE"""),141)</f>
        <v>141</v>
      </c>
      <c r="AE356" s="1">
        <f ca="1">IFERROR(__xludf.DUMMYFUNCTION("""COMPUTED_VALUE"""),411)</f>
        <v>411</v>
      </c>
      <c r="AF356" s="1">
        <f ca="1">IFERROR(__xludf.DUMMYFUNCTION("""COMPUTED_VALUE"""),609)</f>
        <v>609</v>
      </c>
    </row>
    <row r="357" spans="1:32" ht="12.5" x14ac:dyDescent="0.25">
      <c r="A357" s="1" t="str">
        <f ca="1">IFERROR(__xludf.DUMMYFUNCTION("""COMPUTED_VALUE"""),"Virginia Tech")</f>
        <v>Virginia Tech</v>
      </c>
      <c r="B357" s="1">
        <f ca="1">IFERROR(__xludf.DUMMYFUNCTION("""COMPUTED_VALUE"""),34)</f>
        <v>34</v>
      </c>
      <c r="C357" s="1">
        <f ca="1">IFERROR(__xludf.DUMMYFUNCTION("""COMPUTED_VALUE"""),22)</f>
        <v>22</v>
      </c>
      <c r="D357" s="1">
        <f ca="1">IFERROR(__xludf.DUMMYFUNCTION("""COMPUTED_VALUE"""),12)</f>
        <v>12</v>
      </c>
      <c r="E357" s="1">
        <f ca="1">IFERROR(__xludf.DUMMYFUNCTION("""COMPUTED_VALUE"""),0.647)</f>
        <v>0.64700000000000002</v>
      </c>
      <c r="F357" s="1">
        <f ca="1">IFERROR(__xludf.DUMMYFUNCTION("""COMPUTED_VALUE"""),13.84)</f>
        <v>13.84</v>
      </c>
      <c r="G357" s="1">
        <f ca="1">IFERROR(__xludf.DUMMYFUNCTION("""COMPUTED_VALUE"""),6.29)</f>
        <v>6.29</v>
      </c>
      <c r="H357" s="1">
        <f ca="1">IFERROR(__xludf.DUMMYFUNCTION("""COMPUTED_VALUE"""),9)</f>
        <v>9</v>
      </c>
      <c r="I357" s="1">
        <f ca="1">IFERROR(__xludf.DUMMYFUNCTION("""COMPUTED_VALUE"""),7)</f>
        <v>7</v>
      </c>
      <c r="J357" s="1">
        <f ca="1">IFERROR(__xludf.DUMMYFUNCTION("""COMPUTED_VALUE"""),12)</f>
        <v>12</v>
      </c>
      <c r="K357" s="1">
        <f ca="1">IFERROR(__xludf.DUMMYFUNCTION("""COMPUTED_VALUE"""),4)</f>
        <v>4</v>
      </c>
      <c r="L357" s="1">
        <f ca="1">IFERROR(__xludf.DUMMYFUNCTION("""COMPUTED_VALUE"""),4)</f>
        <v>4</v>
      </c>
      <c r="M357" s="1">
        <f ca="1">IFERROR(__xludf.DUMMYFUNCTION("""COMPUTED_VALUE"""),6)</f>
        <v>6</v>
      </c>
      <c r="N357" s="1">
        <f ca="1">IFERROR(__xludf.DUMMYFUNCTION("""COMPUTED_VALUE"""),2390)</f>
        <v>2390</v>
      </c>
      <c r="O357" s="1">
        <f ca="1">IFERROR(__xludf.DUMMYFUNCTION("""COMPUTED_VALUE"""),2133)</f>
        <v>2133</v>
      </c>
      <c r="P357" s="1">
        <f ca="1">IFERROR(__xludf.DUMMYFUNCTION("""COMPUTED_VALUE"""),1375)</f>
        <v>1375</v>
      </c>
      <c r="Q357" s="1">
        <f ca="1">IFERROR(__xludf.DUMMYFUNCTION("""COMPUTED_VALUE"""),834)</f>
        <v>834</v>
      </c>
      <c r="R357" s="1">
        <f ca="1">IFERROR(__xludf.DUMMYFUNCTION("""COMPUTED_VALUE"""),1845)</f>
        <v>1845</v>
      </c>
      <c r="S357" s="1">
        <f ca="1">IFERROR(__xludf.DUMMYFUNCTION("""COMPUTED_VALUE"""),0.452)</f>
        <v>0.45200000000000001</v>
      </c>
      <c r="T357" s="1">
        <f ca="1">IFERROR(__xludf.DUMMYFUNCTION("""COMPUTED_VALUE"""),189)</f>
        <v>189</v>
      </c>
      <c r="U357" s="1">
        <f ca="1">IFERROR(__xludf.DUMMYFUNCTION("""COMPUTED_VALUE"""),572)</f>
        <v>572</v>
      </c>
      <c r="V357" s="1">
        <f ca="1">IFERROR(__xludf.DUMMYFUNCTION("""COMPUTED_VALUE"""),0.33)</f>
        <v>0.33</v>
      </c>
      <c r="W357" s="1">
        <f ca="1">IFERROR(__xludf.DUMMYFUNCTION("""COMPUTED_VALUE"""),533)</f>
        <v>533</v>
      </c>
      <c r="X357" s="1">
        <f ca="1">IFERROR(__xludf.DUMMYFUNCTION("""COMPUTED_VALUE"""),751)</f>
        <v>751</v>
      </c>
      <c r="Y357" s="1">
        <f ca="1">IFERROR(__xludf.DUMMYFUNCTION("""COMPUTED_VALUE"""),0.71)</f>
        <v>0.71</v>
      </c>
      <c r="Z357" s="1">
        <f ca="1">IFERROR(__xludf.DUMMYFUNCTION("""COMPUTED_VALUE"""),362)</f>
        <v>362</v>
      </c>
      <c r="AA357" s="1">
        <f ca="1">IFERROR(__xludf.DUMMYFUNCTION("""COMPUTED_VALUE"""),1168)</f>
        <v>1168</v>
      </c>
      <c r="AB357" s="1">
        <f ca="1">IFERROR(__xludf.DUMMYFUNCTION("""COMPUTED_VALUE"""),425)</f>
        <v>425</v>
      </c>
      <c r="AC357" s="1">
        <f ca="1">IFERROR(__xludf.DUMMYFUNCTION("""COMPUTED_VALUE"""),224)</f>
        <v>224</v>
      </c>
      <c r="AD357" s="1">
        <f ca="1">IFERROR(__xludf.DUMMYFUNCTION("""COMPUTED_VALUE"""),125)</f>
        <v>125</v>
      </c>
      <c r="AE357" s="1">
        <f ca="1">IFERROR(__xludf.DUMMYFUNCTION("""COMPUTED_VALUE"""),419)</f>
        <v>419</v>
      </c>
      <c r="AF357" s="1">
        <f ca="1">IFERROR(__xludf.DUMMYFUNCTION("""COMPUTED_VALUE"""),579)</f>
        <v>579</v>
      </c>
    </row>
    <row r="358" spans="1:32" ht="12.5" x14ac:dyDescent="0.25">
      <c r="A358" s="1" t="str">
        <f ca="1">IFERROR(__xludf.DUMMYFUNCTION("""COMPUTED_VALUE"""),"Virginia")</f>
        <v>Virginia</v>
      </c>
      <c r="B358" s="1">
        <f ca="1">IFERROR(__xludf.DUMMYFUNCTION("""COMPUTED_VALUE"""),31)</f>
        <v>31</v>
      </c>
      <c r="C358" s="1">
        <f ca="1">IFERROR(__xludf.DUMMYFUNCTION("""COMPUTED_VALUE"""),16)</f>
        <v>16</v>
      </c>
      <c r="D358" s="1">
        <f ca="1">IFERROR(__xludf.DUMMYFUNCTION("""COMPUTED_VALUE"""),15)</f>
        <v>15</v>
      </c>
      <c r="E358" s="1">
        <f ca="1">IFERROR(__xludf.DUMMYFUNCTION("""COMPUTED_VALUE"""),0.516)</f>
        <v>0.51600000000000001</v>
      </c>
      <c r="F358" s="1">
        <f ca="1">IFERROR(__xludf.DUMMYFUNCTION("""COMPUTED_VALUE"""),6.01)</f>
        <v>6.01</v>
      </c>
      <c r="G358" s="1">
        <f ca="1">IFERROR(__xludf.DUMMYFUNCTION("""COMPUTED_VALUE"""),6.55)</f>
        <v>6.55</v>
      </c>
      <c r="H358" s="1">
        <f ca="1">IFERROR(__xludf.DUMMYFUNCTION("""COMPUTED_VALUE"""),7)</f>
        <v>7</v>
      </c>
      <c r="I358" s="1">
        <f ca="1">IFERROR(__xludf.DUMMYFUNCTION("""COMPUTED_VALUE"""),9)</f>
        <v>9</v>
      </c>
      <c r="J358" s="1">
        <f ca="1">IFERROR(__xludf.DUMMYFUNCTION("""COMPUTED_VALUE"""),11)</f>
        <v>11</v>
      </c>
      <c r="K358" s="1">
        <f ca="1">IFERROR(__xludf.DUMMYFUNCTION("""COMPUTED_VALUE"""),6)</f>
        <v>6</v>
      </c>
      <c r="L358" s="1">
        <f ca="1">IFERROR(__xludf.DUMMYFUNCTION("""COMPUTED_VALUE"""),4)</f>
        <v>4</v>
      </c>
      <c r="M358" s="1">
        <f ca="1">IFERROR(__xludf.DUMMYFUNCTION("""COMPUTED_VALUE"""),6)</f>
        <v>6</v>
      </c>
      <c r="N358" s="1">
        <f ca="1">IFERROR(__xludf.DUMMYFUNCTION("""COMPUTED_VALUE"""),1918)</f>
        <v>1918</v>
      </c>
      <c r="O358" s="1">
        <f ca="1">IFERROR(__xludf.DUMMYFUNCTION("""COMPUTED_VALUE"""),1935)</f>
        <v>1935</v>
      </c>
      <c r="P358" s="1">
        <f ca="1">IFERROR(__xludf.DUMMYFUNCTION("""COMPUTED_VALUE"""),1250)</f>
        <v>1250</v>
      </c>
      <c r="Q358" s="1">
        <f ca="1">IFERROR(__xludf.DUMMYFUNCTION("""COMPUTED_VALUE"""),668)</f>
        <v>668</v>
      </c>
      <c r="R358" s="1">
        <f ca="1">IFERROR(__xludf.DUMMYFUNCTION("""COMPUTED_VALUE"""),1611)</f>
        <v>1611</v>
      </c>
      <c r="S358" s="1">
        <f ca="1">IFERROR(__xludf.DUMMYFUNCTION("""COMPUTED_VALUE"""),0.415)</f>
        <v>0.41499999999999998</v>
      </c>
      <c r="T358" s="1">
        <f ca="1">IFERROR(__xludf.DUMMYFUNCTION("""COMPUTED_VALUE"""),226)</f>
        <v>226</v>
      </c>
      <c r="U358" s="1">
        <f ca="1">IFERROR(__xludf.DUMMYFUNCTION("""COMPUTED_VALUE"""),583)</f>
        <v>583</v>
      </c>
      <c r="V358" s="1">
        <f ca="1">IFERROR(__xludf.DUMMYFUNCTION("""COMPUTED_VALUE"""),0.388)</f>
        <v>0.38800000000000001</v>
      </c>
      <c r="W358" s="1">
        <f ca="1">IFERROR(__xludf.DUMMYFUNCTION("""COMPUTED_VALUE"""),356)</f>
        <v>356</v>
      </c>
      <c r="X358" s="1">
        <f ca="1">IFERROR(__xludf.DUMMYFUNCTION("""COMPUTED_VALUE"""),516)</f>
        <v>516</v>
      </c>
      <c r="Y358" s="1">
        <f ca="1">IFERROR(__xludf.DUMMYFUNCTION("""COMPUTED_VALUE"""),0.69)</f>
        <v>0.69</v>
      </c>
      <c r="Z358" s="1">
        <f ca="1">IFERROR(__xludf.DUMMYFUNCTION("""COMPUTED_VALUE"""),272)</f>
        <v>272</v>
      </c>
      <c r="AA358" s="1">
        <f ca="1">IFERROR(__xludf.DUMMYFUNCTION("""COMPUTED_VALUE"""),974)</f>
        <v>974</v>
      </c>
      <c r="AB358" s="1">
        <f ca="1">IFERROR(__xludf.DUMMYFUNCTION("""COMPUTED_VALUE"""),354)</f>
        <v>354</v>
      </c>
      <c r="AC358" s="1">
        <f ca="1">IFERROR(__xludf.DUMMYFUNCTION("""COMPUTED_VALUE"""),179)</f>
        <v>179</v>
      </c>
      <c r="AD358" s="1">
        <f ca="1">IFERROR(__xludf.DUMMYFUNCTION("""COMPUTED_VALUE"""),92)</f>
        <v>92</v>
      </c>
      <c r="AE358" s="1">
        <f ca="1">IFERROR(__xludf.DUMMYFUNCTION("""COMPUTED_VALUE"""),339)</f>
        <v>339</v>
      </c>
      <c r="AF358" s="1">
        <f ca="1">IFERROR(__xludf.DUMMYFUNCTION("""COMPUTED_VALUE"""),498)</f>
        <v>498</v>
      </c>
    </row>
    <row r="359" spans="1:32" ht="12.5" x14ac:dyDescent="0.25">
      <c r="A359" s="1" t="str">
        <f ca="1">IFERROR(__xludf.DUMMYFUNCTION("""COMPUTED_VALUE"""),"Wagner")</f>
        <v>Wagner</v>
      </c>
      <c r="B359" s="1">
        <f ca="1">IFERROR(__xludf.DUMMYFUNCTION("""COMPUTED_VALUE"""),30)</f>
        <v>30</v>
      </c>
      <c r="C359" s="1">
        <f ca="1">IFERROR(__xludf.DUMMYFUNCTION("""COMPUTED_VALUE"""),13)</f>
        <v>13</v>
      </c>
      <c r="D359" s="1">
        <f ca="1">IFERROR(__xludf.DUMMYFUNCTION("""COMPUTED_VALUE"""),17)</f>
        <v>17</v>
      </c>
      <c r="E359" s="1">
        <f ca="1">IFERROR(__xludf.DUMMYFUNCTION("""COMPUTED_VALUE"""),0.433)</f>
        <v>0.433</v>
      </c>
      <c r="F359" s="1">
        <f ca="1">IFERROR(__xludf.DUMMYFUNCTION("""COMPUTED_VALUE"""),-6.54)</f>
        <v>-6.54</v>
      </c>
      <c r="G359" s="1">
        <f ca="1">IFERROR(__xludf.DUMMYFUNCTION("""COMPUTED_VALUE"""),-3.67)</f>
        <v>-3.67</v>
      </c>
      <c r="H359" s="1">
        <f ca="1">IFERROR(__xludf.DUMMYFUNCTION("""COMPUTED_VALUE"""),9)</f>
        <v>9</v>
      </c>
      <c r="I359" s="1">
        <f ca="1">IFERROR(__xludf.DUMMYFUNCTION("""COMPUTED_VALUE"""),9)</f>
        <v>9</v>
      </c>
      <c r="J359" s="1">
        <f ca="1">IFERROR(__xludf.DUMMYFUNCTION("""COMPUTED_VALUE"""),8)</f>
        <v>8</v>
      </c>
      <c r="K359" s="1">
        <f ca="1">IFERROR(__xludf.DUMMYFUNCTION("""COMPUTED_VALUE"""),5)</f>
        <v>5</v>
      </c>
      <c r="L359" s="1">
        <f ca="1">IFERROR(__xludf.DUMMYFUNCTION("""COMPUTED_VALUE"""),5)</f>
        <v>5</v>
      </c>
      <c r="M359" s="1">
        <f ca="1">IFERROR(__xludf.DUMMYFUNCTION("""COMPUTED_VALUE"""),12)</f>
        <v>12</v>
      </c>
      <c r="N359" s="1">
        <f ca="1">IFERROR(__xludf.DUMMYFUNCTION("""COMPUTED_VALUE"""),2029)</f>
        <v>2029</v>
      </c>
      <c r="O359" s="1">
        <f ca="1">IFERROR(__xludf.DUMMYFUNCTION("""COMPUTED_VALUE"""),2115)</f>
        <v>2115</v>
      </c>
      <c r="P359" s="1">
        <f ca="1">IFERROR(__xludf.DUMMYFUNCTION("""COMPUTED_VALUE"""),1220)</f>
        <v>1220</v>
      </c>
      <c r="Q359" s="1">
        <f ca="1">IFERROR(__xludf.DUMMYFUNCTION("""COMPUTED_VALUE"""),671)</f>
        <v>671</v>
      </c>
      <c r="R359" s="1">
        <f ca="1">IFERROR(__xludf.DUMMYFUNCTION("""COMPUTED_VALUE"""),1544)</f>
        <v>1544</v>
      </c>
      <c r="S359" s="1">
        <f ca="1">IFERROR(__xludf.DUMMYFUNCTION("""COMPUTED_VALUE"""),0.435)</f>
        <v>0.435</v>
      </c>
      <c r="T359" s="1">
        <f ca="1">IFERROR(__xludf.DUMMYFUNCTION("""COMPUTED_VALUE"""),196)</f>
        <v>196</v>
      </c>
      <c r="U359" s="1">
        <f ca="1">IFERROR(__xludf.DUMMYFUNCTION("""COMPUTED_VALUE"""),529)</f>
        <v>529</v>
      </c>
      <c r="V359" s="1">
        <f ca="1">IFERROR(__xludf.DUMMYFUNCTION("""COMPUTED_VALUE"""),0.371)</f>
        <v>0.371</v>
      </c>
      <c r="W359" s="1">
        <f ca="1">IFERROR(__xludf.DUMMYFUNCTION("""COMPUTED_VALUE"""),491)</f>
        <v>491</v>
      </c>
      <c r="X359" s="1">
        <f ca="1">IFERROR(__xludf.DUMMYFUNCTION("""COMPUTED_VALUE"""),636)</f>
        <v>636</v>
      </c>
      <c r="Y359" s="1">
        <f ca="1">IFERROR(__xludf.DUMMYFUNCTION("""COMPUTED_VALUE"""),0.772)</f>
        <v>0.77200000000000002</v>
      </c>
      <c r="Z359" s="1">
        <f ca="1">IFERROR(__xludf.DUMMYFUNCTION("""COMPUTED_VALUE"""),238)</f>
        <v>238</v>
      </c>
      <c r="AA359" s="1">
        <f ca="1">IFERROR(__xludf.DUMMYFUNCTION("""COMPUTED_VALUE"""),886)</f>
        <v>886</v>
      </c>
      <c r="AB359" s="1">
        <f ca="1">IFERROR(__xludf.DUMMYFUNCTION("""COMPUTED_VALUE"""),418)</f>
        <v>418</v>
      </c>
      <c r="AC359" s="1">
        <f ca="1">IFERROR(__xludf.DUMMYFUNCTION("""COMPUTED_VALUE"""),177)</f>
        <v>177</v>
      </c>
      <c r="AD359" s="1">
        <f ca="1">IFERROR(__xludf.DUMMYFUNCTION("""COMPUTED_VALUE"""),119)</f>
        <v>119</v>
      </c>
      <c r="AE359" s="1">
        <f ca="1">IFERROR(__xludf.DUMMYFUNCTION("""COMPUTED_VALUE"""),459)</f>
        <v>459</v>
      </c>
      <c r="AF359" s="1">
        <f ca="1">IFERROR(__xludf.DUMMYFUNCTION("""COMPUTED_VALUE"""),749)</f>
        <v>749</v>
      </c>
    </row>
    <row r="360" spans="1:32" ht="12.5" x14ac:dyDescent="0.25">
      <c r="A360" s="1" t="str">
        <f ca="1">IFERROR(__xludf.DUMMYFUNCTION("""COMPUTED_VALUE"""),"Wake Forest")</f>
        <v>Wake Forest</v>
      </c>
      <c r="B360" s="1">
        <f ca="1">IFERROR(__xludf.DUMMYFUNCTION("""COMPUTED_VALUE"""),32)</f>
        <v>32</v>
      </c>
      <c r="C360" s="1">
        <f ca="1">IFERROR(__xludf.DUMMYFUNCTION("""COMPUTED_VALUE"""),8)</f>
        <v>8</v>
      </c>
      <c r="D360" s="1">
        <f ca="1">IFERROR(__xludf.DUMMYFUNCTION("""COMPUTED_VALUE"""),24)</f>
        <v>24</v>
      </c>
      <c r="E360" s="1">
        <f ca="1">IFERROR(__xludf.DUMMYFUNCTION("""COMPUTED_VALUE"""),0.25)</f>
        <v>0.25</v>
      </c>
      <c r="F360" s="1">
        <f ca="1">IFERROR(__xludf.DUMMYFUNCTION("""COMPUTED_VALUE"""),-4.43)</f>
        <v>-4.43</v>
      </c>
      <c r="G360" s="1">
        <f ca="1">IFERROR(__xludf.DUMMYFUNCTION("""COMPUTED_VALUE"""),5.51)</f>
        <v>5.51</v>
      </c>
      <c r="H360" s="1">
        <f ca="1">IFERROR(__xludf.DUMMYFUNCTION("""COMPUTED_VALUE"""),1)</f>
        <v>1</v>
      </c>
      <c r="I360" s="1">
        <f ca="1">IFERROR(__xludf.DUMMYFUNCTION("""COMPUTED_VALUE"""),15)</f>
        <v>15</v>
      </c>
      <c r="J360" s="1">
        <f ca="1">IFERROR(__xludf.DUMMYFUNCTION("""COMPUTED_VALUE"""),7)</f>
        <v>7</v>
      </c>
      <c r="K360" s="1">
        <f ca="1">IFERROR(__xludf.DUMMYFUNCTION("""COMPUTED_VALUE"""),12)</f>
        <v>12</v>
      </c>
      <c r="L360" s="1">
        <f ca="1">IFERROR(__xludf.DUMMYFUNCTION("""COMPUTED_VALUE"""),0)</f>
        <v>0</v>
      </c>
      <c r="M360" s="1">
        <f ca="1">IFERROR(__xludf.DUMMYFUNCTION("""COMPUTED_VALUE"""),10)</f>
        <v>10</v>
      </c>
      <c r="N360" s="1">
        <f ca="1">IFERROR(__xludf.DUMMYFUNCTION("""COMPUTED_VALUE"""),2151)</f>
        <v>2151</v>
      </c>
      <c r="O360" s="1">
        <f ca="1">IFERROR(__xludf.DUMMYFUNCTION("""COMPUTED_VALUE"""),2469)</f>
        <v>2469</v>
      </c>
      <c r="P360" s="1">
        <f ca="1">IFERROR(__xludf.DUMMYFUNCTION("""COMPUTED_VALUE"""),1280)</f>
        <v>1280</v>
      </c>
      <c r="Q360" s="1">
        <f ca="1">IFERROR(__xludf.DUMMYFUNCTION("""COMPUTED_VALUE"""),734)</f>
        <v>734</v>
      </c>
      <c r="R360" s="1">
        <f ca="1">IFERROR(__xludf.DUMMYFUNCTION("""COMPUTED_VALUE"""),1736)</f>
        <v>1736</v>
      </c>
      <c r="S360" s="1">
        <f ca="1">IFERROR(__xludf.DUMMYFUNCTION("""COMPUTED_VALUE"""),0.423)</f>
        <v>0.42299999999999999</v>
      </c>
      <c r="T360" s="1">
        <f ca="1">IFERROR(__xludf.DUMMYFUNCTION("""COMPUTED_VALUE"""),184)</f>
        <v>184</v>
      </c>
      <c r="U360" s="1">
        <f ca="1">IFERROR(__xludf.DUMMYFUNCTION("""COMPUTED_VALUE"""),513)</f>
        <v>513</v>
      </c>
      <c r="V360" s="1">
        <f ca="1">IFERROR(__xludf.DUMMYFUNCTION("""COMPUTED_VALUE"""),0.359)</f>
        <v>0.35899999999999999</v>
      </c>
      <c r="W360" s="1">
        <f ca="1">IFERROR(__xludf.DUMMYFUNCTION("""COMPUTED_VALUE"""),497)</f>
        <v>497</v>
      </c>
      <c r="X360" s="1">
        <f ca="1">IFERROR(__xludf.DUMMYFUNCTION("""COMPUTED_VALUE"""),666)</f>
        <v>666</v>
      </c>
      <c r="Y360" s="1">
        <f ca="1">IFERROR(__xludf.DUMMYFUNCTION("""COMPUTED_VALUE"""),0.746)</f>
        <v>0.746</v>
      </c>
      <c r="Z360" s="1">
        <f ca="1">IFERROR(__xludf.DUMMYFUNCTION("""COMPUTED_VALUE"""),285)</f>
        <v>285</v>
      </c>
      <c r="AA360" s="1">
        <f ca="1">IFERROR(__xludf.DUMMYFUNCTION("""COMPUTED_VALUE"""),1041)</f>
        <v>1041</v>
      </c>
      <c r="AB360" s="1">
        <f ca="1">IFERROR(__xludf.DUMMYFUNCTION("""COMPUTED_VALUE"""),362)</f>
        <v>362</v>
      </c>
      <c r="AC360" s="1">
        <f ca="1">IFERROR(__xludf.DUMMYFUNCTION("""COMPUTED_VALUE"""),170)</f>
        <v>170</v>
      </c>
      <c r="AD360" s="1">
        <f ca="1">IFERROR(__xludf.DUMMYFUNCTION("""COMPUTED_VALUE"""),174)</f>
        <v>174</v>
      </c>
      <c r="AE360" s="1">
        <f ca="1">IFERROR(__xludf.DUMMYFUNCTION("""COMPUTED_VALUE"""),494)</f>
        <v>494</v>
      </c>
      <c r="AF360" s="1">
        <f ca="1">IFERROR(__xludf.DUMMYFUNCTION("""COMPUTED_VALUE"""),594)</f>
        <v>594</v>
      </c>
    </row>
    <row r="361" spans="1:32" ht="12.5" x14ac:dyDescent="0.25">
      <c r="A361" s="1" t="str">
        <f ca="1">IFERROR(__xludf.DUMMYFUNCTION("""COMPUTED_VALUE"""),"Washington State")</f>
        <v>Washington State</v>
      </c>
      <c r="B361" s="1">
        <f ca="1">IFERROR(__xludf.DUMMYFUNCTION("""COMPUTED_VALUE"""),35)</f>
        <v>35</v>
      </c>
      <c r="C361" s="1">
        <f ca="1">IFERROR(__xludf.DUMMYFUNCTION("""COMPUTED_VALUE"""),22)</f>
        <v>22</v>
      </c>
      <c r="D361" s="1">
        <f ca="1">IFERROR(__xludf.DUMMYFUNCTION("""COMPUTED_VALUE"""),13)</f>
        <v>13</v>
      </c>
      <c r="E361" s="1">
        <f ca="1">IFERROR(__xludf.DUMMYFUNCTION("""COMPUTED_VALUE"""),0.629)</f>
        <v>0.629</v>
      </c>
      <c r="F361" s="1">
        <f ca="1">IFERROR(__xludf.DUMMYFUNCTION("""COMPUTED_VALUE"""),12.27)</f>
        <v>12.27</v>
      </c>
      <c r="G361" s="1">
        <f ca="1">IFERROR(__xludf.DUMMYFUNCTION("""COMPUTED_VALUE"""),6.81)</f>
        <v>6.81</v>
      </c>
      <c r="H361" s="1">
        <f ca="1">IFERROR(__xludf.DUMMYFUNCTION("""COMPUTED_VALUE"""),9)</f>
        <v>9</v>
      </c>
      <c r="I361" s="1">
        <f ca="1">IFERROR(__xludf.DUMMYFUNCTION("""COMPUTED_VALUE"""),9)</f>
        <v>9</v>
      </c>
      <c r="J361" s="1">
        <f ca="1">IFERROR(__xludf.DUMMYFUNCTION("""COMPUTED_VALUE"""),14)</f>
        <v>14</v>
      </c>
      <c r="K361" s="1">
        <f ca="1">IFERROR(__xludf.DUMMYFUNCTION("""COMPUTED_VALUE"""),4)</f>
        <v>4</v>
      </c>
      <c r="L361" s="1">
        <f ca="1">IFERROR(__xludf.DUMMYFUNCTION("""COMPUTED_VALUE"""),5)</f>
        <v>5</v>
      </c>
      <c r="M361" s="1">
        <f ca="1">IFERROR(__xludf.DUMMYFUNCTION("""COMPUTED_VALUE"""),6)</f>
        <v>6</v>
      </c>
      <c r="N361" s="1">
        <f ca="1">IFERROR(__xludf.DUMMYFUNCTION("""COMPUTED_VALUE"""),2550)</f>
        <v>2550</v>
      </c>
      <c r="O361" s="1">
        <f ca="1">IFERROR(__xludf.DUMMYFUNCTION("""COMPUTED_VALUE"""),2359)</f>
        <v>2359</v>
      </c>
      <c r="P361" s="1">
        <f ca="1">IFERROR(__xludf.DUMMYFUNCTION("""COMPUTED_VALUE"""),1420)</f>
        <v>1420</v>
      </c>
      <c r="Q361" s="1">
        <f ca="1">IFERROR(__xludf.DUMMYFUNCTION("""COMPUTED_VALUE"""),902)</f>
        <v>902</v>
      </c>
      <c r="R361" s="1">
        <f ca="1">IFERROR(__xludf.DUMMYFUNCTION("""COMPUTED_VALUE"""),1982)</f>
        <v>1982</v>
      </c>
      <c r="S361" s="1">
        <f ca="1">IFERROR(__xludf.DUMMYFUNCTION("""COMPUTED_VALUE"""),0.455)</f>
        <v>0.45500000000000002</v>
      </c>
      <c r="T361" s="1">
        <f ca="1">IFERROR(__xludf.DUMMYFUNCTION("""COMPUTED_VALUE"""),240)</f>
        <v>240</v>
      </c>
      <c r="U361" s="1">
        <f ca="1">IFERROR(__xludf.DUMMYFUNCTION("""COMPUTED_VALUE"""),682)</f>
        <v>682</v>
      </c>
      <c r="V361" s="1">
        <f ca="1">IFERROR(__xludf.DUMMYFUNCTION("""COMPUTED_VALUE"""),0.352)</f>
        <v>0.35199999999999998</v>
      </c>
      <c r="W361" s="1">
        <f ca="1">IFERROR(__xludf.DUMMYFUNCTION("""COMPUTED_VALUE"""),506)</f>
        <v>506</v>
      </c>
      <c r="X361" s="1">
        <f ca="1">IFERROR(__xludf.DUMMYFUNCTION("""COMPUTED_VALUE"""),714)</f>
        <v>714</v>
      </c>
      <c r="Y361" s="1">
        <f ca="1">IFERROR(__xludf.DUMMYFUNCTION("""COMPUTED_VALUE"""),0.709)</f>
        <v>0.70899999999999996</v>
      </c>
      <c r="Z361" s="1">
        <f ca="1">IFERROR(__xludf.DUMMYFUNCTION("""COMPUTED_VALUE"""),332)</f>
        <v>332</v>
      </c>
      <c r="AA361" s="1">
        <f ca="1">IFERROR(__xludf.DUMMYFUNCTION("""COMPUTED_VALUE"""),1209)</f>
        <v>1209</v>
      </c>
      <c r="AB361" s="1">
        <f ca="1">IFERROR(__xludf.DUMMYFUNCTION("""COMPUTED_VALUE"""),466)</f>
        <v>466</v>
      </c>
      <c r="AC361" s="1">
        <f ca="1">IFERROR(__xludf.DUMMYFUNCTION("""COMPUTED_VALUE"""),239)</f>
        <v>239</v>
      </c>
      <c r="AD361" s="1">
        <f ca="1">IFERROR(__xludf.DUMMYFUNCTION("""COMPUTED_VALUE"""),136)</f>
        <v>136</v>
      </c>
      <c r="AE361" s="1">
        <f ca="1">IFERROR(__xludf.DUMMYFUNCTION("""COMPUTED_VALUE"""),445)</f>
        <v>445</v>
      </c>
      <c r="AF361" s="1">
        <f ca="1">IFERROR(__xludf.DUMMYFUNCTION("""COMPUTED_VALUE"""),612)</f>
        <v>612</v>
      </c>
    </row>
    <row r="362" spans="1:32" ht="12.5" x14ac:dyDescent="0.25">
      <c r="A362" s="1" t="str">
        <f ca="1">IFERROR(__xludf.DUMMYFUNCTION("""COMPUTED_VALUE"""),"WashingtonNCAA")</f>
        <v>WashingtonNCAA</v>
      </c>
      <c r="B362" s="1">
        <f ca="1">IFERROR(__xludf.DUMMYFUNCTION("""COMPUTED_VALUE"""),35)</f>
        <v>35</v>
      </c>
      <c r="C362" s="1">
        <f ca="1">IFERROR(__xludf.DUMMYFUNCTION("""COMPUTED_VALUE"""),24)</f>
        <v>24</v>
      </c>
      <c r="D362" s="1">
        <f ca="1">IFERROR(__xludf.DUMMYFUNCTION("""COMPUTED_VALUE"""),11)</f>
        <v>11</v>
      </c>
      <c r="E362" s="1">
        <f ca="1">IFERROR(__xludf.DUMMYFUNCTION("""COMPUTED_VALUE"""),0.686)</f>
        <v>0.68600000000000005</v>
      </c>
      <c r="F362" s="1">
        <f ca="1">IFERROR(__xludf.DUMMYFUNCTION("""COMPUTED_VALUE"""),20.12)</f>
        <v>20.12</v>
      </c>
      <c r="G362" s="1">
        <f ca="1">IFERROR(__xludf.DUMMYFUNCTION("""COMPUTED_VALUE"""),7.74)</f>
        <v>7.74</v>
      </c>
      <c r="H362" s="1">
        <f ca="1">IFERROR(__xludf.DUMMYFUNCTION("""COMPUTED_VALUE"""),11)</f>
        <v>11</v>
      </c>
      <c r="I362" s="1">
        <f ca="1">IFERROR(__xludf.DUMMYFUNCTION("""COMPUTED_VALUE"""),7)</f>
        <v>7</v>
      </c>
      <c r="J362" s="1">
        <f ca="1">IFERROR(__xludf.DUMMYFUNCTION("""COMPUTED_VALUE"""),14)</f>
        <v>14</v>
      </c>
      <c r="K362" s="1">
        <f ca="1">IFERROR(__xludf.DUMMYFUNCTION("""COMPUTED_VALUE"""),2)</f>
        <v>2</v>
      </c>
      <c r="L362" s="1">
        <f ca="1">IFERROR(__xludf.DUMMYFUNCTION("""COMPUTED_VALUE"""),5)</f>
        <v>5</v>
      </c>
      <c r="M362" s="1">
        <f ca="1">IFERROR(__xludf.DUMMYFUNCTION("""COMPUTED_VALUE"""),6)</f>
        <v>6</v>
      </c>
      <c r="N362" s="1">
        <f ca="1">IFERROR(__xludf.DUMMYFUNCTION("""COMPUTED_VALUE"""),2907)</f>
        <v>2907</v>
      </c>
      <c r="O362" s="1">
        <f ca="1">IFERROR(__xludf.DUMMYFUNCTION("""COMPUTED_VALUE"""),2474)</f>
        <v>2474</v>
      </c>
      <c r="P362" s="1">
        <f ca="1">IFERROR(__xludf.DUMMYFUNCTION("""COMPUTED_VALUE"""),1410)</f>
        <v>1410</v>
      </c>
      <c r="Q362" s="1">
        <f ca="1">IFERROR(__xludf.DUMMYFUNCTION("""COMPUTED_VALUE"""),1061)</f>
        <v>1061</v>
      </c>
      <c r="R362" s="1">
        <f ca="1">IFERROR(__xludf.DUMMYFUNCTION("""COMPUTED_VALUE"""),2260)</f>
        <v>2260</v>
      </c>
      <c r="S362" s="1">
        <f ca="1">IFERROR(__xludf.DUMMYFUNCTION("""COMPUTED_VALUE"""),0.469)</f>
        <v>0.46899999999999997</v>
      </c>
      <c r="T362" s="1">
        <f ca="1">IFERROR(__xludf.DUMMYFUNCTION("""COMPUTED_VALUE"""),305)</f>
        <v>305</v>
      </c>
      <c r="U362" s="1">
        <f ca="1">IFERROR(__xludf.DUMMYFUNCTION("""COMPUTED_VALUE"""),821)</f>
        <v>821</v>
      </c>
      <c r="V362" s="1">
        <f ca="1">IFERROR(__xludf.DUMMYFUNCTION("""COMPUTED_VALUE"""),0.371)</f>
        <v>0.371</v>
      </c>
      <c r="W362" s="1">
        <f ca="1">IFERROR(__xludf.DUMMYFUNCTION("""COMPUTED_VALUE"""),480)</f>
        <v>480</v>
      </c>
      <c r="X362" s="1">
        <f ca="1">IFERROR(__xludf.DUMMYFUNCTION("""COMPUTED_VALUE"""),712)</f>
        <v>712</v>
      </c>
      <c r="Y362" s="1">
        <f ca="1">IFERROR(__xludf.DUMMYFUNCTION("""COMPUTED_VALUE"""),0.674)</f>
        <v>0.67400000000000004</v>
      </c>
      <c r="Z362" s="1">
        <f ca="1">IFERROR(__xludf.DUMMYFUNCTION("""COMPUTED_VALUE"""),488)</f>
        <v>488</v>
      </c>
      <c r="AA362" s="1">
        <f ca="1">IFERROR(__xludf.DUMMYFUNCTION("""COMPUTED_VALUE"""),1367)</f>
        <v>1367</v>
      </c>
      <c r="AB362" s="1">
        <f ca="1">IFERROR(__xludf.DUMMYFUNCTION("""COMPUTED_VALUE"""),593)</f>
        <v>593</v>
      </c>
      <c r="AC362" s="1">
        <f ca="1">IFERROR(__xludf.DUMMYFUNCTION("""COMPUTED_VALUE"""),234)</f>
        <v>234</v>
      </c>
      <c r="AD362" s="1">
        <f ca="1">IFERROR(__xludf.DUMMYFUNCTION("""COMPUTED_VALUE"""),179)</f>
        <v>179</v>
      </c>
      <c r="AE362" s="1">
        <f ca="1">IFERROR(__xludf.DUMMYFUNCTION("""COMPUTED_VALUE"""),426)</f>
        <v>426</v>
      </c>
      <c r="AF362" s="1">
        <f ca="1">IFERROR(__xludf.DUMMYFUNCTION("""COMPUTED_VALUE"""),718)</f>
        <v>718</v>
      </c>
    </row>
    <row r="363" spans="1:32" ht="12.5" x14ac:dyDescent="0.25">
      <c r="A363" s="1" t="str">
        <f ca="1">IFERROR(__xludf.DUMMYFUNCTION("""COMPUTED_VALUE"""),"Weber State")</f>
        <v>Weber State</v>
      </c>
      <c r="B363" s="1">
        <f ca="1">IFERROR(__xludf.DUMMYFUNCTION("""COMPUTED_VALUE"""),32)</f>
        <v>32</v>
      </c>
      <c r="C363" s="1">
        <f ca="1">IFERROR(__xludf.DUMMYFUNCTION("""COMPUTED_VALUE"""),18)</f>
        <v>18</v>
      </c>
      <c r="D363" s="1">
        <f ca="1">IFERROR(__xludf.DUMMYFUNCTION("""COMPUTED_VALUE"""),14)</f>
        <v>14</v>
      </c>
      <c r="E363" s="1">
        <f ca="1">IFERROR(__xludf.DUMMYFUNCTION("""COMPUTED_VALUE"""),0.563)</f>
        <v>0.56299999999999994</v>
      </c>
      <c r="F363" s="1">
        <f ca="1">IFERROR(__xludf.DUMMYFUNCTION("""COMPUTED_VALUE"""),-1.64)</f>
        <v>-1.64</v>
      </c>
      <c r="G363" s="1">
        <f ca="1">IFERROR(__xludf.DUMMYFUNCTION("""COMPUTED_VALUE"""),-1.74)</f>
        <v>-1.74</v>
      </c>
      <c r="H363" s="1">
        <f ca="1">IFERROR(__xludf.DUMMYFUNCTION("""COMPUTED_VALUE"""),11)</f>
        <v>11</v>
      </c>
      <c r="I363" s="1">
        <f ca="1">IFERROR(__xludf.DUMMYFUNCTION("""COMPUTED_VALUE"""),5)</f>
        <v>5</v>
      </c>
      <c r="J363" s="1">
        <f ca="1">IFERROR(__xludf.DUMMYFUNCTION("""COMPUTED_VALUE"""),11)</f>
        <v>11</v>
      </c>
      <c r="K363" s="1">
        <f ca="1">IFERROR(__xludf.DUMMYFUNCTION("""COMPUTED_VALUE"""),2)</f>
        <v>2</v>
      </c>
      <c r="L363" s="1">
        <f ca="1">IFERROR(__xludf.DUMMYFUNCTION("""COMPUTED_VALUE"""),6)</f>
        <v>6</v>
      </c>
      <c r="M363" s="1">
        <f ca="1">IFERROR(__xludf.DUMMYFUNCTION("""COMPUTED_VALUE"""),10)</f>
        <v>10</v>
      </c>
      <c r="N363" s="1">
        <f ca="1">IFERROR(__xludf.DUMMYFUNCTION("""COMPUTED_VALUE"""),2243)</f>
        <v>2243</v>
      </c>
      <c r="O363" s="1">
        <f ca="1">IFERROR(__xludf.DUMMYFUNCTION("""COMPUTED_VALUE"""),2144)</f>
        <v>2144</v>
      </c>
      <c r="P363" s="1">
        <f ca="1">IFERROR(__xludf.DUMMYFUNCTION("""COMPUTED_VALUE"""),1285)</f>
        <v>1285</v>
      </c>
      <c r="Q363" s="1">
        <f ca="1">IFERROR(__xludf.DUMMYFUNCTION("""COMPUTED_VALUE"""),766)</f>
        <v>766</v>
      </c>
      <c r="R363" s="1">
        <f ca="1">IFERROR(__xludf.DUMMYFUNCTION("""COMPUTED_VALUE"""),1707)</f>
        <v>1707</v>
      </c>
      <c r="S363" s="1">
        <f ca="1">IFERROR(__xludf.DUMMYFUNCTION("""COMPUTED_VALUE"""),0.449)</f>
        <v>0.44900000000000001</v>
      </c>
      <c r="T363" s="1">
        <f ca="1">IFERROR(__xludf.DUMMYFUNCTION("""COMPUTED_VALUE"""),256)</f>
        <v>256</v>
      </c>
      <c r="U363" s="1">
        <f ca="1">IFERROR(__xludf.DUMMYFUNCTION("""COMPUTED_VALUE"""),627)</f>
        <v>627</v>
      </c>
      <c r="V363" s="1">
        <f ca="1">IFERROR(__xludf.DUMMYFUNCTION("""COMPUTED_VALUE"""),0.408)</f>
        <v>0.40799999999999997</v>
      </c>
      <c r="W363" s="1">
        <f ca="1">IFERROR(__xludf.DUMMYFUNCTION("""COMPUTED_VALUE"""),455)</f>
        <v>455</v>
      </c>
      <c r="X363" s="1">
        <f ca="1">IFERROR(__xludf.DUMMYFUNCTION("""COMPUTED_VALUE"""),602)</f>
        <v>602</v>
      </c>
      <c r="Y363" s="1">
        <f ca="1">IFERROR(__xludf.DUMMYFUNCTION("""COMPUTED_VALUE"""),0.756)</f>
        <v>0.75600000000000001</v>
      </c>
      <c r="Z363" s="1">
        <f ca="1">IFERROR(__xludf.DUMMYFUNCTION("""COMPUTED_VALUE"""),279)</f>
        <v>279</v>
      </c>
      <c r="AA363" s="1">
        <f ca="1">IFERROR(__xludf.DUMMYFUNCTION("""COMPUTED_VALUE"""),1072)</f>
        <v>1072</v>
      </c>
      <c r="AB363" s="1">
        <f ca="1">IFERROR(__xludf.DUMMYFUNCTION("""COMPUTED_VALUE"""),401)</f>
        <v>401</v>
      </c>
      <c r="AC363" s="1">
        <f ca="1">IFERROR(__xludf.DUMMYFUNCTION("""COMPUTED_VALUE"""),177)</f>
        <v>177</v>
      </c>
      <c r="AD363" s="1">
        <f ca="1">IFERROR(__xludf.DUMMYFUNCTION("""COMPUTED_VALUE"""),91)</f>
        <v>91</v>
      </c>
      <c r="AE363" s="1">
        <f ca="1">IFERROR(__xludf.DUMMYFUNCTION("""COMPUTED_VALUE"""),408)</f>
        <v>408</v>
      </c>
      <c r="AF363" s="1">
        <f ca="1">IFERROR(__xludf.DUMMYFUNCTION("""COMPUTED_VALUE"""),635)</f>
        <v>635</v>
      </c>
    </row>
    <row r="364" spans="1:32" ht="12.5" x14ac:dyDescent="0.25">
      <c r="A364" s="1" t="str">
        <f ca="1">IFERROR(__xludf.DUMMYFUNCTION("""COMPUTED_VALUE"""),"West VirginiaNCAA")</f>
        <v>West VirginiaNCAA</v>
      </c>
      <c r="B364" s="1">
        <f ca="1">IFERROR(__xludf.DUMMYFUNCTION("""COMPUTED_VALUE"""),33)</f>
        <v>33</v>
      </c>
      <c r="C364" s="1">
        <f ca="1">IFERROR(__xludf.DUMMYFUNCTION("""COMPUTED_VALUE"""),21)</f>
        <v>21</v>
      </c>
      <c r="D364" s="1">
        <f ca="1">IFERROR(__xludf.DUMMYFUNCTION("""COMPUTED_VALUE"""),12)</f>
        <v>12</v>
      </c>
      <c r="E364" s="1">
        <f ca="1">IFERROR(__xludf.DUMMYFUNCTION("""COMPUTED_VALUE"""),0.636)</f>
        <v>0.63600000000000001</v>
      </c>
      <c r="F364" s="1">
        <f ca="1">IFERROR(__xludf.DUMMYFUNCTION("""COMPUTED_VALUE"""),16.15)</f>
        <v>16.149999999999999</v>
      </c>
      <c r="G364" s="1">
        <f ca="1">IFERROR(__xludf.DUMMYFUNCTION("""COMPUTED_VALUE"""),11.03)</f>
        <v>11.03</v>
      </c>
      <c r="H364" s="1">
        <f ca="1">IFERROR(__xludf.DUMMYFUNCTION("""COMPUTED_VALUE"""),11)</f>
        <v>11</v>
      </c>
      <c r="I364" s="1">
        <f ca="1">IFERROR(__xludf.DUMMYFUNCTION("""COMPUTED_VALUE"""),7)</f>
        <v>7</v>
      </c>
      <c r="J364" s="1">
        <f ca="1">IFERROR(__xludf.DUMMYFUNCTION("""COMPUTED_VALUE"""),12)</f>
        <v>12</v>
      </c>
      <c r="K364" s="1">
        <f ca="1">IFERROR(__xludf.DUMMYFUNCTION("""COMPUTED_VALUE"""),2)</f>
        <v>2</v>
      </c>
      <c r="L364" s="1">
        <f ca="1">IFERROR(__xludf.DUMMYFUNCTION("""COMPUTED_VALUE"""),4)</f>
        <v>4</v>
      </c>
      <c r="M364" s="1">
        <f ca="1">IFERROR(__xludf.DUMMYFUNCTION("""COMPUTED_VALUE"""),6)</f>
        <v>6</v>
      </c>
      <c r="N364" s="1">
        <f ca="1">IFERROR(__xludf.DUMMYFUNCTION("""COMPUTED_VALUE"""),2303)</f>
        <v>2303</v>
      </c>
      <c r="O364" s="1">
        <f ca="1">IFERROR(__xludf.DUMMYFUNCTION("""COMPUTED_VALUE"""),2134)</f>
        <v>2134</v>
      </c>
      <c r="P364" s="1">
        <f ca="1">IFERROR(__xludf.DUMMYFUNCTION("""COMPUTED_VALUE"""),1320)</f>
        <v>1320</v>
      </c>
      <c r="Q364" s="1">
        <f ca="1">IFERROR(__xludf.DUMMYFUNCTION("""COMPUTED_VALUE"""),783)</f>
        <v>783</v>
      </c>
      <c r="R364" s="1">
        <f ca="1">IFERROR(__xludf.DUMMYFUNCTION("""COMPUTED_VALUE"""),1826)</f>
        <v>1826</v>
      </c>
      <c r="S364" s="1">
        <f ca="1">IFERROR(__xludf.DUMMYFUNCTION("""COMPUTED_VALUE"""),0.429)</f>
        <v>0.42899999999999999</v>
      </c>
      <c r="T364" s="1">
        <f ca="1">IFERROR(__xludf.DUMMYFUNCTION("""COMPUTED_VALUE"""),206)</f>
        <v>206</v>
      </c>
      <c r="U364" s="1">
        <f ca="1">IFERROR(__xludf.DUMMYFUNCTION("""COMPUTED_VALUE"""),611)</f>
        <v>611</v>
      </c>
      <c r="V364" s="1">
        <f ca="1">IFERROR(__xludf.DUMMYFUNCTION("""COMPUTED_VALUE"""),0.337)</f>
        <v>0.33700000000000002</v>
      </c>
      <c r="W364" s="1">
        <f ca="1">IFERROR(__xludf.DUMMYFUNCTION("""COMPUTED_VALUE"""),531)</f>
        <v>531</v>
      </c>
      <c r="X364" s="1">
        <f ca="1">IFERROR(__xludf.DUMMYFUNCTION("""COMPUTED_VALUE"""),747)</f>
        <v>747</v>
      </c>
      <c r="Y364" s="1">
        <f ca="1">IFERROR(__xludf.DUMMYFUNCTION("""COMPUTED_VALUE"""),0.711)</f>
        <v>0.71099999999999997</v>
      </c>
      <c r="Z364" s="1">
        <f ca="1">IFERROR(__xludf.DUMMYFUNCTION("""COMPUTED_VALUE"""),469)</f>
        <v>469</v>
      </c>
      <c r="AA364" s="1">
        <f ca="1">IFERROR(__xludf.DUMMYFUNCTION("""COMPUTED_VALUE"""),1227)</f>
        <v>1227</v>
      </c>
      <c r="AB364" s="1">
        <f ca="1">IFERROR(__xludf.DUMMYFUNCTION("""COMPUTED_VALUE"""),491)</f>
        <v>491</v>
      </c>
      <c r="AC364" s="1">
        <f ca="1">IFERROR(__xludf.DUMMYFUNCTION("""COMPUTED_VALUE"""),154)</f>
        <v>154</v>
      </c>
      <c r="AD364" s="1">
        <f ca="1">IFERROR(__xludf.DUMMYFUNCTION("""COMPUTED_VALUE"""),136)</f>
        <v>136</v>
      </c>
      <c r="AE364" s="1">
        <f ca="1">IFERROR(__xludf.DUMMYFUNCTION("""COMPUTED_VALUE"""),397)</f>
        <v>397</v>
      </c>
      <c r="AF364" s="1">
        <f ca="1">IFERROR(__xludf.DUMMYFUNCTION("""COMPUTED_VALUE"""),598)</f>
        <v>598</v>
      </c>
    </row>
    <row r="365" spans="1:32" ht="12.5" x14ac:dyDescent="0.25">
      <c r="A365" s="1" t="str">
        <f ca="1">IFERROR(__xludf.DUMMYFUNCTION("""COMPUTED_VALUE"""),"Western Carolina")</f>
        <v>Western Carolina</v>
      </c>
      <c r="B365" s="1">
        <f ca="1">IFERROR(__xludf.DUMMYFUNCTION("""COMPUTED_VALUE"""),33)</f>
        <v>33</v>
      </c>
      <c r="C365" s="1">
        <f ca="1">IFERROR(__xludf.DUMMYFUNCTION("""COMPUTED_VALUE"""),18)</f>
        <v>18</v>
      </c>
      <c r="D365" s="1">
        <f ca="1">IFERROR(__xludf.DUMMYFUNCTION("""COMPUTED_VALUE"""),15)</f>
        <v>15</v>
      </c>
      <c r="E365" s="1">
        <f ca="1">IFERROR(__xludf.DUMMYFUNCTION("""COMPUTED_VALUE"""),0.545)</f>
        <v>0.54500000000000004</v>
      </c>
      <c r="F365" s="1">
        <f ca="1">IFERROR(__xludf.DUMMYFUNCTION("""COMPUTED_VALUE"""),-3.54)</f>
        <v>-3.54</v>
      </c>
      <c r="G365" s="1">
        <f ca="1">IFERROR(__xludf.DUMMYFUNCTION("""COMPUTED_VALUE"""),-2.86)</f>
        <v>-2.86</v>
      </c>
      <c r="H365" s="1">
        <f ca="1">IFERROR(__xludf.DUMMYFUNCTION("""COMPUTED_VALUE"""),12)</f>
        <v>12</v>
      </c>
      <c r="I365" s="1">
        <f ca="1">IFERROR(__xludf.DUMMYFUNCTION("""COMPUTED_VALUE"""),6)</f>
        <v>6</v>
      </c>
      <c r="J365" s="1">
        <f ca="1">IFERROR(__xludf.DUMMYFUNCTION("""COMPUTED_VALUE"""),11)</f>
        <v>11</v>
      </c>
      <c r="K365" s="1">
        <f ca="1">IFERROR(__xludf.DUMMYFUNCTION("""COMPUTED_VALUE"""),1)</f>
        <v>1</v>
      </c>
      <c r="L365" s="1">
        <f ca="1">IFERROR(__xludf.DUMMYFUNCTION("""COMPUTED_VALUE"""),6)</f>
        <v>6</v>
      </c>
      <c r="M365" s="1">
        <f ca="1">IFERROR(__xludf.DUMMYFUNCTION("""COMPUTED_VALUE"""),11)</f>
        <v>11</v>
      </c>
      <c r="N365" s="1">
        <f ca="1">IFERROR(__xludf.DUMMYFUNCTION("""COMPUTED_VALUE"""),2303)</f>
        <v>2303</v>
      </c>
      <c r="O365" s="1">
        <f ca="1">IFERROR(__xludf.DUMMYFUNCTION("""COMPUTED_VALUE"""),2275)</f>
        <v>2275</v>
      </c>
      <c r="P365" s="1">
        <f ca="1">IFERROR(__xludf.DUMMYFUNCTION("""COMPUTED_VALUE"""),1325)</f>
        <v>1325</v>
      </c>
      <c r="Q365" s="1">
        <f ca="1">IFERROR(__xludf.DUMMYFUNCTION("""COMPUTED_VALUE"""),857)</f>
        <v>857</v>
      </c>
      <c r="R365" s="1">
        <f ca="1">IFERROR(__xludf.DUMMYFUNCTION("""COMPUTED_VALUE"""),1991)</f>
        <v>1991</v>
      </c>
      <c r="S365" s="1">
        <f ca="1">IFERROR(__xludf.DUMMYFUNCTION("""COMPUTED_VALUE"""),0.43)</f>
        <v>0.43</v>
      </c>
      <c r="T365" s="1">
        <f ca="1">IFERROR(__xludf.DUMMYFUNCTION("""COMPUTED_VALUE"""),190)</f>
        <v>190</v>
      </c>
      <c r="U365" s="1">
        <f ca="1">IFERROR(__xludf.DUMMYFUNCTION("""COMPUTED_VALUE"""),571)</f>
        <v>571</v>
      </c>
      <c r="V365" s="1">
        <f ca="1">IFERROR(__xludf.DUMMYFUNCTION("""COMPUTED_VALUE"""),0.333)</f>
        <v>0.33300000000000002</v>
      </c>
      <c r="W365" s="1">
        <f ca="1">IFERROR(__xludf.DUMMYFUNCTION("""COMPUTED_VALUE"""),399)</f>
        <v>399</v>
      </c>
      <c r="X365" s="1">
        <f ca="1">IFERROR(__xludf.DUMMYFUNCTION("""COMPUTED_VALUE"""),613)</f>
        <v>613</v>
      </c>
      <c r="Y365" s="1">
        <f ca="1">IFERROR(__xludf.DUMMYFUNCTION("""COMPUTED_VALUE"""),0.651)</f>
        <v>0.65100000000000002</v>
      </c>
      <c r="Z365" s="1">
        <f ca="1">IFERROR(__xludf.DUMMYFUNCTION("""COMPUTED_VALUE"""),428)</f>
        <v>428</v>
      </c>
      <c r="AA365" s="1">
        <f ca="1">IFERROR(__xludf.DUMMYFUNCTION("""COMPUTED_VALUE"""),1189)</f>
        <v>1189</v>
      </c>
      <c r="AB365" s="1">
        <f ca="1">IFERROR(__xludf.DUMMYFUNCTION("""COMPUTED_VALUE"""),432)</f>
        <v>432</v>
      </c>
      <c r="AC365" s="1">
        <f ca="1">IFERROR(__xludf.DUMMYFUNCTION("""COMPUTED_VALUE"""),299)</f>
        <v>299</v>
      </c>
      <c r="AD365" s="1">
        <f ca="1">IFERROR(__xludf.DUMMYFUNCTION("""COMPUTED_VALUE"""),102)</f>
        <v>102</v>
      </c>
      <c r="AE365" s="1">
        <f ca="1">IFERROR(__xludf.DUMMYFUNCTION("""COMPUTED_VALUE"""),453)</f>
        <v>453</v>
      </c>
      <c r="AF365" s="1">
        <f ca="1">IFERROR(__xludf.DUMMYFUNCTION("""COMPUTED_VALUE"""),683)</f>
        <v>683</v>
      </c>
    </row>
    <row r="366" spans="1:32" ht="12.5" x14ac:dyDescent="0.25">
      <c r="A366" s="1" t="str">
        <f ca="1">IFERROR(__xludf.DUMMYFUNCTION("""COMPUTED_VALUE"""),"Western Illinois")</f>
        <v>Western Illinois</v>
      </c>
      <c r="B366" s="1">
        <f ca="1">IFERROR(__xludf.DUMMYFUNCTION("""COMPUTED_VALUE"""),30)</f>
        <v>30</v>
      </c>
      <c r="C366" s="1">
        <f ca="1">IFERROR(__xludf.DUMMYFUNCTION("""COMPUTED_VALUE"""),7)</f>
        <v>7</v>
      </c>
      <c r="D366" s="1">
        <f ca="1">IFERROR(__xludf.DUMMYFUNCTION("""COMPUTED_VALUE"""),23)</f>
        <v>23</v>
      </c>
      <c r="E366" s="1">
        <f ca="1">IFERROR(__xludf.DUMMYFUNCTION("""COMPUTED_VALUE"""),0.233)</f>
        <v>0.23300000000000001</v>
      </c>
      <c r="F366" s="1">
        <f ca="1">IFERROR(__xludf.DUMMYFUNCTION("""COMPUTED_VALUE"""),-15.14)</f>
        <v>-15.14</v>
      </c>
      <c r="G366" s="1">
        <f ca="1">IFERROR(__xludf.DUMMYFUNCTION("""COMPUTED_VALUE"""),-4.43)</f>
        <v>-4.43</v>
      </c>
      <c r="H366" s="1">
        <f ca="1">IFERROR(__xludf.DUMMYFUNCTION("""COMPUTED_VALUE"""),2)</f>
        <v>2</v>
      </c>
      <c r="I366" s="1">
        <f ca="1">IFERROR(__xludf.DUMMYFUNCTION("""COMPUTED_VALUE"""),16)</f>
        <v>16</v>
      </c>
      <c r="J366" s="1">
        <f ca="1">IFERROR(__xludf.DUMMYFUNCTION("""COMPUTED_VALUE"""),5)</f>
        <v>5</v>
      </c>
      <c r="K366" s="1">
        <f ca="1">IFERROR(__xludf.DUMMYFUNCTION("""COMPUTED_VALUE"""),9)</f>
        <v>9</v>
      </c>
      <c r="L366" s="1">
        <f ca="1">IFERROR(__xludf.DUMMYFUNCTION("""COMPUTED_VALUE"""),1)</f>
        <v>1</v>
      </c>
      <c r="M366" s="1">
        <f ca="1">IFERROR(__xludf.DUMMYFUNCTION("""COMPUTED_VALUE"""),13)</f>
        <v>13</v>
      </c>
      <c r="N366" s="1">
        <f ca="1">IFERROR(__xludf.DUMMYFUNCTION("""COMPUTED_VALUE"""),1719)</f>
        <v>1719</v>
      </c>
      <c r="O366" s="1">
        <f ca="1">IFERROR(__xludf.DUMMYFUNCTION("""COMPUTED_VALUE"""),1945)</f>
        <v>1945</v>
      </c>
      <c r="P366" s="1">
        <f ca="1">IFERROR(__xludf.DUMMYFUNCTION("""COMPUTED_VALUE"""),1200)</f>
        <v>1200</v>
      </c>
      <c r="Q366" s="1">
        <f ca="1">IFERROR(__xludf.DUMMYFUNCTION("""COMPUTED_VALUE"""),595)</f>
        <v>595</v>
      </c>
      <c r="R366" s="1">
        <f ca="1">IFERROR(__xludf.DUMMYFUNCTION("""COMPUTED_VALUE"""),1439)</f>
        <v>1439</v>
      </c>
      <c r="S366" s="1">
        <f ca="1">IFERROR(__xludf.DUMMYFUNCTION("""COMPUTED_VALUE"""),0.413)</f>
        <v>0.41299999999999998</v>
      </c>
      <c r="T366" s="1">
        <f ca="1">IFERROR(__xludf.DUMMYFUNCTION("""COMPUTED_VALUE"""),160)</f>
        <v>160</v>
      </c>
      <c r="U366" s="1">
        <f ca="1">IFERROR(__xludf.DUMMYFUNCTION("""COMPUTED_VALUE"""),457)</f>
        <v>457</v>
      </c>
      <c r="V366" s="1">
        <f ca="1">IFERROR(__xludf.DUMMYFUNCTION("""COMPUTED_VALUE"""),0.35)</f>
        <v>0.35</v>
      </c>
      <c r="W366" s="1">
        <f ca="1">IFERROR(__xludf.DUMMYFUNCTION("""COMPUTED_VALUE"""),369)</f>
        <v>369</v>
      </c>
      <c r="X366" s="1">
        <f ca="1">IFERROR(__xludf.DUMMYFUNCTION("""COMPUTED_VALUE"""),558)</f>
        <v>558</v>
      </c>
      <c r="Y366" s="1">
        <f ca="1">IFERROR(__xludf.DUMMYFUNCTION("""COMPUTED_VALUE"""),0.661)</f>
        <v>0.66100000000000003</v>
      </c>
      <c r="Z366" s="1">
        <f ca="1">IFERROR(__xludf.DUMMYFUNCTION("""COMPUTED_VALUE"""),217)</f>
        <v>217</v>
      </c>
      <c r="AA366" s="1">
        <f ca="1">IFERROR(__xludf.DUMMYFUNCTION("""COMPUTED_VALUE"""),893)</f>
        <v>893</v>
      </c>
      <c r="AB366" s="1">
        <f ca="1">IFERROR(__xludf.DUMMYFUNCTION("""COMPUTED_VALUE"""),313)</f>
        <v>313</v>
      </c>
      <c r="AC366" s="1">
        <f ca="1">IFERROR(__xludf.DUMMYFUNCTION("""COMPUTED_VALUE"""),153)</f>
        <v>153</v>
      </c>
      <c r="AD366" s="1">
        <f ca="1">IFERROR(__xludf.DUMMYFUNCTION("""COMPUTED_VALUE"""),74)</f>
        <v>74</v>
      </c>
      <c r="AE366" s="1">
        <f ca="1">IFERROR(__xludf.DUMMYFUNCTION("""COMPUTED_VALUE"""),402)</f>
        <v>402</v>
      </c>
      <c r="AF366" s="1">
        <f ca="1">IFERROR(__xludf.DUMMYFUNCTION("""COMPUTED_VALUE"""),571)</f>
        <v>571</v>
      </c>
    </row>
    <row r="367" spans="1:32" ht="12.5" x14ac:dyDescent="0.25">
      <c r="A367" s="1" t="str">
        <f ca="1">IFERROR(__xludf.DUMMYFUNCTION("""COMPUTED_VALUE"""),"Western Kentucky")</f>
        <v>Western Kentucky</v>
      </c>
      <c r="B367" s="1">
        <f ca="1">IFERROR(__xludf.DUMMYFUNCTION("""COMPUTED_VALUE"""),32)</f>
        <v>32</v>
      </c>
      <c r="C367" s="1">
        <f ca="1">IFERROR(__xludf.DUMMYFUNCTION("""COMPUTED_VALUE"""),16)</f>
        <v>16</v>
      </c>
      <c r="D367" s="1">
        <f ca="1">IFERROR(__xludf.DUMMYFUNCTION("""COMPUTED_VALUE"""),16)</f>
        <v>16</v>
      </c>
      <c r="E367" s="1">
        <f ca="1">IFERROR(__xludf.DUMMYFUNCTION("""COMPUTED_VALUE"""),0.5)</f>
        <v>0.5</v>
      </c>
      <c r="F367" s="1">
        <f ca="1">IFERROR(__xludf.DUMMYFUNCTION("""COMPUTED_VALUE"""),-3.8)</f>
        <v>-3.8</v>
      </c>
      <c r="G367" s="1">
        <f ca="1">IFERROR(__xludf.DUMMYFUNCTION("""COMPUTED_VALUE"""),-3.15)</f>
        <v>-3.15</v>
      </c>
      <c r="H367" s="1">
        <f ca="1">IFERROR(__xludf.DUMMYFUNCTION("""COMPUTED_VALUE"""),8)</f>
        <v>8</v>
      </c>
      <c r="I367" s="1">
        <f ca="1">IFERROR(__xludf.DUMMYFUNCTION("""COMPUTED_VALUE"""),8)</f>
        <v>8</v>
      </c>
      <c r="J367" s="1">
        <f ca="1">IFERROR(__xludf.DUMMYFUNCTION("""COMPUTED_VALUE"""),7)</f>
        <v>7</v>
      </c>
      <c r="K367" s="1">
        <f ca="1">IFERROR(__xludf.DUMMYFUNCTION("""COMPUTED_VALUE"""),6)</f>
        <v>6</v>
      </c>
      <c r="L367" s="1">
        <f ca="1">IFERROR(__xludf.DUMMYFUNCTION("""COMPUTED_VALUE"""),6)</f>
        <v>6</v>
      </c>
      <c r="M367" s="1">
        <f ca="1">IFERROR(__xludf.DUMMYFUNCTION("""COMPUTED_VALUE"""),7)</f>
        <v>7</v>
      </c>
      <c r="N367" s="1">
        <f ca="1">IFERROR(__xludf.DUMMYFUNCTION("""COMPUTED_VALUE"""),2242)</f>
        <v>2242</v>
      </c>
      <c r="O367" s="1">
        <f ca="1">IFERROR(__xludf.DUMMYFUNCTION("""COMPUTED_VALUE"""),2263)</f>
        <v>2263</v>
      </c>
      <c r="P367" s="1">
        <f ca="1">IFERROR(__xludf.DUMMYFUNCTION("""COMPUTED_VALUE"""),1290)</f>
        <v>1290</v>
      </c>
      <c r="Q367" s="1">
        <f ca="1">IFERROR(__xludf.DUMMYFUNCTION("""COMPUTED_VALUE"""),809)</f>
        <v>809</v>
      </c>
      <c r="R367" s="1">
        <f ca="1">IFERROR(__xludf.DUMMYFUNCTION("""COMPUTED_VALUE"""),1855)</f>
        <v>1855</v>
      </c>
      <c r="S367" s="1">
        <f ca="1">IFERROR(__xludf.DUMMYFUNCTION("""COMPUTED_VALUE"""),0.436)</f>
        <v>0.436</v>
      </c>
      <c r="T367" s="1">
        <f ca="1">IFERROR(__xludf.DUMMYFUNCTION("""COMPUTED_VALUE"""),179)</f>
        <v>179</v>
      </c>
      <c r="U367" s="1">
        <f ca="1">IFERROR(__xludf.DUMMYFUNCTION("""COMPUTED_VALUE"""),573)</f>
        <v>573</v>
      </c>
      <c r="V367" s="1">
        <f ca="1">IFERROR(__xludf.DUMMYFUNCTION("""COMPUTED_VALUE"""),0.312)</f>
        <v>0.312</v>
      </c>
      <c r="W367" s="1">
        <f ca="1">IFERROR(__xludf.DUMMYFUNCTION("""COMPUTED_VALUE"""),445)</f>
        <v>445</v>
      </c>
      <c r="X367" s="1">
        <f ca="1">IFERROR(__xludf.DUMMYFUNCTION("""COMPUTED_VALUE"""),693)</f>
        <v>693</v>
      </c>
      <c r="Y367" s="1">
        <f ca="1">IFERROR(__xludf.DUMMYFUNCTION("""COMPUTED_VALUE"""),0.642)</f>
        <v>0.64200000000000002</v>
      </c>
      <c r="Z367" s="1">
        <f ca="1">IFERROR(__xludf.DUMMYFUNCTION("""COMPUTED_VALUE"""),427)</f>
        <v>427</v>
      </c>
      <c r="AA367" s="1">
        <f ca="1">IFERROR(__xludf.DUMMYFUNCTION("""COMPUTED_VALUE"""),1187)</f>
        <v>1187</v>
      </c>
      <c r="AB367" s="1">
        <f ca="1">IFERROR(__xludf.DUMMYFUNCTION("""COMPUTED_VALUE"""),392)</f>
        <v>392</v>
      </c>
      <c r="AC367" s="1">
        <f ca="1">IFERROR(__xludf.DUMMYFUNCTION("""COMPUTED_VALUE"""),185)</f>
        <v>185</v>
      </c>
      <c r="AD367" s="1">
        <f ca="1">IFERROR(__xludf.DUMMYFUNCTION("""COMPUTED_VALUE"""),124)</f>
        <v>124</v>
      </c>
      <c r="AE367" s="1">
        <f ca="1">IFERROR(__xludf.DUMMYFUNCTION("""COMPUTED_VALUE"""),475)</f>
        <v>475</v>
      </c>
      <c r="AF367" s="1">
        <f ca="1">IFERROR(__xludf.DUMMYFUNCTION("""COMPUTED_VALUE"""),582)</f>
        <v>582</v>
      </c>
    </row>
    <row r="368" spans="1:32" ht="12.5" x14ac:dyDescent="0.25">
      <c r="A368" s="1" t="str">
        <f ca="1">IFERROR(__xludf.DUMMYFUNCTION("""COMPUTED_VALUE"""),"Western Michigan")</f>
        <v>Western Michigan</v>
      </c>
      <c r="B368" s="1">
        <f ca="1">IFERROR(__xludf.DUMMYFUNCTION("""COMPUTED_VALUE"""),34)</f>
        <v>34</v>
      </c>
      <c r="C368" s="1">
        <f ca="1">IFERROR(__xludf.DUMMYFUNCTION("""COMPUTED_VALUE"""),21)</f>
        <v>21</v>
      </c>
      <c r="D368" s="1">
        <f ca="1">IFERROR(__xludf.DUMMYFUNCTION("""COMPUTED_VALUE"""),13)</f>
        <v>13</v>
      </c>
      <c r="E368" s="1">
        <f ca="1">IFERROR(__xludf.DUMMYFUNCTION("""COMPUTED_VALUE"""),0.618)</f>
        <v>0.61799999999999999</v>
      </c>
      <c r="F368" s="1">
        <f ca="1">IFERROR(__xludf.DUMMYFUNCTION("""COMPUTED_VALUE"""),-0.7)</f>
        <v>-0.7</v>
      </c>
      <c r="G368" s="1">
        <f ca="1">IFERROR(__xludf.DUMMYFUNCTION("""COMPUTED_VALUE"""),-2.52)</f>
        <v>-2.52</v>
      </c>
      <c r="H368" s="1">
        <f ca="1">IFERROR(__xludf.DUMMYFUNCTION("""COMPUTED_VALUE"""),11)</f>
        <v>11</v>
      </c>
      <c r="I368" s="1">
        <f ca="1">IFERROR(__xludf.DUMMYFUNCTION("""COMPUTED_VALUE"""),5)</f>
        <v>5</v>
      </c>
      <c r="J368" s="1">
        <f ca="1">IFERROR(__xludf.DUMMYFUNCTION("""COMPUTED_VALUE"""),12)</f>
        <v>12</v>
      </c>
      <c r="K368" s="1">
        <f ca="1">IFERROR(__xludf.DUMMYFUNCTION("""COMPUTED_VALUE"""),6)</f>
        <v>6</v>
      </c>
      <c r="L368" s="1">
        <f ca="1">IFERROR(__xludf.DUMMYFUNCTION("""COMPUTED_VALUE"""),7)</f>
        <v>7</v>
      </c>
      <c r="M368" s="1">
        <f ca="1">IFERROR(__xludf.DUMMYFUNCTION("""COMPUTED_VALUE"""),6)</f>
        <v>6</v>
      </c>
      <c r="N368" s="1">
        <f ca="1">IFERROR(__xludf.DUMMYFUNCTION("""COMPUTED_VALUE"""),2440)</f>
        <v>2440</v>
      </c>
      <c r="O368" s="1">
        <f ca="1">IFERROR(__xludf.DUMMYFUNCTION("""COMPUTED_VALUE"""),2321)</f>
        <v>2321</v>
      </c>
      <c r="P368" s="1">
        <f ca="1">IFERROR(__xludf.DUMMYFUNCTION("""COMPUTED_VALUE"""),1375)</f>
        <v>1375</v>
      </c>
      <c r="Q368" s="1">
        <f ca="1">IFERROR(__xludf.DUMMYFUNCTION("""COMPUTED_VALUE"""),875)</f>
        <v>875</v>
      </c>
      <c r="R368" s="1">
        <f ca="1">IFERROR(__xludf.DUMMYFUNCTION("""COMPUTED_VALUE"""),1974)</f>
        <v>1974</v>
      </c>
      <c r="S368" s="1">
        <f ca="1">IFERROR(__xludf.DUMMYFUNCTION("""COMPUTED_VALUE"""),0.443)</f>
        <v>0.443</v>
      </c>
      <c r="T368" s="1">
        <f ca="1">IFERROR(__xludf.DUMMYFUNCTION("""COMPUTED_VALUE"""),195)</f>
        <v>195</v>
      </c>
      <c r="U368" s="1">
        <f ca="1">IFERROR(__xludf.DUMMYFUNCTION("""COMPUTED_VALUE"""),559)</f>
        <v>559</v>
      </c>
      <c r="V368" s="1">
        <f ca="1">IFERROR(__xludf.DUMMYFUNCTION("""COMPUTED_VALUE"""),0.349)</f>
        <v>0.34899999999999998</v>
      </c>
      <c r="W368" s="1">
        <f ca="1">IFERROR(__xludf.DUMMYFUNCTION("""COMPUTED_VALUE"""),495)</f>
        <v>495</v>
      </c>
      <c r="X368" s="1">
        <f ca="1">IFERROR(__xludf.DUMMYFUNCTION("""COMPUTED_VALUE"""),708)</f>
        <v>708</v>
      </c>
      <c r="Y368" s="1">
        <f ca="1">IFERROR(__xludf.DUMMYFUNCTION("""COMPUTED_VALUE"""),0.699)</f>
        <v>0.69899999999999995</v>
      </c>
      <c r="Z368" s="1">
        <f ca="1">IFERROR(__xludf.DUMMYFUNCTION("""COMPUTED_VALUE"""),448)</f>
        <v>448</v>
      </c>
      <c r="AA368" s="1">
        <f ca="1">IFERROR(__xludf.DUMMYFUNCTION("""COMPUTED_VALUE"""),1280)</f>
        <v>1280</v>
      </c>
      <c r="AB368" s="1">
        <f ca="1">IFERROR(__xludf.DUMMYFUNCTION("""COMPUTED_VALUE"""),442)</f>
        <v>442</v>
      </c>
      <c r="AC368" s="1">
        <f ca="1">IFERROR(__xludf.DUMMYFUNCTION("""COMPUTED_VALUE"""),199)</f>
        <v>199</v>
      </c>
      <c r="AD368" s="1">
        <f ca="1">IFERROR(__xludf.DUMMYFUNCTION("""COMPUTED_VALUE"""),118)</f>
        <v>118</v>
      </c>
      <c r="AE368" s="1">
        <f ca="1">IFERROR(__xludf.DUMMYFUNCTION("""COMPUTED_VALUE"""),465)</f>
        <v>465</v>
      </c>
      <c r="AF368" s="1">
        <f ca="1">IFERROR(__xludf.DUMMYFUNCTION("""COMPUTED_VALUE"""),659)</f>
        <v>659</v>
      </c>
    </row>
    <row r="369" spans="1:32" ht="12.5" x14ac:dyDescent="0.25">
      <c r="A369" s="1" t="str">
        <f ca="1">IFERROR(__xludf.DUMMYFUNCTION("""COMPUTED_VALUE"""),"Wichita State")</f>
        <v>Wichita State</v>
      </c>
      <c r="B369" s="1">
        <f ca="1">IFERROR(__xludf.DUMMYFUNCTION("""COMPUTED_VALUE"""),37)</f>
        <v>37</v>
      </c>
      <c r="C369" s="1">
        <f ca="1">IFERROR(__xludf.DUMMYFUNCTION("""COMPUTED_VALUE"""),29)</f>
        <v>29</v>
      </c>
      <c r="D369" s="1">
        <f ca="1">IFERROR(__xludf.DUMMYFUNCTION("""COMPUTED_VALUE"""),8)</f>
        <v>8</v>
      </c>
      <c r="E369" s="1">
        <f ca="1">IFERROR(__xludf.DUMMYFUNCTION("""COMPUTED_VALUE"""),0.784)</f>
        <v>0.78400000000000003</v>
      </c>
      <c r="F369" s="1">
        <f ca="1">IFERROR(__xludf.DUMMYFUNCTION("""COMPUTED_VALUE"""),12.57)</f>
        <v>12.57</v>
      </c>
      <c r="G369" s="1">
        <f ca="1">IFERROR(__xludf.DUMMYFUNCTION("""COMPUTED_VALUE"""),1.79)</f>
        <v>1.79</v>
      </c>
      <c r="H369" s="1">
        <f ca="1">IFERROR(__xludf.DUMMYFUNCTION("""COMPUTED_VALUE"""),14)</f>
        <v>14</v>
      </c>
      <c r="I369" s="1">
        <f ca="1">IFERROR(__xludf.DUMMYFUNCTION("""COMPUTED_VALUE"""),4)</f>
        <v>4</v>
      </c>
      <c r="J369" s="1">
        <f ca="1">IFERROR(__xludf.DUMMYFUNCTION("""COMPUTED_VALUE"""),14)</f>
        <v>14</v>
      </c>
      <c r="K369" s="1">
        <f ca="1">IFERROR(__xludf.DUMMYFUNCTION("""COMPUTED_VALUE"""),4)</f>
        <v>4</v>
      </c>
      <c r="L369" s="1">
        <f ca="1">IFERROR(__xludf.DUMMYFUNCTION("""COMPUTED_VALUE"""),9)</f>
        <v>9</v>
      </c>
      <c r="M369" s="1">
        <f ca="1">IFERROR(__xludf.DUMMYFUNCTION("""COMPUTED_VALUE"""),2)</f>
        <v>2</v>
      </c>
      <c r="N369" s="1">
        <f ca="1">IFERROR(__xludf.DUMMYFUNCTION("""COMPUTED_VALUE"""),2690)</f>
        <v>2690</v>
      </c>
      <c r="O369" s="1">
        <f ca="1">IFERROR(__xludf.DUMMYFUNCTION("""COMPUTED_VALUE"""),2281)</f>
        <v>2281</v>
      </c>
      <c r="P369" s="1">
        <f ca="1">IFERROR(__xludf.DUMMYFUNCTION("""COMPUTED_VALUE"""),1500)</f>
        <v>1500</v>
      </c>
      <c r="Q369" s="1">
        <f ca="1">IFERROR(__xludf.DUMMYFUNCTION("""COMPUTED_VALUE"""),954)</f>
        <v>954</v>
      </c>
      <c r="R369" s="1">
        <f ca="1">IFERROR(__xludf.DUMMYFUNCTION("""COMPUTED_VALUE"""),2037)</f>
        <v>2037</v>
      </c>
      <c r="S369" s="1">
        <f ca="1">IFERROR(__xludf.DUMMYFUNCTION("""COMPUTED_VALUE"""),0.468)</f>
        <v>0.46800000000000003</v>
      </c>
      <c r="T369" s="1">
        <f ca="1">IFERROR(__xludf.DUMMYFUNCTION("""COMPUTED_VALUE"""),260)</f>
        <v>260</v>
      </c>
      <c r="U369" s="1">
        <f ca="1">IFERROR(__xludf.DUMMYFUNCTION("""COMPUTED_VALUE"""),733)</f>
        <v>733</v>
      </c>
      <c r="V369" s="1">
        <f ca="1">IFERROR(__xludf.DUMMYFUNCTION("""COMPUTED_VALUE"""),0.355)</f>
        <v>0.35499999999999998</v>
      </c>
      <c r="W369" s="1">
        <f ca="1">IFERROR(__xludf.DUMMYFUNCTION("""COMPUTED_VALUE"""),522)</f>
        <v>522</v>
      </c>
      <c r="X369" s="1">
        <f ca="1">IFERROR(__xludf.DUMMYFUNCTION("""COMPUTED_VALUE"""),700)</f>
        <v>700</v>
      </c>
      <c r="Y369" s="1">
        <f ca="1">IFERROR(__xludf.DUMMYFUNCTION("""COMPUTED_VALUE"""),0.746)</f>
        <v>0.746</v>
      </c>
      <c r="Z369" s="1">
        <f ca="1">IFERROR(__xludf.DUMMYFUNCTION("""COMPUTED_VALUE"""),421)</f>
        <v>421</v>
      </c>
      <c r="AA369" s="1">
        <f ca="1">IFERROR(__xludf.DUMMYFUNCTION("""COMPUTED_VALUE"""),1389)</f>
        <v>1389</v>
      </c>
      <c r="AB369" s="1">
        <f ca="1">IFERROR(__xludf.DUMMYFUNCTION("""COMPUTED_VALUE"""),572)</f>
        <v>572</v>
      </c>
      <c r="AC369" s="1">
        <f ca="1">IFERROR(__xludf.DUMMYFUNCTION("""COMPUTED_VALUE"""),212)</f>
        <v>212</v>
      </c>
      <c r="AD369" s="1">
        <f ca="1">IFERROR(__xludf.DUMMYFUNCTION("""COMPUTED_VALUE"""),144)</f>
        <v>144</v>
      </c>
      <c r="AE369" s="1">
        <f ca="1">IFERROR(__xludf.DUMMYFUNCTION("""COMPUTED_VALUE"""),462)</f>
        <v>462</v>
      </c>
      <c r="AF369" s="1">
        <f ca="1">IFERROR(__xludf.DUMMYFUNCTION("""COMPUTED_VALUE"""),672)</f>
        <v>672</v>
      </c>
    </row>
    <row r="370" spans="1:32" ht="12.5" x14ac:dyDescent="0.25">
      <c r="A370" s="1" t="str">
        <f ca="1">IFERROR(__xludf.DUMMYFUNCTION("""COMPUTED_VALUE"""),"William &amp; Mary")</f>
        <v>William &amp; Mary</v>
      </c>
      <c r="B370" s="1">
        <f ca="1">IFERROR(__xludf.DUMMYFUNCTION("""COMPUTED_VALUE"""),32)</f>
        <v>32</v>
      </c>
      <c r="C370" s="1">
        <f ca="1">IFERROR(__xludf.DUMMYFUNCTION("""COMPUTED_VALUE"""),10)</f>
        <v>10</v>
      </c>
      <c r="D370" s="1">
        <f ca="1">IFERROR(__xludf.DUMMYFUNCTION("""COMPUTED_VALUE"""),22)</f>
        <v>22</v>
      </c>
      <c r="E370" s="1">
        <f ca="1">IFERROR(__xludf.DUMMYFUNCTION("""COMPUTED_VALUE"""),0.313)</f>
        <v>0.313</v>
      </c>
      <c r="F370" s="1">
        <f ca="1">IFERROR(__xludf.DUMMYFUNCTION("""COMPUTED_VALUE"""),-4.38)</f>
        <v>-4.38</v>
      </c>
      <c r="G370" s="1">
        <f ca="1">IFERROR(__xludf.DUMMYFUNCTION("""COMPUTED_VALUE"""),0.49)</f>
        <v>0.49</v>
      </c>
      <c r="H370" s="1">
        <f ca="1">IFERROR(__xludf.DUMMYFUNCTION("""COMPUTED_VALUE"""),4)</f>
        <v>4</v>
      </c>
      <c r="I370" s="1">
        <f ca="1">IFERROR(__xludf.DUMMYFUNCTION("""COMPUTED_VALUE"""),14)</f>
        <v>14</v>
      </c>
      <c r="J370" s="1">
        <f ca="1">IFERROR(__xludf.DUMMYFUNCTION("""COMPUTED_VALUE"""),7)</f>
        <v>7</v>
      </c>
      <c r="K370" s="1">
        <f ca="1">IFERROR(__xludf.DUMMYFUNCTION("""COMPUTED_VALUE"""),8)</f>
        <v>8</v>
      </c>
      <c r="L370" s="1">
        <f ca="1">IFERROR(__xludf.DUMMYFUNCTION("""COMPUTED_VALUE"""),2)</f>
        <v>2</v>
      </c>
      <c r="M370" s="1">
        <f ca="1">IFERROR(__xludf.DUMMYFUNCTION("""COMPUTED_VALUE"""),13)</f>
        <v>13</v>
      </c>
      <c r="N370" s="1">
        <f ca="1">IFERROR(__xludf.DUMMYFUNCTION("""COMPUTED_VALUE"""),2051)</f>
        <v>2051</v>
      </c>
      <c r="O370" s="1">
        <f ca="1">IFERROR(__xludf.DUMMYFUNCTION("""COMPUTED_VALUE"""),2174)</f>
        <v>2174</v>
      </c>
      <c r="P370" s="1">
        <f ca="1">IFERROR(__xludf.DUMMYFUNCTION("""COMPUTED_VALUE"""),1285)</f>
        <v>1285</v>
      </c>
      <c r="Q370" s="1">
        <f ca="1">IFERROR(__xludf.DUMMYFUNCTION("""COMPUTED_VALUE"""),701)</f>
        <v>701</v>
      </c>
      <c r="R370" s="1">
        <f ca="1">IFERROR(__xludf.DUMMYFUNCTION("""COMPUTED_VALUE"""),1584)</f>
        <v>1584</v>
      </c>
      <c r="S370" s="1">
        <f ca="1">IFERROR(__xludf.DUMMYFUNCTION("""COMPUTED_VALUE"""),0.443)</f>
        <v>0.443</v>
      </c>
      <c r="T370" s="1">
        <f ca="1">IFERROR(__xludf.DUMMYFUNCTION("""COMPUTED_VALUE"""),250)</f>
        <v>250</v>
      </c>
      <c r="U370" s="1">
        <f ca="1">IFERROR(__xludf.DUMMYFUNCTION("""COMPUTED_VALUE"""),689)</f>
        <v>689</v>
      </c>
      <c r="V370" s="1">
        <f ca="1">IFERROR(__xludf.DUMMYFUNCTION("""COMPUTED_VALUE"""),0.363)</f>
        <v>0.36299999999999999</v>
      </c>
      <c r="W370" s="1">
        <f ca="1">IFERROR(__xludf.DUMMYFUNCTION("""COMPUTED_VALUE"""),399)</f>
        <v>399</v>
      </c>
      <c r="X370" s="1">
        <f ca="1">IFERROR(__xludf.DUMMYFUNCTION("""COMPUTED_VALUE"""),572)</f>
        <v>572</v>
      </c>
      <c r="Y370" s="1">
        <f ca="1">IFERROR(__xludf.DUMMYFUNCTION("""COMPUTED_VALUE"""),0.698)</f>
        <v>0.69799999999999995</v>
      </c>
      <c r="Z370" s="1">
        <f ca="1">IFERROR(__xludf.DUMMYFUNCTION("""COMPUTED_VALUE"""),241)</f>
        <v>241</v>
      </c>
      <c r="AA370" s="1">
        <f ca="1">IFERROR(__xludf.DUMMYFUNCTION("""COMPUTED_VALUE"""),1021)</f>
        <v>1021</v>
      </c>
      <c r="AB370" s="1">
        <f ca="1">IFERROR(__xludf.DUMMYFUNCTION("""COMPUTED_VALUE"""),426)</f>
        <v>426</v>
      </c>
      <c r="AC370" s="1">
        <f ca="1">IFERROR(__xludf.DUMMYFUNCTION("""COMPUTED_VALUE"""),134)</f>
        <v>134</v>
      </c>
      <c r="AD370" s="1">
        <f ca="1">IFERROR(__xludf.DUMMYFUNCTION("""COMPUTED_VALUE"""),95)</f>
        <v>95</v>
      </c>
      <c r="AE370" s="1">
        <f ca="1">IFERROR(__xludf.DUMMYFUNCTION("""COMPUTED_VALUE"""),423)</f>
        <v>423</v>
      </c>
      <c r="AF370" s="1">
        <f ca="1">IFERROR(__xludf.DUMMYFUNCTION("""COMPUTED_VALUE"""),526)</f>
        <v>526</v>
      </c>
    </row>
    <row r="371" spans="1:32" ht="12.5" x14ac:dyDescent="0.25">
      <c r="A371" s="1" t="str">
        <f ca="1">IFERROR(__xludf.DUMMYFUNCTION("""COMPUTED_VALUE"""),"Winthrop")</f>
        <v>Winthrop</v>
      </c>
      <c r="B371" s="1">
        <f ca="1">IFERROR(__xludf.DUMMYFUNCTION("""COMPUTED_VALUE"""),30)</f>
        <v>30</v>
      </c>
      <c r="C371" s="1">
        <f ca="1">IFERROR(__xludf.DUMMYFUNCTION("""COMPUTED_VALUE"""),13)</f>
        <v>13</v>
      </c>
      <c r="D371" s="1">
        <f ca="1">IFERROR(__xludf.DUMMYFUNCTION("""COMPUTED_VALUE"""),17)</f>
        <v>17</v>
      </c>
      <c r="E371" s="1">
        <f ca="1">IFERROR(__xludf.DUMMYFUNCTION("""COMPUTED_VALUE"""),0.433)</f>
        <v>0.433</v>
      </c>
      <c r="F371" s="1">
        <f ca="1">IFERROR(__xludf.DUMMYFUNCTION("""COMPUTED_VALUE"""),-5.38)</f>
        <v>-5.38</v>
      </c>
      <c r="G371" s="1">
        <f ca="1">IFERROR(__xludf.DUMMYFUNCTION("""COMPUTED_VALUE"""),-3.2)</f>
        <v>-3.2</v>
      </c>
      <c r="H371" s="1">
        <f ca="1">IFERROR(__xludf.DUMMYFUNCTION("""COMPUTED_VALUE"""),9)</f>
        <v>9</v>
      </c>
      <c r="I371" s="1">
        <f ca="1">IFERROR(__xludf.DUMMYFUNCTION("""COMPUTED_VALUE"""),9)</f>
        <v>9</v>
      </c>
      <c r="J371" s="1">
        <f ca="1">IFERROR(__xludf.DUMMYFUNCTION("""COMPUTED_VALUE"""),9)</f>
        <v>9</v>
      </c>
      <c r="K371" s="1">
        <f ca="1">IFERROR(__xludf.DUMMYFUNCTION("""COMPUTED_VALUE"""),4)</f>
        <v>4</v>
      </c>
      <c r="L371" s="1">
        <f ca="1">IFERROR(__xludf.DUMMYFUNCTION("""COMPUTED_VALUE"""),4)</f>
        <v>4</v>
      </c>
      <c r="M371" s="1">
        <f ca="1">IFERROR(__xludf.DUMMYFUNCTION("""COMPUTED_VALUE"""),10)</f>
        <v>10</v>
      </c>
      <c r="N371" s="1">
        <f ca="1">IFERROR(__xludf.DUMMYFUNCTION("""COMPUTED_VALUE"""),1973)</f>
        <v>1973</v>
      </c>
      <c r="O371" s="1">
        <f ca="1">IFERROR(__xludf.DUMMYFUNCTION("""COMPUTED_VALUE"""),2006)</f>
        <v>2006</v>
      </c>
      <c r="P371" s="1">
        <f ca="1">IFERROR(__xludf.DUMMYFUNCTION("""COMPUTED_VALUE"""),1225)</f>
        <v>1225</v>
      </c>
      <c r="Q371" s="1">
        <f ca="1">IFERROR(__xludf.DUMMYFUNCTION("""COMPUTED_VALUE"""),719)</f>
        <v>719</v>
      </c>
      <c r="R371" s="1">
        <f ca="1">IFERROR(__xludf.DUMMYFUNCTION("""COMPUTED_VALUE"""),1732)</f>
        <v>1732</v>
      </c>
      <c r="S371" s="1">
        <f ca="1">IFERROR(__xludf.DUMMYFUNCTION("""COMPUTED_VALUE"""),0.415)</f>
        <v>0.41499999999999998</v>
      </c>
      <c r="T371" s="1">
        <f ca="1">IFERROR(__xludf.DUMMYFUNCTION("""COMPUTED_VALUE"""),126)</f>
        <v>126</v>
      </c>
      <c r="U371" s="1">
        <f ca="1">IFERROR(__xludf.DUMMYFUNCTION("""COMPUTED_VALUE"""),410)</f>
        <v>410</v>
      </c>
      <c r="V371" s="1">
        <f ca="1">IFERROR(__xludf.DUMMYFUNCTION("""COMPUTED_VALUE"""),0.307)</f>
        <v>0.307</v>
      </c>
      <c r="W371" s="1">
        <f ca="1">IFERROR(__xludf.DUMMYFUNCTION("""COMPUTED_VALUE"""),409)</f>
        <v>409</v>
      </c>
      <c r="X371" s="1">
        <f ca="1">IFERROR(__xludf.DUMMYFUNCTION("""COMPUTED_VALUE"""),636)</f>
        <v>636</v>
      </c>
      <c r="Y371" s="1">
        <f ca="1">IFERROR(__xludf.DUMMYFUNCTION("""COMPUTED_VALUE"""),0.643)</f>
        <v>0.64300000000000002</v>
      </c>
      <c r="Z371" s="1">
        <f ca="1">IFERROR(__xludf.DUMMYFUNCTION("""COMPUTED_VALUE"""),371)</f>
        <v>371</v>
      </c>
      <c r="AA371" s="1">
        <f ca="1">IFERROR(__xludf.DUMMYFUNCTION("""COMPUTED_VALUE"""),1121)</f>
        <v>1121</v>
      </c>
      <c r="AB371" s="1">
        <f ca="1">IFERROR(__xludf.DUMMYFUNCTION("""COMPUTED_VALUE"""),352)</f>
        <v>352</v>
      </c>
      <c r="AC371" s="1">
        <f ca="1">IFERROR(__xludf.DUMMYFUNCTION("""COMPUTED_VALUE"""),223)</f>
        <v>223</v>
      </c>
      <c r="AD371" s="1">
        <f ca="1">IFERROR(__xludf.DUMMYFUNCTION("""COMPUTED_VALUE"""),98)</f>
        <v>98</v>
      </c>
      <c r="AE371" s="1">
        <f ca="1">IFERROR(__xludf.DUMMYFUNCTION("""COMPUTED_VALUE"""),394)</f>
        <v>394</v>
      </c>
      <c r="AF371" s="1">
        <f ca="1">IFERROR(__xludf.DUMMYFUNCTION("""COMPUTED_VALUE"""),572)</f>
        <v>572</v>
      </c>
    </row>
    <row r="372" spans="1:32" ht="12.5" x14ac:dyDescent="0.25">
      <c r="A372" s="1" t="str">
        <f ca="1">IFERROR(__xludf.DUMMYFUNCTION("""COMPUTED_VALUE"""),"WisconsinNCAA")</f>
        <v>WisconsinNCAA</v>
      </c>
      <c r="B372" s="1">
        <f ca="1">IFERROR(__xludf.DUMMYFUNCTION("""COMPUTED_VALUE"""),34)</f>
        <v>34</v>
      </c>
      <c r="C372" s="1">
        <f ca="1">IFERROR(__xludf.DUMMYFUNCTION("""COMPUTED_VALUE"""),25)</f>
        <v>25</v>
      </c>
      <c r="D372" s="1">
        <f ca="1">IFERROR(__xludf.DUMMYFUNCTION("""COMPUTED_VALUE"""),9)</f>
        <v>9</v>
      </c>
      <c r="E372" s="1">
        <f ca="1">IFERROR(__xludf.DUMMYFUNCTION("""COMPUTED_VALUE"""),0.735)</f>
        <v>0.73499999999999999</v>
      </c>
      <c r="F372" s="1">
        <f ca="1">IFERROR(__xludf.DUMMYFUNCTION("""COMPUTED_VALUE"""),18.77)</f>
        <v>18.77</v>
      </c>
      <c r="G372" s="1">
        <f ca="1">IFERROR(__xludf.DUMMYFUNCTION("""COMPUTED_VALUE"""),9.42)</f>
        <v>9.42</v>
      </c>
      <c r="H372" s="1">
        <f ca="1">IFERROR(__xludf.DUMMYFUNCTION("""COMPUTED_VALUE"""),13)</f>
        <v>13</v>
      </c>
      <c r="I372" s="1">
        <f ca="1">IFERROR(__xludf.DUMMYFUNCTION("""COMPUTED_VALUE"""),5)</f>
        <v>5</v>
      </c>
      <c r="J372" s="1">
        <f ca="1">IFERROR(__xludf.DUMMYFUNCTION("""COMPUTED_VALUE"""),16)</f>
        <v>16</v>
      </c>
      <c r="K372" s="1">
        <f ca="1">IFERROR(__xludf.DUMMYFUNCTION("""COMPUTED_VALUE"""),0)</f>
        <v>0</v>
      </c>
      <c r="L372" s="1">
        <f ca="1">IFERROR(__xludf.DUMMYFUNCTION("""COMPUTED_VALUE"""),5)</f>
        <v>5</v>
      </c>
      <c r="M372" s="1">
        <f ca="1">IFERROR(__xludf.DUMMYFUNCTION("""COMPUTED_VALUE"""),6)</f>
        <v>6</v>
      </c>
      <c r="N372" s="1">
        <f ca="1">IFERROR(__xludf.DUMMYFUNCTION("""COMPUTED_VALUE"""),2310)</f>
        <v>2310</v>
      </c>
      <c r="O372" s="1">
        <f ca="1">IFERROR(__xludf.DUMMYFUNCTION("""COMPUTED_VALUE"""),1992)</f>
        <v>1992</v>
      </c>
      <c r="P372" s="1">
        <f ca="1">IFERROR(__xludf.DUMMYFUNCTION("""COMPUTED_VALUE"""),1370)</f>
        <v>1370</v>
      </c>
      <c r="Q372" s="1">
        <f ca="1">IFERROR(__xludf.DUMMYFUNCTION("""COMPUTED_VALUE"""),798)</f>
        <v>798</v>
      </c>
      <c r="R372" s="1">
        <f ca="1">IFERROR(__xludf.DUMMYFUNCTION("""COMPUTED_VALUE"""),1808)</f>
        <v>1808</v>
      </c>
      <c r="S372" s="1">
        <f ca="1">IFERROR(__xludf.DUMMYFUNCTION("""COMPUTED_VALUE"""),0.441)</f>
        <v>0.441</v>
      </c>
      <c r="T372" s="1">
        <f ca="1">IFERROR(__xludf.DUMMYFUNCTION("""COMPUTED_VALUE"""),278)</f>
        <v>278</v>
      </c>
      <c r="U372" s="1">
        <f ca="1">IFERROR(__xludf.DUMMYFUNCTION("""COMPUTED_VALUE"""),744)</f>
        <v>744</v>
      </c>
      <c r="V372" s="1">
        <f ca="1">IFERROR(__xludf.DUMMYFUNCTION("""COMPUTED_VALUE"""),0.374)</f>
        <v>0.374</v>
      </c>
      <c r="W372" s="1">
        <f ca="1">IFERROR(__xludf.DUMMYFUNCTION("""COMPUTED_VALUE"""),436)</f>
        <v>436</v>
      </c>
      <c r="X372" s="1">
        <f ca="1">IFERROR(__xludf.DUMMYFUNCTION("""COMPUTED_VALUE"""),533)</f>
        <v>533</v>
      </c>
      <c r="Y372" s="1">
        <f ca="1">IFERROR(__xludf.DUMMYFUNCTION("""COMPUTED_VALUE"""),0.818)</f>
        <v>0.81799999999999995</v>
      </c>
      <c r="Z372" s="1">
        <f ca="1">IFERROR(__xludf.DUMMYFUNCTION("""COMPUTED_VALUE"""),355)</f>
        <v>355</v>
      </c>
      <c r="AA372" s="1">
        <f ca="1">IFERROR(__xludf.DUMMYFUNCTION("""COMPUTED_VALUE"""),1088)</f>
        <v>1088</v>
      </c>
      <c r="AB372" s="1">
        <f ca="1">IFERROR(__xludf.DUMMYFUNCTION("""COMPUTED_VALUE"""),442)</f>
        <v>442</v>
      </c>
      <c r="AC372" s="1">
        <f ca="1">IFERROR(__xludf.DUMMYFUNCTION("""COMPUTED_VALUE"""),121)</f>
        <v>121</v>
      </c>
      <c r="AD372" s="1">
        <f ca="1">IFERROR(__xludf.DUMMYFUNCTION("""COMPUTED_VALUE"""),105)</f>
        <v>105</v>
      </c>
      <c r="AE372" s="1">
        <f ca="1">IFERROR(__xludf.DUMMYFUNCTION("""COMPUTED_VALUE"""),258)</f>
        <v>258</v>
      </c>
      <c r="AF372" s="1">
        <f ca="1">IFERROR(__xludf.DUMMYFUNCTION("""COMPUTED_VALUE"""),522)</f>
        <v>522</v>
      </c>
    </row>
    <row r="373" spans="1:32" ht="12.5" x14ac:dyDescent="0.25">
      <c r="A373" s="1" t="str">
        <f ca="1">IFERROR(__xludf.DUMMYFUNCTION("""COMPUTED_VALUE"""),"WoffordNCAA")</f>
        <v>WoffordNCAA</v>
      </c>
      <c r="B373" s="1">
        <f ca="1">IFERROR(__xludf.DUMMYFUNCTION("""COMPUTED_VALUE"""),34)</f>
        <v>34</v>
      </c>
      <c r="C373" s="1">
        <f ca="1">IFERROR(__xludf.DUMMYFUNCTION("""COMPUTED_VALUE"""),21)</f>
        <v>21</v>
      </c>
      <c r="D373" s="1">
        <f ca="1">IFERROR(__xludf.DUMMYFUNCTION("""COMPUTED_VALUE"""),13)</f>
        <v>13</v>
      </c>
      <c r="E373" s="1">
        <f ca="1">IFERROR(__xludf.DUMMYFUNCTION("""COMPUTED_VALUE"""),0.618)</f>
        <v>0.61799999999999999</v>
      </c>
      <c r="F373" s="1">
        <f ca="1">IFERROR(__xludf.DUMMYFUNCTION("""COMPUTED_VALUE"""),4.35)</f>
        <v>4.3499999999999996</v>
      </c>
      <c r="G373" s="1">
        <f ca="1">IFERROR(__xludf.DUMMYFUNCTION("""COMPUTED_VALUE"""),-1.21)</f>
        <v>-1.21</v>
      </c>
      <c r="H373" s="1">
        <f ca="1">IFERROR(__xludf.DUMMYFUNCTION("""COMPUTED_VALUE"""),14)</f>
        <v>14</v>
      </c>
      <c r="I373" s="1">
        <f ca="1">IFERROR(__xludf.DUMMYFUNCTION("""COMPUTED_VALUE"""),4)</f>
        <v>4</v>
      </c>
      <c r="J373" s="1">
        <f ca="1">IFERROR(__xludf.DUMMYFUNCTION("""COMPUTED_VALUE"""),8)</f>
        <v>8</v>
      </c>
      <c r="K373" s="1">
        <f ca="1">IFERROR(__xludf.DUMMYFUNCTION("""COMPUTED_VALUE"""),4)</f>
        <v>4</v>
      </c>
      <c r="L373" s="1">
        <f ca="1">IFERROR(__xludf.DUMMYFUNCTION("""COMPUTED_VALUE"""),8)</f>
        <v>8</v>
      </c>
      <c r="M373" s="1">
        <f ca="1">IFERROR(__xludf.DUMMYFUNCTION("""COMPUTED_VALUE"""),6)</f>
        <v>6</v>
      </c>
      <c r="N373" s="1">
        <f ca="1">IFERROR(__xludf.DUMMYFUNCTION("""COMPUTED_VALUE"""),2502)</f>
        <v>2502</v>
      </c>
      <c r="O373" s="1">
        <f ca="1">IFERROR(__xludf.DUMMYFUNCTION("""COMPUTED_VALUE"""),2313)</f>
        <v>2313</v>
      </c>
      <c r="P373" s="1">
        <f ca="1">IFERROR(__xludf.DUMMYFUNCTION("""COMPUTED_VALUE"""),1390)</f>
        <v>1390</v>
      </c>
      <c r="Q373" s="1">
        <f ca="1">IFERROR(__xludf.DUMMYFUNCTION("""COMPUTED_VALUE"""),883)</f>
        <v>883</v>
      </c>
      <c r="R373" s="1">
        <f ca="1">IFERROR(__xludf.DUMMYFUNCTION("""COMPUTED_VALUE"""),1853)</f>
        <v>1853</v>
      </c>
      <c r="S373" s="1">
        <f ca="1">IFERROR(__xludf.DUMMYFUNCTION("""COMPUTED_VALUE"""),0.477)</f>
        <v>0.47699999999999998</v>
      </c>
      <c r="T373" s="1">
        <f ca="1">IFERROR(__xludf.DUMMYFUNCTION("""COMPUTED_VALUE"""),197)</f>
        <v>197</v>
      </c>
      <c r="U373" s="1">
        <f ca="1">IFERROR(__xludf.DUMMYFUNCTION("""COMPUTED_VALUE"""),493)</f>
        <v>493</v>
      </c>
      <c r="V373" s="1">
        <f ca="1">IFERROR(__xludf.DUMMYFUNCTION("""COMPUTED_VALUE"""),0.4)</f>
        <v>0.4</v>
      </c>
      <c r="W373" s="1">
        <f ca="1">IFERROR(__xludf.DUMMYFUNCTION("""COMPUTED_VALUE"""),539)</f>
        <v>539</v>
      </c>
      <c r="X373" s="1">
        <f ca="1">IFERROR(__xludf.DUMMYFUNCTION("""COMPUTED_VALUE"""),778)</f>
        <v>778</v>
      </c>
      <c r="Y373" s="1">
        <f ca="1">IFERROR(__xludf.DUMMYFUNCTION("""COMPUTED_VALUE"""),0.693)</f>
        <v>0.69299999999999995</v>
      </c>
      <c r="Z373" s="1">
        <f ca="1">IFERROR(__xludf.DUMMYFUNCTION("""COMPUTED_VALUE"""),372)</f>
        <v>372</v>
      </c>
      <c r="AA373" s="1">
        <f ca="1">IFERROR(__xludf.DUMMYFUNCTION("""COMPUTED_VALUE"""),1108)</f>
        <v>1108</v>
      </c>
      <c r="AB373" s="1">
        <f ca="1">IFERROR(__xludf.DUMMYFUNCTION("""COMPUTED_VALUE"""),487)</f>
        <v>487</v>
      </c>
      <c r="AC373" s="1">
        <f ca="1">IFERROR(__xludf.DUMMYFUNCTION("""COMPUTED_VALUE"""),227)</f>
        <v>227</v>
      </c>
      <c r="AD373" s="1">
        <f ca="1">IFERROR(__xludf.DUMMYFUNCTION("""COMPUTED_VALUE"""),86)</f>
        <v>86</v>
      </c>
      <c r="AE373" s="1">
        <f ca="1">IFERROR(__xludf.DUMMYFUNCTION("""COMPUTED_VALUE"""),404)</f>
        <v>404</v>
      </c>
      <c r="AF373" s="1">
        <f ca="1">IFERROR(__xludf.DUMMYFUNCTION("""COMPUTED_VALUE"""),654)</f>
        <v>654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IFERROR(__xludf.DUMMYFUNCTION("""COMPUTED_VALUE"""),"Wright State")</f>
        <v>Wright State</v>
      </c>
      <c r="B376" s="1">
        <f ca="1">IFERROR(__xludf.DUMMYFUNCTION("""COMPUTED_VALUE"""),33)</f>
        <v>33</v>
      </c>
      <c r="C376" s="1">
        <f ca="1">IFERROR(__xludf.DUMMYFUNCTION("""COMPUTED_VALUE"""),19)</f>
        <v>19</v>
      </c>
      <c r="D376" s="1">
        <f ca="1">IFERROR(__xludf.DUMMYFUNCTION("""COMPUTED_VALUE"""),14)</f>
        <v>14</v>
      </c>
      <c r="E376" s="1">
        <f ca="1">IFERROR(__xludf.DUMMYFUNCTION("""COMPUTED_VALUE"""),0.576)</f>
        <v>0.57599999999999996</v>
      </c>
      <c r="F376" s="1">
        <f ca="1">IFERROR(__xludf.DUMMYFUNCTION("""COMPUTED_VALUE"""),3.22)</f>
        <v>3.22</v>
      </c>
      <c r="G376" s="1">
        <f ca="1">IFERROR(__xludf.DUMMYFUNCTION("""COMPUTED_VALUE"""),1.45)</f>
        <v>1.45</v>
      </c>
      <c r="H376" s="1">
        <f ca="1">IFERROR(__xludf.DUMMYFUNCTION("""COMPUTED_VALUE"""),10)</f>
        <v>10</v>
      </c>
      <c r="I376" s="1">
        <f ca="1">IFERROR(__xludf.DUMMYFUNCTION("""COMPUTED_VALUE"""),8)</f>
        <v>8</v>
      </c>
      <c r="J376" s="1">
        <f ca="1">IFERROR(__xludf.DUMMYFUNCTION("""COMPUTED_VALUE"""),14)</f>
        <v>14</v>
      </c>
      <c r="K376" s="1">
        <f ca="1">IFERROR(__xludf.DUMMYFUNCTION("""COMPUTED_VALUE"""),3)</f>
        <v>3</v>
      </c>
      <c r="L376" s="1">
        <f ca="1">IFERROR(__xludf.DUMMYFUNCTION("""COMPUTED_VALUE"""),5)</f>
        <v>5</v>
      </c>
      <c r="M376" s="1">
        <f ca="1">IFERROR(__xludf.DUMMYFUNCTION("""COMPUTED_VALUE"""),8)</f>
        <v>8</v>
      </c>
      <c r="N376" s="1">
        <f ca="1">IFERROR(__xludf.DUMMYFUNCTION("""COMPUTED_VALUE"""),2123)</f>
        <v>2123</v>
      </c>
      <c r="O376" s="1">
        <f ca="1">IFERROR(__xludf.DUMMYFUNCTION("""COMPUTED_VALUE"""),2035)</f>
        <v>2035</v>
      </c>
      <c r="P376" s="1">
        <f ca="1">IFERROR(__xludf.DUMMYFUNCTION("""COMPUTED_VALUE"""),1320)</f>
        <v>1320</v>
      </c>
      <c r="Q376" s="1">
        <f ca="1">IFERROR(__xludf.DUMMYFUNCTION("""COMPUTED_VALUE"""),710)</f>
        <v>710</v>
      </c>
      <c r="R376" s="1">
        <f ca="1">IFERROR(__xludf.DUMMYFUNCTION("""COMPUTED_VALUE"""),1648)</f>
        <v>1648</v>
      </c>
      <c r="S376" s="1">
        <f ca="1">IFERROR(__xludf.DUMMYFUNCTION("""COMPUTED_VALUE"""),0.431)</f>
        <v>0.43099999999999999</v>
      </c>
      <c r="T376" s="1">
        <f ca="1">IFERROR(__xludf.DUMMYFUNCTION("""COMPUTED_VALUE"""),217)</f>
        <v>217</v>
      </c>
      <c r="U376" s="1">
        <f ca="1">IFERROR(__xludf.DUMMYFUNCTION("""COMPUTED_VALUE"""),607)</f>
        <v>607</v>
      </c>
      <c r="V376" s="1">
        <f ca="1">IFERROR(__xludf.DUMMYFUNCTION("""COMPUTED_VALUE"""),0.357)</f>
        <v>0.35699999999999998</v>
      </c>
      <c r="W376" s="1">
        <f ca="1">IFERROR(__xludf.DUMMYFUNCTION("""COMPUTED_VALUE"""),486)</f>
        <v>486</v>
      </c>
      <c r="X376" s="1">
        <f ca="1">IFERROR(__xludf.DUMMYFUNCTION("""COMPUTED_VALUE"""),649)</f>
        <v>649</v>
      </c>
      <c r="Y376" s="1">
        <f ca="1">IFERROR(__xludf.DUMMYFUNCTION("""COMPUTED_VALUE"""),0.749)</f>
        <v>0.749</v>
      </c>
      <c r="Z376" s="1">
        <f ca="1">IFERROR(__xludf.DUMMYFUNCTION("""COMPUTED_VALUE"""),257)</f>
        <v>257</v>
      </c>
      <c r="AA376" s="1">
        <f ca="1">IFERROR(__xludf.DUMMYFUNCTION("""COMPUTED_VALUE"""),898)</f>
        <v>898</v>
      </c>
      <c r="AB376" s="1">
        <f ca="1">IFERROR(__xludf.DUMMYFUNCTION("""COMPUTED_VALUE"""),337)</f>
        <v>337</v>
      </c>
      <c r="AC376" s="1">
        <f ca="1">IFERROR(__xludf.DUMMYFUNCTION("""COMPUTED_VALUE"""),205)</f>
        <v>205</v>
      </c>
      <c r="AD376" s="1">
        <f ca="1">IFERROR(__xludf.DUMMYFUNCTION("""COMPUTED_VALUE"""),35)</f>
        <v>35</v>
      </c>
      <c r="AE376" s="1">
        <f ca="1">IFERROR(__xludf.DUMMYFUNCTION("""COMPUTED_VALUE"""),356)</f>
        <v>356</v>
      </c>
      <c r="AF376" s="1">
        <f ca="1">IFERROR(__xludf.DUMMYFUNCTION("""COMPUTED_VALUE"""),621)</f>
        <v>621</v>
      </c>
    </row>
    <row r="377" spans="1:32" ht="12.5" x14ac:dyDescent="0.25">
      <c r="A377" s="1" t="str">
        <f ca="1">IFERROR(__xludf.DUMMYFUNCTION("""COMPUTED_VALUE"""),"Wyoming")</f>
        <v>Wyoming</v>
      </c>
      <c r="B377" s="1">
        <f ca="1">IFERROR(__xludf.DUMMYFUNCTION("""COMPUTED_VALUE"""),31)</f>
        <v>31</v>
      </c>
      <c r="C377" s="1">
        <f ca="1">IFERROR(__xludf.DUMMYFUNCTION("""COMPUTED_VALUE"""),10)</f>
        <v>10</v>
      </c>
      <c r="D377" s="1">
        <f ca="1">IFERROR(__xludf.DUMMYFUNCTION("""COMPUTED_VALUE"""),21)</f>
        <v>21</v>
      </c>
      <c r="E377" s="1">
        <f ca="1">IFERROR(__xludf.DUMMYFUNCTION("""COMPUTED_VALUE"""),0.323)</f>
        <v>0.32300000000000001</v>
      </c>
      <c r="F377" s="1">
        <f ca="1">IFERROR(__xludf.DUMMYFUNCTION("""COMPUTED_VALUE"""),-3.16)</f>
        <v>-3.16</v>
      </c>
      <c r="G377" s="1">
        <f ca="1">IFERROR(__xludf.DUMMYFUNCTION("""COMPUTED_VALUE"""),3.53)</f>
        <v>3.53</v>
      </c>
      <c r="H377" s="1">
        <f ca="1">IFERROR(__xludf.DUMMYFUNCTION("""COMPUTED_VALUE"""),3)</f>
        <v>3</v>
      </c>
      <c r="I377" s="1">
        <f ca="1">IFERROR(__xludf.DUMMYFUNCTION("""COMPUTED_VALUE"""),13)</f>
        <v>13</v>
      </c>
      <c r="J377" s="1">
        <f ca="1">IFERROR(__xludf.DUMMYFUNCTION("""COMPUTED_VALUE"""),10)</f>
        <v>10</v>
      </c>
      <c r="K377" s="1">
        <f ca="1">IFERROR(__xludf.DUMMYFUNCTION("""COMPUTED_VALUE"""),7)</f>
        <v>7</v>
      </c>
      <c r="L377" s="1">
        <f ca="1">IFERROR(__xludf.DUMMYFUNCTION("""COMPUTED_VALUE"""),0)</f>
        <v>0</v>
      </c>
      <c r="M377" s="1">
        <f ca="1">IFERROR(__xludf.DUMMYFUNCTION("""COMPUTED_VALUE"""),11)</f>
        <v>11</v>
      </c>
      <c r="N377" s="1">
        <f ca="1">IFERROR(__xludf.DUMMYFUNCTION("""COMPUTED_VALUE"""),2044)</f>
        <v>2044</v>
      </c>
      <c r="O377" s="1">
        <f ca="1">IFERROR(__xludf.DUMMYFUNCTION("""COMPUTED_VALUE"""),2161)</f>
        <v>2161</v>
      </c>
      <c r="P377" s="1">
        <f ca="1">IFERROR(__xludf.DUMMYFUNCTION("""COMPUTED_VALUE"""),1240)</f>
        <v>1240</v>
      </c>
      <c r="Q377" s="1">
        <f ca="1">IFERROR(__xludf.DUMMYFUNCTION("""COMPUTED_VALUE"""),720)</f>
        <v>720</v>
      </c>
      <c r="R377" s="1">
        <f ca="1">IFERROR(__xludf.DUMMYFUNCTION("""COMPUTED_VALUE"""),1671)</f>
        <v>1671</v>
      </c>
      <c r="S377" s="1">
        <f ca="1">IFERROR(__xludf.DUMMYFUNCTION("""COMPUTED_VALUE"""),0.431)</f>
        <v>0.43099999999999999</v>
      </c>
      <c r="T377" s="1">
        <f ca="1">IFERROR(__xludf.DUMMYFUNCTION("""COMPUTED_VALUE"""),155)</f>
        <v>155</v>
      </c>
      <c r="U377" s="1">
        <f ca="1">IFERROR(__xludf.DUMMYFUNCTION("""COMPUTED_VALUE"""),549)</f>
        <v>549</v>
      </c>
      <c r="V377" s="1">
        <f ca="1">IFERROR(__xludf.DUMMYFUNCTION("""COMPUTED_VALUE"""),0.282)</f>
        <v>0.28199999999999997</v>
      </c>
      <c r="W377" s="1">
        <f ca="1">IFERROR(__xludf.DUMMYFUNCTION("""COMPUTED_VALUE"""),449)</f>
        <v>449</v>
      </c>
      <c r="X377" s="1">
        <f ca="1">IFERROR(__xludf.DUMMYFUNCTION("""COMPUTED_VALUE"""),667)</f>
        <v>667</v>
      </c>
      <c r="Y377" s="1">
        <f ca="1">IFERROR(__xludf.DUMMYFUNCTION("""COMPUTED_VALUE"""),0.673)</f>
        <v>0.67300000000000004</v>
      </c>
      <c r="Z377" s="1">
        <f ca="1">IFERROR(__xludf.DUMMYFUNCTION("""COMPUTED_VALUE"""),310)</f>
        <v>310</v>
      </c>
      <c r="AA377" s="1">
        <f ca="1">IFERROR(__xludf.DUMMYFUNCTION("""COMPUTED_VALUE"""),1002)</f>
        <v>1002</v>
      </c>
      <c r="AB377" s="1">
        <f ca="1">IFERROR(__xludf.DUMMYFUNCTION("""COMPUTED_VALUE"""),324)</f>
        <v>324</v>
      </c>
      <c r="AC377" s="1">
        <f ca="1">IFERROR(__xludf.DUMMYFUNCTION("""COMPUTED_VALUE"""),233)</f>
        <v>233</v>
      </c>
      <c r="AD377" s="1">
        <f ca="1">IFERROR(__xludf.DUMMYFUNCTION("""COMPUTED_VALUE"""),117)</f>
        <v>117</v>
      </c>
      <c r="AE377" s="1">
        <f ca="1">IFERROR(__xludf.DUMMYFUNCTION("""COMPUTED_VALUE"""),436)</f>
        <v>436</v>
      </c>
      <c r="AF377" s="1">
        <f ca="1">IFERROR(__xludf.DUMMYFUNCTION("""COMPUTED_VALUE"""),567)</f>
        <v>567</v>
      </c>
    </row>
    <row r="378" spans="1:32" ht="12.5" x14ac:dyDescent="0.25">
      <c r="A378" s="1" t="str">
        <f ca="1">IFERROR(__xludf.DUMMYFUNCTION("""COMPUTED_VALUE"""),"XavierNCAA")</f>
        <v>XavierNCAA</v>
      </c>
      <c r="B378" s="1">
        <f ca="1">IFERROR(__xludf.DUMMYFUNCTION("""COMPUTED_VALUE"""),32)</f>
        <v>32</v>
      </c>
      <c r="C378" s="1">
        <f ca="1">IFERROR(__xludf.DUMMYFUNCTION("""COMPUTED_VALUE"""),24)</f>
        <v>24</v>
      </c>
      <c r="D378" s="1">
        <f ca="1">IFERROR(__xludf.DUMMYFUNCTION("""COMPUTED_VALUE"""),8)</f>
        <v>8</v>
      </c>
      <c r="E378" s="1">
        <f ca="1">IFERROR(__xludf.DUMMYFUNCTION("""COMPUTED_VALUE"""),0.75)</f>
        <v>0.75</v>
      </c>
      <c r="F378" s="1">
        <f ca="1">IFERROR(__xludf.DUMMYFUNCTION("""COMPUTED_VALUE"""),11.88)</f>
        <v>11.88</v>
      </c>
      <c r="G378" s="1">
        <f ca="1">IFERROR(__xludf.DUMMYFUNCTION("""COMPUTED_VALUE"""),4.41)</f>
        <v>4.41</v>
      </c>
      <c r="H378" s="1">
        <f ca="1">IFERROR(__xludf.DUMMYFUNCTION("""COMPUTED_VALUE"""),15)</f>
        <v>15</v>
      </c>
      <c r="I378" s="1">
        <f ca="1">IFERROR(__xludf.DUMMYFUNCTION("""COMPUTED_VALUE"""),1)</f>
        <v>1</v>
      </c>
      <c r="J378" s="1">
        <f ca="1">IFERROR(__xludf.DUMMYFUNCTION("""COMPUTED_VALUE"""),14)</f>
        <v>14</v>
      </c>
      <c r="K378" s="1">
        <f ca="1">IFERROR(__xludf.DUMMYFUNCTION("""COMPUTED_VALUE"""),1)</f>
        <v>1</v>
      </c>
      <c r="L378" s="1">
        <f ca="1">IFERROR(__xludf.DUMMYFUNCTION("""COMPUTED_VALUE"""),7)</f>
        <v>7</v>
      </c>
      <c r="M378" s="1">
        <f ca="1">IFERROR(__xludf.DUMMYFUNCTION("""COMPUTED_VALUE"""),4)</f>
        <v>4</v>
      </c>
      <c r="N378" s="1">
        <f ca="1">IFERROR(__xludf.DUMMYFUNCTION("""COMPUTED_VALUE"""),2306)</f>
        <v>2306</v>
      </c>
      <c r="O378" s="1">
        <f ca="1">IFERROR(__xludf.DUMMYFUNCTION("""COMPUTED_VALUE"""),2067)</f>
        <v>2067</v>
      </c>
      <c r="P378" s="1">
        <f ca="1">IFERROR(__xludf.DUMMYFUNCTION("""COMPUTED_VALUE"""),1300)</f>
        <v>1300</v>
      </c>
      <c r="Q378" s="1">
        <f ca="1">IFERROR(__xludf.DUMMYFUNCTION("""COMPUTED_VALUE"""),784)</f>
        <v>784</v>
      </c>
      <c r="R378" s="1">
        <f ca="1">IFERROR(__xludf.DUMMYFUNCTION("""COMPUTED_VALUE"""),1700)</f>
        <v>1700</v>
      </c>
      <c r="S378" s="1">
        <f ca="1">IFERROR(__xludf.DUMMYFUNCTION("""COMPUTED_VALUE"""),0.461)</f>
        <v>0.46100000000000002</v>
      </c>
      <c r="T378" s="1">
        <f ca="1">IFERROR(__xludf.DUMMYFUNCTION("""COMPUTED_VALUE"""),173)</f>
        <v>173</v>
      </c>
      <c r="U378" s="1">
        <f ca="1">IFERROR(__xludf.DUMMYFUNCTION("""COMPUTED_VALUE"""),526)</f>
        <v>526</v>
      </c>
      <c r="V378" s="1">
        <f ca="1">IFERROR(__xludf.DUMMYFUNCTION("""COMPUTED_VALUE"""),0.329)</f>
        <v>0.32900000000000001</v>
      </c>
      <c r="W378" s="1">
        <f ca="1">IFERROR(__xludf.DUMMYFUNCTION("""COMPUTED_VALUE"""),565)</f>
        <v>565</v>
      </c>
      <c r="X378" s="1">
        <f ca="1">IFERROR(__xludf.DUMMYFUNCTION("""COMPUTED_VALUE"""),756)</f>
        <v>756</v>
      </c>
      <c r="Y378" s="1">
        <f ca="1">IFERROR(__xludf.DUMMYFUNCTION("""COMPUTED_VALUE"""),0.747)</f>
        <v>0.747</v>
      </c>
      <c r="Z378" s="1">
        <f ca="1">IFERROR(__xludf.DUMMYFUNCTION("""COMPUTED_VALUE"""),328)</f>
        <v>328</v>
      </c>
      <c r="AA378" s="1">
        <f ca="1">IFERROR(__xludf.DUMMYFUNCTION("""COMPUTED_VALUE"""),1130)</f>
        <v>1130</v>
      </c>
      <c r="AB378" s="1">
        <f ca="1">IFERROR(__xludf.DUMMYFUNCTION("""COMPUTED_VALUE"""),424)</f>
        <v>424</v>
      </c>
      <c r="AC378" s="1">
        <f ca="1">IFERROR(__xludf.DUMMYFUNCTION("""COMPUTED_VALUE"""),174)</f>
        <v>174</v>
      </c>
      <c r="AD378" s="1">
        <f ca="1">IFERROR(__xludf.DUMMYFUNCTION("""COMPUTED_VALUE"""),98)</f>
        <v>98</v>
      </c>
      <c r="AE378" s="1">
        <f ca="1">IFERROR(__xludf.DUMMYFUNCTION("""COMPUTED_VALUE"""),386)</f>
        <v>386</v>
      </c>
      <c r="AF378" s="1">
        <f ca="1">IFERROR(__xludf.DUMMYFUNCTION("""COMPUTED_VALUE"""),551)</f>
        <v>551</v>
      </c>
    </row>
    <row r="379" spans="1:32" ht="12.5" x14ac:dyDescent="0.25">
      <c r="A379" s="1" t="str">
        <f ca="1">IFERROR(__xludf.DUMMYFUNCTION("""COMPUTED_VALUE"""),"Yale")</f>
        <v>Yale</v>
      </c>
      <c r="B379" s="1">
        <f ca="1">IFERROR(__xludf.DUMMYFUNCTION("""COMPUTED_VALUE"""),28)</f>
        <v>28</v>
      </c>
      <c r="C379" s="1">
        <f ca="1">IFERROR(__xludf.DUMMYFUNCTION("""COMPUTED_VALUE"""),15)</f>
        <v>15</v>
      </c>
      <c r="D379" s="1">
        <f ca="1">IFERROR(__xludf.DUMMYFUNCTION("""COMPUTED_VALUE"""),13)</f>
        <v>13</v>
      </c>
      <c r="E379" s="1">
        <f ca="1">IFERROR(__xludf.DUMMYFUNCTION("""COMPUTED_VALUE"""),0.536)</f>
        <v>0.53600000000000003</v>
      </c>
      <c r="F379" s="1">
        <f ca="1">IFERROR(__xludf.DUMMYFUNCTION("""COMPUTED_VALUE"""),-2.91)</f>
        <v>-2.91</v>
      </c>
      <c r="G379" s="1">
        <f ca="1">IFERROR(__xludf.DUMMYFUNCTION("""COMPUTED_VALUE"""),-2.72)</f>
        <v>-2.72</v>
      </c>
      <c r="H379" s="1">
        <f ca="1">IFERROR(__xludf.DUMMYFUNCTION("""COMPUTED_VALUE"""),8)</f>
        <v>8</v>
      </c>
      <c r="I379" s="1">
        <f ca="1">IFERROR(__xludf.DUMMYFUNCTION("""COMPUTED_VALUE"""),6)</f>
        <v>6</v>
      </c>
      <c r="J379" s="1">
        <f ca="1">IFERROR(__xludf.DUMMYFUNCTION("""COMPUTED_VALUE"""),9)</f>
        <v>9</v>
      </c>
      <c r="K379" s="1">
        <f ca="1">IFERROR(__xludf.DUMMYFUNCTION("""COMPUTED_VALUE"""),4)</f>
        <v>4</v>
      </c>
      <c r="L379" s="1">
        <f ca="1">IFERROR(__xludf.DUMMYFUNCTION("""COMPUTED_VALUE"""),6)</f>
        <v>6</v>
      </c>
      <c r="M379" s="1">
        <f ca="1">IFERROR(__xludf.DUMMYFUNCTION("""COMPUTED_VALUE"""),8)</f>
        <v>8</v>
      </c>
      <c r="N379" s="1">
        <f ca="1">IFERROR(__xludf.DUMMYFUNCTION("""COMPUTED_VALUE"""),1908)</f>
        <v>1908</v>
      </c>
      <c r="O379" s="1">
        <f ca="1">IFERROR(__xludf.DUMMYFUNCTION("""COMPUTED_VALUE"""),1885)</f>
        <v>1885</v>
      </c>
      <c r="P379" s="1">
        <f ca="1">IFERROR(__xludf.DUMMYFUNCTION("""COMPUTED_VALUE"""),1140)</f>
        <v>1140</v>
      </c>
      <c r="Q379" s="1">
        <f ca="1">IFERROR(__xludf.DUMMYFUNCTION("""COMPUTED_VALUE"""),654)</f>
        <v>654</v>
      </c>
      <c r="R379" s="1">
        <f ca="1">IFERROR(__xludf.DUMMYFUNCTION("""COMPUTED_VALUE"""),1483)</f>
        <v>1483</v>
      </c>
      <c r="S379" s="1">
        <f ca="1">IFERROR(__xludf.DUMMYFUNCTION("""COMPUTED_VALUE"""),0.441)</f>
        <v>0.441</v>
      </c>
      <c r="T379" s="1">
        <f ca="1">IFERROR(__xludf.DUMMYFUNCTION("""COMPUTED_VALUE"""),167)</f>
        <v>167</v>
      </c>
      <c r="U379" s="1">
        <f ca="1">IFERROR(__xludf.DUMMYFUNCTION("""COMPUTED_VALUE"""),487)</f>
        <v>487</v>
      </c>
      <c r="V379" s="1">
        <f ca="1">IFERROR(__xludf.DUMMYFUNCTION("""COMPUTED_VALUE"""),0.343)</f>
        <v>0.34300000000000003</v>
      </c>
      <c r="W379" s="1">
        <f ca="1">IFERROR(__xludf.DUMMYFUNCTION("""COMPUTED_VALUE"""),433)</f>
        <v>433</v>
      </c>
      <c r="X379" s="1">
        <f ca="1">IFERROR(__xludf.DUMMYFUNCTION("""COMPUTED_VALUE"""),589)</f>
        <v>589</v>
      </c>
      <c r="Y379" s="1">
        <f ca="1">IFERROR(__xludf.DUMMYFUNCTION("""COMPUTED_VALUE"""),0.735)</f>
        <v>0.73499999999999999</v>
      </c>
      <c r="Z379" s="1">
        <f ca="1">IFERROR(__xludf.DUMMYFUNCTION("""COMPUTED_VALUE"""),249)</f>
        <v>249</v>
      </c>
      <c r="AA379" s="1">
        <f ca="1">IFERROR(__xludf.DUMMYFUNCTION("""COMPUTED_VALUE"""),961)</f>
        <v>961</v>
      </c>
      <c r="AB379" s="1">
        <f ca="1">IFERROR(__xludf.DUMMYFUNCTION("""COMPUTED_VALUE"""),355)</f>
        <v>355</v>
      </c>
      <c r="AC379" s="1">
        <f ca="1">IFERROR(__xludf.DUMMYFUNCTION("""COMPUTED_VALUE"""),133)</f>
        <v>133</v>
      </c>
      <c r="AD379" s="1">
        <f ca="1">IFERROR(__xludf.DUMMYFUNCTION("""COMPUTED_VALUE"""),129)</f>
        <v>129</v>
      </c>
      <c r="AE379" s="1">
        <f ca="1">IFERROR(__xludf.DUMMYFUNCTION("""COMPUTED_VALUE"""),380)</f>
        <v>380</v>
      </c>
      <c r="AF379" s="1">
        <f ca="1">IFERROR(__xludf.DUMMYFUNCTION("""COMPUTED_VALUE"""),522)</f>
        <v>522</v>
      </c>
    </row>
    <row r="380" spans="1:32" ht="12.5" x14ac:dyDescent="0.25">
      <c r="A380" s="1" t="str">
        <f ca="1">IFERROR(__xludf.DUMMYFUNCTION("""COMPUTED_VALUE"""),"Youngstown State")</f>
        <v>Youngstown State</v>
      </c>
      <c r="B380" s="1">
        <f ca="1">IFERROR(__xludf.DUMMYFUNCTION("""COMPUTED_VALUE"""),30)</f>
        <v>30</v>
      </c>
      <c r="C380" s="1">
        <f ca="1">IFERROR(__xludf.DUMMYFUNCTION("""COMPUTED_VALUE"""),9)</f>
        <v>9</v>
      </c>
      <c r="D380" s="1">
        <f ca="1">IFERROR(__xludf.DUMMYFUNCTION("""COMPUTED_VALUE"""),21)</f>
        <v>21</v>
      </c>
      <c r="E380" s="1">
        <f ca="1">IFERROR(__xludf.DUMMYFUNCTION("""COMPUTED_VALUE"""),0.3)</f>
        <v>0.3</v>
      </c>
      <c r="F380" s="1">
        <f ca="1">IFERROR(__xludf.DUMMYFUNCTION("""COMPUTED_VALUE"""),-6.4)</f>
        <v>-6.4</v>
      </c>
      <c r="G380" s="1">
        <f ca="1">IFERROR(__xludf.DUMMYFUNCTION("""COMPUTED_VALUE"""),0.93)</f>
        <v>0.93</v>
      </c>
      <c r="H380" s="1">
        <f ca="1">IFERROR(__xludf.DUMMYFUNCTION("""COMPUTED_VALUE"""),2)</f>
        <v>2</v>
      </c>
      <c r="I380" s="1">
        <f ca="1">IFERROR(__xludf.DUMMYFUNCTION("""COMPUTED_VALUE"""),16)</f>
        <v>16</v>
      </c>
      <c r="J380" s="1">
        <f ca="1">IFERROR(__xludf.DUMMYFUNCTION("""COMPUTED_VALUE"""),9)</f>
        <v>9</v>
      </c>
      <c r="K380" s="1">
        <f ca="1">IFERROR(__xludf.DUMMYFUNCTION("""COMPUTED_VALUE"""),7)</f>
        <v>7</v>
      </c>
      <c r="L380" s="1">
        <f ca="1">IFERROR(__xludf.DUMMYFUNCTION("""COMPUTED_VALUE"""),0)</f>
        <v>0</v>
      </c>
      <c r="M380" s="1">
        <f ca="1">IFERROR(__xludf.DUMMYFUNCTION("""COMPUTED_VALUE"""),14)</f>
        <v>14</v>
      </c>
      <c r="N380" s="1">
        <f ca="1">IFERROR(__xludf.DUMMYFUNCTION("""COMPUTED_VALUE"""),2072)</f>
        <v>2072</v>
      </c>
      <c r="O380" s="1">
        <f ca="1">IFERROR(__xludf.DUMMYFUNCTION("""COMPUTED_VALUE"""),2226)</f>
        <v>2226</v>
      </c>
      <c r="P380" s="1">
        <f ca="1">IFERROR(__xludf.DUMMYFUNCTION("""COMPUTED_VALUE"""),1215)</f>
        <v>1215</v>
      </c>
      <c r="Q380" s="1">
        <f ca="1">IFERROR(__xludf.DUMMYFUNCTION("""COMPUTED_VALUE"""),756)</f>
        <v>756</v>
      </c>
      <c r="R380" s="1">
        <f ca="1">IFERROR(__xludf.DUMMYFUNCTION("""COMPUTED_VALUE"""),1823)</f>
        <v>1823</v>
      </c>
      <c r="S380" s="1">
        <f ca="1">IFERROR(__xludf.DUMMYFUNCTION("""COMPUTED_VALUE"""),0.415)</f>
        <v>0.41499999999999998</v>
      </c>
      <c r="T380" s="1">
        <f ca="1">IFERROR(__xludf.DUMMYFUNCTION("""COMPUTED_VALUE"""),235)</f>
        <v>235</v>
      </c>
      <c r="U380" s="1">
        <f ca="1">IFERROR(__xludf.DUMMYFUNCTION("""COMPUTED_VALUE"""),708)</f>
        <v>708</v>
      </c>
      <c r="V380" s="1">
        <f ca="1">IFERROR(__xludf.DUMMYFUNCTION("""COMPUTED_VALUE"""),0.332)</f>
        <v>0.33200000000000002</v>
      </c>
      <c r="W380" s="1">
        <f ca="1">IFERROR(__xludf.DUMMYFUNCTION("""COMPUTED_VALUE"""),325)</f>
        <v>325</v>
      </c>
      <c r="X380" s="1">
        <f ca="1">IFERROR(__xludf.DUMMYFUNCTION("""COMPUTED_VALUE"""),533)</f>
        <v>533</v>
      </c>
      <c r="Y380" s="1">
        <f ca="1">IFERROR(__xludf.DUMMYFUNCTION("""COMPUTED_VALUE"""),0.61)</f>
        <v>0.61</v>
      </c>
      <c r="Z380" s="1">
        <f ca="1">IFERROR(__xludf.DUMMYFUNCTION("""COMPUTED_VALUE"""),323)</f>
        <v>323</v>
      </c>
      <c r="AA380" s="1">
        <f ca="1">IFERROR(__xludf.DUMMYFUNCTION("""COMPUTED_VALUE"""),1032)</f>
        <v>1032</v>
      </c>
      <c r="AB380" s="1">
        <f ca="1">IFERROR(__xludf.DUMMYFUNCTION("""COMPUTED_VALUE"""),454)</f>
        <v>454</v>
      </c>
      <c r="AC380" s="1">
        <f ca="1">IFERROR(__xludf.DUMMYFUNCTION("""COMPUTED_VALUE"""),186)</f>
        <v>186</v>
      </c>
      <c r="AD380" s="1">
        <f ca="1">IFERROR(__xludf.DUMMYFUNCTION("""COMPUTED_VALUE"""),148)</f>
        <v>148</v>
      </c>
      <c r="AE380" s="1">
        <f ca="1">IFERROR(__xludf.DUMMYFUNCTION("""COMPUTED_VALUE"""),359)</f>
        <v>359</v>
      </c>
      <c r="AF380" s="1">
        <f ca="1">IFERROR(__xludf.DUMMYFUNCTION("""COMPUTED_VALUE"""),607)</f>
        <v>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F382"/>
  <sheetViews>
    <sheetView workbookViewId="0">
      <selection activeCell="P1" sqref="P1:P1048576"/>
    </sheetView>
  </sheetViews>
  <sheetFormatPr defaultColWidth="14.453125" defaultRowHeight="15.75" customHeight="1" x14ac:dyDescent="0.25"/>
  <sheetData>
    <row r="1" spans="1:32" ht="15.75" customHeight="1" x14ac:dyDescent="0.25">
      <c r="A1" s="1" t="str">
        <f ca="1">IFERROR(__xludf.DUMMYFUNCTION("""COMPUTED_VALUE"""),"School")</f>
        <v>School</v>
      </c>
      <c r="B1" s="1" t="str">
        <f ca="1">IFERROR(__xludf.DUMMYFUNCTION("""COMPUTED_VALUE"""),"G")</f>
        <v>G</v>
      </c>
      <c r="C1" s="1" t="str">
        <f ca="1">IFERROR(__xludf.DUMMYFUNCTION("""COMPUTED_VALUE"""),"W")</f>
        <v>W</v>
      </c>
      <c r="D1" s="1" t="str">
        <f ca="1">IFERROR(__xludf.DUMMYFUNCTION("""COMPUTED_VALUE"""),"L")</f>
        <v>L</v>
      </c>
      <c r="E1" s="1" t="str">
        <f ca="1">IFERROR(__xludf.DUMMYFUNCTION("""COMPUTED_VALUE"""),"W-L%")</f>
        <v>W-L%</v>
      </c>
      <c r="F1" s="1" t="str">
        <f ca="1">IFERROR(__xludf.DUMMYFUNCTION("""COMPUTED_VALUE"""),"SRS")</f>
        <v>SRS</v>
      </c>
      <c r="G1" s="1" t="str">
        <f ca="1">IFERROR(__xludf.DUMMYFUNCTION("""COMPUTED_VALUE"""),"SOS")</f>
        <v>SOS</v>
      </c>
      <c r="H1" s="1" t="str">
        <f ca="1">IFERROR(__xludf.DUMMYFUNCTION("""COMPUTED_VALUE"""),"W")</f>
        <v>W</v>
      </c>
      <c r="I1" s="1" t="str">
        <f ca="1">IFERROR(__xludf.DUMMYFUNCTION("""COMPUTED_VALUE"""),"L")</f>
        <v>L</v>
      </c>
      <c r="J1" s="1" t="str">
        <f ca="1">IFERROR(__xludf.DUMMYFUNCTION("""COMPUTED_VALUE"""),"W")</f>
        <v>W</v>
      </c>
      <c r="K1" s="1" t="str">
        <f ca="1">IFERROR(__xludf.DUMMYFUNCTION("""COMPUTED_VALUE"""),"L")</f>
        <v>L</v>
      </c>
      <c r="L1" s="1" t="str">
        <f ca="1">IFERROR(__xludf.DUMMYFUNCTION("""COMPUTED_VALUE"""),"W")</f>
        <v>W</v>
      </c>
      <c r="M1" s="1" t="str">
        <f ca="1">IFERROR(__xludf.DUMMYFUNCTION("""COMPUTED_VALUE"""),"L")</f>
        <v>L</v>
      </c>
      <c r="N1" s="1" t="str">
        <f ca="1">IFERROR(__xludf.DUMMYFUNCTION("""COMPUTED_VALUE"""),"Tm.")</f>
        <v>Tm.</v>
      </c>
      <c r="O1" s="1" t="str">
        <f ca="1">IFERROR(__xludf.DUMMYFUNCTION("""COMPUTED_VALUE"""),"Opp.")</f>
        <v>Opp.</v>
      </c>
      <c r="P1" s="1" t="str">
        <f ca="1">IFERROR(__xludf.DUMMYFUNCTION("""COMPUTED_VALUE"""),"MP")</f>
        <v>MP</v>
      </c>
      <c r="Q1" s="1" t="str">
        <f ca="1">IFERROR(__xludf.DUMMYFUNCTION("""COMPUTED_VALUE"""),"FG")</f>
        <v>FG</v>
      </c>
      <c r="R1" s="1" t="str">
        <f ca="1">IFERROR(__xludf.DUMMYFUNCTION("""COMPUTED_VALUE"""),"FGA")</f>
        <v>FGA</v>
      </c>
      <c r="S1" s="1" t="str">
        <f ca="1">IFERROR(__xludf.DUMMYFUNCTION("""COMPUTED_VALUE"""),"FG%")</f>
        <v>FG%</v>
      </c>
      <c r="T1" s="1" t="str">
        <f ca="1">IFERROR(__xludf.DUMMYFUNCTION("""COMPUTED_VALUE"""),"3P")</f>
        <v>3P</v>
      </c>
      <c r="U1" s="1" t="str">
        <f ca="1">IFERROR(__xludf.DUMMYFUNCTION("""COMPUTED_VALUE"""),"3PA")</f>
        <v>3PA</v>
      </c>
      <c r="V1" s="1" t="str">
        <f ca="1">IFERROR(__xludf.DUMMYFUNCTION("""COMPUTED_VALUE"""),"3P%")</f>
        <v>3P%</v>
      </c>
      <c r="W1" s="1" t="str">
        <f ca="1">IFERROR(__xludf.DUMMYFUNCTION("""COMPUTED_VALUE"""),"FT")</f>
        <v>FT</v>
      </c>
      <c r="X1" s="1" t="str">
        <f ca="1">IFERROR(__xludf.DUMMYFUNCTION("""COMPUTED_VALUE"""),"FTA")</f>
        <v>FTA</v>
      </c>
      <c r="Y1" s="1" t="str">
        <f ca="1">IFERROR(__xludf.DUMMYFUNCTION("""COMPUTED_VALUE"""),"FT%")</f>
        <v>FT%</v>
      </c>
      <c r="Z1" s="1" t="str">
        <f ca="1">IFERROR(__xludf.DUMMYFUNCTION("""COMPUTED_VALUE"""),"ORB")</f>
        <v>ORB</v>
      </c>
      <c r="AA1" s="1" t="str">
        <f ca="1">IFERROR(__xludf.DUMMYFUNCTION("""COMPUTED_VALUE"""),"TRB")</f>
        <v>TRB</v>
      </c>
      <c r="AB1" s="1" t="str">
        <f ca="1">IFERROR(__xludf.DUMMYFUNCTION("""COMPUTED_VALUE"""),"AST")</f>
        <v>AST</v>
      </c>
      <c r="AC1" s="1" t="str">
        <f ca="1">IFERROR(__xludf.DUMMYFUNCTION("""COMPUTED_VALUE"""),"STL")</f>
        <v>STL</v>
      </c>
      <c r="AD1" s="1" t="str">
        <f ca="1">IFERROR(__xludf.DUMMYFUNCTION("""COMPUTED_VALUE"""),"BLK")</f>
        <v>BLK</v>
      </c>
      <c r="AE1" s="1" t="str">
        <f ca="1">IFERROR(__xludf.DUMMYFUNCTION("""COMPUTED_VALUE"""),"TOV")</f>
        <v>TOV</v>
      </c>
      <c r="AF1" s="1" t="str">
        <f ca="1">IFERROR(__xludf.DUMMYFUNCTION("""COMPUTED_VALUE"""),"PF")</f>
        <v>PF</v>
      </c>
    </row>
    <row r="2" spans="1:32" ht="15.75" customHeight="1" x14ac:dyDescent="0.25">
      <c r="A2" s="1" t="str">
        <f ca="1">IFERROR(__xludf.DUMMYFUNCTION("""COMPUTED_VALUE"""),"Air Force")</f>
        <v>Air Force</v>
      </c>
      <c r="B2" s="1">
        <f ca="1">IFERROR(__xludf.DUMMYFUNCTION("""COMPUTED_VALUE"""),31)</f>
        <v>31</v>
      </c>
      <c r="C2" s="1">
        <f ca="1">IFERROR(__xludf.DUMMYFUNCTION("""COMPUTED_VALUE"""),10)</f>
        <v>10</v>
      </c>
      <c r="D2" s="1">
        <f ca="1">IFERROR(__xludf.DUMMYFUNCTION("""COMPUTED_VALUE"""),21)</f>
        <v>21</v>
      </c>
      <c r="E2" s="1">
        <f ca="1">IFERROR(__xludf.DUMMYFUNCTION("""COMPUTED_VALUE"""),0.323)</f>
        <v>0.32300000000000001</v>
      </c>
      <c r="F2" s="1">
        <f ca="1">IFERROR(__xludf.DUMMYFUNCTION("""COMPUTED_VALUE"""),-4.9)</f>
        <v>-4.9000000000000004</v>
      </c>
      <c r="G2" s="1">
        <f ca="1">IFERROR(__xludf.DUMMYFUNCTION("""COMPUTED_VALUE"""),3.13)</f>
        <v>3.13</v>
      </c>
      <c r="H2" s="1">
        <f ca="1">IFERROR(__xludf.DUMMYFUNCTION("""COMPUTED_VALUE"""),1)</f>
        <v>1</v>
      </c>
      <c r="I2" s="1">
        <f ca="1">IFERROR(__xludf.DUMMYFUNCTION("""COMPUTED_VALUE"""),15)</f>
        <v>15</v>
      </c>
      <c r="J2" s="1">
        <f ca="1">IFERROR(__xludf.DUMMYFUNCTION("""COMPUTED_VALUE"""),8)</f>
        <v>8</v>
      </c>
      <c r="K2" s="1">
        <f ca="1">IFERROR(__xludf.DUMMYFUNCTION("""COMPUTED_VALUE"""),10)</f>
        <v>10</v>
      </c>
      <c r="L2" s="1">
        <f ca="1">IFERROR(__xludf.DUMMYFUNCTION("""COMPUTED_VALUE"""),0)</f>
        <v>0</v>
      </c>
      <c r="M2" s="1">
        <f ca="1">IFERROR(__xludf.DUMMYFUNCTION("""COMPUTED_VALUE"""),10)</f>
        <v>10</v>
      </c>
      <c r="N2" s="1">
        <f ca="1">IFERROR(__xludf.DUMMYFUNCTION("""COMPUTED_VALUE"""),1773)</f>
        <v>1773</v>
      </c>
      <c r="O2" s="1">
        <f ca="1">IFERROR(__xludf.DUMMYFUNCTION("""COMPUTED_VALUE"""),1957)</f>
        <v>1957</v>
      </c>
      <c r="P2" s="1">
        <f ca="1">IFERROR(__xludf.DUMMYFUNCTION("""COMPUTED_VALUE"""),1240)</f>
        <v>1240</v>
      </c>
      <c r="Q2" s="1">
        <f ca="1">IFERROR(__xludf.DUMMYFUNCTION("""COMPUTED_VALUE"""),632)</f>
        <v>632</v>
      </c>
      <c r="R2" s="1">
        <f ca="1">IFERROR(__xludf.DUMMYFUNCTION("""COMPUTED_VALUE"""),1428)</f>
        <v>1428</v>
      </c>
      <c r="S2" s="1">
        <f ca="1">IFERROR(__xludf.DUMMYFUNCTION("""COMPUTED_VALUE"""),0.443)</f>
        <v>0.443</v>
      </c>
      <c r="T2" s="1">
        <f ca="1">IFERROR(__xludf.DUMMYFUNCTION("""COMPUTED_VALUE"""),176)</f>
        <v>176</v>
      </c>
      <c r="U2" s="1">
        <f ca="1">IFERROR(__xludf.DUMMYFUNCTION("""COMPUTED_VALUE"""),562)</f>
        <v>562</v>
      </c>
      <c r="V2" s="1">
        <f ca="1">IFERROR(__xludf.DUMMYFUNCTION("""COMPUTED_VALUE"""),0.313)</f>
        <v>0.313</v>
      </c>
      <c r="W2" s="1">
        <f ca="1">IFERROR(__xludf.DUMMYFUNCTION("""COMPUTED_VALUE"""),333)</f>
        <v>333</v>
      </c>
      <c r="X2" s="1">
        <f ca="1">IFERROR(__xludf.DUMMYFUNCTION("""COMPUTED_VALUE"""),524)</f>
        <v>524</v>
      </c>
      <c r="Y2" s="1">
        <f ca="1">IFERROR(__xludf.DUMMYFUNCTION("""COMPUTED_VALUE"""),0.635)</f>
        <v>0.63500000000000001</v>
      </c>
      <c r="Z2" s="1">
        <f ca="1">IFERROR(__xludf.DUMMYFUNCTION("""COMPUTED_VALUE"""),220)</f>
        <v>220</v>
      </c>
      <c r="AA2" s="1">
        <f ca="1">IFERROR(__xludf.DUMMYFUNCTION("""COMPUTED_VALUE"""),851)</f>
        <v>851</v>
      </c>
      <c r="AB2" s="1">
        <f ca="1">IFERROR(__xludf.DUMMYFUNCTION("""COMPUTED_VALUE"""),389)</f>
        <v>389</v>
      </c>
      <c r="AC2" s="1">
        <f ca="1">IFERROR(__xludf.DUMMYFUNCTION("""COMPUTED_VALUE"""),155)</f>
        <v>155</v>
      </c>
      <c r="AD2" s="1">
        <f ca="1">IFERROR(__xludf.DUMMYFUNCTION("""COMPUTED_VALUE"""),51)</f>
        <v>51</v>
      </c>
      <c r="AE2" s="1">
        <f ca="1">IFERROR(__xludf.DUMMYFUNCTION("""COMPUTED_VALUE"""),394)</f>
        <v>394</v>
      </c>
      <c r="AF2" s="1">
        <f ca="1">IFERROR(__xludf.DUMMYFUNCTION("""COMPUTED_VALUE"""),547)</f>
        <v>547</v>
      </c>
    </row>
    <row r="3" spans="1:32" ht="15.75" customHeight="1" x14ac:dyDescent="0.25">
      <c r="A3" s="1" t="str">
        <f ca="1">IFERROR(__xludf.DUMMYFUNCTION("""COMPUTED_VALUE"""),"Akron")</f>
        <v>Akron</v>
      </c>
      <c r="B3" s="1">
        <f ca="1">IFERROR(__xludf.DUMMYFUNCTION("""COMPUTED_VALUE"""),35)</f>
        <v>35</v>
      </c>
      <c r="C3" s="1">
        <f ca="1">IFERROR(__xludf.DUMMYFUNCTION("""COMPUTED_VALUE"""),24)</f>
        <v>24</v>
      </c>
      <c r="D3" s="1">
        <f ca="1">IFERROR(__xludf.DUMMYFUNCTION("""COMPUTED_VALUE"""),11)</f>
        <v>11</v>
      </c>
      <c r="E3" s="1">
        <f ca="1">IFERROR(__xludf.DUMMYFUNCTION("""COMPUTED_VALUE"""),0.686)</f>
        <v>0.68600000000000005</v>
      </c>
      <c r="F3" s="1">
        <f ca="1">IFERROR(__xludf.DUMMYFUNCTION("""COMPUTED_VALUE"""),2.82)</f>
        <v>2.82</v>
      </c>
      <c r="G3" s="1">
        <f ca="1">IFERROR(__xludf.DUMMYFUNCTION("""COMPUTED_VALUE"""),-1.5)</f>
        <v>-1.5</v>
      </c>
      <c r="H3" s="1">
        <f ca="1">IFERROR(__xludf.DUMMYFUNCTION("""COMPUTED_VALUE"""),12)</f>
        <v>12</v>
      </c>
      <c r="I3" s="1">
        <f ca="1">IFERROR(__xludf.DUMMYFUNCTION("""COMPUTED_VALUE"""),4)</f>
        <v>4</v>
      </c>
      <c r="J3" s="1">
        <f ca="1">IFERROR(__xludf.DUMMYFUNCTION("""COMPUTED_VALUE"""),13)</f>
        <v>13</v>
      </c>
      <c r="K3" s="1">
        <f ca="1">IFERROR(__xludf.DUMMYFUNCTION("""COMPUTED_VALUE"""),5)</f>
        <v>5</v>
      </c>
      <c r="L3" s="1">
        <f ca="1">IFERROR(__xludf.DUMMYFUNCTION("""COMPUTED_VALUE"""),7)</f>
        <v>7</v>
      </c>
      <c r="M3" s="1">
        <f ca="1">IFERROR(__xludf.DUMMYFUNCTION("""COMPUTED_VALUE"""),4)</f>
        <v>4</v>
      </c>
      <c r="N3" s="1">
        <f ca="1">IFERROR(__xludf.DUMMYFUNCTION("""COMPUTED_VALUE"""),2472)</f>
        <v>2472</v>
      </c>
      <c r="O3" s="1">
        <f ca="1">IFERROR(__xludf.DUMMYFUNCTION("""COMPUTED_VALUE"""),2293)</f>
        <v>2293</v>
      </c>
      <c r="P3" s="1">
        <f ca="1">IFERROR(__xludf.DUMMYFUNCTION("""COMPUTED_VALUE"""),1430)</f>
        <v>1430</v>
      </c>
      <c r="Q3" s="1">
        <f ca="1">IFERROR(__xludf.DUMMYFUNCTION("""COMPUTED_VALUE"""),877)</f>
        <v>877</v>
      </c>
      <c r="R3" s="1">
        <f ca="1">IFERROR(__xludf.DUMMYFUNCTION("""COMPUTED_VALUE"""),2024)</f>
        <v>2024</v>
      </c>
      <c r="S3" s="1">
        <f ca="1">IFERROR(__xludf.DUMMYFUNCTION("""COMPUTED_VALUE"""),0.433)</f>
        <v>0.433</v>
      </c>
      <c r="T3" s="1">
        <f ca="1">IFERROR(__xludf.DUMMYFUNCTION("""COMPUTED_VALUE"""),235)</f>
        <v>235</v>
      </c>
      <c r="U3" s="1">
        <f ca="1">IFERROR(__xludf.DUMMYFUNCTION("""COMPUTED_VALUE"""),694)</f>
        <v>694</v>
      </c>
      <c r="V3" s="1">
        <f ca="1">IFERROR(__xludf.DUMMYFUNCTION("""COMPUTED_VALUE"""),0.339)</f>
        <v>0.33900000000000002</v>
      </c>
      <c r="W3" s="1">
        <f ca="1">IFERROR(__xludf.DUMMYFUNCTION("""COMPUTED_VALUE"""),483)</f>
        <v>483</v>
      </c>
      <c r="X3" s="1">
        <f ca="1">IFERROR(__xludf.DUMMYFUNCTION("""COMPUTED_VALUE"""),735)</f>
        <v>735</v>
      </c>
      <c r="Y3" s="1">
        <f ca="1">IFERROR(__xludf.DUMMYFUNCTION("""COMPUTED_VALUE"""),0.657)</f>
        <v>0.65700000000000003</v>
      </c>
      <c r="Z3" s="1">
        <f ca="1">IFERROR(__xludf.DUMMYFUNCTION("""COMPUTED_VALUE"""),467)</f>
        <v>467</v>
      </c>
      <c r="AA3" s="1">
        <f ca="1">IFERROR(__xludf.DUMMYFUNCTION("""COMPUTED_VALUE"""),1269)</f>
        <v>1269</v>
      </c>
      <c r="AB3" s="1">
        <f ca="1">IFERROR(__xludf.DUMMYFUNCTION("""COMPUTED_VALUE"""),473)</f>
        <v>473</v>
      </c>
      <c r="AC3" s="1">
        <f ca="1">IFERROR(__xludf.DUMMYFUNCTION("""COMPUTED_VALUE"""),213)</f>
        <v>213</v>
      </c>
      <c r="AD3" s="1">
        <f ca="1">IFERROR(__xludf.DUMMYFUNCTION("""COMPUTED_VALUE"""),114)</f>
        <v>114</v>
      </c>
      <c r="AE3" s="1">
        <f ca="1">IFERROR(__xludf.DUMMYFUNCTION("""COMPUTED_VALUE"""),464)</f>
        <v>464</v>
      </c>
      <c r="AF3" s="1">
        <f ca="1">IFERROR(__xludf.DUMMYFUNCTION("""COMPUTED_VALUE"""),682)</f>
        <v>682</v>
      </c>
    </row>
    <row r="4" spans="1:32" ht="15.75" customHeight="1" x14ac:dyDescent="0.25">
      <c r="A4" s="1" t="str">
        <f ca="1">IFERROR(__xludf.DUMMYFUNCTION("""COMPUTED_VALUE"""),"Alabama A&amp;M")</f>
        <v>Alabama A&amp;M</v>
      </c>
      <c r="B4" s="1">
        <f ca="1">IFERROR(__xludf.DUMMYFUNCTION("""COMPUTED_VALUE"""),27)</f>
        <v>27</v>
      </c>
      <c r="C4" s="1">
        <f ca="1">IFERROR(__xludf.DUMMYFUNCTION("""COMPUTED_VALUE"""),11)</f>
        <v>11</v>
      </c>
      <c r="D4" s="1">
        <f ca="1">IFERROR(__xludf.DUMMYFUNCTION("""COMPUTED_VALUE"""),16)</f>
        <v>16</v>
      </c>
      <c r="E4" s="1">
        <f ca="1">IFERROR(__xludf.DUMMYFUNCTION("""COMPUTED_VALUE"""),0.407)</f>
        <v>0.40699999999999997</v>
      </c>
      <c r="F4" s="1">
        <f ca="1">IFERROR(__xludf.DUMMYFUNCTION("""COMPUTED_VALUE"""),-20.19)</f>
        <v>-20.190000000000001</v>
      </c>
      <c r="G4" s="1">
        <f ca="1">IFERROR(__xludf.DUMMYFUNCTION("""COMPUTED_VALUE"""),-13.71)</f>
        <v>-13.71</v>
      </c>
      <c r="H4" s="1">
        <f ca="1">IFERROR(__xludf.DUMMYFUNCTION("""COMPUTED_VALUE"""),8)</f>
        <v>8</v>
      </c>
      <c r="I4" s="1">
        <f ca="1">IFERROR(__xludf.DUMMYFUNCTION("""COMPUTED_VALUE"""),10)</f>
        <v>10</v>
      </c>
      <c r="J4" s="1">
        <f ca="1">IFERROR(__xludf.DUMMYFUNCTION("""COMPUTED_VALUE"""),8)</f>
        <v>8</v>
      </c>
      <c r="K4" s="1">
        <f ca="1">IFERROR(__xludf.DUMMYFUNCTION("""COMPUTED_VALUE"""),5)</f>
        <v>5</v>
      </c>
      <c r="L4" s="1">
        <f ca="1">IFERROR(__xludf.DUMMYFUNCTION("""COMPUTED_VALUE"""),3)</f>
        <v>3</v>
      </c>
      <c r="M4" s="1">
        <f ca="1">IFERROR(__xludf.DUMMYFUNCTION("""COMPUTED_VALUE"""),9)</f>
        <v>9</v>
      </c>
      <c r="N4" s="1">
        <f ca="1">IFERROR(__xludf.DUMMYFUNCTION("""COMPUTED_VALUE"""),1778)</f>
        <v>1778</v>
      </c>
      <c r="O4" s="1">
        <f ca="1">IFERROR(__xludf.DUMMYFUNCTION("""COMPUTED_VALUE"""),1881)</f>
        <v>1881</v>
      </c>
      <c r="P4" s="1">
        <f ca="1">IFERROR(__xludf.DUMMYFUNCTION("""COMPUTED_VALUE"""),1085)</f>
        <v>1085</v>
      </c>
      <c r="Q4" s="1">
        <f ca="1">IFERROR(__xludf.DUMMYFUNCTION("""COMPUTED_VALUE"""),599)</f>
        <v>599</v>
      </c>
      <c r="R4" s="1">
        <f ca="1">IFERROR(__xludf.DUMMYFUNCTION("""COMPUTED_VALUE"""),1568)</f>
        <v>1568</v>
      </c>
      <c r="S4" s="1">
        <f ca="1">IFERROR(__xludf.DUMMYFUNCTION("""COMPUTED_VALUE"""),0.382)</f>
        <v>0.38200000000000001</v>
      </c>
      <c r="T4" s="1">
        <f ca="1">IFERROR(__xludf.DUMMYFUNCTION("""COMPUTED_VALUE"""),108)</f>
        <v>108</v>
      </c>
      <c r="U4" s="1">
        <f ca="1">IFERROR(__xludf.DUMMYFUNCTION("""COMPUTED_VALUE"""),371)</f>
        <v>371</v>
      </c>
      <c r="V4" s="1">
        <f ca="1">IFERROR(__xludf.DUMMYFUNCTION("""COMPUTED_VALUE"""),0.291)</f>
        <v>0.29099999999999998</v>
      </c>
      <c r="W4" s="1">
        <f ca="1">IFERROR(__xludf.DUMMYFUNCTION("""COMPUTED_VALUE"""),472)</f>
        <v>472</v>
      </c>
      <c r="X4" s="1">
        <f ca="1">IFERROR(__xludf.DUMMYFUNCTION("""COMPUTED_VALUE"""),743)</f>
        <v>743</v>
      </c>
      <c r="Y4" s="1">
        <f ca="1">IFERROR(__xludf.DUMMYFUNCTION("""COMPUTED_VALUE"""),0.635)</f>
        <v>0.63500000000000001</v>
      </c>
      <c r="Z4" s="1">
        <f ca="1">IFERROR(__xludf.DUMMYFUNCTION("""COMPUTED_VALUE"""),376)</f>
        <v>376</v>
      </c>
      <c r="AA4" s="1">
        <f ca="1">IFERROR(__xludf.DUMMYFUNCTION("""COMPUTED_VALUE"""),1004)</f>
        <v>1004</v>
      </c>
      <c r="AB4" s="1">
        <f ca="1">IFERROR(__xludf.DUMMYFUNCTION("""COMPUTED_VALUE"""),288)</f>
        <v>288</v>
      </c>
      <c r="AC4" s="1">
        <f ca="1">IFERROR(__xludf.DUMMYFUNCTION("""COMPUTED_VALUE"""),249)</f>
        <v>249</v>
      </c>
      <c r="AD4" s="1">
        <f ca="1">IFERROR(__xludf.DUMMYFUNCTION("""COMPUTED_VALUE"""),143)</f>
        <v>143</v>
      </c>
      <c r="AE4" s="1">
        <f ca="1">IFERROR(__xludf.DUMMYFUNCTION("""COMPUTED_VALUE"""),444)</f>
        <v>444</v>
      </c>
      <c r="AF4" s="1">
        <f ca="1">IFERROR(__xludf.DUMMYFUNCTION("""COMPUTED_VALUE"""),550)</f>
        <v>550</v>
      </c>
    </row>
    <row r="5" spans="1:32" ht="15.75" customHeight="1" x14ac:dyDescent="0.25">
      <c r="A5" s="1" t="str">
        <f ca="1">IFERROR(__xludf.DUMMYFUNCTION("""COMPUTED_VALUE"""),"Alabama-Birmingham")</f>
        <v>Alabama-Birmingham</v>
      </c>
      <c r="B5" s="1">
        <f ca="1">IFERROR(__xludf.DUMMYFUNCTION("""COMPUTED_VALUE"""),34)</f>
        <v>34</v>
      </c>
      <c r="C5" s="1">
        <f ca="1">IFERROR(__xludf.DUMMYFUNCTION("""COMPUTED_VALUE"""),25)</f>
        <v>25</v>
      </c>
      <c r="D5" s="1">
        <f ca="1">IFERROR(__xludf.DUMMYFUNCTION("""COMPUTED_VALUE"""),9)</f>
        <v>9</v>
      </c>
      <c r="E5" s="1">
        <f ca="1">IFERROR(__xludf.DUMMYFUNCTION("""COMPUTED_VALUE"""),0.735)</f>
        <v>0.73499999999999999</v>
      </c>
      <c r="F5" s="1">
        <f ca="1">IFERROR(__xludf.DUMMYFUNCTION("""COMPUTED_VALUE"""),9.46)</f>
        <v>9.4600000000000009</v>
      </c>
      <c r="G5" s="1">
        <f ca="1">IFERROR(__xludf.DUMMYFUNCTION("""COMPUTED_VALUE"""),2.9)</f>
        <v>2.9</v>
      </c>
      <c r="H5" s="1">
        <f ca="1">IFERROR(__xludf.DUMMYFUNCTION("""COMPUTED_VALUE"""),11)</f>
        <v>11</v>
      </c>
      <c r="I5" s="1">
        <f ca="1">IFERROR(__xludf.DUMMYFUNCTION("""COMPUTED_VALUE"""),5)</f>
        <v>5</v>
      </c>
      <c r="J5" s="1">
        <f ca="1">IFERROR(__xludf.DUMMYFUNCTION("""COMPUTED_VALUE"""),14)</f>
        <v>14</v>
      </c>
      <c r="K5" s="1">
        <f ca="1">IFERROR(__xludf.DUMMYFUNCTION("""COMPUTED_VALUE"""),4)</f>
        <v>4</v>
      </c>
      <c r="L5" s="1">
        <f ca="1">IFERROR(__xludf.DUMMYFUNCTION("""COMPUTED_VALUE"""),9)</f>
        <v>9</v>
      </c>
      <c r="M5" s="1">
        <f ca="1">IFERROR(__xludf.DUMMYFUNCTION("""COMPUTED_VALUE"""),4)</f>
        <v>4</v>
      </c>
      <c r="N5" s="1">
        <f ca="1">IFERROR(__xludf.DUMMYFUNCTION("""COMPUTED_VALUE"""),2276)</f>
        <v>2276</v>
      </c>
      <c r="O5" s="1">
        <f ca="1">IFERROR(__xludf.DUMMYFUNCTION("""COMPUTED_VALUE"""),2053)</f>
        <v>2053</v>
      </c>
      <c r="P5" s="1">
        <f ca="1">IFERROR(__xludf.DUMMYFUNCTION("""COMPUTED_VALUE"""),1370)</f>
        <v>1370</v>
      </c>
      <c r="Q5" s="1">
        <f ca="1">IFERROR(__xludf.DUMMYFUNCTION("""COMPUTED_VALUE"""),763)</f>
        <v>763</v>
      </c>
      <c r="R5" s="1">
        <f ca="1">IFERROR(__xludf.DUMMYFUNCTION("""COMPUTED_VALUE"""),1806)</f>
        <v>1806</v>
      </c>
      <c r="S5" s="1">
        <f ca="1">IFERROR(__xludf.DUMMYFUNCTION("""COMPUTED_VALUE"""),0.422)</f>
        <v>0.42199999999999999</v>
      </c>
      <c r="T5" s="1">
        <f ca="1">IFERROR(__xludf.DUMMYFUNCTION("""COMPUTED_VALUE"""),177)</f>
        <v>177</v>
      </c>
      <c r="U5" s="1">
        <f ca="1">IFERROR(__xludf.DUMMYFUNCTION("""COMPUTED_VALUE"""),569)</f>
        <v>569</v>
      </c>
      <c r="V5" s="1">
        <f ca="1">IFERROR(__xludf.DUMMYFUNCTION("""COMPUTED_VALUE"""),0.311)</f>
        <v>0.311</v>
      </c>
      <c r="W5" s="1">
        <f ca="1">IFERROR(__xludf.DUMMYFUNCTION("""COMPUTED_VALUE"""),573)</f>
        <v>573</v>
      </c>
      <c r="X5" s="1">
        <f ca="1">IFERROR(__xludf.DUMMYFUNCTION("""COMPUTED_VALUE"""),826)</f>
        <v>826</v>
      </c>
      <c r="Y5" s="1">
        <f ca="1">IFERROR(__xludf.DUMMYFUNCTION("""COMPUTED_VALUE"""),0.694)</f>
        <v>0.69399999999999995</v>
      </c>
      <c r="Z5" s="1">
        <f ca="1">IFERROR(__xludf.DUMMYFUNCTION("""COMPUTED_VALUE"""),420)</f>
        <v>420</v>
      </c>
      <c r="AA5" s="1">
        <f ca="1">IFERROR(__xludf.DUMMYFUNCTION("""COMPUTED_VALUE"""),1248)</f>
        <v>1248</v>
      </c>
      <c r="AB5" s="1">
        <f ca="1">IFERROR(__xludf.DUMMYFUNCTION("""COMPUTED_VALUE"""),390)</f>
        <v>390</v>
      </c>
      <c r="AC5" s="1">
        <f ca="1">IFERROR(__xludf.DUMMYFUNCTION("""COMPUTED_VALUE"""),223)</f>
        <v>223</v>
      </c>
      <c r="AD5" s="1">
        <f ca="1">IFERROR(__xludf.DUMMYFUNCTION("""COMPUTED_VALUE"""),91)</f>
        <v>91</v>
      </c>
      <c r="AE5" s="1">
        <f ca="1">IFERROR(__xludf.DUMMYFUNCTION("""COMPUTED_VALUE"""),451)</f>
        <v>451</v>
      </c>
      <c r="AF5" s="1">
        <f ca="1">IFERROR(__xludf.DUMMYFUNCTION("""COMPUTED_VALUE"""),611)</f>
        <v>611</v>
      </c>
    </row>
    <row r="6" spans="1:32" ht="15.75" customHeight="1" x14ac:dyDescent="0.25">
      <c r="A6" s="1" t="str">
        <f ca="1">IFERROR(__xludf.DUMMYFUNCTION("""COMPUTED_VALUE"""),"Alabama State")</f>
        <v>Alabama State</v>
      </c>
      <c r="B6" s="1">
        <f ca="1">IFERROR(__xludf.DUMMYFUNCTION("""COMPUTED_VALUE"""),31)</f>
        <v>31</v>
      </c>
      <c r="C6" s="1">
        <f ca="1">IFERROR(__xludf.DUMMYFUNCTION("""COMPUTED_VALUE"""),16)</f>
        <v>16</v>
      </c>
      <c r="D6" s="1">
        <f ca="1">IFERROR(__xludf.DUMMYFUNCTION("""COMPUTED_VALUE"""),15)</f>
        <v>15</v>
      </c>
      <c r="E6" s="1">
        <f ca="1">IFERROR(__xludf.DUMMYFUNCTION("""COMPUTED_VALUE"""),0.516)</f>
        <v>0.51600000000000001</v>
      </c>
      <c r="F6" s="1">
        <f ca="1">IFERROR(__xludf.DUMMYFUNCTION("""COMPUTED_VALUE"""),-14.41)</f>
        <v>-14.41</v>
      </c>
      <c r="G6" s="1">
        <f ca="1">IFERROR(__xludf.DUMMYFUNCTION("""COMPUTED_VALUE"""),-12.02)</f>
        <v>-12.02</v>
      </c>
      <c r="H6" s="1">
        <f ca="1">IFERROR(__xludf.DUMMYFUNCTION("""COMPUTED_VALUE"""),12)</f>
        <v>12</v>
      </c>
      <c r="I6" s="1">
        <f ca="1">IFERROR(__xludf.DUMMYFUNCTION("""COMPUTED_VALUE"""),6)</f>
        <v>6</v>
      </c>
      <c r="J6" s="1">
        <f ca="1">IFERROR(__xludf.DUMMYFUNCTION("""COMPUTED_VALUE"""),9)</f>
        <v>9</v>
      </c>
      <c r="K6" s="1">
        <f ca="1">IFERROR(__xludf.DUMMYFUNCTION("""COMPUTED_VALUE"""),3)</f>
        <v>3</v>
      </c>
      <c r="L6" s="1">
        <f ca="1">IFERROR(__xludf.DUMMYFUNCTION("""COMPUTED_VALUE"""),6)</f>
        <v>6</v>
      </c>
      <c r="M6" s="1">
        <f ca="1">IFERROR(__xludf.DUMMYFUNCTION("""COMPUTED_VALUE"""),11)</f>
        <v>11</v>
      </c>
      <c r="N6" s="1">
        <f ca="1">IFERROR(__xludf.DUMMYFUNCTION("""COMPUTED_VALUE"""),1998)</f>
        <v>1998</v>
      </c>
      <c r="O6" s="1">
        <f ca="1">IFERROR(__xludf.DUMMYFUNCTION("""COMPUTED_VALUE"""),2043)</f>
        <v>2043</v>
      </c>
      <c r="P6" s="1">
        <f ca="1">IFERROR(__xludf.DUMMYFUNCTION("""COMPUTED_VALUE"""),1245)</f>
        <v>1245</v>
      </c>
      <c r="Q6" s="1">
        <f ca="1">IFERROR(__xludf.DUMMYFUNCTION("""COMPUTED_VALUE"""),667)</f>
        <v>667</v>
      </c>
      <c r="R6" s="1">
        <f ca="1">IFERROR(__xludf.DUMMYFUNCTION("""COMPUTED_VALUE"""),1651)</f>
        <v>1651</v>
      </c>
      <c r="S6" s="1">
        <f ca="1">IFERROR(__xludf.DUMMYFUNCTION("""COMPUTED_VALUE"""),0.404)</f>
        <v>0.40400000000000003</v>
      </c>
      <c r="T6" s="1">
        <f ca="1">IFERROR(__xludf.DUMMYFUNCTION("""COMPUTED_VALUE"""),190)</f>
        <v>190</v>
      </c>
      <c r="U6" s="1">
        <f ca="1">IFERROR(__xludf.DUMMYFUNCTION("""COMPUTED_VALUE"""),587)</f>
        <v>587</v>
      </c>
      <c r="V6" s="1">
        <f ca="1">IFERROR(__xludf.DUMMYFUNCTION("""COMPUTED_VALUE"""),0.324)</f>
        <v>0.32400000000000001</v>
      </c>
      <c r="W6" s="1">
        <f ca="1">IFERROR(__xludf.DUMMYFUNCTION("""COMPUTED_VALUE"""),474)</f>
        <v>474</v>
      </c>
      <c r="X6" s="1">
        <f ca="1">IFERROR(__xludf.DUMMYFUNCTION("""COMPUTED_VALUE"""),739)</f>
        <v>739</v>
      </c>
      <c r="Y6" s="1">
        <f ca="1">IFERROR(__xludf.DUMMYFUNCTION("""COMPUTED_VALUE"""),0.641)</f>
        <v>0.64100000000000001</v>
      </c>
      <c r="Z6" s="1">
        <f ca="1">IFERROR(__xludf.DUMMYFUNCTION("""COMPUTED_VALUE"""),400)</f>
        <v>400</v>
      </c>
      <c r="AA6" s="1">
        <f ca="1">IFERROR(__xludf.DUMMYFUNCTION("""COMPUTED_VALUE"""),1101)</f>
        <v>1101</v>
      </c>
      <c r="AB6" s="1">
        <f ca="1">IFERROR(__xludf.DUMMYFUNCTION("""COMPUTED_VALUE"""),400)</f>
        <v>400</v>
      </c>
      <c r="AC6" s="1">
        <f ca="1">IFERROR(__xludf.DUMMYFUNCTION("""COMPUTED_VALUE"""),228)</f>
        <v>228</v>
      </c>
      <c r="AD6" s="1">
        <f ca="1">IFERROR(__xludf.DUMMYFUNCTION("""COMPUTED_VALUE"""),129)</f>
        <v>129</v>
      </c>
      <c r="AE6" s="1">
        <f ca="1">IFERROR(__xludf.DUMMYFUNCTION("""COMPUTED_VALUE"""),501)</f>
        <v>501</v>
      </c>
      <c r="AF6" s="1">
        <f ca="1">IFERROR(__xludf.DUMMYFUNCTION("""COMPUTED_VALUE"""),634)</f>
        <v>634</v>
      </c>
    </row>
    <row r="7" spans="1:32" ht="15.75" customHeight="1" x14ac:dyDescent="0.25">
      <c r="A7" s="1" t="str">
        <f ca="1">IFERROR(__xludf.DUMMYFUNCTION("""COMPUTED_VALUE"""),"Alabama")</f>
        <v>Alabama</v>
      </c>
      <c r="B7" s="1">
        <f ca="1">IFERROR(__xludf.DUMMYFUNCTION("""COMPUTED_VALUE"""),32)</f>
        <v>32</v>
      </c>
      <c r="C7" s="1">
        <f ca="1">IFERROR(__xludf.DUMMYFUNCTION("""COMPUTED_VALUE"""),17)</f>
        <v>17</v>
      </c>
      <c r="D7" s="1">
        <f ca="1">IFERROR(__xludf.DUMMYFUNCTION("""COMPUTED_VALUE"""),15)</f>
        <v>15</v>
      </c>
      <c r="E7" s="1">
        <f ca="1">IFERROR(__xludf.DUMMYFUNCTION("""COMPUTED_VALUE"""),0.531)</f>
        <v>0.53100000000000003</v>
      </c>
      <c r="F7" s="1">
        <f ca="1">IFERROR(__xludf.DUMMYFUNCTION("""COMPUTED_VALUE"""),10.34)</f>
        <v>10.34</v>
      </c>
      <c r="G7" s="1">
        <f ca="1">IFERROR(__xludf.DUMMYFUNCTION("""COMPUTED_VALUE"""),6.62)</f>
        <v>6.62</v>
      </c>
      <c r="H7" s="1">
        <f ca="1">IFERROR(__xludf.DUMMYFUNCTION("""COMPUTED_VALUE"""),6)</f>
        <v>6</v>
      </c>
      <c r="I7" s="1">
        <f ca="1">IFERROR(__xludf.DUMMYFUNCTION("""COMPUTED_VALUE"""),10)</f>
        <v>10</v>
      </c>
      <c r="J7" s="1">
        <f ca="1">IFERROR(__xludf.DUMMYFUNCTION("""COMPUTED_VALUE"""),11)</f>
        <v>11</v>
      </c>
      <c r="K7" s="1">
        <f ca="1">IFERROR(__xludf.DUMMYFUNCTION("""COMPUTED_VALUE"""),6)</f>
        <v>6</v>
      </c>
      <c r="L7" s="1">
        <f ca="1">IFERROR(__xludf.DUMMYFUNCTION("""COMPUTED_VALUE"""),3)</f>
        <v>3</v>
      </c>
      <c r="M7" s="1">
        <f ca="1">IFERROR(__xludf.DUMMYFUNCTION("""COMPUTED_VALUE"""),6)</f>
        <v>6</v>
      </c>
      <c r="N7" s="1">
        <f ca="1">IFERROR(__xludf.DUMMYFUNCTION("""COMPUTED_VALUE"""),2192)</f>
        <v>2192</v>
      </c>
      <c r="O7" s="1">
        <f ca="1">IFERROR(__xludf.DUMMYFUNCTION("""COMPUTED_VALUE"""),2073)</f>
        <v>2073</v>
      </c>
      <c r="P7" s="1">
        <f ca="1">IFERROR(__xludf.DUMMYFUNCTION("""COMPUTED_VALUE"""),1280)</f>
        <v>1280</v>
      </c>
      <c r="Q7" s="1">
        <f ca="1">IFERROR(__xludf.DUMMYFUNCTION("""COMPUTED_VALUE"""),791)</f>
        <v>791</v>
      </c>
      <c r="R7" s="1">
        <f ca="1">IFERROR(__xludf.DUMMYFUNCTION("""COMPUTED_VALUE"""),1794)</f>
        <v>1794</v>
      </c>
      <c r="S7" s="1">
        <f ca="1">IFERROR(__xludf.DUMMYFUNCTION("""COMPUTED_VALUE"""),0.441)</f>
        <v>0.441</v>
      </c>
      <c r="T7" s="1">
        <f ca="1">IFERROR(__xludf.DUMMYFUNCTION("""COMPUTED_VALUE"""),175)</f>
        <v>175</v>
      </c>
      <c r="U7" s="1">
        <f ca="1">IFERROR(__xludf.DUMMYFUNCTION("""COMPUTED_VALUE"""),500)</f>
        <v>500</v>
      </c>
      <c r="V7" s="1">
        <f ca="1">IFERROR(__xludf.DUMMYFUNCTION("""COMPUTED_VALUE"""),0.35)</f>
        <v>0.35</v>
      </c>
      <c r="W7" s="1">
        <f ca="1">IFERROR(__xludf.DUMMYFUNCTION("""COMPUTED_VALUE"""),435)</f>
        <v>435</v>
      </c>
      <c r="X7" s="1">
        <f ca="1">IFERROR(__xludf.DUMMYFUNCTION("""COMPUTED_VALUE"""),615)</f>
        <v>615</v>
      </c>
      <c r="Y7" s="1">
        <f ca="1">IFERROR(__xludf.DUMMYFUNCTION("""COMPUTED_VALUE"""),0.707)</f>
        <v>0.70699999999999996</v>
      </c>
      <c r="Z7" s="1">
        <f ca="1">IFERROR(__xludf.DUMMYFUNCTION("""COMPUTED_VALUE"""),386)</f>
        <v>386</v>
      </c>
      <c r="AA7" s="1">
        <f ca="1">IFERROR(__xludf.DUMMYFUNCTION("""COMPUTED_VALUE"""),1126)</f>
        <v>1126</v>
      </c>
      <c r="AB7" s="1">
        <f ca="1">IFERROR(__xludf.DUMMYFUNCTION("""COMPUTED_VALUE"""),429)</f>
        <v>429</v>
      </c>
      <c r="AC7" s="1">
        <f ca="1">IFERROR(__xludf.DUMMYFUNCTION("""COMPUTED_VALUE"""),249)</f>
        <v>249</v>
      </c>
      <c r="AD7" s="1">
        <f ca="1">IFERROR(__xludf.DUMMYFUNCTION("""COMPUTED_VALUE"""),127)</f>
        <v>127</v>
      </c>
      <c r="AE7" s="1">
        <f ca="1">IFERROR(__xludf.DUMMYFUNCTION("""COMPUTED_VALUE"""),410)</f>
        <v>410</v>
      </c>
      <c r="AF7" s="1">
        <f ca="1">IFERROR(__xludf.DUMMYFUNCTION("""COMPUTED_VALUE"""),583)</f>
        <v>583</v>
      </c>
    </row>
    <row r="8" spans="1:32" ht="15.75" customHeight="1" x14ac:dyDescent="0.25">
      <c r="A8" s="1" t="str">
        <f ca="1">IFERROR(__xludf.DUMMYFUNCTION("""COMPUTED_VALUE"""),"Albany (NY)")</f>
        <v>Albany (NY)</v>
      </c>
      <c r="B8" s="1">
        <f ca="1">IFERROR(__xludf.DUMMYFUNCTION("""COMPUTED_VALUE"""),32)</f>
        <v>32</v>
      </c>
      <c r="C8" s="1">
        <f ca="1">IFERROR(__xludf.DUMMYFUNCTION("""COMPUTED_VALUE"""),7)</f>
        <v>7</v>
      </c>
      <c r="D8" s="1">
        <f ca="1">IFERROR(__xludf.DUMMYFUNCTION("""COMPUTED_VALUE"""),25)</f>
        <v>25</v>
      </c>
      <c r="E8" s="1">
        <f ca="1">IFERROR(__xludf.DUMMYFUNCTION("""COMPUTED_VALUE"""),0.219)</f>
        <v>0.219</v>
      </c>
      <c r="F8" s="1">
        <f ca="1">IFERROR(__xludf.DUMMYFUNCTION("""COMPUTED_VALUE"""),-11.94)</f>
        <v>-11.94</v>
      </c>
      <c r="G8" s="1">
        <f ca="1">IFERROR(__xludf.DUMMYFUNCTION("""COMPUTED_VALUE"""),-5.53)</f>
        <v>-5.53</v>
      </c>
      <c r="H8" s="1">
        <f ca="1">IFERROR(__xludf.DUMMYFUNCTION("""COMPUTED_VALUE"""),2)</f>
        <v>2</v>
      </c>
      <c r="I8" s="1">
        <f ca="1">IFERROR(__xludf.DUMMYFUNCTION("""COMPUTED_VALUE"""),14)</f>
        <v>14</v>
      </c>
      <c r="J8" s="1">
        <f ca="1">IFERROR(__xludf.DUMMYFUNCTION("""COMPUTED_VALUE"""),4)</f>
        <v>4</v>
      </c>
      <c r="K8" s="1">
        <f ca="1">IFERROR(__xludf.DUMMYFUNCTION("""COMPUTED_VALUE"""),9)</f>
        <v>9</v>
      </c>
      <c r="L8" s="1">
        <f ca="1">IFERROR(__xludf.DUMMYFUNCTION("""COMPUTED_VALUE"""),3)</f>
        <v>3</v>
      </c>
      <c r="M8" s="1">
        <f ca="1">IFERROR(__xludf.DUMMYFUNCTION("""COMPUTED_VALUE"""),15)</f>
        <v>15</v>
      </c>
      <c r="N8" s="1">
        <f ca="1">IFERROR(__xludf.DUMMYFUNCTION("""COMPUTED_VALUE"""),2007)</f>
        <v>2007</v>
      </c>
      <c r="O8" s="1">
        <f ca="1">IFERROR(__xludf.DUMMYFUNCTION("""COMPUTED_VALUE"""),2212)</f>
        <v>2212</v>
      </c>
      <c r="P8" s="1">
        <f ca="1">IFERROR(__xludf.DUMMYFUNCTION("""COMPUTED_VALUE"""),1290)</f>
        <v>1290</v>
      </c>
      <c r="Q8" s="1">
        <f ca="1">IFERROR(__xludf.DUMMYFUNCTION("""COMPUTED_VALUE"""),710)</f>
        <v>710</v>
      </c>
      <c r="R8" s="1">
        <f ca="1">IFERROR(__xludf.DUMMYFUNCTION("""COMPUTED_VALUE"""),1736)</f>
        <v>1736</v>
      </c>
      <c r="S8" s="1">
        <f ca="1">IFERROR(__xludf.DUMMYFUNCTION("""COMPUTED_VALUE"""),0.409)</f>
        <v>0.40899999999999997</v>
      </c>
      <c r="T8" s="1">
        <f ca="1">IFERROR(__xludf.DUMMYFUNCTION("""COMPUTED_VALUE"""),194)</f>
        <v>194</v>
      </c>
      <c r="U8" s="1">
        <f ca="1">IFERROR(__xludf.DUMMYFUNCTION("""COMPUTED_VALUE"""),585)</f>
        <v>585</v>
      </c>
      <c r="V8" s="1">
        <f ca="1">IFERROR(__xludf.DUMMYFUNCTION("""COMPUTED_VALUE"""),0.332)</f>
        <v>0.33200000000000002</v>
      </c>
      <c r="W8" s="1">
        <f ca="1">IFERROR(__xludf.DUMMYFUNCTION("""COMPUTED_VALUE"""),393)</f>
        <v>393</v>
      </c>
      <c r="X8" s="1">
        <f ca="1">IFERROR(__xludf.DUMMYFUNCTION("""COMPUTED_VALUE"""),545)</f>
        <v>545</v>
      </c>
      <c r="Y8" s="1">
        <f ca="1">IFERROR(__xludf.DUMMYFUNCTION("""COMPUTED_VALUE"""),0.721)</f>
        <v>0.72099999999999997</v>
      </c>
      <c r="Z8" s="1">
        <f ca="1">IFERROR(__xludf.DUMMYFUNCTION("""COMPUTED_VALUE"""),399)</f>
        <v>399</v>
      </c>
      <c r="AA8" s="1">
        <f ca="1">IFERROR(__xludf.DUMMYFUNCTION("""COMPUTED_VALUE"""),1156)</f>
        <v>1156</v>
      </c>
      <c r="AB8" s="1">
        <f ca="1">IFERROR(__xludf.DUMMYFUNCTION("""COMPUTED_VALUE"""),380)</f>
        <v>380</v>
      </c>
      <c r="AC8" s="1">
        <f ca="1">IFERROR(__xludf.DUMMYFUNCTION("""COMPUTED_VALUE"""),187)</f>
        <v>187</v>
      </c>
      <c r="AD8" s="1">
        <f ca="1">IFERROR(__xludf.DUMMYFUNCTION("""COMPUTED_VALUE"""),97)</f>
        <v>97</v>
      </c>
      <c r="AE8" s="1">
        <f ca="1">IFERROR(__xludf.DUMMYFUNCTION("""COMPUTED_VALUE"""),517)</f>
        <v>517</v>
      </c>
      <c r="AF8" s="1">
        <f ca="1">IFERROR(__xludf.DUMMYFUNCTION("""COMPUTED_VALUE"""),602)</f>
        <v>602</v>
      </c>
    </row>
    <row r="9" spans="1:32" ht="15.75" customHeight="1" x14ac:dyDescent="0.25">
      <c r="A9" s="1" t="str">
        <f ca="1">IFERROR(__xludf.DUMMYFUNCTION("""COMPUTED_VALUE"""),"Alcorn State")</f>
        <v>Alcorn State</v>
      </c>
      <c r="B9" s="1">
        <f ca="1">IFERROR(__xludf.DUMMYFUNCTION("""COMPUTED_VALUE"""),31)</f>
        <v>31</v>
      </c>
      <c r="C9" s="1">
        <f ca="1">IFERROR(__xludf.DUMMYFUNCTION("""COMPUTED_VALUE"""),2)</f>
        <v>2</v>
      </c>
      <c r="D9" s="1">
        <f ca="1">IFERROR(__xludf.DUMMYFUNCTION("""COMPUTED_VALUE"""),29)</f>
        <v>29</v>
      </c>
      <c r="E9" s="1">
        <f ca="1">IFERROR(__xludf.DUMMYFUNCTION("""COMPUTED_VALUE"""),0.065)</f>
        <v>6.5000000000000002E-2</v>
      </c>
      <c r="F9" s="1">
        <f ca="1">IFERROR(__xludf.DUMMYFUNCTION("""COMPUTED_VALUE"""),-30.36)</f>
        <v>-30.36</v>
      </c>
      <c r="G9" s="1">
        <f ca="1">IFERROR(__xludf.DUMMYFUNCTION("""COMPUTED_VALUE"""),-9)</f>
        <v>-9</v>
      </c>
      <c r="H9" s="1">
        <f ca="1">IFERROR(__xludf.DUMMYFUNCTION("""COMPUTED_VALUE"""),2)</f>
        <v>2</v>
      </c>
      <c r="I9" s="1">
        <f ca="1">IFERROR(__xludf.DUMMYFUNCTION("""COMPUTED_VALUE"""),16)</f>
        <v>16</v>
      </c>
      <c r="J9" s="1">
        <f ca="1">IFERROR(__xludf.DUMMYFUNCTION("""COMPUTED_VALUE"""),2)</f>
        <v>2</v>
      </c>
      <c r="K9" s="1">
        <f ca="1">IFERROR(__xludf.DUMMYFUNCTION("""COMPUTED_VALUE"""),8)</f>
        <v>8</v>
      </c>
      <c r="L9" s="1">
        <f ca="1">IFERROR(__xludf.DUMMYFUNCTION("""COMPUTED_VALUE"""),0)</f>
        <v>0</v>
      </c>
      <c r="M9" s="1">
        <f ca="1">IFERROR(__xludf.DUMMYFUNCTION("""COMPUTED_VALUE"""),18)</f>
        <v>18</v>
      </c>
      <c r="N9" s="1">
        <f ca="1">IFERROR(__xludf.DUMMYFUNCTION("""COMPUTED_VALUE"""),1880)</f>
        <v>1880</v>
      </c>
      <c r="O9" s="1">
        <f ca="1">IFERROR(__xludf.DUMMYFUNCTION("""COMPUTED_VALUE"""),2542)</f>
        <v>2542</v>
      </c>
      <c r="P9" s="1">
        <f ca="1">IFERROR(__xludf.DUMMYFUNCTION("""COMPUTED_VALUE"""),1245)</f>
        <v>1245</v>
      </c>
      <c r="Q9" s="1">
        <f ca="1">IFERROR(__xludf.DUMMYFUNCTION("""COMPUTED_VALUE"""),651)</f>
        <v>651</v>
      </c>
      <c r="R9" s="1">
        <f ca="1">IFERROR(__xludf.DUMMYFUNCTION("""COMPUTED_VALUE"""),1717)</f>
        <v>1717</v>
      </c>
      <c r="S9" s="1">
        <f ca="1">IFERROR(__xludf.DUMMYFUNCTION("""COMPUTED_VALUE"""),0.379)</f>
        <v>0.379</v>
      </c>
      <c r="T9" s="1">
        <f ca="1">IFERROR(__xludf.DUMMYFUNCTION("""COMPUTED_VALUE"""),135)</f>
        <v>135</v>
      </c>
      <c r="U9" s="1">
        <f ca="1">IFERROR(__xludf.DUMMYFUNCTION("""COMPUTED_VALUE"""),437)</f>
        <v>437</v>
      </c>
      <c r="V9" s="1">
        <f ca="1">IFERROR(__xludf.DUMMYFUNCTION("""COMPUTED_VALUE"""),0.309)</f>
        <v>0.309</v>
      </c>
      <c r="W9" s="1">
        <f ca="1">IFERROR(__xludf.DUMMYFUNCTION("""COMPUTED_VALUE"""),443)</f>
        <v>443</v>
      </c>
      <c r="X9" s="1">
        <f ca="1">IFERROR(__xludf.DUMMYFUNCTION("""COMPUTED_VALUE"""),725)</f>
        <v>725</v>
      </c>
      <c r="Y9" s="1">
        <f ca="1">IFERROR(__xludf.DUMMYFUNCTION("""COMPUTED_VALUE"""),0.611)</f>
        <v>0.61099999999999999</v>
      </c>
      <c r="Z9" s="1">
        <f ca="1">IFERROR(__xludf.DUMMYFUNCTION("""COMPUTED_VALUE"""),356)</f>
        <v>356</v>
      </c>
      <c r="AA9" s="1">
        <f ca="1">IFERROR(__xludf.DUMMYFUNCTION("""COMPUTED_VALUE"""),1065)</f>
        <v>1065</v>
      </c>
      <c r="AB9" s="1">
        <f ca="1">IFERROR(__xludf.DUMMYFUNCTION("""COMPUTED_VALUE"""),269)</f>
        <v>269</v>
      </c>
      <c r="AC9" s="1">
        <f ca="1">IFERROR(__xludf.DUMMYFUNCTION("""COMPUTED_VALUE"""),214)</f>
        <v>214</v>
      </c>
      <c r="AD9" s="1">
        <f ca="1">IFERROR(__xludf.DUMMYFUNCTION("""COMPUTED_VALUE"""),98)</f>
        <v>98</v>
      </c>
      <c r="AE9" s="1">
        <f ca="1">IFERROR(__xludf.DUMMYFUNCTION("""COMPUTED_VALUE"""),642)</f>
        <v>642</v>
      </c>
      <c r="AF9" s="1">
        <f ca="1">IFERROR(__xludf.DUMMYFUNCTION("""COMPUTED_VALUE"""),670)</f>
        <v>670</v>
      </c>
    </row>
    <row r="10" spans="1:32" ht="15.75" customHeight="1" x14ac:dyDescent="0.25">
      <c r="A10" s="1" t="str">
        <f ca="1">IFERROR(__xludf.DUMMYFUNCTION("""COMPUTED_VALUE"""),"American")</f>
        <v>American</v>
      </c>
      <c r="B10" s="1">
        <f ca="1">IFERROR(__xludf.DUMMYFUNCTION("""COMPUTED_VALUE"""),31)</f>
        <v>31</v>
      </c>
      <c r="C10" s="1">
        <f ca="1">IFERROR(__xludf.DUMMYFUNCTION("""COMPUTED_VALUE"""),11)</f>
        <v>11</v>
      </c>
      <c r="D10" s="1">
        <f ca="1">IFERROR(__xludf.DUMMYFUNCTION("""COMPUTED_VALUE"""),20)</f>
        <v>20</v>
      </c>
      <c r="E10" s="1">
        <f ca="1">IFERROR(__xludf.DUMMYFUNCTION("""COMPUTED_VALUE"""),0.355)</f>
        <v>0.35499999999999998</v>
      </c>
      <c r="F10" s="1">
        <f ca="1">IFERROR(__xludf.DUMMYFUNCTION("""COMPUTED_VALUE"""),-11.47)</f>
        <v>-11.47</v>
      </c>
      <c r="G10" s="1">
        <f ca="1">IFERROR(__xludf.DUMMYFUNCTION("""COMPUTED_VALUE"""),-6.89)</f>
        <v>-6.89</v>
      </c>
      <c r="H10" s="1">
        <f ca="1">IFERROR(__xludf.DUMMYFUNCTION("""COMPUTED_VALUE"""),7)</f>
        <v>7</v>
      </c>
      <c r="I10" s="1">
        <f ca="1">IFERROR(__xludf.DUMMYFUNCTION("""COMPUTED_VALUE"""),7)</f>
        <v>7</v>
      </c>
      <c r="J10" s="1">
        <f ca="1">IFERROR(__xludf.DUMMYFUNCTION("""COMPUTED_VALUE"""),7)</f>
        <v>7</v>
      </c>
      <c r="K10" s="1">
        <f ca="1">IFERROR(__xludf.DUMMYFUNCTION("""COMPUTED_VALUE"""),8)</f>
        <v>8</v>
      </c>
      <c r="L10" s="1">
        <f ca="1">IFERROR(__xludf.DUMMYFUNCTION("""COMPUTED_VALUE"""),4)</f>
        <v>4</v>
      </c>
      <c r="M10" s="1">
        <f ca="1">IFERROR(__xludf.DUMMYFUNCTION("""COMPUTED_VALUE"""),12)</f>
        <v>12</v>
      </c>
      <c r="N10" s="1">
        <f ca="1">IFERROR(__xludf.DUMMYFUNCTION("""COMPUTED_VALUE"""),1941)</f>
        <v>1941</v>
      </c>
      <c r="O10" s="1">
        <f ca="1">IFERROR(__xludf.DUMMYFUNCTION("""COMPUTED_VALUE"""),2083)</f>
        <v>2083</v>
      </c>
      <c r="P10" s="1">
        <f ca="1">IFERROR(__xludf.DUMMYFUNCTION("""COMPUTED_VALUE"""),1265)</f>
        <v>1265</v>
      </c>
      <c r="Q10" s="1">
        <f ca="1">IFERROR(__xludf.DUMMYFUNCTION("""COMPUTED_VALUE"""),681)</f>
        <v>681</v>
      </c>
      <c r="R10" s="1">
        <f ca="1">IFERROR(__xludf.DUMMYFUNCTION("""COMPUTED_VALUE"""),1603)</f>
        <v>1603</v>
      </c>
      <c r="S10" s="1">
        <f ca="1">IFERROR(__xludf.DUMMYFUNCTION("""COMPUTED_VALUE"""),0.425)</f>
        <v>0.42499999999999999</v>
      </c>
      <c r="T10" s="1">
        <f ca="1">IFERROR(__xludf.DUMMYFUNCTION("""COMPUTED_VALUE"""),184)</f>
        <v>184</v>
      </c>
      <c r="U10" s="1">
        <f ca="1">IFERROR(__xludf.DUMMYFUNCTION("""COMPUTED_VALUE"""),534)</f>
        <v>534</v>
      </c>
      <c r="V10" s="1">
        <f ca="1">IFERROR(__xludf.DUMMYFUNCTION("""COMPUTED_VALUE"""),0.345)</f>
        <v>0.34499999999999997</v>
      </c>
      <c r="W10" s="1">
        <f ca="1">IFERROR(__xludf.DUMMYFUNCTION("""COMPUTED_VALUE"""),395)</f>
        <v>395</v>
      </c>
      <c r="X10" s="1">
        <f ca="1">IFERROR(__xludf.DUMMYFUNCTION("""COMPUTED_VALUE"""),571)</f>
        <v>571</v>
      </c>
      <c r="Y10" s="1">
        <f ca="1">IFERROR(__xludf.DUMMYFUNCTION("""COMPUTED_VALUE"""),0.692)</f>
        <v>0.69199999999999995</v>
      </c>
      <c r="Z10" s="1">
        <f ca="1">IFERROR(__xludf.DUMMYFUNCTION("""COMPUTED_VALUE"""),304)</f>
        <v>304</v>
      </c>
      <c r="AA10" s="1">
        <f ca="1">IFERROR(__xludf.DUMMYFUNCTION("""COMPUTED_VALUE"""),1097)</f>
        <v>1097</v>
      </c>
      <c r="AB10" s="1">
        <f ca="1">IFERROR(__xludf.DUMMYFUNCTION("""COMPUTED_VALUE"""),447)</f>
        <v>447</v>
      </c>
      <c r="AC10" s="1">
        <f ca="1">IFERROR(__xludf.DUMMYFUNCTION("""COMPUTED_VALUE"""),109)</f>
        <v>109</v>
      </c>
      <c r="AD10" s="1">
        <f ca="1">IFERROR(__xludf.DUMMYFUNCTION("""COMPUTED_VALUE"""),81)</f>
        <v>81</v>
      </c>
      <c r="AE10" s="1">
        <f ca="1">IFERROR(__xludf.DUMMYFUNCTION("""COMPUTED_VALUE"""),458)</f>
        <v>458</v>
      </c>
      <c r="AF10" s="1">
        <f ca="1">IFERROR(__xludf.DUMMYFUNCTION("""COMPUTED_VALUE"""),590)</f>
        <v>590</v>
      </c>
    </row>
    <row r="11" spans="1:32" ht="15.75" customHeight="1" x14ac:dyDescent="0.25">
      <c r="A11" s="1" t="str">
        <f ca="1">IFERROR(__xludf.DUMMYFUNCTION("""COMPUTED_VALUE"""),"Appalachian State")</f>
        <v>Appalachian State</v>
      </c>
      <c r="B11" s="1">
        <f ca="1">IFERROR(__xludf.DUMMYFUNCTION("""COMPUTED_VALUE"""),37)</f>
        <v>37</v>
      </c>
      <c r="C11" s="1">
        <f ca="1">IFERROR(__xludf.DUMMYFUNCTION("""COMPUTED_VALUE"""),24)</f>
        <v>24</v>
      </c>
      <c r="D11" s="1">
        <f ca="1">IFERROR(__xludf.DUMMYFUNCTION("""COMPUTED_VALUE"""),13)</f>
        <v>13</v>
      </c>
      <c r="E11" s="1">
        <f ca="1">IFERROR(__xludf.DUMMYFUNCTION("""COMPUTED_VALUE"""),0.649)</f>
        <v>0.64900000000000002</v>
      </c>
      <c r="F11" s="1">
        <f ca="1">IFERROR(__xludf.DUMMYFUNCTION("""COMPUTED_VALUE"""),1.8)</f>
        <v>1.8</v>
      </c>
      <c r="G11" s="1">
        <f ca="1">IFERROR(__xludf.DUMMYFUNCTION("""COMPUTED_VALUE"""),-2.76)</f>
        <v>-2.76</v>
      </c>
      <c r="H11" s="1">
        <f ca="1">IFERROR(__xludf.DUMMYFUNCTION("""COMPUTED_VALUE"""),13)</f>
        <v>13</v>
      </c>
      <c r="I11" s="1">
        <f ca="1">IFERROR(__xludf.DUMMYFUNCTION("""COMPUTED_VALUE"""),5)</f>
        <v>5</v>
      </c>
      <c r="J11" s="1">
        <f ca="1">IFERROR(__xludf.DUMMYFUNCTION("""COMPUTED_VALUE"""),14)</f>
        <v>14</v>
      </c>
      <c r="K11" s="1">
        <f ca="1">IFERROR(__xludf.DUMMYFUNCTION("""COMPUTED_VALUE"""),4)</f>
        <v>4</v>
      </c>
      <c r="L11" s="1">
        <f ca="1">IFERROR(__xludf.DUMMYFUNCTION("""COMPUTED_VALUE"""),8)</f>
        <v>8</v>
      </c>
      <c r="M11" s="1">
        <f ca="1">IFERROR(__xludf.DUMMYFUNCTION("""COMPUTED_VALUE"""),8)</f>
        <v>8</v>
      </c>
      <c r="N11" s="1">
        <f ca="1">IFERROR(__xludf.DUMMYFUNCTION("""COMPUTED_VALUE"""),2766)</f>
        <v>2766</v>
      </c>
      <c r="O11" s="1">
        <f ca="1">IFERROR(__xludf.DUMMYFUNCTION("""COMPUTED_VALUE"""),2567)</f>
        <v>2567</v>
      </c>
      <c r="P11" s="1">
        <f ca="1">IFERROR(__xludf.DUMMYFUNCTION("""COMPUTED_VALUE"""),1490)</f>
        <v>1490</v>
      </c>
      <c r="Q11" s="1">
        <f ca="1">IFERROR(__xludf.DUMMYFUNCTION("""COMPUTED_VALUE"""),954)</f>
        <v>954</v>
      </c>
      <c r="R11" s="1">
        <f ca="1">IFERROR(__xludf.DUMMYFUNCTION("""COMPUTED_VALUE"""),2006)</f>
        <v>2006</v>
      </c>
      <c r="S11" s="1">
        <f ca="1">IFERROR(__xludf.DUMMYFUNCTION("""COMPUTED_VALUE"""),0.476)</f>
        <v>0.47599999999999998</v>
      </c>
      <c r="T11" s="1">
        <f ca="1">IFERROR(__xludf.DUMMYFUNCTION("""COMPUTED_VALUE"""),279)</f>
        <v>279</v>
      </c>
      <c r="U11" s="1">
        <f ca="1">IFERROR(__xludf.DUMMYFUNCTION("""COMPUTED_VALUE"""),703)</f>
        <v>703</v>
      </c>
      <c r="V11" s="1">
        <f ca="1">IFERROR(__xludf.DUMMYFUNCTION("""COMPUTED_VALUE"""),0.397)</f>
        <v>0.39700000000000002</v>
      </c>
      <c r="W11" s="1">
        <f ca="1">IFERROR(__xludf.DUMMYFUNCTION("""COMPUTED_VALUE"""),579)</f>
        <v>579</v>
      </c>
      <c r="X11" s="1">
        <f ca="1">IFERROR(__xludf.DUMMYFUNCTION("""COMPUTED_VALUE"""),785)</f>
        <v>785</v>
      </c>
      <c r="Y11" s="1">
        <f ca="1">IFERROR(__xludf.DUMMYFUNCTION("""COMPUTED_VALUE"""),0.738)</f>
        <v>0.73799999999999999</v>
      </c>
      <c r="Z11" s="1">
        <f ca="1">IFERROR(__xludf.DUMMYFUNCTION("""COMPUTED_VALUE"""),411)</f>
        <v>411</v>
      </c>
      <c r="AA11" s="1">
        <f ca="1">IFERROR(__xludf.DUMMYFUNCTION("""COMPUTED_VALUE"""),1424)</f>
        <v>1424</v>
      </c>
      <c r="AB11" s="1">
        <f ca="1">IFERROR(__xludf.DUMMYFUNCTION("""COMPUTED_VALUE"""),447)</f>
        <v>447</v>
      </c>
      <c r="AC11" s="1">
        <f ca="1">IFERROR(__xludf.DUMMYFUNCTION("""COMPUTED_VALUE"""),201)</f>
        <v>201</v>
      </c>
      <c r="AD11" s="1">
        <f ca="1">IFERROR(__xludf.DUMMYFUNCTION("""COMPUTED_VALUE"""),102)</f>
        <v>102</v>
      </c>
      <c r="AE11" s="1">
        <f ca="1">IFERROR(__xludf.DUMMYFUNCTION("""COMPUTED_VALUE"""),544)</f>
        <v>544</v>
      </c>
      <c r="AF11" s="1">
        <f ca="1">IFERROR(__xludf.DUMMYFUNCTION("""COMPUTED_VALUE"""),652)</f>
        <v>652</v>
      </c>
    </row>
    <row r="12" spans="1:32" ht="15.75" customHeight="1" x14ac:dyDescent="0.25">
      <c r="A12" s="1" t="str">
        <f ca="1">IFERROR(__xludf.DUMMYFUNCTION("""COMPUTED_VALUE"""),"Arizona State")</f>
        <v>Arizona State</v>
      </c>
      <c r="B12" s="1">
        <f ca="1">IFERROR(__xludf.DUMMYFUNCTION("""COMPUTED_VALUE"""),33)</f>
        <v>33</v>
      </c>
      <c r="C12" s="1">
        <f ca="1">IFERROR(__xludf.DUMMYFUNCTION("""COMPUTED_VALUE"""),22)</f>
        <v>22</v>
      </c>
      <c r="D12" s="1">
        <f ca="1">IFERROR(__xludf.DUMMYFUNCTION("""COMPUTED_VALUE"""),11)</f>
        <v>11</v>
      </c>
      <c r="E12" s="1">
        <f ca="1">IFERROR(__xludf.DUMMYFUNCTION("""COMPUTED_VALUE"""),0.667)</f>
        <v>0.66700000000000004</v>
      </c>
      <c r="F12" s="1">
        <f ca="1">IFERROR(__xludf.DUMMYFUNCTION("""COMPUTED_VALUE"""),13.8)</f>
        <v>13.8</v>
      </c>
      <c r="G12" s="1">
        <f ca="1">IFERROR(__xludf.DUMMYFUNCTION("""COMPUTED_VALUE"""),5.83)</f>
        <v>5.83</v>
      </c>
      <c r="H12" s="1">
        <f ca="1">IFERROR(__xludf.DUMMYFUNCTION("""COMPUTED_VALUE"""),12)</f>
        <v>12</v>
      </c>
      <c r="I12" s="1">
        <f ca="1">IFERROR(__xludf.DUMMYFUNCTION("""COMPUTED_VALUE"""),6)</f>
        <v>6</v>
      </c>
      <c r="J12" s="1">
        <f ca="1">IFERROR(__xludf.DUMMYFUNCTION("""COMPUTED_VALUE"""),16)</f>
        <v>16</v>
      </c>
      <c r="K12" s="1">
        <f ca="1">IFERROR(__xludf.DUMMYFUNCTION("""COMPUTED_VALUE"""),4)</f>
        <v>4</v>
      </c>
      <c r="L12" s="1">
        <f ca="1">IFERROR(__xludf.DUMMYFUNCTION("""COMPUTED_VALUE"""),5)</f>
        <v>5</v>
      </c>
      <c r="M12" s="1">
        <f ca="1">IFERROR(__xludf.DUMMYFUNCTION("""COMPUTED_VALUE"""),5)</f>
        <v>5</v>
      </c>
      <c r="N12" s="1">
        <f ca="1">IFERROR(__xludf.DUMMYFUNCTION("""COMPUTED_VALUE"""),2202)</f>
        <v>2202</v>
      </c>
      <c r="O12" s="1">
        <f ca="1">IFERROR(__xludf.DUMMYFUNCTION("""COMPUTED_VALUE"""),1938)</f>
        <v>1938</v>
      </c>
      <c r="P12" s="1">
        <f ca="1">IFERROR(__xludf.DUMMYFUNCTION("""COMPUTED_VALUE"""),1320)</f>
        <v>1320</v>
      </c>
      <c r="Q12" s="1">
        <f ca="1">IFERROR(__xludf.DUMMYFUNCTION("""COMPUTED_VALUE"""),743)</f>
        <v>743</v>
      </c>
      <c r="R12" s="1">
        <f ca="1">IFERROR(__xludf.DUMMYFUNCTION("""COMPUTED_VALUE"""),1645)</f>
        <v>1645</v>
      </c>
      <c r="S12" s="1">
        <f ca="1">IFERROR(__xludf.DUMMYFUNCTION("""COMPUTED_VALUE"""),0.452)</f>
        <v>0.45200000000000001</v>
      </c>
      <c r="T12" s="1">
        <f ca="1">IFERROR(__xludf.DUMMYFUNCTION("""COMPUTED_VALUE"""),271)</f>
        <v>271</v>
      </c>
      <c r="U12" s="1">
        <f ca="1">IFERROR(__xludf.DUMMYFUNCTION("""COMPUTED_VALUE"""),735)</f>
        <v>735</v>
      </c>
      <c r="V12" s="1">
        <f ca="1">IFERROR(__xludf.DUMMYFUNCTION("""COMPUTED_VALUE"""),0.369)</f>
        <v>0.36899999999999999</v>
      </c>
      <c r="W12" s="1">
        <f ca="1">IFERROR(__xludf.DUMMYFUNCTION("""COMPUTED_VALUE"""),445)</f>
        <v>445</v>
      </c>
      <c r="X12" s="1">
        <f ca="1">IFERROR(__xludf.DUMMYFUNCTION("""COMPUTED_VALUE"""),625)</f>
        <v>625</v>
      </c>
      <c r="Y12" s="1">
        <f ca="1">IFERROR(__xludf.DUMMYFUNCTION("""COMPUTED_VALUE"""),0.712)</f>
        <v>0.71199999999999997</v>
      </c>
      <c r="Z12" s="1">
        <f ca="1">IFERROR(__xludf.DUMMYFUNCTION("""COMPUTED_VALUE"""),281)</f>
        <v>281</v>
      </c>
      <c r="AA12" s="1">
        <f ca="1">IFERROR(__xludf.DUMMYFUNCTION("""COMPUTED_VALUE"""),1050)</f>
        <v>1050</v>
      </c>
      <c r="AB12" s="1">
        <f ca="1">IFERROR(__xludf.DUMMYFUNCTION("""COMPUTED_VALUE"""),461)</f>
        <v>461</v>
      </c>
      <c r="AC12" s="1">
        <f ca="1">IFERROR(__xludf.DUMMYFUNCTION("""COMPUTED_VALUE"""),216)</f>
        <v>216</v>
      </c>
      <c r="AD12" s="1">
        <f ca="1">IFERROR(__xludf.DUMMYFUNCTION("""COMPUTED_VALUE"""),80)</f>
        <v>80</v>
      </c>
      <c r="AE12" s="1">
        <f ca="1">IFERROR(__xludf.DUMMYFUNCTION("""COMPUTED_VALUE"""),392)</f>
        <v>392</v>
      </c>
      <c r="AF12" s="1">
        <f ca="1">IFERROR(__xludf.DUMMYFUNCTION("""COMPUTED_VALUE"""),542)</f>
        <v>542</v>
      </c>
    </row>
    <row r="13" spans="1:32" ht="15.75" customHeight="1" x14ac:dyDescent="0.25">
      <c r="A13" s="1" t="str">
        <f ca="1">IFERROR(__xludf.DUMMYFUNCTION("""COMPUTED_VALUE"""),"Arizona")</f>
        <v>Arizona</v>
      </c>
      <c r="B13" s="1">
        <f ca="1">IFERROR(__xludf.DUMMYFUNCTION("""COMPUTED_VALUE"""),31)</f>
        <v>31</v>
      </c>
      <c r="C13" s="1">
        <f ca="1">IFERROR(__xludf.DUMMYFUNCTION("""COMPUTED_VALUE"""),16)</f>
        <v>16</v>
      </c>
      <c r="D13" s="1">
        <f ca="1">IFERROR(__xludf.DUMMYFUNCTION("""COMPUTED_VALUE"""),15)</f>
        <v>15</v>
      </c>
      <c r="E13" s="1">
        <f ca="1">IFERROR(__xludf.DUMMYFUNCTION("""COMPUTED_VALUE"""),0.516)</f>
        <v>0.51600000000000001</v>
      </c>
      <c r="F13" s="1">
        <f ca="1">IFERROR(__xludf.DUMMYFUNCTION("""COMPUTED_VALUE"""),7.97)</f>
        <v>7.97</v>
      </c>
      <c r="G13" s="1">
        <f ca="1">IFERROR(__xludf.DUMMYFUNCTION("""COMPUTED_VALUE"""),8.1)</f>
        <v>8.1</v>
      </c>
      <c r="H13" s="1">
        <f ca="1">IFERROR(__xludf.DUMMYFUNCTION("""COMPUTED_VALUE"""),10)</f>
        <v>10</v>
      </c>
      <c r="I13" s="1">
        <f ca="1">IFERROR(__xludf.DUMMYFUNCTION("""COMPUTED_VALUE"""),8)</f>
        <v>8</v>
      </c>
      <c r="J13" s="1">
        <f ca="1">IFERROR(__xludf.DUMMYFUNCTION("""COMPUTED_VALUE"""),11)</f>
        <v>11</v>
      </c>
      <c r="K13" s="1">
        <f ca="1">IFERROR(__xludf.DUMMYFUNCTION("""COMPUTED_VALUE"""),5)</f>
        <v>5</v>
      </c>
      <c r="L13" s="1">
        <f ca="1">IFERROR(__xludf.DUMMYFUNCTION("""COMPUTED_VALUE"""),4)</f>
        <v>4</v>
      </c>
      <c r="M13" s="1">
        <f ca="1">IFERROR(__xludf.DUMMYFUNCTION("""COMPUTED_VALUE"""),7)</f>
        <v>7</v>
      </c>
      <c r="N13" s="1">
        <f ca="1">IFERROR(__xludf.DUMMYFUNCTION("""COMPUTED_VALUE"""),2229)</f>
        <v>2229</v>
      </c>
      <c r="O13" s="1">
        <f ca="1">IFERROR(__xludf.DUMMYFUNCTION("""COMPUTED_VALUE"""),2233)</f>
        <v>2233</v>
      </c>
      <c r="P13" s="1">
        <f ca="1">IFERROR(__xludf.DUMMYFUNCTION("""COMPUTED_VALUE"""),1270)</f>
        <v>1270</v>
      </c>
      <c r="Q13" s="1">
        <f ca="1">IFERROR(__xludf.DUMMYFUNCTION("""COMPUTED_VALUE"""),745)</f>
        <v>745</v>
      </c>
      <c r="R13" s="1">
        <f ca="1">IFERROR(__xludf.DUMMYFUNCTION("""COMPUTED_VALUE"""),1681)</f>
        <v>1681</v>
      </c>
      <c r="S13" s="1">
        <f ca="1">IFERROR(__xludf.DUMMYFUNCTION("""COMPUTED_VALUE"""),0.443)</f>
        <v>0.443</v>
      </c>
      <c r="T13" s="1">
        <f ca="1">IFERROR(__xludf.DUMMYFUNCTION("""COMPUTED_VALUE"""),194)</f>
        <v>194</v>
      </c>
      <c r="U13" s="1">
        <f ca="1">IFERROR(__xludf.DUMMYFUNCTION("""COMPUTED_VALUE"""),542)</f>
        <v>542</v>
      </c>
      <c r="V13" s="1">
        <f ca="1">IFERROR(__xludf.DUMMYFUNCTION("""COMPUTED_VALUE"""),0.358)</f>
        <v>0.35799999999999998</v>
      </c>
      <c r="W13" s="1">
        <f ca="1">IFERROR(__xludf.DUMMYFUNCTION("""COMPUTED_VALUE"""),545)</f>
        <v>545</v>
      </c>
      <c r="X13" s="1">
        <f ca="1">IFERROR(__xludf.DUMMYFUNCTION("""COMPUTED_VALUE"""),744)</f>
        <v>744</v>
      </c>
      <c r="Y13" s="1">
        <f ca="1">IFERROR(__xludf.DUMMYFUNCTION("""COMPUTED_VALUE"""),0.733)</f>
        <v>0.73299999999999998</v>
      </c>
      <c r="Z13" s="1">
        <f ca="1">IFERROR(__xludf.DUMMYFUNCTION("""COMPUTED_VALUE"""),302)</f>
        <v>302</v>
      </c>
      <c r="AA13" s="1">
        <f ca="1">IFERROR(__xludf.DUMMYFUNCTION("""COMPUTED_VALUE"""),1062)</f>
        <v>1062</v>
      </c>
      <c r="AB13" s="1">
        <f ca="1">IFERROR(__xludf.DUMMYFUNCTION("""COMPUTED_VALUE"""),384)</f>
        <v>384</v>
      </c>
      <c r="AC13" s="1">
        <f ca="1">IFERROR(__xludf.DUMMYFUNCTION("""COMPUTED_VALUE"""),186)</f>
        <v>186</v>
      </c>
      <c r="AD13" s="1">
        <f ca="1">IFERROR(__xludf.DUMMYFUNCTION("""COMPUTED_VALUE"""),78)</f>
        <v>78</v>
      </c>
      <c r="AE13" s="1">
        <f ca="1">IFERROR(__xludf.DUMMYFUNCTION("""COMPUTED_VALUE"""),436)</f>
        <v>436</v>
      </c>
      <c r="AF13" s="1">
        <f ca="1">IFERROR(__xludf.DUMMYFUNCTION("""COMPUTED_VALUE"""),595)</f>
        <v>595</v>
      </c>
    </row>
    <row r="14" spans="1:32" ht="15.75" customHeight="1" x14ac:dyDescent="0.25">
      <c r="A14" s="1" t="str">
        <f ca="1">IFERROR(__xludf.DUMMYFUNCTION("""COMPUTED_VALUE"""),"Little Rock")</f>
        <v>Little Rock</v>
      </c>
      <c r="B14" s="1">
        <f ca="1">IFERROR(__xludf.DUMMYFUNCTION("""COMPUTED_VALUE"""),30)</f>
        <v>30</v>
      </c>
      <c r="C14" s="1">
        <f ca="1">IFERROR(__xludf.DUMMYFUNCTION("""COMPUTED_VALUE"""),8)</f>
        <v>8</v>
      </c>
      <c r="D14" s="1">
        <f ca="1">IFERROR(__xludf.DUMMYFUNCTION("""COMPUTED_VALUE"""),22)</f>
        <v>22</v>
      </c>
      <c r="E14" s="1">
        <f ca="1">IFERROR(__xludf.DUMMYFUNCTION("""COMPUTED_VALUE"""),0.267)</f>
        <v>0.26700000000000002</v>
      </c>
      <c r="F14" s="1">
        <f ca="1">IFERROR(__xludf.DUMMYFUNCTION("""COMPUTED_VALUE"""),-10.06)</f>
        <v>-10.06</v>
      </c>
      <c r="G14" s="1">
        <f ca="1">IFERROR(__xludf.DUMMYFUNCTION("""COMPUTED_VALUE"""),-2.23)</f>
        <v>-2.23</v>
      </c>
      <c r="H14" s="1">
        <f ca="1">IFERROR(__xludf.DUMMYFUNCTION("""COMPUTED_VALUE"""),4)</f>
        <v>4</v>
      </c>
      <c r="I14" s="1">
        <f ca="1">IFERROR(__xludf.DUMMYFUNCTION("""COMPUTED_VALUE"""),14)</f>
        <v>14</v>
      </c>
      <c r="J14" s="1">
        <f ca="1">IFERROR(__xludf.DUMMYFUNCTION("""COMPUTED_VALUE"""),8)</f>
        <v>8</v>
      </c>
      <c r="K14" s="1">
        <f ca="1">IFERROR(__xludf.DUMMYFUNCTION("""COMPUTED_VALUE"""),6)</f>
        <v>6</v>
      </c>
      <c r="L14" s="1">
        <f ca="1">IFERROR(__xludf.DUMMYFUNCTION("""COMPUTED_VALUE"""),0)</f>
        <v>0</v>
      </c>
      <c r="M14" s="1">
        <f ca="1">IFERROR(__xludf.DUMMYFUNCTION("""COMPUTED_VALUE"""),14)</f>
        <v>14</v>
      </c>
      <c r="N14" s="1">
        <f ca="1">IFERROR(__xludf.DUMMYFUNCTION("""COMPUTED_VALUE"""),2028)</f>
        <v>2028</v>
      </c>
      <c r="O14" s="1">
        <f ca="1">IFERROR(__xludf.DUMMYFUNCTION("""COMPUTED_VALUE"""),2194)</f>
        <v>2194</v>
      </c>
      <c r="P14" s="1">
        <f ca="1">IFERROR(__xludf.DUMMYFUNCTION("""COMPUTED_VALUE"""),1210)</f>
        <v>1210</v>
      </c>
      <c r="Q14" s="1">
        <f ca="1">IFERROR(__xludf.DUMMYFUNCTION("""COMPUTED_VALUE"""),670)</f>
        <v>670</v>
      </c>
      <c r="R14" s="1">
        <f ca="1">IFERROR(__xludf.DUMMYFUNCTION("""COMPUTED_VALUE"""),1576)</f>
        <v>1576</v>
      </c>
      <c r="S14" s="1">
        <f ca="1">IFERROR(__xludf.DUMMYFUNCTION("""COMPUTED_VALUE"""),0.425)</f>
        <v>0.42499999999999999</v>
      </c>
      <c r="T14" s="1">
        <f ca="1">IFERROR(__xludf.DUMMYFUNCTION("""COMPUTED_VALUE"""),185)</f>
        <v>185</v>
      </c>
      <c r="U14" s="1">
        <f ca="1">IFERROR(__xludf.DUMMYFUNCTION("""COMPUTED_VALUE"""),501)</f>
        <v>501</v>
      </c>
      <c r="V14" s="1">
        <f ca="1">IFERROR(__xludf.DUMMYFUNCTION("""COMPUTED_VALUE"""),0.369)</f>
        <v>0.36899999999999999</v>
      </c>
      <c r="W14" s="1">
        <f ca="1">IFERROR(__xludf.DUMMYFUNCTION("""COMPUTED_VALUE"""),503)</f>
        <v>503</v>
      </c>
      <c r="X14" s="1">
        <f ca="1">IFERROR(__xludf.DUMMYFUNCTION("""COMPUTED_VALUE"""),720)</f>
        <v>720</v>
      </c>
      <c r="Y14" s="1">
        <f ca="1">IFERROR(__xludf.DUMMYFUNCTION("""COMPUTED_VALUE"""),0.699)</f>
        <v>0.69899999999999995</v>
      </c>
      <c r="Z14" s="1">
        <f ca="1">IFERROR(__xludf.DUMMYFUNCTION("""COMPUTED_VALUE"""),296)</f>
        <v>296</v>
      </c>
      <c r="AA14" s="1">
        <f ca="1">IFERROR(__xludf.DUMMYFUNCTION("""COMPUTED_VALUE"""),1019)</f>
        <v>1019</v>
      </c>
      <c r="AB14" s="1">
        <f ca="1">IFERROR(__xludf.DUMMYFUNCTION("""COMPUTED_VALUE"""),363)</f>
        <v>363</v>
      </c>
      <c r="AC14" s="1">
        <f ca="1">IFERROR(__xludf.DUMMYFUNCTION("""COMPUTED_VALUE"""),141)</f>
        <v>141</v>
      </c>
      <c r="AD14" s="1">
        <f ca="1">IFERROR(__xludf.DUMMYFUNCTION("""COMPUTED_VALUE"""),81)</f>
        <v>81</v>
      </c>
      <c r="AE14" s="1">
        <f ca="1">IFERROR(__xludf.DUMMYFUNCTION("""COMPUTED_VALUE"""),402)</f>
        <v>402</v>
      </c>
      <c r="AF14" s="1">
        <f ca="1">IFERROR(__xludf.DUMMYFUNCTION("""COMPUTED_VALUE"""),597)</f>
        <v>597</v>
      </c>
    </row>
    <row r="15" spans="1:32" ht="15.75" customHeight="1" x14ac:dyDescent="0.25">
      <c r="A15" s="1" t="str">
        <f ca="1">IFERROR(__xludf.DUMMYFUNCTION("""COMPUTED_VALUE"""),"Arkansas-Pine BluffNCAA")</f>
        <v>Arkansas-Pine BluffNCAA</v>
      </c>
      <c r="B15" s="1">
        <f ca="1">IFERROR(__xludf.DUMMYFUNCTION("""COMPUTED_VALUE"""),34)</f>
        <v>34</v>
      </c>
      <c r="C15" s="1">
        <f ca="1">IFERROR(__xludf.DUMMYFUNCTION("""COMPUTED_VALUE"""),18)</f>
        <v>18</v>
      </c>
      <c r="D15" s="1">
        <f ca="1">IFERROR(__xludf.DUMMYFUNCTION("""COMPUTED_VALUE"""),16)</f>
        <v>16</v>
      </c>
      <c r="E15" s="1">
        <f ca="1">IFERROR(__xludf.DUMMYFUNCTION("""COMPUTED_VALUE"""),0.529)</f>
        <v>0.52900000000000003</v>
      </c>
      <c r="F15" s="1">
        <f ca="1">IFERROR(__xludf.DUMMYFUNCTION("""COMPUTED_VALUE"""),-8.29)</f>
        <v>-8.2899999999999991</v>
      </c>
      <c r="G15" s="1">
        <f ca="1">IFERROR(__xludf.DUMMYFUNCTION("""COMPUTED_VALUE"""),-7.68)</f>
        <v>-7.68</v>
      </c>
      <c r="H15" s="1">
        <f ca="1">IFERROR(__xludf.DUMMYFUNCTION("""COMPUTED_VALUE"""),14)</f>
        <v>14</v>
      </c>
      <c r="I15" s="1">
        <f ca="1">IFERROR(__xludf.DUMMYFUNCTION("""COMPUTED_VALUE"""),4)</f>
        <v>4</v>
      </c>
      <c r="J15" s="1">
        <f ca="1">IFERROR(__xludf.DUMMYFUNCTION("""COMPUTED_VALUE"""),8)</f>
        <v>8</v>
      </c>
      <c r="K15" s="1">
        <f ca="1">IFERROR(__xludf.DUMMYFUNCTION("""COMPUTED_VALUE"""),1)</f>
        <v>1</v>
      </c>
      <c r="L15" s="1">
        <f ca="1">IFERROR(__xludf.DUMMYFUNCTION("""COMPUTED_VALUE"""),5)</f>
        <v>5</v>
      </c>
      <c r="M15" s="1">
        <f ca="1">IFERROR(__xludf.DUMMYFUNCTION("""COMPUTED_VALUE"""),14)</f>
        <v>14</v>
      </c>
      <c r="N15" s="1">
        <f ca="1">IFERROR(__xludf.DUMMYFUNCTION("""COMPUTED_VALUE"""),2166)</f>
        <v>2166</v>
      </c>
      <c r="O15" s="1">
        <f ca="1">IFERROR(__xludf.DUMMYFUNCTION("""COMPUTED_VALUE"""),2187)</f>
        <v>2187</v>
      </c>
      <c r="P15" s="1">
        <f ca="1">IFERROR(__xludf.DUMMYFUNCTION("""COMPUTED_VALUE"""),1380)</f>
        <v>1380</v>
      </c>
      <c r="Q15" s="1">
        <f ca="1">IFERROR(__xludf.DUMMYFUNCTION("""COMPUTED_VALUE"""),725)</f>
        <v>725</v>
      </c>
      <c r="R15" s="1">
        <f ca="1">IFERROR(__xludf.DUMMYFUNCTION("""COMPUTED_VALUE"""),1778)</f>
        <v>1778</v>
      </c>
      <c r="S15" s="1">
        <f ca="1">IFERROR(__xludf.DUMMYFUNCTION("""COMPUTED_VALUE"""),0.408)</f>
        <v>0.40799999999999997</v>
      </c>
      <c r="T15" s="1">
        <f ca="1">IFERROR(__xludf.DUMMYFUNCTION("""COMPUTED_VALUE"""),141)</f>
        <v>141</v>
      </c>
      <c r="U15" s="1">
        <f ca="1">IFERROR(__xludf.DUMMYFUNCTION("""COMPUTED_VALUE"""),466)</f>
        <v>466</v>
      </c>
      <c r="V15" s="1">
        <f ca="1">IFERROR(__xludf.DUMMYFUNCTION("""COMPUTED_VALUE"""),0.303)</f>
        <v>0.30299999999999999</v>
      </c>
      <c r="W15" s="1">
        <f ca="1">IFERROR(__xludf.DUMMYFUNCTION("""COMPUTED_VALUE"""),575)</f>
        <v>575</v>
      </c>
      <c r="X15" s="1">
        <f ca="1">IFERROR(__xludf.DUMMYFUNCTION("""COMPUTED_VALUE"""),861)</f>
        <v>861</v>
      </c>
      <c r="Y15" s="1">
        <f ca="1">IFERROR(__xludf.DUMMYFUNCTION("""COMPUTED_VALUE"""),0.668)</f>
        <v>0.66800000000000004</v>
      </c>
      <c r="Z15" s="1">
        <f ca="1">IFERROR(__xludf.DUMMYFUNCTION("""COMPUTED_VALUE"""),422)</f>
        <v>422</v>
      </c>
      <c r="AA15" s="1">
        <f ca="1">IFERROR(__xludf.DUMMYFUNCTION("""COMPUTED_VALUE"""),1286)</f>
        <v>1286</v>
      </c>
      <c r="AB15" s="1">
        <f ca="1">IFERROR(__xludf.DUMMYFUNCTION("""COMPUTED_VALUE"""),421)</f>
        <v>421</v>
      </c>
      <c r="AC15" s="1">
        <f ca="1">IFERROR(__xludf.DUMMYFUNCTION("""COMPUTED_VALUE"""),229)</f>
        <v>229</v>
      </c>
      <c r="AD15" s="1">
        <f ca="1">IFERROR(__xludf.DUMMYFUNCTION("""COMPUTED_VALUE"""),121)</f>
        <v>121</v>
      </c>
      <c r="AE15" s="1">
        <f ca="1">IFERROR(__xludf.DUMMYFUNCTION("""COMPUTED_VALUE"""),569)</f>
        <v>569</v>
      </c>
      <c r="AF15" s="1">
        <f ca="1">IFERROR(__xludf.DUMMYFUNCTION("""COMPUTED_VALUE"""),764)</f>
        <v>764</v>
      </c>
    </row>
    <row r="16" spans="1:32" ht="15.75" customHeight="1" x14ac:dyDescent="0.25">
      <c r="A16" s="1" t="str">
        <f ca="1">IFERROR(__xludf.DUMMYFUNCTION("""COMPUTED_VALUE"""),"Arkansas State")</f>
        <v>Arkansas State</v>
      </c>
      <c r="B16" s="1">
        <f ca="1">IFERROR(__xludf.DUMMYFUNCTION("""COMPUTED_VALUE"""),31)</f>
        <v>31</v>
      </c>
      <c r="C16" s="1">
        <f ca="1">IFERROR(__xludf.DUMMYFUNCTION("""COMPUTED_VALUE"""),17)</f>
        <v>17</v>
      </c>
      <c r="D16" s="1">
        <f ca="1">IFERROR(__xludf.DUMMYFUNCTION("""COMPUTED_VALUE"""),14)</f>
        <v>14</v>
      </c>
      <c r="E16" s="1">
        <f ca="1">IFERROR(__xludf.DUMMYFUNCTION("""COMPUTED_VALUE"""),0.548)</f>
        <v>0.54800000000000004</v>
      </c>
      <c r="F16" s="1">
        <f ca="1">IFERROR(__xludf.DUMMYFUNCTION("""COMPUTED_VALUE"""),-4.01)</f>
        <v>-4.01</v>
      </c>
      <c r="G16" s="1">
        <f ca="1">IFERROR(__xludf.DUMMYFUNCTION("""COMPUTED_VALUE"""),-4.39)</f>
        <v>-4.3899999999999997</v>
      </c>
      <c r="H16" s="1">
        <f ca="1">IFERROR(__xludf.DUMMYFUNCTION("""COMPUTED_VALUE"""),11)</f>
        <v>11</v>
      </c>
      <c r="I16" s="1">
        <f ca="1">IFERROR(__xludf.DUMMYFUNCTION("""COMPUTED_VALUE"""),7)</f>
        <v>7</v>
      </c>
      <c r="J16" s="1">
        <f ca="1">IFERROR(__xludf.DUMMYFUNCTION("""COMPUTED_VALUE"""),10)</f>
        <v>10</v>
      </c>
      <c r="K16" s="1">
        <f ca="1">IFERROR(__xludf.DUMMYFUNCTION("""COMPUTED_VALUE"""),5)</f>
        <v>5</v>
      </c>
      <c r="L16" s="1">
        <f ca="1">IFERROR(__xludf.DUMMYFUNCTION("""COMPUTED_VALUE"""),5)</f>
        <v>5</v>
      </c>
      <c r="M16" s="1">
        <f ca="1">IFERROR(__xludf.DUMMYFUNCTION("""COMPUTED_VALUE"""),8)</f>
        <v>8</v>
      </c>
      <c r="N16" s="1">
        <f ca="1">IFERROR(__xludf.DUMMYFUNCTION("""COMPUTED_VALUE"""),2160)</f>
        <v>2160</v>
      </c>
      <c r="O16" s="1">
        <f ca="1">IFERROR(__xludf.DUMMYFUNCTION("""COMPUTED_VALUE"""),2065)</f>
        <v>2065</v>
      </c>
      <c r="P16" s="1">
        <f ca="1">IFERROR(__xludf.DUMMYFUNCTION("""COMPUTED_VALUE"""),1250)</f>
        <v>1250</v>
      </c>
      <c r="Q16" s="1">
        <f ca="1">IFERROR(__xludf.DUMMYFUNCTION("""COMPUTED_VALUE"""),768)</f>
        <v>768</v>
      </c>
      <c r="R16" s="1">
        <f ca="1">IFERROR(__xludf.DUMMYFUNCTION("""COMPUTED_VALUE"""),1721)</f>
        <v>1721</v>
      </c>
      <c r="S16" s="1">
        <f ca="1">IFERROR(__xludf.DUMMYFUNCTION("""COMPUTED_VALUE"""),0.446)</f>
        <v>0.44600000000000001</v>
      </c>
      <c r="T16" s="1">
        <f ca="1">IFERROR(__xludf.DUMMYFUNCTION("""COMPUTED_VALUE"""),172)</f>
        <v>172</v>
      </c>
      <c r="U16" s="1">
        <f ca="1">IFERROR(__xludf.DUMMYFUNCTION("""COMPUTED_VALUE"""),493)</f>
        <v>493</v>
      </c>
      <c r="V16" s="1">
        <f ca="1">IFERROR(__xludf.DUMMYFUNCTION("""COMPUTED_VALUE"""),0.349)</f>
        <v>0.34899999999999998</v>
      </c>
      <c r="W16" s="1">
        <f ca="1">IFERROR(__xludf.DUMMYFUNCTION("""COMPUTED_VALUE"""),452)</f>
        <v>452</v>
      </c>
      <c r="X16" s="1">
        <f ca="1">IFERROR(__xludf.DUMMYFUNCTION("""COMPUTED_VALUE"""),682)</f>
        <v>682</v>
      </c>
      <c r="Y16" s="1">
        <f ca="1">IFERROR(__xludf.DUMMYFUNCTION("""COMPUTED_VALUE"""),0.663)</f>
        <v>0.66300000000000003</v>
      </c>
      <c r="Z16" s="1">
        <f ca="1">IFERROR(__xludf.DUMMYFUNCTION("""COMPUTED_VALUE"""),367)</f>
        <v>367</v>
      </c>
      <c r="AA16" s="1">
        <f ca="1">IFERROR(__xludf.DUMMYFUNCTION("""COMPUTED_VALUE"""),1188)</f>
        <v>1188</v>
      </c>
      <c r="AB16" s="1">
        <f ca="1">IFERROR(__xludf.DUMMYFUNCTION("""COMPUTED_VALUE"""),406)</f>
        <v>406</v>
      </c>
      <c r="AC16" s="1">
        <f ca="1">IFERROR(__xludf.DUMMYFUNCTION("""COMPUTED_VALUE"""),159)</f>
        <v>159</v>
      </c>
      <c r="AD16" s="1">
        <f ca="1">IFERROR(__xludf.DUMMYFUNCTION("""COMPUTED_VALUE"""),129)</f>
        <v>129</v>
      </c>
      <c r="AE16" s="1">
        <f ca="1">IFERROR(__xludf.DUMMYFUNCTION("""COMPUTED_VALUE"""),430)</f>
        <v>430</v>
      </c>
      <c r="AF16" s="1">
        <f ca="1">IFERROR(__xludf.DUMMYFUNCTION("""COMPUTED_VALUE"""),562)</f>
        <v>562</v>
      </c>
    </row>
    <row r="17" spans="1:32" ht="15.75" customHeight="1" x14ac:dyDescent="0.25">
      <c r="A17" s="1" t="str">
        <f ca="1">IFERROR(__xludf.DUMMYFUNCTION("""COMPUTED_VALUE"""),"Arkansas")</f>
        <v>Arkansas</v>
      </c>
      <c r="B17" s="1">
        <f ca="1">IFERROR(__xludf.DUMMYFUNCTION("""COMPUTED_VALUE"""),32)</f>
        <v>32</v>
      </c>
      <c r="C17" s="1">
        <f ca="1">IFERROR(__xludf.DUMMYFUNCTION("""COMPUTED_VALUE"""),14)</f>
        <v>14</v>
      </c>
      <c r="D17" s="1">
        <f ca="1">IFERROR(__xludf.DUMMYFUNCTION("""COMPUTED_VALUE"""),18)</f>
        <v>18</v>
      </c>
      <c r="E17" s="1">
        <f ca="1">IFERROR(__xludf.DUMMYFUNCTION("""COMPUTED_VALUE"""),0.438)</f>
        <v>0.438</v>
      </c>
      <c r="F17" s="1">
        <f ca="1">IFERROR(__xludf.DUMMYFUNCTION("""COMPUTED_VALUE"""),5.87)</f>
        <v>5.87</v>
      </c>
      <c r="G17" s="1">
        <f ca="1">IFERROR(__xludf.DUMMYFUNCTION("""COMPUTED_VALUE"""),5.09)</f>
        <v>5.09</v>
      </c>
      <c r="H17" s="1">
        <f ca="1">IFERROR(__xludf.DUMMYFUNCTION("""COMPUTED_VALUE"""),7)</f>
        <v>7</v>
      </c>
      <c r="I17" s="1">
        <f ca="1">IFERROR(__xludf.DUMMYFUNCTION("""COMPUTED_VALUE"""),9)</f>
        <v>9</v>
      </c>
      <c r="J17" s="1">
        <f ca="1">IFERROR(__xludf.DUMMYFUNCTION("""COMPUTED_VALUE"""),12)</f>
        <v>12</v>
      </c>
      <c r="K17" s="1">
        <f ca="1">IFERROR(__xludf.DUMMYFUNCTION("""COMPUTED_VALUE"""),8)</f>
        <v>8</v>
      </c>
      <c r="L17" s="1">
        <f ca="1">IFERROR(__xludf.DUMMYFUNCTION("""COMPUTED_VALUE"""),2)</f>
        <v>2</v>
      </c>
      <c r="M17" s="1">
        <f ca="1">IFERROR(__xludf.DUMMYFUNCTION("""COMPUTED_VALUE"""),7)</f>
        <v>7</v>
      </c>
      <c r="N17" s="1">
        <f ca="1">IFERROR(__xludf.DUMMYFUNCTION("""COMPUTED_VALUE"""),2391)</f>
        <v>2391</v>
      </c>
      <c r="O17" s="1">
        <f ca="1">IFERROR(__xludf.DUMMYFUNCTION("""COMPUTED_VALUE"""),2366)</f>
        <v>2366</v>
      </c>
      <c r="P17" s="1">
        <f ca="1">IFERROR(__xludf.DUMMYFUNCTION("""COMPUTED_VALUE"""),1295)</f>
        <v>1295</v>
      </c>
      <c r="Q17" s="1">
        <f ca="1">IFERROR(__xludf.DUMMYFUNCTION("""COMPUTED_VALUE"""),829)</f>
        <v>829</v>
      </c>
      <c r="R17" s="1">
        <f ca="1">IFERROR(__xludf.DUMMYFUNCTION("""COMPUTED_VALUE"""),1859)</f>
        <v>1859</v>
      </c>
      <c r="S17" s="1">
        <f ca="1">IFERROR(__xludf.DUMMYFUNCTION("""COMPUTED_VALUE"""),0.446)</f>
        <v>0.44600000000000001</v>
      </c>
      <c r="T17" s="1">
        <f ca="1">IFERROR(__xludf.DUMMYFUNCTION("""COMPUTED_VALUE"""),201)</f>
        <v>201</v>
      </c>
      <c r="U17" s="1">
        <f ca="1">IFERROR(__xludf.DUMMYFUNCTION("""COMPUTED_VALUE"""),579)</f>
        <v>579</v>
      </c>
      <c r="V17" s="1">
        <f ca="1">IFERROR(__xludf.DUMMYFUNCTION("""COMPUTED_VALUE"""),0.347)</f>
        <v>0.34699999999999998</v>
      </c>
      <c r="W17" s="1">
        <f ca="1">IFERROR(__xludf.DUMMYFUNCTION("""COMPUTED_VALUE"""),532)</f>
        <v>532</v>
      </c>
      <c r="X17" s="1">
        <f ca="1">IFERROR(__xludf.DUMMYFUNCTION("""COMPUTED_VALUE"""),782)</f>
        <v>782</v>
      </c>
      <c r="Y17" s="1">
        <f ca="1">IFERROR(__xludf.DUMMYFUNCTION("""COMPUTED_VALUE"""),0.68)</f>
        <v>0.68</v>
      </c>
      <c r="Z17" s="1">
        <f ca="1">IFERROR(__xludf.DUMMYFUNCTION("""COMPUTED_VALUE"""),351)</f>
        <v>351</v>
      </c>
      <c r="AA17" s="1">
        <f ca="1">IFERROR(__xludf.DUMMYFUNCTION("""COMPUTED_VALUE"""),1103)</f>
        <v>1103</v>
      </c>
      <c r="AB17" s="1">
        <f ca="1">IFERROR(__xludf.DUMMYFUNCTION("""COMPUTED_VALUE"""),440)</f>
        <v>440</v>
      </c>
      <c r="AC17" s="1">
        <f ca="1">IFERROR(__xludf.DUMMYFUNCTION("""COMPUTED_VALUE"""),232)</f>
        <v>232</v>
      </c>
      <c r="AD17" s="1">
        <f ca="1">IFERROR(__xludf.DUMMYFUNCTION("""COMPUTED_VALUE"""),130)</f>
        <v>130</v>
      </c>
      <c r="AE17" s="1">
        <f ca="1">IFERROR(__xludf.DUMMYFUNCTION("""COMPUTED_VALUE"""),439)</f>
        <v>439</v>
      </c>
      <c r="AF17" s="1">
        <f ca="1">IFERROR(__xludf.DUMMYFUNCTION("""COMPUTED_VALUE"""),598)</f>
        <v>598</v>
      </c>
    </row>
    <row r="18" spans="1:32" ht="15.75" customHeight="1" x14ac:dyDescent="0.25">
      <c r="A18" s="1" t="str">
        <f ca="1">IFERROR(__xludf.DUMMYFUNCTION("""COMPUTED_VALUE"""),"Army")</f>
        <v>Army</v>
      </c>
      <c r="B18" s="1">
        <f ca="1">IFERROR(__xludf.DUMMYFUNCTION("""COMPUTED_VALUE"""),29)</f>
        <v>29</v>
      </c>
      <c r="C18" s="1">
        <f ca="1">IFERROR(__xludf.DUMMYFUNCTION("""COMPUTED_VALUE"""),14)</f>
        <v>14</v>
      </c>
      <c r="D18" s="1">
        <f ca="1">IFERROR(__xludf.DUMMYFUNCTION("""COMPUTED_VALUE"""),15)</f>
        <v>15</v>
      </c>
      <c r="E18" s="1">
        <f ca="1">IFERROR(__xludf.DUMMYFUNCTION("""COMPUTED_VALUE"""),0.483)</f>
        <v>0.48299999999999998</v>
      </c>
      <c r="F18" s="1">
        <f ca="1">IFERROR(__xludf.DUMMYFUNCTION("""COMPUTED_VALUE"""),-9.11)</f>
        <v>-9.11</v>
      </c>
      <c r="G18" s="1">
        <f ca="1">IFERROR(__xludf.DUMMYFUNCTION("""COMPUTED_VALUE"""),-7.96)</f>
        <v>-7.96</v>
      </c>
      <c r="H18" s="1">
        <f ca="1">IFERROR(__xludf.DUMMYFUNCTION("""COMPUTED_VALUE"""),4)</f>
        <v>4</v>
      </c>
      <c r="I18" s="1">
        <f ca="1">IFERROR(__xludf.DUMMYFUNCTION("""COMPUTED_VALUE"""),10)</f>
        <v>10</v>
      </c>
      <c r="J18" s="1">
        <f ca="1">IFERROR(__xludf.DUMMYFUNCTION("""COMPUTED_VALUE"""),10)</f>
        <v>10</v>
      </c>
      <c r="K18" s="1">
        <f ca="1">IFERROR(__xludf.DUMMYFUNCTION("""COMPUTED_VALUE"""),4)</f>
        <v>4</v>
      </c>
      <c r="L18" s="1">
        <f ca="1">IFERROR(__xludf.DUMMYFUNCTION("""COMPUTED_VALUE"""),4)</f>
        <v>4</v>
      </c>
      <c r="M18" s="1">
        <f ca="1">IFERROR(__xludf.DUMMYFUNCTION("""COMPUTED_VALUE"""),11)</f>
        <v>11</v>
      </c>
      <c r="N18" s="1">
        <f ca="1">IFERROR(__xludf.DUMMYFUNCTION("""COMPUTED_VALUE"""),1749)</f>
        <v>1749</v>
      </c>
      <c r="O18" s="1">
        <f ca="1">IFERROR(__xludf.DUMMYFUNCTION("""COMPUTED_VALUE"""),1768)</f>
        <v>1768</v>
      </c>
      <c r="P18" s="1">
        <f ca="1">IFERROR(__xludf.DUMMYFUNCTION("""COMPUTED_VALUE"""),1165)</f>
        <v>1165</v>
      </c>
      <c r="Q18" s="1">
        <f ca="1">IFERROR(__xludf.DUMMYFUNCTION("""COMPUTED_VALUE"""),637)</f>
        <v>637</v>
      </c>
      <c r="R18" s="1">
        <f ca="1">IFERROR(__xludf.DUMMYFUNCTION("""COMPUTED_VALUE"""),1538)</f>
        <v>1538</v>
      </c>
      <c r="S18" s="1">
        <f ca="1">IFERROR(__xludf.DUMMYFUNCTION("""COMPUTED_VALUE"""),0.414)</f>
        <v>0.41399999999999998</v>
      </c>
      <c r="T18" s="1">
        <f ca="1">IFERROR(__xludf.DUMMYFUNCTION("""COMPUTED_VALUE"""),159)</f>
        <v>159</v>
      </c>
      <c r="U18" s="1">
        <f ca="1">IFERROR(__xludf.DUMMYFUNCTION("""COMPUTED_VALUE"""),488)</f>
        <v>488</v>
      </c>
      <c r="V18" s="1">
        <f ca="1">IFERROR(__xludf.DUMMYFUNCTION("""COMPUTED_VALUE"""),0.326)</f>
        <v>0.32600000000000001</v>
      </c>
      <c r="W18" s="1">
        <f ca="1">IFERROR(__xludf.DUMMYFUNCTION("""COMPUTED_VALUE"""),316)</f>
        <v>316</v>
      </c>
      <c r="X18" s="1">
        <f ca="1">IFERROR(__xludf.DUMMYFUNCTION("""COMPUTED_VALUE"""),483)</f>
        <v>483</v>
      </c>
      <c r="Y18" s="1">
        <f ca="1">IFERROR(__xludf.DUMMYFUNCTION("""COMPUTED_VALUE"""),0.654)</f>
        <v>0.65400000000000003</v>
      </c>
      <c r="Z18" s="1">
        <f ca="1">IFERROR(__xludf.DUMMYFUNCTION("""COMPUTED_VALUE"""),300)</f>
        <v>300</v>
      </c>
      <c r="AA18" s="1">
        <f ca="1">IFERROR(__xludf.DUMMYFUNCTION("""COMPUTED_VALUE"""),928)</f>
        <v>928</v>
      </c>
      <c r="AB18" s="1">
        <f ca="1">IFERROR(__xludf.DUMMYFUNCTION("""COMPUTED_VALUE"""),334)</f>
        <v>334</v>
      </c>
      <c r="AC18" s="1">
        <f ca="1">IFERROR(__xludf.DUMMYFUNCTION("""COMPUTED_VALUE"""),239)</f>
        <v>239</v>
      </c>
      <c r="AD18" s="1">
        <f ca="1">IFERROR(__xludf.DUMMYFUNCTION("""COMPUTED_VALUE"""),74)</f>
        <v>74</v>
      </c>
      <c r="AE18" s="1">
        <f ca="1">IFERROR(__xludf.DUMMYFUNCTION("""COMPUTED_VALUE"""),430)</f>
        <v>430</v>
      </c>
      <c r="AF18" s="1">
        <f ca="1">IFERROR(__xludf.DUMMYFUNCTION("""COMPUTED_VALUE"""),580)</f>
        <v>580</v>
      </c>
    </row>
    <row r="19" spans="1:32" ht="12.5" x14ac:dyDescent="0.25">
      <c r="A19" s="1" t="str">
        <f ca="1">IFERROR(__xludf.DUMMYFUNCTION("""COMPUTED_VALUE"""),"Auburn")</f>
        <v>Auburn</v>
      </c>
      <c r="B19" s="1">
        <f ca="1">IFERROR(__xludf.DUMMYFUNCTION("""COMPUTED_VALUE"""),32)</f>
        <v>32</v>
      </c>
      <c r="C19" s="1">
        <f ca="1">IFERROR(__xludf.DUMMYFUNCTION("""COMPUTED_VALUE"""),15)</f>
        <v>15</v>
      </c>
      <c r="D19" s="1">
        <f ca="1">IFERROR(__xludf.DUMMYFUNCTION("""COMPUTED_VALUE"""),17)</f>
        <v>17</v>
      </c>
      <c r="E19" s="1">
        <f ca="1">IFERROR(__xludf.DUMMYFUNCTION("""COMPUTED_VALUE"""),0.469)</f>
        <v>0.46899999999999997</v>
      </c>
      <c r="F19" s="1">
        <f ca="1">IFERROR(__xludf.DUMMYFUNCTION("""COMPUTED_VALUE"""),5.49)</f>
        <v>5.49</v>
      </c>
      <c r="G19" s="1">
        <f ca="1">IFERROR(__xludf.DUMMYFUNCTION("""COMPUTED_VALUE"""),4.68)</f>
        <v>4.68</v>
      </c>
      <c r="H19" s="1">
        <f ca="1">IFERROR(__xludf.DUMMYFUNCTION("""COMPUTED_VALUE"""),6)</f>
        <v>6</v>
      </c>
      <c r="I19" s="1">
        <f ca="1">IFERROR(__xludf.DUMMYFUNCTION("""COMPUTED_VALUE"""),10)</f>
        <v>10</v>
      </c>
      <c r="J19" s="1">
        <f ca="1">IFERROR(__xludf.DUMMYFUNCTION("""COMPUTED_VALUE"""),12)</f>
        <v>12</v>
      </c>
      <c r="K19" s="1">
        <f ca="1">IFERROR(__xludf.DUMMYFUNCTION("""COMPUTED_VALUE"""),5)</f>
        <v>5</v>
      </c>
      <c r="L19" s="1">
        <f ca="1">IFERROR(__xludf.DUMMYFUNCTION("""COMPUTED_VALUE"""),1)</f>
        <v>1</v>
      </c>
      <c r="M19" s="1">
        <f ca="1">IFERROR(__xludf.DUMMYFUNCTION("""COMPUTED_VALUE"""),9)</f>
        <v>9</v>
      </c>
      <c r="N19" s="1">
        <f ca="1">IFERROR(__xludf.DUMMYFUNCTION("""COMPUTED_VALUE"""),2422)</f>
        <v>2422</v>
      </c>
      <c r="O19" s="1">
        <f ca="1">IFERROR(__xludf.DUMMYFUNCTION("""COMPUTED_VALUE"""),2373)</f>
        <v>2373</v>
      </c>
      <c r="P19" s="1">
        <f ca="1">IFERROR(__xludf.DUMMYFUNCTION("""COMPUTED_VALUE"""),1290)</f>
        <v>1290</v>
      </c>
      <c r="Q19" s="1">
        <f ca="1">IFERROR(__xludf.DUMMYFUNCTION("""COMPUTED_VALUE"""),850)</f>
        <v>850</v>
      </c>
      <c r="R19" s="1">
        <f ca="1">IFERROR(__xludf.DUMMYFUNCTION("""COMPUTED_VALUE"""),1913)</f>
        <v>1913</v>
      </c>
      <c r="S19" s="1">
        <f ca="1">IFERROR(__xludf.DUMMYFUNCTION("""COMPUTED_VALUE"""),0.444)</f>
        <v>0.44400000000000001</v>
      </c>
      <c r="T19" s="1">
        <f ca="1">IFERROR(__xludf.DUMMYFUNCTION("""COMPUTED_VALUE"""),271)</f>
        <v>271</v>
      </c>
      <c r="U19" s="1">
        <f ca="1">IFERROR(__xludf.DUMMYFUNCTION("""COMPUTED_VALUE"""),819)</f>
        <v>819</v>
      </c>
      <c r="V19" s="1">
        <f ca="1">IFERROR(__xludf.DUMMYFUNCTION("""COMPUTED_VALUE"""),0.331)</f>
        <v>0.33100000000000002</v>
      </c>
      <c r="W19" s="1">
        <f ca="1">IFERROR(__xludf.DUMMYFUNCTION("""COMPUTED_VALUE"""),451)</f>
        <v>451</v>
      </c>
      <c r="X19" s="1">
        <f ca="1">IFERROR(__xludf.DUMMYFUNCTION("""COMPUTED_VALUE"""),689)</f>
        <v>689</v>
      </c>
      <c r="Y19" s="1">
        <f ca="1">IFERROR(__xludf.DUMMYFUNCTION("""COMPUTED_VALUE"""),0.655)</f>
        <v>0.65500000000000003</v>
      </c>
      <c r="Z19" s="1">
        <f ca="1">IFERROR(__xludf.DUMMYFUNCTION("""COMPUTED_VALUE"""),382)</f>
        <v>382</v>
      </c>
      <c r="AA19" s="1">
        <f ca="1">IFERROR(__xludf.DUMMYFUNCTION("""COMPUTED_VALUE"""),1121)</f>
        <v>1121</v>
      </c>
      <c r="AB19" s="1">
        <f ca="1">IFERROR(__xludf.DUMMYFUNCTION("""COMPUTED_VALUE"""),419)</f>
        <v>419</v>
      </c>
      <c r="AC19" s="1">
        <f ca="1">IFERROR(__xludf.DUMMYFUNCTION("""COMPUTED_VALUE"""),252)</f>
        <v>252</v>
      </c>
      <c r="AD19" s="1">
        <f ca="1">IFERROR(__xludf.DUMMYFUNCTION("""COMPUTED_VALUE"""),89)</f>
        <v>89</v>
      </c>
      <c r="AE19" s="1">
        <f ca="1">IFERROR(__xludf.DUMMYFUNCTION("""COMPUTED_VALUE"""),437)</f>
        <v>437</v>
      </c>
      <c r="AF19" s="1">
        <f ca="1">IFERROR(__xludf.DUMMYFUNCTION("""COMPUTED_VALUE"""),635)</f>
        <v>635</v>
      </c>
    </row>
    <row r="20" spans="1:32" ht="12.5" x14ac:dyDescent="0.25">
      <c r="A20" s="1" t="str">
        <f ca="1">IFERROR(__xludf.DUMMYFUNCTION("""COMPUTED_VALUE"""),"Austin Peay")</f>
        <v>Austin Peay</v>
      </c>
      <c r="B20" s="1">
        <f ca="1">IFERROR(__xludf.DUMMYFUNCTION("""COMPUTED_VALUE"""),32)</f>
        <v>32</v>
      </c>
      <c r="C20" s="1">
        <f ca="1">IFERROR(__xludf.DUMMYFUNCTION("""COMPUTED_VALUE"""),17)</f>
        <v>17</v>
      </c>
      <c r="D20" s="1">
        <f ca="1">IFERROR(__xludf.DUMMYFUNCTION("""COMPUTED_VALUE"""),15)</f>
        <v>15</v>
      </c>
      <c r="E20" s="1">
        <f ca="1">IFERROR(__xludf.DUMMYFUNCTION("""COMPUTED_VALUE"""),0.531)</f>
        <v>0.53100000000000003</v>
      </c>
      <c r="F20" s="1">
        <f ca="1">IFERROR(__xludf.DUMMYFUNCTION("""COMPUTED_VALUE"""),-3.85)</f>
        <v>-3.85</v>
      </c>
      <c r="G20" s="1">
        <f ca="1">IFERROR(__xludf.DUMMYFUNCTION("""COMPUTED_VALUE"""),-1.68)</f>
        <v>-1.68</v>
      </c>
      <c r="H20" s="1">
        <f ca="1">IFERROR(__xludf.DUMMYFUNCTION("""COMPUTED_VALUE"""),11)</f>
        <v>11</v>
      </c>
      <c r="I20" s="1">
        <f ca="1">IFERROR(__xludf.DUMMYFUNCTION("""COMPUTED_VALUE"""),7)</f>
        <v>7</v>
      </c>
      <c r="J20" s="1">
        <f ca="1">IFERROR(__xludf.DUMMYFUNCTION("""COMPUTED_VALUE"""),11)</f>
        <v>11</v>
      </c>
      <c r="K20" s="1">
        <f ca="1">IFERROR(__xludf.DUMMYFUNCTION("""COMPUTED_VALUE"""),4)</f>
        <v>4</v>
      </c>
      <c r="L20" s="1">
        <f ca="1">IFERROR(__xludf.DUMMYFUNCTION("""COMPUTED_VALUE"""),5)</f>
        <v>5</v>
      </c>
      <c r="M20" s="1">
        <f ca="1">IFERROR(__xludf.DUMMYFUNCTION("""COMPUTED_VALUE"""),9)</f>
        <v>9</v>
      </c>
      <c r="N20" s="1">
        <f ca="1">IFERROR(__xludf.DUMMYFUNCTION("""COMPUTED_VALUE"""),2320)</f>
        <v>2320</v>
      </c>
      <c r="O20" s="1">
        <f ca="1">IFERROR(__xludf.DUMMYFUNCTION("""COMPUTED_VALUE"""),2317)</f>
        <v>2317</v>
      </c>
      <c r="P20" s="1">
        <f ca="1">IFERROR(__xludf.DUMMYFUNCTION("""COMPUTED_VALUE"""),1305)</f>
        <v>1305</v>
      </c>
      <c r="Q20" s="1">
        <f ca="1">IFERROR(__xludf.DUMMYFUNCTION("""COMPUTED_VALUE"""),786)</f>
        <v>786</v>
      </c>
      <c r="R20" s="1">
        <f ca="1">IFERROR(__xludf.DUMMYFUNCTION("""COMPUTED_VALUE"""),1727)</f>
        <v>1727</v>
      </c>
      <c r="S20" s="1">
        <f ca="1">IFERROR(__xludf.DUMMYFUNCTION("""COMPUTED_VALUE"""),0.455)</f>
        <v>0.45500000000000002</v>
      </c>
      <c r="T20" s="1">
        <f ca="1">IFERROR(__xludf.DUMMYFUNCTION("""COMPUTED_VALUE"""),200)</f>
        <v>200</v>
      </c>
      <c r="U20" s="1">
        <f ca="1">IFERROR(__xludf.DUMMYFUNCTION("""COMPUTED_VALUE"""),547)</f>
        <v>547</v>
      </c>
      <c r="V20" s="1">
        <f ca="1">IFERROR(__xludf.DUMMYFUNCTION("""COMPUTED_VALUE"""),0.366)</f>
        <v>0.36599999999999999</v>
      </c>
      <c r="W20" s="1">
        <f ca="1">IFERROR(__xludf.DUMMYFUNCTION("""COMPUTED_VALUE"""),548)</f>
        <v>548</v>
      </c>
      <c r="X20" s="1">
        <f ca="1">IFERROR(__xludf.DUMMYFUNCTION("""COMPUTED_VALUE"""),790)</f>
        <v>790</v>
      </c>
      <c r="Y20" s="1">
        <f ca="1">IFERROR(__xludf.DUMMYFUNCTION("""COMPUTED_VALUE"""),0.694)</f>
        <v>0.69399999999999995</v>
      </c>
      <c r="Z20" s="1">
        <f ca="1">IFERROR(__xludf.DUMMYFUNCTION("""COMPUTED_VALUE"""),347)</f>
        <v>347</v>
      </c>
      <c r="AA20" s="1">
        <f ca="1">IFERROR(__xludf.DUMMYFUNCTION("""COMPUTED_VALUE"""),1092)</f>
        <v>1092</v>
      </c>
      <c r="AB20" s="1">
        <f ca="1">IFERROR(__xludf.DUMMYFUNCTION("""COMPUTED_VALUE"""),429)</f>
        <v>429</v>
      </c>
      <c r="AC20" s="1">
        <f ca="1">IFERROR(__xludf.DUMMYFUNCTION("""COMPUTED_VALUE"""),189)</f>
        <v>189</v>
      </c>
      <c r="AD20" s="1">
        <f ca="1">IFERROR(__xludf.DUMMYFUNCTION("""COMPUTED_VALUE"""),107)</f>
        <v>107</v>
      </c>
      <c r="AE20" s="1">
        <f ca="1">IFERROR(__xludf.DUMMYFUNCTION("""COMPUTED_VALUE"""),458)</f>
        <v>458</v>
      </c>
      <c r="AF20" s="1">
        <f ca="1">IFERROR(__xludf.DUMMYFUNCTION("""COMPUTED_VALUE"""),547)</f>
        <v>547</v>
      </c>
    </row>
    <row r="21" spans="1:32" ht="12.5" x14ac:dyDescent="0.25">
      <c r="A21" s="1" t="str">
        <f ca="1">IFERROR(__xludf.DUMMYFUNCTION("""COMPUTED_VALUE"""),"Ball State")</f>
        <v>Ball State</v>
      </c>
      <c r="B21" s="1">
        <f ca="1">IFERROR(__xludf.DUMMYFUNCTION("""COMPUTED_VALUE"""),30)</f>
        <v>30</v>
      </c>
      <c r="C21" s="1">
        <f ca="1">IFERROR(__xludf.DUMMYFUNCTION("""COMPUTED_VALUE"""),15)</f>
        <v>15</v>
      </c>
      <c r="D21" s="1">
        <f ca="1">IFERROR(__xludf.DUMMYFUNCTION("""COMPUTED_VALUE"""),15)</f>
        <v>15</v>
      </c>
      <c r="E21" s="1">
        <f ca="1">IFERROR(__xludf.DUMMYFUNCTION("""COMPUTED_VALUE"""),0.5)</f>
        <v>0.5</v>
      </c>
      <c r="F21" s="1">
        <f ca="1">IFERROR(__xludf.DUMMYFUNCTION("""COMPUTED_VALUE"""),-4.85)</f>
        <v>-4.8499999999999996</v>
      </c>
      <c r="G21" s="1">
        <f ca="1">IFERROR(__xludf.DUMMYFUNCTION("""COMPUTED_VALUE"""),-1.48)</f>
        <v>-1.48</v>
      </c>
      <c r="H21" s="1">
        <f ca="1">IFERROR(__xludf.DUMMYFUNCTION("""COMPUTED_VALUE"""),8)</f>
        <v>8</v>
      </c>
      <c r="I21" s="1">
        <f ca="1">IFERROR(__xludf.DUMMYFUNCTION("""COMPUTED_VALUE"""),8)</f>
        <v>8</v>
      </c>
      <c r="J21" s="1">
        <f ca="1">IFERROR(__xludf.DUMMYFUNCTION("""COMPUTED_VALUE"""),11)</f>
        <v>11</v>
      </c>
      <c r="K21" s="1">
        <f ca="1">IFERROR(__xludf.DUMMYFUNCTION("""COMPUTED_VALUE"""),6)</f>
        <v>6</v>
      </c>
      <c r="L21" s="1">
        <f ca="1">IFERROR(__xludf.DUMMYFUNCTION("""COMPUTED_VALUE"""),4)</f>
        <v>4</v>
      </c>
      <c r="M21" s="1">
        <f ca="1">IFERROR(__xludf.DUMMYFUNCTION("""COMPUTED_VALUE"""),8)</f>
        <v>8</v>
      </c>
      <c r="N21" s="1">
        <f ca="1">IFERROR(__xludf.DUMMYFUNCTION("""COMPUTED_VALUE"""),1818)</f>
        <v>1818</v>
      </c>
      <c r="O21" s="1">
        <f ca="1">IFERROR(__xludf.DUMMYFUNCTION("""COMPUTED_VALUE"""),1871)</f>
        <v>1871</v>
      </c>
      <c r="P21" s="1">
        <f ca="1">IFERROR(__xludf.DUMMYFUNCTION("""COMPUTED_VALUE"""),1230)</f>
        <v>1230</v>
      </c>
      <c r="Q21" s="1">
        <f ca="1">IFERROR(__xludf.DUMMYFUNCTION("""COMPUTED_VALUE"""),617)</f>
        <v>617</v>
      </c>
      <c r="R21" s="1">
        <f ca="1">IFERROR(__xludf.DUMMYFUNCTION("""COMPUTED_VALUE"""),1486)</f>
        <v>1486</v>
      </c>
      <c r="S21" s="1">
        <f ca="1">IFERROR(__xludf.DUMMYFUNCTION("""COMPUTED_VALUE"""),0.415)</f>
        <v>0.41499999999999998</v>
      </c>
      <c r="T21" s="1">
        <f ca="1">IFERROR(__xludf.DUMMYFUNCTION("""COMPUTED_VALUE"""),113)</f>
        <v>113</v>
      </c>
      <c r="U21" s="1">
        <f ca="1">IFERROR(__xludf.DUMMYFUNCTION("""COMPUTED_VALUE"""),310)</f>
        <v>310</v>
      </c>
      <c r="V21" s="1">
        <f ca="1">IFERROR(__xludf.DUMMYFUNCTION("""COMPUTED_VALUE"""),0.365)</f>
        <v>0.36499999999999999</v>
      </c>
      <c r="W21" s="1">
        <f ca="1">IFERROR(__xludf.DUMMYFUNCTION("""COMPUTED_VALUE"""),471)</f>
        <v>471</v>
      </c>
      <c r="X21" s="1">
        <f ca="1">IFERROR(__xludf.DUMMYFUNCTION("""COMPUTED_VALUE"""),685)</f>
        <v>685</v>
      </c>
      <c r="Y21" s="1">
        <f ca="1">IFERROR(__xludf.DUMMYFUNCTION("""COMPUTED_VALUE"""),0.688)</f>
        <v>0.68799999999999994</v>
      </c>
      <c r="Z21" s="1">
        <f ca="1">IFERROR(__xludf.DUMMYFUNCTION("""COMPUTED_VALUE"""),314)</f>
        <v>314</v>
      </c>
      <c r="AA21" s="1">
        <f ca="1">IFERROR(__xludf.DUMMYFUNCTION("""COMPUTED_VALUE"""),1053)</f>
        <v>1053</v>
      </c>
      <c r="AB21" s="1">
        <f ca="1">IFERROR(__xludf.DUMMYFUNCTION("""COMPUTED_VALUE"""),332)</f>
        <v>332</v>
      </c>
      <c r="AC21" s="1">
        <f ca="1">IFERROR(__xludf.DUMMYFUNCTION("""COMPUTED_VALUE"""),152)</f>
        <v>152</v>
      </c>
      <c r="AD21" s="1">
        <f ca="1">IFERROR(__xludf.DUMMYFUNCTION("""COMPUTED_VALUE"""),91)</f>
        <v>91</v>
      </c>
      <c r="AE21" s="1">
        <f ca="1">IFERROR(__xludf.DUMMYFUNCTION("""COMPUTED_VALUE"""),436)</f>
        <v>436</v>
      </c>
      <c r="AF21" s="1">
        <f ca="1">IFERROR(__xludf.DUMMYFUNCTION("""COMPUTED_VALUE"""),531)</f>
        <v>531</v>
      </c>
    </row>
    <row r="22" spans="1:32" ht="12.5" x14ac:dyDescent="0.25">
      <c r="A22" s="1" t="str">
        <f ca="1">IFERROR(__xludf.DUMMYFUNCTION("""COMPUTED_VALUE"""),"Overall")</f>
        <v>Overall</v>
      </c>
      <c r="B22" s="1" t="str">
        <f ca="1">IFERROR(__xludf.DUMMYFUNCTION("""COMPUTED_VALUE"""),"Conf.")</f>
        <v>Conf.</v>
      </c>
      <c r="C22" s="1" t="str">
        <f ca="1">IFERROR(__xludf.DUMMYFUNCTION("""COMPUTED_VALUE"""),"Home")</f>
        <v>Home</v>
      </c>
      <c r="D22" s="1" t="str">
        <f ca="1">IFERROR(__xludf.DUMMYFUNCTION("""COMPUTED_VALUE"""),"Away")</f>
        <v>Away</v>
      </c>
      <c r="E22" s="1" t="str">
        <f ca="1">IFERROR(__xludf.DUMMYFUNCTION("""COMPUTED_VALUE"""),"Points")</f>
        <v>Points</v>
      </c>
      <c r="F22" s="1" t="str">
        <f ca="1">IFERROR(__xludf.DUMMYFUNCTION("""COMPUTED_VALUE"""),"")</f>
        <v/>
      </c>
      <c r="G22" s="1" t="str">
        <f ca="1">IFERROR(__xludf.DUMMYFUNCTION("""COMPUTED_VALUE"""),"School Totals")</f>
        <v>School Totals</v>
      </c>
      <c r="H22" s="1" t="str">
        <f ca="1">IFERROR(__xludf.DUMMYFUNCTION("""COMPUTED_VALUE"""),"")</f>
        <v/>
      </c>
      <c r="I22" s="1" t="str">
        <f ca="1">IFERROR(__xludf.DUMMYFUNCTION("""COMPUTED_VALUE"""),"")</f>
        <v/>
      </c>
      <c r="J22" s="1" t="str">
        <f ca="1">IFERROR(__xludf.DUMMYFUNCTION("""COMPUTED_VALUE"""),"")</f>
        <v/>
      </c>
      <c r="K22" s="1" t="str">
        <f ca="1">IFERROR(__xludf.DUMMYFUNCTION("""COMPUTED_VALUE"""),"")</f>
        <v/>
      </c>
      <c r="L22" s="1" t="str">
        <f ca="1">IFERROR(__xludf.DUMMYFUNCTION("""COMPUTED_VALUE"""),"")</f>
        <v/>
      </c>
      <c r="M22" s="1" t="str">
        <f ca="1">IFERROR(__xludf.DUMMYFUNCTION("""COMPUTED_VALUE"""),"")</f>
        <v/>
      </c>
      <c r="N22" s="1" t="str">
        <f ca="1">IFERROR(__xludf.DUMMYFUNCTION("""COMPUTED_VALUE"""),"")</f>
        <v/>
      </c>
      <c r="O22" s="1" t="str">
        <f ca="1">IFERROR(__xludf.DUMMYFUNCTION("""COMPUTED_VALUE"""),"")</f>
        <v/>
      </c>
      <c r="P22" s="1" t="str">
        <f ca="1">IFERROR(__xludf.DUMMYFUNCTION("""COMPUTED_VALUE"""),"")</f>
        <v/>
      </c>
      <c r="Q22" s="1" t="str">
        <f ca="1">IFERROR(__xludf.DUMMYFUNCTION("""COMPUTED_VALUE"""),"")</f>
        <v/>
      </c>
      <c r="R22" s="1" t="str">
        <f ca="1">IFERROR(__xludf.DUMMYFUNCTION("""COMPUTED_VALUE"""),"")</f>
        <v/>
      </c>
      <c r="S22" s="1" t="str">
        <f ca="1">IFERROR(__xludf.DUMMYFUNCTION("""COMPUTED_VALUE"""),"")</f>
        <v/>
      </c>
      <c r="T22" s="1" t="str">
        <f ca="1">IFERROR(__xludf.DUMMYFUNCTION("""COMPUTED_VALUE"""),"")</f>
        <v/>
      </c>
      <c r="U22" s="1" t="str">
        <f ca="1">IFERROR(__xludf.DUMMYFUNCTION("""COMPUTED_VALUE"""),"")</f>
        <v/>
      </c>
      <c r="V22" s="1" t="str">
        <f ca="1">IFERROR(__xludf.DUMMYFUNCTION("""COMPUTED_VALUE"""),"")</f>
        <v/>
      </c>
      <c r="W22" s="1" t="str">
        <f ca="1">IFERROR(__xludf.DUMMYFUNCTION("""COMPUTED_VALUE"""),"")</f>
        <v/>
      </c>
      <c r="X22" s="1" t="str">
        <f ca="1">IFERROR(__xludf.DUMMYFUNCTION("""COMPUTED_VALUE"""),"")</f>
        <v/>
      </c>
      <c r="Y22" s="1" t="str">
        <f ca="1">IFERROR(__xludf.DUMMYFUNCTION("""COMPUTED_VALUE"""),"")</f>
        <v/>
      </c>
      <c r="Z22" s="1" t="str">
        <f ca="1">IFERROR(__xludf.DUMMYFUNCTION("""COMPUTED_VALUE"""),"")</f>
        <v/>
      </c>
      <c r="AA22" s="1" t="str">
        <f ca="1">IFERROR(__xludf.DUMMYFUNCTION("""COMPUTED_VALUE"""),"")</f>
        <v/>
      </c>
      <c r="AB22" s="1" t="str">
        <f ca="1">IFERROR(__xludf.DUMMYFUNCTION("""COMPUTED_VALUE"""),"")</f>
        <v/>
      </c>
      <c r="AC22" s="1" t="str">
        <f ca="1">IFERROR(__xludf.DUMMYFUNCTION("""COMPUTED_VALUE"""),"")</f>
        <v/>
      </c>
      <c r="AD22" s="1" t="str">
        <f ca="1">IFERROR(__xludf.DUMMYFUNCTION("""COMPUTED_VALUE"""),"")</f>
        <v/>
      </c>
      <c r="AE22" s="1" t="str">
        <f ca="1">IFERROR(__xludf.DUMMYFUNCTION("""COMPUTED_VALUE"""),"")</f>
        <v/>
      </c>
      <c r="AF22" s="1" t="str">
        <f ca="1">IFERROR(__xludf.DUMMYFUNCTION("""COMPUTED_VALUE"""),"")</f>
        <v/>
      </c>
    </row>
    <row r="23" spans="1:32" ht="12.5" x14ac:dyDescent="0.25">
      <c r="A23" s="1" t="str">
        <f ca="1">IFERROR(__xludf.DUMMYFUNCTION("""COMPUTED_VALUE"""),"School")</f>
        <v>School</v>
      </c>
      <c r="B23" s="1" t="str">
        <f ca="1">IFERROR(__xludf.DUMMYFUNCTION("""COMPUTED_VALUE"""),"G")</f>
        <v>G</v>
      </c>
      <c r="C23" s="1" t="str">
        <f ca="1">IFERROR(__xludf.DUMMYFUNCTION("""COMPUTED_VALUE"""),"W")</f>
        <v>W</v>
      </c>
      <c r="D23" s="1" t="str">
        <f ca="1">IFERROR(__xludf.DUMMYFUNCTION("""COMPUTED_VALUE"""),"L")</f>
        <v>L</v>
      </c>
      <c r="E23" s="1" t="str">
        <f ca="1">IFERROR(__xludf.DUMMYFUNCTION("""COMPUTED_VALUE"""),"W-L%")</f>
        <v>W-L%</v>
      </c>
      <c r="F23" s="1" t="str">
        <f ca="1">IFERROR(__xludf.DUMMYFUNCTION("""COMPUTED_VALUE"""),"SRS")</f>
        <v>SRS</v>
      </c>
      <c r="G23" s="1" t="str">
        <f ca="1">IFERROR(__xludf.DUMMYFUNCTION("""COMPUTED_VALUE"""),"SOS")</f>
        <v>SOS</v>
      </c>
      <c r="H23" s="1" t="str">
        <f ca="1">IFERROR(__xludf.DUMMYFUNCTION("""COMPUTED_VALUE"""),"W")</f>
        <v>W</v>
      </c>
      <c r="I23" s="1" t="str">
        <f ca="1">IFERROR(__xludf.DUMMYFUNCTION("""COMPUTED_VALUE"""),"L")</f>
        <v>L</v>
      </c>
      <c r="J23" s="1" t="str">
        <f ca="1">IFERROR(__xludf.DUMMYFUNCTION("""COMPUTED_VALUE"""),"W")</f>
        <v>W</v>
      </c>
      <c r="K23" s="1" t="str">
        <f ca="1">IFERROR(__xludf.DUMMYFUNCTION("""COMPUTED_VALUE"""),"L")</f>
        <v>L</v>
      </c>
      <c r="L23" s="1" t="str">
        <f ca="1">IFERROR(__xludf.DUMMYFUNCTION("""COMPUTED_VALUE"""),"W")</f>
        <v>W</v>
      </c>
      <c r="M23" s="1" t="str">
        <f ca="1">IFERROR(__xludf.DUMMYFUNCTION("""COMPUTED_VALUE"""),"L")</f>
        <v>L</v>
      </c>
      <c r="N23" s="1" t="str">
        <f ca="1">IFERROR(__xludf.DUMMYFUNCTION("""COMPUTED_VALUE"""),"Tm.")</f>
        <v>Tm.</v>
      </c>
      <c r="O23" s="1" t="str">
        <f ca="1">IFERROR(__xludf.DUMMYFUNCTION("""COMPUTED_VALUE"""),"Opp.")</f>
        <v>Opp.</v>
      </c>
      <c r="P23" s="1" t="str">
        <f ca="1">IFERROR(__xludf.DUMMYFUNCTION("""COMPUTED_VALUE"""),"MP")</f>
        <v>MP</v>
      </c>
      <c r="Q23" s="1" t="str">
        <f ca="1">IFERROR(__xludf.DUMMYFUNCTION("""COMPUTED_VALUE"""),"FG")</f>
        <v>FG</v>
      </c>
      <c r="R23" s="1" t="str">
        <f ca="1">IFERROR(__xludf.DUMMYFUNCTION("""COMPUTED_VALUE"""),"FGA")</f>
        <v>FGA</v>
      </c>
      <c r="S23" s="1" t="str">
        <f ca="1">IFERROR(__xludf.DUMMYFUNCTION("""COMPUTED_VALUE"""),"FG%")</f>
        <v>FG%</v>
      </c>
      <c r="T23" s="1" t="str">
        <f ca="1">IFERROR(__xludf.DUMMYFUNCTION("""COMPUTED_VALUE"""),"3P")</f>
        <v>3P</v>
      </c>
      <c r="U23" s="1" t="str">
        <f ca="1">IFERROR(__xludf.DUMMYFUNCTION("""COMPUTED_VALUE"""),"3PA")</f>
        <v>3PA</v>
      </c>
      <c r="V23" s="1" t="str">
        <f ca="1">IFERROR(__xludf.DUMMYFUNCTION("""COMPUTED_VALUE"""),"3P%")</f>
        <v>3P%</v>
      </c>
      <c r="W23" s="1" t="str">
        <f ca="1">IFERROR(__xludf.DUMMYFUNCTION("""COMPUTED_VALUE"""),"FT")</f>
        <v>FT</v>
      </c>
      <c r="X23" s="1" t="str">
        <f ca="1">IFERROR(__xludf.DUMMYFUNCTION("""COMPUTED_VALUE"""),"FTA")</f>
        <v>FTA</v>
      </c>
      <c r="Y23" s="1" t="str">
        <f ca="1">IFERROR(__xludf.DUMMYFUNCTION("""COMPUTED_VALUE"""),"FT%")</f>
        <v>FT%</v>
      </c>
      <c r="Z23" s="1" t="str">
        <f ca="1">IFERROR(__xludf.DUMMYFUNCTION("""COMPUTED_VALUE"""),"ORB")</f>
        <v>ORB</v>
      </c>
      <c r="AA23" s="1" t="str">
        <f ca="1">IFERROR(__xludf.DUMMYFUNCTION("""COMPUTED_VALUE"""),"TRB")</f>
        <v>TRB</v>
      </c>
      <c r="AB23" s="1" t="str">
        <f ca="1">IFERROR(__xludf.DUMMYFUNCTION("""COMPUTED_VALUE"""),"AST")</f>
        <v>AST</v>
      </c>
      <c r="AC23" s="1" t="str">
        <f ca="1">IFERROR(__xludf.DUMMYFUNCTION("""COMPUTED_VALUE"""),"STL")</f>
        <v>STL</v>
      </c>
      <c r="AD23" s="1" t="str">
        <f ca="1">IFERROR(__xludf.DUMMYFUNCTION("""COMPUTED_VALUE"""),"BLK")</f>
        <v>BLK</v>
      </c>
      <c r="AE23" s="1" t="str">
        <f ca="1">IFERROR(__xludf.DUMMYFUNCTION("""COMPUTED_VALUE"""),"TOV")</f>
        <v>TOV</v>
      </c>
      <c r="AF23" s="1" t="str">
        <f ca="1">IFERROR(__xludf.DUMMYFUNCTION("""COMPUTED_VALUE"""),"PF")</f>
        <v>PF</v>
      </c>
    </row>
    <row r="24" spans="1:32" ht="12.5" x14ac:dyDescent="0.25">
      <c r="A24" s="1" t="str">
        <f ca="1">IFERROR(__xludf.DUMMYFUNCTION("""COMPUTED_VALUE"""),"BaylorNCAA")</f>
        <v>BaylorNCAA</v>
      </c>
      <c r="B24" s="1">
        <f ca="1">IFERROR(__xludf.DUMMYFUNCTION("""COMPUTED_VALUE"""),36)</f>
        <v>36</v>
      </c>
      <c r="C24" s="1">
        <f ca="1">IFERROR(__xludf.DUMMYFUNCTION("""COMPUTED_VALUE"""),28)</f>
        <v>28</v>
      </c>
      <c r="D24" s="1">
        <f ca="1">IFERROR(__xludf.DUMMYFUNCTION("""COMPUTED_VALUE"""),8)</f>
        <v>8</v>
      </c>
      <c r="E24" s="1">
        <f ca="1">IFERROR(__xludf.DUMMYFUNCTION("""COMPUTED_VALUE"""),0.778)</f>
        <v>0.77800000000000002</v>
      </c>
      <c r="F24" s="1">
        <f ca="1">IFERROR(__xludf.DUMMYFUNCTION("""COMPUTED_VALUE"""),17.97)</f>
        <v>17.97</v>
      </c>
      <c r="G24" s="1">
        <f ca="1">IFERROR(__xludf.DUMMYFUNCTION("""COMPUTED_VALUE"""),8.03)</f>
        <v>8.0299999999999994</v>
      </c>
      <c r="H24" s="1">
        <f ca="1">IFERROR(__xludf.DUMMYFUNCTION("""COMPUTED_VALUE"""),11)</f>
        <v>11</v>
      </c>
      <c r="I24" s="1">
        <f ca="1">IFERROR(__xludf.DUMMYFUNCTION("""COMPUTED_VALUE"""),5)</f>
        <v>5</v>
      </c>
      <c r="J24" s="1">
        <f ca="1">IFERROR(__xludf.DUMMYFUNCTION("""COMPUTED_VALUE"""),15)</f>
        <v>15</v>
      </c>
      <c r="K24" s="1">
        <f ca="1">IFERROR(__xludf.DUMMYFUNCTION("""COMPUTED_VALUE"""),1)</f>
        <v>1</v>
      </c>
      <c r="L24" s="1">
        <f ca="1">IFERROR(__xludf.DUMMYFUNCTION("""COMPUTED_VALUE"""),6)</f>
        <v>6</v>
      </c>
      <c r="M24" s="1">
        <f ca="1">IFERROR(__xludf.DUMMYFUNCTION("""COMPUTED_VALUE"""),4)</f>
        <v>4</v>
      </c>
      <c r="N24" s="1">
        <f ca="1">IFERROR(__xludf.DUMMYFUNCTION("""COMPUTED_VALUE"""),2771)</f>
        <v>2771</v>
      </c>
      <c r="O24" s="1">
        <f ca="1">IFERROR(__xludf.DUMMYFUNCTION("""COMPUTED_VALUE"""),2362)</f>
        <v>2362</v>
      </c>
      <c r="P24" s="1">
        <f ca="1">IFERROR(__xludf.DUMMYFUNCTION("""COMPUTED_VALUE"""),1450)</f>
        <v>1450</v>
      </c>
      <c r="Q24" s="1">
        <f ca="1">IFERROR(__xludf.DUMMYFUNCTION("""COMPUTED_VALUE"""),993)</f>
        <v>993</v>
      </c>
      <c r="R24" s="1">
        <f ca="1">IFERROR(__xludf.DUMMYFUNCTION("""COMPUTED_VALUE"""),2040)</f>
        <v>2040</v>
      </c>
      <c r="S24" s="1">
        <f ca="1">IFERROR(__xludf.DUMMYFUNCTION("""COMPUTED_VALUE"""),0.487)</f>
        <v>0.48699999999999999</v>
      </c>
      <c r="T24" s="1">
        <f ca="1">IFERROR(__xludf.DUMMYFUNCTION("""COMPUTED_VALUE"""),255)</f>
        <v>255</v>
      </c>
      <c r="U24" s="1">
        <f ca="1">IFERROR(__xludf.DUMMYFUNCTION("""COMPUTED_VALUE"""),662)</f>
        <v>662</v>
      </c>
      <c r="V24" s="1">
        <f ca="1">IFERROR(__xludf.DUMMYFUNCTION("""COMPUTED_VALUE"""),0.385)</f>
        <v>0.38500000000000001</v>
      </c>
      <c r="W24" s="1">
        <f ca="1">IFERROR(__xludf.DUMMYFUNCTION("""COMPUTED_VALUE"""),530)</f>
        <v>530</v>
      </c>
      <c r="X24" s="1">
        <f ca="1">IFERROR(__xludf.DUMMYFUNCTION("""COMPUTED_VALUE"""),731)</f>
        <v>731</v>
      </c>
      <c r="Y24" s="1">
        <f ca="1">IFERROR(__xludf.DUMMYFUNCTION("""COMPUTED_VALUE"""),0.725)</f>
        <v>0.72499999999999998</v>
      </c>
      <c r="Z24" s="1">
        <f ca="1">IFERROR(__xludf.DUMMYFUNCTION("""COMPUTED_VALUE"""),443)</f>
        <v>443</v>
      </c>
      <c r="AA24" s="1">
        <f ca="1">IFERROR(__xludf.DUMMYFUNCTION("""COMPUTED_VALUE"""),1408)</f>
        <v>1408</v>
      </c>
      <c r="AB24" s="1">
        <f ca="1">IFERROR(__xludf.DUMMYFUNCTION("""COMPUTED_VALUE"""),508)</f>
        <v>508</v>
      </c>
      <c r="AC24" s="1">
        <f ca="1">IFERROR(__xludf.DUMMYFUNCTION("""COMPUTED_VALUE"""),237)</f>
        <v>237</v>
      </c>
      <c r="AD24" s="1">
        <f ca="1">IFERROR(__xludf.DUMMYFUNCTION("""COMPUTED_VALUE"""),242)</f>
        <v>242</v>
      </c>
      <c r="AE24" s="1">
        <f ca="1">IFERROR(__xludf.DUMMYFUNCTION("""COMPUTED_VALUE"""),491)</f>
        <v>491</v>
      </c>
      <c r="AF24" s="1">
        <f ca="1">IFERROR(__xludf.DUMMYFUNCTION("""COMPUTED_VALUE"""),639)</f>
        <v>639</v>
      </c>
    </row>
    <row r="25" spans="1:32" ht="12.5" x14ac:dyDescent="0.25">
      <c r="A25" s="1" t="str">
        <f ca="1">IFERROR(__xludf.DUMMYFUNCTION("""COMPUTED_VALUE"""),"Belmont")</f>
        <v>Belmont</v>
      </c>
      <c r="B25" s="1">
        <f ca="1">IFERROR(__xludf.DUMMYFUNCTION("""COMPUTED_VALUE"""),31)</f>
        <v>31</v>
      </c>
      <c r="C25" s="1">
        <f ca="1">IFERROR(__xludf.DUMMYFUNCTION("""COMPUTED_VALUE"""),19)</f>
        <v>19</v>
      </c>
      <c r="D25" s="1">
        <f ca="1">IFERROR(__xludf.DUMMYFUNCTION("""COMPUTED_VALUE"""),12)</f>
        <v>12</v>
      </c>
      <c r="E25" s="1">
        <f ca="1">IFERROR(__xludf.DUMMYFUNCTION("""COMPUTED_VALUE"""),0.613)</f>
        <v>0.61299999999999999</v>
      </c>
      <c r="F25" s="1">
        <f ca="1">IFERROR(__xludf.DUMMYFUNCTION("""COMPUTED_VALUE"""),1.3)</f>
        <v>1.3</v>
      </c>
      <c r="G25" s="1">
        <f ca="1">IFERROR(__xludf.DUMMYFUNCTION("""COMPUTED_VALUE"""),-3.41)</f>
        <v>-3.41</v>
      </c>
      <c r="H25" s="1">
        <f ca="1">IFERROR(__xludf.DUMMYFUNCTION("""COMPUTED_VALUE"""),14)</f>
        <v>14</v>
      </c>
      <c r="I25" s="1">
        <f ca="1">IFERROR(__xludf.DUMMYFUNCTION("""COMPUTED_VALUE"""),6)</f>
        <v>6</v>
      </c>
      <c r="J25" s="1">
        <f ca="1">IFERROR(__xludf.DUMMYFUNCTION("""COMPUTED_VALUE"""),10)</f>
        <v>10</v>
      </c>
      <c r="K25" s="1">
        <f ca="1">IFERROR(__xludf.DUMMYFUNCTION("""COMPUTED_VALUE"""),3)</f>
        <v>3</v>
      </c>
      <c r="L25" s="1">
        <f ca="1">IFERROR(__xludf.DUMMYFUNCTION("""COMPUTED_VALUE"""),8)</f>
        <v>8</v>
      </c>
      <c r="M25" s="1">
        <f ca="1">IFERROR(__xludf.DUMMYFUNCTION("""COMPUTED_VALUE"""),8)</f>
        <v>8</v>
      </c>
      <c r="N25" s="1">
        <f ca="1">IFERROR(__xludf.DUMMYFUNCTION("""COMPUTED_VALUE"""),2266)</f>
        <v>2266</v>
      </c>
      <c r="O25" s="1">
        <f ca="1">IFERROR(__xludf.DUMMYFUNCTION("""COMPUTED_VALUE"""),2124)</f>
        <v>2124</v>
      </c>
      <c r="P25" s="1">
        <f ca="1">IFERROR(__xludf.DUMMYFUNCTION("""COMPUTED_VALUE"""),1250)</f>
        <v>1250</v>
      </c>
      <c r="Q25" s="1">
        <f ca="1">IFERROR(__xludf.DUMMYFUNCTION("""COMPUTED_VALUE"""),763)</f>
        <v>763</v>
      </c>
      <c r="R25" s="1">
        <f ca="1">IFERROR(__xludf.DUMMYFUNCTION("""COMPUTED_VALUE"""),1699)</f>
        <v>1699</v>
      </c>
      <c r="S25" s="1">
        <f ca="1">IFERROR(__xludf.DUMMYFUNCTION("""COMPUTED_VALUE"""),0.449)</f>
        <v>0.44900000000000001</v>
      </c>
      <c r="T25" s="1">
        <f ca="1">IFERROR(__xludf.DUMMYFUNCTION("""COMPUTED_VALUE"""),244)</f>
        <v>244</v>
      </c>
      <c r="U25" s="1">
        <f ca="1">IFERROR(__xludf.DUMMYFUNCTION("""COMPUTED_VALUE"""),709)</f>
        <v>709</v>
      </c>
      <c r="V25" s="1">
        <f ca="1">IFERROR(__xludf.DUMMYFUNCTION("""COMPUTED_VALUE"""),0.344)</f>
        <v>0.34399999999999997</v>
      </c>
      <c r="W25" s="1">
        <f ca="1">IFERROR(__xludf.DUMMYFUNCTION("""COMPUTED_VALUE"""),496)</f>
        <v>496</v>
      </c>
      <c r="X25" s="1">
        <f ca="1">IFERROR(__xludf.DUMMYFUNCTION("""COMPUTED_VALUE"""),736)</f>
        <v>736</v>
      </c>
      <c r="Y25" s="1">
        <f ca="1">IFERROR(__xludf.DUMMYFUNCTION("""COMPUTED_VALUE"""),0.674)</f>
        <v>0.67400000000000004</v>
      </c>
      <c r="Z25" s="1">
        <f ca="1">IFERROR(__xludf.DUMMYFUNCTION("""COMPUTED_VALUE"""),371)</f>
        <v>371</v>
      </c>
      <c r="AA25" s="1">
        <f ca="1">IFERROR(__xludf.DUMMYFUNCTION("""COMPUTED_VALUE"""),1150)</f>
        <v>1150</v>
      </c>
      <c r="AB25" s="1">
        <f ca="1">IFERROR(__xludf.DUMMYFUNCTION("""COMPUTED_VALUE"""),445)</f>
        <v>445</v>
      </c>
      <c r="AC25" s="1">
        <f ca="1">IFERROR(__xludf.DUMMYFUNCTION("""COMPUTED_VALUE"""),222)</f>
        <v>222</v>
      </c>
      <c r="AD25" s="1">
        <f ca="1">IFERROR(__xludf.DUMMYFUNCTION("""COMPUTED_VALUE"""),92)</f>
        <v>92</v>
      </c>
      <c r="AE25" s="1">
        <f ca="1">IFERROR(__xludf.DUMMYFUNCTION("""COMPUTED_VALUE"""),513)</f>
        <v>513</v>
      </c>
      <c r="AF25" s="1">
        <f ca="1">IFERROR(__xludf.DUMMYFUNCTION("""COMPUTED_VALUE"""),595)</f>
        <v>595</v>
      </c>
    </row>
    <row r="26" spans="1:32" ht="12.5" x14ac:dyDescent="0.25">
      <c r="A26" s="1" t="str">
        <f ca="1">IFERROR(__xludf.DUMMYFUNCTION("""COMPUTED_VALUE"""),"Bethune-Cookman")</f>
        <v>Bethune-Cookman</v>
      </c>
      <c r="B26" s="1">
        <f ca="1">IFERROR(__xludf.DUMMYFUNCTION("""COMPUTED_VALUE"""),33)</f>
        <v>33</v>
      </c>
      <c r="C26" s="1">
        <f ca="1">IFERROR(__xludf.DUMMYFUNCTION("""COMPUTED_VALUE"""),17)</f>
        <v>17</v>
      </c>
      <c r="D26" s="1">
        <f ca="1">IFERROR(__xludf.DUMMYFUNCTION("""COMPUTED_VALUE"""),16)</f>
        <v>16</v>
      </c>
      <c r="E26" s="1">
        <f ca="1">IFERROR(__xludf.DUMMYFUNCTION("""COMPUTED_VALUE"""),0.515)</f>
        <v>0.51500000000000001</v>
      </c>
      <c r="F26" s="1">
        <f ca="1">IFERROR(__xludf.DUMMYFUNCTION("""COMPUTED_VALUE"""),-13.14)</f>
        <v>-13.14</v>
      </c>
      <c r="G26" s="1">
        <f ca="1">IFERROR(__xludf.DUMMYFUNCTION("""COMPUTED_VALUE"""),-8.4)</f>
        <v>-8.4</v>
      </c>
      <c r="H26" s="1">
        <f ca="1">IFERROR(__xludf.DUMMYFUNCTION("""COMPUTED_VALUE"""),7)</f>
        <v>7</v>
      </c>
      <c r="I26" s="1">
        <f ca="1">IFERROR(__xludf.DUMMYFUNCTION("""COMPUTED_VALUE"""),9)</f>
        <v>9</v>
      </c>
      <c r="J26" s="1">
        <f ca="1">IFERROR(__xludf.DUMMYFUNCTION("""COMPUTED_VALUE"""),10)</f>
        <v>10</v>
      </c>
      <c r="K26" s="1">
        <f ca="1">IFERROR(__xludf.DUMMYFUNCTION("""COMPUTED_VALUE"""),4)</f>
        <v>4</v>
      </c>
      <c r="L26" s="1">
        <f ca="1">IFERROR(__xludf.DUMMYFUNCTION("""COMPUTED_VALUE"""),4)</f>
        <v>4</v>
      </c>
      <c r="M26" s="1">
        <f ca="1">IFERROR(__xludf.DUMMYFUNCTION("""COMPUTED_VALUE"""),11)</f>
        <v>11</v>
      </c>
      <c r="N26" s="1">
        <f ca="1">IFERROR(__xludf.DUMMYFUNCTION("""COMPUTED_VALUE"""),2021)</f>
        <v>2021</v>
      </c>
      <c r="O26" s="1">
        <f ca="1">IFERROR(__xludf.DUMMYFUNCTION("""COMPUTED_VALUE"""),1996)</f>
        <v>1996</v>
      </c>
      <c r="P26" s="1">
        <f ca="1">IFERROR(__xludf.DUMMYFUNCTION("""COMPUTED_VALUE"""),1325)</f>
        <v>1325</v>
      </c>
      <c r="Q26" s="1">
        <f ca="1">IFERROR(__xludf.DUMMYFUNCTION("""COMPUTED_VALUE"""),743)</f>
        <v>743</v>
      </c>
      <c r="R26" s="1">
        <f ca="1">IFERROR(__xludf.DUMMYFUNCTION("""COMPUTED_VALUE"""),1727)</f>
        <v>1727</v>
      </c>
      <c r="S26" s="1">
        <f ca="1">IFERROR(__xludf.DUMMYFUNCTION("""COMPUTED_VALUE"""),0.43)</f>
        <v>0.43</v>
      </c>
      <c r="T26" s="1">
        <f ca="1">IFERROR(__xludf.DUMMYFUNCTION("""COMPUTED_VALUE"""),134)</f>
        <v>134</v>
      </c>
      <c r="U26" s="1">
        <f ca="1">IFERROR(__xludf.DUMMYFUNCTION("""COMPUTED_VALUE"""),395)</f>
        <v>395</v>
      </c>
      <c r="V26" s="1">
        <f ca="1">IFERROR(__xludf.DUMMYFUNCTION("""COMPUTED_VALUE"""),0.339)</f>
        <v>0.33900000000000002</v>
      </c>
      <c r="W26" s="1">
        <f ca="1">IFERROR(__xludf.DUMMYFUNCTION("""COMPUTED_VALUE"""),401)</f>
        <v>401</v>
      </c>
      <c r="X26" s="1">
        <f ca="1">IFERROR(__xludf.DUMMYFUNCTION("""COMPUTED_VALUE"""),624)</f>
        <v>624</v>
      </c>
      <c r="Y26" s="1">
        <f ca="1">IFERROR(__xludf.DUMMYFUNCTION("""COMPUTED_VALUE"""),0.643)</f>
        <v>0.64300000000000002</v>
      </c>
      <c r="Z26" s="1">
        <f ca="1">IFERROR(__xludf.DUMMYFUNCTION("""COMPUTED_VALUE"""),392)</f>
        <v>392</v>
      </c>
      <c r="AA26" s="1">
        <f ca="1">IFERROR(__xludf.DUMMYFUNCTION("""COMPUTED_VALUE"""),1096)</f>
        <v>1096</v>
      </c>
      <c r="AB26" s="1">
        <f ca="1">IFERROR(__xludf.DUMMYFUNCTION("""COMPUTED_VALUE"""),344)</f>
        <v>344</v>
      </c>
      <c r="AC26" s="1">
        <f ca="1">IFERROR(__xludf.DUMMYFUNCTION("""COMPUTED_VALUE"""),227)</f>
        <v>227</v>
      </c>
      <c r="AD26" s="1">
        <f ca="1">IFERROR(__xludf.DUMMYFUNCTION("""COMPUTED_VALUE"""),114)</f>
        <v>114</v>
      </c>
      <c r="AE26" s="1">
        <f ca="1">IFERROR(__xludf.DUMMYFUNCTION("""COMPUTED_VALUE"""),423)</f>
        <v>423</v>
      </c>
      <c r="AF26" s="1">
        <f ca="1">IFERROR(__xludf.DUMMYFUNCTION("""COMPUTED_VALUE"""),593)</f>
        <v>593</v>
      </c>
    </row>
    <row r="27" spans="1:32" ht="12.5" x14ac:dyDescent="0.25">
      <c r="A27" s="1" t="str">
        <f ca="1">IFERROR(__xludf.DUMMYFUNCTION("""COMPUTED_VALUE"""),"Binghamton")</f>
        <v>Binghamton</v>
      </c>
      <c r="B27" s="1">
        <f ca="1">IFERROR(__xludf.DUMMYFUNCTION("""COMPUTED_VALUE"""),31)</f>
        <v>31</v>
      </c>
      <c r="C27" s="1">
        <f ca="1">IFERROR(__xludf.DUMMYFUNCTION("""COMPUTED_VALUE"""),13)</f>
        <v>13</v>
      </c>
      <c r="D27" s="1">
        <f ca="1">IFERROR(__xludf.DUMMYFUNCTION("""COMPUTED_VALUE"""),18)</f>
        <v>18</v>
      </c>
      <c r="E27" s="1">
        <f ca="1">IFERROR(__xludf.DUMMYFUNCTION("""COMPUTED_VALUE"""),0.419)</f>
        <v>0.41899999999999998</v>
      </c>
      <c r="F27" s="1">
        <f ca="1">IFERROR(__xludf.DUMMYFUNCTION("""COMPUTED_VALUE"""),-10.6)</f>
        <v>-10.6</v>
      </c>
      <c r="G27" s="1">
        <f ca="1">IFERROR(__xludf.DUMMYFUNCTION("""COMPUTED_VALUE"""),-4.31)</f>
        <v>-4.3099999999999996</v>
      </c>
      <c r="H27" s="1">
        <f ca="1">IFERROR(__xludf.DUMMYFUNCTION("""COMPUTED_VALUE"""),8)</f>
        <v>8</v>
      </c>
      <c r="I27" s="1">
        <f ca="1">IFERROR(__xludf.DUMMYFUNCTION("""COMPUTED_VALUE"""),8)</f>
        <v>8</v>
      </c>
      <c r="J27" s="1">
        <f ca="1">IFERROR(__xludf.DUMMYFUNCTION("""COMPUTED_VALUE"""),9)</f>
        <v>9</v>
      </c>
      <c r="K27" s="1">
        <f ca="1">IFERROR(__xludf.DUMMYFUNCTION("""COMPUTED_VALUE"""),3)</f>
        <v>3</v>
      </c>
      <c r="L27" s="1">
        <f ca="1">IFERROR(__xludf.DUMMYFUNCTION("""COMPUTED_VALUE"""),3)</f>
        <v>3</v>
      </c>
      <c r="M27" s="1">
        <f ca="1">IFERROR(__xludf.DUMMYFUNCTION("""COMPUTED_VALUE"""),12)</f>
        <v>12</v>
      </c>
      <c r="N27" s="1">
        <f ca="1">IFERROR(__xludf.DUMMYFUNCTION("""COMPUTED_VALUE"""),1909)</f>
        <v>1909</v>
      </c>
      <c r="O27" s="1">
        <f ca="1">IFERROR(__xludf.DUMMYFUNCTION("""COMPUTED_VALUE"""),2082)</f>
        <v>2082</v>
      </c>
      <c r="P27" s="1">
        <f ca="1">IFERROR(__xludf.DUMMYFUNCTION("""COMPUTED_VALUE"""),1250)</f>
        <v>1250</v>
      </c>
      <c r="Q27" s="1">
        <f ca="1">IFERROR(__xludf.DUMMYFUNCTION("""COMPUTED_VALUE"""),690)</f>
        <v>690</v>
      </c>
      <c r="R27" s="1">
        <f ca="1">IFERROR(__xludf.DUMMYFUNCTION("""COMPUTED_VALUE"""),1632)</f>
        <v>1632</v>
      </c>
      <c r="S27" s="1">
        <f ca="1">IFERROR(__xludf.DUMMYFUNCTION("""COMPUTED_VALUE"""),0.423)</f>
        <v>0.42299999999999999</v>
      </c>
      <c r="T27" s="1">
        <f ca="1">IFERROR(__xludf.DUMMYFUNCTION("""COMPUTED_VALUE"""),158)</f>
        <v>158</v>
      </c>
      <c r="U27" s="1">
        <f ca="1">IFERROR(__xludf.DUMMYFUNCTION("""COMPUTED_VALUE"""),544)</f>
        <v>544</v>
      </c>
      <c r="V27" s="1">
        <f ca="1">IFERROR(__xludf.DUMMYFUNCTION("""COMPUTED_VALUE"""),0.29)</f>
        <v>0.28999999999999998</v>
      </c>
      <c r="W27" s="1">
        <f ca="1">IFERROR(__xludf.DUMMYFUNCTION("""COMPUTED_VALUE"""),371)</f>
        <v>371</v>
      </c>
      <c r="X27" s="1">
        <f ca="1">IFERROR(__xludf.DUMMYFUNCTION("""COMPUTED_VALUE"""),558)</f>
        <v>558</v>
      </c>
      <c r="Y27" s="1">
        <f ca="1">IFERROR(__xludf.DUMMYFUNCTION("""COMPUTED_VALUE"""),0.665)</f>
        <v>0.66500000000000004</v>
      </c>
      <c r="Z27" s="1">
        <f ca="1">IFERROR(__xludf.DUMMYFUNCTION("""COMPUTED_VALUE"""),359)</f>
        <v>359</v>
      </c>
      <c r="AA27" s="1">
        <f ca="1">IFERROR(__xludf.DUMMYFUNCTION("""COMPUTED_VALUE"""),1078)</f>
        <v>1078</v>
      </c>
      <c r="AB27" s="1">
        <f ca="1">IFERROR(__xludf.DUMMYFUNCTION("""COMPUTED_VALUE"""),299)</f>
        <v>299</v>
      </c>
      <c r="AC27" s="1">
        <f ca="1">IFERROR(__xludf.DUMMYFUNCTION("""COMPUTED_VALUE"""),166)</f>
        <v>166</v>
      </c>
      <c r="AD27" s="1">
        <f ca="1">IFERROR(__xludf.DUMMYFUNCTION("""COMPUTED_VALUE"""),122)</f>
        <v>122</v>
      </c>
      <c r="AE27" s="1">
        <f ca="1">IFERROR(__xludf.DUMMYFUNCTION("""COMPUTED_VALUE"""),439)</f>
        <v>439</v>
      </c>
      <c r="AF27" s="1">
        <f ca="1">IFERROR(__xludf.DUMMYFUNCTION("""COMPUTED_VALUE"""),530)</f>
        <v>530</v>
      </c>
    </row>
    <row r="28" spans="1:32" ht="12.5" x14ac:dyDescent="0.25">
      <c r="A28" s="1" t="str">
        <f ca="1">IFERROR(__xludf.DUMMYFUNCTION("""COMPUTED_VALUE"""),"Boise State")</f>
        <v>Boise State</v>
      </c>
      <c r="B28" s="1">
        <f ca="1">IFERROR(__xludf.DUMMYFUNCTION("""COMPUTED_VALUE"""),32)</f>
        <v>32</v>
      </c>
      <c r="C28" s="1">
        <f ca="1">IFERROR(__xludf.DUMMYFUNCTION("""COMPUTED_VALUE"""),15)</f>
        <v>15</v>
      </c>
      <c r="D28" s="1">
        <f ca="1">IFERROR(__xludf.DUMMYFUNCTION("""COMPUTED_VALUE"""),17)</f>
        <v>17</v>
      </c>
      <c r="E28" s="1">
        <f ca="1">IFERROR(__xludf.DUMMYFUNCTION("""COMPUTED_VALUE"""),0.469)</f>
        <v>0.46899999999999997</v>
      </c>
      <c r="F28" s="1">
        <f ca="1">IFERROR(__xludf.DUMMYFUNCTION("""COMPUTED_VALUE"""),-1.11)</f>
        <v>-1.1100000000000001</v>
      </c>
      <c r="G28" s="1">
        <f ca="1">IFERROR(__xludf.DUMMYFUNCTION("""COMPUTED_VALUE"""),0.68)</f>
        <v>0.68</v>
      </c>
      <c r="H28" s="1">
        <f ca="1">IFERROR(__xludf.DUMMYFUNCTION("""COMPUTED_VALUE"""),5)</f>
        <v>5</v>
      </c>
      <c r="I28" s="1">
        <f ca="1">IFERROR(__xludf.DUMMYFUNCTION("""COMPUTED_VALUE"""),11)</f>
        <v>11</v>
      </c>
      <c r="J28" s="1">
        <f ca="1">IFERROR(__xludf.DUMMYFUNCTION("""COMPUTED_VALUE"""),9)</f>
        <v>9</v>
      </c>
      <c r="K28" s="1">
        <f ca="1">IFERROR(__xludf.DUMMYFUNCTION("""COMPUTED_VALUE"""),7)</f>
        <v>7</v>
      </c>
      <c r="L28" s="1">
        <f ca="1">IFERROR(__xludf.DUMMYFUNCTION("""COMPUTED_VALUE"""),4)</f>
        <v>4</v>
      </c>
      <c r="M28" s="1">
        <f ca="1">IFERROR(__xludf.DUMMYFUNCTION("""COMPUTED_VALUE"""),9)</f>
        <v>9</v>
      </c>
      <c r="N28" s="1">
        <f ca="1">IFERROR(__xludf.DUMMYFUNCTION("""COMPUTED_VALUE"""),2370)</f>
        <v>2370</v>
      </c>
      <c r="O28" s="1">
        <f ca="1">IFERROR(__xludf.DUMMYFUNCTION("""COMPUTED_VALUE"""),2331)</f>
        <v>2331</v>
      </c>
      <c r="P28" s="1">
        <f ca="1">IFERROR(__xludf.DUMMYFUNCTION("""COMPUTED_VALUE"""),1290)</f>
        <v>1290</v>
      </c>
      <c r="Q28" s="1">
        <f ca="1">IFERROR(__xludf.DUMMYFUNCTION("""COMPUTED_VALUE"""),894)</f>
        <v>894</v>
      </c>
      <c r="R28" s="1">
        <f ca="1">IFERROR(__xludf.DUMMYFUNCTION("""COMPUTED_VALUE"""),1942)</f>
        <v>1942</v>
      </c>
      <c r="S28" s="1">
        <f ca="1">IFERROR(__xludf.DUMMYFUNCTION("""COMPUTED_VALUE"""),0.46)</f>
        <v>0.46</v>
      </c>
      <c r="T28" s="1">
        <f ca="1">IFERROR(__xludf.DUMMYFUNCTION("""COMPUTED_VALUE"""),192)</f>
        <v>192</v>
      </c>
      <c r="U28" s="1">
        <f ca="1">IFERROR(__xludf.DUMMYFUNCTION("""COMPUTED_VALUE"""),578)</f>
        <v>578</v>
      </c>
      <c r="V28" s="1">
        <f ca="1">IFERROR(__xludf.DUMMYFUNCTION("""COMPUTED_VALUE"""),0.332)</f>
        <v>0.33200000000000002</v>
      </c>
      <c r="W28" s="1">
        <f ca="1">IFERROR(__xludf.DUMMYFUNCTION("""COMPUTED_VALUE"""),390)</f>
        <v>390</v>
      </c>
      <c r="X28" s="1">
        <f ca="1">IFERROR(__xludf.DUMMYFUNCTION("""COMPUTED_VALUE"""),578)</f>
        <v>578</v>
      </c>
      <c r="Y28" s="1">
        <f ca="1">IFERROR(__xludf.DUMMYFUNCTION("""COMPUTED_VALUE"""),0.675)</f>
        <v>0.67500000000000004</v>
      </c>
      <c r="Z28" s="1">
        <f ca="1">IFERROR(__xludf.DUMMYFUNCTION("""COMPUTED_VALUE"""),371)</f>
        <v>371</v>
      </c>
      <c r="AA28" s="1">
        <f ca="1">IFERROR(__xludf.DUMMYFUNCTION("""COMPUTED_VALUE"""),1148)</f>
        <v>1148</v>
      </c>
      <c r="AB28" s="1">
        <f ca="1">IFERROR(__xludf.DUMMYFUNCTION("""COMPUTED_VALUE"""),515)</f>
        <v>515</v>
      </c>
      <c r="AC28" s="1">
        <f ca="1">IFERROR(__xludf.DUMMYFUNCTION("""COMPUTED_VALUE"""),244)</f>
        <v>244</v>
      </c>
      <c r="AD28" s="1">
        <f ca="1">IFERROR(__xludf.DUMMYFUNCTION("""COMPUTED_VALUE"""),119)</f>
        <v>119</v>
      </c>
      <c r="AE28" s="1">
        <f ca="1">IFERROR(__xludf.DUMMYFUNCTION("""COMPUTED_VALUE"""),458)</f>
        <v>458</v>
      </c>
      <c r="AF28" s="1">
        <f ca="1">IFERROR(__xludf.DUMMYFUNCTION("""COMPUTED_VALUE"""),537)</f>
        <v>537</v>
      </c>
    </row>
    <row r="29" spans="1:32" ht="12.5" x14ac:dyDescent="0.25">
      <c r="A29" s="1" t="str">
        <f ca="1">IFERROR(__xludf.DUMMYFUNCTION("""COMPUTED_VALUE"""),"Boston College")</f>
        <v>Boston College</v>
      </c>
      <c r="B29" s="1">
        <f ca="1">IFERROR(__xludf.DUMMYFUNCTION("""COMPUTED_VALUE"""),31)</f>
        <v>31</v>
      </c>
      <c r="C29" s="1">
        <f ca="1">IFERROR(__xludf.DUMMYFUNCTION("""COMPUTED_VALUE"""),15)</f>
        <v>15</v>
      </c>
      <c r="D29" s="1">
        <f ca="1">IFERROR(__xludf.DUMMYFUNCTION("""COMPUTED_VALUE"""),16)</f>
        <v>16</v>
      </c>
      <c r="E29" s="1">
        <f ca="1">IFERROR(__xludf.DUMMYFUNCTION("""COMPUTED_VALUE"""),0.484)</f>
        <v>0.48399999999999999</v>
      </c>
      <c r="F29" s="1">
        <f ca="1">IFERROR(__xludf.DUMMYFUNCTION("""COMPUTED_VALUE"""),9.58)</f>
        <v>9.58</v>
      </c>
      <c r="G29" s="1">
        <f ca="1">IFERROR(__xludf.DUMMYFUNCTION("""COMPUTED_VALUE"""),7.21)</f>
        <v>7.21</v>
      </c>
      <c r="H29" s="1">
        <f ca="1">IFERROR(__xludf.DUMMYFUNCTION("""COMPUTED_VALUE"""),6)</f>
        <v>6</v>
      </c>
      <c r="I29" s="1">
        <f ca="1">IFERROR(__xludf.DUMMYFUNCTION("""COMPUTED_VALUE"""),10)</f>
        <v>10</v>
      </c>
      <c r="J29" s="1">
        <f ca="1">IFERROR(__xludf.DUMMYFUNCTION("""COMPUTED_VALUE"""),11)</f>
        <v>11</v>
      </c>
      <c r="K29" s="1">
        <f ca="1">IFERROR(__xludf.DUMMYFUNCTION("""COMPUTED_VALUE"""),6)</f>
        <v>6</v>
      </c>
      <c r="L29" s="1">
        <f ca="1">IFERROR(__xludf.DUMMYFUNCTION("""COMPUTED_VALUE"""),3)</f>
        <v>3</v>
      </c>
      <c r="M29" s="1">
        <f ca="1">IFERROR(__xludf.DUMMYFUNCTION("""COMPUTED_VALUE"""),7)</f>
        <v>7</v>
      </c>
      <c r="N29" s="1">
        <f ca="1">IFERROR(__xludf.DUMMYFUNCTION("""COMPUTED_VALUE"""),2145)</f>
        <v>2145</v>
      </c>
      <c r="O29" s="1">
        <f ca="1">IFERROR(__xludf.DUMMYFUNCTION("""COMPUTED_VALUE"""),2048)</f>
        <v>2048</v>
      </c>
      <c r="P29" s="1">
        <f ca="1">IFERROR(__xludf.DUMMYFUNCTION("""COMPUTED_VALUE"""),1240)</f>
        <v>1240</v>
      </c>
      <c r="Q29" s="1">
        <f ca="1">IFERROR(__xludf.DUMMYFUNCTION("""COMPUTED_VALUE"""),798)</f>
        <v>798</v>
      </c>
      <c r="R29" s="1">
        <f ca="1">IFERROR(__xludf.DUMMYFUNCTION("""COMPUTED_VALUE"""),1786)</f>
        <v>1786</v>
      </c>
      <c r="S29" s="1">
        <f ca="1">IFERROR(__xludf.DUMMYFUNCTION("""COMPUTED_VALUE"""),0.447)</f>
        <v>0.44700000000000001</v>
      </c>
      <c r="T29" s="1">
        <f ca="1">IFERROR(__xludf.DUMMYFUNCTION("""COMPUTED_VALUE"""),159)</f>
        <v>159</v>
      </c>
      <c r="U29" s="1">
        <f ca="1">IFERROR(__xludf.DUMMYFUNCTION("""COMPUTED_VALUE"""),487)</f>
        <v>487</v>
      </c>
      <c r="V29" s="1">
        <f ca="1">IFERROR(__xludf.DUMMYFUNCTION("""COMPUTED_VALUE"""),0.326)</f>
        <v>0.32600000000000001</v>
      </c>
      <c r="W29" s="1">
        <f ca="1">IFERROR(__xludf.DUMMYFUNCTION("""COMPUTED_VALUE"""),390)</f>
        <v>390</v>
      </c>
      <c r="X29" s="1">
        <f ca="1">IFERROR(__xludf.DUMMYFUNCTION("""COMPUTED_VALUE"""),545)</f>
        <v>545</v>
      </c>
      <c r="Y29" s="1">
        <f ca="1">IFERROR(__xludf.DUMMYFUNCTION("""COMPUTED_VALUE"""),0.716)</f>
        <v>0.71599999999999997</v>
      </c>
      <c r="Z29" s="1">
        <f ca="1">IFERROR(__xludf.DUMMYFUNCTION("""COMPUTED_VALUE"""),401)</f>
        <v>401</v>
      </c>
      <c r="AA29" s="1">
        <f ca="1">IFERROR(__xludf.DUMMYFUNCTION("""COMPUTED_VALUE"""),1124)</f>
        <v>1124</v>
      </c>
      <c r="AB29" s="1">
        <f ca="1">IFERROR(__xludf.DUMMYFUNCTION("""COMPUTED_VALUE"""),465)</f>
        <v>465</v>
      </c>
      <c r="AC29" s="1">
        <f ca="1">IFERROR(__xludf.DUMMYFUNCTION("""COMPUTED_VALUE"""),155)</f>
        <v>155</v>
      </c>
      <c r="AD29" s="1">
        <f ca="1">IFERROR(__xludf.DUMMYFUNCTION("""COMPUTED_VALUE"""),108)</f>
        <v>108</v>
      </c>
      <c r="AE29" s="1">
        <f ca="1">IFERROR(__xludf.DUMMYFUNCTION("""COMPUTED_VALUE"""),394)</f>
        <v>394</v>
      </c>
      <c r="AF29" s="1">
        <f ca="1">IFERROR(__xludf.DUMMYFUNCTION("""COMPUTED_VALUE"""),524)</f>
        <v>524</v>
      </c>
    </row>
    <row r="30" spans="1:32" ht="12.5" x14ac:dyDescent="0.25">
      <c r="A30" s="1" t="str">
        <f ca="1">IFERROR(__xludf.DUMMYFUNCTION("""COMPUTED_VALUE"""),"Boston University")</f>
        <v>Boston University</v>
      </c>
      <c r="B30" s="1">
        <f ca="1">IFERROR(__xludf.DUMMYFUNCTION("""COMPUTED_VALUE"""),35)</f>
        <v>35</v>
      </c>
      <c r="C30" s="1">
        <f ca="1">IFERROR(__xludf.DUMMYFUNCTION("""COMPUTED_VALUE"""),21)</f>
        <v>21</v>
      </c>
      <c r="D30" s="1">
        <f ca="1">IFERROR(__xludf.DUMMYFUNCTION("""COMPUTED_VALUE"""),14)</f>
        <v>14</v>
      </c>
      <c r="E30" s="1">
        <f ca="1">IFERROR(__xludf.DUMMYFUNCTION("""COMPUTED_VALUE"""),0.6)</f>
        <v>0.6</v>
      </c>
      <c r="F30" s="1">
        <f ca="1">IFERROR(__xludf.DUMMYFUNCTION("""COMPUTED_VALUE"""),0.57)</f>
        <v>0.56999999999999995</v>
      </c>
      <c r="G30" s="1">
        <f ca="1">IFERROR(__xludf.DUMMYFUNCTION("""COMPUTED_VALUE"""),-3.23)</f>
        <v>-3.23</v>
      </c>
      <c r="H30" s="1">
        <f ca="1">IFERROR(__xludf.DUMMYFUNCTION("""COMPUTED_VALUE"""),11)</f>
        <v>11</v>
      </c>
      <c r="I30" s="1">
        <f ca="1">IFERROR(__xludf.DUMMYFUNCTION("""COMPUTED_VALUE"""),5)</f>
        <v>5</v>
      </c>
      <c r="J30" s="1">
        <f ca="1">IFERROR(__xludf.DUMMYFUNCTION("""COMPUTED_VALUE"""),10)</f>
        <v>10</v>
      </c>
      <c r="K30" s="1">
        <f ca="1">IFERROR(__xludf.DUMMYFUNCTION("""COMPUTED_VALUE"""),4)</f>
        <v>4</v>
      </c>
      <c r="L30" s="1">
        <f ca="1">IFERROR(__xludf.DUMMYFUNCTION("""COMPUTED_VALUE"""),9)</f>
        <v>9</v>
      </c>
      <c r="M30" s="1">
        <f ca="1">IFERROR(__xludf.DUMMYFUNCTION("""COMPUTED_VALUE"""),8)</f>
        <v>8</v>
      </c>
      <c r="N30" s="1">
        <f ca="1">IFERROR(__xludf.DUMMYFUNCTION("""COMPUTED_VALUE"""),2528)</f>
        <v>2528</v>
      </c>
      <c r="O30" s="1">
        <f ca="1">IFERROR(__xludf.DUMMYFUNCTION("""COMPUTED_VALUE"""),2395)</f>
        <v>2395</v>
      </c>
      <c r="P30" s="1">
        <f ca="1">IFERROR(__xludf.DUMMYFUNCTION("""COMPUTED_VALUE"""),1410)</f>
        <v>1410</v>
      </c>
      <c r="Q30" s="1">
        <f ca="1">IFERROR(__xludf.DUMMYFUNCTION("""COMPUTED_VALUE"""),833)</f>
        <v>833</v>
      </c>
      <c r="R30" s="1">
        <f ca="1">IFERROR(__xludf.DUMMYFUNCTION("""COMPUTED_VALUE"""),2033)</f>
        <v>2033</v>
      </c>
      <c r="S30" s="1">
        <f ca="1">IFERROR(__xludf.DUMMYFUNCTION("""COMPUTED_VALUE"""),0.41)</f>
        <v>0.41</v>
      </c>
      <c r="T30" s="1">
        <f ca="1">IFERROR(__xludf.DUMMYFUNCTION("""COMPUTED_VALUE"""),300)</f>
        <v>300</v>
      </c>
      <c r="U30" s="1">
        <f ca="1">IFERROR(__xludf.DUMMYFUNCTION("""COMPUTED_VALUE"""),824)</f>
        <v>824</v>
      </c>
      <c r="V30" s="1">
        <f ca="1">IFERROR(__xludf.DUMMYFUNCTION("""COMPUTED_VALUE"""),0.364)</f>
        <v>0.36399999999999999</v>
      </c>
      <c r="W30" s="1">
        <f ca="1">IFERROR(__xludf.DUMMYFUNCTION("""COMPUTED_VALUE"""),562)</f>
        <v>562</v>
      </c>
      <c r="X30" s="1">
        <f ca="1">IFERROR(__xludf.DUMMYFUNCTION("""COMPUTED_VALUE"""),776)</f>
        <v>776</v>
      </c>
      <c r="Y30" s="1">
        <f ca="1">IFERROR(__xludf.DUMMYFUNCTION("""COMPUTED_VALUE"""),0.724)</f>
        <v>0.72399999999999998</v>
      </c>
      <c r="Z30" s="1">
        <f ca="1">IFERROR(__xludf.DUMMYFUNCTION("""COMPUTED_VALUE"""),397)</f>
        <v>397</v>
      </c>
      <c r="AA30" s="1">
        <f ca="1">IFERROR(__xludf.DUMMYFUNCTION("""COMPUTED_VALUE"""),1296)</f>
        <v>1296</v>
      </c>
      <c r="AB30" s="1">
        <f ca="1">IFERROR(__xludf.DUMMYFUNCTION("""COMPUTED_VALUE"""),398)</f>
        <v>398</v>
      </c>
      <c r="AC30" s="1">
        <f ca="1">IFERROR(__xludf.DUMMYFUNCTION("""COMPUTED_VALUE"""),257)</f>
        <v>257</v>
      </c>
      <c r="AD30" s="1">
        <f ca="1">IFERROR(__xludf.DUMMYFUNCTION("""COMPUTED_VALUE"""),114)</f>
        <v>114</v>
      </c>
      <c r="AE30" s="1">
        <f ca="1">IFERROR(__xludf.DUMMYFUNCTION("""COMPUTED_VALUE"""),475)</f>
        <v>475</v>
      </c>
      <c r="AF30" s="1">
        <f ca="1">IFERROR(__xludf.DUMMYFUNCTION("""COMPUTED_VALUE"""),744)</f>
        <v>744</v>
      </c>
    </row>
    <row r="31" spans="1:32" ht="12.5" x14ac:dyDescent="0.25">
      <c r="A31" s="1" t="str">
        <f ca="1">IFERROR(__xludf.DUMMYFUNCTION("""COMPUTED_VALUE"""),"Bowling Green State")</f>
        <v>Bowling Green State</v>
      </c>
      <c r="B31" s="1">
        <f ca="1">IFERROR(__xludf.DUMMYFUNCTION("""COMPUTED_VALUE"""),30)</f>
        <v>30</v>
      </c>
      <c r="C31" s="1">
        <f ca="1">IFERROR(__xludf.DUMMYFUNCTION("""COMPUTED_VALUE"""),14)</f>
        <v>14</v>
      </c>
      <c r="D31" s="1">
        <f ca="1">IFERROR(__xludf.DUMMYFUNCTION("""COMPUTED_VALUE"""),16)</f>
        <v>16</v>
      </c>
      <c r="E31" s="1">
        <f ca="1">IFERROR(__xludf.DUMMYFUNCTION("""COMPUTED_VALUE"""),0.467)</f>
        <v>0.46700000000000003</v>
      </c>
      <c r="F31" s="1">
        <f ca="1">IFERROR(__xludf.DUMMYFUNCTION("""COMPUTED_VALUE"""),-4.7)</f>
        <v>-4.7</v>
      </c>
      <c r="G31" s="1">
        <f ca="1">IFERROR(__xludf.DUMMYFUNCTION("""COMPUTED_VALUE"""),-0.94)</f>
        <v>-0.94</v>
      </c>
      <c r="H31" s="1">
        <f ca="1">IFERROR(__xludf.DUMMYFUNCTION("""COMPUTED_VALUE"""),6)</f>
        <v>6</v>
      </c>
      <c r="I31" s="1">
        <f ca="1">IFERROR(__xludf.DUMMYFUNCTION("""COMPUTED_VALUE"""),10)</f>
        <v>10</v>
      </c>
      <c r="J31" s="1">
        <f ca="1">IFERROR(__xludf.DUMMYFUNCTION("""COMPUTED_VALUE"""),9)</f>
        <v>9</v>
      </c>
      <c r="K31" s="1">
        <f ca="1">IFERROR(__xludf.DUMMYFUNCTION("""COMPUTED_VALUE"""),5)</f>
        <v>5</v>
      </c>
      <c r="L31" s="1">
        <f ca="1">IFERROR(__xludf.DUMMYFUNCTION("""COMPUTED_VALUE"""),5)</f>
        <v>5</v>
      </c>
      <c r="M31" s="1">
        <f ca="1">IFERROR(__xludf.DUMMYFUNCTION("""COMPUTED_VALUE"""),11)</f>
        <v>11</v>
      </c>
      <c r="N31" s="1">
        <f ca="1">IFERROR(__xludf.DUMMYFUNCTION("""COMPUTED_VALUE"""),1889)</f>
        <v>1889</v>
      </c>
      <c r="O31" s="1">
        <f ca="1">IFERROR(__xludf.DUMMYFUNCTION("""COMPUTED_VALUE"""),1976)</f>
        <v>1976</v>
      </c>
      <c r="P31" s="1">
        <f ca="1">IFERROR(__xludf.DUMMYFUNCTION("""COMPUTED_VALUE"""),1205)</f>
        <v>1205</v>
      </c>
      <c r="Q31" s="1">
        <f ca="1">IFERROR(__xludf.DUMMYFUNCTION("""COMPUTED_VALUE"""),695)</f>
        <v>695</v>
      </c>
      <c r="R31" s="1">
        <f ca="1">IFERROR(__xludf.DUMMYFUNCTION("""COMPUTED_VALUE"""),1564)</f>
        <v>1564</v>
      </c>
      <c r="S31" s="1">
        <f ca="1">IFERROR(__xludf.DUMMYFUNCTION("""COMPUTED_VALUE"""),0.444)</f>
        <v>0.44400000000000001</v>
      </c>
      <c r="T31" s="1">
        <f ca="1">IFERROR(__xludf.DUMMYFUNCTION("""COMPUTED_VALUE"""),130)</f>
        <v>130</v>
      </c>
      <c r="U31" s="1">
        <f ca="1">IFERROR(__xludf.DUMMYFUNCTION("""COMPUTED_VALUE"""),399)</f>
        <v>399</v>
      </c>
      <c r="V31" s="1">
        <f ca="1">IFERROR(__xludf.DUMMYFUNCTION("""COMPUTED_VALUE"""),0.326)</f>
        <v>0.32600000000000001</v>
      </c>
      <c r="W31" s="1">
        <f ca="1">IFERROR(__xludf.DUMMYFUNCTION("""COMPUTED_VALUE"""),369)</f>
        <v>369</v>
      </c>
      <c r="X31" s="1">
        <f ca="1">IFERROR(__xludf.DUMMYFUNCTION("""COMPUTED_VALUE"""),551)</f>
        <v>551</v>
      </c>
      <c r="Y31" s="1">
        <f ca="1">IFERROR(__xludf.DUMMYFUNCTION("""COMPUTED_VALUE"""),0.67)</f>
        <v>0.67</v>
      </c>
      <c r="Z31" s="1">
        <f ca="1">IFERROR(__xludf.DUMMYFUNCTION("""COMPUTED_VALUE"""),327)</f>
        <v>327</v>
      </c>
      <c r="AA31" s="1">
        <f ca="1">IFERROR(__xludf.DUMMYFUNCTION("""COMPUTED_VALUE"""),1011)</f>
        <v>1011</v>
      </c>
      <c r="AB31" s="1">
        <f ca="1">IFERROR(__xludf.DUMMYFUNCTION("""COMPUTED_VALUE"""),393)</f>
        <v>393</v>
      </c>
      <c r="AC31" s="1">
        <f ca="1">IFERROR(__xludf.DUMMYFUNCTION("""COMPUTED_VALUE"""),204)</f>
        <v>204</v>
      </c>
      <c r="AD31" s="1">
        <f ca="1">IFERROR(__xludf.DUMMYFUNCTION("""COMPUTED_VALUE"""),99)</f>
        <v>99</v>
      </c>
      <c r="AE31" s="1">
        <f ca="1">IFERROR(__xludf.DUMMYFUNCTION("""COMPUTED_VALUE"""),420)</f>
        <v>420</v>
      </c>
      <c r="AF31" s="1">
        <f ca="1">IFERROR(__xludf.DUMMYFUNCTION("""COMPUTED_VALUE"""),494)</f>
        <v>494</v>
      </c>
    </row>
    <row r="32" spans="1:32" ht="12.5" x14ac:dyDescent="0.25">
      <c r="A32" s="1" t="str">
        <f ca="1">IFERROR(__xludf.DUMMYFUNCTION("""COMPUTED_VALUE"""),"Bradley")</f>
        <v>Bradley</v>
      </c>
      <c r="B32" s="1">
        <f ca="1">IFERROR(__xludf.DUMMYFUNCTION("""COMPUTED_VALUE"""),31)</f>
        <v>31</v>
      </c>
      <c r="C32" s="1">
        <f ca="1">IFERROR(__xludf.DUMMYFUNCTION("""COMPUTED_VALUE"""),16)</f>
        <v>16</v>
      </c>
      <c r="D32" s="1">
        <f ca="1">IFERROR(__xludf.DUMMYFUNCTION("""COMPUTED_VALUE"""),15)</f>
        <v>15</v>
      </c>
      <c r="E32" s="1">
        <f ca="1">IFERROR(__xludf.DUMMYFUNCTION("""COMPUTED_VALUE"""),0.516)</f>
        <v>0.51600000000000001</v>
      </c>
      <c r="F32" s="1">
        <f ca="1">IFERROR(__xludf.DUMMYFUNCTION("""COMPUTED_VALUE"""),3.74)</f>
        <v>3.74</v>
      </c>
      <c r="G32" s="1">
        <f ca="1">IFERROR(__xludf.DUMMYFUNCTION("""COMPUTED_VALUE"""),4.11)</f>
        <v>4.1100000000000003</v>
      </c>
      <c r="H32" s="1">
        <f ca="1">IFERROR(__xludf.DUMMYFUNCTION("""COMPUTED_VALUE"""),9)</f>
        <v>9</v>
      </c>
      <c r="I32" s="1">
        <f ca="1">IFERROR(__xludf.DUMMYFUNCTION("""COMPUTED_VALUE"""),9)</f>
        <v>9</v>
      </c>
      <c r="J32" s="1">
        <f ca="1">IFERROR(__xludf.DUMMYFUNCTION("""COMPUTED_VALUE"""),10)</f>
        <v>10</v>
      </c>
      <c r="K32" s="1">
        <f ca="1">IFERROR(__xludf.DUMMYFUNCTION("""COMPUTED_VALUE"""),5)</f>
        <v>5</v>
      </c>
      <c r="L32" s="1">
        <f ca="1">IFERROR(__xludf.DUMMYFUNCTION("""COMPUTED_VALUE"""),4)</f>
        <v>4</v>
      </c>
      <c r="M32" s="1">
        <f ca="1">IFERROR(__xludf.DUMMYFUNCTION("""COMPUTED_VALUE"""),8)</f>
        <v>8</v>
      </c>
      <c r="N32" s="1">
        <f ca="1">IFERROR(__xludf.DUMMYFUNCTION("""COMPUTED_VALUE"""),2091)</f>
        <v>2091</v>
      </c>
      <c r="O32" s="1">
        <f ca="1">IFERROR(__xludf.DUMMYFUNCTION("""COMPUTED_VALUE"""),2089)</f>
        <v>2089</v>
      </c>
      <c r="P32" s="1">
        <f ca="1">IFERROR(__xludf.DUMMYFUNCTION("""COMPUTED_VALUE"""),1250)</f>
        <v>1250</v>
      </c>
      <c r="Q32" s="1">
        <f ca="1">IFERROR(__xludf.DUMMYFUNCTION("""COMPUTED_VALUE"""),721)</f>
        <v>721</v>
      </c>
      <c r="R32" s="1">
        <f ca="1">IFERROR(__xludf.DUMMYFUNCTION("""COMPUTED_VALUE"""),1641)</f>
        <v>1641</v>
      </c>
      <c r="S32" s="1">
        <f ca="1">IFERROR(__xludf.DUMMYFUNCTION("""COMPUTED_VALUE"""),0.439)</f>
        <v>0.439</v>
      </c>
      <c r="T32" s="1">
        <f ca="1">IFERROR(__xludf.DUMMYFUNCTION("""COMPUTED_VALUE"""),187)</f>
        <v>187</v>
      </c>
      <c r="U32" s="1">
        <f ca="1">IFERROR(__xludf.DUMMYFUNCTION("""COMPUTED_VALUE"""),525)</f>
        <v>525</v>
      </c>
      <c r="V32" s="1">
        <f ca="1">IFERROR(__xludf.DUMMYFUNCTION("""COMPUTED_VALUE"""),0.356)</f>
        <v>0.35599999999999998</v>
      </c>
      <c r="W32" s="1">
        <f ca="1">IFERROR(__xludf.DUMMYFUNCTION("""COMPUTED_VALUE"""),462)</f>
        <v>462</v>
      </c>
      <c r="X32" s="1">
        <f ca="1">IFERROR(__xludf.DUMMYFUNCTION("""COMPUTED_VALUE"""),621)</f>
        <v>621</v>
      </c>
      <c r="Y32" s="1">
        <f ca="1">IFERROR(__xludf.DUMMYFUNCTION("""COMPUTED_VALUE"""),0.744)</f>
        <v>0.74399999999999999</v>
      </c>
      <c r="Z32" s="1">
        <f ca="1">IFERROR(__xludf.DUMMYFUNCTION("""COMPUTED_VALUE"""),283)</f>
        <v>283</v>
      </c>
      <c r="AA32" s="1">
        <f ca="1">IFERROR(__xludf.DUMMYFUNCTION("""COMPUTED_VALUE"""),1021)</f>
        <v>1021</v>
      </c>
      <c r="AB32" s="1">
        <f ca="1">IFERROR(__xludf.DUMMYFUNCTION("""COMPUTED_VALUE"""),370)</f>
        <v>370</v>
      </c>
      <c r="AC32" s="1">
        <f ca="1">IFERROR(__xludf.DUMMYFUNCTION("""COMPUTED_VALUE"""),195)</f>
        <v>195</v>
      </c>
      <c r="AD32" s="1">
        <f ca="1">IFERROR(__xludf.DUMMYFUNCTION("""COMPUTED_VALUE"""),85)</f>
        <v>85</v>
      </c>
      <c r="AE32" s="1">
        <f ca="1">IFERROR(__xludf.DUMMYFUNCTION("""COMPUTED_VALUE"""),373)</f>
        <v>373</v>
      </c>
      <c r="AF32" s="1">
        <f ca="1">IFERROR(__xludf.DUMMYFUNCTION("""COMPUTED_VALUE"""),518)</f>
        <v>518</v>
      </c>
    </row>
    <row r="33" spans="1:32" ht="12.5" x14ac:dyDescent="0.25">
      <c r="A33" s="1" t="str">
        <f ca="1">IFERROR(__xludf.DUMMYFUNCTION("""COMPUTED_VALUE"""),"Brigham YoungNCAA")</f>
        <v>Brigham YoungNCAA</v>
      </c>
      <c r="B33" s="1">
        <f ca="1">IFERROR(__xludf.DUMMYFUNCTION("""COMPUTED_VALUE"""),36)</f>
        <v>36</v>
      </c>
      <c r="C33" s="1">
        <f ca="1">IFERROR(__xludf.DUMMYFUNCTION("""COMPUTED_VALUE"""),30)</f>
        <v>30</v>
      </c>
      <c r="D33" s="1">
        <f ca="1">IFERROR(__xludf.DUMMYFUNCTION("""COMPUTED_VALUE"""),6)</f>
        <v>6</v>
      </c>
      <c r="E33" s="1">
        <f ca="1">IFERROR(__xludf.DUMMYFUNCTION("""COMPUTED_VALUE"""),0.833)</f>
        <v>0.83299999999999996</v>
      </c>
      <c r="F33" s="1">
        <f ca="1">IFERROR(__xludf.DUMMYFUNCTION("""COMPUTED_VALUE"""),18.82)</f>
        <v>18.82</v>
      </c>
      <c r="G33" s="1">
        <f ca="1">IFERROR(__xludf.DUMMYFUNCTION("""COMPUTED_VALUE"""),3)</f>
        <v>3</v>
      </c>
      <c r="H33" s="1">
        <f ca="1">IFERROR(__xludf.DUMMYFUNCTION("""COMPUTED_VALUE"""),13)</f>
        <v>13</v>
      </c>
      <c r="I33" s="1">
        <f ca="1">IFERROR(__xludf.DUMMYFUNCTION("""COMPUTED_VALUE"""),3)</f>
        <v>3</v>
      </c>
      <c r="J33" s="1">
        <f ca="1">IFERROR(__xludf.DUMMYFUNCTION("""COMPUTED_VALUE"""),15)</f>
        <v>15</v>
      </c>
      <c r="K33" s="1">
        <f ca="1">IFERROR(__xludf.DUMMYFUNCTION("""COMPUTED_VALUE"""),1)</f>
        <v>1</v>
      </c>
      <c r="L33" s="1">
        <f ca="1">IFERROR(__xludf.DUMMYFUNCTION("""COMPUTED_VALUE"""),10)</f>
        <v>10</v>
      </c>
      <c r="M33" s="1">
        <f ca="1">IFERROR(__xludf.DUMMYFUNCTION("""COMPUTED_VALUE"""),4)</f>
        <v>4</v>
      </c>
      <c r="N33" s="1">
        <f ca="1">IFERROR(__xludf.DUMMYFUNCTION("""COMPUTED_VALUE"""),2992)</f>
        <v>2992</v>
      </c>
      <c r="O33" s="1">
        <f ca="1">IFERROR(__xludf.DUMMYFUNCTION("""COMPUTED_VALUE"""),2392)</f>
        <v>2392</v>
      </c>
      <c r="P33" s="1">
        <f ca="1">IFERROR(__xludf.DUMMYFUNCTION("""COMPUTED_VALUE"""),1450)</f>
        <v>1450</v>
      </c>
      <c r="Q33" s="1">
        <f ca="1">IFERROR(__xludf.DUMMYFUNCTION("""COMPUTED_VALUE"""),1025)</f>
        <v>1025</v>
      </c>
      <c r="R33" s="1">
        <f ca="1">IFERROR(__xludf.DUMMYFUNCTION("""COMPUTED_VALUE"""),2120)</f>
        <v>2120</v>
      </c>
      <c r="S33" s="1">
        <f ca="1">IFERROR(__xludf.DUMMYFUNCTION("""COMPUTED_VALUE"""),0.483)</f>
        <v>0.48299999999999998</v>
      </c>
      <c r="T33" s="1">
        <f ca="1">IFERROR(__xludf.DUMMYFUNCTION("""COMPUTED_VALUE"""),292)</f>
        <v>292</v>
      </c>
      <c r="U33" s="1">
        <f ca="1">IFERROR(__xludf.DUMMYFUNCTION("""COMPUTED_VALUE"""),700)</f>
        <v>700</v>
      </c>
      <c r="V33" s="1">
        <f ca="1">IFERROR(__xludf.DUMMYFUNCTION("""COMPUTED_VALUE"""),0.417)</f>
        <v>0.41699999999999998</v>
      </c>
      <c r="W33" s="1">
        <f ca="1">IFERROR(__xludf.DUMMYFUNCTION("""COMPUTED_VALUE"""),650)</f>
        <v>650</v>
      </c>
      <c r="X33" s="1">
        <f ca="1">IFERROR(__xludf.DUMMYFUNCTION("""COMPUTED_VALUE"""),823)</f>
        <v>823</v>
      </c>
      <c r="Y33" s="1">
        <f ca="1">IFERROR(__xludf.DUMMYFUNCTION("""COMPUTED_VALUE"""),0.79)</f>
        <v>0.79</v>
      </c>
      <c r="Z33" s="1">
        <f ca="1">IFERROR(__xludf.DUMMYFUNCTION("""COMPUTED_VALUE"""),367)</f>
        <v>367</v>
      </c>
      <c r="AA33" s="1">
        <f ca="1">IFERROR(__xludf.DUMMYFUNCTION("""COMPUTED_VALUE"""),1332)</f>
        <v>1332</v>
      </c>
      <c r="AB33" s="1">
        <f ca="1">IFERROR(__xludf.DUMMYFUNCTION("""COMPUTED_VALUE"""),567)</f>
        <v>567</v>
      </c>
      <c r="AC33" s="1">
        <f ca="1">IFERROR(__xludf.DUMMYFUNCTION("""COMPUTED_VALUE"""),307)</f>
        <v>307</v>
      </c>
      <c r="AD33" s="1">
        <f ca="1">IFERROR(__xludf.DUMMYFUNCTION("""COMPUTED_VALUE"""),126)</f>
        <v>126</v>
      </c>
      <c r="AE33" s="1">
        <f ca="1">IFERROR(__xludf.DUMMYFUNCTION("""COMPUTED_VALUE"""),417)</f>
        <v>417</v>
      </c>
      <c r="AF33" s="1">
        <f ca="1">IFERROR(__xludf.DUMMYFUNCTION("""COMPUTED_VALUE"""),621)</f>
        <v>621</v>
      </c>
    </row>
    <row r="34" spans="1:32" ht="12.5" x14ac:dyDescent="0.25">
      <c r="A34" s="1" t="str">
        <f ca="1">IFERROR(__xludf.DUMMYFUNCTION("""COMPUTED_VALUE"""),"Brown")</f>
        <v>Brown</v>
      </c>
      <c r="B34" s="1">
        <f ca="1">IFERROR(__xludf.DUMMYFUNCTION("""COMPUTED_VALUE"""),31)</f>
        <v>31</v>
      </c>
      <c r="C34" s="1">
        <f ca="1">IFERROR(__xludf.DUMMYFUNCTION("""COMPUTED_VALUE"""),11)</f>
        <v>11</v>
      </c>
      <c r="D34" s="1">
        <f ca="1">IFERROR(__xludf.DUMMYFUNCTION("""COMPUTED_VALUE"""),20)</f>
        <v>20</v>
      </c>
      <c r="E34" s="1">
        <f ca="1">IFERROR(__xludf.DUMMYFUNCTION("""COMPUTED_VALUE"""),0.355)</f>
        <v>0.35499999999999998</v>
      </c>
      <c r="F34" s="1">
        <f ca="1">IFERROR(__xludf.DUMMYFUNCTION("""COMPUTED_VALUE"""),-10.68)</f>
        <v>-10.68</v>
      </c>
      <c r="G34" s="1">
        <f ca="1">IFERROR(__xludf.DUMMYFUNCTION("""COMPUTED_VALUE"""),-3.82)</f>
        <v>-3.82</v>
      </c>
      <c r="H34" s="1">
        <f ca="1">IFERROR(__xludf.DUMMYFUNCTION("""COMPUTED_VALUE"""),5)</f>
        <v>5</v>
      </c>
      <c r="I34" s="1">
        <f ca="1">IFERROR(__xludf.DUMMYFUNCTION("""COMPUTED_VALUE"""),9)</f>
        <v>9</v>
      </c>
      <c r="J34" s="1">
        <f ca="1">IFERROR(__xludf.DUMMYFUNCTION("""COMPUTED_VALUE"""),4)</f>
        <v>4</v>
      </c>
      <c r="K34" s="1">
        <f ca="1">IFERROR(__xludf.DUMMYFUNCTION("""COMPUTED_VALUE"""),9)</f>
        <v>9</v>
      </c>
      <c r="L34" s="1">
        <f ca="1">IFERROR(__xludf.DUMMYFUNCTION("""COMPUTED_VALUE"""),6)</f>
        <v>6</v>
      </c>
      <c r="M34" s="1">
        <f ca="1">IFERROR(__xludf.DUMMYFUNCTION("""COMPUTED_VALUE"""),10)</f>
        <v>10</v>
      </c>
      <c r="N34" s="1">
        <f ca="1">IFERROR(__xludf.DUMMYFUNCTION("""COMPUTED_VALUE"""),2073)</f>
        <v>2073</v>
      </c>
      <c r="O34" s="1">
        <f ca="1">IFERROR(__xludf.DUMMYFUNCTION("""COMPUTED_VALUE"""),2231)</f>
        <v>2231</v>
      </c>
      <c r="P34" s="1">
        <f ca="1">IFERROR(__xludf.DUMMYFUNCTION("""COMPUTED_VALUE"""),1250)</f>
        <v>1250</v>
      </c>
      <c r="Q34" s="1">
        <f ca="1">IFERROR(__xludf.DUMMYFUNCTION("""COMPUTED_VALUE"""),710)</f>
        <v>710</v>
      </c>
      <c r="R34" s="1">
        <f ca="1">IFERROR(__xludf.DUMMYFUNCTION("""COMPUTED_VALUE"""),1610)</f>
        <v>1610</v>
      </c>
      <c r="S34" s="1">
        <f ca="1">IFERROR(__xludf.DUMMYFUNCTION("""COMPUTED_VALUE"""),0.441)</f>
        <v>0.441</v>
      </c>
      <c r="T34" s="1">
        <f ca="1">IFERROR(__xludf.DUMMYFUNCTION("""COMPUTED_VALUE"""),212)</f>
        <v>212</v>
      </c>
      <c r="U34" s="1">
        <f ca="1">IFERROR(__xludf.DUMMYFUNCTION("""COMPUTED_VALUE"""),611)</f>
        <v>611</v>
      </c>
      <c r="V34" s="1">
        <f ca="1">IFERROR(__xludf.DUMMYFUNCTION("""COMPUTED_VALUE"""),0.347)</f>
        <v>0.34699999999999998</v>
      </c>
      <c r="W34" s="1">
        <f ca="1">IFERROR(__xludf.DUMMYFUNCTION("""COMPUTED_VALUE"""),441)</f>
        <v>441</v>
      </c>
      <c r="X34" s="1">
        <f ca="1">IFERROR(__xludf.DUMMYFUNCTION("""COMPUTED_VALUE"""),602)</f>
        <v>602</v>
      </c>
      <c r="Y34" s="1">
        <f ca="1">IFERROR(__xludf.DUMMYFUNCTION("""COMPUTED_VALUE"""),0.733)</f>
        <v>0.73299999999999998</v>
      </c>
      <c r="Z34" s="1">
        <f ca="1">IFERROR(__xludf.DUMMYFUNCTION("""COMPUTED_VALUE"""),225)</f>
        <v>225</v>
      </c>
      <c r="AA34" s="1">
        <f ca="1">IFERROR(__xludf.DUMMYFUNCTION("""COMPUTED_VALUE"""),990)</f>
        <v>990</v>
      </c>
      <c r="AB34" s="1">
        <f ca="1">IFERROR(__xludf.DUMMYFUNCTION("""COMPUTED_VALUE"""),417)</f>
        <v>417</v>
      </c>
      <c r="AC34" s="1">
        <f ca="1">IFERROR(__xludf.DUMMYFUNCTION("""COMPUTED_VALUE"""),121)</f>
        <v>121</v>
      </c>
      <c r="AD34" s="1">
        <f ca="1">IFERROR(__xludf.DUMMYFUNCTION("""COMPUTED_VALUE"""),118)</f>
        <v>118</v>
      </c>
      <c r="AE34" s="1">
        <f ca="1">IFERROR(__xludf.DUMMYFUNCTION("""COMPUTED_VALUE"""),402)</f>
        <v>402</v>
      </c>
      <c r="AF34" s="1">
        <f ca="1">IFERROR(__xludf.DUMMYFUNCTION("""COMPUTED_VALUE"""),436)</f>
        <v>436</v>
      </c>
    </row>
    <row r="35" spans="1:32" ht="12.5" x14ac:dyDescent="0.25">
      <c r="A35" s="1" t="str">
        <f ca="1">IFERROR(__xludf.DUMMYFUNCTION("""COMPUTED_VALUE"""),"Bryant")</f>
        <v>Bryant</v>
      </c>
      <c r="B35" s="1">
        <f ca="1">IFERROR(__xludf.DUMMYFUNCTION("""COMPUTED_VALUE"""),30)</f>
        <v>30</v>
      </c>
      <c r="C35" s="1">
        <f ca="1">IFERROR(__xludf.DUMMYFUNCTION("""COMPUTED_VALUE"""),1)</f>
        <v>1</v>
      </c>
      <c r="D35" s="1">
        <f ca="1">IFERROR(__xludf.DUMMYFUNCTION("""COMPUTED_VALUE"""),29)</f>
        <v>29</v>
      </c>
      <c r="E35" s="1">
        <f ca="1">IFERROR(__xludf.DUMMYFUNCTION("""COMPUTED_VALUE"""),0.033)</f>
        <v>3.3000000000000002E-2</v>
      </c>
      <c r="F35" s="1" t="str">
        <f ca="1">IFERROR(__xludf.DUMMYFUNCTION("""COMPUTED_VALUE"""),"")</f>
        <v/>
      </c>
      <c r="G35" s="1" t="str">
        <f ca="1">IFERROR(__xludf.DUMMYFUNCTION("""COMPUTED_VALUE"""),"")</f>
        <v/>
      </c>
      <c r="H35" s="1">
        <f ca="1">IFERROR(__xludf.DUMMYFUNCTION("""COMPUTED_VALUE"""),1)</f>
        <v>1</v>
      </c>
      <c r="I35" s="1">
        <f ca="1">IFERROR(__xludf.DUMMYFUNCTION("""COMPUTED_VALUE"""),17)</f>
        <v>17</v>
      </c>
      <c r="J35" s="1">
        <f ca="1">IFERROR(__xludf.DUMMYFUNCTION("""COMPUTED_VALUE"""),0)</f>
        <v>0</v>
      </c>
      <c r="K35" s="1">
        <f ca="1">IFERROR(__xludf.DUMMYFUNCTION("""COMPUTED_VALUE"""),11)</f>
        <v>11</v>
      </c>
      <c r="L35" s="1">
        <f ca="1">IFERROR(__xludf.DUMMYFUNCTION("""COMPUTED_VALUE"""),1)</f>
        <v>1</v>
      </c>
      <c r="M35" s="1">
        <f ca="1">IFERROR(__xludf.DUMMYFUNCTION("""COMPUTED_VALUE"""),16)</f>
        <v>16</v>
      </c>
      <c r="N35" s="1">
        <f ca="1">IFERROR(__xludf.DUMMYFUNCTION("""COMPUTED_VALUE"""),1503)</f>
        <v>1503</v>
      </c>
      <c r="O35" s="1">
        <f ca="1">IFERROR(__xludf.DUMMYFUNCTION("""COMPUTED_VALUE"""),2034)</f>
        <v>2034</v>
      </c>
      <c r="P35" s="1">
        <f ca="1">IFERROR(__xludf.DUMMYFUNCTION("""COMPUTED_VALUE"""),1165)</f>
        <v>1165</v>
      </c>
      <c r="Q35" s="1">
        <f ca="1">IFERROR(__xludf.DUMMYFUNCTION("""COMPUTED_VALUE"""),545)</f>
        <v>545</v>
      </c>
      <c r="R35" s="1">
        <f ca="1">IFERROR(__xludf.DUMMYFUNCTION("""COMPUTED_VALUE"""),1466)</f>
        <v>1466</v>
      </c>
      <c r="S35" s="1">
        <f ca="1">IFERROR(__xludf.DUMMYFUNCTION("""COMPUTED_VALUE"""),0.372)</f>
        <v>0.372</v>
      </c>
      <c r="T35" s="1">
        <f ca="1">IFERROR(__xludf.DUMMYFUNCTION("""COMPUTED_VALUE"""),154)</f>
        <v>154</v>
      </c>
      <c r="U35" s="1">
        <f ca="1">IFERROR(__xludf.DUMMYFUNCTION("""COMPUTED_VALUE"""),543)</f>
        <v>543</v>
      </c>
      <c r="V35" s="1">
        <f ca="1">IFERROR(__xludf.DUMMYFUNCTION("""COMPUTED_VALUE"""),0.284)</f>
        <v>0.28399999999999997</v>
      </c>
      <c r="W35" s="1">
        <f ca="1">IFERROR(__xludf.DUMMYFUNCTION("""COMPUTED_VALUE"""),259)</f>
        <v>259</v>
      </c>
      <c r="X35" s="1">
        <f ca="1">IFERROR(__xludf.DUMMYFUNCTION("""COMPUTED_VALUE"""),389)</f>
        <v>389</v>
      </c>
      <c r="Y35" s="1">
        <f ca="1">IFERROR(__xludf.DUMMYFUNCTION("""COMPUTED_VALUE"""),0.666)</f>
        <v>0.66600000000000004</v>
      </c>
      <c r="Z35" s="1">
        <f ca="1">IFERROR(__xludf.DUMMYFUNCTION("""COMPUTED_VALUE"""),243)</f>
        <v>243</v>
      </c>
      <c r="AA35" s="1">
        <f ca="1">IFERROR(__xludf.DUMMYFUNCTION("""COMPUTED_VALUE"""),867)</f>
        <v>867</v>
      </c>
      <c r="AB35" s="1">
        <f ca="1">IFERROR(__xludf.DUMMYFUNCTION("""COMPUTED_VALUE"""),317)</f>
        <v>317</v>
      </c>
      <c r="AC35" s="1">
        <f ca="1">IFERROR(__xludf.DUMMYFUNCTION("""COMPUTED_VALUE"""),169)</f>
        <v>169</v>
      </c>
      <c r="AD35" s="1">
        <f ca="1">IFERROR(__xludf.DUMMYFUNCTION("""COMPUTED_VALUE"""),107)</f>
        <v>107</v>
      </c>
      <c r="AE35" s="1">
        <f ca="1">IFERROR(__xludf.DUMMYFUNCTION("""COMPUTED_VALUE"""),489)</f>
        <v>489</v>
      </c>
      <c r="AF35" s="1">
        <f ca="1">IFERROR(__xludf.DUMMYFUNCTION("""COMPUTED_VALUE"""),590)</f>
        <v>590</v>
      </c>
    </row>
    <row r="36" spans="1:32" ht="12.5" x14ac:dyDescent="0.25">
      <c r="A36" s="1" t="str">
        <f ca="1">IFERROR(__xludf.DUMMYFUNCTION("""COMPUTED_VALUE"""),"Bucknell")</f>
        <v>Bucknell</v>
      </c>
      <c r="B36" s="1">
        <f ca="1">IFERROR(__xludf.DUMMYFUNCTION("""COMPUTED_VALUE"""),31)</f>
        <v>31</v>
      </c>
      <c r="C36" s="1">
        <f ca="1">IFERROR(__xludf.DUMMYFUNCTION("""COMPUTED_VALUE"""),14)</f>
        <v>14</v>
      </c>
      <c r="D36" s="1">
        <f ca="1">IFERROR(__xludf.DUMMYFUNCTION("""COMPUTED_VALUE"""),17)</f>
        <v>17</v>
      </c>
      <c r="E36" s="1">
        <f ca="1">IFERROR(__xludf.DUMMYFUNCTION("""COMPUTED_VALUE"""),0.452)</f>
        <v>0.45200000000000001</v>
      </c>
      <c r="F36" s="1">
        <f ca="1">IFERROR(__xludf.DUMMYFUNCTION("""COMPUTED_VALUE"""),-7.94)</f>
        <v>-7.94</v>
      </c>
      <c r="G36" s="1">
        <f ca="1">IFERROR(__xludf.DUMMYFUNCTION("""COMPUTED_VALUE"""),-6.84)</f>
        <v>-6.84</v>
      </c>
      <c r="H36" s="1">
        <f ca="1">IFERROR(__xludf.DUMMYFUNCTION("""COMPUTED_VALUE"""),9)</f>
        <v>9</v>
      </c>
      <c r="I36" s="1">
        <f ca="1">IFERROR(__xludf.DUMMYFUNCTION("""COMPUTED_VALUE"""),5)</f>
        <v>5</v>
      </c>
      <c r="J36" s="1">
        <f ca="1">IFERROR(__xludf.DUMMYFUNCTION("""COMPUTED_VALUE"""),8)</f>
        <v>8</v>
      </c>
      <c r="K36" s="1">
        <f ca="1">IFERROR(__xludf.DUMMYFUNCTION("""COMPUTED_VALUE"""),5)</f>
        <v>5</v>
      </c>
      <c r="L36" s="1">
        <f ca="1">IFERROR(__xludf.DUMMYFUNCTION("""COMPUTED_VALUE"""),5)</f>
        <v>5</v>
      </c>
      <c r="M36" s="1">
        <f ca="1">IFERROR(__xludf.DUMMYFUNCTION("""COMPUTED_VALUE"""),11)</f>
        <v>11</v>
      </c>
      <c r="N36" s="1">
        <f ca="1">IFERROR(__xludf.DUMMYFUNCTION("""COMPUTED_VALUE"""),2077)</f>
        <v>2077</v>
      </c>
      <c r="O36" s="1">
        <f ca="1">IFERROR(__xludf.DUMMYFUNCTION("""COMPUTED_VALUE"""),2107)</f>
        <v>2107</v>
      </c>
      <c r="P36" s="1">
        <f ca="1">IFERROR(__xludf.DUMMYFUNCTION("""COMPUTED_VALUE"""),1260)</f>
        <v>1260</v>
      </c>
      <c r="Q36" s="1">
        <f ca="1">IFERROR(__xludf.DUMMYFUNCTION("""COMPUTED_VALUE"""),717)</f>
        <v>717</v>
      </c>
      <c r="R36" s="1">
        <f ca="1">IFERROR(__xludf.DUMMYFUNCTION("""COMPUTED_VALUE"""),1749)</f>
        <v>1749</v>
      </c>
      <c r="S36" s="1">
        <f ca="1">IFERROR(__xludf.DUMMYFUNCTION("""COMPUTED_VALUE"""),0.41)</f>
        <v>0.41</v>
      </c>
      <c r="T36" s="1">
        <f ca="1">IFERROR(__xludf.DUMMYFUNCTION("""COMPUTED_VALUE"""),200)</f>
        <v>200</v>
      </c>
      <c r="U36" s="1">
        <f ca="1">IFERROR(__xludf.DUMMYFUNCTION("""COMPUTED_VALUE"""),607)</f>
        <v>607</v>
      </c>
      <c r="V36" s="1">
        <f ca="1">IFERROR(__xludf.DUMMYFUNCTION("""COMPUTED_VALUE"""),0.329)</f>
        <v>0.32900000000000001</v>
      </c>
      <c r="W36" s="1">
        <f ca="1">IFERROR(__xludf.DUMMYFUNCTION("""COMPUTED_VALUE"""),443)</f>
        <v>443</v>
      </c>
      <c r="X36" s="1">
        <f ca="1">IFERROR(__xludf.DUMMYFUNCTION("""COMPUTED_VALUE"""),607)</f>
        <v>607</v>
      </c>
      <c r="Y36" s="1">
        <f ca="1">IFERROR(__xludf.DUMMYFUNCTION("""COMPUTED_VALUE"""),0.73)</f>
        <v>0.73</v>
      </c>
      <c r="Z36" s="1">
        <f ca="1">IFERROR(__xludf.DUMMYFUNCTION("""COMPUTED_VALUE"""),335)</f>
        <v>335</v>
      </c>
      <c r="AA36" s="1">
        <f ca="1">IFERROR(__xludf.DUMMYFUNCTION("""COMPUTED_VALUE"""),1048)</f>
        <v>1048</v>
      </c>
      <c r="AB36" s="1">
        <f ca="1">IFERROR(__xludf.DUMMYFUNCTION("""COMPUTED_VALUE"""),370)</f>
        <v>370</v>
      </c>
      <c r="AC36" s="1">
        <f ca="1">IFERROR(__xludf.DUMMYFUNCTION("""COMPUTED_VALUE"""),152)</f>
        <v>152</v>
      </c>
      <c r="AD36" s="1">
        <f ca="1">IFERROR(__xludf.DUMMYFUNCTION("""COMPUTED_VALUE"""),113)</f>
        <v>113</v>
      </c>
      <c r="AE36" s="1">
        <f ca="1">IFERROR(__xludf.DUMMYFUNCTION("""COMPUTED_VALUE"""),359)</f>
        <v>359</v>
      </c>
      <c r="AF36" s="1">
        <f ca="1">IFERROR(__xludf.DUMMYFUNCTION("""COMPUTED_VALUE"""),553)</f>
        <v>553</v>
      </c>
    </row>
    <row r="37" spans="1:32" ht="12.5" x14ac:dyDescent="0.25">
      <c r="A37" s="1" t="str">
        <f ca="1">IFERROR(__xludf.DUMMYFUNCTION("""COMPUTED_VALUE"""),"Buffalo")</f>
        <v>Buffalo</v>
      </c>
      <c r="B37" s="1">
        <f ca="1">IFERROR(__xludf.DUMMYFUNCTION("""COMPUTED_VALUE"""),30)</f>
        <v>30</v>
      </c>
      <c r="C37" s="1">
        <f ca="1">IFERROR(__xludf.DUMMYFUNCTION("""COMPUTED_VALUE"""),18)</f>
        <v>18</v>
      </c>
      <c r="D37" s="1">
        <f ca="1">IFERROR(__xludf.DUMMYFUNCTION("""COMPUTED_VALUE"""),12)</f>
        <v>12</v>
      </c>
      <c r="E37" s="1">
        <f ca="1">IFERROR(__xludf.DUMMYFUNCTION("""COMPUTED_VALUE"""),0.6)</f>
        <v>0.6</v>
      </c>
      <c r="F37" s="1">
        <f ca="1">IFERROR(__xludf.DUMMYFUNCTION("""COMPUTED_VALUE"""),-2.03)</f>
        <v>-2.0299999999999998</v>
      </c>
      <c r="G37" s="1">
        <f ca="1">IFERROR(__xludf.DUMMYFUNCTION("""COMPUTED_VALUE"""),-2.27)</f>
        <v>-2.27</v>
      </c>
      <c r="H37" s="1">
        <f ca="1">IFERROR(__xludf.DUMMYFUNCTION("""COMPUTED_VALUE"""),9)</f>
        <v>9</v>
      </c>
      <c r="I37" s="1">
        <f ca="1">IFERROR(__xludf.DUMMYFUNCTION("""COMPUTED_VALUE"""),7)</f>
        <v>7</v>
      </c>
      <c r="J37" s="1">
        <f ca="1">IFERROR(__xludf.DUMMYFUNCTION("""COMPUTED_VALUE"""),9)</f>
        <v>9</v>
      </c>
      <c r="K37" s="1">
        <f ca="1">IFERROR(__xludf.DUMMYFUNCTION("""COMPUTED_VALUE"""),4)</f>
        <v>4</v>
      </c>
      <c r="L37" s="1">
        <f ca="1">IFERROR(__xludf.DUMMYFUNCTION("""COMPUTED_VALUE"""),8)</f>
        <v>8</v>
      </c>
      <c r="M37" s="1">
        <f ca="1">IFERROR(__xludf.DUMMYFUNCTION("""COMPUTED_VALUE"""),6)</f>
        <v>6</v>
      </c>
      <c r="N37" s="1">
        <f ca="1">IFERROR(__xludf.DUMMYFUNCTION("""COMPUTED_VALUE"""),2170)</f>
        <v>2170</v>
      </c>
      <c r="O37" s="1">
        <f ca="1">IFERROR(__xludf.DUMMYFUNCTION("""COMPUTED_VALUE"""),2135)</f>
        <v>2135</v>
      </c>
      <c r="P37" s="1">
        <f ca="1">IFERROR(__xludf.DUMMYFUNCTION("""COMPUTED_VALUE"""),1210)</f>
        <v>1210</v>
      </c>
      <c r="Q37" s="1">
        <f ca="1">IFERROR(__xludf.DUMMYFUNCTION("""COMPUTED_VALUE"""),755)</f>
        <v>755</v>
      </c>
      <c r="R37" s="1">
        <f ca="1">IFERROR(__xludf.DUMMYFUNCTION("""COMPUTED_VALUE"""),1742)</f>
        <v>1742</v>
      </c>
      <c r="S37" s="1">
        <f ca="1">IFERROR(__xludf.DUMMYFUNCTION("""COMPUTED_VALUE"""),0.433)</f>
        <v>0.433</v>
      </c>
      <c r="T37" s="1">
        <f ca="1">IFERROR(__xludf.DUMMYFUNCTION("""COMPUTED_VALUE"""),207)</f>
        <v>207</v>
      </c>
      <c r="U37" s="1">
        <f ca="1">IFERROR(__xludf.DUMMYFUNCTION("""COMPUTED_VALUE"""),597)</f>
        <v>597</v>
      </c>
      <c r="V37" s="1">
        <f ca="1">IFERROR(__xludf.DUMMYFUNCTION("""COMPUTED_VALUE"""),0.347)</f>
        <v>0.34699999999999998</v>
      </c>
      <c r="W37" s="1">
        <f ca="1">IFERROR(__xludf.DUMMYFUNCTION("""COMPUTED_VALUE"""),453)</f>
        <v>453</v>
      </c>
      <c r="X37" s="1">
        <f ca="1">IFERROR(__xludf.DUMMYFUNCTION("""COMPUTED_VALUE"""),632)</f>
        <v>632</v>
      </c>
      <c r="Y37" s="1">
        <f ca="1">IFERROR(__xludf.DUMMYFUNCTION("""COMPUTED_VALUE"""),0.717)</f>
        <v>0.71699999999999997</v>
      </c>
      <c r="Z37" s="1">
        <f ca="1">IFERROR(__xludf.DUMMYFUNCTION("""COMPUTED_VALUE"""),379)</f>
        <v>379</v>
      </c>
      <c r="AA37" s="1">
        <f ca="1">IFERROR(__xludf.DUMMYFUNCTION("""COMPUTED_VALUE"""),1066)</f>
        <v>1066</v>
      </c>
      <c r="AB37" s="1">
        <f ca="1">IFERROR(__xludf.DUMMYFUNCTION("""COMPUTED_VALUE"""),454)</f>
        <v>454</v>
      </c>
      <c r="AC37" s="1">
        <f ca="1">IFERROR(__xludf.DUMMYFUNCTION("""COMPUTED_VALUE"""),227)</f>
        <v>227</v>
      </c>
      <c r="AD37" s="1">
        <f ca="1">IFERROR(__xludf.DUMMYFUNCTION("""COMPUTED_VALUE"""),100)</f>
        <v>100</v>
      </c>
      <c r="AE37" s="1">
        <f ca="1">IFERROR(__xludf.DUMMYFUNCTION("""COMPUTED_VALUE"""),422)</f>
        <v>422</v>
      </c>
      <c r="AF37" s="1">
        <f ca="1">IFERROR(__xludf.DUMMYFUNCTION("""COMPUTED_VALUE"""),570)</f>
        <v>570</v>
      </c>
    </row>
    <row r="38" spans="1:32" ht="12.5" x14ac:dyDescent="0.25">
      <c r="A38" s="1" t="str">
        <f ca="1">IFERROR(__xludf.DUMMYFUNCTION("""COMPUTED_VALUE"""),"ButlerNCAA")</f>
        <v>ButlerNCAA</v>
      </c>
      <c r="B38" s="1">
        <f ca="1">IFERROR(__xludf.DUMMYFUNCTION("""COMPUTED_VALUE"""),38)</f>
        <v>38</v>
      </c>
      <c r="C38" s="1">
        <f ca="1">IFERROR(__xludf.DUMMYFUNCTION("""COMPUTED_VALUE"""),33)</f>
        <v>33</v>
      </c>
      <c r="D38" s="1">
        <f ca="1">IFERROR(__xludf.DUMMYFUNCTION("""COMPUTED_VALUE"""),5)</f>
        <v>5</v>
      </c>
      <c r="E38" s="1">
        <f ca="1">IFERROR(__xludf.DUMMYFUNCTION("""COMPUTED_VALUE"""),0.868)</f>
        <v>0.86799999999999999</v>
      </c>
      <c r="F38" s="1">
        <f ca="1">IFERROR(__xludf.DUMMYFUNCTION("""COMPUTED_VALUE"""),14.37)</f>
        <v>14.37</v>
      </c>
      <c r="G38" s="1">
        <f ca="1">IFERROR(__xludf.DUMMYFUNCTION("""COMPUTED_VALUE"""),5.08)</f>
        <v>5.08</v>
      </c>
      <c r="H38" s="1">
        <f ca="1">IFERROR(__xludf.DUMMYFUNCTION("""COMPUTED_VALUE"""),18)</f>
        <v>18</v>
      </c>
      <c r="I38" s="1">
        <f ca="1">IFERROR(__xludf.DUMMYFUNCTION("""COMPUTED_VALUE"""),0)</f>
        <v>0</v>
      </c>
      <c r="J38" s="1">
        <f ca="1">IFERROR(__xludf.DUMMYFUNCTION("""COMPUTED_VALUE"""),15)</f>
        <v>15</v>
      </c>
      <c r="K38" s="1">
        <f ca="1">IFERROR(__xludf.DUMMYFUNCTION("""COMPUTED_VALUE"""),0)</f>
        <v>0</v>
      </c>
      <c r="L38" s="1">
        <f ca="1">IFERROR(__xludf.DUMMYFUNCTION("""COMPUTED_VALUE"""),12)</f>
        <v>12</v>
      </c>
      <c r="M38" s="1">
        <f ca="1">IFERROR(__xludf.DUMMYFUNCTION("""COMPUTED_VALUE"""),1)</f>
        <v>1</v>
      </c>
      <c r="N38" s="1">
        <f ca="1">IFERROR(__xludf.DUMMYFUNCTION("""COMPUTED_VALUE"""),2611)</f>
        <v>2611</v>
      </c>
      <c r="O38" s="1">
        <f ca="1">IFERROR(__xludf.DUMMYFUNCTION("""COMPUTED_VALUE"""),2258)</f>
        <v>2258</v>
      </c>
      <c r="P38" s="1">
        <f ca="1">IFERROR(__xludf.DUMMYFUNCTION("""COMPUTED_VALUE"""),1525)</f>
        <v>1525</v>
      </c>
      <c r="Q38" s="1">
        <f ca="1">IFERROR(__xludf.DUMMYFUNCTION("""COMPUTED_VALUE"""),845)</f>
        <v>845</v>
      </c>
      <c r="R38" s="1">
        <f ca="1">IFERROR(__xludf.DUMMYFUNCTION("""COMPUTED_VALUE"""),1911)</f>
        <v>1911</v>
      </c>
      <c r="S38" s="1">
        <f ca="1">IFERROR(__xludf.DUMMYFUNCTION("""COMPUTED_VALUE"""),0.442)</f>
        <v>0.442</v>
      </c>
      <c r="T38" s="1">
        <f ca="1">IFERROR(__xludf.DUMMYFUNCTION("""COMPUTED_VALUE"""),260)</f>
        <v>260</v>
      </c>
      <c r="U38" s="1">
        <f ca="1">IFERROR(__xludf.DUMMYFUNCTION("""COMPUTED_VALUE"""),761)</f>
        <v>761</v>
      </c>
      <c r="V38" s="1">
        <f ca="1">IFERROR(__xludf.DUMMYFUNCTION("""COMPUTED_VALUE"""),0.342)</f>
        <v>0.34200000000000003</v>
      </c>
      <c r="W38" s="1">
        <f ca="1">IFERROR(__xludf.DUMMYFUNCTION("""COMPUTED_VALUE"""),661)</f>
        <v>661</v>
      </c>
      <c r="X38" s="1">
        <f ca="1">IFERROR(__xludf.DUMMYFUNCTION("""COMPUTED_VALUE"""),896)</f>
        <v>896</v>
      </c>
      <c r="Y38" s="1">
        <f ca="1">IFERROR(__xludf.DUMMYFUNCTION("""COMPUTED_VALUE"""),0.738)</f>
        <v>0.73799999999999999</v>
      </c>
      <c r="Z38" s="1">
        <f ca="1">IFERROR(__xludf.DUMMYFUNCTION("""COMPUTED_VALUE"""),353)</f>
        <v>353</v>
      </c>
      <c r="AA38" s="1">
        <f ca="1">IFERROR(__xludf.DUMMYFUNCTION("""COMPUTED_VALUE"""),1241)</f>
        <v>1241</v>
      </c>
      <c r="AB38" s="1">
        <f ca="1">IFERROR(__xludf.DUMMYFUNCTION("""COMPUTED_VALUE"""),464)</f>
        <v>464</v>
      </c>
      <c r="AC38" s="1">
        <f ca="1">IFERROR(__xludf.DUMMYFUNCTION("""COMPUTED_VALUE"""),267)</f>
        <v>267</v>
      </c>
      <c r="AD38" s="1">
        <f ca="1">IFERROR(__xludf.DUMMYFUNCTION("""COMPUTED_VALUE"""),86)</f>
        <v>86</v>
      </c>
      <c r="AE38" s="1">
        <f ca="1">IFERROR(__xludf.DUMMYFUNCTION("""COMPUTED_VALUE"""),456)</f>
        <v>456</v>
      </c>
      <c r="AF38" s="1">
        <f ca="1">IFERROR(__xludf.DUMMYFUNCTION("""COMPUTED_VALUE"""),685)</f>
        <v>685</v>
      </c>
    </row>
    <row r="39" spans="1:32" ht="12.5" x14ac:dyDescent="0.25">
      <c r="A39" s="1" t="str">
        <f ca="1">IFERROR(__xludf.DUMMYFUNCTION("""COMPUTED_VALUE"""),"Cal Poly")</f>
        <v>Cal Poly</v>
      </c>
      <c r="B39" s="1">
        <f ca="1">IFERROR(__xludf.DUMMYFUNCTION("""COMPUTED_VALUE"""),31)</f>
        <v>31</v>
      </c>
      <c r="C39" s="1">
        <f ca="1">IFERROR(__xludf.DUMMYFUNCTION("""COMPUTED_VALUE"""),12)</f>
        <v>12</v>
      </c>
      <c r="D39" s="1">
        <f ca="1">IFERROR(__xludf.DUMMYFUNCTION("""COMPUTED_VALUE"""),19)</f>
        <v>19</v>
      </c>
      <c r="E39" s="1">
        <f ca="1">IFERROR(__xludf.DUMMYFUNCTION("""COMPUTED_VALUE"""),0.387)</f>
        <v>0.38700000000000001</v>
      </c>
      <c r="F39" s="1">
        <f ca="1">IFERROR(__xludf.DUMMYFUNCTION("""COMPUTED_VALUE"""),-7.99)</f>
        <v>-7.99</v>
      </c>
      <c r="G39" s="1">
        <f ca="1">IFERROR(__xludf.DUMMYFUNCTION("""COMPUTED_VALUE"""),-2.31)</f>
        <v>-2.31</v>
      </c>
      <c r="H39" s="1">
        <f ca="1">IFERROR(__xludf.DUMMYFUNCTION("""COMPUTED_VALUE"""),7)</f>
        <v>7</v>
      </c>
      <c r="I39" s="1">
        <f ca="1">IFERROR(__xludf.DUMMYFUNCTION("""COMPUTED_VALUE"""),9)</f>
        <v>9</v>
      </c>
      <c r="J39" s="1">
        <f ca="1">IFERROR(__xludf.DUMMYFUNCTION("""COMPUTED_VALUE"""),6)</f>
        <v>6</v>
      </c>
      <c r="K39" s="1">
        <f ca="1">IFERROR(__xludf.DUMMYFUNCTION("""COMPUTED_VALUE"""),6)</f>
        <v>6</v>
      </c>
      <c r="L39" s="1">
        <f ca="1">IFERROR(__xludf.DUMMYFUNCTION("""COMPUTED_VALUE"""),5)</f>
        <v>5</v>
      </c>
      <c r="M39" s="1">
        <f ca="1">IFERROR(__xludf.DUMMYFUNCTION("""COMPUTED_VALUE"""),12)</f>
        <v>12</v>
      </c>
      <c r="N39" s="1">
        <f ca="1">IFERROR(__xludf.DUMMYFUNCTION("""COMPUTED_VALUE"""),2176)</f>
        <v>2176</v>
      </c>
      <c r="O39" s="1">
        <f ca="1">IFERROR(__xludf.DUMMYFUNCTION("""COMPUTED_VALUE"""),2335)</f>
        <v>2335</v>
      </c>
      <c r="P39" s="1">
        <f ca="1">IFERROR(__xludf.DUMMYFUNCTION("""COMPUTED_VALUE"""),1255)</f>
        <v>1255</v>
      </c>
      <c r="Q39" s="1">
        <f ca="1">IFERROR(__xludf.DUMMYFUNCTION("""COMPUTED_VALUE"""),738)</f>
        <v>738</v>
      </c>
      <c r="R39" s="1">
        <f ca="1">IFERROR(__xludf.DUMMYFUNCTION("""COMPUTED_VALUE"""),1770)</f>
        <v>1770</v>
      </c>
      <c r="S39" s="1">
        <f ca="1">IFERROR(__xludf.DUMMYFUNCTION("""COMPUTED_VALUE"""),0.417)</f>
        <v>0.41699999999999998</v>
      </c>
      <c r="T39" s="1">
        <f ca="1">IFERROR(__xludf.DUMMYFUNCTION("""COMPUTED_VALUE"""),206)</f>
        <v>206</v>
      </c>
      <c r="U39" s="1">
        <f ca="1">IFERROR(__xludf.DUMMYFUNCTION("""COMPUTED_VALUE"""),616)</f>
        <v>616</v>
      </c>
      <c r="V39" s="1">
        <f ca="1">IFERROR(__xludf.DUMMYFUNCTION("""COMPUTED_VALUE"""),0.334)</f>
        <v>0.33400000000000002</v>
      </c>
      <c r="W39" s="1">
        <f ca="1">IFERROR(__xludf.DUMMYFUNCTION("""COMPUTED_VALUE"""),494)</f>
        <v>494</v>
      </c>
      <c r="X39" s="1">
        <f ca="1">IFERROR(__xludf.DUMMYFUNCTION("""COMPUTED_VALUE"""),678)</f>
        <v>678</v>
      </c>
      <c r="Y39" s="1">
        <f ca="1">IFERROR(__xludf.DUMMYFUNCTION("""COMPUTED_VALUE"""),0.729)</f>
        <v>0.72899999999999998</v>
      </c>
      <c r="Z39" s="1">
        <f ca="1">IFERROR(__xludf.DUMMYFUNCTION("""COMPUTED_VALUE"""),384)</f>
        <v>384</v>
      </c>
      <c r="AA39" s="1">
        <f ca="1">IFERROR(__xludf.DUMMYFUNCTION("""COMPUTED_VALUE"""),1100)</f>
        <v>1100</v>
      </c>
      <c r="AB39" s="1">
        <f ca="1">IFERROR(__xludf.DUMMYFUNCTION("""COMPUTED_VALUE"""),364)</f>
        <v>364</v>
      </c>
      <c r="AC39" s="1">
        <f ca="1">IFERROR(__xludf.DUMMYFUNCTION("""COMPUTED_VALUE"""),171)</f>
        <v>171</v>
      </c>
      <c r="AD39" s="1">
        <f ca="1">IFERROR(__xludf.DUMMYFUNCTION("""COMPUTED_VALUE"""),73)</f>
        <v>73</v>
      </c>
      <c r="AE39" s="1">
        <f ca="1">IFERROR(__xludf.DUMMYFUNCTION("""COMPUTED_VALUE"""),417)</f>
        <v>417</v>
      </c>
      <c r="AF39" s="1">
        <f ca="1">IFERROR(__xludf.DUMMYFUNCTION("""COMPUTED_VALUE"""),683)</f>
        <v>683</v>
      </c>
    </row>
    <row r="40" spans="1:32" ht="12.5" x14ac:dyDescent="0.25">
      <c r="A40" s="1" t="str">
        <f ca="1">IFERROR(__xludf.DUMMYFUNCTION("""COMPUTED_VALUE"""),"Cal State Bakersfield")</f>
        <v>Cal State Bakersfield</v>
      </c>
      <c r="B40" s="1">
        <f ca="1">IFERROR(__xludf.DUMMYFUNCTION("""COMPUTED_VALUE"""),29)</f>
        <v>29</v>
      </c>
      <c r="C40" s="1">
        <f ca="1">IFERROR(__xludf.DUMMYFUNCTION("""COMPUTED_VALUE"""),7)</f>
        <v>7</v>
      </c>
      <c r="D40" s="1">
        <f ca="1">IFERROR(__xludf.DUMMYFUNCTION("""COMPUTED_VALUE"""),22)</f>
        <v>22</v>
      </c>
      <c r="E40" s="1">
        <f ca="1">IFERROR(__xludf.DUMMYFUNCTION("""COMPUTED_VALUE"""),0.241)</f>
        <v>0.24099999999999999</v>
      </c>
      <c r="F40" s="1" t="str">
        <f ca="1">IFERROR(__xludf.DUMMYFUNCTION("""COMPUTED_VALUE"""),"")</f>
        <v/>
      </c>
      <c r="G40" s="1" t="str">
        <f ca="1">IFERROR(__xludf.DUMMYFUNCTION("""COMPUTED_VALUE"""),"")</f>
        <v/>
      </c>
      <c r="H40" s="1" t="str">
        <f ca="1">IFERROR(__xludf.DUMMYFUNCTION("""COMPUTED_VALUE"""),"")</f>
        <v/>
      </c>
      <c r="I40" s="1" t="str">
        <f ca="1">IFERROR(__xludf.DUMMYFUNCTION("""COMPUTED_VALUE"""),"")</f>
        <v/>
      </c>
      <c r="J40" s="1">
        <f ca="1">IFERROR(__xludf.DUMMYFUNCTION("""COMPUTED_VALUE"""),5)</f>
        <v>5</v>
      </c>
      <c r="K40" s="1">
        <f ca="1">IFERROR(__xludf.DUMMYFUNCTION("""COMPUTED_VALUE"""),6)</f>
        <v>6</v>
      </c>
      <c r="L40" s="1">
        <f ca="1">IFERROR(__xludf.DUMMYFUNCTION("""COMPUTED_VALUE"""),2)</f>
        <v>2</v>
      </c>
      <c r="M40" s="1">
        <f ca="1">IFERROR(__xludf.DUMMYFUNCTION("""COMPUTED_VALUE"""),16)</f>
        <v>16</v>
      </c>
      <c r="N40" s="1">
        <f ca="1">IFERROR(__xludf.DUMMYFUNCTION("""COMPUTED_VALUE"""),1907)</f>
        <v>1907</v>
      </c>
      <c r="O40" s="1">
        <f ca="1">IFERROR(__xludf.DUMMYFUNCTION("""COMPUTED_VALUE"""),2163)</f>
        <v>2163</v>
      </c>
      <c r="P40" s="1">
        <f ca="1">IFERROR(__xludf.DUMMYFUNCTION("""COMPUTED_VALUE"""),1170)</f>
        <v>1170</v>
      </c>
      <c r="Q40" s="1">
        <f ca="1">IFERROR(__xludf.DUMMYFUNCTION("""COMPUTED_VALUE"""),636)</f>
        <v>636</v>
      </c>
      <c r="R40" s="1">
        <f ca="1">IFERROR(__xludf.DUMMYFUNCTION("""COMPUTED_VALUE"""),1638)</f>
        <v>1638</v>
      </c>
      <c r="S40" s="1">
        <f ca="1">IFERROR(__xludf.DUMMYFUNCTION("""COMPUTED_VALUE"""),0.388)</f>
        <v>0.38800000000000001</v>
      </c>
      <c r="T40" s="1">
        <f ca="1">IFERROR(__xludf.DUMMYFUNCTION("""COMPUTED_VALUE"""),146)</f>
        <v>146</v>
      </c>
      <c r="U40" s="1">
        <f ca="1">IFERROR(__xludf.DUMMYFUNCTION("""COMPUTED_VALUE"""),470)</f>
        <v>470</v>
      </c>
      <c r="V40" s="1">
        <f ca="1">IFERROR(__xludf.DUMMYFUNCTION("""COMPUTED_VALUE"""),0.311)</f>
        <v>0.311</v>
      </c>
      <c r="W40" s="1">
        <f ca="1">IFERROR(__xludf.DUMMYFUNCTION("""COMPUTED_VALUE"""),489)</f>
        <v>489</v>
      </c>
      <c r="X40" s="1">
        <f ca="1">IFERROR(__xludf.DUMMYFUNCTION("""COMPUTED_VALUE"""),712)</f>
        <v>712</v>
      </c>
      <c r="Y40" s="1">
        <f ca="1">IFERROR(__xludf.DUMMYFUNCTION("""COMPUTED_VALUE"""),0.687)</f>
        <v>0.68700000000000006</v>
      </c>
      <c r="Z40" s="1">
        <f ca="1">IFERROR(__xludf.DUMMYFUNCTION("""COMPUTED_VALUE"""),408)</f>
        <v>408</v>
      </c>
      <c r="AA40" s="1">
        <f ca="1">IFERROR(__xludf.DUMMYFUNCTION("""COMPUTED_VALUE"""),1048)</f>
        <v>1048</v>
      </c>
      <c r="AB40" s="1">
        <f ca="1">IFERROR(__xludf.DUMMYFUNCTION("""COMPUTED_VALUE"""),263)</f>
        <v>263</v>
      </c>
      <c r="AC40" s="1">
        <f ca="1">IFERROR(__xludf.DUMMYFUNCTION("""COMPUTED_VALUE"""),181)</f>
        <v>181</v>
      </c>
      <c r="AD40" s="1">
        <f ca="1">IFERROR(__xludf.DUMMYFUNCTION("""COMPUTED_VALUE"""),83)</f>
        <v>83</v>
      </c>
      <c r="AE40" s="1">
        <f ca="1">IFERROR(__xludf.DUMMYFUNCTION("""COMPUTED_VALUE"""),438)</f>
        <v>438</v>
      </c>
      <c r="AF40" s="1">
        <f ca="1">IFERROR(__xludf.DUMMYFUNCTION("""COMPUTED_VALUE"""),543)</f>
        <v>543</v>
      </c>
    </row>
    <row r="41" spans="1:32" ht="12.5" x14ac:dyDescent="0.25">
      <c r="A41" s="1" t="str">
        <f ca="1">IFERROR(__xludf.DUMMYFUNCTION("""COMPUTED_VALUE"""),"Cal State Fullerton")</f>
        <v>Cal State Fullerton</v>
      </c>
      <c r="B41" s="1">
        <f ca="1">IFERROR(__xludf.DUMMYFUNCTION("""COMPUTED_VALUE"""),31)</f>
        <v>31</v>
      </c>
      <c r="C41" s="1">
        <f ca="1">IFERROR(__xludf.DUMMYFUNCTION("""COMPUTED_VALUE"""),16)</f>
        <v>16</v>
      </c>
      <c r="D41" s="1">
        <f ca="1">IFERROR(__xludf.DUMMYFUNCTION("""COMPUTED_VALUE"""),15)</f>
        <v>15</v>
      </c>
      <c r="E41" s="1">
        <f ca="1">IFERROR(__xludf.DUMMYFUNCTION("""COMPUTED_VALUE"""),0.516)</f>
        <v>0.51600000000000001</v>
      </c>
      <c r="F41" s="1">
        <f ca="1">IFERROR(__xludf.DUMMYFUNCTION("""COMPUTED_VALUE"""),-2.87)</f>
        <v>-2.87</v>
      </c>
      <c r="G41" s="1">
        <f ca="1">IFERROR(__xludf.DUMMYFUNCTION("""COMPUTED_VALUE"""),-1.55)</f>
        <v>-1.55</v>
      </c>
      <c r="H41" s="1">
        <f ca="1">IFERROR(__xludf.DUMMYFUNCTION("""COMPUTED_VALUE"""),8)</f>
        <v>8</v>
      </c>
      <c r="I41" s="1">
        <f ca="1">IFERROR(__xludf.DUMMYFUNCTION("""COMPUTED_VALUE"""),8)</f>
        <v>8</v>
      </c>
      <c r="J41" s="1">
        <f ca="1">IFERROR(__xludf.DUMMYFUNCTION("""COMPUTED_VALUE"""),8)</f>
        <v>8</v>
      </c>
      <c r="K41" s="1">
        <f ca="1">IFERROR(__xludf.DUMMYFUNCTION("""COMPUTED_VALUE"""),5)</f>
        <v>5</v>
      </c>
      <c r="L41" s="1">
        <f ca="1">IFERROR(__xludf.DUMMYFUNCTION("""COMPUTED_VALUE"""),7)</f>
        <v>7</v>
      </c>
      <c r="M41" s="1">
        <f ca="1">IFERROR(__xludf.DUMMYFUNCTION("""COMPUTED_VALUE"""),6)</f>
        <v>6</v>
      </c>
      <c r="N41" s="1">
        <f ca="1">IFERROR(__xludf.DUMMYFUNCTION("""COMPUTED_VALUE"""),2303)</f>
        <v>2303</v>
      </c>
      <c r="O41" s="1">
        <f ca="1">IFERROR(__xludf.DUMMYFUNCTION("""COMPUTED_VALUE"""),2263)</f>
        <v>2263</v>
      </c>
      <c r="P41" s="1">
        <f ca="1">IFERROR(__xludf.DUMMYFUNCTION("""COMPUTED_VALUE"""),1285)</f>
        <v>1285</v>
      </c>
      <c r="Q41" s="1">
        <f ca="1">IFERROR(__xludf.DUMMYFUNCTION("""COMPUTED_VALUE"""),790)</f>
        <v>790</v>
      </c>
      <c r="R41" s="1">
        <f ca="1">IFERROR(__xludf.DUMMYFUNCTION("""COMPUTED_VALUE"""),1754)</f>
        <v>1754</v>
      </c>
      <c r="S41" s="1">
        <f ca="1">IFERROR(__xludf.DUMMYFUNCTION("""COMPUTED_VALUE"""),0.45)</f>
        <v>0.45</v>
      </c>
      <c r="T41" s="1">
        <f ca="1">IFERROR(__xludf.DUMMYFUNCTION("""COMPUTED_VALUE"""),209)</f>
        <v>209</v>
      </c>
      <c r="U41" s="1">
        <f ca="1">IFERROR(__xludf.DUMMYFUNCTION("""COMPUTED_VALUE"""),598)</f>
        <v>598</v>
      </c>
      <c r="V41" s="1">
        <f ca="1">IFERROR(__xludf.DUMMYFUNCTION("""COMPUTED_VALUE"""),0.349)</f>
        <v>0.34899999999999998</v>
      </c>
      <c r="W41" s="1">
        <f ca="1">IFERROR(__xludf.DUMMYFUNCTION("""COMPUTED_VALUE"""),514)</f>
        <v>514</v>
      </c>
      <c r="X41" s="1">
        <f ca="1">IFERROR(__xludf.DUMMYFUNCTION("""COMPUTED_VALUE"""),720)</f>
        <v>720</v>
      </c>
      <c r="Y41" s="1">
        <f ca="1">IFERROR(__xludf.DUMMYFUNCTION("""COMPUTED_VALUE"""),0.714)</f>
        <v>0.71399999999999997</v>
      </c>
      <c r="Z41" s="1">
        <f ca="1">IFERROR(__xludf.DUMMYFUNCTION("""COMPUTED_VALUE"""),323)</f>
        <v>323</v>
      </c>
      <c r="AA41" s="1">
        <f ca="1">IFERROR(__xludf.DUMMYFUNCTION("""COMPUTED_VALUE"""),1141)</f>
        <v>1141</v>
      </c>
      <c r="AB41" s="1">
        <f ca="1">IFERROR(__xludf.DUMMYFUNCTION("""COMPUTED_VALUE"""),421)</f>
        <v>421</v>
      </c>
      <c r="AC41" s="1">
        <f ca="1">IFERROR(__xludf.DUMMYFUNCTION("""COMPUTED_VALUE"""),175)</f>
        <v>175</v>
      </c>
      <c r="AD41" s="1">
        <f ca="1">IFERROR(__xludf.DUMMYFUNCTION("""COMPUTED_VALUE"""),98)</f>
        <v>98</v>
      </c>
      <c r="AE41" s="1">
        <f ca="1">IFERROR(__xludf.DUMMYFUNCTION("""COMPUTED_VALUE"""),453)</f>
        <v>453</v>
      </c>
      <c r="AF41" s="1">
        <f ca="1">IFERROR(__xludf.DUMMYFUNCTION("""COMPUTED_VALUE"""),613)</f>
        <v>613</v>
      </c>
    </row>
    <row r="42" spans="1:32" ht="12.5" x14ac:dyDescent="0.25">
      <c r="A42" s="1" t="str">
        <f ca="1">IFERROR(__xludf.DUMMYFUNCTION("""COMPUTED_VALUE"""),"Cal State Northridge")</f>
        <v>Cal State Northridge</v>
      </c>
      <c r="B42" s="1">
        <f ca="1">IFERROR(__xludf.DUMMYFUNCTION("""COMPUTED_VALUE"""),32)</f>
        <v>32</v>
      </c>
      <c r="C42" s="1">
        <f ca="1">IFERROR(__xludf.DUMMYFUNCTION("""COMPUTED_VALUE"""),11)</f>
        <v>11</v>
      </c>
      <c r="D42" s="1">
        <f ca="1">IFERROR(__xludf.DUMMYFUNCTION("""COMPUTED_VALUE"""),21)</f>
        <v>21</v>
      </c>
      <c r="E42" s="1">
        <f ca="1">IFERROR(__xludf.DUMMYFUNCTION("""COMPUTED_VALUE"""),0.344)</f>
        <v>0.34399999999999997</v>
      </c>
      <c r="F42" s="1">
        <f ca="1">IFERROR(__xludf.DUMMYFUNCTION("""COMPUTED_VALUE"""),-5.81)</f>
        <v>-5.81</v>
      </c>
      <c r="G42" s="1">
        <f ca="1">IFERROR(__xludf.DUMMYFUNCTION("""COMPUTED_VALUE"""),-1.06)</f>
        <v>-1.06</v>
      </c>
      <c r="H42" s="1">
        <f ca="1">IFERROR(__xludf.DUMMYFUNCTION("""COMPUTED_VALUE"""),6)</f>
        <v>6</v>
      </c>
      <c r="I42" s="1">
        <f ca="1">IFERROR(__xludf.DUMMYFUNCTION("""COMPUTED_VALUE"""),10)</f>
        <v>10</v>
      </c>
      <c r="J42" s="1">
        <f ca="1">IFERROR(__xludf.DUMMYFUNCTION("""COMPUTED_VALUE"""),7)</f>
        <v>7</v>
      </c>
      <c r="K42" s="1">
        <f ca="1">IFERROR(__xludf.DUMMYFUNCTION("""COMPUTED_VALUE"""),6)</f>
        <v>6</v>
      </c>
      <c r="L42" s="1">
        <f ca="1">IFERROR(__xludf.DUMMYFUNCTION("""COMPUTED_VALUE"""),2)</f>
        <v>2</v>
      </c>
      <c r="M42" s="1">
        <f ca="1">IFERROR(__xludf.DUMMYFUNCTION("""COMPUTED_VALUE"""),13)</f>
        <v>13</v>
      </c>
      <c r="N42" s="1">
        <f ca="1">IFERROR(__xludf.DUMMYFUNCTION("""COMPUTED_VALUE"""),2282)</f>
        <v>2282</v>
      </c>
      <c r="O42" s="1">
        <f ca="1">IFERROR(__xludf.DUMMYFUNCTION("""COMPUTED_VALUE"""),2412)</f>
        <v>2412</v>
      </c>
      <c r="P42" s="1">
        <f ca="1">IFERROR(__xludf.DUMMYFUNCTION("""COMPUTED_VALUE"""),1295)</f>
        <v>1295</v>
      </c>
      <c r="Q42" s="1">
        <f ca="1">IFERROR(__xludf.DUMMYFUNCTION("""COMPUTED_VALUE"""),751)</f>
        <v>751</v>
      </c>
      <c r="R42" s="1">
        <f ca="1">IFERROR(__xludf.DUMMYFUNCTION("""COMPUTED_VALUE"""),1789)</f>
        <v>1789</v>
      </c>
      <c r="S42" s="1">
        <f ca="1">IFERROR(__xludf.DUMMYFUNCTION("""COMPUTED_VALUE"""),0.42)</f>
        <v>0.42</v>
      </c>
      <c r="T42" s="1">
        <f ca="1">IFERROR(__xludf.DUMMYFUNCTION("""COMPUTED_VALUE"""),156)</f>
        <v>156</v>
      </c>
      <c r="U42" s="1">
        <f ca="1">IFERROR(__xludf.DUMMYFUNCTION("""COMPUTED_VALUE"""),500)</f>
        <v>500</v>
      </c>
      <c r="V42" s="1">
        <f ca="1">IFERROR(__xludf.DUMMYFUNCTION("""COMPUTED_VALUE"""),0.312)</f>
        <v>0.312</v>
      </c>
      <c r="W42" s="1">
        <f ca="1">IFERROR(__xludf.DUMMYFUNCTION("""COMPUTED_VALUE"""),624)</f>
        <v>624</v>
      </c>
      <c r="X42" s="1">
        <f ca="1">IFERROR(__xludf.DUMMYFUNCTION("""COMPUTED_VALUE"""),933)</f>
        <v>933</v>
      </c>
      <c r="Y42" s="1">
        <f ca="1">IFERROR(__xludf.DUMMYFUNCTION("""COMPUTED_VALUE"""),0.669)</f>
        <v>0.66900000000000004</v>
      </c>
      <c r="Z42" s="1">
        <f ca="1">IFERROR(__xludf.DUMMYFUNCTION("""COMPUTED_VALUE"""),431)</f>
        <v>431</v>
      </c>
      <c r="AA42" s="1">
        <f ca="1">IFERROR(__xludf.DUMMYFUNCTION("""COMPUTED_VALUE"""),1214)</f>
        <v>1214</v>
      </c>
      <c r="AB42" s="1">
        <f ca="1">IFERROR(__xludf.DUMMYFUNCTION("""COMPUTED_VALUE"""),358)</f>
        <v>358</v>
      </c>
      <c r="AC42" s="1">
        <f ca="1">IFERROR(__xludf.DUMMYFUNCTION("""COMPUTED_VALUE"""),239)</f>
        <v>239</v>
      </c>
      <c r="AD42" s="1">
        <f ca="1">IFERROR(__xludf.DUMMYFUNCTION("""COMPUTED_VALUE"""),99)</f>
        <v>99</v>
      </c>
      <c r="AE42" s="1">
        <f ca="1">IFERROR(__xludf.DUMMYFUNCTION("""COMPUTED_VALUE"""),561)</f>
        <v>561</v>
      </c>
      <c r="AF42" s="1">
        <f ca="1">IFERROR(__xludf.DUMMYFUNCTION("""COMPUTED_VALUE"""),740)</f>
        <v>740</v>
      </c>
    </row>
    <row r="43" spans="1:32" ht="12.5" x14ac:dyDescent="0.25">
      <c r="A43" s="1" t="str">
        <f ca="1">IFERROR(__xludf.DUMMYFUNCTION("""COMPUTED_VALUE"""),"UC-Davis")</f>
        <v>UC-Davis</v>
      </c>
      <c r="B43" s="1">
        <f ca="1">IFERROR(__xludf.DUMMYFUNCTION("""COMPUTED_VALUE"""),32)</f>
        <v>32</v>
      </c>
      <c r="C43" s="1">
        <f ca="1">IFERROR(__xludf.DUMMYFUNCTION("""COMPUTED_VALUE"""),14)</f>
        <v>14</v>
      </c>
      <c r="D43" s="1">
        <f ca="1">IFERROR(__xludf.DUMMYFUNCTION("""COMPUTED_VALUE"""),18)</f>
        <v>18</v>
      </c>
      <c r="E43" s="1">
        <f ca="1">IFERROR(__xludf.DUMMYFUNCTION("""COMPUTED_VALUE"""),0.438)</f>
        <v>0.438</v>
      </c>
      <c r="F43" s="1">
        <f ca="1">IFERROR(__xludf.DUMMYFUNCTION("""COMPUTED_VALUE"""),-6.23)</f>
        <v>-6.23</v>
      </c>
      <c r="G43" s="1">
        <f ca="1">IFERROR(__xludf.DUMMYFUNCTION("""COMPUTED_VALUE"""),-3.01)</f>
        <v>-3.01</v>
      </c>
      <c r="H43" s="1">
        <f ca="1">IFERROR(__xludf.DUMMYFUNCTION("""COMPUTED_VALUE"""),8)</f>
        <v>8</v>
      </c>
      <c r="I43" s="1">
        <f ca="1">IFERROR(__xludf.DUMMYFUNCTION("""COMPUTED_VALUE"""),8)</f>
        <v>8</v>
      </c>
      <c r="J43" s="1">
        <f ca="1">IFERROR(__xludf.DUMMYFUNCTION("""COMPUTED_VALUE"""),8)</f>
        <v>8</v>
      </c>
      <c r="K43" s="1">
        <f ca="1">IFERROR(__xludf.DUMMYFUNCTION("""COMPUTED_VALUE"""),5)</f>
        <v>5</v>
      </c>
      <c r="L43" s="1">
        <f ca="1">IFERROR(__xludf.DUMMYFUNCTION("""COMPUTED_VALUE"""),4)</f>
        <v>4</v>
      </c>
      <c r="M43" s="1">
        <f ca="1">IFERROR(__xludf.DUMMYFUNCTION("""COMPUTED_VALUE"""),11)</f>
        <v>11</v>
      </c>
      <c r="N43" s="1">
        <f ca="1">IFERROR(__xludf.DUMMYFUNCTION("""COMPUTED_VALUE"""),2225)</f>
        <v>2225</v>
      </c>
      <c r="O43" s="1">
        <f ca="1">IFERROR(__xludf.DUMMYFUNCTION("""COMPUTED_VALUE"""),2262)</f>
        <v>2262</v>
      </c>
      <c r="P43" s="1">
        <f ca="1">IFERROR(__xludf.DUMMYFUNCTION("""COMPUTED_VALUE"""),1285)</f>
        <v>1285</v>
      </c>
      <c r="Q43" s="1">
        <f ca="1">IFERROR(__xludf.DUMMYFUNCTION("""COMPUTED_VALUE"""),751)</f>
        <v>751</v>
      </c>
      <c r="R43" s="1">
        <f ca="1">IFERROR(__xludf.DUMMYFUNCTION("""COMPUTED_VALUE"""),1700)</f>
        <v>1700</v>
      </c>
      <c r="S43" s="1">
        <f ca="1">IFERROR(__xludf.DUMMYFUNCTION("""COMPUTED_VALUE"""),0.442)</f>
        <v>0.442</v>
      </c>
      <c r="T43" s="1">
        <f ca="1">IFERROR(__xludf.DUMMYFUNCTION("""COMPUTED_VALUE"""),210)</f>
        <v>210</v>
      </c>
      <c r="U43" s="1">
        <f ca="1">IFERROR(__xludf.DUMMYFUNCTION("""COMPUTED_VALUE"""),589)</f>
        <v>589</v>
      </c>
      <c r="V43" s="1">
        <f ca="1">IFERROR(__xludf.DUMMYFUNCTION("""COMPUTED_VALUE"""),0.357)</f>
        <v>0.35699999999999998</v>
      </c>
      <c r="W43" s="1">
        <f ca="1">IFERROR(__xludf.DUMMYFUNCTION("""COMPUTED_VALUE"""),513)</f>
        <v>513</v>
      </c>
      <c r="X43" s="1">
        <f ca="1">IFERROR(__xludf.DUMMYFUNCTION("""COMPUTED_VALUE"""),729)</f>
        <v>729</v>
      </c>
      <c r="Y43" s="1">
        <f ca="1">IFERROR(__xludf.DUMMYFUNCTION("""COMPUTED_VALUE"""),0.704)</f>
        <v>0.70399999999999996</v>
      </c>
      <c r="Z43" s="1">
        <f ca="1">IFERROR(__xludf.DUMMYFUNCTION("""COMPUTED_VALUE"""),296)</f>
        <v>296</v>
      </c>
      <c r="AA43" s="1">
        <f ca="1">IFERROR(__xludf.DUMMYFUNCTION("""COMPUTED_VALUE"""),1015)</f>
        <v>1015</v>
      </c>
      <c r="AB43" s="1">
        <f ca="1">IFERROR(__xludf.DUMMYFUNCTION("""COMPUTED_VALUE"""),446)</f>
        <v>446</v>
      </c>
      <c r="AC43" s="1">
        <f ca="1">IFERROR(__xludf.DUMMYFUNCTION("""COMPUTED_VALUE"""),247)</f>
        <v>247</v>
      </c>
      <c r="AD43" s="1">
        <f ca="1">IFERROR(__xludf.DUMMYFUNCTION("""COMPUTED_VALUE"""),90)</f>
        <v>90</v>
      </c>
      <c r="AE43" s="1">
        <f ca="1">IFERROR(__xludf.DUMMYFUNCTION("""COMPUTED_VALUE"""),482)</f>
        <v>482</v>
      </c>
      <c r="AF43" s="1">
        <f ca="1">IFERROR(__xludf.DUMMYFUNCTION("""COMPUTED_VALUE"""),641)</f>
        <v>641</v>
      </c>
    </row>
    <row r="44" spans="1:32" ht="12.5" x14ac:dyDescent="0.25">
      <c r="A44" s="1" t="str">
        <f ca="1">IFERROR(__xludf.DUMMYFUNCTION("""COMPUTED_VALUE"""),"Overall")</f>
        <v>Overall</v>
      </c>
      <c r="B44" s="1" t="str">
        <f ca="1">IFERROR(__xludf.DUMMYFUNCTION("""COMPUTED_VALUE"""),"Conf.")</f>
        <v>Conf.</v>
      </c>
      <c r="C44" s="1" t="str">
        <f ca="1">IFERROR(__xludf.DUMMYFUNCTION("""COMPUTED_VALUE"""),"Home")</f>
        <v>Home</v>
      </c>
      <c r="D44" s="1" t="str">
        <f ca="1">IFERROR(__xludf.DUMMYFUNCTION("""COMPUTED_VALUE"""),"Away")</f>
        <v>Away</v>
      </c>
      <c r="E44" s="1" t="str">
        <f ca="1">IFERROR(__xludf.DUMMYFUNCTION("""COMPUTED_VALUE"""),"Points")</f>
        <v>Points</v>
      </c>
      <c r="F44" s="1" t="str">
        <f ca="1">IFERROR(__xludf.DUMMYFUNCTION("""COMPUTED_VALUE"""),"")</f>
        <v/>
      </c>
      <c r="G44" s="1" t="str">
        <f ca="1">IFERROR(__xludf.DUMMYFUNCTION("""COMPUTED_VALUE"""),"School Totals")</f>
        <v>School Totals</v>
      </c>
      <c r="H44" s="1" t="str">
        <f ca="1">IFERROR(__xludf.DUMMYFUNCTION("""COMPUTED_VALUE"""),"")</f>
        <v/>
      </c>
      <c r="I44" s="1" t="str">
        <f ca="1">IFERROR(__xludf.DUMMYFUNCTION("""COMPUTED_VALUE"""),"")</f>
        <v/>
      </c>
      <c r="J44" s="1" t="str">
        <f ca="1">IFERROR(__xludf.DUMMYFUNCTION("""COMPUTED_VALUE"""),"")</f>
        <v/>
      </c>
      <c r="K44" s="1" t="str">
        <f ca="1">IFERROR(__xludf.DUMMYFUNCTION("""COMPUTED_VALUE"""),"")</f>
        <v/>
      </c>
      <c r="L44" s="1" t="str">
        <f ca="1">IFERROR(__xludf.DUMMYFUNCTION("""COMPUTED_VALUE"""),"")</f>
        <v/>
      </c>
      <c r="M44" s="1" t="str">
        <f ca="1">IFERROR(__xludf.DUMMYFUNCTION("""COMPUTED_VALUE"""),"")</f>
        <v/>
      </c>
      <c r="N44" s="1" t="str">
        <f ca="1">IFERROR(__xludf.DUMMYFUNCTION("""COMPUTED_VALUE"""),"")</f>
        <v/>
      </c>
      <c r="O44" s="1" t="str">
        <f ca="1">IFERROR(__xludf.DUMMYFUNCTION("""COMPUTED_VALUE"""),"")</f>
        <v/>
      </c>
      <c r="P44" s="1" t="str">
        <f ca="1">IFERROR(__xludf.DUMMYFUNCTION("""COMPUTED_VALUE"""),"")</f>
        <v/>
      </c>
      <c r="Q44" s="1" t="str">
        <f ca="1">IFERROR(__xludf.DUMMYFUNCTION("""COMPUTED_VALUE"""),"")</f>
        <v/>
      </c>
      <c r="R44" s="1" t="str">
        <f ca="1">IFERROR(__xludf.DUMMYFUNCTION("""COMPUTED_VALUE"""),"")</f>
        <v/>
      </c>
      <c r="S44" s="1" t="str">
        <f ca="1">IFERROR(__xludf.DUMMYFUNCTION("""COMPUTED_VALUE"""),"")</f>
        <v/>
      </c>
      <c r="T44" s="1" t="str">
        <f ca="1">IFERROR(__xludf.DUMMYFUNCTION("""COMPUTED_VALUE"""),"")</f>
        <v/>
      </c>
      <c r="U44" s="1" t="str">
        <f ca="1">IFERROR(__xludf.DUMMYFUNCTION("""COMPUTED_VALUE"""),"")</f>
        <v/>
      </c>
      <c r="V44" s="1" t="str">
        <f ca="1">IFERROR(__xludf.DUMMYFUNCTION("""COMPUTED_VALUE"""),"")</f>
        <v/>
      </c>
      <c r="W44" s="1" t="str">
        <f ca="1">IFERROR(__xludf.DUMMYFUNCTION("""COMPUTED_VALUE"""),"")</f>
        <v/>
      </c>
      <c r="X44" s="1" t="str">
        <f ca="1">IFERROR(__xludf.DUMMYFUNCTION("""COMPUTED_VALUE"""),"")</f>
        <v/>
      </c>
      <c r="Y44" s="1" t="str">
        <f ca="1">IFERROR(__xludf.DUMMYFUNCTION("""COMPUTED_VALUE"""),"")</f>
        <v/>
      </c>
      <c r="Z44" s="1" t="str">
        <f ca="1">IFERROR(__xludf.DUMMYFUNCTION("""COMPUTED_VALUE"""),"")</f>
        <v/>
      </c>
      <c r="AA44" s="1" t="str">
        <f ca="1">IFERROR(__xludf.DUMMYFUNCTION("""COMPUTED_VALUE"""),"")</f>
        <v/>
      </c>
      <c r="AB44" s="1" t="str">
        <f ca="1">IFERROR(__xludf.DUMMYFUNCTION("""COMPUTED_VALUE"""),"")</f>
        <v/>
      </c>
      <c r="AC44" s="1" t="str">
        <f ca="1">IFERROR(__xludf.DUMMYFUNCTION("""COMPUTED_VALUE"""),"")</f>
        <v/>
      </c>
      <c r="AD44" s="1" t="str">
        <f ca="1">IFERROR(__xludf.DUMMYFUNCTION("""COMPUTED_VALUE"""),"")</f>
        <v/>
      </c>
      <c r="AE44" s="1" t="str">
        <f ca="1">IFERROR(__xludf.DUMMYFUNCTION("""COMPUTED_VALUE"""),"")</f>
        <v/>
      </c>
      <c r="AF44" s="1" t="str">
        <f ca="1">IFERROR(__xludf.DUMMYFUNCTION("""COMPUTED_VALUE"""),"")</f>
        <v/>
      </c>
    </row>
    <row r="45" spans="1:32" ht="12.5" x14ac:dyDescent="0.25">
      <c r="A45" s="1" t="str">
        <f ca="1">IFERROR(__xludf.DUMMYFUNCTION("""COMPUTED_VALUE"""),"School")</f>
        <v>School</v>
      </c>
      <c r="B45" s="1" t="str">
        <f ca="1">IFERROR(__xludf.DUMMYFUNCTION("""COMPUTED_VALUE"""),"G")</f>
        <v>G</v>
      </c>
      <c r="C45" s="1" t="str">
        <f ca="1">IFERROR(__xludf.DUMMYFUNCTION("""COMPUTED_VALUE"""),"W")</f>
        <v>W</v>
      </c>
      <c r="D45" s="1" t="str">
        <f ca="1">IFERROR(__xludf.DUMMYFUNCTION("""COMPUTED_VALUE"""),"L")</f>
        <v>L</v>
      </c>
      <c r="E45" s="1" t="str">
        <f ca="1">IFERROR(__xludf.DUMMYFUNCTION("""COMPUTED_VALUE"""),"W-L%")</f>
        <v>W-L%</v>
      </c>
      <c r="F45" s="1" t="str">
        <f ca="1">IFERROR(__xludf.DUMMYFUNCTION("""COMPUTED_VALUE"""),"SRS")</f>
        <v>SRS</v>
      </c>
      <c r="G45" s="1" t="str">
        <f ca="1">IFERROR(__xludf.DUMMYFUNCTION("""COMPUTED_VALUE"""),"SOS")</f>
        <v>SOS</v>
      </c>
      <c r="H45" s="1" t="str">
        <f ca="1">IFERROR(__xludf.DUMMYFUNCTION("""COMPUTED_VALUE"""),"W")</f>
        <v>W</v>
      </c>
      <c r="I45" s="1" t="str">
        <f ca="1">IFERROR(__xludf.DUMMYFUNCTION("""COMPUTED_VALUE"""),"L")</f>
        <v>L</v>
      </c>
      <c r="J45" s="1" t="str">
        <f ca="1">IFERROR(__xludf.DUMMYFUNCTION("""COMPUTED_VALUE"""),"W")</f>
        <v>W</v>
      </c>
      <c r="K45" s="1" t="str">
        <f ca="1">IFERROR(__xludf.DUMMYFUNCTION("""COMPUTED_VALUE"""),"L")</f>
        <v>L</v>
      </c>
      <c r="L45" s="1" t="str">
        <f ca="1">IFERROR(__xludf.DUMMYFUNCTION("""COMPUTED_VALUE"""),"W")</f>
        <v>W</v>
      </c>
      <c r="M45" s="1" t="str">
        <f ca="1">IFERROR(__xludf.DUMMYFUNCTION("""COMPUTED_VALUE"""),"L")</f>
        <v>L</v>
      </c>
      <c r="N45" s="1" t="str">
        <f ca="1">IFERROR(__xludf.DUMMYFUNCTION("""COMPUTED_VALUE"""),"Tm.")</f>
        <v>Tm.</v>
      </c>
      <c r="O45" s="1" t="str">
        <f ca="1">IFERROR(__xludf.DUMMYFUNCTION("""COMPUTED_VALUE"""),"Opp.")</f>
        <v>Opp.</v>
      </c>
      <c r="P45" s="1" t="str">
        <f ca="1">IFERROR(__xludf.DUMMYFUNCTION("""COMPUTED_VALUE"""),"MP")</f>
        <v>MP</v>
      </c>
      <c r="Q45" s="1" t="str">
        <f ca="1">IFERROR(__xludf.DUMMYFUNCTION("""COMPUTED_VALUE"""),"FG")</f>
        <v>FG</v>
      </c>
      <c r="R45" s="1" t="str">
        <f ca="1">IFERROR(__xludf.DUMMYFUNCTION("""COMPUTED_VALUE"""),"FGA")</f>
        <v>FGA</v>
      </c>
      <c r="S45" s="1" t="str">
        <f ca="1">IFERROR(__xludf.DUMMYFUNCTION("""COMPUTED_VALUE"""),"FG%")</f>
        <v>FG%</v>
      </c>
      <c r="T45" s="1" t="str">
        <f ca="1">IFERROR(__xludf.DUMMYFUNCTION("""COMPUTED_VALUE"""),"3P")</f>
        <v>3P</v>
      </c>
      <c r="U45" s="1" t="str">
        <f ca="1">IFERROR(__xludf.DUMMYFUNCTION("""COMPUTED_VALUE"""),"3PA")</f>
        <v>3PA</v>
      </c>
      <c r="V45" s="1" t="str">
        <f ca="1">IFERROR(__xludf.DUMMYFUNCTION("""COMPUTED_VALUE"""),"3P%")</f>
        <v>3P%</v>
      </c>
      <c r="W45" s="1" t="str">
        <f ca="1">IFERROR(__xludf.DUMMYFUNCTION("""COMPUTED_VALUE"""),"FT")</f>
        <v>FT</v>
      </c>
      <c r="X45" s="1" t="str">
        <f ca="1">IFERROR(__xludf.DUMMYFUNCTION("""COMPUTED_VALUE"""),"FTA")</f>
        <v>FTA</v>
      </c>
      <c r="Y45" s="1" t="str">
        <f ca="1">IFERROR(__xludf.DUMMYFUNCTION("""COMPUTED_VALUE"""),"FT%")</f>
        <v>FT%</v>
      </c>
      <c r="Z45" s="1" t="str">
        <f ca="1">IFERROR(__xludf.DUMMYFUNCTION("""COMPUTED_VALUE"""),"ORB")</f>
        <v>ORB</v>
      </c>
      <c r="AA45" s="1" t="str">
        <f ca="1">IFERROR(__xludf.DUMMYFUNCTION("""COMPUTED_VALUE"""),"TRB")</f>
        <v>TRB</v>
      </c>
      <c r="AB45" s="1" t="str">
        <f ca="1">IFERROR(__xludf.DUMMYFUNCTION("""COMPUTED_VALUE"""),"AST")</f>
        <v>AST</v>
      </c>
      <c r="AC45" s="1" t="str">
        <f ca="1">IFERROR(__xludf.DUMMYFUNCTION("""COMPUTED_VALUE"""),"STL")</f>
        <v>STL</v>
      </c>
      <c r="AD45" s="1" t="str">
        <f ca="1">IFERROR(__xludf.DUMMYFUNCTION("""COMPUTED_VALUE"""),"BLK")</f>
        <v>BLK</v>
      </c>
      <c r="AE45" s="1" t="str">
        <f ca="1">IFERROR(__xludf.DUMMYFUNCTION("""COMPUTED_VALUE"""),"TOV")</f>
        <v>TOV</v>
      </c>
      <c r="AF45" s="1" t="str">
        <f ca="1">IFERROR(__xludf.DUMMYFUNCTION("""COMPUTED_VALUE"""),"PF")</f>
        <v>PF</v>
      </c>
    </row>
    <row r="46" spans="1:32" ht="12.5" x14ac:dyDescent="0.25">
      <c r="A46" s="1" t="str">
        <f ca="1">IFERROR(__xludf.DUMMYFUNCTION("""COMPUTED_VALUE"""),"UC-Irvine")</f>
        <v>UC-Irvine</v>
      </c>
      <c r="B46" s="1">
        <f ca="1">IFERROR(__xludf.DUMMYFUNCTION("""COMPUTED_VALUE"""),32)</f>
        <v>32</v>
      </c>
      <c r="C46" s="1">
        <f ca="1">IFERROR(__xludf.DUMMYFUNCTION("""COMPUTED_VALUE"""),14)</f>
        <v>14</v>
      </c>
      <c r="D46" s="1">
        <f ca="1">IFERROR(__xludf.DUMMYFUNCTION("""COMPUTED_VALUE"""),18)</f>
        <v>18</v>
      </c>
      <c r="E46" s="1">
        <f ca="1">IFERROR(__xludf.DUMMYFUNCTION("""COMPUTED_VALUE"""),0.438)</f>
        <v>0.438</v>
      </c>
      <c r="F46" s="1">
        <f ca="1">IFERROR(__xludf.DUMMYFUNCTION("""COMPUTED_VALUE"""),-7.49)</f>
        <v>-7.49</v>
      </c>
      <c r="G46" s="1">
        <f ca="1">IFERROR(__xludf.DUMMYFUNCTION("""COMPUTED_VALUE"""),-3.75)</f>
        <v>-3.75</v>
      </c>
      <c r="H46" s="1">
        <f ca="1">IFERROR(__xludf.DUMMYFUNCTION("""COMPUTED_VALUE"""),6)</f>
        <v>6</v>
      </c>
      <c r="I46" s="1">
        <f ca="1">IFERROR(__xludf.DUMMYFUNCTION("""COMPUTED_VALUE"""),10)</f>
        <v>10</v>
      </c>
      <c r="J46" s="1">
        <f ca="1">IFERROR(__xludf.DUMMYFUNCTION("""COMPUTED_VALUE"""),10)</f>
        <v>10</v>
      </c>
      <c r="K46" s="1">
        <f ca="1">IFERROR(__xludf.DUMMYFUNCTION("""COMPUTED_VALUE"""),5)</f>
        <v>5</v>
      </c>
      <c r="L46" s="1">
        <f ca="1">IFERROR(__xludf.DUMMYFUNCTION("""COMPUTED_VALUE"""),3)</f>
        <v>3</v>
      </c>
      <c r="M46" s="1">
        <f ca="1">IFERROR(__xludf.DUMMYFUNCTION("""COMPUTED_VALUE"""),11)</f>
        <v>11</v>
      </c>
      <c r="N46" s="1">
        <f ca="1">IFERROR(__xludf.DUMMYFUNCTION("""COMPUTED_VALUE"""),2162)</f>
        <v>2162</v>
      </c>
      <c r="O46" s="1">
        <f ca="1">IFERROR(__xludf.DUMMYFUNCTION("""COMPUTED_VALUE"""),2228)</f>
        <v>2228</v>
      </c>
      <c r="P46" s="1">
        <f ca="1">IFERROR(__xludf.DUMMYFUNCTION("""COMPUTED_VALUE"""),1285)</f>
        <v>1285</v>
      </c>
      <c r="Q46" s="1">
        <f ca="1">IFERROR(__xludf.DUMMYFUNCTION("""COMPUTED_VALUE"""),749)</f>
        <v>749</v>
      </c>
      <c r="R46" s="1">
        <f ca="1">IFERROR(__xludf.DUMMYFUNCTION("""COMPUTED_VALUE"""),1772)</f>
        <v>1772</v>
      </c>
      <c r="S46" s="1">
        <f ca="1">IFERROR(__xludf.DUMMYFUNCTION("""COMPUTED_VALUE"""),0.423)</f>
        <v>0.42299999999999999</v>
      </c>
      <c r="T46" s="1">
        <f ca="1">IFERROR(__xludf.DUMMYFUNCTION("""COMPUTED_VALUE"""),188)</f>
        <v>188</v>
      </c>
      <c r="U46" s="1">
        <f ca="1">IFERROR(__xludf.DUMMYFUNCTION("""COMPUTED_VALUE"""),543)</f>
        <v>543</v>
      </c>
      <c r="V46" s="1">
        <f ca="1">IFERROR(__xludf.DUMMYFUNCTION("""COMPUTED_VALUE"""),0.346)</f>
        <v>0.34599999999999997</v>
      </c>
      <c r="W46" s="1">
        <f ca="1">IFERROR(__xludf.DUMMYFUNCTION("""COMPUTED_VALUE"""),476)</f>
        <v>476</v>
      </c>
      <c r="X46" s="1">
        <f ca="1">IFERROR(__xludf.DUMMYFUNCTION("""COMPUTED_VALUE"""),658)</f>
        <v>658</v>
      </c>
      <c r="Y46" s="1">
        <f ca="1">IFERROR(__xludf.DUMMYFUNCTION("""COMPUTED_VALUE"""),0.723)</f>
        <v>0.72299999999999998</v>
      </c>
      <c r="Z46" s="1">
        <f ca="1">IFERROR(__xludf.DUMMYFUNCTION("""COMPUTED_VALUE"""),352)</f>
        <v>352</v>
      </c>
      <c r="AA46" s="1">
        <f ca="1">IFERROR(__xludf.DUMMYFUNCTION("""COMPUTED_VALUE"""),1060)</f>
        <v>1060</v>
      </c>
      <c r="AB46" s="1">
        <f ca="1">IFERROR(__xludf.DUMMYFUNCTION("""COMPUTED_VALUE"""),419)</f>
        <v>419</v>
      </c>
      <c r="AC46" s="1">
        <f ca="1">IFERROR(__xludf.DUMMYFUNCTION("""COMPUTED_VALUE"""),181)</f>
        <v>181</v>
      </c>
      <c r="AD46" s="1">
        <f ca="1">IFERROR(__xludf.DUMMYFUNCTION("""COMPUTED_VALUE"""),89)</f>
        <v>89</v>
      </c>
      <c r="AE46" s="1">
        <f ca="1">IFERROR(__xludf.DUMMYFUNCTION("""COMPUTED_VALUE"""),367)</f>
        <v>367</v>
      </c>
      <c r="AF46" s="1">
        <f ca="1">IFERROR(__xludf.DUMMYFUNCTION("""COMPUTED_VALUE"""),603)</f>
        <v>603</v>
      </c>
    </row>
    <row r="47" spans="1:32" ht="12.5" x14ac:dyDescent="0.25">
      <c r="A47" s="1" t="str">
        <f ca="1">IFERROR(__xludf.DUMMYFUNCTION("""COMPUTED_VALUE"""),"UC-Riverside")</f>
        <v>UC-Riverside</v>
      </c>
      <c r="B47" s="1">
        <f ca="1">IFERROR(__xludf.DUMMYFUNCTION("""COMPUTED_VALUE"""),29)</f>
        <v>29</v>
      </c>
      <c r="C47" s="1">
        <f ca="1">IFERROR(__xludf.DUMMYFUNCTION("""COMPUTED_VALUE"""),12)</f>
        <v>12</v>
      </c>
      <c r="D47" s="1">
        <f ca="1">IFERROR(__xludf.DUMMYFUNCTION("""COMPUTED_VALUE"""),17)</f>
        <v>17</v>
      </c>
      <c r="E47" s="1">
        <f ca="1">IFERROR(__xludf.DUMMYFUNCTION("""COMPUTED_VALUE"""),0.414)</f>
        <v>0.41399999999999998</v>
      </c>
      <c r="F47" s="1">
        <f ca="1">IFERROR(__xludf.DUMMYFUNCTION("""COMPUTED_VALUE"""),-6.99)</f>
        <v>-6.99</v>
      </c>
      <c r="G47" s="1">
        <f ca="1">IFERROR(__xludf.DUMMYFUNCTION("""COMPUTED_VALUE"""),-2.61)</f>
        <v>-2.61</v>
      </c>
      <c r="H47" s="1">
        <f ca="1">IFERROR(__xludf.DUMMYFUNCTION("""COMPUTED_VALUE"""),5)</f>
        <v>5</v>
      </c>
      <c r="I47" s="1">
        <f ca="1">IFERROR(__xludf.DUMMYFUNCTION("""COMPUTED_VALUE"""),11)</f>
        <v>11</v>
      </c>
      <c r="J47" s="1">
        <f ca="1">IFERROR(__xludf.DUMMYFUNCTION("""COMPUTED_VALUE"""),8)</f>
        <v>8</v>
      </c>
      <c r="K47" s="1">
        <f ca="1">IFERROR(__xludf.DUMMYFUNCTION("""COMPUTED_VALUE"""),6)</f>
        <v>6</v>
      </c>
      <c r="L47" s="1">
        <f ca="1">IFERROR(__xludf.DUMMYFUNCTION("""COMPUTED_VALUE"""),4)</f>
        <v>4</v>
      </c>
      <c r="M47" s="1">
        <f ca="1">IFERROR(__xludf.DUMMYFUNCTION("""COMPUTED_VALUE"""),11)</f>
        <v>11</v>
      </c>
      <c r="N47" s="1">
        <f ca="1">IFERROR(__xludf.DUMMYFUNCTION("""COMPUTED_VALUE"""),1833)</f>
        <v>1833</v>
      </c>
      <c r="O47" s="1">
        <f ca="1">IFERROR(__xludf.DUMMYFUNCTION("""COMPUTED_VALUE"""),1859)</f>
        <v>1859</v>
      </c>
      <c r="P47" s="1">
        <f ca="1">IFERROR(__xludf.DUMMYFUNCTION("""COMPUTED_VALUE"""),1175)</f>
        <v>1175</v>
      </c>
      <c r="Q47" s="1">
        <f ca="1">IFERROR(__xludf.DUMMYFUNCTION("""COMPUTED_VALUE"""),643)</f>
        <v>643</v>
      </c>
      <c r="R47" s="1">
        <f ca="1">IFERROR(__xludf.DUMMYFUNCTION("""COMPUTED_VALUE"""),1546)</f>
        <v>1546</v>
      </c>
      <c r="S47" s="1">
        <f ca="1">IFERROR(__xludf.DUMMYFUNCTION("""COMPUTED_VALUE"""),0.416)</f>
        <v>0.41599999999999998</v>
      </c>
      <c r="T47" s="1">
        <f ca="1">IFERROR(__xludf.DUMMYFUNCTION("""COMPUTED_VALUE"""),153)</f>
        <v>153</v>
      </c>
      <c r="U47" s="1">
        <f ca="1">IFERROR(__xludf.DUMMYFUNCTION("""COMPUTED_VALUE"""),433)</f>
        <v>433</v>
      </c>
      <c r="V47" s="1">
        <f ca="1">IFERROR(__xludf.DUMMYFUNCTION("""COMPUTED_VALUE"""),0.353)</f>
        <v>0.35299999999999998</v>
      </c>
      <c r="W47" s="1">
        <f ca="1">IFERROR(__xludf.DUMMYFUNCTION("""COMPUTED_VALUE"""),394)</f>
        <v>394</v>
      </c>
      <c r="X47" s="1">
        <f ca="1">IFERROR(__xludf.DUMMYFUNCTION("""COMPUTED_VALUE"""),608)</f>
        <v>608</v>
      </c>
      <c r="Y47" s="1">
        <f ca="1">IFERROR(__xludf.DUMMYFUNCTION("""COMPUTED_VALUE"""),0.648)</f>
        <v>0.64800000000000002</v>
      </c>
      <c r="Z47" s="1">
        <f ca="1">IFERROR(__xludf.DUMMYFUNCTION("""COMPUTED_VALUE"""),362)</f>
        <v>362</v>
      </c>
      <c r="AA47" s="1">
        <f ca="1">IFERROR(__xludf.DUMMYFUNCTION("""COMPUTED_VALUE"""),1063)</f>
        <v>1063</v>
      </c>
      <c r="AB47" s="1">
        <f ca="1">IFERROR(__xludf.DUMMYFUNCTION("""COMPUTED_VALUE"""),353)</f>
        <v>353</v>
      </c>
      <c r="AC47" s="1">
        <f ca="1">IFERROR(__xludf.DUMMYFUNCTION("""COMPUTED_VALUE"""),149)</f>
        <v>149</v>
      </c>
      <c r="AD47" s="1">
        <f ca="1">IFERROR(__xludf.DUMMYFUNCTION("""COMPUTED_VALUE"""),67)</f>
        <v>67</v>
      </c>
      <c r="AE47" s="1">
        <f ca="1">IFERROR(__xludf.DUMMYFUNCTION("""COMPUTED_VALUE"""),377)</f>
        <v>377</v>
      </c>
      <c r="AF47" s="1">
        <f ca="1">IFERROR(__xludf.DUMMYFUNCTION("""COMPUTED_VALUE"""),532)</f>
        <v>532</v>
      </c>
    </row>
    <row r="48" spans="1:32" ht="12.5" x14ac:dyDescent="0.25">
      <c r="A48" s="1" t="str">
        <f ca="1">IFERROR(__xludf.DUMMYFUNCTION("""COMPUTED_VALUE"""),"UC-Santa BarbaraNCAA")</f>
        <v>UC-Santa BarbaraNCAA</v>
      </c>
      <c r="B48" s="1">
        <f ca="1">IFERROR(__xludf.DUMMYFUNCTION("""COMPUTED_VALUE"""),30)</f>
        <v>30</v>
      </c>
      <c r="C48" s="1">
        <f ca="1">IFERROR(__xludf.DUMMYFUNCTION("""COMPUTED_VALUE"""),20)</f>
        <v>20</v>
      </c>
      <c r="D48" s="1">
        <f ca="1">IFERROR(__xludf.DUMMYFUNCTION("""COMPUTED_VALUE"""),10)</f>
        <v>10</v>
      </c>
      <c r="E48" s="1">
        <f ca="1">IFERROR(__xludf.DUMMYFUNCTION("""COMPUTED_VALUE"""),0.667)</f>
        <v>0.66700000000000004</v>
      </c>
      <c r="F48" s="1">
        <f ca="1">IFERROR(__xludf.DUMMYFUNCTION("""COMPUTED_VALUE"""),-0.13)</f>
        <v>-0.13</v>
      </c>
      <c r="G48" s="1">
        <f ca="1">IFERROR(__xludf.DUMMYFUNCTION("""COMPUTED_VALUE"""),-1.09)</f>
        <v>-1.0900000000000001</v>
      </c>
      <c r="H48" s="1">
        <f ca="1">IFERROR(__xludf.DUMMYFUNCTION("""COMPUTED_VALUE"""),12)</f>
        <v>12</v>
      </c>
      <c r="I48" s="1">
        <f ca="1">IFERROR(__xludf.DUMMYFUNCTION("""COMPUTED_VALUE"""),4)</f>
        <v>4</v>
      </c>
      <c r="J48" s="1">
        <f ca="1">IFERROR(__xludf.DUMMYFUNCTION("""COMPUTED_VALUE"""),11)</f>
        <v>11</v>
      </c>
      <c r="K48" s="1">
        <f ca="1">IFERROR(__xludf.DUMMYFUNCTION("""COMPUTED_VALUE"""),2)</f>
        <v>2</v>
      </c>
      <c r="L48" s="1">
        <f ca="1">IFERROR(__xludf.DUMMYFUNCTION("""COMPUTED_VALUE"""),6)</f>
        <v>6</v>
      </c>
      <c r="M48" s="1">
        <f ca="1">IFERROR(__xludf.DUMMYFUNCTION("""COMPUTED_VALUE"""),7)</f>
        <v>7</v>
      </c>
      <c r="N48" s="1">
        <f ca="1">IFERROR(__xludf.DUMMYFUNCTION("""COMPUTED_VALUE"""),2028)</f>
        <v>2028</v>
      </c>
      <c r="O48" s="1">
        <f ca="1">IFERROR(__xludf.DUMMYFUNCTION("""COMPUTED_VALUE"""),1972)</f>
        <v>1972</v>
      </c>
      <c r="P48" s="1">
        <f ca="1">IFERROR(__xludf.DUMMYFUNCTION("""COMPUTED_VALUE"""),1205)</f>
        <v>1205</v>
      </c>
      <c r="Q48" s="1">
        <f ca="1">IFERROR(__xludf.DUMMYFUNCTION("""COMPUTED_VALUE"""),674)</f>
        <v>674</v>
      </c>
      <c r="R48" s="1">
        <f ca="1">IFERROR(__xludf.DUMMYFUNCTION("""COMPUTED_VALUE"""),1522)</f>
        <v>1522</v>
      </c>
      <c r="S48" s="1">
        <f ca="1">IFERROR(__xludf.DUMMYFUNCTION("""COMPUTED_VALUE"""),0.443)</f>
        <v>0.443</v>
      </c>
      <c r="T48" s="1">
        <f ca="1">IFERROR(__xludf.DUMMYFUNCTION("""COMPUTED_VALUE"""),205)</f>
        <v>205</v>
      </c>
      <c r="U48" s="1">
        <f ca="1">IFERROR(__xludf.DUMMYFUNCTION("""COMPUTED_VALUE"""),544)</f>
        <v>544</v>
      </c>
      <c r="V48" s="1">
        <f ca="1">IFERROR(__xludf.DUMMYFUNCTION("""COMPUTED_VALUE"""),0.377)</f>
        <v>0.377</v>
      </c>
      <c r="W48" s="1">
        <f ca="1">IFERROR(__xludf.DUMMYFUNCTION("""COMPUTED_VALUE"""),475)</f>
        <v>475</v>
      </c>
      <c r="X48" s="1">
        <f ca="1">IFERROR(__xludf.DUMMYFUNCTION("""COMPUTED_VALUE"""),698)</f>
        <v>698</v>
      </c>
      <c r="Y48" s="1">
        <f ca="1">IFERROR(__xludf.DUMMYFUNCTION("""COMPUTED_VALUE"""),0.681)</f>
        <v>0.68100000000000005</v>
      </c>
      <c r="Z48" s="1">
        <f ca="1">IFERROR(__xludf.DUMMYFUNCTION("""COMPUTED_VALUE"""),268)</f>
        <v>268</v>
      </c>
      <c r="AA48" s="1">
        <f ca="1">IFERROR(__xludf.DUMMYFUNCTION("""COMPUTED_VALUE"""),984)</f>
        <v>984</v>
      </c>
      <c r="AB48" s="1">
        <f ca="1">IFERROR(__xludf.DUMMYFUNCTION("""COMPUTED_VALUE"""),414)</f>
        <v>414</v>
      </c>
      <c r="AC48" s="1">
        <f ca="1">IFERROR(__xludf.DUMMYFUNCTION("""COMPUTED_VALUE"""),202)</f>
        <v>202</v>
      </c>
      <c r="AD48" s="1">
        <f ca="1">IFERROR(__xludf.DUMMYFUNCTION("""COMPUTED_VALUE"""),92)</f>
        <v>92</v>
      </c>
      <c r="AE48" s="1">
        <f ca="1">IFERROR(__xludf.DUMMYFUNCTION("""COMPUTED_VALUE"""),460)</f>
        <v>460</v>
      </c>
      <c r="AF48" s="1">
        <f ca="1">IFERROR(__xludf.DUMMYFUNCTION("""COMPUTED_VALUE"""),572)</f>
        <v>572</v>
      </c>
    </row>
    <row r="49" spans="1:32" ht="12.5" x14ac:dyDescent="0.25">
      <c r="A49" s="1" t="str">
        <f ca="1">IFERROR(__xludf.DUMMYFUNCTION("""COMPUTED_VALUE"""),"University of CaliforniaNCAA")</f>
        <v>University of CaliforniaNCAA</v>
      </c>
      <c r="B49" s="1">
        <f ca="1">IFERROR(__xludf.DUMMYFUNCTION("""COMPUTED_VALUE"""),35)</f>
        <v>35</v>
      </c>
      <c r="C49" s="1">
        <f ca="1">IFERROR(__xludf.DUMMYFUNCTION("""COMPUTED_VALUE"""),24)</f>
        <v>24</v>
      </c>
      <c r="D49" s="1">
        <f ca="1">IFERROR(__xludf.DUMMYFUNCTION("""COMPUTED_VALUE"""),11)</f>
        <v>11</v>
      </c>
      <c r="E49" s="1">
        <f ca="1">IFERROR(__xludf.DUMMYFUNCTION("""COMPUTED_VALUE"""),0.686)</f>
        <v>0.68600000000000005</v>
      </c>
      <c r="F49" s="1">
        <f ca="1">IFERROR(__xludf.DUMMYFUNCTION("""COMPUTED_VALUE"""),17.29)</f>
        <v>17.29</v>
      </c>
      <c r="G49" s="1">
        <f ca="1">IFERROR(__xludf.DUMMYFUNCTION("""COMPUTED_VALUE"""),8.26)</f>
        <v>8.26</v>
      </c>
      <c r="H49" s="1">
        <f ca="1">IFERROR(__xludf.DUMMYFUNCTION("""COMPUTED_VALUE"""),13)</f>
        <v>13</v>
      </c>
      <c r="I49" s="1">
        <f ca="1">IFERROR(__xludf.DUMMYFUNCTION("""COMPUTED_VALUE"""),5)</f>
        <v>5</v>
      </c>
      <c r="J49" s="1">
        <f ca="1">IFERROR(__xludf.DUMMYFUNCTION("""COMPUTED_VALUE"""),15)</f>
        <v>15</v>
      </c>
      <c r="K49" s="1">
        <f ca="1">IFERROR(__xludf.DUMMYFUNCTION("""COMPUTED_VALUE"""),1)</f>
        <v>1</v>
      </c>
      <c r="L49" s="1">
        <f ca="1">IFERROR(__xludf.DUMMYFUNCTION("""COMPUTED_VALUE"""),6)</f>
        <v>6</v>
      </c>
      <c r="M49" s="1">
        <f ca="1">IFERROR(__xludf.DUMMYFUNCTION("""COMPUTED_VALUE"""),6)</f>
        <v>6</v>
      </c>
      <c r="N49" s="1">
        <f ca="1">IFERROR(__xludf.DUMMYFUNCTION("""COMPUTED_VALUE"""),2703)</f>
        <v>2703</v>
      </c>
      <c r="O49" s="1">
        <f ca="1">IFERROR(__xludf.DUMMYFUNCTION("""COMPUTED_VALUE"""),2387)</f>
        <v>2387</v>
      </c>
      <c r="P49" s="1">
        <f ca="1">IFERROR(__xludf.DUMMYFUNCTION("""COMPUTED_VALUE"""),1405)</f>
        <v>1405</v>
      </c>
      <c r="Q49" s="1">
        <f ca="1">IFERROR(__xludf.DUMMYFUNCTION("""COMPUTED_VALUE"""),966)</f>
        <v>966</v>
      </c>
      <c r="R49" s="1">
        <f ca="1">IFERROR(__xludf.DUMMYFUNCTION("""COMPUTED_VALUE"""),2028)</f>
        <v>2028</v>
      </c>
      <c r="S49" s="1">
        <f ca="1">IFERROR(__xludf.DUMMYFUNCTION("""COMPUTED_VALUE"""),0.476)</f>
        <v>0.47599999999999998</v>
      </c>
      <c r="T49" s="1">
        <f ca="1">IFERROR(__xludf.DUMMYFUNCTION("""COMPUTED_VALUE"""),228)</f>
        <v>228</v>
      </c>
      <c r="U49" s="1">
        <f ca="1">IFERROR(__xludf.DUMMYFUNCTION("""COMPUTED_VALUE"""),609)</f>
        <v>609</v>
      </c>
      <c r="V49" s="1">
        <f ca="1">IFERROR(__xludf.DUMMYFUNCTION("""COMPUTED_VALUE"""),0.374)</f>
        <v>0.374</v>
      </c>
      <c r="W49" s="1">
        <f ca="1">IFERROR(__xludf.DUMMYFUNCTION("""COMPUTED_VALUE"""),543)</f>
        <v>543</v>
      </c>
      <c r="X49" s="1">
        <f ca="1">IFERROR(__xludf.DUMMYFUNCTION("""COMPUTED_VALUE"""),717)</f>
        <v>717</v>
      </c>
      <c r="Y49" s="1">
        <f ca="1">IFERROR(__xludf.DUMMYFUNCTION("""COMPUTED_VALUE"""),0.757)</f>
        <v>0.75700000000000001</v>
      </c>
      <c r="Z49" s="1">
        <f ca="1">IFERROR(__xludf.DUMMYFUNCTION("""COMPUTED_VALUE"""),395)</f>
        <v>395</v>
      </c>
      <c r="AA49" s="1">
        <f ca="1">IFERROR(__xludf.DUMMYFUNCTION("""COMPUTED_VALUE"""),1241)</f>
        <v>1241</v>
      </c>
      <c r="AB49" s="1">
        <f ca="1">IFERROR(__xludf.DUMMYFUNCTION("""COMPUTED_VALUE"""),500)</f>
        <v>500</v>
      </c>
      <c r="AC49" s="1">
        <f ca="1">IFERROR(__xludf.DUMMYFUNCTION("""COMPUTED_VALUE"""),198)</f>
        <v>198</v>
      </c>
      <c r="AD49" s="1">
        <f ca="1">IFERROR(__xludf.DUMMYFUNCTION("""COMPUTED_VALUE"""),86)</f>
        <v>86</v>
      </c>
      <c r="AE49" s="1">
        <f ca="1">IFERROR(__xludf.DUMMYFUNCTION("""COMPUTED_VALUE"""),421)</f>
        <v>421</v>
      </c>
      <c r="AF49" s="1">
        <f ca="1">IFERROR(__xludf.DUMMYFUNCTION("""COMPUTED_VALUE"""),593)</f>
        <v>593</v>
      </c>
    </row>
    <row r="50" spans="1:32" ht="12.5" x14ac:dyDescent="0.25">
      <c r="A50" s="1" t="str">
        <f ca="1">IFERROR(__xludf.DUMMYFUNCTION("""COMPUTED_VALUE"""),"Campbell")</f>
        <v>Campbell</v>
      </c>
      <c r="B50" s="1">
        <f ca="1">IFERROR(__xludf.DUMMYFUNCTION("""COMPUTED_VALUE"""),30)</f>
        <v>30</v>
      </c>
      <c r="C50" s="1">
        <f ca="1">IFERROR(__xludf.DUMMYFUNCTION("""COMPUTED_VALUE"""),19)</f>
        <v>19</v>
      </c>
      <c r="D50" s="1">
        <f ca="1">IFERROR(__xludf.DUMMYFUNCTION("""COMPUTED_VALUE"""),11)</f>
        <v>11</v>
      </c>
      <c r="E50" s="1">
        <f ca="1">IFERROR(__xludf.DUMMYFUNCTION("""COMPUTED_VALUE"""),0.633)</f>
        <v>0.63300000000000001</v>
      </c>
      <c r="F50" s="1">
        <f ca="1">IFERROR(__xludf.DUMMYFUNCTION("""COMPUTED_VALUE"""),-3.13)</f>
        <v>-3.13</v>
      </c>
      <c r="G50" s="1">
        <f ca="1">IFERROR(__xludf.DUMMYFUNCTION("""COMPUTED_VALUE"""),-4.96)</f>
        <v>-4.96</v>
      </c>
      <c r="H50" s="1">
        <f ca="1">IFERROR(__xludf.DUMMYFUNCTION("""COMPUTED_VALUE"""),14)</f>
        <v>14</v>
      </c>
      <c r="I50" s="1">
        <f ca="1">IFERROR(__xludf.DUMMYFUNCTION("""COMPUTED_VALUE"""),6)</f>
        <v>6</v>
      </c>
      <c r="J50" s="1">
        <f ca="1">IFERROR(__xludf.DUMMYFUNCTION("""COMPUTED_VALUE"""),12)</f>
        <v>12</v>
      </c>
      <c r="K50" s="1">
        <f ca="1">IFERROR(__xludf.DUMMYFUNCTION("""COMPUTED_VALUE"""),3)</f>
        <v>3</v>
      </c>
      <c r="L50" s="1">
        <f ca="1">IFERROR(__xludf.DUMMYFUNCTION("""COMPUTED_VALUE"""),7)</f>
        <v>7</v>
      </c>
      <c r="M50" s="1">
        <f ca="1">IFERROR(__xludf.DUMMYFUNCTION("""COMPUTED_VALUE"""),7)</f>
        <v>7</v>
      </c>
      <c r="N50" s="1">
        <f ca="1">IFERROR(__xludf.DUMMYFUNCTION("""COMPUTED_VALUE"""),2057)</f>
        <v>2057</v>
      </c>
      <c r="O50" s="1">
        <f ca="1">IFERROR(__xludf.DUMMYFUNCTION("""COMPUTED_VALUE"""),1900)</f>
        <v>1900</v>
      </c>
      <c r="P50" s="1">
        <f ca="1">IFERROR(__xludf.DUMMYFUNCTION("""COMPUTED_VALUE"""),1200)</f>
        <v>1200</v>
      </c>
      <c r="Q50" s="1">
        <f ca="1">IFERROR(__xludf.DUMMYFUNCTION("""COMPUTED_VALUE"""),702)</f>
        <v>702</v>
      </c>
      <c r="R50" s="1">
        <f ca="1">IFERROR(__xludf.DUMMYFUNCTION("""COMPUTED_VALUE"""),1578)</f>
        <v>1578</v>
      </c>
      <c r="S50" s="1">
        <f ca="1">IFERROR(__xludf.DUMMYFUNCTION("""COMPUTED_VALUE"""),0.445)</f>
        <v>0.44500000000000001</v>
      </c>
      <c r="T50" s="1">
        <f ca="1">IFERROR(__xludf.DUMMYFUNCTION("""COMPUTED_VALUE"""),144)</f>
        <v>144</v>
      </c>
      <c r="U50" s="1">
        <f ca="1">IFERROR(__xludf.DUMMYFUNCTION("""COMPUTED_VALUE"""),411)</f>
        <v>411</v>
      </c>
      <c r="V50" s="1">
        <f ca="1">IFERROR(__xludf.DUMMYFUNCTION("""COMPUTED_VALUE"""),0.35)</f>
        <v>0.35</v>
      </c>
      <c r="W50" s="1">
        <f ca="1">IFERROR(__xludf.DUMMYFUNCTION("""COMPUTED_VALUE"""),509)</f>
        <v>509</v>
      </c>
      <c r="X50" s="1">
        <f ca="1">IFERROR(__xludf.DUMMYFUNCTION("""COMPUTED_VALUE"""),719)</f>
        <v>719</v>
      </c>
      <c r="Y50" s="1">
        <f ca="1">IFERROR(__xludf.DUMMYFUNCTION("""COMPUTED_VALUE"""),0.708)</f>
        <v>0.70799999999999996</v>
      </c>
      <c r="Z50" s="1">
        <f ca="1">IFERROR(__xludf.DUMMYFUNCTION("""COMPUTED_VALUE"""),353)</f>
        <v>353</v>
      </c>
      <c r="AA50" s="1">
        <f ca="1">IFERROR(__xludf.DUMMYFUNCTION("""COMPUTED_VALUE"""),978)</f>
        <v>978</v>
      </c>
      <c r="AB50" s="1">
        <f ca="1">IFERROR(__xludf.DUMMYFUNCTION("""COMPUTED_VALUE"""),430)</f>
        <v>430</v>
      </c>
      <c r="AC50" s="1">
        <f ca="1">IFERROR(__xludf.DUMMYFUNCTION("""COMPUTED_VALUE"""),314)</f>
        <v>314</v>
      </c>
      <c r="AD50" s="1">
        <f ca="1">IFERROR(__xludf.DUMMYFUNCTION("""COMPUTED_VALUE"""),64)</f>
        <v>64</v>
      </c>
      <c r="AE50" s="1">
        <f ca="1">IFERROR(__xludf.DUMMYFUNCTION("""COMPUTED_VALUE"""),429)</f>
        <v>429</v>
      </c>
      <c r="AF50" s="1">
        <f ca="1">IFERROR(__xludf.DUMMYFUNCTION("""COMPUTED_VALUE"""),563)</f>
        <v>563</v>
      </c>
    </row>
    <row r="51" spans="1:32" ht="12.5" x14ac:dyDescent="0.25">
      <c r="A51" s="1" t="str">
        <f ca="1">IFERROR(__xludf.DUMMYFUNCTION("""COMPUTED_VALUE"""),"Canisius")</f>
        <v>Canisius</v>
      </c>
      <c r="B51" s="1">
        <f ca="1">IFERROR(__xludf.DUMMYFUNCTION("""COMPUTED_VALUE"""),32)</f>
        <v>32</v>
      </c>
      <c r="C51" s="1">
        <f ca="1">IFERROR(__xludf.DUMMYFUNCTION("""COMPUTED_VALUE"""),15)</f>
        <v>15</v>
      </c>
      <c r="D51" s="1">
        <f ca="1">IFERROR(__xludf.DUMMYFUNCTION("""COMPUTED_VALUE"""),17)</f>
        <v>17</v>
      </c>
      <c r="E51" s="1">
        <f ca="1">IFERROR(__xludf.DUMMYFUNCTION("""COMPUTED_VALUE"""),0.469)</f>
        <v>0.46899999999999997</v>
      </c>
      <c r="F51" s="1">
        <f ca="1">IFERROR(__xludf.DUMMYFUNCTION("""COMPUTED_VALUE"""),-5.19)</f>
        <v>-5.19</v>
      </c>
      <c r="G51" s="1">
        <f ca="1">IFERROR(__xludf.DUMMYFUNCTION("""COMPUTED_VALUE"""),-4.09)</f>
        <v>-4.09</v>
      </c>
      <c r="H51" s="1">
        <f ca="1">IFERROR(__xludf.DUMMYFUNCTION("""COMPUTED_VALUE"""),8)</f>
        <v>8</v>
      </c>
      <c r="I51" s="1">
        <f ca="1">IFERROR(__xludf.DUMMYFUNCTION("""COMPUTED_VALUE"""),10)</f>
        <v>10</v>
      </c>
      <c r="J51" s="1">
        <f ca="1">IFERROR(__xludf.DUMMYFUNCTION("""COMPUTED_VALUE"""),7)</f>
        <v>7</v>
      </c>
      <c r="K51" s="1">
        <f ca="1">IFERROR(__xludf.DUMMYFUNCTION("""COMPUTED_VALUE"""),5)</f>
        <v>5</v>
      </c>
      <c r="L51" s="1">
        <f ca="1">IFERROR(__xludf.DUMMYFUNCTION("""COMPUTED_VALUE"""),5)</f>
        <v>5</v>
      </c>
      <c r="M51" s="1">
        <f ca="1">IFERROR(__xludf.DUMMYFUNCTION("""COMPUTED_VALUE"""),10)</f>
        <v>10</v>
      </c>
      <c r="N51" s="1">
        <f ca="1">IFERROR(__xludf.DUMMYFUNCTION("""COMPUTED_VALUE"""),2125)</f>
        <v>2125</v>
      </c>
      <c r="O51" s="1">
        <f ca="1">IFERROR(__xludf.DUMMYFUNCTION("""COMPUTED_VALUE"""),2160)</f>
        <v>2160</v>
      </c>
      <c r="P51" s="1">
        <f ca="1">IFERROR(__xludf.DUMMYFUNCTION("""COMPUTED_VALUE"""),1306)</f>
        <v>1306</v>
      </c>
      <c r="Q51" s="1">
        <f ca="1">IFERROR(__xludf.DUMMYFUNCTION("""COMPUTED_VALUE"""),744)</f>
        <v>744</v>
      </c>
      <c r="R51" s="1">
        <f ca="1">IFERROR(__xludf.DUMMYFUNCTION("""COMPUTED_VALUE"""),1806)</f>
        <v>1806</v>
      </c>
      <c r="S51" s="1">
        <f ca="1">IFERROR(__xludf.DUMMYFUNCTION("""COMPUTED_VALUE"""),0.412)</f>
        <v>0.41199999999999998</v>
      </c>
      <c r="T51" s="1">
        <f ca="1">IFERROR(__xludf.DUMMYFUNCTION("""COMPUTED_VALUE"""),210)</f>
        <v>210</v>
      </c>
      <c r="U51" s="1">
        <f ca="1">IFERROR(__xludf.DUMMYFUNCTION("""COMPUTED_VALUE"""),667)</f>
        <v>667</v>
      </c>
      <c r="V51" s="1">
        <f ca="1">IFERROR(__xludf.DUMMYFUNCTION("""COMPUTED_VALUE"""),0.315)</f>
        <v>0.315</v>
      </c>
      <c r="W51" s="1">
        <f ca="1">IFERROR(__xludf.DUMMYFUNCTION("""COMPUTED_VALUE"""),427)</f>
        <v>427</v>
      </c>
      <c r="X51" s="1">
        <f ca="1">IFERROR(__xludf.DUMMYFUNCTION("""COMPUTED_VALUE"""),609)</f>
        <v>609</v>
      </c>
      <c r="Y51" s="1">
        <f ca="1">IFERROR(__xludf.DUMMYFUNCTION("""COMPUTED_VALUE"""),0.701)</f>
        <v>0.70099999999999996</v>
      </c>
      <c r="Z51" s="1">
        <f ca="1">IFERROR(__xludf.DUMMYFUNCTION("""COMPUTED_VALUE"""),404)</f>
        <v>404</v>
      </c>
      <c r="AA51" s="1">
        <f ca="1">IFERROR(__xludf.DUMMYFUNCTION("""COMPUTED_VALUE"""),1199)</f>
        <v>1199</v>
      </c>
      <c r="AB51" s="1">
        <f ca="1">IFERROR(__xludf.DUMMYFUNCTION("""COMPUTED_VALUE"""),403)</f>
        <v>403</v>
      </c>
      <c r="AC51" s="1">
        <f ca="1">IFERROR(__xludf.DUMMYFUNCTION("""COMPUTED_VALUE"""),193)</f>
        <v>193</v>
      </c>
      <c r="AD51" s="1">
        <f ca="1">IFERROR(__xludf.DUMMYFUNCTION("""COMPUTED_VALUE"""),112)</f>
        <v>112</v>
      </c>
      <c r="AE51" s="1">
        <f ca="1">IFERROR(__xludf.DUMMYFUNCTION("""COMPUTED_VALUE"""),471)</f>
        <v>471</v>
      </c>
      <c r="AF51" s="1">
        <f ca="1">IFERROR(__xludf.DUMMYFUNCTION("""COMPUTED_VALUE"""),585)</f>
        <v>585</v>
      </c>
    </row>
    <row r="52" spans="1:32" ht="12.5" x14ac:dyDescent="0.25">
      <c r="A52" s="1" t="str">
        <f ca="1">IFERROR(__xludf.DUMMYFUNCTION("""COMPUTED_VALUE"""),"Centenary (LA)")</f>
        <v>Centenary (LA)</v>
      </c>
      <c r="B52" s="1">
        <f ca="1">IFERROR(__xludf.DUMMYFUNCTION("""COMPUTED_VALUE"""),29)</f>
        <v>29</v>
      </c>
      <c r="C52" s="1">
        <f ca="1">IFERROR(__xludf.DUMMYFUNCTION("""COMPUTED_VALUE"""),8)</f>
        <v>8</v>
      </c>
      <c r="D52" s="1">
        <f ca="1">IFERROR(__xludf.DUMMYFUNCTION("""COMPUTED_VALUE"""),21)</f>
        <v>21</v>
      </c>
      <c r="E52" s="1">
        <f ca="1">IFERROR(__xludf.DUMMYFUNCTION("""COMPUTED_VALUE"""),0.276)</f>
        <v>0.27600000000000002</v>
      </c>
      <c r="F52" s="1">
        <f ca="1">IFERROR(__xludf.DUMMYFUNCTION("""COMPUTED_VALUE"""),-17.16)</f>
        <v>-17.16</v>
      </c>
      <c r="G52" s="1">
        <f ca="1">IFERROR(__xludf.DUMMYFUNCTION("""COMPUTED_VALUE"""),-5.08)</f>
        <v>-5.08</v>
      </c>
      <c r="H52" s="1">
        <f ca="1">IFERROR(__xludf.DUMMYFUNCTION("""COMPUTED_VALUE"""),3)</f>
        <v>3</v>
      </c>
      <c r="I52" s="1">
        <f ca="1">IFERROR(__xludf.DUMMYFUNCTION("""COMPUTED_VALUE"""),15)</f>
        <v>15</v>
      </c>
      <c r="J52" s="1">
        <f ca="1">IFERROR(__xludf.DUMMYFUNCTION("""COMPUTED_VALUE"""),5)</f>
        <v>5</v>
      </c>
      <c r="K52" s="1">
        <f ca="1">IFERROR(__xludf.DUMMYFUNCTION("""COMPUTED_VALUE"""),9)</f>
        <v>9</v>
      </c>
      <c r="L52" s="1">
        <f ca="1">IFERROR(__xludf.DUMMYFUNCTION("""COMPUTED_VALUE"""),3)</f>
        <v>3</v>
      </c>
      <c r="M52" s="1">
        <f ca="1">IFERROR(__xludf.DUMMYFUNCTION("""COMPUTED_VALUE"""),11)</f>
        <v>11</v>
      </c>
      <c r="N52" s="1">
        <f ca="1">IFERROR(__xludf.DUMMYFUNCTION("""COMPUTED_VALUE"""),2056)</f>
        <v>2056</v>
      </c>
      <c r="O52" s="1">
        <f ca="1">IFERROR(__xludf.DUMMYFUNCTION("""COMPUTED_VALUE"""),2320)</f>
        <v>2320</v>
      </c>
      <c r="P52" s="1">
        <f ca="1">IFERROR(__xludf.DUMMYFUNCTION("""COMPUTED_VALUE"""),1175)</f>
        <v>1175</v>
      </c>
      <c r="Q52" s="1">
        <f ca="1">IFERROR(__xludf.DUMMYFUNCTION("""COMPUTED_VALUE"""),684)</f>
        <v>684</v>
      </c>
      <c r="R52" s="1">
        <f ca="1">IFERROR(__xludf.DUMMYFUNCTION("""COMPUTED_VALUE"""),1645)</f>
        <v>1645</v>
      </c>
      <c r="S52" s="1">
        <f ca="1">IFERROR(__xludf.DUMMYFUNCTION("""COMPUTED_VALUE"""),0.416)</f>
        <v>0.41599999999999998</v>
      </c>
      <c r="T52" s="1">
        <f ca="1">IFERROR(__xludf.DUMMYFUNCTION("""COMPUTED_VALUE"""),227)</f>
        <v>227</v>
      </c>
      <c r="U52" s="1">
        <f ca="1">IFERROR(__xludf.DUMMYFUNCTION("""COMPUTED_VALUE"""),644)</f>
        <v>644</v>
      </c>
      <c r="V52" s="1">
        <f ca="1">IFERROR(__xludf.DUMMYFUNCTION("""COMPUTED_VALUE"""),0.352)</f>
        <v>0.35199999999999998</v>
      </c>
      <c r="W52" s="1">
        <f ca="1">IFERROR(__xludf.DUMMYFUNCTION("""COMPUTED_VALUE"""),461)</f>
        <v>461</v>
      </c>
      <c r="X52" s="1">
        <f ca="1">IFERROR(__xludf.DUMMYFUNCTION("""COMPUTED_VALUE"""),629)</f>
        <v>629</v>
      </c>
      <c r="Y52" s="1">
        <f ca="1">IFERROR(__xludf.DUMMYFUNCTION("""COMPUTED_VALUE"""),0.733)</f>
        <v>0.73299999999999998</v>
      </c>
      <c r="Z52" s="1">
        <f ca="1">IFERROR(__xludf.DUMMYFUNCTION("""COMPUTED_VALUE"""),274)</f>
        <v>274</v>
      </c>
      <c r="AA52" s="1">
        <f ca="1">IFERROR(__xludf.DUMMYFUNCTION("""COMPUTED_VALUE"""),874)</f>
        <v>874</v>
      </c>
      <c r="AB52" s="1">
        <f ca="1">IFERROR(__xludf.DUMMYFUNCTION("""COMPUTED_VALUE"""),383)</f>
        <v>383</v>
      </c>
      <c r="AC52" s="1">
        <f ca="1">IFERROR(__xludf.DUMMYFUNCTION("""COMPUTED_VALUE"""),231)</f>
        <v>231</v>
      </c>
      <c r="AD52" s="1">
        <f ca="1">IFERROR(__xludf.DUMMYFUNCTION("""COMPUTED_VALUE"""),65)</f>
        <v>65</v>
      </c>
      <c r="AE52" s="1">
        <f ca="1">IFERROR(__xludf.DUMMYFUNCTION("""COMPUTED_VALUE"""),442)</f>
        <v>442</v>
      </c>
      <c r="AF52" s="1">
        <f ca="1">IFERROR(__xludf.DUMMYFUNCTION("""COMPUTED_VALUE"""),617)</f>
        <v>617</v>
      </c>
    </row>
    <row r="53" spans="1:32" ht="12.5" x14ac:dyDescent="0.25">
      <c r="A53" s="1" t="str">
        <f ca="1">IFERROR(__xludf.DUMMYFUNCTION("""COMPUTED_VALUE"""),"Central Arkansas")</f>
        <v>Central Arkansas</v>
      </c>
      <c r="B53" s="1">
        <f ca="1">IFERROR(__xludf.DUMMYFUNCTION("""COMPUTED_VALUE"""),30)</f>
        <v>30</v>
      </c>
      <c r="C53" s="1">
        <f ca="1">IFERROR(__xludf.DUMMYFUNCTION("""COMPUTED_VALUE"""),9)</f>
        <v>9</v>
      </c>
      <c r="D53" s="1">
        <f ca="1">IFERROR(__xludf.DUMMYFUNCTION("""COMPUTED_VALUE"""),21)</f>
        <v>21</v>
      </c>
      <c r="E53" s="1">
        <f ca="1">IFERROR(__xludf.DUMMYFUNCTION("""COMPUTED_VALUE"""),0.3)</f>
        <v>0.3</v>
      </c>
      <c r="F53" s="1" t="str">
        <f ca="1">IFERROR(__xludf.DUMMYFUNCTION("""COMPUTED_VALUE"""),"")</f>
        <v/>
      </c>
      <c r="G53" s="1" t="str">
        <f ca="1">IFERROR(__xludf.DUMMYFUNCTION("""COMPUTED_VALUE"""),"")</f>
        <v/>
      </c>
      <c r="H53" s="1">
        <f ca="1">IFERROR(__xludf.DUMMYFUNCTION("""COMPUTED_VALUE"""),3)</f>
        <v>3</v>
      </c>
      <c r="I53" s="1">
        <f ca="1">IFERROR(__xludf.DUMMYFUNCTION("""COMPUTED_VALUE"""),13)</f>
        <v>13</v>
      </c>
      <c r="J53" s="1">
        <f ca="1">IFERROR(__xludf.DUMMYFUNCTION("""COMPUTED_VALUE"""),5)</f>
        <v>5</v>
      </c>
      <c r="K53" s="1">
        <f ca="1">IFERROR(__xludf.DUMMYFUNCTION("""COMPUTED_VALUE"""),9)</f>
        <v>9</v>
      </c>
      <c r="L53" s="1">
        <f ca="1">IFERROR(__xludf.DUMMYFUNCTION("""COMPUTED_VALUE"""),2)</f>
        <v>2</v>
      </c>
      <c r="M53" s="1">
        <f ca="1">IFERROR(__xludf.DUMMYFUNCTION("""COMPUTED_VALUE"""),12)</f>
        <v>12</v>
      </c>
      <c r="N53" s="1">
        <f ca="1">IFERROR(__xludf.DUMMYFUNCTION("""COMPUTED_VALUE"""),1897)</f>
        <v>1897</v>
      </c>
      <c r="O53" s="1">
        <f ca="1">IFERROR(__xludf.DUMMYFUNCTION("""COMPUTED_VALUE"""),2009)</f>
        <v>2009</v>
      </c>
      <c r="P53" s="1">
        <f ca="1">IFERROR(__xludf.DUMMYFUNCTION("""COMPUTED_VALUE"""),1205)</f>
        <v>1205</v>
      </c>
      <c r="Q53" s="1">
        <f ca="1">IFERROR(__xludf.DUMMYFUNCTION("""COMPUTED_VALUE"""),641)</f>
        <v>641</v>
      </c>
      <c r="R53" s="1">
        <f ca="1">IFERROR(__xludf.DUMMYFUNCTION("""COMPUTED_VALUE"""),1560)</f>
        <v>1560</v>
      </c>
      <c r="S53" s="1">
        <f ca="1">IFERROR(__xludf.DUMMYFUNCTION("""COMPUTED_VALUE"""),0.411)</f>
        <v>0.41099999999999998</v>
      </c>
      <c r="T53" s="1">
        <f ca="1">IFERROR(__xludf.DUMMYFUNCTION("""COMPUTED_VALUE"""),161)</f>
        <v>161</v>
      </c>
      <c r="U53" s="1">
        <f ca="1">IFERROR(__xludf.DUMMYFUNCTION("""COMPUTED_VALUE"""),517)</f>
        <v>517</v>
      </c>
      <c r="V53" s="1">
        <f ca="1">IFERROR(__xludf.DUMMYFUNCTION("""COMPUTED_VALUE"""),0.311)</f>
        <v>0.311</v>
      </c>
      <c r="W53" s="1">
        <f ca="1">IFERROR(__xludf.DUMMYFUNCTION("""COMPUTED_VALUE"""),454)</f>
        <v>454</v>
      </c>
      <c r="X53" s="1">
        <f ca="1">IFERROR(__xludf.DUMMYFUNCTION("""COMPUTED_VALUE"""),712)</f>
        <v>712</v>
      </c>
      <c r="Y53" s="1">
        <f ca="1">IFERROR(__xludf.DUMMYFUNCTION("""COMPUTED_VALUE"""),0.638)</f>
        <v>0.63800000000000001</v>
      </c>
      <c r="Z53" s="1">
        <f ca="1">IFERROR(__xludf.DUMMYFUNCTION("""COMPUTED_VALUE"""),339)</f>
        <v>339</v>
      </c>
      <c r="AA53" s="1">
        <f ca="1">IFERROR(__xludf.DUMMYFUNCTION("""COMPUTED_VALUE"""),1013)</f>
        <v>1013</v>
      </c>
      <c r="AB53" s="1">
        <f ca="1">IFERROR(__xludf.DUMMYFUNCTION("""COMPUTED_VALUE"""),296)</f>
        <v>296</v>
      </c>
      <c r="AC53" s="1">
        <f ca="1">IFERROR(__xludf.DUMMYFUNCTION("""COMPUTED_VALUE"""),195)</f>
        <v>195</v>
      </c>
      <c r="AD53" s="1">
        <f ca="1">IFERROR(__xludf.DUMMYFUNCTION("""COMPUTED_VALUE"""),101)</f>
        <v>101</v>
      </c>
      <c r="AE53" s="1">
        <f ca="1">IFERROR(__xludf.DUMMYFUNCTION("""COMPUTED_VALUE"""),420)</f>
        <v>420</v>
      </c>
      <c r="AF53" s="1">
        <f ca="1">IFERROR(__xludf.DUMMYFUNCTION("""COMPUTED_VALUE"""),520)</f>
        <v>520</v>
      </c>
    </row>
    <row r="54" spans="1:32" ht="12.5" x14ac:dyDescent="0.25">
      <c r="A54" s="1" t="str">
        <f ca="1">IFERROR(__xludf.DUMMYFUNCTION("""COMPUTED_VALUE"""),"Central Connecticut State")</f>
        <v>Central Connecticut State</v>
      </c>
      <c r="B54" s="1">
        <f ca="1">IFERROR(__xludf.DUMMYFUNCTION("""COMPUTED_VALUE"""),30)</f>
        <v>30</v>
      </c>
      <c r="C54" s="1">
        <f ca="1">IFERROR(__xludf.DUMMYFUNCTION("""COMPUTED_VALUE"""),12)</f>
        <v>12</v>
      </c>
      <c r="D54" s="1">
        <f ca="1">IFERROR(__xludf.DUMMYFUNCTION("""COMPUTED_VALUE"""),18)</f>
        <v>18</v>
      </c>
      <c r="E54" s="1">
        <f ca="1">IFERROR(__xludf.DUMMYFUNCTION("""COMPUTED_VALUE"""),0.4)</f>
        <v>0.4</v>
      </c>
      <c r="F54" s="1">
        <f ca="1">IFERROR(__xludf.DUMMYFUNCTION("""COMPUTED_VALUE"""),-14.68)</f>
        <v>-14.68</v>
      </c>
      <c r="G54" s="1">
        <f ca="1">IFERROR(__xludf.DUMMYFUNCTION("""COMPUTED_VALUE"""),-9.68)</f>
        <v>-9.68</v>
      </c>
      <c r="H54" s="1">
        <f ca="1">IFERROR(__xludf.DUMMYFUNCTION("""COMPUTED_VALUE"""),9)</f>
        <v>9</v>
      </c>
      <c r="I54" s="1">
        <f ca="1">IFERROR(__xludf.DUMMYFUNCTION("""COMPUTED_VALUE"""),9)</f>
        <v>9</v>
      </c>
      <c r="J54" s="1">
        <f ca="1">IFERROR(__xludf.DUMMYFUNCTION("""COMPUTED_VALUE"""),8)</f>
        <v>8</v>
      </c>
      <c r="K54" s="1">
        <f ca="1">IFERROR(__xludf.DUMMYFUNCTION("""COMPUTED_VALUE"""),4)</f>
        <v>4</v>
      </c>
      <c r="L54" s="1">
        <f ca="1">IFERROR(__xludf.DUMMYFUNCTION("""COMPUTED_VALUE"""),3)</f>
        <v>3</v>
      </c>
      <c r="M54" s="1">
        <f ca="1">IFERROR(__xludf.DUMMYFUNCTION("""COMPUTED_VALUE"""),13)</f>
        <v>13</v>
      </c>
      <c r="N54" s="1">
        <f ca="1">IFERROR(__xludf.DUMMYFUNCTION("""COMPUTED_VALUE"""),1834)</f>
        <v>1834</v>
      </c>
      <c r="O54" s="1">
        <f ca="1">IFERROR(__xludf.DUMMYFUNCTION("""COMPUTED_VALUE"""),1935)</f>
        <v>1935</v>
      </c>
      <c r="P54" s="1">
        <f ca="1">IFERROR(__xludf.DUMMYFUNCTION("""COMPUTED_VALUE"""),1215)</f>
        <v>1215</v>
      </c>
      <c r="Q54" s="1">
        <f ca="1">IFERROR(__xludf.DUMMYFUNCTION("""COMPUTED_VALUE"""),645)</f>
        <v>645</v>
      </c>
      <c r="R54" s="1">
        <f ca="1">IFERROR(__xludf.DUMMYFUNCTION("""COMPUTED_VALUE"""),1599)</f>
        <v>1599</v>
      </c>
      <c r="S54" s="1">
        <f ca="1">IFERROR(__xludf.DUMMYFUNCTION("""COMPUTED_VALUE"""),0.403)</f>
        <v>0.40300000000000002</v>
      </c>
      <c r="T54" s="1">
        <f ca="1">IFERROR(__xludf.DUMMYFUNCTION("""COMPUTED_VALUE"""),152)</f>
        <v>152</v>
      </c>
      <c r="U54" s="1">
        <f ca="1">IFERROR(__xludf.DUMMYFUNCTION("""COMPUTED_VALUE"""),487)</f>
        <v>487</v>
      </c>
      <c r="V54" s="1">
        <f ca="1">IFERROR(__xludf.DUMMYFUNCTION("""COMPUTED_VALUE"""),0.312)</f>
        <v>0.312</v>
      </c>
      <c r="W54" s="1">
        <f ca="1">IFERROR(__xludf.DUMMYFUNCTION("""COMPUTED_VALUE"""),392)</f>
        <v>392</v>
      </c>
      <c r="X54" s="1">
        <f ca="1">IFERROR(__xludf.DUMMYFUNCTION("""COMPUTED_VALUE"""),547)</f>
        <v>547</v>
      </c>
      <c r="Y54" s="1">
        <f ca="1">IFERROR(__xludf.DUMMYFUNCTION("""COMPUTED_VALUE"""),0.717)</f>
        <v>0.71699999999999997</v>
      </c>
      <c r="Z54" s="1">
        <f ca="1">IFERROR(__xludf.DUMMYFUNCTION("""COMPUTED_VALUE"""),330)</f>
        <v>330</v>
      </c>
      <c r="AA54" s="1">
        <f ca="1">IFERROR(__xludf.DUMMYFUNCTION("""COMPUTED_VALUE"""),974)</f>
        <v>974</v>
      </c>
      <c r="AB54" s="1">
        <f ca="1">IFERROR(__xludf.DUMMYFUNCTION("""COMPUTED_VALUE"""),329)</f>
        <v>329</v>
      </c>
      <c r="AC54" s="1">
        <f ca="1">IFERROR(__xludf.DUMMYFUNCTION("""COMPUTED_VALUE"""),200)</f>
        <v>200</v>
      </c>
      <c r="AD54" s="1">
        <f ca="1">IFERROR(__xludf.DUMMYFUNCTION("""COMPUTED_VALUE"""),90)</f>
        <v>90</v>
      </c>
      <c r="AE54" s="1">
        <f ca="1">IFERROR(__xludf.DUMMYFUNCTION("""COMPUTED_VALUE"""),402)</f>
        <v>402</v>
      </c>
      <c r="AF54" s="1">
        <f ca="1">IFERROR(__xludf.DUMMYFUNCTION("""COMPUTED_VALUE"""),454)</f>
        <v>454</v>
      </c>
    </row>
    <row r="55" spans="1:32" ht="12.5" x14ac:dyDescent="0.25">
      <c r="A55" s="1" t="str">
        <f ca="1">IFERROR(__xludf.DUMMYFUNCTION("""COMPUTED_VALUE"""),"Central Florida")</f>
        <v>Central Florida</v>
      </c>
      <c r="B55" s="1">
        <f ca="1">IFERROR(__xludf.DUMMYFUNCTION("""COMPUTED_VALUE"""),32)</f>
        <v>32</v>
      </c>
      <c r="C55" s="1">
        <f ca="1">IFERROR(__xludf.DUMMYFUNCTION("""COMPUTED_VALUE"""),15)</f>
        <v>15</v>
      </c>
      <c r="D55" s="1">
        <f ca="1">IFERROR(__xludf.DUMMYFUNCTION("""COMPUTED_VALUE"""),17)</f>
        <v>17</v>
      </c>
      <c r="E55" s="1">
        <f ca="1">IFERROR(__xludf.DUMMYFUNCTION("""COMPUTED_VALUE"""),0.469)</f>
        <v>0.46899999999999997</v>
      </c>
      <c r="F55" s="1">
        <f ca="1">IFERROR(__xludf.DUMMYFUNCTION("""COMPUTED_VALUE"""),-0.03)</f>
        <v>-0.03</v>
      </c>
      <c r="G55" s="1">
        <f ca="1">IFERROR(__xludf.DUMMYFUNCTION("""COMPUTED_VALUE"""),2.19)</f>
        <v>2.19</v>
      </c>
      <c r="H55" s="1">
        <f ca="1">IFERROR(__xludf.DUMMYFUNCTION("""COMPUTED_VALUE"""),6)</f>
        <v>6</v>
      </c>
      <c r="I55" s="1">
        <f ca="1">IFERROR(__xludf.DUMMYFUNCTION("""COMPUTED_VALUE"""),10)</f>
        <v>10</v>
      </c>
      <c r="J55" s="1">
        <f ca="1">IFERROR(__xludf.DUMMYFUNCTION("""COMPUTED_VALUE"""),9)</f>
        <v>9</v>
      </c>
      <c r="K55" s="1">
        <f ca="1">IFERROR(__xludf.DUMMYFUNCTION("""COMPUTED_VALUE"""),6)</f>
        <v>6</v>
      </c>
      <c r="L55" s="1">
        <f ca="1">IFERROR(__xludf.DUMMYFUNCTION("""COMPUTED_VALUE"""),3)</f>
        <v>3</v>
      </c>
      <c r="M55" s="1">
        <f ca="1">IFERROR(__xludf.DUMMYFUNCTION("""COMPUTED_VALUE"""),9)</f>
        <v>9</v>
      </c>
      <c r="N55" s="1">
        <f ca="1">IFERROR(__xludf.DUMMYFUNCTION("""COMPUTED_VALUE"""),2133)</f>
        <v>2133</v>
      </c>
      <c r="O55" s="1">
        <f ca="1">IFERROR(__xludf.DUMMYFUNCTION("""COMPUTED_VALUE"""),2184)</f>
        <v>2184</v>
      </c>
      <c r="P55" s="1">
        <f ca="1">IFERROR(__xludf.DUMMYFUNCTION("""COMPUTED_VALUE"""),1295)</f>
        <v>1295</v>
      </c>
      <c r="Q55" s="1">
        <f ca="1">IFERROR(__xludf.DUMMYFUNCTION("""COMPUTED_VALUE"""),758)</f>
        <v>758</v>
      </c>
      <c r="R55" s="1">
        <f ca="1">IFERROR(__xludf.DUMMYFUNCTION("""COMPUTED_VALUE"""),1716)</f>
        <v>1716</v>
      </c>
      <c r="S55" s="1">
        <f ca="1">IFERROR(__xludf.DUMMYFUNCTION("""COMPUTED_VALUE"""),0.442)</f>
        <v>0.442</v>
      </c>
      <c r="T55" s="1">
        <f ca="1">IFERROR(__xludf.DUMMYFUNCTION("""COMPUTED_VALUE"""),178)</f>
        <v>178</v>
      </c>
      <c r="U55" s="1">
        <f ca="1">IFERROR(__xludf.DUMMYFUNCTION("""COMPUTED_VALUE"""),526)</f>
        <v>526</v>
      </c>
      <c r="V55" s="1">
        <f ca="1">IFERROR(__xludf.DUMMYFUNCTION("""COMPUTED_VALUE"""),0.338)</f>
        <v>0.33800000000000002</v>
      </c>
      <c r="W55" s="1">
        <f ca="1">IFERROR(__xludf.DUMMYFUNCTION("""COMPUTED_VALUE"""),439)</f>
        <v>439</v>
      </c>
      <c r="X55" s="1">
        <f ca="1">IFERROR(__xludf.DUMMYFUNCTION("""COMPUTED_VALUE"""),644)</f>
        <v>644</v>
      </c>
      <c r="Y55" s="1">
        <f ca="1">IFERROR(__xludf.DUMMYFUNCTION("""COMPUTED_VALUE"""),0.682)</f>
        <v>0.68200000000000005</v>
      </c>
      <c r="Z55" s="1">
        <f ca="1">IFERROR(__xludf.DUMMYFUNCTION("""COMPUTED_VALUE"""),356)</f>
        <v>356</v>
      </c>
      <c r="AA55" s="1">
        <f ca="1">IFERROR(__xludf.DUMMYFUNCTION("""COMPUTED_VALUE"""),1052)</f>
        <v>1052</v>
      </c>
      <c r="AB55" s="1">
        <f ca="1">IFERROR(__xludf.DUMMYFUNCTION("""COMPUTED_VALUE"""),474)</f>
        <v>474</v>
      </c>
      <c r="AC55" s="1">
        <f ca="1">IFERROR(__xludf.DUMMYFUNCTION("""COMPUTED_VALUE"""),248)</f>
        <v>248</v>
      </c>
      <c r="AD55" s="1">
        <f ca="1">IFERROR(__xludf.DUMMYFUNCTION("""COMPUTED_VALUE"""),95)</f>
        <v>95</v>
      </c>
      <c r="AE55" s="1">
        <f ca="1">IFERROR(__xludf.DUMMYFUNCTION("""COMPUTED_VALUE"""),457)</f>
        <v>457</v>
      </c>
      <c r="AF55" s="1">
        <f ca="1">IFERROR(__xludf.DUMMYFUNCTION("""COMPUTED_VALUE"""),599)</f>
        <v>599</v>
      </c>
    </row>
    <row r="56" spans="1:32" ht="12.5" x14ac:dyDescent="0.25">
      <c r="A56" s="1" t="str">
        <f ca="1">IFERROR(__xludf.DUMMYFUNCTION("""COMPUTED_VALUE"""),"Central Michigan")</f>
        <v>Central Michigan</v>
      </c>
      <c r="B56" s="1">
        <f ca="1">IFERROR(__xludf.DUMMYFUNCTION("""COMPUTED_VALUE"""),30)</f>
        <v>30</v>
      </c>
      <c r="C56" s="1">
        <f ca="1">IFERROR(__xludf.DUMMYFUNCTION("""COMPUTED_VALUE"""),15)</f>
        <v>15</v>
      </c>
      <c r="D56" s="1">
        <f ca="1">IFERROR(__xludf.DUMMYFUNCTION("""COMPUTED_VALUE"""),15)</f>
        <v>15</v>
      </c>
      <c r="E56" s="1">
        <f ca="1">IFERROR(__xludf.DUMMYFUNCTION("""COMPUTED_VALUE"""),0.5)</f>
        <v>0.5</v>
      </c>
      <c r="F56" s="1">
        <f ca="1">IFERROR(__xludf.DUMMYFUNCTION("""COMPUTED_VALUE"""),-3.58)</f>
        <v>-3.58</v>
      </c>
      <c r="G56" s="1">
        <f ca="1">IFERROR(__xludf.DUMMYFUNCTION("""COMPUTED_VALUE"""),-3.58)</f>
        <v>-3.58</v>
      </c>
      <c r="H56" s="1">
        <f ca="1">IFERROR(__xludf.DUMMYFUNCTION("""COMPUTED_VALUE"""),9)</f>
        <v>9</v>
      </c>
      <c r="I56" s="1">
        <f ca="1">IFERROR(__xludf.DUMMYFUNCTION("""COMPUTED_VALUE"""),7)</f>
        <v>7</v>
      </c>
      <c r="J56" s="1">
        <f ca="1">IFERROR(__xludf.DUMMYFUNCTION("""COMPUTED_VALUE"""),10)</f>
        <v>10</v>
      </c>
      <c r="K56" s="1">
        <f ca="1">IFERROR(__xludf.DUMMYFUNCTION("""COMPUTED_VALUE"""),3)</f>
        <v>3</v>
      </c>
      <c r="L56" s="1">
        <f ca="1">IFERROR(__xludf.DUMMYFUNCTION("""COMPUTED_VALUE"""),5)</f>
        <v>5</v>
      </c>
      <c r="M56" s="1">
        <f ca="1">IFERROR(__xludf.DUMMYFUNCTION("""COMPUTED_VALUE"""),11)</f>
        <v>11</v>
      </c>
      <c r="N56" s="1">
        <f ca="1">IFERROR(__xludf.DUMMYFUNCTION("""COMPUTED_VALUE"""),1937)</f>
        <v>1937</v>
      </c>
      <c r="O56" s="1">
        <f ca="1">IFERROR(__xludf.DUMMYFUNCTION("""COMPUTED_VALUE"""),1924)</f>
        <v>1924</v>
      </c>
      <c r="P56" s="1">
        <f ca="1">IFERROR(__xludf.DUMMYFUNCTION("""COMPUTED_VALUE"""),1200)</f>
        <v>1200</v>
      </c>
      <c r="Q56" s="1">
        <f ca="1">IFERROR(__xludf.DUMMYFUNCTION("""COMPUTED_VALUE"""),651)</f>
        <v>651</v>
      </c>
      <c r="R56" s="1">
        <f ca="1">IFERROR(__xludf.DUMMYFUNCTION("""COMPUTED_VALUE"""),1588)</f>
        <v>1588</v>
      </c>
      <c r="S56" s="1">
        <f ca="1">IFERROR(__xludf.DUMMYFUNCTION("""COMPUTED_VALUE"""),0.41)</f>
        <v>0.41</v>
      </c>
      <c r="T56" s="1">
        <f ca="1">IFERROR(__xludf.DUMMYFUNCTION("""COMPUTED_VALUE"""),229)</f>
        <v>229</v>
      </c>
      <c r="U56" s="1">
        <f ca="1">IFERROR(__xludf.DUMMYFUNCTION("""COMPUTED_VALUE"""),615)</f>
        <v>615</v>
      </c>
      <c r="V56" s="1">
        <f ca="1">IFERROR(__xludf.DUMMYFUNCTION("""COMPUTED_VALUE"""),0.372)</f>
        <v>0.372</v>
      </c>
      <c r="W56" s="1">
        <f ca="1">IFERROR(__xludf.DUMMYFUNCTION("""COMPUTED_VALUE"""),406)</f>
        <v>406</v>
      </c>
      <c r="X56" s="1">
        <f ca="1">IFERROR(__xludf.DUMMYFUNCTION("""COMPUTED_VALUE"""),611)</f>
        <v>611</v>
      </c>
      <c r="Y56" s="1">
        <f ca="1">IFERROR(__xludf.DUMMYFUNCTION("""COMPUTED_VALUE"""),0.664)</f>
        <v>0.66400000000000003</v>
      </c>
      <c r="Z56" s="1">
        <f ca="1">IFERROR(__xludf.DUMMYFUNCTION("""COMPUTED_VALUE"""),371)</f>
        <v>371</v>
      </c>
      <c r="AA56" s="1">
        <f ca="1">IFERROR(__xludf.DUMMYFUNCTION("""COMPUTED_VALUE"""),1005)</f>
        <v>1005</v>
      </c>
      <c r="AB56" s="1">
        <f ca="1">IFERROR(__xludf.DUMMYFUNCTION("""COMPUTED_VALUE"""),321)</f>
        <v>321</v>
      </c>
      <c r="AC56" s="1">
        <f ca="1">IFERROR(__xludf.DUMMYFUNCTION("""COMPUTED_VALUE"""),246)</f>
        <v>246</v>
      </c>
      <c r="AD56" s="1">
        <f ca="1">IFERROR(__xludf.DUMMYFUNCTION("""COMPUTED_VALUE"""),85)</f>
        <v>85</v>
      </c>
      <c r="AE56" s="1">
        <f ca="1">IFERROR(__xludf.DUMMYFUNCTION("""COMPUTED_VALUE"""),427)</f>
        <v>427</v>
      </c>
      <c r="AF56" s="1">
        <f ca="1">IFERROR(__xludf.DUMMYFUNCTION("""COMPUTED_VALUE"""),654)</f>
        <v>654</v>
      </c>
    </row>
    <row r="57" spans="1:32" ht="12.5" x14ac:dyDescent="0.25">
      <c r="A57" s="1" t="str">
        <f ca="1">IFERROR(__xludf.DUMMYFUNCTION("""COMPUTED_VALUE"""),"Charleston Southern")</f>
        <v>Charleston Southern</v>
      </c>
      <c r="B57" s="1">
        <f ca="1">IFERROR(__xludf.DUMMYFUNCTION("""COMPUTED_VALUE"""),30)</f>
        <v>30</v>
      </c>
      <c r="C57" s="1">
        <f ca="1">IFERROR(__xludf.DUMMYFUNCTION("""COMPUTED_VALUE"""),13)</f>
        <v>13</v>
      </c>
      <c r="D57" s="1">
        <f ca="1">IFERROR(__xludf.DUMMYFUNCTION("""COMPUTED_VALUE"""),17)</f>
        <v>17</v>
      </c>
      <c r="E57" s="1">
        <f ca="1">IFERROR(__xludf.DUMMYFUNCTION("""COMPUTED_VALUE"""),0.433)</f>
        <v>0.433</v>
      </c>
      <c r="F57" s="1">
        <f ca="1">IFERROR(__xludf.DUMMYFUNCTION("""COMPUTED_VALUE"""),-13.25)</f>
        <v>-13.25</v>
      </c>
      <c r="G57" s="1">
        <f ca="1">IFERROR(__xludf.DUMMYFUNCTION("""COMPUTED_VALUE"""),-8.12)</f>
        <v>-8.1199999999999992</v>
      </c>
      <c r="H57" s="1">
        <f ca="1">IFERROR(__xludf.DUMMYFUNCTION("""COMPUTED_VALUE"""),7)</f>
        <v>7</v>
      </c>
      <c r="I57" s="1">
        <f ca="1">IFERROR(__xludf.DUMMYFUNCTION("""COMPUTED_VALUE"""),11)</f>
        <v>11</v>
      </c>
      <c r="J57" s="1">
        <f ca="1">IFERROR(__xludf.DUMMYFUNCTION("""COMPUTED_VALUE"""),11)</f>
        <v>11</v>
      </c>
      <c r="K57" s="1">
        <f ca="1">IFERROR(__xludf.DUMMYFUNCTION("""COMPUTED_VALUE"""),3)</f>
        <v>3</v>
      </c>
      <c r="L57" s="1">
        <f ca="1">IFERROR(__xludf.DUMMYFUNCTION("""COMPUTED_VALUE"""),2)</f>
        <v>2</v>
      </c>
      <c r="M57" s="1">
        <f ca="1">IFERROR(__xludf.DUMMYFUNCTION("""COMPUTED_VALUE"""),14)</f>
        <v>14</v>
      </c>
      <c r="N57" s="1">
        <f ca="1">IFERROR(__xludf.DUMMYFUNCTION("""COMPUTED_VALUE"""),2062)</f>
        <v>2062</v>
      </c>
      <c r="O57" s="1">
        <f ca="1">IFERROR(__xludf.DUMMYFUNCTION("""COMPUTED_VALUE"""),2030)</f>
        <v>2030</v>
      </c>
      <c r="P57" s="1">
        <f ca="1">IFERROR(__xludf.DUMMYFUNCTION("""COMPUTED_VALUE"""),1220)</f>
        <v>1220</v>
      </c>
      <c r="Q57" s="1">
        <f ca="1">IFERROR(__xludf.DUMMYFUNCTION("""COMPUTED_VALUE"""),767)</f>
        <v>767</v>
      </c>
      <c r="R57" s="1">
        <f ca="1">IFERROR(__xludf.DUMMYFUNCTION("""COMPUTED_VALUE"""),1789)</f>
        <v>1789</v>
      </c>
      <c r="S57" s="1">
        <f ca="1">IFERROR(__xludf.DUMMYFUNCTION("""COMPUTED_VALUE"""),0.429)</f>
        <v>0.42899999999999999</v>
      </c>
      <c r="T57" s="1">
        <f ca="1">IFERROR(__xludf.DUMMYFUNCTION("""COMPUTED_VALUE"""),197)</f>
        <v>197</v>
      </c>
      <c r="U57" s="1">
        <f ca="1">IFERROR(__xludf.DUMMYFUNCTION("""COMPUTED_VALUE"""),558)</f>
        <v>558</v>
      </c>
      <c r="V57" s="1">
        <f ca="1">IFERROR(__xludf.DUMMYFUNCTION("""COMPUTED_VALUE"""),0.353)</f>
        <v>0.35299999999999998</v>
      </c>
      <c r="W57" s="1">
        <f ca="1">IFERROR(__xludf.DUMMYFUNCTION("""COMPUTED_VALUE"""),331)</f>
        <v>331</v>
      </c>
      <c r="X57" s="1">
        <f ca="1">IFERROR(__xludf.DUMMYFUNCTION("""COMPUTED_VALUE"""),500)</f>
        <v>500</v>
      </c>
      <c r="Y57" s="1">
        <f ca="1">IFERROR(__xludf.DUMMYFUNCTION("""COMPUTED_VALUE"""),0.662)</f>
        <v>0.66200000000000003</v>
      </c>
      <c r="Z57" s="1">
        <f ca="1">IFERROR(__xludf.DUMMYFUNCTION("""COMPUTED_VALUE"""),407)</f>
        <v>407</v>
      </c>
      <c r="AA57" s="1">
        <f ca="1">IFERROR(__xludf.DUMMYFUNCTION("""COMPUTED_VALUE"""),1100)</f>
        <v>1100</v>
      </c>
      <c r="AB57" s="1">
        <f ca="1">IFERROR(__xludf.DUMMYFUNCTION("""COMPUTED_VALUE"""),331)</f>
        <v>331</v>
      </c>
      <c r="AC57" s="1">
        <f ca="1">IFERROR(__xludf.DUMMYFUNCTION("""COMPUTED_VALUE"""),269)</f>
        <v>269</v>
      </c>
      <c r="AD57" s="1">
        <f ca="1">IFERROR(__xludf.DUMMYFUNCTION("""COMPUTED_VALUE"""),121)</f>
        <v>121</v>
      </c>
      <c r="AE57" s="1">
        <f ca="1">IFERROR(__xludf.DUMMYFUNCTION("""COMPUTED_VALUE"""),444)</f>
        <v>444</v>
      </c>
      <c r="AF57" s="1">
        <f ca="1">IFERROR(__xludf.DUMMYFUNCTION("""COMPUTED_VALUE"""),535)</f>
        <v>535</v>
      </c>
    </row>
    <row r="58" spans="1:32" ht="12.5" x14ac:dyDescent="0.25">
      <c r="A58" s="1" t="str">
        <f ca="1">IFERROR(__xludf.DUMMYFUNCTION("""COMPUTED_VALUE"""),"Charlotte")</f>
        <v>Charlotte</v>
      </c>
      <c r="B58" s="1">
        <f ca="1">IFERROR(__xludf.DUMMYFUNCTION("""COMPUTED_VALUE"""),31)</f>
        <v>31</v>
      </c>
      <c r="C58" s="1">
        <f ca="1">IFERROR(__xludf.DUMMYFUNCTION("""COMPUTED_VALUE"""),19)</f>
        <v>19</v>
      </c>
      <c r="D58" s="1">
        <f ca="1">IFERROR(__xludf.DUMMYFUNCTION("""COMPUTED_VALUE"""),12)</f>
        <v>12</v>
      </c>
      <c r="E58" s="1">
        <f ca="1">IFERROR(__xludf.DUMMYFUNCTION("""COMPUTED_VALUE"""),0.613)</f>
        <v>0.61299999999999999</v>
      </c>
      <c r="F58" s="1">
        <f ca="1">IFERROR(__xludf.DUMMYFUNCTION("""COMPUTED_VALUE"""),3.96)</f>
        <v>3.96</v>
      </c>
      <c r="G58" s="1">
        <f ca="1">IFERROR(__xludf.DUMMYFUNCTION("""COMPUTED_VALUE"""),3)</f>
        <v>3</v>
      </c>
      <c r="H58" s="1">
        <f ca="1">IFERROR(__xludf.DUMMYFUNCTION("""COMPUTED_VALUE"""),9)</f>
        <v>9</v>
      </c>
      <c r="I58" s="1">
        <f ca="1">IFERROR(__xludf.DUMMYFUNCTION("""COMPUTED_VALUE"""),7)</f>
        <v>7</v>
      </c>
      <c r="J58" s="1">
        <f ca="1">IFERROR(__xludf.DUMMYFUNCTION("""COMPUTED_VALUE"""),10)</f>
        <v>10</v>
      </c>
      <c r="K58" s="1">
        <f ca="1">IFERROR(__xludf.DUMMYFUNCTION("""COMPUTED_VALUE"""),5)</f>
        <v>5</v>
      </c>
      <c r="L58" s="1">
        <f ca="1">IFERROR(__xludf.DUMMYFUNCTION("""COMPUTED_VALUE"""),7)</f>
        <v>7</v>
      </c>
      <c r="M58" s="1">
        <f ca="1">IFERROR(__xludf.DUMMYFUNCTION("""COMPUTED_VALUE"""),7)</f>
        <v>7</v>
      </c>
      <c r="N58" s="1">
        <f ca="1">IFERROR(__xludf.DUMMYFUNCTION("""COMPUTED_VALUE"""),2276)</f>
        <v>2276</v>
      </c>
      <c r="O58" s="1">
        <f ca="1">IFERROR(__xludf.DUMMYFUNCTION("""COMPUTED_VALUE"""),2205)</f>
        <v>2205</v>
      </c>
      <c r="P58" s="1">
        <f ca="1">IFERROR(__xludf.DUMMYFUNCTION("""COMPUTED_VALUE"""),1250)</f>
        <v>1250</v>
      </c>
      <c r="Q58" s="1">
        <f ca="1">IFERROR(__xludf.DUMMYFUNCTION("""COMPUTED_VALUE"""),756)</f>
        <v>756</v>
      </c>
      <c r="R58" s="1">
        <f ca="1">IFERROR(__xludf.DUMMYFUNCTION("""COMPUTED_VALUE"""),1807)</f>
        <v>1807</v>
      </c>
      <c r="S58" s="1">
        <f ca="1">IFERROR(__xludf.DUMMYFUNCTION("""COMPUTED_VALUE"""),0.418)</f>
        <v>0.41799999999999998</v>
      </c>
      <c r="T58" s="1">
        <f ca="1">IFERROR(__xludf.DUMMYFUNCTION("""COMPUTED_VALUE"""),201)</f>
        <v>201</v>
      </c>
      <c r="U58" s="1">
        <f ca="1">IFERROR(__xludf.DUMMYFUNCTION("""COMPUTED_VALUE"""),646)</f>
        <v>646</v>
      </c>
      <c r="V58" s="1">
        <f ca="1">IFERROR(__xludf.DUMMYFUNCTION("""COMPUTED_VALUE"""),0.311)</f>
        <v>0.311</v>
      </c>
      <c r="W58" s="1">
        <f ca="1">IFERROR(__xludf.DUMMYFUNCTION("""COMPUTED_VALUE"""),563)</f>
        <v>563</v>
      </c>
      <c r="X58" s="1">
        <f ca="1">IFERROR(__xludf.DUMMYFUNCTION("""COMPUTED_VALUE"""),768)</f>
        <v>768</v>
      </c>
      <c r="Y58" s="1">
        <f ca="1">IFERROR(__xludf.DUMMYFUNCTION("""COMPUTED_VALUE"""),0.733)</f>
        <v>0.73299999999999998</v>
      </c>
      <c r="Z58" s="1">
        <f ca="1">IFERROR(__xludf.DUMMYFUNCTION("""COMPUTED_VALUE"""),413)</f>
        <v>413</v>
      </c>
      <c r="AA58" s="1">
        <f ca="1">IFERROR(__xludf.DUMMYFUNCTION("""COMPUTED_VALUE"""),1227)</f>
        <v>1227</v>
      </c>
      <c r="AB58" s="1">
        <f ca="1">IFERROR(__xludf.DUMMYFUNCTION("""COMPUTED_VALUE"""),409)</f>
        <v>409</v>
      </c>
      <c r="AC58" s="1">
        <f ca="1">IFERROR(__xludf.DUMMYFUNCTION("""COMPUTED_VALUE"""),183)</f>
        <v>183</v>
      </c>
      <c r="AD58" s="1">
        <f ca="1">IFERROR(__xludf.DUMMYFUNCTION("""COMPUTED_VALUE"""),126)</f>
        <v>126</v>
      </c>
      <c r="AE58" s="1">
        <f ca="1">IFERROR(__xludf.DUMMYFUNCTION("""COMPUTED_VALUE"""),413)</f>
        <v>413</v>
      </c>
      <c r="AF58" s="1">
        <f ca="1">IFERROR(__xludf.DUMMYFUNCTION("""COMPUTED_VALUE"""),564)</f>
        <v>564</v>
      </c>
    </row>
    <row r="59" spans="1:32" ht="12.5" x14ac:dyDescent="0.25">
      <c r="A59" s="1" t="str">
        <f ca="1">IFERROR(__xludf.DUMMYFUNCTION("""COMPUTED_VALUE"""),"Chattanooga")</f>
        <v>Chattanooga</v>
      </c>
      <c r="B59" s="1">
        <f ca="1">IFERROR(__xludf.DUMMYFUNCTION("""COMPUTED_VALUE"""),33)</f>
        <v>33</v>
      </c>
      <c r="C59" s="1">
        <f ca="1">IFERROR(__xludf.DUMMYFUNCTION("""COMPUTED_VALUE"""),15)</f>
        <v>15</v>
      </c>
      <c r="D59" s="1">
        <f ca="1">IFERROR(__xludf.DUMMYFUNCTION("""COMPUTED_VALUE"""),18)</f>
        <v>18</v>
      </c>
      <c r="E59" s="1">
        <f ca="1">IFERROR(__xludf.DUMMYFUNCTION("""COMPUTED_VALUE"""),0.455)</f>
        <v>0.45500000000000002</v>
      </c>
      <c r="F59" s="1">
        <f ca="1">IFERROR(__xludf.DUMMYFUNCTION("""COMPUTED_VALUE"""),-8.56)</f>
        <v>-8.56</v>
      </c>
      <c r="G59" s="1">
        <f ca="1">IFERROR(__xludf.DUMMYFUNCTION("""COMPUTED_VALUE"""),-3.68)</f>
        <v>-3.68</v>
      </c>
      <c r="H59" s="1">
        <f ca="1">IFERROR(__xludf.DUMMYFUNCTION("""COMPUTED_VALUE"""),6)</f>
        <v>6</v>
      </c>
      <c r="I59" s="1">
        <f ca="1">IFERROR(__xludf.DUMMYFUNCTION("""COMPUTED_VALUE"""),12)</f>
        <v>12</v>
      </c>
      <c r="J59" s="1">
        <f ca="1">IFERROR(__xludf.DUMMYFUNCTION("""COMPUTED_VALUE"""),11)</f>
        <v>11</v>
      </c>
      <c r="K59" s="1">
        <f ca="1">IFERROR(__xludf.DUMMYFUNCTION("""COMPUTED_VALUE"""),5)</f>
        <v>5</v>
      </c>
      <c r="L59" s="1">
        <f ca="1">IFERROR(__xludf.DUMMYFUNCTION("""COMPUTED_VALUE"""),2)</f>
        <v>2</v>
      </c>
      <c r="M59" s="1">
        <f ca="1">IFERROR(__xludf.DUMMYFUNCTION("""COMPUTED_VALUE"""),11)</f>
        <v>11</v>
      </c>
      <c r="N59" s="1">
        <f ca="1">IFERROR(__xludf.DUMMYFUNCTION("""COMPUTED_VALUE"""),2305)</f>
        <v>2305</v>
      </c>
      <c r="O59" s="1">
        <f ca="1">IFERROR(__xludf.DUMMYFUNCTION("""COMPUTED_VALUE"""),2379)</f>
        <v>2379</v>
      </c>
      <c r="P59" s="1">
        <f ca="1">IFERROR(__xludf.DUMMYFUNCTION("""COMPUTED_VALUE"""),1320)</f>
        <v>1320</v>
      </c>
      <c r="Q59" s="1">
        <f ca="1">IFERROR(__xludf.DUMMYFUNCTION("""COMPUTED_VALUE"""),823)</f>
        <v>823</v>
      </c>
      <c r="R59" s="1">
        <f ca="1">IFERROR(__xludf.DUMMYFUNCTION("""COMPUTED_VALUE"""),1889)</f>
        <v>1889</v>
      </c>
      <c r="S59" s="1">
        <f ca="1">IFERROR(__xludf.DUMMYFUNCTION("""COMPUTED_VALUE"""),0.436)</f>
        <v>0.436</v>
      </c>
      <c r="T59" s="1">
        <f ca="1">IFERROR(__xludf.DUMMYFUNCTION("""COMPUTED_VALUE"""),269)</f>
        <v>269</v>
      </c>
      <c r="U59" s="1">
        <f ca="1">IFERROR(__xludf.DUMMYFUNCTION("""COMPUTED_VALUE"""),809)</f>
        <v>809</v>
      </c>
      <c r="V59" s="1">
        <f ca="1">IFERROR(__xludf.DUMMYFUNCTION("""COMPUTED_VALUE"""),0.333)</f>
        <v>0.33300000000000002</v>
      </c>
      <c r="W59" s="1">
        <f ca="1">IFERROR(__xludf.DUMMYFUNCTION("""COMPUTED_VALUE"""),390)</f>
        <v>390</v>
      </c>
      <c r="X59" s="1">
        <f ca="1">IFERROR(__xludf.DUMMYFUNCTION("""COMPUTED_VALUE"""),631)</f>
        <v>631</v>
      </c>
      <c r="Y59" s="1">
        <f ca="1">IFERROR(__xludf.DUMMYFUNCTION("""COMPUTED_VALUE"""),0.618)</f>
        <v>0.61799999999999999</v>
      </c>
      <c r="Z59" s="1">
        <f ca="1">IFERROR(__xludf.DUMMYFUNCTION("""COMPUTED_VALUE"""),383)</f>
        <v>383</v>
      </c>
      <c r="AA59" s="1">
        <f ca="1">IFERROR(__xludf.DUMMYFUNCTION("""COMPUTED_VALUE"""),1238)</f>
        <v>1238</v>
      </c>
      <c r="AB59" s="1">
        <f ca="1">IFERROR(__xludf.DUMMYFUNCTION("""COMPUTED_VALUE"""),483)</f>
        <v>483</v>
      </c>
      <c r="AC59" s="1">
        <f ca="1">IFERROR(__xludf.DUMMYFUNCTION("""COMPUTED_VALUE"""),199)</f>
        <v>199</v>
      </c>
      <c r="AD59" s="1">
        <f ca="1">IFERROR(__xludf.DUMMYFUNCTION("""COMPUTED_VALUE"""),82)</f>
        <v>82</v>
      </c>
      <c r="AE59" s="1">
        <f ca="1">IFERROR(__xludf.DUMMYFUNCTION("""COMPUTED_VALUE"""),538)</f>
        <v>538</v>
      </c>
      <c r="AF59" s="1">
        <f ca="1">IFERROR(__xludf.DUMMYFUNCTION("""COMPUTED_VALUE"""),626)</f>
        <v>626</v>
      </c>
    </row>
    <row r="60" spans="1:32" ht="12.5" x14ac:dyDescent="0.25">
      <c r="A60" s="1" t="str">
        <f ca="1">IFERROR(__xludf.DUMMYFUNCTION("""COMPUTED_VALUE"""),"Chicago State")</f>
        <v>Chicago State</v>
      </c>
      <c r="B60" s="1">
        <f ca="1">IFERROR(__xludf.DUMMYFUNCTION("""COMPUTED_VALUE"""),32)</f>
        <v>32</v>
      </c>
      <c r="C60" s="1">
        <f ca="1">IFERROR(__xludf.DUMMYFUNCTION("""COMPUTED_VALUE"""),9)</f>
        <v>9</v>
      </c>
      <c r="D60" s="1">
        <f ca="1">IFERROR(__xludf.DUMMYFUNCTION("""COMPUTED_VALUE"""),23)</f>
        <v>23</v>
      </c>
      <c r="E60" s="1">
        <f ca="1">IFERROR(__xludf.DUMMYFUNCTION("""COMPUTED_VALUE"""),0.281)</f>
        <v>0.28100000000000003</v>
      </c>
      <c r="F60" s="1">
        <f ca="1">IFERROR(__xludf.DUMMYFUNCTION("""COMPUTED_VALUE"""),-21.8)</f>
        <v>-21.8</v>
      </c>
      <c r="G60" s="1">
        <f ca="1">IFERROR(__xludf.DUMMYFUNCTION("""COMPUTED_VALUE"""),-7.61)</f>
        <v>-7.61</v>
      </c>
      <c r="H60" s="1">
        <f ca="1">IFERROR(__xludf.DUMMYFUNCTION("""COMPUTED_VALUE"""),4)</f>
        <v>4</v>
      </c>
      <c r="I60" s="1">
        <f ca="1">IFERROR(__xludf.DUMMYFUNCTION("""COMPUTED_VALUE"""),8)</f>
        <v>8</v>
      </c>
      <c r="J60" s="1">
        <f ca="1">IFERROR(__xludf.DUMMYFUNCTION("""COMPUTED_VALUE"""),7)</f>
        <v>7</v>
      </c>
      <c r="K60" s="1">
        <f ca="1">IFERROR(__xludf.DUMMYFUNCTION("""COMPUTED_VALUE"""),5)</f>
        <v>5</v>
      </c>
      <c r="L60" s="1">
        <f ca="1">IFERROR(__xludf.DUMMYFUNCTION("""COMPUTED_VALUE"""),0)</f>
        <v>0</v>
      </c>
      <c r="M60" s="1">
        <f ca="1">IFERROR(__xludf.DUMMYFUNCTION("""COMPUTED_VALUE"""),17)</f>
        <v>17</v>
      </c>
      <c r="N60" s="1">
        <f ca="1">IFERROR(__xludf.DUMMYFUNCTION("""COMPUTED_VALUE"""),2010)</f>
        <v>2010</v>
      </c>
      <c r="O60" s="1">
        <f ca="1">IFERROR(__xludf.DUMMYFUNCTION("""COMPUTED_VALUE"""),2287)</f>
        <v>2287</v>
      </c>
      <c r="P60" s="1">
        <f ca="1">IFERROR(__xludf.DUMMYFUNCTION("""COMPUTED_VALUE"""),1285)</f>
        <v>1285</v>
      </c>
      <c r="Q60" s="1">
        <f ca="1">IFERROR(__xludf.DUMMYFUNCTION("""COMPUTED_VALUE"""),701)</f>
        <v>701</v>
      </c>
      <c r="R60" s="1">
        <f ca="1">IFERROR(__xludf.DUMMYFUNCTION("""COMPUTED_VALUE"""),1833)</f>
        <v>1833</v>
      </c>
      <c r="S60" s="1">
        <f ca="1">IFERROR(__xludf.DUMMYFUNCTION("""COMPUTED_VALUE"""),0.382)</f>
        <v>0.38200000000000001</v>
      </c>
      <c r="T60" s="1">
        <f ca="1">IFERROR(__xludf.DUMMYFUNCTION("""COMPUTED_VALUE"""),139)</f>
        <v>139</v>
      </c>
      <c r="U60" s="1">
        <f ca="1">IFERROR(__xludf.DUMMYFUNCTION("""COMPUTED_VALUE"""),513)</f>
        <v>513</v>
      </c>
      <c r="V60" s="1">
        <f ca="1">IFERROR(__xludf.DUMMYFUNCTION("""COMPUTED_VALUE"""),0.271)</f>
        <v>0.27100000000000002</v>
      </c>
      <c r="W60" s="1">
        <f ca="1">IFERROR(__xludf.DUMMYFUNCTION("""COMPUTED_VALUE"""),469)</f>
        <v>469</v>
      </c>
      <c r="X60" s="1">
        <f ca="1">IFERROR(__xludf.DUMMYFUNCTION("""COMPUTED_VALUE"""),709)</f>
        <v>709</v>
      </c>
      <c r="Y60" s="1">
        <f ca="1">IFERROR(__xludf.DUMMYFUNCTION("""COMPUTED_VALUE"""),0.661)</f>
        <v>0.66100000000000003</v>
      </c>
      <c r="Z60" s="1">
        <f ca="1">IFERROR(__xludf.DUMMYFUNCTION("""COMPUTED_VALUE"""),453)</f>
        <v>453</v>
      </c>
      <c r="AA60" s="1">
        <f ca="1">IFERROR(__xludf.DUMMYFUNCTION("""COMPUTED_VALUE"""),1169)</f>
        <v>1169</v>
      </c>
      <c r="AB60" s="1">
        <f ca="1">IFERROR(__xludf.DUMMYFUNCTION("""COMPUTED_VALUE"""),321)</f>
        <v>321</v>
      </c>
      <c r="AC60" s="1">
        <f ca="1">IFERROR(__xludf.DUMMYFUNCTION("""COMPUTED_VALUE"""),222)</f>
        <v>222</v>
      </c>
      <c r="AD60" s="1">
        <f ca="1">IFERROR(__xludf.DUMMYFUNCTION("""COMPUTED_VALUE"""),69)</f>
        <v>69</v>
      </c>
      <c r="AE60" s="1">
        <f ca="1">IFERROR(__xludf.DUMMYFUNCTION("""COMPUTED_VALUE"""),511)</f>
        <v>511</v>
      </c>
      <c r="AF60" s="1">
        <f ca="1">IFERROR(__xludf.DUMMYFUNCTION("""COMPUTED_VALUE"""),640)</f>
        <v>640</v>
      </c>
    </row>
    <row r="61" spans="1:32" ht="12.5" x14ac:dyDescent="0.25">
      <c r="A61" s="1" t="str">
        <f ca="1">IFERROR(__xludf.DUMMYFUNCTION("""COMPUTED_VALUE"""),"Cincinnati")</f>
        <v>Cincinnati</v>
      </c>
      <c r="B61" s="1">
        <f ca="1">IFERROR(__xludf.DUMMYFUNCTION("""COMPUTED_VALUE"""),35)</f>
        <v>35</v>
      </c>
      <c r="C61" s="1">
        <f ca="1">IFERROR(__xludf.DUMMYFUNCTION("""COMPUTED_VALUE"""),19)</f>
        <v>19</v>
      </c>
      <c r="D61" s="1">
        <f ca="1">IFERROR(__xludf.DUMMYFUNCTION("""COMPUTED_VALUE"""),16)</f>
        <v>16</v>
      </c>
      <c r="E61" s="1">
        <f ca="1">IFERROR(__xludf.DUMMYFUNCTION("""COMPUTED_VALUE"""),0.543)</f>
        <v>0.54300000000000004</v>
      </c>
      <c r="F61" s="1">
        <f ca="1">IFERROR(__xludf.DUMMYFUNCTION("""COMPUTED_VALUE"""),9.98)</f>
        <v>9.98</v>
      </c>
      <c r="G61" s="1">
        <f ca="1">IFERROR(__xludf.DUMMYFUNCTION("""COMPUTED_VALUE"""),8.45)</f>
        <v>8.4499999999999993</v>
      </c>
      <c r="H61" s="1">
        <f ca="1">IFERROR(__xludf.DUMMYFUNCTION("""COMPUTED_VALUE"""),7)</f>
        <v>7</v>
      </c>
      <c r="I61" s="1">
        <f ca="1">IFERROR(__xludf.DUMMYFUNCTION("""COMPUTED_VALUE"""),11)</f>
        <v>11</v>
      </c>
      <c r="J61" s="1">
        <f ca="1">IFERROR(__xludf.DUMMYFUNCTION("""COMPUTED_VALUE"""),13)</f>
        <v>13</v>
      </c>
      <c r="K61" s="1">
        <f ca="1">IFERROR(__xludf.DUMMYFUNCTION("""COMPUTED_VALUE"""),5)</f>
        <v>5</v>
      </c>
      <c r="L61" s="1">
        <f ca="1">IFERROR(__xludf.DUMMYFUNCTION("""COMPUTED_VALUE"""),2)</f>
        <v>2</v>
      </c>
      <c r="M61" s="1">
        <f ca="1">IFERROR(__xludf.DUMMYFUNCTION("""COMPUTED_VALUE"""),9)</f>
        <v>9</v>
      </c>
      <c r="N61" s="1">
        <f ca="1">IFERROR(__xludf.DUMMYFUNCTION("""COMPUTED_VALUE"""),2408)</f>
        <v>2408</v>
      </c>
      <c r="O61" s="1">
        <f ca="1">IFERROR(__xludf.DUMMYFUNCTION("""COMPUTED_VALUE"""),2327)</f>
        <v>2327</v>
      </c>
      <c r="P61" s="1">
        <f ca="1">IFERROR(__xludf.DUMMYFUNCTION("""COMPUTED_VALUE"""),1420)</f>
        <v>1420</v>
      </c>
      <c r="Q61" s="1">
        <f ca="1">IFERROR(__xludf.DUMMYFUNCTION("""COMPUTED_VALUE"""),890)</f>
        <v>890</v>
      </c>
      <c r="R61" s="1">
        <f ca="1">IFERROR(__xludf.DUMMYFUNCTION("""COMPUTED_VALUE"""),2081)</f>
        <v>2081</v>
      </c>
      <c r="S61" s="1">
        <f ca="1">IFERROR(__xludf.DUMMYFUNCTION("""COMPUTED_VALUE"""),0.428)</f>
        <v>0.42799999999999999</v>
      </c>
      <c r="T61" s="1">
        <f ca="1">IFERROR(__xludf.DUMMYFUNCTION("""COMPUTED_VALUE"""),200)</f>
        <v>200</v>
      </c>
      <c r="U61" s="1">
        <f ca="1">IFERROR(__xludf.DUMMYFUNCTION("""COMPUTED_VALUE"""),687)</f>
        <v>687</v>
      </c>
      <c r="V61" s="1">
        <f ca="1">IFERROR(__xludf.DUMMYFUNCTION("""COMPUTED_VALUE"""),0.291)</f>
        <v>0.29099999999999998</v>
      </c>
      <c r="W61" s="1">
        <f ca="1">IFERROR(__xludf.DUMMYFUNCTION("""COMPUTED_VALUE"""),428)</f>
        <v>428</v>
      </c>
      <c r="X61" s="1">
        <f ca="1">IFERROR(__xludf.DUMMYFUNCTION("""COMPUTED_VALUE"""),671)</f>
        <v>671</v>
      </c>
      <c r="Y61" s="1">
        <f ca="1">IFERROR(__xludf.DUMMYFUNCTION("""COMPUTED_VALUE"""),0.638)</f>
        <v>0.63800000000000001</v>
      </c>
      <c r="Z61" s="1">
        <f ca="1">IFERROR(__xludf.DUMMYFUNCTION("""COMPUTED_VALUE"""),489)</f>
        <v>489</v>
      </c>
      <c r="AA61" s="1">
        <f ca="1">IFERROR(__xludf.DUMMYFUNCTION("""COMPUTED_VALUE"""),1374)</f>
        <v>1374</v>
      </c>
      <c r="AB61" s="1">
        <f ca="1">IFERROR(__xludf.DUMMYFUNCTION("""COMPUTED_VALUE"""),482)</f>
        <v>482</v>
      </c>
      <c r="AC61" s="1">
        <f ca="1">IFERROR(__xludf.DUMMYFUNCTION("""COMPUTED_VALUE"""),199)</f>
        <v>199</v>
      </c>
      <c r="AD61" s="1">
        <f ca="1">IFERROR(__xludf.DUMMYFUNCTION("""COMPUTED_VALUE"""),107)</f>
        <v>107</v>
      </c>
      <c r="AE61" s="1">
        <f ca="1">IFERROR(__xludf.DUMMYFUNCTION("""COMPUTED_VALUE"""),458)</f>
        <v>458</v>
      </c>
      <c r="AF61" s="1">
        <f ca="1">IFERROR(__xludf.DUMMYFUNCTION("""COMPUTED_VALUE"""),642)</f>
        <v>642</v>
      </c>
    </row>
    <row r="62" spans="1:32" ht="12.5" x14ac:dyDescent="0.25">
      <c r="A62" s="1" t="str">
        <f ca="1">IFERROR(__xludf.DUMMYFUNCTION("""COMPUTED_VALUE"""),"Citadel")</f>
        <v>Citadel</v>
      </c>
      <c r="B62" s="1">
        <f ca="1">IFERROR(__xludf.DUMMYFUNCTION("""COMPUTED_VALUE"""),32)</f>
        <v>32</v>
      </c>
      <c r="C62" s="1">
        <f ca="1">IFERROR(__xludf.DUMMYFUNCTION("""COMPUTED_VALUE"""),16)</f>
        <v>16</v>
      </c>
      <c r="D62" s="1">
        <f ca="1">IFERROR(__xludf.DUMMYFUNCTION("""COMPUTED_VALUE"""),16)</f>
        <v>16</v>
      </c>
      <c r="E62" s="1">
        <f ca="1">IFERROR(__xludf.DUMMYFUNCTION("""COMPUTED_VALUE"""),0.5)</f>
        <v>0.5</v>
      </c>
      <c r="F62" s="1">
        <f ca="1">IFERROR(__xludf.DUMMYFUNCTION("""COMPUTED_VALUE"""),-3.44)</f>
        <v>-3.44</v>
      </c>
      <c r="G62" s="1">
        <f ca="1">IFERROR(__xludf.DUMMYFUNCTION("""COMPUTED_VALUE"""),-2.94)</f>
        <v>-2.94</v>
      </c>
      <c r="H62" s="1">
        <f ca="1">IFERROR(__xludf.DUMMYFUNCTION("""COMPUTED_VALUE"""),9)</f>
        <v>9</v>
      </c>
      <c r="I62" s="1">
        <f ca="1">IFERROR(__xludf.DUMMYFUNCTION("""COMPUTED_VALUE"""),9)</f>
        <v>9</v>
      </c>
      <c r="J62" s="1">
        <f ca="1">IFERROR(__xludf.DUMMYFUNCTION("""COMPUTED_VALUE"""),8)</f>
        <v>8</v>
      </c>
      <c r="K62" s="1">
        <f ca="1">IFERROR(__xludf.DUMMYFUNCTION("""COMPUTED_VALUE"""),6)</f>
        <v>6</v>
      </c>
      <c r="L62" s="1">
        <f ca="1">IFERROR(__xludf.DUMMYFUNCTION("""COMPUTED_VALUE"""),5)</f>
        <v>5</v>
      </c>
      <c r="M62" s="1">
        <f ca="1">IFERROR(__xludf.DUMMYFUNCTION("""COMPUTED_VALUE"""),8)</f>
        <v>8</v>
      </c>
      <c r="N62" s="1">
        <f ca="1">IFERROR(__xludf.DUMMYFUNCTION("""COMPUTED_VALUE"""),1950)</f>
        <v>1950</v>
      </c>
      <c r="O62" s="1">
        <f ca="1">IFERROR(__xludf.DUMMYFUNCTION("""COMPUTED_VALUE"""),1914)</f>
        <v>1914</v>
      </c>
      <c r="P62" s="1">
        <f ca="1">IFERROR(__xludf.DUMMYFUNCTION("""COMPUTED_VALUE"""),1285)</f>
        <v>1285</v>
      </c>
      <c r="Q62" s="1">
        <f ca="1">IFERROR(__xludf.DUMMYFUNCTION("""COMPUTED_VALUE"""),687)</f>
        <v>687</v>
      </c>
      <c r="R62" s="1">
        <f ca="1">IFERROR(__xludf.DUMMYFUNCTION("""COMPUTED_VALUE"""),1669)</f>
        <v>1669</v>
      </c>
      <c r="S62" s="1">
        <f ca="1">IFERROR(__xludf.DUMMYFUNCTION("""COMPUTED_VALUE"""),0.412)</f>
        <v>0.41199999999999998</v>
      </c>
      <c r="T62" s="1">
        <f ca="1">IFERROR(__xludf.DUMMYFUNCTION("""COMPUTED_VALUE"""),229)</f>
        <v>229</v>
      </c>
      <c r="U62" s="1">
        <f ca="1">IFERROR(__xludf.DUMMYFUNCTION("""COMPUTED_VALUE"""),647)</f>
        <v>647</v>
      </c>
      <c r="V62" s="1">
        <f ca="1">IFERROR(__xludf.DUMMYFUNCTION("""COMPUTED_VALUE"""),0.354)</f>
        <v>0.35399999999999998</v>
      </c>
      <c r="W62" s="1">
        <f ca="1">IFERROR(__xludf.DUMMYFUNCTION("""COMPUTED_VALUE"""),347)</f>
        <v>347</v>
      </c>
      <c r="X62" s="1">
        <f ca="1">IFERROR(__xludf.DUMMYFUNCTION("""COMPUTED_VALUE"""),480)</f>
        <v>480</v>
      </c>
      <c r="Y62" s="1">
        <f ca="1">IFERROR(__xludf.DUMMYFUNCTION("""COMPUTED_VALUE"""),0.723)</f>
        <v>0.72299999999999998</v>
      </c>
      <c r="Z62" s="1">
        <f ca="1">IFERROR(__xludf.DUMMYFUNCTION("""COMPUTED_VALUE"""),312)</f>
        <v>312</v>
      </c>
      <c r="AA62" s="1">
        <f ca="1">IFERROR(__xludf.DUMMYFUNCTION("""COMPUTED_VALUE"""),1023)</f>
        <v>1023</v>
      </c>
      <c r="AB62" s="1">
        <f ca="1">IFERROR(__xludf.DUMMYFUNCTION("""COMPUTED_VALUE"""),350)</f>
        <v>350</v>
      </c>
      <c r="AC62" s="1">
        <f ca="1">IFERROR(__xludf.DUMMYFUNCTION("""COMPUTED_VALUE"""),165)</f>
        <v>165</v>
      </c>
      <c r="AD62" s="1">
        <f ca="1">IFERROR(__xludf.DUMMYFUNCTION("""COMPUTED_VALUE"""),48)</f>
        <v>48</v>
      </c>
      <c r="AE62" s="1">
        <f ca="1">IFERROR(__xludf.DUMMYFUNCTION("""COMPUTED_VALUE"""),343)</f>
        <v>343</v>
      </c>
      <c r="AF62" s="1">
        <f ca="1">IFERROR(__xludf.DUMMYFUNCTION("""COMPUTED_VALUE"""),488)</f>
        <v>488</v>
      </c>
    </row>
    <row r="63" spans="1:32" ht="12.5" x14ac:dyDescent="0.25">
      <c r="A63" s="1" t="str">
        <f ca="1">IFERROR(__xludf.DUMMYFUNCTION("""COMPUTED_VALUE"""),"ClemsonNCAA")</f>
        <v>ClemsonNCAA</v>
      </c>
      <c r="B63" s="1">
        <f ca="1">IFERROR(__xludf.DUMMYFUNCTION("""COMPUTED_VALUE"""),32)</f>
        <v>32</v>
      </c>
      <c r="C63" s="1">
        <f ca="1">IFERROR(__xludf.DUMMYFUNCTION("""COMPUTED_VALUE"""),21)</f>
        <v>21</v>
      </c>
      <c r="D63" s="1">
        <f ca="1">IFERROR(__xludf.DUMMYFUNCTION("""COMPUTED_VALUE"""),11)</f>
        <v>11</v>
      </c>
      <c r="E63" s="1">
        <f ca="1">IFERROR(__xludf.DUMMYFUNCTION("""COMPUTED_VALUE"""),0.656)</f>
        <v>0.65600000000000003</v>
      </c>
      <c r="F63" s="1">
        <f ca="1">IFERROR(__xludf.DUMMYFUNCTION("""COMPUTED_VALUE"""),15.71)</f>
        <v>15.71</v>
      </c>
      <c r="G63" s="1">
        <f ca="1">IFERROR(__xludf.DUMMYFUNCTION("""COMPUTED_VALUE"""),7.9)</f>
        <v>7.9</v>
      </c>
      <c r="H63" s="1">
        <f ca="1">IFERROR(__xludf.DUMMYFUNCTION("""COMPUTED_VALUE"""),9)</f>
        <v>9</v>
      </c>
      <c r="I63" s="1">
        <f ca="1">IFERROR(__xludf.DUMMYFUNCTION("""COMPUTED_VALUE"""),7)</f>
        <v>7</v>
      </c>
      <c r="J63" s="1">
        <f ca="1">IFERROR(__xludf.DUMMYFUNCTION("""COMPUTED_VALUE"""),14)</f>
        <v>14</v>
      </c>
      <c r="K63" s="1">
        <f ca="1">IFERROR(__xludf.DUMMYFUNCTION("""COMPUTED_VALUE"""),2)</f>
        <v>2</v>
      </c>
      <c r="L63" s="1">
        <f ca="1">IFERROR(__xludf.DUMMYFUNCTION("""COMPUTED_VALUE"""),5)</f>
        <v>5</v>
      </c>
      <c r="M63" s="1">
        <f ca="1">IFERROR(__xludf.DUMMYFUNCTION("""COMPUTED_VALUE"""),6)</f>
        <v>6</v>
      </c>
      <c r="N63" s="1">
        <f ca="1">IFERROR(__xludf.DUMMYFUNCTION("""COMPUTED_VALUE"""),2350)</f>
        <v>2350</v>
      </c>
      <c r="O63" s="1">
        <f ca="1">IFERROR(__xludf.DUMMYFUNCTION("""COMPUTED_VALUE"""),2065)</f>
        <v>2065</v>
      </c>
      <c r="P63" s="1">
        <f ca="1">IFERROR(__xludf.DUMMYFUNCTION("""COMPUTED_VALUE"""),1280)</f>
        <v>1280</v>
      </c>
      <c r="Q63" s="1">
        <f ca="1">IFERROR(__xludf.DUMMYFUNCTION("""COMPUTED_VALUE"""),851)</f>
        <v>851</v>
      </c>
      <c r="R63" s="1">
        <f ca="1">IFERROR(__xludf.DUMMYFUNCTION("""COMPUTED_VALUE"""),1878)</f>
        <v>1878</v>
      </c>
      <c r="S63" s="1">
        <f ca="1">IFERROR(__xludf.DUMMYFUNCTION("""COMPUTED_VALUE"""),0.453)</f>
        <v>0.45300000000000001</v>
      </c>
      <c r="T63" s="1">
        <f ca="1">IFERROR(__xludf.DUMMYFUNCTION("""COMPUTED_VALUE"""),216)</f>
        <v>216</v>
      </c>
      <c r="U63" s="1">
        <f ca="1">IFERROR(__xludf.DUMMYFUNCTION("""COMPUTED_VALUE"""),631)</f>
        <v>631</v>
      </c>
      <c r="V63" s="1">
        <f ca="1">IFERROR(__xludf.DUMMYFUNCTION("""COMPUTED_VALUE"""),0.342)</f>
        <v>0.34200000000000003</v>
      </c>
      <c r="W63" s="1">
        <f ca="1">IFERROR(__xludf.DUMMYFUNCTION("""COMPUTED_VALUE"""),432)</f>
        <v>432</v>
      </c>
      <c r="X63" s="1">
        <f ca="1">IFERROR(__xludf.DUMMYFUNCTION("""COMPUTED_VALUE"""),654)</f>
        <v>654</v>
      </c>
      <c r="Y63" s="1">
        <f ca="1">IFERROR(__xludf.DUMMYFUNCTION("""COMPUTED_VALUE"""),0.661)</f>
        <v>0.66100000000000003</v>
      </c>
      <c r="Z63" s="1">
        <f ca="1">IFERROR(__xludf.DUMMYFUNCTION("""COMPUTED_VALUE"""),420)</f>
        <v>420</v>
      </c>
      <c r="AA63" s="1">
        <f ca="1">IFERROR(__xludf.DUMMYFUNCTION("""COMPUTED_VALUE"""),1178)</f>
        <v>1178</v>
      </c>
      <c r="AB63" s="1">
        <f ca="1">IFERROR(__xludf.DUMMYFUNCTION("""COMPUTED_VALUE"""),453)</f>
        <v>453</v>
      </c>
      <c r="AC63" s="1">
        <f ca="1">IFERROR(__xludf.DUMMYFUNCTION("""COMPUTED_VALUE"""),301)</f>
        <v>301</v>
      </c>
      <c r="AD63" s="1">
        <f ca="1">IFERROR(__xludf.DUMMYFUNCTION("""COMPUTED_VALUE"""),151)</f>
        <v>151</v>
      </c>
      <c r="AE63" s="1">
        <f ca="1">IFERROR(__xludf.DUMMYFUNCTION("""COMPUTED_VALUE"""),480)</f>
        <v>480</v>
      </c>
      <c r="AF63" s="1">
        <f ca="1">IFERROR(__xludf.DUMMYFUNCTION("""COMPUTED_VALUE"""),564)</f>
        <v>564</v>
      </c>
    </row>
    <row r="64" spans="1:32" ht="12.5" x14ac:dyDescent="0.25">
      <c r="A64" s="1" t="str">
        <f ca="1">IFERROR(__xludf.DUMMYFUNCTION("""COMPUTED_VALUE"""),"Cleveland State")</f>
        <v>Cleveland State</v>
      </c>
      <c r="B64" s="1">
        <f ca="1">IFERROR(__xludf.DUMMYFUNCTION("""COMPUTED_VALUE"""),33)</f>
        <v>33</v>
      </c>
      <c r="C64" s="1">
        <f ca="1">IFERROR(__xludf.DUMMYFUNCTION("""COMPUTED_VALUE"""),16)</f>
        <v>16</v>
      </c>
      <c r="D64" s="1">
        <f ca="1">IFERROR(__xludf.DUMMYFUNCTION("""COMPUTED_VALUE"""),17)</f>
        <v>17</v>
      </c>
      <c r="E64" s="1">
        <f ca="1">IFERROR(__xludf.DUMMYFUNCTION("""COMPUTED_VALUE"""),0.485)</f>
        <v>0.48499999999999999</v>
      </c>
      <c r="F64" s="1">
        <f ca="1">IFERROR(__xludf.DUMMYFUNCTION("""COMPUTED_VALUE"""),0.57)</f>
        <v>0.56999999999999995</v>
      </c>
      <c r="G64" s="1">
        <f ca="1">IFERROR(__xludf.DUMMYFUNCTION("""COMPUTED_VALUE"""),2.12)</f>
        <v>2.12</v>
      </c>
      <c r="H64" s="1">
        <f ca="1">IFERROR(__xludf.DUMMYFUNCTION("""COMPUTED_VALUE"""),10)</f>
        <v>10</v>
      </c>
      <c r="I64" s="1">
        <f ca="1">IFERROR(__xludf.DUMMYFUNCTION("""COMPUTED_VALUE"""),8)</f>
        <v>8</v>
      </c>
      <c r="J64" s="1">
        <f ca="1">IFERROR(__xludf.DUMMYFUNCTION("""COMPUTED_VALUE"""),13)</f>
        <v>13</v>
      </c>
      <c r="K64" s="1">
        <f ca="1">IFERROR(__xludf.DUMMYFUNCTION("""COMPUTED_VALUE"""),5)</f>
        <v>5</v>
      </c>
      <c r="L64" s="1">
        <f ca="1">IFERROR(__xludf.DUMMYFUNCTION("""COMPUTED_VALUE"""),3)</f>
        <v>3</v>
      </c>
      <c r="M64" s="1">
        <f ca="1">IFERROR(__xludf.DUMMYFUNCTION("""COMPUTED_VALUE"""),9)</f>
        <v>9</v>
      </c>
      <c r="N64" s="1">
        <f ca="1">IFERROR(__xludf.DUMMYFUNCTION("""COMPUTED_VALUE"""),2283)</f>
        <v>2283</v>
      </c>
      <c r="O64" s="1">
        <f ca="1">IFERROR(__xludf.DUMMYFUNCTION("""COMPUTED_VALUE"""),2254)</f>
        <v>2254</v>
      </c>
      <c r="P64" s="1">
        <f ca="1">IFERROR(__xludf.DUMMYFUNCTION("""COMPUTED_VALUE"""),1320)</f>
        <v>1320</v>
      </c>
      <c r="Q64" s="1">
        <f ca="1">IFERROR(__xludf.DUMMYFUNCTION("""COMPUTED_VALUE"""),796)</f>
        <v>796</v>
      </c>
      <c r="R64" s="1">
        <f ca="1">IFERROR(__xludf.DUMMYFUNCTION("""COMPUTED_VALUE"""),1802)</f>
        <v>1802</v>
      </c>
      <c r="S64" s="1">
        <f ca="1">IFERROR(__xludf.DUMMYFUNCTION("""COMPUTED_VALUE"""),0.442)</f>
        <v>0.442</v>
      </c>
      <c r="T64" s="1">
        <f ca="1">IFERROR(__xludf.DUMMYFUNCTION("""COMPUTED_VALUE"""),214)</f>
        <v>214</v>
      </c>
      <c r="U64" s="1">
        <f ca="1">IFERROR(__xludf.DUMMYFUNCTION("""COMPUTED_VALUE"""),614)</f>
        <v>614</v>
      </c>
      <c r="V64" s="1">
        <f ca="1">IFERROR(__xludf.DUMMYFUNCTION("""COMPUTED_VALUE"""),0.349)</f>
        <v>0.34899999999999998</v>
      </c>
      <c r="W64" s="1">
        <f ca="1">IFERROR(__xludf.DUMMYFUNCTION("""COMPUTED_VALUE"""),477)</f>
        <v>477</v>
      </c>
      <c r="X64" s="1">
        <f ca="1">IFERROR(__xludf.DUMMYFUNCTION("""COMPUTED_VALUE"""),637)</f>
        <v>637</v>
      </c>
      <c r="Y64" s="1">
        <f ca="1">IFERROR(__xludf.DUMMYFUNCTION("""COMPUTED_VALUE"""),0.749)</f>
        <v>0.749</v>
      </c>
      <c r="Z64" s="1">
        <f ca="1">IFERROR(__xludf.DUMMYFUNCTION("""COMPUTED_VALUE"""),320)</f>
        <v>320</v>
      </c>
      <c r="AA64" s="1">
        <f ca="1">IFERROR(__xludf.DUMMYFUNCTION("""COMPUTED_VALUE"""),975)</f>
        <v>975</v>
      </c>
      <c r="AB64" s="1">
        <f ca="1">IFERROR(__xludf.DUMMYFUNCTION("""COMPUTED_VALUE"""),431)</f>
        <v>431</v>
      </c>
      <c r="AC64" s="1">
        <f ca="1">IFERROR(__xludf.DUMMYFUNCTION("""COMPUTED_VALUE"""),293)</f>
        <v>293</v>
      </c>
      <c r="AD64" s="1">
        <f ca="1">IFERROR(__xludf.DUMMYFUNCTION("""COMPUTED_VALUE"""),61)</f>
        <v>61</v>
      </c>
      <c r="AE64" s="1">
        <f ca="1">IFERROR(__xludf.DUMMYFUNCTION("""COMPUTED_VALUE"""),405)</f>
        <v>405</v>
      </c>
      <c r="AF64" s="1">
        <f ca="1">IFERROR(__xludf.DUMMYFUNCTION("""COMPUTED_VALUE"""),711)</f>
        <v>711</v>
      </c>
    </row>
    <row r="65" spans="1:32" ht="12.5" x14ac:dyDescent="0.25">
      <c r="A65" s="1" t="str">
        <f ca="1">IFERROR(__xludf.DUMMYFUNCTION("""COMPUTED_VALUE"""),"Coastal Carolina")</f>
        <v>Coastal Carolina</v>
      </c>
      <c r="B65" s="1">
        <f ca="1">IFERROR(__xludf.DUMMYFUNCTION("""COMPUTED_VALUE"""),35)</f>
        <v>35</v>
      </c>
      <c r="C65" s="1">
        <f ca="1">IFERROR(__xludf.DUMMYFUNCTION("""COMPUTED_VALUE"""),28)</f>
        <v>28</v>
      </c>
      <c r="D65" s="1">
        <f ca="1">IFERROR(__xludf.DUMMYFUNCTION("""COMPUTED_VALUE"""),7)</f>
        <v>7</v>
      </c>
      <c r="E65" s="1">
        <f ca="1">IFERROR(__xludf.DUMMYFUNCTION("""COMPUTED_VALUE"""),0.8)</f>
        <v>0.8</v>
      </c>
      <c r="F65" s="1">
        <f ca="1">IFERROR(__xludf.DUMMYFUNCTION("""COMPUTED_VALUE"""),-0.78)</f>
        <v>-0.78</v>
      </c>
      <c r="G65" s="1">
        <f ca="1">IFERROR(__xludf.DUMMYFUNCTION("""COMPUTED_VALUE"""),-10.14)</f>
        <v>-10.14</v>
      </c>
      <c r="H65" s="1">
        <f ca="1">IFERROR(__xludf.DUMMYFUNCTION("""COMPUTED_VALUE"""),15)</f>
        <v>15</v>
      </c>
      <c r="I65" s="1">
        <f ca="1">IFERROR(__xludf.DUMMYFUNCTION("""COMPUTED_VALUE"""),3)</f>
        <v>3</v>
      </c>
      <c r="J65" s="1">
        <f ca="1">IFERROR(__xludf.DUMMYFUNCTION("""COMPUTED_VALUE"""),17)</f>
        <v>17</v>
      </c>
      <c r="K65" s="1">
        <f ca="1">IFERROR(__xludf.DUMMYFUNCTION("""COMPUTED_VALUE"""),2)</f>
        <v>2</v>
      </c>
      <c r="L65" s="1">
        <f ca="1">IFERROR(__xludf.DUMMYFUNCTION("""COMPUTED_VALUE"""),9)</f>
        <v>9</v>
      </c>
      <c r="M65" s="1">
        <f ca="1">IFERROR(__xludf.DUMMYFUNCTION("""COMPUTED_VALUE"""),4)</f>
        <v>4</v>
      </c>
      <c r="N65" s="1">
        <f ca="1">IFERROR(__xludf.DUMMYFUNCTION("""COMPUTED_VALUE"""),2584)</f>
        <v>2584</v>
      </c>
      <c r="O65" s="1">
        <f ca="1">IFERROR(__xludf.DUMMYFUNCTION("""COMPUTED_VALUE"""),2103)</f>
        <v>2103</v>
      </c>
      <c r="P65" s="1">
        <f ca="1">IFERROR(__xludf.DUMMYFUNCTION("""COMPUTED_VALUE"""),1400)</f>
        <v>1400</v>
      </c>
      <c r="Q65" s="1">
        <f ca="1">IFERROR(__xludf.DUMMYFUNCTION("""COMPUTED_VALUE"""),966)</f>
        <v>966</v>
      </c>
      <c r="R65" s="1">
        <f ca="1">IFERROR(__xludf.DUMMYFUNCTION("""COMPUTED_VALUE"""),2022)</f>
        <v>2022</v>
      </c>
      <c r="S65" s="1">
        <f ca="1">IFERROR(__xludf.DUMMYFUNCTION("""COMPUTED_VALUE"""),0.478)</f>
        <v>0.47799999999999998</v>
      </c>
      <c r="T65" s="1">
        <f ca="1">IFERROR(__xludf.DUMMYFUNCTION("""COMPUTED_VALUE"""),184)</f>
        <v>184</v>
      </c>
      <c r="U65" s="1">
        <f ca="1">IFERROR(__xludf.DUMMYFUNCTION("""COMPUTED_VALUE"""),512)</f>
        <v>512</v>
      </c>
      <c r="V65" s="1">
        <f ca="1">IFERROR(__xludf.DUMMYFUNCTION("""COMPUTED_VALUE"""),0.359)</f>
        <v>0.35899999999999999</v>
      </c>
      <c r="W65" s="1">
        <f ca="1">IFERROR(__xludf.DUMMYFUNCTION("""COMPUTED_VALUE"""),468)</f>
        <v>468</v>
      </c>
      <c r="X65" s="1">
        <f ca="1">IFERROR(__xludf.DUMMYFUNCTION("""COMPUTED_VALUE"""),740)</f>
        <v>740</v>
      </c>
      <c r="Y65" s="1">
        <f ca="1">IFERROR(__xludf.DUMMYFUNCTION("""COMPUTED_VALUE"""),0.632)</f>
        <v>0.63200000000000001</v>
      </c>
      <c r="Z65" s="1">
        <f ca="1">IFERROR(__xludf.DUMMYFUNCTION("""COMPUTED_VALUE"""),465)</f>
        <v>465</v>
      </c>
      <c r="AA65" s="1">
        <f ca="1">IFERROR(__xludf.DUMMYFUNCTION("""COMPUTED_VALUE"""),1375)</f>
        <v>1375</v>
      </c>
      <c r="AB65" s="1">
        <f ca="1">IFERROR(__xludf.DUMMYFUNCTION("""COMPUTED_VALUE"""),541)</f>
        <v>541</v>
      </c>
      <c r="AC65" s="1">
        <f ca="1">IFERROR(__xludf.DUMMYFUNCTION("""COMPUTED_VALUE"""),265)</f>
        <v>265</v>
      </c>
      <c r="AD65" s="1">
        <f ca="1">IFERROR(__xludf.DUMMYFUNCTION("""COMPUTED_VALUE"""),156)</f>
        <v>156</v>
      </c>
      <c r="AE65" s="1">
        <f ca="1">IFERROR(__xludf.DUMMYFUNCTION("""COMPUTED_VALUE"""),452)</f>
        <v>452</v>
      </c>
      <c r="AF65" s="1">
        <f ca="1">IFERROR(__xludf.DUMMYFUNCTION("""COMPUTED_VALUE"""),566)</f>
        <v>566</v>
      </c>
    </row>
    <row r="66" spans="1:32" ht="12.5" x14ac:dyDescent="0.25">
      <c r="A66" s="1" t="str">
        <f ca="1">IFERROR(__xludf.DUMMYFUNCTION("""COMPUTED_VALUE"""),"Overall")</f>
        <v>Overall</v>
      </c>
      <c r="B66" s="1" t="str">
        <f ca="1">IFERROR(__xludf.DUMMYFUNCTION("""COMPUTED_VALUE"""),"Conf.")</f>
        <v>Conf.</v>
      </c>
      <c r="C66" s="1" t="str">
        <f ca="1">IFERROR(__xludf.DUMMYFUNCTION("""COMPUTED_VALUE"""),"Home")</f>
        <v>Home</v>
      </c>
      <c r="D66" s="1" t="str">
        <f ca="1">IFERROR(__xludf.DUMMYFUNCTION("""COMPUTED_VALUE"""),"Away")</f>
        <v>Away</v>
      </c>
      <c r="E66" s="1" t="str">
        <f ca="1">IFERROR(__xludf.DUMMYFUNCTION("""COMPUTED_VALUE"""),"Points")</f>
        <v>Points</v>
      </c>
      <c r="F66" s="1" t="str">
        <f ca="1">IFERROR(__xludf.DUMMYFUNCTION("""COMPUTED_VALUE"""),"")</f>
        <v/>
      </c>
      <c r="G66" s="1" t="str">
        <f ca="1">IFERROR(__xludf.DUMMYFUNCTION("""COMPUTED_VALUE"""),"School Totals")</f>
        <v>School Totals</v>
      </c>
      <c r="H66" s="1" t="str">
        <f ca="1">IFERROR(__xludf.DUMMYFUNCTION("""COMPUTED_VALUE"""),"")</f>
        <v/>
      </c>
      <c r="I66" s="1" t="str">
        <f ca="1">IFERROR(__xludf.DUMMYFUNCTION("""COMPUTED_VALUE"""),"")</f>
        <v/>
      </c>
      <c r="J66" s="1" t="str">
        <f ca="1">IFERROR(__xludf.DUMMYFUNCTION("""COMPUTED_VALUE"""),"")</f>
        <v/>
      </c>
      <c r="K66" s="1" t="str">
        <f ca="1">IFERROR(__xludf.DUMMYFUNCTION("""COMPUTED_VALUE"""),"")</f>
        <v/>
      </c>
      <c r="L66" s="1" t="str">
        <f ca="1">IFERROR(__xludf.DUMMYFUNCTION("""COMPUTED_VALUE"""),"")</f>
        <v/>
      </c>
      <c r="M66" s="1" t="str">
        <f ca="1">IFERROR(__xludf.DUMMYFUNCTION("""COMPUTED_VALUE"""),"")</f>
        <v/>
      </c>
      <c r="N66" s="1" t="str">
        <f ca="1">IFERROR(__xludf.DUMMYFUNCTION("""COMPUTED_VALUE"""),"")</f>
        <v/>
      </c>
      <c r="O66" s="1" t="str">
        <f ca="1">IFERROR(__xludf.DUMMYFUNCTION("""COMPUTED_VALUE"""),"")</f>
        <v/>
      </c>
      <c r="P66" s="1" t="str">
        <f ca="1">IFERROR(__xludf.DUMMYFUNCTION("""COMPUTED_VALUE"""),"")</f>
        <v/>
      </c>
      <c r="Q66" s="1" t="str">
        <f ca="1">IFERROR(__xludf.DUMMYFUNCTION("""COMPUTED_VALUE"""),"")</f>
        <v/>
      </c>
      <c r="R66" s="1" t="str">
        <f ca="1">IFERROR(__xludf.DUMMYFUNCTION("""COMPUTED_VALUE"""),"")</f>
        <v/>
      </c>
      <c r="S66" s="1" t="str">
        <f ca="1">IFERROR(__xludf.DUMMYFUNCTION("""COMPUTED_VALUE"""),"")</f>
        <v/>
      </c>
      <c r="T66" s="1" t="str">
        <f ca="1">IFERROR(__xludf.DUMMYFUNCTION("""COMPUTED_VALUE"""),"")</f>
        <v/>
      </c>
      <c r="U66" s="1" t="str">
        <f ca="1">IFERROR(__xludf.DUMMYFUNCTION("""COMPUTED_VALUE"""),"")</f>
        <v/>
      </c>
      <c r="V66" s="1" t="str">
        <f ca="1">IFERROR(__xludf.DUMMYFUNCTION("""COMPUTED_VALUE"""),"")</f>
        <v/>
      </c>
      <c r="W66" s="1" t="str">
        <f ca="1">IFERROR(__xludf.DUMMYFUNCTION("""COMPUTED_VALUE"""),"")</f>
        <v/>
      </c>
      <c r="X66" s="1" t="str">
        <f ca="1">IFERROR(__xludf.DUMMYFUNCTION("""COMPUTED_VALUE"""),"")</f>
        <v/>
      </c>
      <c r="Y66" s="1" t="str">
        <f ca="1">IFERROR(__xludf.DUMMYFUNCTION("""COMPUTED_VALUE"""),"")</f>
        <v/>
      </c>
      <c r="Z66" s="1" t="str">
        <f ca="1">IFERROR(__xludf.DUMMYFUNCTION("""COMPUTED_VALUE"""),"")</f>
        <v/>
      </c>
      <c r="AA66" s="1" t="str">
        <f ca="1">IFERROR(__xludf.DUMMYFUNCTION("""COMPUTED_VALUE"""),"")</f>
        <v/>
      </c>
      <c r="AB66" s="1" t="str">
        <f ca="1">IFERROR(__xludf.DUMMYFUNCTION("""COMPUTED_VALUE"""),"")</f>
        <v/>
      </c>
      <c r="AC66" s="1" t="str">
        <f ca="1">IFERROR(__xludf.DUMMYFUNCTION("""COMPUTED_VALUE"""),"")</f>
        <v/>
      </c>
      <c r="AD66" s="1" t="str">
        <f ca="1">IFERROR(__xludf.DUMMYFUNCTION("""COMPUTED_VALUE"""),"")</f>
        <v/>
      </c>
      <c r="AE66" s="1" t="str">
        <f ca="1">IFERROR(__xludf.DUMMYFUNCTION("""COMPUTED_VALUE"""),"")</f>
        <v/>
      </c>
      <c r="AF66" s="1" t="str">
        <f ca="1">IFERROR(__xludf.DUMMYFUNCTION("""COMPUTED_VALUE"""),"")</f>
        <v/>
      </c>
    </row>
    <row r="67" spans="1:32" ht="12.5" x14ac:dyDescent="0.25">
      <c r="A67" s="1" t="str">
        <f ca="1">IFERROR(__xludf.DUMMYFUNCTION("""COMPUTED_VALUE"""),"School")</f>
        <v>School</v>
      </c>
      <c r="B67" s="1" t="str">
        <f ca="1">IFERROR(__xludf.DUMMYFUNCTION("""COMPUTED_VALUE"""),"G")</f>
        <v>G</v>
      </c>
      <c r="C67" s="1" t="str">
        <f ca="1">IFERROR(__xludf.DUMMYFUNCTION("""COMPUTED_VALUE"""),"W")</f>
        <v>W</v>
      </c>
      <c r="D67" s="1" t="str">
        <f ca="1">IFERROR(__xludf.DUMMYFUNCTION("""COMPUTED_VALUE"""),"L")</f>
        <v>L</v>
      </c>
      <c r="E67" s="1" t="str">
        <f ca="1">IFERROR(__xludf.DUMMYFUNCTION("""COMPUTED_VALUE"""),"W-L%")</f>
        <v>W-L%</v>
      </c>
      <c r="F67" s="1" t="str">
        <f ca="1">IFERROR(__xludf.DUMMYFUNCTION("""COMPUTED_VALUE"""),"SRS")</f>
        <v>SRS</v>
      </c>
      <c r="G67" s="1" t="str">
        <f ca="1">IFERROR(__xludf.DUMMYFUNCTION("""COMPUTED_VALUE"""),"SOS")</f>
        <v>SOS</v>
      </c>
      <c r="H67" s="1" t="str">
        <f ca="1">IFERROR(__xludf.DUMMYFUNCTION("""COMPUTED_VALUE"""),"W")</f>
        <v>W</v>
      </c>
      <c r="I67" s="1" t="str">
        <f ca="1">IFERROR(__xludf.DUMMYFUNCTION("""COMPUTED_VALUE"""),"L")</f>
        <v>L</v>
      </c>
      <c r="J67" s="1" t="str">
        <f ca="1">IFERROR(__xludf.DUMMYFUNCTION("""COMPUTED_VALUE"""),"W")</f>
        <v>W</v>
      </c>
      <c r="K67" s="1" t="str">
        <f ca="1">IFERROR(__xludf.DUMMYFUNCTION("""COMPUTED_VALUE"""),"L")</f>
        <v>L</v>
      </c>
      <c r="L67" s="1" t="str">
        <f ca="1">IFERROR(__xludf.DUMMYFUNCTION("""COMPUTED_VALUE"""),"W")</f>
        <v>W</v>
      </c>
      <c r="M67" s="1" t="str">
        <f ca="1">IFERROR(__xludf.DUMMYFUNCTION("""COMPUTED_VALUE"""),"L")</f>
        <v>L</v>
      </c>
      <c r="N67" s="1" t="str">
        <f ca="1">IFERROR(__xludf.DUMMYFUNCTION("""COMPUTED_VALUE"""),"Tm.")</f>
        <v>Tm.</v>
      </c>
      <c r="O67" s="1" t="str">
        <f ca="1">IFERROR(__xludf.DUMMYFUNCTION("""COMPUTED_VALUE"""),"Opp.")</f>
        <v>Opp.</v>
      </c>
      <c r="P67" s="1" t="str">
        <f ca="1">IFERROR(__xludf.DUMMYFUNCTION("""COMPUTED_VALUE"""),"MP")</f>
        <v>MP</v>
      </c>
      <c r="Q67" s="1" t="str">
        <f ca="1">IFERROR(__xludf.DUMMYFUNCTION("""COMPUTED_VALUE"""),"FG")</f>
        <v>FG</v>
      </c>
      <c r="R67" s="1" t="str">
        <f ca="1">IFERROR(__xludf.DUMMYFUNCTION("""COMPUTED_VALUE"""),"FGA")</f>
        <v>FGA</v>
      </c>
      <c r="S67" s="1" t="str">
        <f ca="1">IFERROR(__xludf.DUMMYFUNCTION("""COMPUTED_VALUE"""),"FG%")</f>
        <v>FG%</v>
      </c>
      <c r="T67" s="1" t="str">
        <f ca="1">IFERROR(__xludf.DUMMYFUNCTION("""COMPUTED_VALUE"""),"3P")</f>
        <v>3P</v>
      </c>
      <c r="U67" s="1" t="str">
        <f ca="1">IFERROR(__xludf.DUMMYFUNCTION("""COMPUTED_VALUE"""),"3PA")</f>
        <v>3PA</v>
      </c>
      <c r="V67" s="1" t="str">
        <f ca="1">IFERROR(__xludf.DUMMYFUNCTION("""COMPUTED_VALUE"""),"3P%")</f>
        <v>3P%</v>
      </c>
      <c r="W67" s="1" t="str">
        <f ca="1">IFERROR(__xludf.DUMMYFUNCTION("""COMPUTED_VALUE"""),"FT")</f>
        <v>FT</v>
      </c>
      <c r="X67" s="1" t="str">
        <f ca="1">IFERROR(__xludf.DUMMYFUNCTION("""COMPUTED_VALUE"""),"FTA")</f>
        <v>FTA</v>
      </c>
      <c r="Y67" s="1" t="str">
        <f ca="1">IFERROR(__xludf.DUMMYFUNCTION("""COMPUTED_VALUE"""),"FT%")</f>
        <v>FT%</v>
      </c>
      <c r="Z67" s="1" t="str">
        <f ca="1">IFERROR(__xludf.DUMMYFUNCTION("""COMPUTED_VALUE"""),"ORB")</f>
        <v>ORB</v>
      </c>
      <c r="AA67" s="1" t="str">
        <f ca="1">IFERROR(__xludf.DUMMYFUNCTION("""COMPUTED_VALUE"""),"TRB")</f>
        <v>TRB</v>
      </c>
      <c r="AB67" s="1" t="str">
        <f ca="1">IFERROR(__xludf.DUMMYFUNCTION("""COMPUTED_VALUE"""),"AST")</f>
        <v>AST</v>
      </c>
      <c r="AC67" s="1" t="str">
        <f ca="1">IFERROR(__xludf.DUMMYFUNCTION("""COMPUTED_VALUE"""),"STL")</f>
        <v>STL</v>
      </c>
      <c r="AD67" s="1" t="str">
        <f ca="1">IFERROR(__xludf.DUMMYFUNCTION("""COMPUTED_VALUE"""),"BLK")</f>
        <v>BLK</v>
      </c>
      <c r="AE67" s="1" t="str">
        <f ca="1">IFERROR(__xludf.DUMMYFUNCTION("""COMPUTED_VALUE"""),"TOV")</f>
        <v>TOV</v>
      </c>
      <c r="AF67" s="1" t="str">
        <f ca="1">IFERROR(__xludf.DUMMYFUNCTION("""COMPUTED_VALUE"""),"PF")</f>
        <v>PF</v>
      </c>
    </row>
    <row r="68" spans="1:32" ht="12.5" x14ac:dyDescent="0.25">
      <c r="A68" s="1" t="str">
        <f ca="1">IFERROR(__xludf.DUMMYFUNCTION("""COMPUTED_VALUE"""),"Colgate")</f>
        <v>Colgate</v>
      </c>
      <c r="B68" s="1">
        <f ca="1">IFERROR(__xludf.DUMMYFUNCTION("""COMPUTED_VALUE"""),29)</f>
        <v>29</v>
      </c>
      <c r="C68" s="1">
        <f ca="1">IFERROR(__xludf.DUMMYFUNCTION("""COMPUTED_VALUE"""),10)</f>
        <v>10</v>
      </c>
      <c r="D68" s="1">
        <f ca="1">IFERROR(__xludf.DUMMYFUNCTION("""COMPUTED_VALUE"""),19)</f>
        <v>19</v>
      </c>
      <c r="E68" s="1">
        <f ca="1">IFERROR(__xludf.DUMMYFUNCTION("""COMPUTED_VALUE"""),0.345)</f>
        <v>0.34499999999999997</v>
      </c>
      <c r="F68" s="1">
        <f ca="1">IFERROR(__xludf.DUMMYFUNCTION("""COMPUTED_VALUE"""),-11.34)</f>
        <v>-11.34</v>
      </c>
      <c r="G68" s="1">
        <f ca="1">IFERROR(__xludf.DUMMYFUNCTION("""COMPUTED_VALUE"""),-6.52)</f>
        <v>-6.52</v>
      </c>
      <c r="H68" s="1">
        <f ca="1">IFERROR(__xludf.DUMMYFUNCTION("""COMPUTED_VALUE"""),6)</f>
        <v>6</v>
      </c>
      <c r="I68" s="1">
        <f ca="1">IFERROR(__xludf.DUMMYFUNCTION("""COMPUTED_VALUE"""),8)</f>
        <v>8</v>
      </c>
      <c r="J68" s="1">
        <f ca="1">IFERROR(__xludf.DUMMYFUNCTION("""COMPUTED_VALUE"""),7)</f>
        <v>7</v>
      </c>
      <c r="K68" s="1">
        <f ca="1">IFERROR(__xludf.DUMMYFUNCTION("""COMPUTED_VALUE"""),6)</f>
        <v>6</v>
      </c>
      <c r="L68" s="1">
        <f ca="1">IFERROR(__xludf.DUMMYFUNCTION("""COMPUTED_VALUE"""),3)</f>
        <v>3</v>
      </c>
      <c r="M68" s="1">
        <f ca="1">IFERROR(__xludf.DUMMYFUNCTION("""COMPUTED_VALUE"""),11)</f>
        <v>11</v>
      </c>
      <c r="N68" s="1">
        <f ca="1">IFERROR(__xludf.DUMMYFUNCTION("""COMPUTED_VALUE"""),1955)</f>
        <v>1955</v>
      </c>
      <c r="O68" s="1">
        <f ca="1">IFERROR(__xludf.DUMMYFUNCTION("""COMPUTED_VALUE"""),2069)</f>
        <v>2069</v>
      </c>
      <c r="P68" s="1">
        <f ca="1">IFERROR(__xludf.DUMMYFUNCTION("""COMPUTED_VALUE"""),1180)</f>
        <v>1180</v>
      </c>
      <c r="Q68" s="1">
        <f ca="1">IFERROR(__xludf.DUMMYFUNCTION("""COMPUTED_VALUE"""),693)</f>
        <v>693</v>
      </c>
      <c r="R68" s="1">
        <f ca="1">IFERROR(__xludf.DUMMYFUNCTION("""COMPUTED_VALUE"""),1596)</f>
        <v>1596</v>
      </c>
      <c r="S68" s="1">
        <f ca="1">IFERROR(__xludf.DUMMYFUNCTION("""COMPUTED_VALUE"""),0.434)</f>
        <v>0.434</v>
      </c>
      <c r="T68" s="1">
        <f ca="1">IFERROR(__xludf.DUMMYFUNCTION("""COMPUTED_VALUE"""),192)</f>
        <v>192</v>
      </c>
      <c r="U68" s="1">
        <f ca="1">IFERROR(__xludf.DUMMYFUNCTION("""COMPUTED_VALUE"""),519)</f>
        <v>519</v>
      </c>
      <c r="V68" s="1">
        <f ca="1">IFERROR(__xludf.DUMMYFUNCTION("""COMPUTED_VALUE"""),0.37)</f>
        <v>0.37</v>
      </c>
      <c r="W68" s="1">
        <f ca="1">IFERROR(__xludf.DUMMYFUNCTION("""COMPUTED_VALUE"""),377)</f>
        <v>377</v>
      </c>
      <c r="X68" s="1">
        <f ca="1">IFERROR(__xludf.DUMMYFUNCTION("""COMPUTED_VALUE"""),550)</f>
        <v>550</v>
      </c>
      <c r="Y68" s="1">
        <f ca="1">IFERROR(__xludf.DUMMYFUNCTION("""COMPUTED_VALUE"""),0.685)</f>
        <v>0.68500000000000005</v>
      </c>
      <c r="Z68" s="1">
        <f ca="1">IFERROR(__xludf.DUMMYFUNCTION("""COMPUTED_VALUE"""),320)</f>
        <v>320</v>
      </c>
      <c r="AA68" s="1">
        <f ca="1">IFERROR(__xludf.DUMMYFUNCTION("""COMPUTED_VALUE"""),996)</f>
        <v>996</v>
      </c>
      <c r="AB68" s="1">
        <f ca="1">IFERROR(__xludf.DUMMYFUNCTION("""COMPUTED_VALUE"""),384)</f>
        <v>384</v>
      </c>
      <c r="AC68" s="1">
        <f ca="1">IFERROR(__xludf.DUMMYFUNCTION("""COMPUTED_VALUE"""),181)</f>
        <v>181</v>
      </c>
      <c r="AD68" s="1">
        <f ca="1">IFERROR(__xludf.DUMMYFUNCTION("""COMPUTED_VALUE"""),59)</f>
        <v>59</v>
      </c>
      <c r="AE68" s="1">
        <f ca="1">IFERROR(__xludf.DUMMYFUNCTION("""COMPUTED_VALUE"""),434)</f>
        <v>434</v>
      </c>
      <c r="AF68" s="1">
        <f ca="1">IFERROR(__xludf.DUMMYFUNCTION("""COMPUTED_VALUE"""),540)</f>
        <v>540</v>
      </c>
    </row>
    <row r="69" spans="1:32" ht="12.5" x14ac:dyDescent="0.25">
      <c r="A69" s="1" t="str">
        <f ca="1">IFERROR(__xludf.DUMMYFUNCTION("""COMPUTED_VALUE"""),"College of Charleston")</f>
        <v>College of Charleston</v>
      </c>
      <c r="B69" s="1">
        <f ca="1">IFERROR(__xludf.DUMMYFUNCTION("""COMPUTED_VALUE"""),34)</f>
        <v>34</v>
      </c>
      <c r="C69" s="1">
        <f ca="1">IFERROR(__xludf.DUMMYFUNCTION("""COMPUTED_VALUE"""),22)</f>
        <v>22</v>
      </c>
      <c r="D69" s="1">
        <f ca="1">IFERROR(__xludf.DUMMYFUNCTION("""COMPUTED_VALUE"""),12)</f>
        <v>12</v>
      </c>
      <c r="E69" s="1">
        <f ca="1">IFERROR(__xludf.DUMMYFUNCTION("""COMPUTED_VALUE"""),0.647)</f>
        <v>0.64700000000000002</v>
      </c>
      <c r="F69" s="1">
        <f ca="1">IFERROR(__xludf.DUMMYFUNCTION("""COMPUTED_VALUE"""),-0.81)</f>
        <v>-0.81</v>
      </c>
      <c r="G69" s="1">
        <f ca="1">IFERROR(__xludf.DUMMYFUNCTION("""COMPUTED_VALUE"""),-2.46)</f>
        <v>-2.46</v>
      </c>
      <c r="H69" s="1">
        <f ca="1">IFERROR(__xludf.DUMMYFUNCTION("""COMPUTED_VALUE"""),14)</f>
        <v>14</v>
      </c>
      <c r="I69" s="1">
        <f ca="1">IFERROR(__xludf.DUMMYFUNCTION("""COMPUTED_VALUE"""),4)</f>
        <v>4</v>
      </c>
      <c r="J69" s="1">
        <f ca="1">IFERROR(__xludf.DUMMYFUNCTION("""COMPUTED_VALUE"""),12)</f>
        <v>12</v>
      </c>
      <c r="K69" s="1">
        <f ca="1">IFERROR(__xludf.DUMMYFUNCTION("""COMPUTED_VALUE"""),1)</f>
        <v>1</v>
      </c>
      <c r="L69" s="1">
        <f ca="1">IFERROR(__xludf.DUMMYFUNCTION("""COMPUTED_VALUE"""),8)</f>
        <v>8</v>
      </c>
      <c r="M69" s="1">
        <f ca="1">IFERROR(__xludf.DUMMYFUNCTION("""COMPUTED_VALUE"""),9)</f>
        <v>9</v>
      </c>
      <c r="N69" s="1">
        <f ca="1">IFERROR(__xludf.DUMMYFUNCTION("""COMPUTED_VALUE"""),2549)</f>
        <v>2549</v>
      </c>
      <c r="O69" s="1">
        <f ca="1">IFERROR(__xludf.DUMMYFUNCTION("""COMPUTED_VALUE"""),2493)</f>
        <v>2493</v>
      </c>
      <c r="P69" s="1">
        <f ca="1">IFERROR(__xludf.DUMMYFUNCTION("""COMPUTED_VALUE"""),1365)</f>
        <v>1365</v>
      </c>
      <c r="Q69" s="1">
        <f ca="1">IFERROR(__xludf.DUMMYFUNCTION("""COMPUTED_VALUE"""),950)</f>
        <v>950</v>
      </c>
      <c r="R69" s="1">
        <f ca="1">IFERROR(__xludf.DUMMYFUNCTION("""COMPUTED_VALUE"""),2073)</f>
        <v>2073</v>
      </c>
      <c r="S69" s="1">
        <f ca="1">IFERROR(__xludf.DUMMYFUNCTION("""COMPUTED_VALUE"""),0.458)</f>
        <v>0.45800000000000002</v>
      </c>
      <c r="T69" s="1">
        <f ca="1">IFERROR(__xludf.DUMMYFUNCTION("""COMPUTED_VALUE"""),326)</f>
        <v>326</v>
      </c>
      <c r="U69" s="1">
        <f ca="1">IFERROR(__xludf.DUMMYFUNCTION("""COMPUTED_VALUE"""),879)</f>
        <v>879</v>
      </c>
      <c r="V69" s="1">
        <f ca="1">IFERROR(__xludf.DUMMYFUNCTION("""COMPUTED_VALUE"""),0.371)</f>
        <v>0.371</v>
      </c>
      <c r="W69" s="1">
        <f ca="1">IFERROR(__xludf.DUMMYFUNCTION("""COMPUTED_VALUE"""),323)</f>
        <v>323</v>
      </c>
      <c r="X69" s="1">
        <f ca="1">IFERROR(__xludf.DUMMYFUNCTION("""COMPUTED_VALUE"""),435)</f>
        <v>435</v>
      </c>
      <c r="Y69" s="1">
        <f ca="1">IFERROR(__xludf.DUMMYFUNCTION("""COMPUTED_VALUE"""),0.743)</f>
        <v>0.74299999999999999</v>
      </c>
      <c r="Z69" s="1">
        <f ca="1">IFERROR(__xludf.DUMMYFUNCTION("""COMPUTED_VALUE"""),301)</f>
        <v>301</v>
      </c>
      <c r="AA69" s="1">
        <f ca="1">IFERROR(__xludf.DUMMYFUNCTION("""COMPUTED_VALUE"""),1078)</f>
        <v>1078</v>
      </c>
      <c r="AB69" s="1">
        <f ca="1">IFERROR(__xludf.DUMMYFUNCTION("""COMPUTED_VALUE"""),445)</f>
        <v>445</v>
      </c>
      <c r="AC69" s="1">
        <f ca="1">IFERROR(__xludf.DUMMYFUNCTION("""COMPUTED_VALUE"""),199)</f>
        <v>199</v>
      </c>
      <c r="AD69" s="1">
        <f ca="1">IFERROR(__xludf.DUMMYFUNCTION("""COMPUTED_VALUE"""),162)</f>
        <v>162</v>
      </c>
      <c r="AE69" s="1">
        <f ca="1">IFERROR(__xludf.DUMMYFUNCTION("""COMPUTED_VALUE"""),382)</f>
        <v>382</v>
      </c>
      <c r="AF69" s="1">
        <f ca="1">IFERROR(__xludf.DUMMYFUNCTION("""COMPUTED_VALUE"""),574)</f>
        <v>574</v>
      </c>
    </row>
    <row r="70" spans="1:32" ht="12.5" x14ac:dyDescent="0.25">
      <c r="A70" s="1" t="str">
        <f ca="1">IFERROR(__xludf.DUMMYFUNCTION("""COMPUTED_VALUE"""),"Colorado State")</f>
        <v>Colorado State</v>
      </c>
      <c r="B70" s="1">
        <f ca="1">IFERROR(__xludf.DUMMYFUNCTION("""COMPUTED_VALUE"""),32)</f>
        <v>32</v>
      </c>
      <c r="C70" s="1">
        <f ca="1">IFERROR(__xludf.DUMMYFUNCTION("""COMPUTED_VALUE"""),16)</f>
        <v>16</v>
      </c>
      <c r="D70" s="1">
        <f ca="1">IFERROR(__xludf.DUMMYFUNCTION("""COMPUTED_VALUE"""),16)</f>
        <v>16</v>
      </c>
      <c r="E70" s="1">
        <f ca="1">IFERROR(__xludf.DUMMYFUNCTION("""COMPUTED_VALUE"""),0.5)</f>
        <v>0.5</v>
      </c>
      <c r="F70" s="1">
        <f ca="1">IFERROR(__xludf.DUMMYFUNCTION("""COMPUTED_VALUE"""),1.35)</f>
        <v>1.35</v>
      </c>
      <c r="G70" s="1">
        <f ca="1">IFERROR(__xludf.DUMMYFUNCTION("""COMPUTED_VALUE"""),3.61)</f>
        <v>3.61</v>
      </c>
      <c r="H70" s="1">
        <f ca="1">IFERROR(__xludf.DUMMYFUNCTION("""COMPUTED_VALUE"""),7)</f>
        <v>7</v>
      </c>
      <c r="I70" s="1">
        <f ca="1">IFERROR(__xludf.DUMMYFUNCTION("""COMPUTED_VALUE"""),9)</f>
        <v>9</v>
      </c>
      <c r="J70" s="1">
        <f ca="1">IFERROR(__xludf.DUMMYFUNCTION("""COMPUTED_VALUE"""),11)</f>
        <v>11</v>
      </c>
      <c r="K70" s="1">
        <f ca="1">IFERROR(__xludf.DUMMYFUNCTION("""COMPUTED_VALUE"""),4)</f>
        <v>4</v>
      </c>
      <c r="L70" s="1">
        <f ca="1">IFERROR(__xludf.DUMMYFUNCTION("""COMPUTED_VALUE"""),3)</f>
        <v>3</v>
      </c>
      <c r="M70" s="1">
        <f ca="1">IFERROR(__xludf.DUMMYFUNCTION("""COMPUTED_VALUE"""),11)</f>
        <v>11</v>
      </c>
      <c r="N70" s="1">
        <f ca="1">IFERROR(__xludf.DUMMYFUNCTION("""COMPUTED_VALUE"""),2120)</f>
        <v>2120</v>
      </c>
      <c r="O70" s="1">
        <f ca="1">IFERROR(__xludf.DUMMYFUNCTION("""COMPUTED_VALUE"""),2134)</f>
        <v>2134</v>
      </c>
      <c r="P70" s="1">
        <f ca="1">IFERROR(__xludf.DUMMYFUNCTION("""COMPUTED_VALUE"""),1290)</f>
        <v>1290</v>
      </c>
      <c r="Q70" s="1">
        <f ca="1">IFERROR(__xludf.DUMMYFUNCTION("""COMPUTED_VALUE"""),704)</f>
        <v>704</v>
      </c>
      <c r="R70" s="1">
        <f ca="1">IFERROR(__xludf.DUMMYFUNCTION("""COMPUTED_VALUE"""),1637)</f>
        <v>1637</v>
      </c>
      <c r="S70" s="1">
        <f ca="1">IFERROR(__xludf.DUMMYFUNCTION("""COMPUTED_VALUE"""),0.43)</f>
        <v>0.43</v>
      </c>
      <c r="T70" s="1">
        <f ca="1">IFERROR(__xludf.DUMMYFUNCTION("""COMPUTED_VALUE"""),177)</f>
        <v>177</v>
      </c>
      <c r="U70" s="1">
        <f ca="1">IFERROR(__xludf.DUMMYFUNCTION("""COMPUTED_VALUE"""),502)</f>
        <v>502</v>
      </c>
      <c r="V70" s="1">
        <f ca="1">IFERROR(__xludf.DUMMYFUNCTION("""COMPUTED_VALUE"""),0.353)</f>
        <v>0.35299999999999998</v>
      </c>
      <c r="W70" s="1">
        <f ca="1">IFERROR(__xludf.DUMMYFUNCTION("""COMPUTED_VALUE"""),535)</f>
        <v>535</v>
      </c>
      <c r="X70" s="1">
        <f ca="1">IFERROR(__xludf.DUMMYFUNCTION("""COMPUTED_VALUE"""),791)</f>
        <v>791</v>
      </c>
      <c r="Y70" s="1">
        <f ca="1">IFERROR(__xludf.DUMMYFUNCTION("""COMPUTED_VALUE"""),0.676)</f>
        <v>0.67600000000000005</v>
      </c>
      <c r="Z70" s="1">
        <f ca="1">IFERROR(__xludf.DUMMYFUNCTION("""COMPUTED_VALUE"""),354)</f>
        <v>354</v>
      </c>
      <c r="AA70" s="1">
        <f ca="1">IFERROR(__xludf.DUMMYFUNCTION("""COMPUTED_VALUE"""),1105)</f>
        <v>1105</v>
      </c>
      <c r="AB70" s="1">
        <f ca="1">IFERROR(__xludf.DUMMYFUNCTION("""COMPUTED_VALUE"""),340)</f>
        <v>340</v>
      </c>
      <c r="AC70" s="1">
        <f ca="1">IFERROR(__xludf.DUMMYFUNCTION("""COMPUTED_VALUE"""),231)</f>
        <v>231</v>
      </c>
      <c r="AD70" s="1">
        <f ca="1">IFERROR(__xludf.DUMMYFUNCTION("""COMPUTED_VALUE"""),78)</f>
        <v>78</v>
      </c>
      <c r="AE70" s="1">
        <f ca="1">IFERROR(__xludf.DUMMYFUNCTION("""COMPUTED_VALUE"""),485)</f>
        <v>485</v>
      </c>
      <c r="AF70" s="1">
        <f ca="1">IFERROR(__xludf.DUMMYFUNCTION("""COMPUTED_VALUE"""),658)</f>
        <v>658</v>
      </c>
    </row>
    <row r="71" spans="1:32" ht="12.5" x14ac:dyDescent="0.25">
      <c r="A71" s="1" t="str">
        <f ca="1">IFERROR(__xludf.DUMMYFUNCTION("""COMPUTED_VALUE"""),"Colorado")</f>
        <v>Colorado</v>
      </c>
      <c r="B71" s="1">
        <f ca="1">IFERROR(__xludf.DUMMYFUNCTION("""COMPUTED_VALUE"""),31)</f>
        <v>31</v>
      </c>
      <c r="C71" s="1">
        <f ca="1">IFERROR(__xludf.DUMMYFUNCTION("""COMPUTED_VALUE"""),15)</f>
        <v>15</v>
      </c>
      <c r="D71" s="1">
        <f ca="1">IFERROR(__xludf.DUMMYFUNCTION("""COMPUTED_VALUE"""),16)</f>
        <v>16</v>
      </c>
      <c r="E71" s="1">
        <f ca="1">IFERROR(__xludf.DUMMYFUNCTION("""COMPUTED_VALUE"""),0.484)</f>
        <v>0.48399999999999999</v>
      </c>
      <c r="F71" s="1">
        <f ca="1">IFERROR(__xludf.DUMMYFUNCTION("""COMPUTED_VALUE"""),7.01)</f>
        <v>7.01</v>
      </c>
      <c r="G71" s="1">
        <f ca="1">IFERROR(__xludf.DUMMYFUNCTION("""COMPUTED_VALUE"""),7.7)</f>
        <v>7.7</v>
      </c>
      <c r="H71" s="1">
        <f ca="1">IFERROR(__xludf.DUMMYFUNCTION("""COMPUTED_VALUE"""),6)</f>
        <v>6</v>
      </c>
      <c r="I71" s="1">
        <f ca="1">IFERROR(__xludf.DUMMYFUNCTION("""COMPUTED_VALUE"""),10)</f>
        <v>10</v>
      </c>
      <c r="J71" s="1">
        <f ca="1">IFERROR(__xludf.DUMMYFUNCTION("""COMPUTED_VALUE"""),13)</f>
        <v>13</v>
      </c>
      <c r="K71" s="1">
        <f ca="1">IFERROR(__xludf.DUMMYFUNCTION("""COMPUTED_VALUE"""),3)</f>
        <v>3</v>
      </c>
      <c r="L71" s="1">
        <f ca="1">IFERROR(__xludf.DUMMYFUNCTION("""COMPUTED_VALUE"""),1)</f>
        <v>1</v>
      </c>
      <c r="M71" s="1">
        <f ca="1">IFERROR(__xludf.DUMMYFUNCTION("""COMPUTED_VALUE"""),10)</f>
        <v>10</v>
      </c>
      <c r="N71" s="1">
        <f ca="1">IFERROR(__xludf.DUMMYFUNCTION("""COMPUTED_VALUE"""),2313)</f>
        <v>2313</v>
      </c>
      <c r="O71" s="1">
        <f ca="1">IFERROR(__xludf.DUMMYFUNCTION("""COMPUTED_VALUE"""),2299)</f>
        <v>2299</v>
      </c>
      <c r="P71" s="1">
        <f ca="1">IFERROR(__xludf.DUMMYFUNCTION("""COMPUTED_VALUE"""),1250)</f>
        <v>1250</v>
      </c>
      <c r="Q71" s="1">
        <f ca="1">IFERROR(__xludf.DUMMYFUNCTION("""COMPUTED_VALUE"""),773)</f>
        <v>773</v>
      </c>
      <c r="R71" s="1">
        <f ca="1">IFERROR(__xludf.DUMMYFUNCTION("""COMPUTED_VALUE"""),1634)</f>
        <v>1634</v>
      </c>
      <c r="S71" s="1">
        <f ca="1">IFERROR(__xludf.DUMMYFUNCTION("""COMPUTED_VALUE"""),0.473)</f>
        <v>0.47299999999999998</v>
      </c>
      <c r="T71" s="1">
        <f ca="1">IFERROR(__xludf.DUMMYFUNCTION("""COMPUTED_VALUE"""),206)</f>
        <v>206</v>
      </c>
      <c r="U71" s="1">
        <f ca="1">IFERROR(__xludf.DUMMYFUNCTION("""COMPUTED_VALUE"""),531)</f>
        <v>531</v>
      </c>
      <c r="V71" s="1">
        <f ca="1">IFERROR(__xludf.DUMMYFUNCTION("""COMPUTED_VALUE"""),0.388)</f>
        <v>0.38800000000000001</v>
      </c>
      <c r="W71" s="1">
        <f ca="1">IFERROR(__xludf.DUMMYFUNCTION("""COMPUTED_VALUE"""),561)</f>
        <v>561</v>
      </c>
      <c r="X71" s="1">
        <f ca="1">IFERROR(__xludf.DUMMYFUNCTION("""COMPUTED_VALUE"""),732)</f>
        <v>732</v>
      </c>
      <c r="Y71" s="1">
        <f ca="1">IFERROR(__xludf.DUMMYFUNCTION("""COMPUTED_VALUE"""),0.766)</f>
        <v>0.76600000000000001</v>
      </c>
      <c r="Z71" s="1">
        <f ca="1">IFERROR(__xludf.DUMMYFUNCTION("""COMPUTED_VALUE"""),228)</f>
        <v>228</v>
      </c>
      <c r="AA71" s="1">
        <f ca="1">IFERROR(__xludf.DUMMYFUNCTION("""COMPUTED_VALUE"""),884)</f>
        <v>884</v>
      </c>
      <c r="AB71" s="1">
        <f ca="1">IFERROR(__xludf.DUMMYFUNCTION("""COMPUTED_VALUE"""),443)</f>
        <v>443</v>
      </c>
      <c r="AC71" s="1">
        <f ca="1">IFERROR(__xludf.DUMMYFUNCTION("""COMPUTED_VALUE"""),256)</f>
        <v>256</v>
      </c>
      <c r="AD71" s="1">
        <f ca="1">IFERROR(__xludf.DUMMYFUNCTION("""COMPUTED_VALUE"""),70)</f>
        <v>70</v>
      </c>
      <c r="AE71" s="1">
        <f ca="1">IFERROR(__xludf.DUMMYFUNCTION("""COMPUTED_VALUE"""),409)</f>
        <v>409</v>
      </c>
      <c r="AF71" s="1">
        <f ca="1">IFERROR(__xludf.DUMMYFUNCTION("""COMPUTED_VALUE"""),659)</f>
        <v>659</v>
      </c>
    </row>
    <row r="72" spans="1:32" ht="12.5" x14ac:dyDescent="0.25">
      <c r="A72" s="1" t="str">
        <f ca="1">IFERROR(__xludf.DUMMYFUNCTION("""COMPUTED_VALUE"""),"Columbia")</f>
        <v>Columbia</v>
      </c>
      <c r="B72" s="1">
        <f ca="1">IFERROR(__xludf.DUMMYFUNCTION("""COMPUTED_VALUE"""),28)</f>
        <v>28</v>
      </c>
      <c r="C72" s="1">
        <f ca="1">IFERROR(__xludf.DUMMYFUNCTION("""COMPUTED_VALUE"""),11)</f>
        <v>11</v>
      </c>
      <c r="D72" s="1">
        <f ca="1">IFERROR(__xludf.DUMMYFUNCTION("""COMPUTED_VALUE"""),17)</f>
        <v>17</v>
      </c>
      <c r="E72" s="1">
        <f ca="1">IFERROR(__xludf.DUMMYFUNCTION("""COMPUTED_VALUE"""),0.393)</f>
        <v>0.39300000000000002</v>
      </c>
      <c r="F72" s="1">
        <f ca="1">IFERROR(__xludf.DUMMYFUNCTION("""COMPUTED_VALUE"""),-11.75)</f>
        <v>-11.75</v>
      </c>
      <c r="G72" s="1">
        <f ca="1">IFERROR(__xludf.DUMMYFUNCTION("""COMPUTED_VALUE"""),-6.04)</f>
        <v>-6.04</v>
      </c>
      <c r="H72" s="1">
        <f ca="1">IFERROR(__xludf.DUMMYFUNCTION("""COMPUTED_VALUE"""),5)</f>
        <v>5</v>
      </c>
      <c r="I72" s="1">
        <f ca="1">IFERROR(__xludf.DUMMYFUNCTION("""COMPUTED_VALUE"""),9)</f>
        <v>9</v>
      </c>
      <c r="J72" s="1">
        <f ca="1">IFERROR(__xludf.DUMMYFUNCTION("""COMPUTED_VALUE"""),7)</f>
        <v>7</v>
      </c>
      <c r="K72" s="1">
        <f ca="1">IFERROR(__xludf.DUMMYFUNCTION("""COMPUTED_VALUE"""),6)</f>
        <v>6</v>
      </c>
      <c r="L72" s="1">
        <f ca="1">IFERROR(__xludf.DUMMYFUNCTION("""COMPUTED_VALUE"""),4)</f>
        <v>4</v>
      </c>
      <c r="M72" s="1">
        <f ca="1">IFERROR(__xludf.DUMMYFUNCTION("""COMPUTED_VALUE"""),11)</f>
        <v>11</v>
      </c>
      <c r="N72" s="1">
        <f ca="1">IFERROR(__xludf.DUMMYFUNCTION("""COMPUTED_VALUE"""),1686)</f>
        <v>1686</v>
      </c>
      <c r="O72" s="1">
        <f ca="1">IFERROR(__xludf.DUMMYFUNCTION("""COMPUTED_VALUE"""),1828)</f>
        <v>1828</v>
      </c>
      <c r="P72" s="1">
        <f ca="1">IFERROR(__xludf.DUMMYFUNCTION("""COMPUTED_VALUE"""),1120)</f>
        <v>1120</v>
      </c>
      <c r="Q72" s="1">
        <f ca="1">IFERROR(__xludf.DUMMYFUNCTION("""COMPUTED_VALUE"""),590)</f>
        <v>590</v>
      </c>
      <c r="R72" s="1">
        <f ca="1">IFERROR(__xludf.DUMMYFUNCTION("""COMPUTED_VALUE"""),1452)</f>
        <v>1452</v>
      </c>
      <c r="S72" s="1">
        <f ca="1">IFERROR(__xludf.DUMMYFUNCTION("""COMPUTED_VALUE"""),0.406)</f>
        <v>0.40600000000000003</v>
      </c>
      <c r="T72" s="1">
        <f ca="1">IFERROR(__xludf.DUMMYFUNCTION("""COMPUTED_VALUE"""),135)</f>
        <v>135</v>
      </c>
      <c r="U72" s="1">
        <f ca="1">IFERROR(__xludf.DUMMYFUNCTION("""COMPUTED_VALUE"""),359)</f>
        <v>359</v>
      </c>
      <c r="V72" s="1">
        <f ca="1">IFERROR(__xludf.DUMMYFUNCTION("""COMPUTED_VALUE"""),0.376)</f>
        <v>0.376</v>
      </c>
      <c r="W72" s="1">
        <f ca="1">IFERROR(__xludf.DUMMYFUNCTION("""COMPUTED_VALUE"""),371)</f>
        <v>371</v>
      </c>
      <c r="X72" s="1">
        <f ca="1">IFERROR(__xludf.DUMMYFUNCTION("""COMPUTED_VALUE"""),553)</f>
        <v>553</v>
      </c>
      <c r="Y72" s="1">
        <f ca="1">IFERROR(__xludf.DUMMYFUNCTION("""COMPUTED_VALUE"""),0.671)</f>
        <v>0.67100000000000004</v>
      </c>
      <c r="Z72" s="1">
        <f ca="1">IFERROR(__xludf.DUMMYFUNCTION("""COMPUTED_VALUE"""),303)</f>
        <v>303</v>
      </c>
      <c r="AA72" s="1">
        <f ca="1">IFERROR(__xludf.DUMMYFUNCTION("""COMPUTED_VALUE"""),925)</f>
        <v>925</v>
      </c>
      <c r="AB72" s="1">
        <f ca="1">IFERROR(__xludf.DUMMYFUNCTION("""COMPUTED_VALUE"""),279)</f>
        <v>279</v>
      </c>
      <c r="AC72" s="1">
        <f ca="1">IFERROR(__xludf.DUMMYFUNCTION("""COMPUTED_VALUE"""),208)</f>
        <v>208</v>
      </c>
      <c r="AD72" s="1">
        <f ca="1">IFERROR(__xludf.DUMMYFUNCTION("""COMPUTED_VALUE"""),52)</f>
        <v>52</v>
      </c>
      <c r="AE72" s="1">
        <f ca="1">IFERROR(__xludf.DUMMYFUNCTION("""COMPUTED_VALUE"""),401)</f>
        <v>401</v>
      </c>
      <c r="AF72" s="1">
        <f ca="1">IFERROR(__xludf.DUMMYFUNCTION("""COMPUTED_VALUE"""),552)</f>
        <v>552</v>
      </c>
    </row>
    <row r="73" spans="1:32" ht="12.5" x14ac:dyDescent="0.25">
      <c r="A73" s="1" t="str">
        <f ca="1">IFERROR(__xludf.DUMMYFUNCTION("""COMPUTED_VALUE"""),"Connecticut")</f>
        <v>Connecticut</v>
      </c>
      <c r="B73" s="1">
        <f ca="1">IFERROR(__xludf.DUMMYFUNCTION("""COMPUTED_VALUE"""),34)</f>
        <v>34</v>
      </c>
      <c r="C73" s="1">
        <f ca="1">IFERROR(__xludf.DUMMYFUNCTION("""COMPUTED_VALUE"""),18)</f>
        <v>18</v>
      </c>
      <c r="D73" s="1">
        <f ca="1">IFERROR(__xludf.DUMMYFUNCTION("""COMPUTED_VALUE"""),16)</f>
        <v>16</v>
      </c>
      <c r="E73" s="1">
        <f ca="1">IFERROR(__xludf.DUMMYFUNCTION("""COMPUTED_VALUE"""),0.529)</f>
        <v>0.52900000000000003</v>
      </c>
      <c r="F73" s="1">
        <f ca="1">IFERROR(__xludf.DUMMYFUNCTION("""COMPUTED_VALUE"""),12.5)</f>
        <v>12.5</v>
      </c>
      <c r="G73" s="1">
        <f ca="1">IFERROR(__xludf.DUMMYFUNCTION("""COMPUTED_VALUE"""),9.15)</f>
        <v>9.15</v>
      </c>
      <c r="H73" s="1">
        <f ca="1">IFERROR(__xludf.DUMMYFUNCTION("""COMPUTED_VALUE"""),7)</f>
        <v>7</v>
      </c>
      <c r="I73" s="1">
        <f ca="1">IFERROR(__xludf.DUMMYFUNCTION("""COMPUTED_VALUE"""),11)</f>
        <v>11</v>
      </c>
      <c r="J73" s="1">
        <f ca="1">IFERROR(__xludf.DUMMYFUNCTION("""COMPUTED_VALUE"""),15)</f>
        <v>15</v>
      </c>
      <c r="K73" s="1">
        <f ca="1">IFERROR(__xludf.DUMMYFUNCTION("""COMPUTED_VALUE"""),4)</f>
        <v>4</v>
      </c>
      <c r="L73" s="1">
        <f ca="1">IFERROR(__xludf.DUMMYFUNCTION("""COMPUTED_VALUE"""),2)</f>
        <v>2</v>
      </c>
      <c r="M73" s="1">
        <f ca="1">IFERROR(__xludf.DUMMYFUNCTION("""COMPUTED_VALUE"""),9)</f>
        <v>9</v>
      </c>
      <c r="N73" s="1">
        <f ca="1">IFERROR(__xludf.DUMMYFUNCTION("""COMPUTED_VALUE"""),2380)</f>
        <v>2380</v>
      </c>
      <c r="O73" s="1">
        <f ca="1">IFERROR(__xludf.DUMMYFUNCTION("""COMPUTED_VALUE"""),2266)</f>
        <v>2266</v>
      </c>
      <c r="P73" s="1">
        <f ca="1">IFERROR(__xludf.DUMMYFUNCTION("""COMPUTED_VALUE"""),1360)</f>
        <v>1360</v>
      </c>
      <c r="Q73" s="1">
        <f ca="1">IFERROR(__xludf.DUMMYFUNCTION("""COMPUTED_VALUE"""),842)</f>
        <v>842</v>
      </c>
      <c r="R73" s="1">
        <f ca="1">IFERROR(__xludf.DUMMYFUNCTION("""COMPUTED_VALUE"""),1877)</f>
        <v>1877</v>
      </c>
      <c r="S73" s="1">
        <f ca="1">IFERROR(__xludf.DUMMYFUNCTION("""COMPUTED_VALUE"""),0.449)</f>
        <v>0.44900000000000001</v>
      </c>
      <c r="T73" s="1">
        <f ca="1">IFERROR(__xludf.DUMMYFUNCTION("""COMPUTED_VALUE"""),125)</f>
        <v>125</v>
      </c>
      <c r="U73" s="1">
        <f ca="1">IFERROR(__xludf.DUMMYFUNCTION("""COMPUTED_VALUE"""),403)</f>
        <v>403</v>
      </c>
      <c r="V73" s="1">
        <f ca="1">IFERROR(__xludf.DUMMYFUNCTION("""COMPUTED_VALUE"""),0.31)</f>
        <v>0.31</v>
      </c>
      <c r="W73" s="1">
        <f ca="1">IFERROR(__xludf.DUMMYFUNCTION("""COMPUTED_VALUE"""),571)</f>
        <v>571</v>
      </c>
      <c r="X73" s="1">
        <f ca="1">IFERROR(__xludf.DUMMYFUNCTION("""COMPUTED_VALUE"""),829)</f>
        <v>829</v>
      </c>
      <c r="Y73" s="1">
        <f ca="1">IFERROR(__xludf.DUMMYFUNCTION("""COMPUTED_VALUE"""),0.689)</f>
        <v>0.68899999999999995</v>
      </c>
      <c r="Z73" s="1">
        <f ca="1">IFERROR(__xludf.DUMMYFUNCTION("""COMPUTED_VALUE"""),460)</f>
        <v>460</v>
      </c>
      <c r="AA73" s="1">
        <f ca="1">IFERROR(__xludf.DUMMYFUNCTION("""COMPUTED_VALUE"""),1338)</f>
        <v>1338</v>
      </c>
      <c r="AB73" s="1">
        <f ca="1">IFERROR(__xludf.DUMMYFUNCTION("""COMPUTED_VALUE"""),461)</f>
        <v>461</v>
      </c>
      <c r="AC73" s="1">
        <f ca="1">IFERROR(__xludf.DUMMYFUNCTION("""COMPUTED_VALUE"""),220)</f>
        <v>220</v>
      </c>
      <c r="AD73" s="1">
        <f ca="1">IFERROR(__xludf.DUMMYFUNCTION("""COMPUTED_VALUE"""),260)</f>
        <v>260</v>
      </c>
      <c r="AE73" s="1">
        <f ca="1">IFERROR(__xludf.DUMMYFUNCTION("""COMPUTED_VALUE"""),506)</f>
        <v>506</v>
      </c>
      <c r="AF73" s="1">
        <f ca="1">IFERROR(__xludf.DUMMYFUNCTION("""COMPUTED_VALUE"""),538)</f>
        <v>538</v>
      </c>
    </row>
    <row r="74" spans="1:32" ht="12.5" x14ac:dyDescent="0.25">
      <c r="A74" s="1" t="str">
        <f ca="1">IFERROR(__xludf.DUMMYFUNCTION("""COMPUTED_VALUE"""),"Coppin State")</f>
        <v>Coppin State</v>
      </c>
      <c r="B74" s="1">
        <f ca="1">IFERROR(__xludf.DUMMYFUNCTION("""COMPUTED_VALUE"""),30)</f>
        <v>30</v>
      </c>
      <c r="C74" s="1">
        <f ca="1">IFERROR(__xludf.DUMMYFUNCTION("""COMPUTED_VALUE"""),8)</f>
        <v>8</v>
      </c>
      <c r="D74" s="1">
        <f ca="1">IFERROR(__xludf.DUMMYFUNCTION("""COMPUTED_VALUE"""),22)</f>
        <v>22</v>
      </c>
      <c r="E74" s="1">
        <f ca="1">IFERROR(__xludf.DUMMYFUNCTION("""COMPUTED_VALUE"""),0.267)</f>
        <v>0.26700000000000002</v>
      </c>
      <c r="F74" s="1">
        <f ca="1">IFERROR(__xludf.DUMMYFUNCTION("""COMPUTED_VALUE"""),-14.89)</f>
        <v>-14.89</v>
      </c>
      <c r="G74" s="1">
        <f ca="1">IFERROR(__xludf.DUMMYFUNCTION("""COMPUTED_VALUE"""),-6.81)</f>
        <v>-6.81</v>
      </c>
      <c r="H74" s="1">
        <f ca="1">IFERROR(__xludf.DUMMYFUNCTION("""COMPUTED_VALUE"""),3)</f>
        <v>3</v>
      </c>
      <c r="I74" s="1">
        <f ca="1">IFERROR(__xludf.DUMMYFUNCTION("""COMPUTED_VALUE"""),13)</f>
        <v>13</v>
      </c>
      <c r="J74" s="1">
        <f ca="1">IFERROR(__xludf.DUMMYFUNCTION("""COMPUTED_VALUE"""),7)</f>
        <v>7</v>
      </c>
      <c r="K74" s="1">
        <f ca="1">IFERROR(__xludf.DUMMYFUNCTION("""COMPUTED_VALUE"""),6)</f>
        <v>6</v>
      </c>
      <c r="L74" s="1">
        <f ca="1">IFERROR(__xludf.DUMMYFUNCTION("""COMPUTED_VALUE"""),1)</f>
        <v>1</v>
      </c>
      <c r="M74" s="1">
        <f ca="1">IFERROR(__xludf.DUMMYFUNCTION("""COMPUTED_VALUE"""),15)</f>
        <v>15</v>
      </c>
      <c r="N74" s="1">
        <f ca="1">IFERROR(__xludf.DUMMYFUNCTION("""COMPUTED_VALUE"""),1833)</f>
        <v>1833</v>
      </c>
      <c r="O74" s="1">
        <f ca="1">IFERROR(__xludf.DUMMYFUNCTION("""COMPUTED_VALUE"""),2029)</f>
        <v>2029</v>
      </c>
      <c r="P74" s="1">
        <f ca="1">IFERROR(__xludf.DUMMYFUNCTION("""COMPUTED_VALUE"""),1210)</f>
        <v>1210</v>
      </c>
      <c r="Q74" s="1">
        <f ca="1">IFERROR(__xludf.DUMMYFUNCTION("""COMPUTED_VALUE"""),654)</f>
        <v>654</v>
      </c>
      <c r="R74" s="1">
        <f ca="1">IFERROR(__xludf.DUMMYFUNCTION("""COMPUTED_VALUE"""),1680)</f>
        <v>1680</v>
      </c>
      <c r="S74" s="1">
        <f ca="1">IFERROR(__xludf.DUMMYFUNCTION("""COMPUTED_VALUE"""),0.389)</f>
        <v>0.38900000000000001</v>
      </c>
      <c r="T74" s="1">
        <f ca="1">IFERROR(__xludf.DUMMYFUNCTION("""COMPUTED_VALUE"""),148)</f>
        <v>148</v>
      </c>
      <c r="U74" s="1">
        <f ca="1">IFERROR(__xludf.DUMMYFUNCTION("""COMPUTED_VALUE"""),467)</f>
        <v>467</v>
      </c>
      <c r="V74" s="1">
        <f ca="1">IFERROR(__xludf.DUMMYFUNCTION("""COMPUTED_VALUE"""),0.317)</f>
        <v>0.317</v>
      </c>
      <c r="W74" s="1">
        <f ca="1">IFERROR(__xludf.DUMMYFUNCTION("""COMPUTED_VALUE"""),377)</f>
        <v>377</v>
      </c>
      <c r="X74" s="1">
        <f ca="1">IFERROR(__xludf.DUMMYFUNCTION("""COMPUTED_VALUE"""),511)</f>
        <v>511</v>
      </c>
      <c r="Y74" s="1">
        <f ca="1">IFERROR(__xludf.DUMMYFUNCTION("""COMPUTED_VALUE"""),0.738)</f>
        <v>0.73799999999999999</v>
      </c>
      <c r="Z74" s="1">
        <f ca="1">IFERROR(__xludf.DUMMYFUNCTION("""COMPUTED_VALUE"""),337)</f>
        <v>337</v>
      </c>
      <c r="AA74" s="1">
        <f ca="1">IFERROR(__xludf.DUMMYFUNCTION("""COMPUTED_VALUE"""),1003)</f>
        <v>1003</v>
      </c>
      <c r="AB74" s="1">
        <f ca="1">IFERROR(__xludf.DUMMYFUNCTION("""COMPUTED_VALUE"""),304)</f>
        <v>304</v>
      </c>
      <c r="AC74" s="1">
        <f ca="1">IFERROR(__xludf.DUMMYFUNCTION("""COMPUTED_VALUE"""),185)</f>
        <v>185</v>
      </c>
      <c r="AD74" s="1">
        <f ca="1">IFERROR(__xludf.DUMMYFUNCTION("""COMPUTED_VALUE"""),63)</f>
        <v>63</v>
      </c>
      <c r="AE74" s="1">
        <f ca="1">IFERROR(__xludf.DUMMYFUNCTION("""COMPUTED_VALUE"""),419)</f>
        <v>419</v>
      </c>
      <c r="AF74" s="1">
        <f ca="1">IFERROR(__xludf.DUMMYFUNCTION("""COMPUTED_VALUE"""),561)</f>
        <v>561</v>
      </c>
    </row>
    <row r="75" spans="1:32" ht="12.5" x14ac:dyDescent="0.25">
      <c r="A75" s="1" t="str">
        <f ca="1">IFERROR(__xludf.DUMMYFUNCTION("""COMPUTED_VALUE"""),"CornellNCAA")</f>
        <v>CornellNCAA</v>
      </c>
      <c r="B75" s="1">
        <f ca="1">IFERROR(__xludf.DUMMYFUNCTION("""COMPUTED_VALUE"""),34)</f>
        <v>34</v>
      </c>
      <c r="C75" s="1">
        <f ca="1">IFERROR(__xludf.DUMMYFUNCTION("""COMPUTED_VALUE"""),29)</f>
        <v>29</v>
      </c>
      <c r="D75" s="1">
        <f ca="1">IFERROR(__xludf.DUMMYFUNCTION("""COMPUTED_VALUE"""),5)</f>
        <v>5</v>
      </c>
      <c r="E75" s="1">
        <f ca="1">IFERROR(__xludf.DUMMYFUNCTION("""COMPUTED_VALUE"""),0.853)</f>
        <v>0.85299999999999998</v>
      </c>
      <c r="F75" s="1">
        <f ca="1">IFERROR(__xludf.DUMMYFUNCTION("""COMPUTED_VALUE"""),8.76)</f>
        <v>8.76</v>
      </c>
      <c r="G75" s="1">
        <f ca="1">IFERROR(__xludf.DUMMYFUNCTION("""COMPUTED_VALUE"""),-0.91)</f>
        <v>-0.91</v>
      </c>
      <c r="H75" s="1">
        <f ca="1">IFERROR(__xludf.DUMMYFUNCTION("""COMPUTED_VALUE"""),13)</f>
        <v>13</v>
      </c>
      <c r="I75" s="1">
        <f ca="1">IFERROR(__xludf.DUMMYFUNCTION("""COMPUTED_VALUE"""),1)</f>
        <v>1</v>
      </c>
      <c r="J75" s="1">
        <f ca="1">IFERROR(__xludf.DUMMYFUNCTION("""COMPUTED_VALUE"""),11)</f>
        <v>11</v>
      </c>
      <c r="K75" s="1">
        <f ca="1">IFERROR(__xludf.DUMMYFUNCTION("""COMPUTED_VALUE"""),1)</f>
        <v>1</v>
      </c>
      <c r="L75" s="1">
        <f ca="1">IFERROR(__xludf.DUMMYFUNCTION("""COMPUTED_VALUE"""),13)</f>
        <v>13</v>
      </c>
      <c r="M75" s="1">
        <f ca="1">IFERROR(__xludf.DUMMYFUNCTION("""COMPUTED_VALUE"""),3)</f>
        <v>3</v>
      </c>
      <c r="N75" s="1">
        <f ca="1">IFERROR(__xludf.DUMMYFUNCTION("""COMPUTED_VALUE"""),2596)</f>
        <v>2596</v>
      </c>
      <c r="O75" s="1">
        <f ca="1">IFERROR(__xludf.DUMMYFUNCTION("""COMPUTED_VALUE"""),2192)</f>
        <v>2192</v>
      </c>
      <c r="P75" s="1">
        <f ca="1">IFERROR(__xludf.DUMMYFUNCTION("""COMPUTED_VALUE"""),1370)</f>
        <v>1370</v>
      </c>
      <c r="Q75" s="1">
        <f ca="1">IFERROR(__xludf.DUMMYFUNCTION("""COMPUTED_VALUE"""),913)</f>
        <v>913</v>
      </c>
      <c r="R75" s="1">
        <f ca="1">IFERROR(__xludf.DUMMYFUNCTION("""COMPUTED_VALUE"""),1894)</f>
        <v>1894</v>
      </c>
      <c r="S75" s="1">
        <f ca="1">IFERROR(__xludf.DUMMYFUNCTION("""COMPUTED_VALUE"""),0.482)</f>
        <v>0.48199999999999998</v>
      </c>
      <c r="T75" s="1">
        <f ca="1">IFERROR(__xludf.DUMMYFUNCTION("""COMPUTED_VALUE"""),326)</f>
        <v>326</v>
      </c>
      <c r="U75" s="1">
        <f ca="1">IFERROR(__xludf.DUMMYFUNCTION("""COMPUTED_VALUE"""),759)</f>
        <v>759</v>
      </c>
      <c r="V75" s="1">
        <f ca="1">IFERROR(__xludf.DUMMYFUNCTION("""COMPUTED_VALUE"""),0.43)</f>
        <v>0.43</v>
      </c>
      <c r="W75" s="1">
        <f ca="1">IFERROR(__xludf.DUMMYFUNCTION("""COMPUTED_VALUE"""),393)</f>
        <v>393</v>
      </c>
      <c r="X75" s="1">
        <f ca="1">IFERROR(__xludf.DUMMYFUNCTION("""COMPUTED_VALUE"""),538)</f>
        <v>538</v>
      </c>
      <c r="Y75" s="1">
        <f ca="1">IFERROR(__xludf.DUMMYFUNCTION("""COMPUTED_VALUE"""),0.73)</f>
        <v>0.73</v>
      </c>
      <c r="Z75" s="1">
        <f ca="1">IFERROR(__xludf.DUMMYFUNCTION("""COMPUTED_VALUE"""),349)</f>
        <v>349</v>
      </c>
      <c r="AA75" s="1">
        <f ca="1">IFERROR(__xludf.DUMMYFUNCTION("""COMPUTED_VALUE"""),1149)</f>
        <v>1149</v>
      </c>
      <c r="AB75" s="1">
        <f ca="1">IFERROR(__xludf.DUMMYFUNCTION("""COMPUTED_VALUE"""),543)</f>
        <v>543</v>
      </c>
      <c r="AC75" s="1">
        <f ca="1">IFERROR(__xludf.DUMMYFUNCTION("""COMPUTED_VALUE"""),243)</f>
        <v>243</v>
      </c>
      <c r="AD75" s="1">
        <f ca="1">IFERROR(__xludf.DUMMYFUNCTION("""COMPUTED_VALUE"""),122)</f>
        <v>122</v>
      </c>
      <c r="AE75" s="1">
        <f ca="1">IFERROR(__xludf.DUMMYFUNCTION("""COMPUTED_VALUE"""),414)</f>
        <v>414</v>
      </c>
      <c r="AF75" s="1">
        <f ca="1">IFERROR(__xludf.DUMMYFUNCTION("""COMPUTED_VALUE"""),598)</f>
        <v>598</v>
      </c>
    </row>
    <row r="76" spans="1:32" ht="12.5" x14ac:dyDescent="0.25">
      <c r="A76" s="1" t="str">
        <f ca="1">IFERROR(__xludf.DUMMYFUNCTION("""COMPUTED_VALUE"""),"Creighton")</f>
        <v>Creighton</v>
      </c>
      <c r="B76" s="1">
        <f ca="1">IFERROR(__xludf.DUMMYFUNCTION("""COMPUTED_VALUE"""),34)</f>
        <v>34</v>
      </c>
      <c r="C76" s="1">
        <f ca="1">IFERROR(__xludf.DUMMYFUNCTION("""COMPUTED_VALUE"""),18)</f>
        <v>18</v>
      </c>
      <c r="D76" s="1">
        <f ca="1">IFERROR(__xludf.DUMMYFUNCTION("""COMPUTED_VALUE"""),16)</f>
        <v>16</v>
      </c>
      <c r="E76" s="1">
        <f ca="1">IFERROR(__xludf.DUMMYFUNCTION("""COMPUTED_VALUE"""),0.529)</f>
        <v>0.52900000000000003</v>
      </c>
      <c r="F76" s="1">
        <f ca="1">IFERROR(__xludf.DUMMYFUNCTION("""COMPUTED_VALUE"""),3.59)</f>
        <v>3.59</v>
      </c>
      <c r="G76" s="1">
        <f ca="1">IFERROR(__xludf.DUMMYFUNCTION("""COMPUTED_VALUE"""),3.15)</f>
        <v>3.15</v>
      </c>
      <c r="H76" s="1">
        <f ca="1">IFERROR(__xludf.DUMMYFUNCTION("""COMPUTED_VALUE"""),10)</f>
        <v>10</v>
      </c>
      <c r="I76" s="1">
        <f ca="1">IFERROR(__xludf.DUMMYFUNCTION("""COMPUTED_VALUE"""),8)</f>
        <v>8</v>
      </c>
      <c r="J76" s="1">
        <f ca="1">IFERROR(__xludf.DUMMYFUNCTION("""COMPUTED_VALUE"""),15)</f>
        <v>15</v>
      </c>
      <c r="K76" s="1">
        <f ca="1">IFERROR(__xludf.DUMMYFUNCTION("""COMPUTED_VALUE"""),2)</f>
        <v>2</v>
      </c>
      <c r="L76" s="1">
        <f ca="1">IFERROR(__xludf.DUMMYFUNCTION("""COMPUTED_VALUE"""),3)</f>
        <v>3</v>
      </c>
      <c r="M76" s="1">
        <f ca="1">IFERROR(__xludf.DUMMYFUNCTION("""COMPUTED_VALUE"""),10)</f>
        <v>10</v>
      </c>
      <c r="N76" s="1">
        <f ca="1">IFERROR(__xludf.DUMMYFUNCTION("""COMPUTED_VALUE"""),2374)</f>
        <v>2374</v>
      </c>
      <c r="O76" s="1">
        <f ca="1">IFERROR(__xludf.DUMMYFUNCTION("""COMPUTED_VALUE"""),2320)</f>
        <v>2320</v>
      </c>
      <c r="P76" s="1">
        <f ca="1">IFERROR(__xludf.DUMMYFUNCTION("""COMPUTED_VALUE"""),1370)</f>
        <v>1370</v>
      </c>
      <c r="Q76" s="1">
        <f ca="1">IFERROR(__xludf.DUMMYFUNCTION("""COMPUTED_VALUE"""),812)</f>
        <v>812</v>
      </c>
      <c r="R76" s="1">
        <f ca="1">IFERROR(__xludf.DUMMYFUNCTION("""COMPUTED_VALUE"""),1870)</f>
        <v>1870</v>
      </c>
      <c r="S76" s="1">
        <f ca="1">IFERROR(__xludf.DUMMYFUNCTION("""COMPUTED_VALUE"""),0.434)</f>
        <v>0.434</v>
      </c>
      <c r="T76" s="1">
        <f ca="1">IFERROR(__xludf.DUMMYFUNCTION("""COMPUTED_VALUE"""),251)</f>
        <v>251</v>
      </c>
      <c r="U76" s="1">
        <f ca="1">IFERROR(__xludf.DUMMYFUNCTION("""COMPUTED_VALUE"""),746)</f>
        <v>746</v>
      </c>
      <c r="V76" s="1">
        <f ca="1">IFERROR(__xludf.DUMMYFUNCTION("""COMPUTED_VALUE"""),0.336)</f>
        <v>0.33600000000000002</v>
      </c>
      <c r="W76" s="1">
        <f ca="1">IFERROR(__xludf.DUMMYFUNCTION("""COMPUTED_VALUE"""),499)</f>
        <v>499</v>
      </c>
      <c r="X76" s="1">
        <f ca="1">IFERROR(__xludf.DUMMYFUNCTION("""COMPUTED_VALUE"""),693)</f>
        <v>693</v>
      </c>
      <c r="Y76" s="1">
        <f ca="1">IFERROR(__xludf.DUMMYFUNCTION("""COMPUTED_VALUE"""),0.72)</f>
        <v>0.72</v>
      </c>
      <c r="Z76" s="1">
        <f ca="1">IFERROR(__xludf.DUMMYFUNCTION("""COMPUTED_VALUE"""),357)</f>
        <v>357</v>
      </c>
      <c r="AA76" s="1">
        <f ca="1">IFERROR(__xludf.DUMMYFUNCTION("""COMPUTED_VALUE"""),1194)</f>
        <v>1194</v>
      </c>
      <c r="AB76" s="1">
        <f ca="1">IFERROR(__xludf.DUMMYFUNCTION("""COMPUTED_VALUE"""),465)</f>
        <v>465</v>
      </c>
      <c r="AC76" s="1">
        <f ca="1">IFERROR(__xludf.DUMMYFUNCTION("""COMPUTED_VALUE"""),174)</f>
        <v>174</v>
      </c>
      <c r="AD76" s="1">
        <f ca="1">IFERROR(__xludf.DUMMYFUNCTION("""COMPUTED_VALUE"""),111)</f>
        <v>111</v>
      </c>
      <c r="AE76" s="1">
        <f ca="1">IFERROR(__xludf.DUMMYFUNCTION("""COMPUTED_VALUE"""),414)</f>
        <v>414</v>
      </c>
      <c r="AF76" s="1">
        <f ca="1">IFERROR(__xludf.DUMMYFUNCTION("""COMPUTED_VALUE"""),621)</f>
        <v>621</v>
      </c>
    </row>
    <row r="77" spans="1:32" ht="12.5" x14ac:dyDescent="0.25">
      <c r="A77" s="1" t="str">
        <f ca="1">IFERROR(__xludf.DUMMYFUNCTION("""COMPUTED_VALUE"""),"Dartmouth")</f>
        <v>Dartmouth</v>
      </c>
      <c r="B77" s="1">
        <f ca="1">IFERROR(__xludf.DUMMYFUNCTION("""COMPUTED_VALUE"""),28)</f>
        <v>28</v>
      </c>
      <c r="C77" s="1">
        <f ca="1">IFERROR(__xludf.DUMMYFUNCTION("""COMPUTED_VALUE"""),5)</f>
        <v>5</v>
      </c>
      <c r="D77" s="1">
        <f ca="1">IFERROR(__xludf.DUMMYFUNCTION("""COMPUTED_VALUE"""),23)</f>
        <v>23</v>
      </c>
      <c r="E77" s="1">
        <f ca="1">IFERROR(__xludf.DUMMYFUNCTION("""COMPUTED_VALUE"""),0.179)</f>
        <v>0.17899999999999999</v>
      </c>
      <c r="F77" s="1">
        <f ca="1">IFERROR(__xludf.DUMMYFUNCTION("""COMPUTED_VALUE"""),-18.46)</f>
        <v>-18.46</v>
      </c>
      <c r="G77" s="1">
        <f ca="1">IFERROR(__xludf.DUMMYFUNCTION("""COMPUTED_VALUE"""),-5.46)</f>
        <v>-5.46</v>
      </c>
      <c r="H77" s="1">
        <f ca="1">IFERROR(__xludf.DUMMYFUNCTION("""COMPUTED_VALUE"""),1)</f>
        <v>1</v>
      </c>
      <c r="I77" s="1">
        <f ca="1">IFERROR(__xludf.DUMMYFUNCTION("""COMPUTED_VALUE"""),13)</f>
        <v>13</v>
      </c>
      <c r="J77" s="1">
        <f ca="1">IFERROR(__xludf.DUMMYFUNCTION("""COMPUTED_VALUE"""),5)</f>
        <v>5</v>
      </c>
      <c r="K77" s="1">
        <f ca="1">IFERROR(__xludf.DUMMYFUNCTION("""COMPUTED_VALUE"""),10)</f>
        <v>10</v>
      </c>
      <c r="L77" s="1">
        <f ca="1">IFERROR(__xludf.DUMMYFUNCTION("""COMPUTED_VALUE"""),0)</f>
        <v>0</v>
      </c>
      <c r="M77" s="1">
        <f ca="1">IFERROR(__xludf.DUMMYFUNCTION("""COMPUTED_VALUE"""),13)</f>
        <v>13</v>
      </c>
      <c r="N77" s="1">
        <f ca="1">IFERROR(__xludf.DUMMYFUNCTION("""COMPUTED_VALUE"""),1513)</f>
        <v>1513</v>
      </c>
      <c r="O77" s="1">
        <f ca="1">IFERROR(__xludf.DUMMYFUNCTION("""COMPUTED_VALUE"""),1835)</f>
        <v>1835</v>
      </c>
      <c r="P77" s="1">
        <f ca="1">IFERROR(__xludf.DUMMYFUNCTION("""COMPUTED_VALUE"""),1120)</f>
        <v>1120</v>
      </c>
      <c r="Q77" s="1">
        <f ca="1">IFERROR(__xludf.DUMMYFUNCTION("""COMPUTED_VALUE"""),574)</f>
        <v>574</v>
      </c>
      <c r="R77" s="1">
        <f ca="1">IFERROR(__xludf.DUMMYFUNCTION("""COMPUTED_VALUE"""),1506)</f>
        <v>1506</v>
      </c>
      <c r="S77" s="1">
        <f ca="1">IFERROR(__xludf.DUMMYFUNCTION("""COMPUTED_VALUE"""),0.381)</f>
        <v>0.38100000000000001</v>
      </c>
      <c r="T77" s="1">
        <f ca="1">IFERROR(__xludf.DUMMYFUNCTION("""COMPUTED_VALUE"""),102)</f>
        <v>102</v>
      </c>
      <c r="U77" s="1">
        <f ca="1">IFERROR(__xludf.DUMMYFUNCTION("""COMPUTED_VALUE"""),347)</f>
        <v>347</v>
      </c>
      <c r="V77" s="1">
        <f ca="1">IFERROR(__xludf.DUMMYFUNCTION("""COMPUTED_VALUE"""),0.294)</f>
        <v>0.29399999999999998</v>
      </c>
      <c r="W77" s="1">
        <f ca="1">IFERROR(__xludf.DUMMYFUNCTION("""COMPUTED_VALUE"""),263)</f>
        <v>263</v>
      </c>
      <c r="X77" s="1">
        <f ca="1">IFERROR(__xludf.DUMMYFUNCTION("""COMPUTED_VALUE"""),401)</f>
        <v>401</v>
      </c>
      <c r="Y77" s="1">
        <f ca="1">IFERROR(__xludf.DUMMYFUNCTION("""COMPUTED_VALUE"""),0.656)</f>
        <v>0.65600000000000003</v>
      </c>
      <c r="Z77" s="1">
        <f ca="1">IFERROR(__xludf.DUMMYFUNCTION("""COMPUTED_VALUE"""),286)</f>
        <v>286</v>
      </c>
      <c r="AA77" s="1">
        <f ca="1">IFERROR(__xludf.DUMMYFUNCTION("""COMPUTED_VALUE"""),862)</f>
        <v>862</v>
      </c>
      <c r="AB77" s="1">
        <f ca="1">IFERROR(__xludf.DUMMYFUNCTION("""COMPUTED_VALUE"""),285)</f>
        <v>285</v>
      </c>
      <c r="AC77" s="1">
        <f ca="1">IFERROR(__xludf.DUMMYFUNCTION("""COMPUTED_VALUE"""),178)</f>
        <v>178</v>
      </c>
      <c r="AD77" s="1">
        <f ca="1">IFERROR(__xludf.DUMMYFUNCTION("""COMPUTED_VALUE"""),64)</f>
        <v>64</v>
      </c>
      <c r="AE77" s="1">
        <f ca="1">IFERROR(__xludf.DUMMYFUNCTION("""COMPUTED_VALUE"""),376)</f>
        <v>376</v>
      </c>
      <c r="AF77" s="1">
        <f ca="1">IFERROR(__xludf.DUMMYFUNCTION("""COMPUTED_VALUE"""),512)</f>
        <v>512</v>
      </c>
    </row>
    <row r="78" spans="1:32" ht="12.5" x14ac:dyDescent="0.25">
      <c r="A78" s="1" t="str">
        <f ca="1">IFERROR(__xludf.DUMMYFUNCTION("""COMPUTED_VALUE"""),"Davidson")</f>
        <v>Davidson</v>
      </c>
      <c r="B78" s="1">
        <f ca="1">IFERROR(__xludf.DUMMYFUNCTION("""COMPUTED_VALUE"""),31)</f>
        <v>31</v>
      </c>
      <c r="C78" s="1">
        <f ca="1">IFERROR(__xludf.DUMMYFUNCTION("""COMPUTED_VALUE"""),16)</f>
        <v>16</v>
      </c>
      <c r="D78" s="1">
        <f ca="1">IFERROR(__xludf.DUMMYFUNCTION("""COMPUTED_VALUE"""),15)</f>
        <v>15</v>
      </c>
      <c r="E78" s="1">
        <f ca="1">IFERROR(__xludf.DUMMYFUNCTION("""COMPUTED_VALUE"""),0.516)</f>
        <v>0.51600000000000001</v>
      </c>
      <c r="F78" s="1">
        <f ca="1">IFERROR(__xludf.DUMMYFUNCTION("""COMPUTED_VALUE"""),-2.26)</f>
        <v>-2.2599999999999998</v>
      </c>
      <c r="G78" s="1">
        <f ca="1">IFERROR(__xludf.DUMMYFUNCTION("""COMPUTED_VALUE"""),-1.26)</f>
        <v>-1.26</v>
      </c>
      <c r="H78" s="1">
        <f ca="1">IFERROR(__xludf.DUMMYFUNCTION("""COMPUTED_VALUE"""),11)</f>
        <v>11</v>
      </c>
      <c r="I78" s="1">
        <f ca="1">IFERROR(__xludf.DUMMYFUNCTION("""COMPUTED_VALUE"""),7)</f>
        <v>7</v>
      </c>
      <c r="J78" s="1">
        <f ca="1">IFERROR(__xludf.DUMMYFUNCTION("""COMPUTED_VALUE"""),10)</f>
        <v>10</v>
      </c>
      <c r="K78" s="1">
        <f ca="1">IFERROR(__xludf.DUMMYFUNCTION("""COMPUTED_VALUE"""),4)</f>
        <v>4</v>
      </c>
      <c r="L78" s="1">
        <f ca="1">IFERROR(__xludf.DUMMYFUNCTION("""COMPUTED_VALUE"""),5)</f>
        <v>5</v>
      </c>
      <c r="M78" s="1">
        <f ca="1">IFERROR(__xludf.DUMMYFUNCTION("""COMPUTED_VALUE"""),5)</f>
        <v>5</v>
      </c>
      <c r="N78" s="1">
        <f ca="1">IFERROR(__xludf.DUMMYFUNCTION("""COMPUTED_VALUE"""),2240)</f>
        <v>2240</v>
      </c>
      <c r="O78" s="1">
        <f ca="1">IFERROR(__xludf.DUMMYFUNCTION("""COMPUTED_VALUE"""),2200)</f>
        <v>2200</v>
      </c>
      <c r="P78" s="1">
        <f ca="1">IFERROR(__xludf.DUMMYFUNCTION("""COMPUTED_VALUE"""),1260)</f>
        <v>1260</v>
      </c>
      <c r="Q78" s="1">
        <f ca="1">IFERROR(__xludf.DUMMYFUNCTION("""COMPUTED_VALUE"""),759)</f>
        <v>759</v>
      </c>
      <c r="R78" s="1">
        <f ca="1">IFERROR(__xludf.DUMMYFUNCTION("""COMPUTED_VALUE"""),1775)</f>
        <v>1775</v>
      </c>
      <c r="S78" s="1">
        <f ca="1">IFERROR(__xludf.DUMMYFUNCTION("""COMPUTED_VALUE"""),0.428)</f>
        <v>0.42799999999999999</v>
      </c>
      <c r="T78" s="1">
        <f ca="1">IFERROR(__xludf.DUMMYFUNCTION("""COMPUTED_VALUE"""),279)</f>
        <v>279</v>
      </c>
      <c r="U78" s="1">
        <f ca="1">IFERROR(__xludf.DUMMYFUNCTION("""COMPUTED_VALUE"""),765)</f>
        <v>765</v>
      </c>
      <c r="V78" s="1">
        <f ca="1">IFERROR(__xludf.DUMMYFUNCTION("""COMPUTED_VALUE"""),0.365)</f>
        <v>0.36499999999999999</v>
      </c>
      <c r="W78" s="1">
        <f ca="1">IFERROR(__xludf.DUMMYFUNCTION("""COMPUTED_VALUE"""),405)</f>
        <v>405</v>
      </c>
      <c r="X78" s="1">
        <f ca="1">IFERROR(__xludf.DUMMYFUNCTION("""COMPUTED_VALUE"""),598)</f>
        <v>598</v>
      </c>
      <c r="Y78" s="1">
        <f ca="1">IFERROR(__xludf.DUMMYFUNCTION("""COMPUTED_VALUE"""),0.677)</f>
        <v>0.67700000000000005</v>
      </c>
      <c r="Z78" s="1">
        <f ca="1">IFERROR(__xludf.DUMMYFUNCTION("""COMPUTED_VALUE"""),371)</f>
        <v>371</v>
      </c>
      <c r="AA78" s="1">
        <f ca="1">IFERROR(__xludf.DUMMYFUNCTION("""COMPUTED_VALUE"""),1148)</f>
        <v>1148</v>
      </c>
      <c r="AB78" s="1">
        <f ca="1">IFERROR(__xludf.DUMMYFUNCTION("""COMPUTED_VALUE"""),474)</f>
        <v>474</v>
      </c>
      <c r="AC78" s="1">
        <f ca="1">IFERROR(__xludf.DUMMYFUNCTION("""COMPUTED_VALUE"""),141)</f>
        <v>141</v>
      </c>
      <c r="AD78" s="1">
        <f ca="1">IFERROR(__xludf.DUMMYFUNCTION("""COMPUTED_VALUE"""),112)</f>
        <v>112</v>
      </c>
      <c r="AE78" s="1">
        <f ca="1">IFERROR(__xludf.DUMMYFUNCTION("""COMPUTED_VALUE"""),421)</f>
        <v>421</v>
      </c>
      <c r="AF78" s="1">
        <f ca="1">IFERROR(__xludf.DUMMYFUNCTION("""COMPUTED_VALUE"""),603)</f>
        <v>603</v>
      </c>
    </row>
    <row r="79" spans="1:32" ht="12.5" x14ac:dyDescent="0.25">
      <c r="A79" s="1" t="str">
        <f ca="1">IFERROR(__xludf.DUMMYFUNCTION("""COMPUTED_VALUE"""),"Dayton")</f>
        <v>Dayton</v>
      </c>
      <c r="B79" s="1">
        <f ca="1">IFERROR(__xludf.DUMMYFUNCTION("""COMPUTED_VALUE"""),37)</f>
        <v>37</v>
      </c>
      <c r="C79" s="1">
        <f ca="1">IFERROR(__xludf.DUMMYFUNCTION("""COMPUTED_VALUE"""),25)</f>
        <v>25</v>
      </c>
      <c r="D79" s="1">
        <f ca="1">IFERROR(__xludf.DUMMYFUNCTION("""COMPUTED_VALUE"""),12)</f>
        <v>12</v>
      </c>
      <c r="E79" s="1">
        <f ca="1">IFERROR(__xludf.DUMMYFUNCTION("""COMPUTED_VALUE"""),0.676)</f>
        <v>0.67600000000000005</v>
      </c>
      <c r="F79" s="1">
        <f ca="1">IFERROR(__xludf.DUMMYFUNCTION("""COMPUTED_VALUE"""),13.25)</f>
        <v>13.25</v>
      </c>
      <c r="G79" s="1">
        <f ca="1">IFERROR(__xludf.DUMMYFUNCTION("""COMPUTED_VALUE"""),5.61)</f>
        <v>5.61</v>
      </c>
      <c r="H79" s="1">
        <f ca="1">IFERROR(__xludf.DUMMYFUNCTION("""COMPUTED_VALUE"""),8)</f>
        <v>8</v>
      </c>
      <c r="I79" s="1">
        <f ca="1">IFERROR(__xludf.DUMMYFUNCTION("""COMPUTED_VALUE"""),8)</f>
        <v>8</v>
      </c>
      <c r="J79" s="1">
        <f ca="1">IFERROR(__xludf.DUMMYFUNCTION("""COMPUTED_VALUE"""),16)</f>
        <v>16</v>
      </c>
      <c r="K79" s="1">
        <f ca="1">IFERROR(__xludf.DUMMYFUNCTION("""COMPUTED_VALUE"""),2)</f>
        <v>2</v>
      </c>
      <c r="L79" s="1">
        <f ca="1">IFERROR(__xludf.DUMMYFUNCTION("""COMPUTED_VALUE"""),6)</f>
        <v>6</v>
      </c>
      <c r="M79" s="1">
        <f ca="1">IFERROR(__xludf.DUMMYFUNCTION("""COMPUTED_VALUE"""),7)</f>
        <v>7</v>
      </c>
      <c r="N79" s="1">
        <f ca="1">IFERROR(__xludf.DUMMYFUNCTION("""COMPUTED_VALUE"""),2599)</f>
        <v>2599</v>
      </c>
      <c r="O79" s="1">
        <f ca="1">IFERROR(__xludf.DUMMYFUNCTION("""COMPUTED_VALUE"""),2305)</f>
        <v>2305</v>
      </c>
      <c r="P79" s="1">
        <f ca="1">IFERROR(__xludf.DUMMYFUNCTION("""COMPUTED_VALUE"""),1495)</f>
        <v>1495</v>
      </c>
      <c r="Q79" s="1">
        <f ca="1">IFERROR(__xludf.DUMMYFUNCTION("""COMPUTED_VALUE"""),909)</f>
        <v>909</v>
      </c>
      <c r="R79" s="1">
        <f ca="1">IFERROR(__xludf.DUMMYFUNCTION("""COMPUTED_VALUE"""),2050)</f>
        <v>2050</v>
      </c>
      <c r="S79" s="1">
        <f ca="1">IFERROR(__xludf.DUMMYFUNCTION("""COMPUTED_VALUE"""),0.443)</f>
        <v>0.443</v>
      </c>
      <c r="T79" s="1">
        <f ca="1">IFERROR(__xludf.DUMMYFUNCTION("""COMPUTED_VALUE"""),256)</f>
        <v>256</v>
      </c>
      <c r="U79" s="1">
        <f ca="1">IFERROR(__xludf.DUMMYFUNCTION("""COMPUTED_VALUE"""),744)</f>
        <v>744</v>
      </c>
      <c r="V79" s="1">
        <f ca="1">IFERROR(__xludf.DUMMYFUNCTION("""COMPUTED_VALUE"""),0.344)</f>
        <v>0.34399999999999997</v>
      </c>
      <c r="W79" s="1">
        <f ca="1">IFERROR(__xludf.DUMMYFUNCTION("""COMPUTED_VALUE"""),525)</f>
        <v>525</v>
      </c>
      <c r="X79" s="1">
        <f ca="1">IFERROR(__xludf.DUMMYFUNCTION("""COMPUTED_VALUE"""),789)</f>
        <v>789</v>
      </c>
      <c r="Y79" s="1">
        <f ca="1">IFERROR(__xludf.DUMMYFUNCTION("""COMPUTED_VALUE"""),0.665)</f>
        <v>0.66500000000000004</v>
      </c>
      <c r="Z79" s="1">
        <f ca="1">IFERROR(__xludf.DUMMYFUNCTION("""COMPUTED_VALUE"""),439)</f>
        <v>439</v>
      </c>
      <c r="AA79" s="1">
        <f ca="1">IFERROR(__xludf.DUMMYFUNCTION("""COMPUTED_VALUE"""),1432)</f>
        <v>1432</v>
      </c>
      <c r="AB79" s="1">
        <f ca="1">IFERROR(__xludf.DUMMYFUNCTION("""COMPUTED_VALUE"""),544)</f>
        <v>544</v>
      </c>
      <c r="AC79" s="1">
        <f ca="1">IFERROR(__xludf.DUMMYFUNCTION("""COMPUTED_VALUE"""),237)</f>
        <v>237</v>
      </c>
      <c r="AD79" s="1">
        <f ca="1">IFERROR(__xludf.DUMMYFUNCTION("""COMPUTED_VALUE"""),128)</f>
        <v>128</v>
      </c>
      <c r="AE79" s="1">
        <f ca="1">IFERROR(__xludf.DUMMYFUNCTION("""COMPUTED_VALUE"""),536)</f>
        <v>536</v>
      </c>
      <c r="AF79" s="1">
        <f ca="1">IFERROR(__xludf.DUMMYFUNCTION("""COMPUTED_VALUE"""),729)</f>
        <v>729</v>
      </c>
    </row>
    <row r="80" spans="1:32" ht="12.5" x14ac:dyDescent="0.25">
      <c r="A80" s="1" t="str">
        <f ca="1">IFERROR(__xludf.DUMMYFUNCTION("""COMPUTED_VALUE"""),"Delaware State")</f>
        <v>Delaware State</v>
      </c>
      <c r="B80" s="1">
        <f ca="1">IFERROR(__xludf.DUMMYFUNCTION("""COMPUTED_VALUE"""),29)</f>
        <v>29</v>
      </c>
      <c r="C80" s="1">
        <f ca="1">IFERROR(__xludf.DUMMYFUNCTION("""COMPUTED_VALUE"""),17)</f>
        <v>17</v>
      </c>
      <c r="D80" s="1">
        <f ca="1">IFERROR(__xludf.DUMMYFUNCTION("""COMPUTED_VALUE"""),12)</f>
        <v>12</v>
      </c>
      <c r="E80" s="1">
        <f ca="1">IFERROR(__xludf.DUMMYFUNCTION("""COMPUTED_VALUE"""),0.586)</f>
        <v>0.58599999999999997</v>
      </c>
      <c r="F80" s="1">
        <f ca="1">IFERROR(__xludf.DUMMYFUNCTION("""COMPUTED_VALUE"""),-9.08)</f>
        <v>-9.08</v>
      </c>
      <c r="G80" s="1">
        <f ca="1">IFERROR(__xludf.DUMMYFUNCTION("""COMPUTED_VALUE"""),-7.6)</f>
        <v>-7.6</v>
      </c>
      <c r="H80" s="1">
        <f ca="1">IFERROR(__xludf.DUMMYFUNCTION("""COMPUTED_VALUE"""),11)</f>
        <v>11</v>
      </c>
      <c r="I80" s="1">
        <f ca="1">IFERROR(__xludf.DUMMYFUNCTION("""COMPUTED_VALUE"""),5)</f>
        <v>5</v>
      </c>
      <c r="J80" s="1">
        <f ca="1">IFERROR(__xludf.DUMMYFUNCTION("""COMPUTED_VALUE"""),12)</f>
        <v>12</v>
      </c>
      <c r="K80" s="1">
        <f ca="1">IFERROR(__xludf.DUMMYFUNCTION("""COMPUTED_VALUE"""),3)</f>
        <v>3</v>
      </c>
      <c r="L80" s="1">
        <f ca="1">IFERROR(__xludf.DUMMYFUNCTION("""COMPUTED_VALUE"""),4)</f>
        <v>4</v>
      </c>
      <c r="M80" s="1">
        <f ca="1">IFERROR(__xludf.DUMMYFUNCTION("""COMPUTED_VALUE"""),8)</f>
        <v>8</v>
      </c>
      <c r="N80" s="1">
        <f ca="1">IFERROR(__xludf.DUMMYFUNCTION("""COMPUTED_VALUE"""),1697)</f>
        <v>1697</v>
      </c>
      <c r="O80" s="1">
        <f ca="1">IFERROR(__xludf.DUMMYFUNCTION("""COMPUTED_VALUE"""),1691)</f>
        <v>1691</v>
      </c>
      <c r="P80" s="1">
        <f ca="1">IFERROR(__xludf.DUMMYFUNCTION("""COMPUTED_VALUE"""),1170)</f>
        <v>1170</v>
      </c>
      <c r="Q80" s="1">
        <f ca="1">IFERROR(__xludf.DUMMYFUNCTION("""COMPUTED_VALUE"""),607)</f>
        <v>607</v>
      </c>
      <c r="R80" s="1">
        <f ca="1">IFERROR(__xludf.DUMMYFUNCTION("""COMPUTED_VALUE"""),1485)</f>
        <v>1485</v>
      </c>
      <c r="S80" s="1">
        <f ca="1">IFERROR(__xludf.DUMMYFUNCTION("""COMPUTED_VALUE"""),0.409)</f>
        <v>0.40899999999999997</v>
      </c>
      <c r="T80" s="1">
        <f ca="1">IFERROR(__xludf.DUMMYFUNCTION("""COMPUTED_VALUE"""),145)</f>
        <v>145</v>
      </c>
      <c r="U80" s="1">
        <f ca="1">IFERROR(__xludf.DUMMYFUNCTION("""COMPUTED_VALUE"""),444)</f>
        <v>444</v>
      </c>
      <c r="V80" s="1">
        <f ca="1">IFERROR(__xludf.DUMMYFUNCTION("""COMPUTED_VALUE"""),0.327)</f>
        <v>0.32700000000000001</v>
      </c>
      <c r="W80" s="1">
        <f ca="1">IFERROR(__xludf.DUMMYFUNCTION("""COMPUTED_VALUE"""),338)</f>
        <v>338</v>
      </c>
      <c r="X80" s="1">
        <f ca="1">IFERROR(__xludf.DUMMYFUNCTION("""COMPUTED_VALUE"""),499)</f>
        <v>499</v>
      </c>
      <c r="Y80" s="1">
        <f ca="1">IFERROR(__xludf.DUMMYFUNCTION("""COMPUTED_VALUE"""),0.677)</f>
        <v>0.67700000000000005</v>
      </c>
      <c r="Z80" s="1">
        <f ca="1">IFERROR(__xludf.DUMMYFUNCTION("""COMPUTED_VALUE"""),328)</f>
        <v>328</v>
      </c>
      <c r="AA80" s="1">
        <f ca="1">IFERROR(__xludf.DUMMYFUNCTION("""COMPUTED_VALUE"""),809)</f>
        <v>809</v>
      </c>
      <c r="AB80" s="1">
        <f ca="1">IFERROR(__xludf.DUMMYFUNCTION("""COMPUTED_VALUE"""),300)</f>
        <v>300</v>
      </c>
      <c r="AC80" s="1">
        <f ca="1">IFERROR(__xludf.DUMMYFUNCTION("""COMPUTED_VALUE"""),239)</f>
        <v>239</v>
      </c>
      <c r="AD80" s="1">
        <f ca="1">IFERROR(__xludf.DUMMYFUNCTION("""COMPUTED_VALUE"""),71)</f>
        <v>71</v>
      </c>
      <c r="AE80" s="1">
        <f ca="1">IFERROR(__xludf.DUMMYFUNCTION("""COMPUTED_VALUE"""),332)</f>
        <v>332</v>
      </c>
      <c r="AF80" s="1">
        <f ca="1">IFERROR(__xludf.DUMMYFUNCTION("""COMPUTED_VALUE"""),440)</f>
        <v>440</v>
      </c>
    </row>
    <row r="81" spans="1:32" ht="12.5" x14ac:dyDescent="0.25">
      <c r="A81" s="1" t="str">
        <f ca="1">IFERROR(__xludf.DUMMYFUNCTION("""COMPUTED_VALUE"""),"Delaware")</f>
        <v>Delaware</v>
      </c>
      <c r="B81" s="1">
        <f ca="1">IFERROR(__xludf.DUMMYFUNCTION("""COMPUTED_VALUE"""),31)</f>
        <v>31</v>
      </c>
      <c r="C81" s="1">
        <f ca="1">IFERROR(__xludf.DUMMYFUNCTION("""COMPUTED_VALUE"""),7)</f>
        <v>7</v>
      </c>
      <c r="D81" s="1">
        <f ca="1">IFERROR(__xludf.DUMMYFUNCTION("""COMPUTED_VALUE"""),24)</f>
        <v>24</v>
      </c>
      <c r="E81" s="1">
        <f ca="1">IFERROR(__xludf.DUMMYFUNCTION("""COMPUTED_VALUE"""),0.226)</f>
        <v>0.22600000000000001</v>
      </c>
      <c r="F81" s="1">
        <f ca="1">IFERROR(__xludf.DUMMYFUNCTION("""COMPUTED_VALUE"""),-7.86)</f>
        <v>-7.86</v>
      </c>
      <c r="G81" s="1">
        <f ca="1">IFERROR(__xludf.DUMMYFUNCTION("""COMPUTED_VALUE"""),1.37)</f>
        <v>1.37</v>
      </c>
      <c r="H81" s="1">
        <f ca="1">IFERROR(__xludf.DUMMYFUNCTION("""COMPUTED_VALUE"""),3)</f>
        <v>3</v>
      </c>
      <c r="I81" s="1">
        <f ca="1">IFERROR(__xludf.DUMMYFUNCTION("""COMPUTED_VALUE"""),15)</f>
        <v>15</v>
      </c>
      <c r="J81" s="1">
        <f ca="1">IFERROR(__xludf.DUMMYFUNCTION("""COMPUTED_VALUE"""),5)</f>
        <v>5</v>
      </c>
      <c r="K81" s="1">
        <f ca="1">IFERROR(__xludf.DUMMYFUNCTION("""COMPUTED_VALUE"""),10)</f>
        <v>10</v>
      </c>
      <c r="L81" s="1">
        <f ca="1">IFERROR(__xludf.DUMMYFUNCTION("""COMPUTED_VALUE"""),2)</f>
        <v>2</v>
      </c>
      <c r="M81" s="1">
        <f ca="1">IFERROR(__xludf.DUMMYFUNCTION("""COMPUTED_VALUE"""),13)</f>
        <v>13</v>
      </c>
      <c r="N81" s="1">
        <f ca="1">IFERROR(__xludf.DUMMYFUNCTION("""COMPUTED_VALUE"""),1965)</f>
        <v>1965</v>
      </c>
      <c r="O81" s="1">
        <f ca="1">IFERROR(__xludf.DUMMYFUNCTION("""COMPUTED_VALUE"""),2251)</f>
        <v>2251</v>
      </c>
      <c r="P81" s="1">
        <f ca="1">IFERROR(__xludf.DUMMYFUNCTION("""COMPUTED_VALUE"""),1270)</f>
        <v>1270</v>
      </c>
      <c r="Q81" s="1">
        <f ca="1">IFERROR(__xludf.DUMMYFUNCTION("""COMPUTED_VALUE"""),685)</f>
        <v>685</v>
      </c>
      <c r="R81" s="1">
        <f ca="1">IFERROR(__xludf.DUMMYFUNCTION("""COMPUTED_VALUE"""),1751)</f>
        <v>1751</v>
      </c>
      <c r="S81" s="1">
        <f ca="1">IFERROR(__xludf.DUMMYFUNCTION("""COMPUTED_VALUE"""),0.391)</f>
        <v>0.39100000000000001</v>
      </c>
      <c r="T81" s="1">
        <f ca="1">IFERROR(__xludf.DUMMYFUNCTION("""COMPUTED_VALUE"""),174)</f>
        <v>174</v>
      </c>
      <c r="U81" s="1">
        <f ca="1">IFERROR(__xludf.DUMMYFUNCTION("""COMPUTED_VALUE"""),594)</f>
        <v>594</v>
      </c>
      <c r="V81" s="1">
        <f ca="1">IFERROR(__xludf.DUMMYFUNCTION("""COMPUTED_VALUE"""),0.293)</f>
        <v>0.29299999999999998</v>
      </c>
      <c r="W81" s="1">
        <f ca="1">IFERROR(__xludf.DUMMYFUNCTION("""COMPUTED_VALUE"""),421)</f>
        <v>421</v>
      </c>
      <c r="X81" s="1">
        <f ca="1">IFERROR(__xludf.DUMMYFUNCTION("""COMPUTED_VALUE"""),602)</f>
        <v>602</v>
      </c>
      <c r="Y81" s="1">
        <f ca="1">IFERROR(__xludf.DUMMYFUNCTION("""COMPUTED_VALUE"""),0.699)</f>
        <v>0.69899999999999995</v>
      </c>
      <c r="Z81" s="1">
        <f ca="1">IFERROR(__xludf.DUMMYFUNCTION("""COMPUTED_VALUE"""),400)</f>
        <v>400</v>
      </c>
      <c r="AA81" s="1">
        <f ca="1">IFERROR(__xludf.DUMMYFUNCTION("""COMPUTED_VALUE"""),1078)</f>
        <v>1078</v>
      </c>
      <c r="AB81" s="1">
        <f ca="1">IFERROR(__xludf.DUMMYFUNCTION("""COMPUTED_VALUE"""),361)</f>
        <v>361</v>
      </c>
      <c r="AC81" s="1">
        <f ca="1">IFERROR(__xludf.DUMMYFUNCTION("""COMPUTED_VALUE"""),156)</f>
        <v>156</v>
      </c>
      <c r="AD81" s="1">
        <f ca="1">IFERROR(__xludf.DUMMYFUNCTION("""COMPUTED_VALUE"""),73)</f>
        <v>73</v>
      </c>
      <c r="AE81" s="1">
        <f ca="1">IFERROR(__xludf.DUMMYFUNCTION("""COMPUTED_VALUE"""),411)</f>
        <v>411</v>
      </c>
      <c r="AF81" s="1">
        <f ca="1">IFERROR(__xludf.DUMMYFUNCTION("""COMPUTED_VALUE"""),649)</f>
        <v>649</v>
      </c>
    </row>
    <row r="82" spans="1:32" ht="12.5" x14ac:dyDescent="0.25">
      <c r="A82" s="1" t="str">
        <f ca="1">IFERROR(__xludf.DUMMYFUNCTION("""COMPUTED_VALUE"""),"Denver")</f>
        <v>Denver</v>
      </c>
      <c r="B82" s="1">
        <f ca="1">IFERROR(__xludf.DUMMYFUNCTION("""COMPUTED_VALUE"""),32)</f>
        <v>32</v>
      </c>
      <c r="C82" s="1">
        <f ca="1">IFERROR(__xludf.DUMMYFUNCTION("""COMPUTED_VALUE"""),19)</f>
        <v>19</v>
      </c>
      <c r="D82" s="1">
        <f ca="1">IFERROR(__xludf.DUMMYFUNCTION("""COMPUTED_VALUE"""),13)</f>
        <v>13</v>
      </c>
      <c r="E82" s="1">
        <f ca="1">IFERROR(__xludf.DUMMYFUNCTION("""COMPUTED_VALUE"""),0.594)</f>
        <v>0.59399999999999997</v>
      </c>
      <c r="F82" s="1">
        <f ca="1">IFERROR(__xludf.DUMMYFUNCTION("""COMPUTED_VALUE"""),-2.76)</f>
        <v>-2.76</v>
      </c>
      <c r="G82" s="1">
        <f ca="1">IFERROR(__xludf.DUMMYFUNCTION("""COMPUTED_VALUE"""),-4.89)</f>
        <v>-4.8899999999999997</v>
      </c>
      <c r="H82" s="1">
        <f ca="1">IFERROR(__xludf.DUMMYFUNCTION("""COMPUTED_VALUE"""),10)</f>
        <v>10</v>
      </c>
      <c r="I82" s="1">
        <f ca="1">IFERROR(__xludf.DUMMYFUNCTION("""COMPUTED_VALUE"""),8)</f>
        <v>8</v>
      </c>
      <c r="J82" s="1">
        <f ca="1">IFERROR(__xludf.DUMMYFUNCTION("""COMPUTED_VALUE"""),15)</f>
        <v>15</v>
      </c>
      <c r="K82" s="1">
        <f ca="1">IFERROR(__xludf.DUMMYFUNCTION("""COMPUTED_VALUE"""),1)</f>
        <v>1</v>
      </c>
      <c r="L82" s="1">
        <f ca="1">IFERROR(__xludf.DUMMYFUNCTION("""COMPUTED_VALUE"""),2)</f>
        <v>2</v>
      </c>
      <c r="M82" s="1">
        <f ca="1">IFERROR(__xludf.DUMMYFUNCTION("""COMPUTED_VALUE"""),11)</f>
        <v>11</v>
      </c>
      <c r="N82" s="1">
        <f ca="1">IFERROR(__xludf.DUMMYFUNCTION("""COMPUTED_VALUE"""),2079)</f>
        <v>2079</v>
      </c>
      <c r="O82" s="1">
        <f ca="1">IFERROR(__xludf.DUMMYFUNCTION("""COMPUTED_VALUE"""),2012)</f>
        <v>2012</v>
      </c>
      <c r="P82" s="1">
        <f ca="1">IFERROR(__xludf.DUMMYFUNCTION("""COMPUTED_VALUE"""),1280)</f>
        <v>1280</v>
      </c>
      <c r="Q82" s="1">
        <f ca="1">IFERROR(__xludf.DUMMYFUNCTION("""COMPUTED_VALUE"""),689)</f>
        <v>689</v>
      </c>
      <c r="R82" s="1">
        <f ca="1">IFERROR(__xludf.DUMMYFUNCTION("""COMPUTED_VALUE"""),1406)</f>
        <v>1406</v>
      </c>
      <c r="S82" s="1">
        <f ca="1">IFERROR(__xludf.DUMMYFUNCTION("""COMPUTED_VALUE"""),0.49)</f>
        <v>0.49</v>
      </c>
      <c r="T82" s="1">
        <f ca="1">IFERROR(__xludf.DUMMYFUNCTION("""COMPUTED_VALUE"""),251)</f>
        <v>251</v>
      </c>
      <c r="U82" s="1">
        <f ca="1">IFERROR(__xludf.DUMMYFUNCTION("""COMPUTED_VALUE"""),635)</f>
        <v>635</v>
      </c>
      <c r="V82" s="1">
        <f ca="1">IFERROR(__xludf.DUMMYFUNCTION("""COMPUTED_VALUE"""),0.395)</f>
        <v>0.39500000000000002</v>
      </c>
      <c r="W82" s="1">
        <f ca="1">IFERROR(__xludf.DUMMYFUNCTION("""COMPUTED_VALUE"""),450)</f>
        <v>450</v>
      </c>
      <c r="X82" s="1">
        <f ca="1">IFERROR(__xludf.DUMMYFUNCTION("""COMPUTED_VALUE"""),630)</f>
        <v>630</v>
      </c>
      <c r="Y82" s="1">
        <f ca="1">IFERROR(__xludf.DUMMYFUNCTION("""COMPUTED_VALUE"""),0.714)</f>
        <v>0.71399999999999997</v>
      </c>
      <c r="Z82" s="1">
        <f ca="1">IFERROR(__xludf.DUMMYFUNCTION("""COMPUTED_VALUE"""),156)</f>
        <v>156</v>
      </c>
      <c r="AA82" s="1">
        <f ca="1">IFERROR(__xludf.DUMMYFUNCTION("""COMPUTED_VALUE"""),768)</f>
        <v>768</v>
      </c>
      <c r="AB82" s="1">
        <f ca="1">IFERROR(__xludf.DUMMYFUNCTION("""COMPUTED_VALUE"""),465)</f>
        <v>465</v>
      </c>
      <c r="AC82" s="1">
        <f ca="1">IFERROR(__xludf.DUMMYFUNCTION("""COMPUTED_VALUE"""),181)</f>
        <v>181</v>
      </c>
      <c r="AD82" s="1">
        <f ca="1">IFERROR(__xludf.DUMMYFUNCTION("""COMPUTED_VALUE"""),97)</f>
        <v>97</v>
      </c>
      <c r="AE82" s="1">
        <f ca="1">IFERROR(__xludf.DUMMYFUNCTION("""COMPUTED_VALUE"""),378)</f>
        <v>378</v>
      </c>
      <c r="AF82" s="1">
        <f ca="1">IFERROR(__xludf.DUMMYFUNCTION("""COMPUTED_VALUE"""),697)</f>
        <v>697</v>
      </c>
    </row>
    <row r="83" spans="1:32" ht="12.5" x14ac:dyDescent="0.25">
      <c r="A83" s="1" t="str">
        <f ca="1">IFERROR(__xludf.DUMMYFUNCTION("""COMPUTED_VALUE"""),"DePaul")</f>
        <v>DePaul</v>
      </c>
      <c r="B83" s="1">
        <f ca="1">IFERROR(__xludf.DUMMYFUNCTION("""COMPUTED_VALUE"""),31)</f>
        <v>31</v>
      </c>
      <c r="C83" s="1">
        <f ca="1">IFERROR(__xludf.DUMMYFUNCTION("""COMPUTED_VALUE"""),8)</f>
        <v>8</v>
      </c>
      <c r="D83" s="1">
        <f ca="1">IFERROR(__xludf.DUMMYFUNCTION("""COMPUTED_VALUE"""),23)</f>
        <v>23</v>
      </c>
      <c r="E83" s="1">
        <f ca="1">IFERROR(__xludf.DUMMYFUNCTION("""COMPUTED_VALUE"""),0.258)</f>
        <v>0.25800000000000001</v>
      </c>
      <c r="F83" s="1">
        <f ca="1">IFERROR(__xludf.DUMMYFUNCTION("""COMPUTED_VALUE"""),1.61)</f>
        <v>1.61</v>
      </c>
      <c r="G83" s="1">
        <f ca="1">IFERROR(__xludf.DUMMYFUNCTION("""COMPUTED_VALUE"""),7.58)</f>
        <v>7.58</v>
      </c>
      <c r="H83" s="1">
        <f ca="1">IFERROR(__xludf.DUMMYFUNCTION("""COMPUTED_VALUE"""),1)</f>
        <v>1</v>
      </c>
      <c r="I83" s="1">
        <f ca="1">IFERROR(__xludf.DUMMYFUNCTION("""COMPUTED_VALUE"""),17)</f>
        <v>17</v>
      </c>
      <c r="J83" s="1">
        <f ca="1">IFERROR(__xludf.DUMMYFUNCTION("""COMPUTED_VALUE"""),6)</f>
        <v>6</v>
      </c>
      <c r="K83" s="1">
        <f ca="1">IFERROR(__xludf.DUMMYFUNCTION("""COMPUTED_VALUE"""),9)</f>
        <v>9</v>
      </c>
      <c r="L83" s="1">
        <f ca="1">IFERROR(__xludf.DUMMYFUNCTION("""COMPUTED_VALUE"""),0)</f>
        <v>0</v>
      </c>
      <c r="M83" s="1">
        <f ca="1">IFERROR(__xludf.DUMMYFUNCTION("""COMPUTED_VALUE"""),11)</f>
        <v>11</v>
      </c>
      <c r="N83" s="1">
        <f ca="1">IFERROR(__xludf.DUMMYFUNCTION("""COMPUTED_VALUE"""),1891)</f>
        <v>1891</v>
      </c>
      <c r="O83" s="1">
        <f ca="1">IFERROR(__xludf.DUMMYFUNCTION("""COMPUTED_VALUE"""),2073)</f>
        <v>2073</v>
      </c>
      <c r="P83" s="1">
        <f ca="1">IFERROR(__xludf.DUMMYFUNCTION("""COMPUTED_VALUE"""),1260)</f>
        <v>1260</v>
      </c>
      <c r="Q83" s="1">
        <f ca="1">IFERROR(__xludf.DUMMYFUNCTION("""COMPUTED_VALUE"""),704)</f>
        <v>704</v>
      </c>
      <c r="R83" s="1">
        <f ca="1">IFERROR(__xludf.DUMMYFUNCTION("""COMPUTED_VALUE"""),1771)</f>
        <v>1771</v>
      </c>
      <c r="S83" s="1">
        <f ca="1">IFERROR(__xludf.DUMMYFUNCTION("""COMPUTED_VALUE"""),0.398)</f>
        <v>0.39800000000000002</v>
      </c>
      <c r="T83" s="1">
        <f ca="1">IFERROR(__xludf.DUMMYFUNCTION("""COMPUTED_VALUE"""),175)</f>
        <v>175</v>
      </c>
      <c r="U83" s="1">
        <f ca="1">IFERROR(__xludf.DUMMYFUNCTION("""COMPUTED_VALUE"""),558)</f>
        <v>558</v>
      </c>
      <c r="V83" s="1">
        <f ca="1">IFERROR(__xludf.DUMMYFUNCTION("""COMPUTED_VALUE"""),0.314)</f>
        <v>0.314</v>
      </c>
      <c r="W83" s="1">
        <f ca="1">IFERROR(__xludf.DUMMYFUNCTION("""COMPUTED_VALUE"""),308)</f>
        <v>308</v>
      </c>
      <c r="X83" s="1">
        <f ca="1">IFERROR(__xludf.DUMMYFUNCTION("""COMPUTED_VALUE"""),529)</f>
        <v>529</v>
      </c>
      <c r="Y83" s="1">
        <f ca="1">IFERROR(__xludf.DUMMYFUNCTION("""COMPUTED_VALUE"""),0.582)</f>
        <v>0.58199999999999996</v>
      </c>
      <c r="Z83" s="1">
        <f ca="1">IFERROR(__xludf.DUMMYFUNCTION("""COMPUTED_VALUE"""),372)</f>
        <v>372</v>
      </c>
      <c r="AA83" s="1">
        <f ca="1">IFERROR(__xludf.DUMMYFUNCTION("""COMPUTED_VALUE"""),1036)</f>
        <v>1036</v>
      </c>
      <c r="AB83" s="1">
        <f ca="1">IFERROR(__xludf.DUMMYFUNCTION("""COMPUTED_VALUE"""),366)</f>
        <v>366</v>
      </c>
      <c r="AC83" s="1">
        <f ca="1">IFERROR(__xludf.DUMMYFUNCTION("""COMPUTED_VALUE"""),236)</f>
        <v>236</v>
      </c>
      <c r="AD83" s="1">
        <f ca="1">IFERROR(__xludf.DUMMYFUNCTION("""COMPUTED_VALUE"""),97)</f>
        <v>97</v>
      </c>
      <c r="AE83" s="1">
        <f ca="1">IFERROR(__xludf.DUMMYFUNCTION("""COMPUTED_VALUE"""),338)</f>
        <v>338</v>
      </c>
      <c r="AF83" s="1">
        <f ca="1">IFERROR(__xludf.DUMMYFUNCTION("""COMPUTED_VALUE"""),570)</f>
        <v>570</v>
      </c>
    </row>
    <row r="84" spans="1:32" ht="12.5" x14ac:dyDescent="0.25">
      <c r="A84" s="1" t="str">
        <f ca="1">IFERROR(__xludf.DUMMYFUNCTION("""COMPUTED_VALUE"""),"Detroit Mercy")</f>
        <v>Detroit Mercy</v>
      </c>
      <c r="B84" s="1">
        <f ca="1">IFERROR(__xludf.DUMMYFUNCTION("""COMPUTED_VALUE"""),34)</f>
        <v>34</v>
      </c>
      <c r="C84" s="1">
        <f ca="1">IFERROR(__xludf.DUMMYFUNCTION("""COMPUTED_VALUE"""),20)</f>
        <v>20</v>
      </c>
      <c r="D84" s="1">
        <f ca="1">IFERROR(__xludf.DUMMYFUNCTION("""COMPUTED_VALUE"""),14)</f>
        <v>14</v>
      </c>
      <c r="E84" s="1">
        <f ca="1">IFERROR(__xludf.DUMMYFUNCTION("""COMPUTED_VALUE"""),0.588)</f>
        <v>0.58799999999999997</v>
      </c>
      <c r="F84" s="1">
        <f ca="1">IFERROR(__xludf.DUMMYFUNCTION("""COMPUTED_VALUE"""),1.35)</f>
        <v>1.35</v>
      </c>
      <c r="G84" s="1">
        <f ca="1">IFERROR(__xludf.DUMMYFUNCTION("""COMPUTED_VALUE"""),-1.59)</f>
        <v>-1.59</v>
      </c>
      <c r="H84" s="1">
        <f ca="1">IFERROR(__xludf.DUMMYFUNCTION("""COMPUTED_VALUE"""),9)</f>
        <v>9</v>
      </c>
      <c r="I84" s="1">
        <f ca="1">IFERROR(__xludf.DUMMYFUNCTION("""COMPUTED_VALUE"""),9)</f>
        <v>9</v>
      </c>
      <c r="J84" s="1">
        <f ca="1">IFERROR(__xludf.DUMMYFUNCTION("""COMPUTED_VALUE"""),11)</f>
        <v>11</v>
      </c>
      <c r="K84" s="1">
        <f ca="1">IFERROR(__xludf.DUMMYFUNCTION("""COMPUTED_VALUE"""),5)</f>
        <v>5</v>
      </c>
      <c r="L84" s="1">
        <f ca="1">IFERROR(__xludf.DUMMYFUNCTION("""COMPUTED_VALUE"""),6)</f>
        <v>6</v>
      </c>
      <c r="M84" s="1">
        <f ca="1">IFERROR(__xludf.DUMMYFUNCTION("""COMPUTED_VALUE"""),8)</f>
        <v>8</v>
      </c>
      <c r="N84" s="1">
        <f ca="1">IFERROR(__xludf.DUMMYFUNCTION("""COMPUTED_VALUE"""),2360)</f>
        <v>2360</v>
      </c>
      <c r="O84" s="1">
        <f ca="1">IFERROR(__xludf.DUMMYFUNCTION("""COMPUTED_VALUE"""),2234)</f>
        <v>2234</v>
      </c>
      <c r="P84" s="1">
        <f ca="1">IFERROR(__xludf.DUMMYFUNCTION("""COMPUTED_VALUE"""),1370)</f>
        <v>1370</v>
      </c>
      <c r="Q84" s="1">
        <f ca="1">IFERROR(__xludf.DUMMYFUNCTION("""COMPUTED_VALUE"""),829)</f>
        <v>829</v>
      </c>
      <c r="R84" s="1">
        <f ca="1">IFERROR(__xludf.DUMMYFUNCTION("""COMPUTED_VALUE"""),1805)</f>
        <v>1805</v>
      </c>
      <c r="S84" s="1">
        <f ca="1">IFERROR(__xludf.DUMMYFUNCTION("""COMPUTED_VALUE"""),0.459)</f>
        <v>0.45900000000000002</v>
      </c>
      <c r="T84" s="1">
        <f ca="1">IFERROR(__xludf.DUMMYFUNCTION("""COMPUTED_VALUE"""),146)</f>
        <v>146</v>
      </c>
      <c r="U84" s="1">
        <f ca="1">IFERROR(__xludf.DUMMYFUNCTION("""COMPUTED_VALUE"""),438)</f>
        <v>438</v>
      </c>
      <c r="V84" s="1">
        <f ca="1">IFERROR(__xludf.DUMMYFUNCTION("""COMPUTED_VALUE"""),0.333)</f>
        <v>0.33300000000000002</v>
      </c>
      <c r="W84" s="1">
        <f ca="1">IFERROR(__xludf.DUMMYFUNCTION("""COMPUTED_VALUE"""),556)</f>
        <v>556</v>
      </c>
      <c r="X84" s="1">
        <f ca="1">IFERROR(__xludf.DUMMYFUNCTION("""COMPUTED_VALUE"""),849)</f>
        <v>849</v>
      </c>
      <c r="Y84" s="1">
        <f ca="1">IFERROR(__xludf.DUMMYFUNCTION("""COMPUTED_VALUE"""),0.655)</f>
        <v>0.65500000000000003</v>
      </c>
      <c r="Z84" s="1">
        <f ca="1">IFERROR(__xludf.DUMMYFUNCTION("""COMPUTED_VALUE"""),401)</f>
        <v>401</v>
      </c>
      <c r="AA84" s="1">
        <f ca="1">IFERROR(__xludf.DUMMYFUNCTION("""COMPUTED_VALUE"""),1225)</f>
        <v>1225</v>
      </c>
      <c r="AB84" s="1">
        <f ca="1">IFERROR(__xludf.DUMMYFUNCTION("""COMPUTED_VALUE"""),464)</f>
        <v>464</v>
      </c>
      <c r="AC84" s="1">
        <f ca="1">IFERROR(__xludf.DUMMYFUNCTION("""COMPUTED_VALUE"""),255)</f>
        <v>255</v>
      </c>
      <c r="AD84" s="1">
        <f ca="1">IFERROR(__xludf.DUMMYFUNCTION("""COMPUTED_VALUE"""),133)</f>
        <v>133</v>
      </c>
      <c r="AE84" s="1">
        <f ca="1">IFERROR(__xludf.DUMMYFUNCTION("""COMPUTED_VALUE"""),530)</f>
        <v>530</v>
      </c>
      <c r="AF84" s="1">
        <f ca="1">IFERROR(__xludf.DUMMYFUNCTION("""COMPUTED_VALUE"""),631)</f>
        <v>631</v>
      </c>
    </row>
    <row r="85" spans="1:32" ht="12.5" x14ac:dyDescent="0.25">
      <c r="A85" s="1" t="str">
        <f ca="1">IFERROR(__xludf.DUMMYFUNCTION("""COMPUTED_VALUE"""),"Drake")</f>
        <v>Drake</v>
      </c>
      <c r="B85" s="1">
        <f ca="1">IFERROR(__xludf.DUMMYFUNCTION("""COMPUTED_VALUE"""),33)</f>
        <v>33</v>
      </c>
      <c r="C85" s="1">
        <f ca="1">IFERROR(__xludf.DUMMYFUNCTION("""COMPUTED_VALUE"""),14)</f>
        <v>14</v>
      </c>
      <c r="D85" s="1">
        <f ca="1">IFERROR(__xludf.DUMMYFUNCTION("""COMPUTED_VALUE"""),19)</f>
        <v>19</v>
      </c>
      <c r="E85" s="1">
        <f ca="1">IFERROR(__xludf.DUMMYFUNCTION("""COMPUTED_VALUE"""),0.424)</f>
        <v>0.42399999999999999</v>
      </c>
      <c r="F85" s="1">
        <f ca="1">IFERROR(__xludf.DUMMYFUNCTION("""COMPUTED_VALUE"""),0.54)</f>
        <v>0.54</v>
      </c>
      <c r="G85" s="1">
        <f ca="1">IFERROR(__xludf.DUMMYFUNCTION("""COMPUTED_VALUE"""),3.34)</f>
        <v>3.34</v>
      </c>
      <c r="H85" s="1">
        <f ca="1">IFERROR(__xludf.DUMMYFUNCTION("""COMPUTED_VALUE"""),7)</f>
        <v>7</v>
      </c>
      <c r="I85" s="1">
        <f ca="1">IFERROR(__xludf.DUMMYFUNCTION("""COMPUTED_VALUE"""),11)</f>
        <v>11</v>
      </c>
      <c r="J85" s="1">
        <f ca="1">IFERROR(__xludf.DUMMYFUNCTION("""COMPUTED_VALUE"""),8)</f>
        <v>8</v>
      </c>
      <c r="K85" s="1">
        <f ca="1">IFERROR(__xludf.DUMMYFUNCTION("""COMPUTED_VALUE"""),8)</f>
        <v>8</v>
      </c>
      <c r="L85" s="1">
        <f ca="1">IFERROR(__xludf.DUMMYFUNCTION("""COMPUTED_VALUE"""),4)</f>
        <v>4</v>
      </c>
      <c r="M85" s="1">
        <f ca="1">IFERROR(__xludf.DUMMYFUNCTION("""COMPUTED_VALUE"""),8)</f>
        <v>8</v>
      </c>
      <c r="N85" s="1">
        <f ca="1">IFERROR(__xludf.DUMMYFUNCTION("""COMPUTED_VALUE"""),2197)</f>
        <v>2197</v>
      </c>
      <c r="O85" s="1">
        <f ca="1">IFERROR(__xludf.DUMMYFUNCTION("""COMPUTED_VALUE"""),2259)</f>
        <v>2259</v>
      </c>
      <c r="P85" s="1">
        <f ca="1">IFERROR(__xludf.DUMMYFUNCTION("""COMPUTED_VALUE"""),1325)</f>
        <v>1325</v>
      </c>
      <c r="Q85" s="1">
        <f ca="1">IFERROR(__xludf.DUMMYFUNCTION("""COMPUTED_VALUE"""),738)</f>
        <v>738</v>
      </c>
      <c r="R85" s="1">
        <f ca="1">IFERROR(__xludf.DUMMYFUNCTION("""COMPUTED_VALUE"""),1694)</f>
        <v>1694</v>
      </c>
      <c r="S85" s="1">
        <f ca="1">IFERROR(__xludf.DUMMYFUNCTION("""COMPUTED_VALUE"""),0.436)</f>
        <v>0.436</v>
      </c>
      <c r="T85" s="1">
        <f ca="1">IFERROR(__xludf.DUMMYFUNCTION("""COMPUTED_VALUE"""),284)</f>
        <v>284</v>
      </c>
      <c r="U85" s="1">
        <f ca="1">IFERROR(__xludf.DUMMYFUNCTION("""COMPUTED_VALUE"""),746)</f>
        <v>746</v>
      </c>
      <c r="V85" s="1">
        <f ca="1">IFERROR(__xludf.DUMMYFUNCTION("""COMPUTED_VALUE"""),0.381)</f>
        <v>0.38100000000000001</v>
      </c>
      <c r="W85" s="1">
        <f ca="1">IFERROR(__xludf.DUMMYFUNCTION("""COMPUTED_VALUE"""),437)</f>
        <v>437</v>
      </c>
      <c r="X85" s="1">
        <f ca="1">IFERROR(__xludf.DUMMYFUNCTION("""COMPUTED_VALUE"""),577)</f>
        <v>577</v>
      </c>
      <c r="Y85" s="1">
        <f ca="1">IFERROR(__xludf.DUMMYFUNCTION("""COMPUTED_VALUE"""),0.757)</f>
        <v>0.75700000000000001</v>
      </c>
      <c r="Z85" s="1">
        <f ca="1">IFERROR(__xludf.DUMMYFUNCTION("""COMPUTED_VALUE"""),221)</f>
        <v>221</v>
      </c>
      <c r="AA85" s="1">
        <f ca="1">IFERROR(__xludf.DUMMYFUNCTION("""COMPUTED_VALUE"""),939)</f>
        <v>939</v>
      </c>
      <c r="AB85" s="1">
        <f ca="1">IFERROR(__xludf.DUMMYFUNCTION("""COMPUTED_VALUE"""),386)</f>
        <v>386</v>
      </c>
      <c r="AC85" s="1">
        <f ca="1">IFERROR(__xludf.DUMMYFUNCTION("""COMPUTED_VALUE"""),182)</f>
        <v>182</v>
      </c>
      <c r="AD85" s="1">
        <f ca="1">IFERROR(__xludf.DUMMYFUNCTION("""COMPUTED_VALUE"""),67)</f>
        <v>67</v>
      </c>
      <c r="AE85" s="1">
        <f ca="1">IFERROR(__xludf.DUMMYFUNCTION("""COMPUTED_VALUE"""),332)</f>
        <v>332</v>
      </c>
      <c r="AF85" s="1">
        <f ca="1">IFERROR(__xludf.DUMMYFUNCTION("""COMPUTED_VALUE"""),551)</f>
        <v>551</v>
      </c>
    </row>
    <row r="86" spans="1:32" ht="12.5" x14ac:dyDescent="0.25">
      <c r="A86" s="1" t="str">
        <f ca="1">IFERROR(__xludf.DUMMYFUNCTION("""COMPUTED_VALUE"""),"Drexel")</f>
        <v>Drexel</v>
      </c>
      <c r="B86" s="1">
        <f ca="1">IFERROR(__xludf.DUMMYFUNCTION("""COMPUTED_VALUE"""),32)</f>
        <v>32</v>
      </c>
      <c r="C86" s="1">
        <f ca="1">IFERROR(__xludf.DUMMYFUNCTION("""COMPUTED_VALUE"""),16)</f>
        <v>16</v>
      </c>
      <c r="D86" s="1">
        <f ca="1">IFERROR(__xludf.DUMMYFUNCTION("""COMPUTED_VALUE"""),16)</f>
        <v>16</v>
      </c>
      <c r="E86" s="1">
        <f ca="1">IFERROR(__xludf.DUMMYFUNCTION("""COMPUTED_VALUE"""),0.5)</f>
        <v>0.5</v>
      </c>
      <c r="F86" s="1">
        <f ca="1">IFERROR(__xludf.DUMMYFUNCTION("""COMPUTED_VALUE"""),-0.03)</f>
        <v>-0.03</v>
      </c>
      <c r="G86" s="1">
        <f ca="1">IFERROR(__xludf.DUMMYFUNCTION("""COMPUTED_VALUE"""),0.19)</f>
        <v>0.19</v>
      </c>
      <c r="H86" s="1">
        <f ca="1">IFERROR(__xludf.DUMMYFUNCTION("""COMPUTED_VALUE"""),11)</f>
        <v>11</v>
      </c>
      <c r="I86" s="1">
        <f ca="1">IFERROR(__xludf.DUMMYFUNCTION("""COMPUTED_VALUE"""),7)</f>
        <v>7</v>
      </c>
      <c r="J86" s="1">
        <f ca="1">IFERROR(__xludf.DUMMYFUNCTION("""COMPUTED_VALUE"""),10)</f>
        <v>10</v>
      </c>
      <c r="K86" s="1">
        <f ca="1">IFERROR(__xludf.DUMMYFUNCTION("""COMPUTED_VALUE"""),4)</f>
        <v>4</v>
      </c>
      <c r="L86" s="1">
        <f ca="1">IFERROR(__xludf.DUMMYFUNCTION("""COMPUTED_VALUE"""),6)</f>
        <v>6</v>
      </c>
      <c r="M86" s="1">
        <f ca="1">IFERROR(__xludf.DUMMYFUNCTION("""COMPUTED_VALUE"""),11)</f>
        <v>11</v>
      </c>
      <c r="N86" s="1">
        <f ca="1">IFERROR(__xludf.DUMMYFUNCTION("""COMPUTED_VALUE"""),2044)</f>
        <v>2044</v>
      </c>
      <c r="O86" s="1">
        <f ca="1">IFERROR(__xludf.DUMMYFUNCTION("""COMPUTED_VALUE"""),2051)</f>
        <v>2051</v>
      </c>
      <c r="P86" s="1">
        <f ca="1">IFERROR(__xludf.DUMMYFUNCTION("""COMPUTED_VALUE"""),1285)</f>
        <v>1285</v>
      </c>
      <c r="Q86" s="1">
        <f ca="1">IFERROR(__xludf.DUMMYFUNCTION("""COMPUTED_VALUE"""),732)</f>
        <v>732</v>
      </c>
      <c r="R86" s="1">
        <f ca="1">IFERROR(__xludf.DUMMYFUNCTION("""COMPUTED_VALUE"""),1802)</f>
        <v>1802</v>
      </c>
      <c r="S86" s="1">
        <f ca="1">IFERROR(__xludf.DUMMYFUNCTION("""COMPUTED_VALUE"""),0.406)</f>
        <v>0.40600000000000003</v>
      </c>
      <c r="T86" s="1">
        <f ca="1">IFERROR(__xludf.DUMMYFUNCTION("""COMPUTED_VALUE"""),153)</f>
        <v>153</v>
      </c>
      <c r="U86" s="1">
        <f ca="1">IFERROR(__xludf.DUMMYFUNCTION("""COMPUTED_VALUE"""),490)</f>
        <v>490</v>
      </c>
      <c r="V86" s="1">
        <f ca="1">IFERROR(__xludf.DUMMYFUNCTION("""COMPUTED_VALUE"""),0.312)</f>
        <v>0.312</v>
      </c>
      <c r="W86" s="1">
        <f ca="1">IFERROR(__xludf.DUMMYFUNCTION("""COMPUTED_VALUE"""),427)</f>
        <v>427</v>
      </c>
      <c r="X86" s="1">
        <f ca="1">IFERROR(__xludf.DUMMYFUNCTION("""COMPUTED_VALUE"""),650)</f>
        <v>650</v>
      </c>
      <c r="Y86" s="1">
        <f ca="1">IFERROR(__xludf.DUMMYFUNCTION("""COMPUTED_VALUE"""),0.657)</f>
        <v>0.65700000000000003</v>
      </c>
      <c r="Z86" s="1">
        <f ca="1">IFERROR(__xludf.DUMMYFUNCTION("""COMPUTED_VALUE"""),407)</f>
        <v>407</v>
      </c>
      <c r="AA86" s="1">
        <f ca="1">IFERROR(__xludf.DUMMYFUNCTION("""COMPUTED_VALUE"""),1152)</f>
        <v>1152</v>
      </c>
      <c r="AB86" s="1">
        <f ca="1">IFERROR(__xludf.DUMMYFUNCTION("""COMPUTED_VALUE"""),397)</f>
        <v>397</v>
      </c>
      <c r="AC86" s="1">
        <f ca="1">IFERROR(__xludf.DUMMYFUNCTION("""COMPUTED_VALUE"""),190)</f>
        <v>190</v>
      </c>
      <c r="AD86" s="1">
        <f ca="1">IFERROR(__xludf.DUMMYFUNCTION("""COMPUTED_VALUE"""),113)</f>
        <v>113</v>
      </c>
      <c r="AE86" s="1">
        <f ca="1">IFERROR(__xludf.DUMMYFUNCTION("""COMPUTED_VALUE"""),387)</f>
        <v>387</v>
      </c>
      <c r="AF86" s="1">
        <f ca="1">IFERROR(__xludf.DUMMYFUNCTION("""COMPUTED_VALUE"""),665)</f>
        <v>665</v>
      </c>
    </row>
    <row r="87" spans="1:32" ht="12.5" x14ac:dyDescent="0.25">
      <c r="A87" s="1" t="str">
        <f ca="1">IFERROR(__xludf.DUMMYFUNCTION("""COMPUTED_VALUE"""),"DukeNCAA")</f>
        <v>DukeNCAA</v>
      </c>
      <c r="B87" s="1">
        <f ca="1">IFERROR(__xludf.DUMMYFUNCTION("""COMPUTED_VALUE"""),40)</f>
        <v>40</v>
      </c>
      <c r="C87" s="1">
        <f ca="1">IFERROR(__xludf.DUMMYFUNCTION("""COMPUTED_VALUE"""),35)</f>
        <v>35</v>
      </c>
      <c r="D87" s="1">
        <f ca="1">IFERROR(__xludf.DUMMYFUNCTION("""COMPUTED_VALUE"""),5)</f>
        <v>5</v>
      </c>
      <c r="E87" s="1">
        <f ca="1">IFERROR(__xludf.DUMMYFUNCTION("""COMPUTED_VALUE"""),0.875)</f>
        <v>0.875</v>
      </c>
      <c r="F87" s="1">
        <f ca="1">IFERROR(__xludf.DUMMYFUNCTION("""COMPUTED_VALUE"""),25.21)</f>
        <v>25.21</v>
      </c>
      <c r="G87" s="1">
        <f ca="1">IFERROR(__xludf.DUMMYFUNCTION("""COMPUTED_VALUE"""),9.21)</f>
        <v>9.2100000000000009</v>
      </c>
      <c r="H87" s="1">
        <f ca="1">IFERROR(__xludf.DUMMYFUNCTION("""COMPUTED_VALUE"""),13)</f>
        <v>13</v>
      </c>
      <c r="I87" s="1">
        <f ca="1">IFERROR(__xludf.DUMMYFUNCTION("""COMPUTED_VALUE"""),3)</f>
        <v>3</v>
      </c>
      <c r="J87" s="1">
        <f ca="1">IFERROR(__xludf.DUMMYFUNCTION("""COMPUTED_VALUE"""),17)</f>
        <v>17</v>
      </c>
      <c r="K87" s="1">
        <f ca="1">IFERROR(__xludf.DUMMYFUNCTION("""COMPUTED_VALUE"""),0)</f>
        <v>0</v>
      </c>
      <c r="L87" s="1">
        <f ca="1">IFERROR(__xludf.DUMMYFUNCTION("""COMPUTED_VALUE"""),5)</f>
        <v>5</v>
      </c>
      <c r="M87" s="1">
        <f ca="1">IFERROR(__xludf.DUMMYFUNCTION("""COMPUTED_VALUE"""),5)</f>
        <v>5</v>
      </c>
      <c r="N87" s="1">
        <f ca="1">IFERROR(__xludf.DUMMYFUNCTION("""COMPUTED_VALUE"""),3079)</f>
        <v>3079</v>
      </c>
      <c r="O87" s="1">
        <f ca="1">IFERROR(__xludf.DUMMYFUNCTION("""COMPUTED_VALUE"""),2441)</f>
        <v>2441</v>
      </c>
      <c r="P87" s="1">
        <f ca="1">IFERROR(__xludf.DUMMYFUNCTION("""COMPUTED_VALUE"""),1600)</f>
        <v>1600</v>
      </c>
      <c r="Q87" s="1">
        <f ca="1">IFERROR(__xludf.DUMMYFUNCTION("""COMPUTED_VALUE"""),1049)</f>
        <v>1049</v>
      </c>
      <c r="R87" s="1">
        <f ca="1">IFERROR(__xludf.DUMMYFUNCTION("""COMPUTED_VALUE"""),2375)</f>
        <v>2375</v>
      </c>
      <c r="S87" s="1">
        <f ca="1">IFERROR(__xludf.DUMMYFUNCTION("""COMPUTED_VALUE"""),0.442)</f>
        <v>0.442</v>
      </c>
      <c r="T87" s="1">
        <f ca="1">IFERROR(__xludf.DUMMYFUNCTION("""COMPUTED_VALUE"""),301)</f>
        <v>301</v>
      </c>
      <c r="U87" s="1">
        <f ca="1">IFERROR(__xludf.DUMMYFUNCTION("""COMPUTED_VALUE"""),782)</f>
        <v>782</v>
      </c>
      <c r="V87" s="1">
        <f ca="1">IFERROR(__xludf.DUMMYFUNCTION("""COMPUTED_VALUE"""),0.385)</f>
        <v>0.38500000000000001</v>
      </c>
      <c r="W87" s="1">
        <f ca="1">IFERROR(__xludf.DUMMYFUNCTION("""COMPUTED_VALUE"""),682)</f>
        <v>682</v>
      </c>
      <c r="X87" s="1">
        <f ca="1">IFERROR(__xludf.DUMMYFUNCTION("""COMPUTED_VALUE"""),899)</f>
        <v>899</v>
      </c>
      <c r="Y87" s="1">
        <f ca="1">IFERROR(__xludf.DUMMYFUNCTION("""COMPUTED_VALUE"""),0.759)</f>
        <v>0.75900000000000001</v>
      </c>
      <c r="Z87" s="1">
        <f ca="1">IFERROR(__xludf.DUMMYFUNCTION("""COMPUTED_VALUE"""),569)</f>
        <v>569</v>
      </c>
      <c r="AA87" s="1">
        <f ca="1">IFERROR(__xludf.DUMMYFUNCTION("""COMPUTED_VALUE"""),1560)</f>
        <v>1560</v>
      </c>
      <c r="AB87" s="1">
        <f ca="1">IFERROR(__xludf.DUMMYFUNCTION("""COMPUTED_VALUE"""),555)</f>
        <v>555</v>
      </c>
      <c r="AC87" s="1">
        <f ca="1">IFERROR(__xludf.DUMMYFUNCTION("""COMPUTED_VALUE"""),266)</f>
        <v>266</v>
      </c>
      <c r="AD87" s="1">
        <f ca="1">IFERROR(__xludf.DUMMYFUNCTION("""COMPUTED_VALUE"""),162)</f>
        <v>162</v>
      </c>
      <c r="AE87" s="1">
        <f ca="1">IFERROR(__xludf.DUMMYFUNCTION("""COMPUTED_VALUE"""),429)</f>
        <v>429</v>
      </c>
      <c r="AF87" s="1">
        <f ca="1">IFERROR(__xludf.DUMMYFUNCTION("""COMPUTED_VALUE"""),722)</f>
        <v>722</v>
      </c>
    </row>
    <row r="88" spans="1:32" ht="12.5" x14ac:dyDescent="0.25">
      <c r="A88" s="1" t="str">
        <f ca="1">IFERROR(__xludf.DUMMYFUNCTION("""COMPUTED_VALUE"""),"Overall")</f>
        <v>Overall</v>
      </c>
      <c r="B88" s="1" t="str">
        <f ca="1">IFERROR(__xludf.DUMMYFUNCTION("""COMPUTED_VALUE"""),"Conf.")</f>
        <v>Conf.</v>
      </c>
      <c r="C88" s="1" t="str">
        <f ca="1">IFERROR(__xludf.DUMMYFUNCTION("""COMPUTED_VALUE"""),"Home")</f>
        <v>Home</v>
      </c>
      <c r="D88" s="1" t="str">
        <f ca="1">IFERROR(__xludf.DUMMYFUNCTION("""COMPUTED_VALUE"""),"Away")</f>
        <v>Away</v>
      </c>
      <c r="E88" s="1" t="str">
        <f ca="1">IFERROR(__xludf.DUMMYFUNCTION("""COMPUTED_VALUE"""),"Points")</f>
        <v>Points</v>
      </c>
      <c r="F88" s="1" t="str">
        <f ca="1">IFERROR(__xludf.DUMMYFUNCTION("""COMPUTED_VALUE"""),"")</f>
        <v/>
      </c>
      <c r="G88" s="1" t="str">
        <f ca="1">IFERROR(__xludf.DUMMYFUNCTION("""COMPUTED_VALUE"""),"School Totals")</f>
        <v>School Totals</v>
      </c>
      <c r="H88" s="1" t="str">
        <f ca="1">IFERROR(__xludf.DUMMYFUNCTION("""COMPUTED_VALUE"""),"")</f>
        <v/>
      </c>
      <c r="I88" s="1" t="str">
        <f ca="1">IFERROR(__xludf.DUMMYFUNCTION("""COMPUTED_VALUE"""),"")</f>
        <v/>
      </c>
      <c r="J88" s="1" t="str">
        <f ca="1">IFERROR(__xludf.DUMMYFUNCTION("""COMPUTED_VALUE"""),"")</f>
        <v/>
      </c>
      <c r="K88" s="1" t="str">
        <f ca="1">IFERROR(__xludf.DUMMYFUNCTION("""COMPUTED_VALUE"""),"")</f>
        <v/>
      </c>
      <c r="L88" s="1" t="str">
        <f ca="1">IFERROR(__xludf.DUMMYFUNCTION("""COMPUTED_VALUE"""),"")</f>
        <v/>
      </c>
      <c r="M88" s="1" t="str">
        <f ca="1">IFERROR(__xludf.DUMMYFUNCTION("""COMPUTED_VALUE"""),"")</f>
        <v/>
      </c>
      <c r="N88" s="1" t="str">
        <f ca="1">IFERROR(__xludf.DUMMYFUNCTION("""COMPUTED_VALUE"""),"")</f>
        <v/>
      </c>
      <c r="O88" s="1" t="str">
        <f ca="1">IFERROR(__xludf.DUMMYFUNCTION("""COMPUTED_VALUE"""),"")</f>
        <v/>
      </c>
      <c r="P88" s="1" t="str">
        <f ca="1">IFERROR(__xludf.DUMMYFUNCTION("""COMPUTED_VALUE"""),"")</f>
        <v/>
      </c>
      <c r="Q88" s="1" t="str">
        <f ca="1">IFERROR(__xludf.DUMMYFUNCTION("""COMPUTED_VALUE"""),"")</f>
        <v/>
      </c>
      <c r="R88" s="1" t="str">
        <f ca="1">IFERROR(__xludf.DUMMYFUNCTION("""COMPUTED_VALUE"""),"")</f>
        <v/>
      </c>
      <c r="S88" s="1" t="str">
        <f ca="1">IFERROR(__xludf.DUMMYFUNCTION("""COMPUTED_VALUE"""),"")</f>
        <v/>
      </c>
      <c r="T88" s="1" t="str">
        <f ca="1">IFERROR(__xludf.DUMMYFUNCTION("""COMPUTED_VALUE"""),"")</f>
        <v/>
      </c>
      <c r="U88" s="1" t="str">
        <f ca="1">IFERROR(__xludf.DUMMYFUNCTION("""COMPUTED_VALUE"""),"")</f>
        <v/>
      </c>
      <c r="V88" s="1" t="str">
        <f ca="1">IFERROR(__xludf.DUMMYFUNCTION("""COMPUTED_VALUE"""),"")</f>
        <v/>
      </c>
      <c r="W88" s="1" t="str">
        <f ca="1">IFERROR(__xludf.DUMMYFUNCTION("""COMPUTED_VALUE"""),"")</f>
        <v/>
      </c>
      <c r="X88" s="1" t="str">
        <f ca="1">IFERROR(__xludf.DUMMYFUNCTION("""COMPUTED_VALUE"""),"")</f>
        <v/>
      </c>
      <c r="Y88" s="1" t="str">
        <f ca="1">IFERROR(__xludf.DUMMYFUNCTION("""COMPUTED_VALUE"""),"")</f>
        <v/>
      </c>
      <c r="Z88" s="1" t="str">
        <f ca="1">IFERROR(__xludf.DUMMYFUNCTION("""COMPUTED_VALUE"""),"")</f>
        <v/>
      </c>
      <c r="AA88" s="1" t="str">
        <f ca="1">IFERROR(__xludf.DUMMYFUNCTION("""COMPUTED_VALUE"""),"")</f>
        <v/>
      </c>
      <c r="AB88" s="1" t="str">
        <f ca="1">IFERROR(__xludf.DUMMYFUNCTION("""COMPUTED_VALUE"""),"")</f>
        <v/>
      </c>
      <c r="AC88" s="1" t="str">
        <f ca="1">IFERROR(__xludf.DUMMYFUNCTION("""COMPUTED_VALUE"""),"")</f>
        <v/>
      </c>
      <c r="AD88" s="1" t="str">
        <f ca="1">IFERROR(__xludf.DUMMYFUNCTION("""COMPUTED_VALUE"""),"")</f>
        <v/>
      </c>
      <c r="AE88" s="1" t="str">
        <f ca="1">IFERROR(__xludf.DUMMYFUNCTION("""COMPUTED_VALUE"""),"")</f>
        <v/>
      </c>
      <c r="AF88" s="1" t="str">
        <f ca="1">IFERROR(__xludf.DUMMYFUNCTION("""COMPUTED_VALUE"""),"")</f>
        <v/>
      </c>
    </row>
    <row r="89" spans="1:32" ht="12.5" x14ac:dyDescent="0.25">
      <c r="A89" s="1" t="str">
        <f ca="1">IFERROR(__xludf.DUMMYFUNCTION("""COMPUTED_VALUE"""),"School")</f>
        <v>School</v>
      </c>
      <c r="B89" s="1" t="str">
        <f ca="1">IFERROR(__xludf.DUMMYFUNCTION("""COMPUTED_VALUE"""),"G")</f>
        <v>G</v>
      </c>
      <c r="C89" s="1" t="str">
        <f ca="1">IFERROR(__xludf.DUMMYFUNCTION("""COMPUTED_VALUE"""),"W")</f>
        <v>W</v>
      </c>
      <c r="D89" s="1" t="str">
        <f ca="1">IFERROR(__xludf.DUMMYFUNCTION("""COMPUTED_VALUE"""),"L")</f>
        <v>L</v>
      </c>
      <c r="E89" s="1" t="str">
        <f ca="1">IFERROR(__xludf.DUMMYFUNCTION("""COMPUTED_VALUE"""),"W-L%")</f>
        <v>W-L%</v>
      </c>
      <c r="F89" s="1" t="str">
        <f ca="1">IFERROR(__xludf.DUMMYFUNCTION("""COMPUTED_VALUE"""),"SRS")</f>
        <v>SRS</v>
      </c>
      <c r="G89" s="1" t="str">
        <f ca="1">IFERROR(__xludf.DUMMYFUNCTION("""COMPUTED_VALUE"""),"SOS")</f>
        <v>SOS</v>
      </c>
      <c r="H89" s="1" t="str">
        <f ca="1">IFERROR(__xludf.DUMMYFUNCTION("""COMPUTED_VALUE"""),"W")</f>
        <v>W</v>
      </c>
      <c r="I89" s="1" t="str">
        <f ca="1">IFERROR(__xludf.DUMMYFUNCTION("""COMPUTED_VALUE"""),"L")</f>
        <v>L</v>
      </c>
      <c r="J89" s="1" t="str">
        <f ca="1">IFERROR(__xludf.DUMMYFUNCTION("""COMPUTED_VALUE"""),"W")</f>
        <v>W</v>
      </c>
      <c r="K89" s="1" t="str">
        <f ca="1">IFERROR(__xludf.DUMMYFUNCTION("""COMPUTED_VALUE"""),"L")</f>
        <v>L</v>
      </c>
      <c r="L89" s="1" t="str">
        <f ca="1">IFERROR(__xludf.DUMMYFUNCTION("""COMPUTED_VALUE"""),"W")</f>
        <v>W</v>
      </c>
      <c r="M89" s="1" t="str">
        <f ca="1">IFERROR(__xludf.DUMMYFUNCTION("""COMPUTED_VALUE"""),"L")</f>
        <v>L</v>
      </c>
      <c r="N89" s="1" t="str">
        <f ca="1">IFERROR(__xludf.DUMMYFUNCTION("""COMPUTED_VALUE"""),"Tm.")</f>
        <v>Tm.</v>
      </c>
      <c r="O89" s="1" t="str">
        <f ca="1">IFERROR(__xludf.DUMMYFUNCTION("""COMPUTED_VALUE"""),"Opp.")</f>
        <v>Opp.</v>
      </c>
      <c r="P89" s="1" t="str">
        <f ca="1">IFERROR(__xludf.DUMMYFUNCTION("""COMPUTED_VALUE"""),"MP")</f>
        <v>MP</v>
      </c>
      <c r="Q89" s="1" t="str">
        <f ca="1">IFERROR(__xludf.DUMMYFUNCTION("""COMPUTED_VALUE"""),"FG")</f>
        <v>FG</v>
      </c>
      <c r="R89" s="1" t="str">
        <f ca="1">IFERROR(__xludf.DUMMYFUNCTION("""COMPUTED_VALUE"""),"FGA")</f>
        <v>FGA</v>
      </c>
      <c r="S89" s="1" t="str">
        <f ca="1">IFERROR(__xludf.DUMMYFUNCTION("""COMPUTED_VALUE"""),"FG%")</f>
        <v>FG%</v>
      </c>
      <c r="T89" s="1" t="str">
        <f ca="1">IFERROR(__xludf.DUMMYFUNCTION("""COMPUTED_VALUE"""),"3P")</f>
        <v>3P</v>
      </c>
      <c r="U89" s="1" t="str">
        <f ca="1">IFERROR(__xludf.DUMMYFUNCTION("""COMPUTED_VALUE"""),"3PA")</f>
        <v>3PA</v>
      </c>
      <c r="V89" s="1" t="str">
        <f ca="1">IFERROR(__xludf.DUMMYFUNCTION("""COMPUTED_VALUE"""),"3P%")</f>
        <v>3P%</v>
      </c>
      <c r="W89" s="1" t="str">
        <f ca="1">IFERROR(__xludf.DUMMYFUNCTION("""COMPUTED_VALUE"""),"FT")</f>
        <v>FT</v>
      </c>
      <c r="X89" s="1" t="str">
        <f ca="1">IFERROR(__xludf.DUMMYFUNCTION("""COMPUTED_VALUE"""),"FTA")</f>
        <v>FTA</v>
      </c>
      <c r="Y89" s="1" t="str">
        <f ca="1">IFERROR(__xludf.DUMMYFUNCTION("""COMPUTED_VALUE"""),"FT%")</f>
        <v>FT%</v>
      </c>
      <c r="Z89" s="1" t="str">
        <f ca="1">IFERROR(__xludf.DUMMYFUNCTION("""COMPUTED_VALUE"""),"ORB")</f>
        <v>ORB</v>
      </c>
      <c r="AA89" s="1" t="str">
        <f ca="1">IFERROR(__xludf.DUMMYFUNCTION("""COMPUTED_VALUE"""),"TRB")</f>
        <v>TRB</v>
      </c>
      <c r="AB89" s="1" t="str">
        <f ca="1">IFERROR(__xludf.DUMMYFUNCTION("""COMPUTED_VALUE"""),"AST")</f>
        <v>AST</v>
      </c>
      <c r="AC89" s="1" t="str">
        <f ca="1">IFERROR(__xludf.DUMMYFUNCTION("""COMPUTED_VALUE"""),"STL")</f>
        <v>STL</v>
      </c>
      <c r="AD89" s="1" t="str">
        <f ca="1">IFERROR(__xludf.DUMMYFUNCTION("""COMPUTED_VALUE"""),"BLK")</f>
        <v>BLK</v>
      </c>
      <c r="AE89" s="1" t="str">
        <f ca="1">IFERROR(__xludf.DUMMYFUNCTION("""COMPUTED_VALUE"""),"TOV")</f>
        <v>TOV</v>
      </c>
      <c r="AF89" s="1" t="str">
        <f ca="1">IFERROR(__xludf.DUMMYFUNCTION("""COMPUTED_VALUE"""),"PF")</f>
        <v>PF</v>
      </c>
    </row>
    <row r="90" spans="1:32" ht="12.5" x14ac:dyDescent="0.25">
      <c r="A90" s="1" t="str">
        <f ca="1">IFERROR(__xludf.DUMMYFUNCTION("""COMPUTED_VALUE"""),"Duquesne")</f>
        <v>Duquesne</v>
      </c>
      <c r="B90" s="1">
        <f ca="1">IFERROR(__xludf.DUMMYFUNCTION("""COMPUTED_VALUE"""),32)</f>
        <v>32</v>
      </c>
      <c r="C90" s="1">
        <f ca="1">IFERROR(__xludf.DUMMYFUNCTION("""COMPUTED_VALUE"""),16)</f>
        <v>16</v>
      </c>
      <c r="D90" s="1">
        <f ca="1">IFERROR(__xludf.DUMMYFUNCTION("""COMPUTED_VALUE"""),16)</f>
        <v>16</v>
      </c>
      <c r="E90" s="1">
        <f ca="1">IFERROR(__xludf.DUMMYFUNCTION("""COMPUTED_VALUE"""),0.5)</f>
        <v>0.5</v>
      </c>
      <c r="F90" s="1">
        <f ca="1">IFERROR(__xludf.DUMMYFUNCTION("""COMPUTED_VALUE"""),0.79)</f>
        <v>0.79</v>
      </c>
      <c r="G90" s="1">
        <f ca="1">IFERROR(__xludf.DUMMYFUNCTION("""COMPUTED_VALUE"""),1.95)</f>
        <v>1.95</v>
      </c>
      <c r="H90" s="1">
        <f ca="1">IFERROR(__xludf.DUMMYFUNCTION("""COMPUTED_VALUE"""),7)</f>
        <v>7</v>
      </c>
      <c r="I90" s="1">
        <f ca="1">IFERROR(__xludf.DUMMYFUNCTION("""COMPUTED_VALUE"""),9)</f>
        <v>9</v>
      </c>
      <c r="J90" s="1">
        <f ca="1">IFERROR(__xludf.DUMMYFUNCTION("""COMPUTED_VALUE"""),11)</f>
        <v>11</v>
      </c>
      <c r="K90" s="1">
        <f ca="1">IFERROR(__xludf.DUMMYFUNCTION("""COMPUTED_VALUE"""),3)</f>
        <v>3</v>
      </c>
      <c r="L90" s="1">
        <f ca="1">IFERROR(__xludf.DUMMYFUNCTION("""COMPUTED_VALUE"""),3)</f>
        <v>3</v>
      </c>
      <c r="M90" s="1">
        <f ca="1">IFERROR(__xludf.DUMMYFUNCTION("""COMPUTED_VALUE"""),12)</f>
        <v>12</v>
      </c>
      <c r="N90" s="1">
        <f ca="1">IFERROR(__xludf.DUMMYFUNCTION("""COMPUTED_VALUE"""),2251)</f>
        <v>2251</v>
      </c>
      <c r="O90" s="1">
        <f ca="1">IFERROR(__xludf.DUMMYFUNCTION("""COMPUTED_VALUE"""),2284)</f>
        <v>2284</v>
      </c>
      <c r="P90" s="1">
        <f ca="1">IFERROR(__xludf.DUMMYFUNCTION("""COMPUTED_VALUE"""),1325)</f>
        <v>1325</v>
      </c>
      <c r="Q90" s="1">
        <f ca="1">IFERROR(__xludf.DUMMYFUNCTION("""COMPUTED_VALUE"""),819)</f>
        <v>819</v>
      </c>
      <c r="R90" s="1">
        <f ca="1">IFERROR(__xludf.DUMMYFUNCTION("""COMPUTED_VALUE"""),1920)</f>
        <v>1920</v>
      </c>
      <c r="S90" s="1">
        <f ca="1">IFERROR(__xludf.DUMMYFUNCTION("""COMPUTED_VALUE"""),0.427)</f>
        <v>0.42699999999999999</v>
      </c>
      <c r="T90" s="1">
        <f ca="1">IFERROR(__xludf.DUMMYFUNCTION("""COMPUTED_VALUE"""),172)</f>
        <v>172</v>
      </c>
      <c r="U90" s="1">
        <f ca="1">IFERROR(__xludf.DUMMYFUNCTION("""COMPUTED_VALUE"""),659)</f>
        <v>659</v>
      </c>
      <c r="V90" s="1">
        <f ca="1">IFERROR(__xludf.DUMMYFUNCTION("""COMPUTED_VALUE"""),0.261)</f>
        <v>0.26100000000000001</v>
      </c>
      <c r="W90" s="1">
        <f ca="1">IFERROR(__xludf.DUMMYFUNCTION("""COMPUTED_VALUE"""),441)</f>
        <v>441</v>
      </c>
      <c r="X90" s="1">
        <f ca="1">IFERROR(__xludf.DUMMYFUNCTION("""COMPUTED_VALUE"""),730)</f>
        <v>730</v>
      </c>
      <c r="Y90" s="1">
        <f ca="1">IFERROR(__xludf.DUMMYFUNCTION("""COMPUTED_VALUE"""),0.604)</f>
        <v>0.60399999999999998</v>
      </c>
      <c r="Z90" s="1">
        <f ca="1">IFERROR(__xludf.DUMMYFUNCTION("""COMPUTED_VALUE"""),417)</f>
        <v>417</v>
      </c>
      <c r="AA90" s="1">
        <f ca="1">IFERROR(__xludf.DUMMYFUNCTION("""COMPUTED_VALUE"""),1195)</f>
        <v>1195</v>
      </c>
      <c r="AB90" s="1">
        <f ca="1">IFERROR(__xludf.DUMMYFUNCTION("""COMPUTED_VALUE"""),441)</f>
        <v>441</v>
      </c>
      <c r="AC90" s="1">
        <f ca="1">IFERROR(__xludf.DUMMYFUNCTION("""COMPUTED_VALUE"""),259)</f>
        <v>259</v>
      </c>
      <c r="AD90" s="1">
        <f ca="1">IFERROR(__xludf.DUMMYFUNCTION("""COMPUTED_VALUE"""),138)</f>
        <v>138</v>
      </c>
      <c r="AE90" s="1">
        <f ca="1">IFERROR(__xludf.DUMMYFUNCTION("""COMPUTED_VALUE"""),457)</f>
        <v>457</v>
      </c>
      <c r="AF90" s="1">
        <f ca="1">IFERROR(__xludf.DUMMYFUNCTION("""COMPUTED_VALUE"""),602)</f>
        <v>602</v>
      </c>
    </row>
    <row r="91" spans="1:32" ht="12.5" x14ac:dyDescent="0.25">
      <c r="A91" s="1" t="str">
        <f ca="1">IFERROR(__xludf.DUMMYFUNCTION("""COMPUTED_VALUE"""),"East Carolina")</f>
        <v>East Carolina</v>
      </c>
      <c r="B91" s="1">
        <f ca="1">IFERROR(__xludf.DUMMYFUNCTION("""COMPUTED_VALUE"""),31)</f>
        <v>31</v>
      </c>
      <c r="C91" s="1">
        <f ca="1">IFERROR(__xludf.DUMMYFUNCTION("""COMPUTED_VALUE"""),10)</f>
        <v>10</v>
      </c>
      <c r="D91" s="1">
        <f ca="1">IFERROR(__xludf.DUMMYFUNCTION("""COMPUTED_VALUE"""),21)</f>
        <v>21</v>
      </c>
      <c r="E91" s="1">
        <f ca="1">IFERROR(__xludf.DUMMYFUNCTION("""COMPUTED_VALUE"""),0.323)</f>
        <v>0.32300000000000001</v>
      </c>
      <c r="F91" s="1">
        <f ca="1">IFERROR(__xludf.DUMMYFUNCTION("""COMPUTED_VALUE"""),-5.91)</f>
        <v>-5.91</v>
      </c>
      <c r="G91" s="1">
        <f ca="1">IFERROR(__xludf.DUMMYFUNCTION("""COMPUTED_VALUE"""),4.42)</f>
        <v>4.42</v>
      </c>
      <c r="H91" s="1">
        <f ca="1">IFERROR(__xludf.DUMMYFUNCTION("""COMPUTED_VALUE"""),4)</f>
        <v>4</v>
      </c>
      <c r="I91" s="1">
        <f ca="1">IFERROR(__xludf.DUMMYFUNCTION("""COMPUTED_VALUE"""),12)</f>
        <v>12</v>
      </c>
      <c r="J91" s="1">
        <f ca="1">IFERROR(__xludf.DUMMYFUNCTION("""COMPUTED_VALUE"""),5)</f>
        <v>5</v>
      </c>
      <c r="K91" s="1">
        <f ca="1">IFERROR(__xludf.DUMMYFUNCTION("""COMPUTED_VALUE"""),9)</f>
        <v>9</v>
      </c>
      <c r="L91" s="1">
        <f ca="1">IFERROR(__xludf.DUMMYFUNCTION("""COMPUTED_VALUE"""),4)</f>
        <v>4</v>
      </c>
      <c r="M91" s="1">
        <f ca="1">IFERROR(__xludf.DUMMYFUNCTION("""COMPUTED_VALUE"""),8)</f>
        <v>8</v>
      </c>
      <c r="N91" s="1">
        <f ca="1">IFERROR(__xludf.DUMMYFUNCTION("""COMPUTED_VALUE"""),2082)</f>
        <v>2082</v>
      </c>
      <c r="O91" s="1">
        <f ca="1">IFERROR(__xludf.DUMMYFUNCTION("""COMPUTED_VALUE"""),2323)</f>
        <v>2323</v>
      </c>
      <c r="P91" s="1">
        <f ca="1">IFERROR(__xludf.DUMMYFUNCTION("""COMPUTED_VALUE"""),1245)</f>
        <v>1245</v>
      </c>
      <c r="Q91" s="1">
        <f ca="1">IFERROR(__xludf.DUMMYFUNCTION("""COMPUTED_VALUE"""),717)</f>
        <v>717</v>
      </c>
      <c r="R91" s="1">
        <f ca="1">IFERROR(__xludf.DUMMYFUNCTION("""COMPUTED_VALUE"""),1641)</f>
        <v>1641</v>
      </c>
      <c r="S91" s="1">
        <f ca="1">IFERROR(__xludf.DUMMYFUNCTION("""COMPUTED_VALUE"""),0.437)</f>
        <v>0.437</v>
      </c>
      <c r="T91" s="1">
        <f ca="1">IFERROR(__xludf.DUMMYFUNCTION("""COMPUTED_VALUE"""),168)</f>
        <v>168</v>
      </c>
      <c r="U91" s="1">
        <f ca="1">IFERROR(__xludf.DUMMYFUNCTION("""COMPUTED_VALUE"""),515)</f>
        <v>515</v>
      </c>
      <c r="V91" s="1">
        <f ca="1">IFERROR(__xludf.DUMMYFUNCTION("""COMPUTED_VALUE"""),0.326)</f>
        <v>0.32600000000000001</v>
      </c>
      <c r="W91" s="1">
        <f ca="1">IFERROR(__xludf.DUMMYFUNCTION("""COMPUTED_VALUE"""),480)</f>
        <v>480</v>
      </c>
      <c r="X91" s="1">
        <f ca="1">IFERROR(__xludf.DUMMYFUNCTION("""COMPUTED_VALUE"""),685)</f>
        <v>685</v>
      </c>
      <c r="Y91" s="1">
        <f ca="1">IFERROR(__xludf.DUMMYFUNCTION("""COMPUTED_VALUE"""),0.701)</f>
        <v>0.70099999999999996</v>
      </c>
      <c r="Z91" s="1">
        <f ca="1">IFERROR(__xludf.DUMMYFUNCTION("""COMPUTED_VALUE"""),348)</f>
        <v>348</v>
      </c>
      <c r="AA91" s="1">
        <f ca="1">IFERROR(__xludf.DUMMYFUNCTION("""COMPUTED_VALUE"""),1103)</f>
        <v>1103</v>
      </c>
      <c r="AB91" s="1">
        <f ca="1">IFERROR(__xludf.DUMMYFUNCTION("""COMPUTED_VALUE"""),367)</f>
        <v>367</v>
      </c>
      <c r="AC91" s="1">
        <f ca="1">IFERROR(__xludf.DUMMYFUNCTION("""COMPUTED_VALUE"""),199)</f>
        <v>199</v>
      </c>
      <c r="AD91" s="1">
        <f ca="1">IFERROR(__xludf.DUMMYFUNCTION("""COMPUTED_VALUE"""),106)</f>
        <v>106</v>
      </c>
      <c r="AE91" s="1">
        <f ca="1">IFERROR(__xludf.DUMMYFUNCTION("""COMPUTED_VALUE"""),518)</f>
        <v>518</v>
      </c>
      <c r="AF91" s="1">
        <f ca="1">IFERROR(__xludf.DUMMYFUNCTION("""COMPUTED_VALUE"""),546)</f>
        <v>546</v>
      </c>
    </row>
    <row r="92" spans="1:32" ht="12.5" x14ac:dyDescent="0.25">
      <c r="A92" s="1" t="str">
        <f ca="1">IFERROR(__xludf.DUMMYFUNCTION("""COMPUTED_VALUE"""),"East Tennessee StateNCAA")</f>
        <v>East Tennessee StateNCAA</v>
      </c>
      <c r="B92" s="1">
        <f ca="1">IFERROR(__xludf.DUMMYFUNCTION("""COMPUTED_VALUE"""),35)</f>
        <v>35</v>
      </c>
      <c r="C92" s="1">
        <f ca="1">IFERROR(__xludf.DUMMYFUNCTION("""COMPUTED_VALUE"""),20)</f>
        <v>20</v>
      </c>
      <c r="D92" s="1">
        <f ca="1">IFERROR(__xludf.DUMMYFUNCTION("""COMPUTED_VALUE"""),15)</f>
        <v>15</v>
      </c>
      <c r="E92" s="1">
        <f ca="1">IFERROR(__xludf.DUMMYFUNCTION("""COMPUTED_VALUE"""),0.571)</f>
        <v>0.57099999999999995</v>
      </c>
      <c r="F92" s="1">
        <f ca="1">IFERROR(__xludf.DUMMYFUNCTION("""COMPUTED_VALUE"""),-0.83)</f>
        <v>-0.83</v>
      </c>
      <c r="G92" s="1">
        <f ca="1">IFERROR(__xludf.DUMMYFUNCTION("""COMPUTED_VALUE"""),-1.47)</f>
        <v>-1.47</v>
      </c>
      <c r="H92" s="1">
        <f ca="1">IFERROR(__xludf.DUMMYFUNCTION("""COMPUTED_VALUE"""),13)</f>
        <v>13</v>
      </c>
      <c r="I92" s="1">
        <f ca="1">IFERROR(__xludf.DUMMYFUNCTION("""COMPUTED_VALUE"""),7)</f>
        <v>7</v>
      </c>
      <c r="J92" s="1">
        <f ca="1">IFERROR(__xludf.DUMMYFUNCTION("""COMPUTED_VALUE"""),9)</f>
        <v>9</v>
      </c>
      <c r="K92" s="1">
        <f ca="1">IFERROR(__xludf.DUMMYFUNCTION("""COMPUTED_VALUE"""),5)</f>
        <v>5</v>
      </c>
      <c r="L92" s="1">
        <f ca="1">IFERROR(__xludf.DUMMYFUNCTION("""COMPUTED_VALUE"""),9)</f>
        <v>9</v>
      </c>
      <c r="M92" s="1">
        <f ca="1">IFERROR(__xludf.DUMMYFUNCTION("""COMPUTED_VALUE"""),9)</f>
        <v>9</v>
      </c>
      <c r="N92" s="1">
        <f ca="1">IFERROR(__xludf.DUMMYFUNCTION("""COMPUTED_VALUE"""),2424)</f>
        <v>2424</v>
      </c>
      <c r="O92" s="1">
        <f ca="1">IFERROR(__xludf.DUMMYFUNCTION("""COMPUTED_VALUE"""),2362)</f>
        <v>2362</v>
      </c>
      <c r="P92" s="1">
        <f ca="1">IFERROR(__xludf.DUMMYFUNCTION("""COMPUTED_VALUE"""),1405)</f>
        <v>1405</v>
      </c>
      <c r="Q92" s="1">
        <f ca="1">IFERROR(__xludf.DUMMYFUNCTION("""COMPUTED_VALUE"""),855)</f>
        <v>855</v>
      </c>
      <c r="R92" s="1">
        <f ca="1">IFERROR(__xludf.DUMMYFUNCTION("""COMPUTED_VALUE"""),1978)</f>
        <v>1978</v>
      </c>
      <c r="S92" s="1">
        <f ca="1">IFERROR(__xludf.DUMMYFUNCTION("""COMPUTED_VALUE"""),0.432)</f>
        <v>0.432</v>
      </c>
      <c r="T92" s="1">
        <f ca="1">IFERROR(__xludf.DUMMYFUNCTION("""COMPUTED_VALUE"""),177)</f>
        <v>177</v>
      </c>
      <c r="U92" s="1">
        <f ca="1">IFERROR(__xludf.DUMMYFUNCTION("""COMPUTED_VALUE"""),575)</f>
        <v>575</v>
      </c>
      <c r="V92" s="1">
        <f ca="1">IFERROR(__xludf.DUMMYFUNCTION("""COMPUTED_VALUE"""),0.308)</f>
        <v>0.308</v>
      </c>
      <c r="W92" s="1">
        <f ca="1">IFERROR(__xludf.DUMMYFUNCTION("""COMPUTED_VALUE"""),537)</f>
        <v>537</v>
      </c>
      <c r="X92" s="1">
        <f ca="1">IFERROR(__xludf.DUMMYFUNCTION("""COMPUTED_VALUE"""),815)</f>
        <v>815</v>
      </c>
      <c r="Y92" s="1">
        <f ca="1">IFERROR(__xludf.DUMMYFUNCTION("""COMPUTED_VALUE"""),0.659)</f>
        <v>0.65900000000000003</v>
      </c>
      <c r="Z92" s="1">
        <f ca="1">IFERROR(__xludf.DUMMYFUNCTION("""COMPUTED_VALUE"""),445)</f>
        <v>445</v>
      </c>
      <c r="AA92" s="1">
        <f ca="1">IFERROR(__xludf.DUMMYFUNCTION("""COMPUTED_VALUE"""),1277)</f>
        <v>1277</v>
      </c>
      <c r="AB92" s="1">
        <f ca="1">IFERROR(__xludf.DUMMYFUNCTION("""COMPUTED_VALUE"""),382)</f>
        <v>382</v>
      </c>
      <c r="AC92" s="1">
        <f ca="1">IFERROR(__xludf.DUMMYFUNCTION("""COMPUTED_VALUE"""),293)</f>
        <v>293</v>
      </c>
      <c r="AD92" s="1">
        <f ca="1">IFERROR(__xludf.DUMMYFUNCTION("""COMPUTED_VALUE"""),112)</f>
        <v>112</v>
      </c>
      <c r="AE92" s="1">
        <f ca="1">IFERROR(__xludf.DUMMYFUNCTION("""COMPUTED_VALUE"""),519)</f>
        <v>519</v>
      </c>
      <c r="AF92" s="1">
        <f ca="1">IFERROR(__xludf.DUMMYFUNCTION("""COMPUTED_VALUE"""),673)</f>
        <v>673</v>
      </c>
    </row>
    <row r="93" spans="1:32" ht="12.5" x14ac:dyDescent="0.25">
      <c r="A93" s="1" t="str">
        <f ca="1">IFERROR(__xludf.DUMMYFUNCTION("""COMPUTED_VALUE"""),"Eastern Illinois")</f>
        <v>Eastern Illinois</v>
      </c>
      <c r="B93" s="1">
        <f ca="1">IFERROR(__xludf.DUMMYFUNCTION("""COMPUTED_VALUE"""),31)</f>
        <v>31</v>
      </c>
      <c r="C93" s="1">
        <f ca="1">IFERROR(__xludf.DUMMYFUNCTION("""COMPUTED_VALUE"""),19)</f>
        <v>19</v>
      </c>
      <c r="D93" s="1">
        <f ca="1">IFERROR(__xludf.DUMMYFUNCTION("""COMPUTED_VALUE"""),12)</f>
        <v>12</v>
      </c>
      <c r="E93" s="1">
        <f ca="1">IFERROR(__xludf.DUMMYFUNCTION("""COMPUTED_VALUE"""),0.613)</f>
        <v>0.61299999999999999</v>
      </c>
      <c r="F93" s="1">
        <f ca="1">IFERROR(__xludf.DUMMYFUNCTION("""COMPUTED_VALUE"""),-5)</f>
        <v>-5</v>
      </c>
      <c r="G93" s="1">
        <f ca="1">IFERROR(__xludf.DUMMYFUNCTION("""COMPUTED_VALUE"""),-5)</f>
        <v>-5</v>
      </c>
      <c r="H93" s="1">
        <f ca="1">IFERROR(__xludf.DUMMYFUNCTION("""COMPUTED_VALUE"""),11)</f>
        <v>11</v>
      </c>
      <c r="I93" s="1">
        <f ca="1">IFERROR(__xludf.DUMMYFUNCTION("""COMPUTED_VALUE"""),7)</f>
        <v>7</v>
      </c>
      <c r="J93" s="1">
        <f ca="1">IFERROR(__xludf.DUMMYFUNCTION("""COMPUTED_VALUE"""),12)</f>
        <v>12</v>
      </c>
      <c r="K93" s="1">
        <f ca="1">IFERROR(__xludf.DUMMYFUNCTION("""COMPUTED_VALUE"""),4)</f>
        <v>4</v>
      </c>
      <c r="L93" s="1">
        <f ca="1">IFERROR(__xludf.DUMMYFUNCTION("""COMPUTED_VALUE"""),7)</f>
        <v>7</v>
      </c>
      <c r="M93" s="1">
        <f ca="1">IFERROR(__xludf.DUMMYFUNCTION("""COMPUTED_VALUE"""),7)</f>
        <v>7</v>
      </c>
      <c r="N93" s="1">
        <f ca="1">IFERROR(__xludf.DUMMYFUNCTION("""COMPUTED_VALUE"""),2112)</f>
        <v>2112</v>
      </c>
      <c r="O93" s="1">
        <f ca="1">IFERROR(__xludf.DUMMYFUNCTION("""COMPUTED_VALUE"""),2023)</f>
        <v>2023</v>
      </c>
      <c r="P93" s="1">
        <f ca="1">IFERROR(__xludf.DUMMYFUNCTION("""COMPUTED_VALUE"""),1260)</f>
        <v>1260</v>
      </c>
      <c r="Q93" s="1">
        <f ca="1">IFERROR(__xludf.DUMMYFUNCTION("""COMPUTED_VALUE"""),780)</f>
        <v>780</v>
      </c>
      <c r="R93" s="1">
        <f ca="1">IFERROR(__xludf.DUMMYFUNCTION("""COMPUTED_VALUE"""),1690)</f>
        <v>1690</v>
      </c>
      <c r="S93" s="1">
        <f ca="1">IFERROR(__xludf.DUMMYFUNCTION("""COMPUTED_VALUE"""),0.462)</f>
        <v>0.46200000000000002</v>
      </c>
      <c r="T93" s="1">
        <f ca="1">IFERROR(__xludf.DUMMYFUNCTION("""COMPUTED_VALUE"""),129)</f>
        <v>129</v>
      </c>
      <c r="U93" s="1">
        <f ca="1">IFERROR(__xludf.DUMMYFUNCTION("""COMPUTED_VALUE"""),344)</f>
        <v>344</v>
      </c>
      <c r="V93" s="1">
        <f ca="1">IFERROR(__xludf.DUMMYFUNCTION("""COMPUTED_VALUE"""),0.375)</f>
        <v>0.375</v>
      </c>
      <c r="W93" s="1">
        <f ca="1">IFERROR(__xludf.DUMMYFUNCTION("""COMPUTED_VALUE"""),423)</f>
        <v>423</v>
      </c>
      <c r="X93" s="1">
        <f ca="1">IFERROR(__xludf.DUMMYFUNCTION("""COMPUTED_VALUE"""),587)</f>
        <v>587</v>
      </c>
      <c r="Y93" s="1">
        <f ca="1">IFERROR(__xludf.DUMMYFUNCTION("""COMPUTED_VALUE"""),0.721)</f>
        <v>0.72099999999999997</v>
      </c>
      <c r="Z93" s="1">
        <f ca="1">IFERROR(__xludf.DUMMYFUNCTION("""COMPUTED_VALUE"""),349)</f>
        <v>349</v>
      </c>
      <c r="AA93" s="1">
        <f ca="1">IFERROR(__xludf.DUMMYFUNCTION("""COMPUTED_VALUE"""),1084)</f>
        <v>1084</v>
      </c>
      <c r="AB93" s="1">
        <f ca="1">IFERROR(__xludf.DUMMYFUNCTION("""COMPUTED_VALUE"""),465)</f>
        <v>465</v>
      </c>
      <c r="AC93" s="1">
        <f ca="1">IFERROR(__xludf.DUMMYFUNCTION("""COMPUTED_VALUE"""),192)</f>
        <v>192</v>
      </c>
      <c r="AD93" s="1">
        <f ca="1">IFERROR(__xludf.DUMMYFUNCTION("""COMPUTED_VALUE"""),104)</f>
        <v>104</v>
      </c>
      <c r="AE93" s="1">
        <f ca="1">IFERROR(__xludf.DUMMYFUNCTION("""COMPUTED_VALUE"""),420)</f>
        <v>420</v>
      </c>
      <c r="AF93" s="1">
        <f ca="1">IFERROR(__xludf.DUMMYFUNCTION("""COMPUTED_VALUE"""),519)</f>
        <v>519</v>
      </c>
    </row>
    <row r="94" spans="1:32" ht="12.5" x14ac:dyDescent="0.25">
      <c r="A94" s="1" t="str">
        <f ca="1">IFERROR(__xludf.DUMMYFUNCTION("""COMPUTED_VALUE"""),"Eastern Kentucky")</f>
        <v>Eastern Kentucky</v>
      </c>
      <c r="B94" s="1">
        <f ca="1">IFERROR(__xludf.DUMMYFUNCTION("""COMPUTED_VALUE"""),33)</f>
        <v>33</v>
      </c>
      <c r="C94" s="1">
        <f ca="1">IFERROR(__xludf.DUMMYFUNCTION("""COMPUTED_VALUE"""),20)</f>
        <v>20</v>
      </c>
      <c r="D94" s="1">
        <f ca="1">IFERROR(__xludf.DUMMYFUNCTION("""COMPUTED_VALUE"""),13)</f>
        <v>13</v>
      </c>
      <c r="E94" s="1">
        <f ca="1">IFERROR(__xludf.DUMMYFUNCTION("""COMPUTED_VALUE"""),0.606)</f>
        <v>0.60599999999999998</v>
      </c>
      <c r="F94" s="1">
        <f ca="1">IFERROR(__xludf.DUMMYFUNCTION("""COMPUTED_VALUE"""),-2.07)</f>
        <v>-2.0699999999999998</v>
      </c>
      <c r="G94" s="1">
        <f ca="1">IFERROR(__xludf.DUMMYFUNCTION("""COMPUTED_VALUE"""),-5.16)</f>
        <v>-5.16</v>
      </c>
      <c r="H94" s="1">
        <f ca="1">IFERROR(__xludf.DUMMYFUNCTION("""COMPUTED_VALUE"""),11)</f>
        <v>11</v>
      </c>
      <c r="I94" s="1">
        <f ca="1">IFERROR(__xludf.DUMMYFUNCTION("""COMPUTED_VALUE"""),7)</f>
        <v>7</v>
      </c>
      <c r="J94" s="1">
        <f ca="1">IFERROR(__xludf.DUMMYFUNCTION("""COMPUTED_VALUE"""),15)</f>
        <v>15</v>
      </c>
      <c r="K94" s="1">
        <f ca="1">IFERROR(__xludf.DUMMYFUNCTION("""COMPUTED_VALUE"""),3)</f>
        <v>3</v>
      </c>
      <c r="L94" s="1">
        <f ca="1">IFERROR(__xludf.DUMMYFUNCTION("""COMPUTED_VALUE"""),4)</f>
        <v>4</v>
      </c>
      <c r="M94" s="1">
        <f ca="1">IFERROR(__xludf.DUMMYFUNCTION("""COMPUTED_VALUE"""),10)</f>
        <v>10</v>
      </c>
      <c r="N94" s="1">
        <f ca="1">IFERROR(__xludf.DUMMYFUNCTION("""COMPUTED_VALUE"""),2351)</f>
        <v>2351</v>
      </c>
      <c r="O94" s="1">
        <f ca="1">IFERROR(__xludf.DUMMYFUNCTION("""COMPUTED_VALUE"""),2208)</f>
        <v>2208</v>
      </c>
      <c r="P94" s="1">
        <f ca="1">IFERROR(__xludf.DUMMYFUNCTION("""COMPUTED_VALUE"""),1320)</f>
        <v>1320</v>
      </c>
      <c r="Q94" s="1">
        <f ca="1">IFERROR(__xludf.DUMMYFUNCTION("""COMPUTED_VALUE"""),846)</f>
        <v>846</v>
      </c>
      <c r="R94" s="1">
        <f ca="1">IFERROR(__xludf.DUMMYFUNCTION("""COMPUTED_VALUE"""),1790)</f>
        <v>1790</v>
      </c>
      <c r="S94" s="1">
        <f ca="1">IFERROR(__xludf.DUMMYFUNCTION("""COMPUTED_VALUE"""),0.473)</f>
        <v>0.47299999999999998</v>
      </c>
      <c r="T94" s="1">
        <f ca="1">IFERROR(__xludf.DUMMYFUNCTION("""COMPUTED_VALUE"""),327)</f>
        <v>327</v>
      </c>
      <c r="U94" s="1">
        <f ca="1">IFERROR(__xludf.DUMMYFUNCTION("""COMPUTED_VALUE"""),823)</f>
        <v>823</v>
      </c>
      <c r="V94" s="1">
        <f ca="1">IFERROR(__xludf.DUMMYFUNCTION("""COMPUTED_VALUE"""),0.397)</f>
        <v>0.39700000000000002</v>
      </c>
      <c r="W94" s="1">
        <f ca="1">IFERROR(__xludf.DUMMYFUNCTION("""COMPUTED_VALUE"""),332)</f>
        <v>332</v>
      </c>
      <c r="X94" s="1">
        <f ca="1">IFERROR(__xludf.DUMMYFUNCTION("""COMPUTED_VALUE"""),460)</f>
        <v>460</v>
      </c>
      <c r="Y94" s="1">
        <f ca="1">IFERROR(__xludf.DUMMYFUNCTION("""COMPUTED_VALUE"""),0.722)</f>
        <v>0.72199999999999998</v>
      </c>
      <c r="Z94" s="1">
        <f ca="1">IFERROR(__xludf.DUMMYFUNCTION("""COMPUTED_VALUE"""),243)</f>
        <v>243</v>
      </c>
      <c r="AA94" s="1">
        <f ca="1">IFERROR(__xludf.DUMMYFUNCTION("""COMPUTED_VALUE"""),886)</f>
        <v>886</v>
      </c>
      <c r="AB94" s="1">
        <f ca="1">IFERROR(__xludf.DUMMYFUNCTION("""COMPUTED_VALUE"""),514)</f>
        <v>514</v>
      </c>
      <c r="AC94" s="1">
        <f ca="1">IFERROR(__xludf.DUMMYFUNCTION("""COMPUTED_VALUE"""),234)</f>
        <v>234</v>
      </c>
      <c r="AD94" s="1">
        <f ca="1">IFERROR(__xludf.DUMMYFUNCTION("""COMPUTED_VALUE"""),76)</f>
        <v>76</v>
      </c>
      <c r="AE94" s="1">
        <f ca="1">IFERROR(__xludf.DUMMYFUNCTION("""COMPUTED_VALUE"""),319)</f>
        <v>319</v>
      </c>
      <c r="AF94" s="1">
        <f ca="1">IFERROR(__xludf.DUMMYFUNCTION("""COMPUTED_VALUE"""),544)</f>
        <v>544</v>
      </c>
    </row>
    <row r="95" spans="1:32" ht="12.5" x14ac:dyDescent="0.25">
      <c r="A95" s="1" t="str">
        <f ca="1">IFERROR(__xludf.DUMMYFUNCTION("""COMPUTED_VALUE"""),"Eastern Michigan")</f>
        <v>Eastern Michigan</v>
      </c>
      <c r="B95" s="1">
        <f ca="1">IFERROR(__xludf.DUMMYFUNCTION("""COMPUTED_VALUE"""),32)</f>
        <v>32</v>
      </c>
      <c r="C95" s="1">
        <f ca="1">IFERROR(__xludf.DUMMYFUNCTION("""COMPUTED_VALUE"""),17)</f>
        <v>17</v>
      </c>
      <c r="D95" s="1">
        <f ca="1">IFERROR(__xludf.DUMMYFUNCTION("""COMPUTED_VALUE"""),15)</f>
        <v>15</v>
      </c>
      <c r="E95" s="1">
        <f ca="1">IFERROR(__xludf.DUMMYFUNCTION("""COMPUTED_VALUE"""),0.531)</f>
        <v>0.53100000000000003</v>
      </c>
      <c r="F95" s="1">
        <f ca="1">IFERROR(__xludf.DUMMYFUNCTION("""COMPUTED_VALUE"""),-3.46)</f>
        <v>-3.46</v>
      </c>
      <c r="G95" s="1">
        <f ca="1">IFERROR(__xludf.DUMMYFUNCTION("""COMPUTED_VALUE"""),-3.59)</f>
        <v>-3.59</v>
      </c>
      <c r="H95" s="1">
        <f ca="1">IFERROR(__xludf.DUMMYFUNCTION("""COMPUTED_VALUE"""),8)</f>
        <v>8</v>
      </c>
      <c r="I95" s="1">
        <f ca="1">IFERROR(__xludf.DUMMYFUNCTION("""COMPUTED_VALUE"""),8)</f>
        <v>8</v>
      </c>
      <c r="J95" s="1">
        <f ca="1">IFERROR(__xludf.DUMMYFUNCTION("""COMPUTED_VALUE"""),11)</f>
        <v>11</v>
      </c>
      <c r="K95" s="1">
        <f ca="1">IFERROR(__xludf.DUMMYFUNCTION("""COMPUTED_VALUE"""),4)</f>
        <v>4</v>
      </c>
      <c r="L95" s="1">
        <f ca="1">IFERROR(__xludf.DUMMYFUNCTION("""COMPUTED_VALUE"""),5)</f>
        <v>5</v>
      </c>
      <c r="M95" s="1">
        <f ca="1">IFERROR(__xludf.DUMMYFUNCTION("""COMPUTED_VALUE"""),9)</f>
        <v>9</v>
      </c>
      <c r="N95" s="1">
        <f ca="1">IFERROR(__xludf.DUMMYFUNCTION("""COMPUTED_VALUE"""),2124)</f>
        <v>2124</v>
      </c>
      <c r="O95" s="1">
        <f ca="1">IFERROR(__xludf.DUMMYFUNCTION("""COMPUTED_VALUE"""),2096)</f>
        <v>2096</v>
      </c>
      <c r="P95" s="1">
        <f ca="1">IFERROR(__xludf.DUMMYFUNCTION("""COMPUTED_VALUE"""),1290)</f>
        <v>1290</v>
      </c>
      <c r="Q95" s="1">
        <f ca="1">IFERROR(__xludf.DUMMYFUNCTION("""COMPUTED_VALUE"""),713)</f>
        <v>713</v>
      </c>
      <c r="R95" s="1">
        <f ca="1">IFERROR(__xludf.DUMMYFUNCTION("""COMPUTED_VALUE"""),1711)</f>
        <v>1711</v>
      </c>
      <c r="S95" s="1">
        <f ca="1">IFERROR(__xludf.DUMMYFUNCTION("""COMPUTED_VALUE"""),0.417)</f>
        <v>0.41699999999999998</v>
      </c>
      <c r="T95" s="1">
        <f ca="1">IFERROR(__xludf.DUMMYFUNCTION("""COMPUTED_VALUE"""),201)</f>
        <v>201</v>
      </c>
      <c r="U95" s="1">
        <f ca="1">IFERROR(__xludf.DUMMYFUNCTION("""COMPUTED_VALUE"""),659)</f>
        <v>659</v>
      </c>
      <c r="V95" s="1">
        <f ca="1">IFERROR(__xludf.DUMMYFUNCTION("""COMPUTED_VALUE"""),0.305)</f>
        <v>0.30499999999999999</v>
      </c>
      <c r="W95" s="1">
        <f ca="1">IFERROR(__xludf.DUMMYFUNCTION("""COMPUTED_VALUE"""),497)</f>
        <v>497</v>
      </c>
      <c r="X95" s="1">
        <f ca="1">IFERROR(__xludf.DUMMYFUNCTION("""COMPUTED_VALUE"""),755)</f>
        <v>755</v>
      </c>
      <c r="Y95" s="1">
        <f ca="1">IFERROR(__xludf.DUMMYFUNCTION("""COMPUTED_VALUE"""),0.658)</f>
        <v>0.65800000000000003</v>
      </c>
      <c r="Z95" s="1">
        <f ca="1">IFERROR(__xludf.DUMMYFUNCTION("""COMPUTED_VALUE"""),370)</f>
        <v>370</v>
      </c>
      <c r="AA95" s="1">
        <f ca="1">IFERROR(__xludf.DUMMYFUNCTION("""COMPUTED_VALUE"""),1126)</f>
        <v>1126</v>
      </c>
      <c r="AB95" s="1">
        <f ca="1">IFERROR(__xludf.DUMMYFUNCTION("""COMPUTED_VALUE"""),399)</f>
        <v>399</v>
      </c>
      <c r="AC95" s="1">
        <f ca="1">IFERROR(__xludf.DUMMYFUNCTION("""COMPUTED_VALUE"""),216)</f>
        <v>216</v>
      </c>
      <c r="AD95" s="1">
        <f ca="1">IFERROR(__xludf.DUMMYFUNCTION("""COMPUTED_VALUE"""),92)</f>
        <v>92</v>
      </c>
      <c r="AE95" s="1">
        <f ca="1">IFERROR(__xludf.DUMMYFUNCTION("""COMPUTED_VALUE"""),435)</f>
        <v>435</v>
      </c>
      <c r="AF95" s="1">
        <f ca="1">IFERROR(__xludf.DUMMYFUNCTION("""COMPUTED_VALUE"""),569)</f>
        <v>569</v>
      </c>
    </row>
    <row r="96" spans="1:32" ht="12.5" x14ac:dyDescent="0.25">
      <c r="A96" s="1" t="str">
        <f ca="1">IFERROR(__xludf.DUMMYFUNCTION("""COMPUTED_VALUE"""),"Eastern Washington")</f>
        <v>Eastern Washington</v>
      </c>
      <c r="B96" s="1">
        <f ca="1">IFERROR(__xludf.DUMMYFUNCTION("""COMPUTED_VALUE"""),30)</f>
        <v>30</v>
      </c>
      <c r="C96" s="1">
        <f ca="1">IFERROR(__xludf.DUMMYFUNCTION("""COMPUTED_VALUE"""),9)</f>
        <v>9</v>
      </c>
      <c r="D96" s="1">
        <f ca="1">IFERROR(__xludf.DUMMYFUNCTION("""COMPUTED_VALUE"""),21)</f>
        <v>21</v>
      </c>
      <c r="E96" s="1">
        <f ca="1">IFERROR(__xludf.DUMMYFUNCTION("""COMPUTED_VALUE"""),0.3)</f>
        <v>0.3</v>
      </c>
      <c r="F96" s="1">
        <f ca="1">IFERROR(__xludf.DUMMYFUNCTION("""COMPUTED_VALUE"""),-11.91)</f>
        <v>-11.91</v>
      </c>
      <c r="G96" s="1">
        <f ca="1">IFERROR(__xludf.DUMMYFUNCTION("""COMPUTED_VALUE"""),-1.91)</f>
        <v>-1.91</v>
      </c>
      <c r="H96" s="1">
        <f ca="1">IFERROR(__xludf.DUMMYFUNCTION("""COMPUTED_VALUE"""),5)</f>
        <v>5</v>
      </c>
      <c r="I96" s="1">
        <f ca="1">IFERROR(__xludf.DUMMYFUNCTION("""COMPUTED_VALUE"""),11)</f>
        <v>11</v>
      </c>
      <c r="J96" s="1">
        <f ca="1">IFERROR(__xludf.DUMMYFUNCTION("""COMPUTED_VALUE"""),7)</f>
        <v>7</v>
      </c>
      <c r="K96" s="1">
        <f ca="1">IFERROR(__xludf.DUMMYFUNCTION("""COMPUTED_VALUE"""),6)</f>
        <v>6</v>
      </c>
      <c r="L96" s="1">
        <f ca="1">IFERROR(__xludf.DUMMYFUNCTION("""COMPUTED_VALUE"""),2)</f>
        <v>2</v>
      </c>
      <c r="M96" s="1">
        <f ca="1">IFERROR(__xludf.DUMMYFUNCTION("""COMPUTED_VALUE"""),13)</f>
        <v>13</v>
      </c>
      <c r="N96" s="1">
        <f ca="1">IFERROR(__xludf.DUMMYFUNCTION("""COMPUTED_VALUE"""),2065)</f>
        <v>2065</v>
      </c>
      <c r="O96" s="1">
        <f ca="1">IFERROR(__xludf.DUMMYFUNCTION("""COMPUTED_VALUE"""),2288)</f>
        <v>2288</v>
      </c>
      <c r="P96" s="1">
        <f ca="1">IFERROR(__xludf.DUMMYFUNCTION("""COMPUTED_VALUE"""),1210)</f>
        <v>1210</v>
      </c>
      <c r="Q96" s="1">
        <f ca="1">IFERROR(__xludf.DUMMYFUNCTION("""COMPUTED_VALUE"""),723)</f>
        <v>723</v>
      </c>
      <c r="R96" s="1">
        <f ca="1">IFERROR(__xludf.DUMMYFUNCTION("""COMPUTED_VALUE"""),1739)</f>
        <v>1739</v>
      </c>
      <c r="S96" s="1">
        <f ca="1">IFERROR(__xludf.DUMMYFUNCTION("""COMPUTED_VALUE"""),0.416)</f>
        <v>0.41599999999999998</v>
      </c>
      <c r="T96" s="1">
        <f ca="1">IFERROR(__xludf.DUMMYFUNCTION("""COMPUTED_VALUE"""),206)</f>
        <v>206</v>
      </c>
      <c r="U96" s="1">
        <f ca="1">IFERROR(__xludf.DUMMYFUNCTION("""COMPUTED_VALUE"""),581)</f>
        <v>581</v>
      </c>
      <c r="V96" s="1">
        <f ca="1">IFERROR(__xludf.DUMMYFUNCTION("""COMPUTED_VALUE"""),0.355)</f>
        <v>0.35499999999999998</v>
      </c>
      <c r="W96" s="1">
        <f ca="1">IFERROR(__xludf.DUMMYFUNCTION("""COMPUTED_VALUE"""),413)</f>
        <v>413</v>
      </c>
      <c r="X96" s="1">
        <f ca="1">IFERROR(__xludf.DUMMYFUNCTION("""COMPUTED_VALUE"""),579)</f>
        <v>579</v>
      </c>
      <c r="Y96" s="1">
        <f ca="1">IFERROR(__xludf.DUMMYFUNCTION("""COMPUTED_VALUE"""),0.713)</f>
        <v>0.71299999999999997</v>
      </c>
      <c r="Z96" s="1">
        <f ca="1">IFERROR(__xludf.DUMMYFUNCTION("""COMPUTED_VALUE"""),303)</f>
        <v>303</v>
      </c>
      <c r="AA96" s="1">
        <f ca="1">IFERROR(__xludf.DUMMYFUNCTION("""COMPUTED_VALUE"""),1021)</f>
        <v>1021</v>
      </c>
      <c r="AB96" s="1">
        <f ca="1">IFERROR(__xludf.DUMMYFUNCTION("""COMPUTED_VALUE"""),408)</f>
        <v>408</v>
      </c>
      <c r="AC96" s="1">
        <f ca="1">IFERROR(__xludf.DUMMYFUNCTION("""COMPUTED_VALUE"""),186)</f>
        <v>186</v>
      </c>
      <c r="AD96" s="1">
        <f ca="1">IFERROR(__xludf.DUMMYFUNCTION("""COMPUTED_VALUE"""),74)</f>
        <v>74</v>
      </c>
      <c r="AE96" s="1">
        <f ca="1">IFERROR(__xludf.DUMMYFUNCTION("""COMPUTED_VALUE"""),452)</f>
        <v>452</v>
      </c>
      <c r="AF96" s="1">
        <f ca="1">IFERROR(__xludf.DUMMYFUNCTION("""COMPUTED_VALUE"""),626)</f>
        <v>626</v>
      </c>
    </row>
    <row r="97" spans="1:32" ht="12.5" x14ac:dyDescent="0.25">
      <c r="A97" s="1" t="str">
        <f ca="1">IFERROR(__xludf.DUMMYFUNCTION("""COMPUTED_VALUE"""),"Elon")</f>
        <v>Elon</v>
      </c>
      <c r="B97" s="1">
        <f ca="1">IFERROR(__xludf.DUMMYFUNCTION("""COMPUTED_VALUE"""),32)</f>
        <v>32</v>
      </c>
      <c r="C97" s="1">
        <f ca="1">IFERROR(__xludf.DUMMYFUNCTION("""COMPUTED_VALUE"""),9)</f>
        <v>9</v>
      </c>
      <c r="D97" s="1">
        <f ca="1">IFERROR(__xludf.DUMMYFUNCTION("""COMPUTED_VALUE"""),23)</f>
        <v>23</v>
      </c>
      <c r="E97" s="1">
        <f ca="1">IFERROR(__xludf.DUMMYFUNCTION("""COMPUTED_VALUE"""),0.281)</f>
        <v>0.28100000000000003</v>
      </c>
      <c r="F97" s="1">
        <f ca="1">IFERROR(__xludf.DUMMYFUNCTION("""COMPUTED_VALUE"""),-10.4)</f>
        <v>-10.4</v>
      </c>
      <c r="G97" s="1">
        <f ca="1">IFERROR(__xludf.DUMMYFUNCTION("""COMPUTED_VALUE"""),-3.04)</f>
        <v>-3.04</v>
      </c>
      <c r="H97" s="1">
        <f ca="1">IFERROR(__xludf.DUMMYFUNCTION("""COMPUTED_VALUE"""),5)</f>
        <v>5</v>
      </c>
      <c r="I97" s="1">
        <f ca="1">IFERROR(__xludf.DUMMYFUNCTION("""COMPUTED_VALUE"""),13)</f>
        <v>13</v>
      </c>
      <c r="J97" s="1">
        <f ca="1">IFERROR(__xludf.DUMMYFUNCTION("""COMPUTED_VALUE"""),4)</f>
        <v>4</v>
      </c>
      <c r="K97" s="1">
        <f ca="1">IFERROR(__xludf.DUMMYFUNCTION("""COMPUTED_VALUE"""),7)</f>
        <v>7</v>
      </c>
      <c r="L97" s="1">
        <f ca="1">IFERROR(__xludf.DUMMYFUNCTION("""COMPUTED_VALUE"""),4)</f>
        <v>4</v>
      </c>
      <c r="M97" s="1">
        <f ca="1">IFERROR(__xludf.DUMMYFUNCTION("""COMPUTED_VALUE"""),12)</f>
        <v>12</v>
      </c>
      <c r="N97" s="1">
        <f ca="1">IFERROR(__xludf.DUMMYFUNCTION("""COMPUTED_VALUE"""),2141)</f>
        <v>2141</v>
      </c>
      <c r="O97" s="1">
        <f ca="1">IFERROR(__xludf.DUMMYFUNCTION("""COMPUTED_VALUE"""),2335)</f>
        <v>2335</v>
      </c>
      <c r="P97" s="1">
        <f ca="1">IFERROR(__xludf.DUMMYFUNCTION("""COMPUTED_VALUE"""),1290)</f>
        <v>1290</v>
      </c>
      <c r="Q97" s="1">
        <f ca="1">IFERROR(__xludf.DUMMYFUNCTION("""COMPUTED_VALUE"""),760)</f>
        <v>760</v>
      </c>
      <c r="R97" s="1">
        <f ca="1">IFERROR(__xludf.DUMMYFUNCTION("""COMPUTED_VALUE"""),1837)</f>
        <v>1837</v>
      </c>
      <c r="S97" s="1">
        <f ca="1">IFERROR(__xludf.DUMMYFUNCTION("""COMPUTED_VALUE"""),0.414)</f>
        <v>0.41399999999999998</v>
      </c>
      <c r="T97" s="1">
        <f ca="1">IFERROR(__xludf.DUMMYFUNCTION("""COMPUTED_VALUE"""),229)</f>
        <v>229</v>
      </c>
      <c r="U97" s="1">
        <f ca="1">IFERROR(__xludf.DUMMYFUNCTION("""COMPUTED_VALUE"""),716)</f>
        <v>716</v>
      </c>
      <c r="V97" s="1">
        <f ca="1">IFERROR(__xludf.DUMMYFUNCTION("""COMPUTED_VALUE"""),0.32)</f>
        <v>0.32</v>
      </c>
      <c r="W97" s="1">
        <f ca="1">IFERROR(__xludf.DUMMYFUNCTION("""COMPUTED_VALUE"""),392)</f>
        <v>392</v>
      </c>
      <c r="X97" s="1">
        <f ca="1">IFERROR(__xludf.DUMMYFUNCTION("""COMPUTED_VALUE"""),605)</f>
        <v>605</v>
      </c>
      <c r="Y97" s="1">
        <f ca="1">IFERROR(__xludf.DUMMYFUNCTION("""COMPUTED_VALUE"""),0.648)</f>
        <v>0.64800000000000002</v>
      </c>
      <c r="Z97" s="1">
        <f ca="1">IFERROR(__xludf.DUMMYFUNCTION("""COMPUTED_VALUE"""),329)</f>
        <v>329</v>
      </c>
      <c r="AA97" s="1">
        <f ca="1">IFERROR(__xludf.DUMMYFUNCTION("""COMPUTED_VALUE"""),1060)</f>
        <v>1060</v>
      </c>
      <c r="AB97" s="1">
        <f ca="1">IFERROR(__xludf.DUMMYFUNCTION("""COMPUTED_VALUE"""),401)</f>
        <v>401</v>
      </c>
      <c r="AC97" s="1">
        <f ca="1">IFERROR(__xludf.DUMMYFUNCTION("""COMPUTED_VALUE"""),192)</f>
        <v>192</v>
      </c>
      <c r="AD97" s="1">
        <f ca="1">IFERROR(__xludf.DUMMYFUNCTION("""COMPUTED_VALUE"""),64)</f>
        <v>64</v>
      </c>
      <c r="AE97" s="1">
        <f ca="1">IFERROR(__xludf.DUMMYFUNCTION("""COMPUTED_VALUE"""),422)</f>
        <v>422</v>
      </c>
      <c r="AF97" s="1">
        <f ca="1">IFERROR(__xludf.DUMMYFUNCTION("""COMPUTED_VALUE"""),599)</f>
        <v>599</v>
      </c>
    </row>
    <row r="98" spans="1:32" ht="12.5" x14ac:dyDescent="0.25">
      <c r="A98" s="1" t="str">
        <f ca="1">IFERROR(__xludf.DUMMYFUNCTION("""COMPUTED_VALUE"""),"Evansville")</f>
        <v>Evansville</v>
      </c>
      <c r="B98" s="1">
        <f ca="1">IFERROR(__xludf.DUMMYFUNCTION("""COMPUTED_VALUE"""),30)</f>
        <v>30</v>
      </c>
      <c r="C98" s="1">
        <f ca="1">IFERROR(__xludf.DUMMYFUNCTION("""COMPUTED_VALUE"""),9)</f>
        <v>9</v>
      </c>
      <c r="D98" s="1">
        <f ca="1">IFERROR(__xludf.DUMMYFUNCTION("""COMPUTED_VALUE"""),21)</f>
        <v>21</v>
      </c>
      <c r="E98" s="1">
        <f ca="1">IFERROR(__xludf.DUMMYFUNCTION("""COMPUTED_VALUE"""),0.3)</f>
        <v>0.3</v>
      </c>
      <c r="F98" s="1">
        <f ca="1">IFERROR(__xludf.DUMMYFUNCTION("""COMPUTED_VALUE"""),-4.61)</f>
        <v>-4.6100000000000003</v>
      </c>
      <c r="G98" s="1">
        <f ca="1">IFERROR(__xludf.DUMMYFUNCTION("""COMPUTED_VALUE"""),1.82)</f>
        <v>1.82</v>
      </c>
      <c r="H98" s="1">
        <f ca="1">IFERROR(__xludf.DUMMYFUNCTION("""COMPUTED_VALUE"""),3)</f>
        <v>3</v>
      </c>
      <c r="I98" s="1">
        <f ca="1">IFERROR(__xludf.DUMMYFUNCTION("""COMPUTED_VALUE"""),15)</f>
        <v>15</v>
      </c>
      <c r="J98" s="1">
        <f ca="1">IFERROR(__xludf.DUMMYFUNCTION("""COMPUTED_VALUE"""),7)</f>
        <v>7</v>
      </c>
      <c r="K98" s="1">
        <f ca="1">IFERROR(__xludf.DUMMYFUNCTION("""COMPUTED_VALUE"""),9)</f>
        <v>9</v>
      </c>
      <c r="L98" s="1">
        <f ca="1">IFERROR(__xludf.DUMMYFUNCTION("""COMPUTED_VALUE"""),2)</f>
        <v>2</v>
      </c>
      <c r="M98" s="1">
        <f ca="1">IFERROR(__xludf.DUMMYFUNCTION("""COMPUTED_VALUE"""),11)</f>
        <v>11</v>
      </c>
      <c r="N98" s="1">
        <f ca="1">IFERROR(__xludf.DUMMYFUNCTION("""COMPUTED_VALUE"""),1944)</f>
        <v>1944</v>
      </c>
      <c r="O98" s="1">
        <f ca="1">IFERROR(__xludf.DUMMYFUNCTION("""COMPUTED_VALUE"""),2068)</f>
        <v>2068</v>
      </c>
      <c r="P98" s="1">
        <f ca="1">IFERROR(__xludf.DUMMYFUNCTION("""COMPUTED_VALUE"""),1215)</f>
        <v>1215</v>
      </c>
      <c r="Q98" s="1">
        <f ca="1">IFERROR(__xludf.DUMMYFUNCTION("""COMPUTED_VALUE"""),668)</f>
        <v>668</v>
      </c>
      <c r="R98" s="1">
        <f ca="1">IFERROR(__xludf.DUMMYFUNCTION("""COMPUTED_VALUE"""),1550)</f>
        <v>1550</v>
      </c>
      <c r="S98" s="1">
        <f ca="1">IFERROR(__xludf.DUMMYFUNCTION("""COMPUTED_VALUE"""),0.431)</f>
        <v>0.43099999999999999</v>
      </c>
      <c r="T98" s="1">
        <f ca="1">IFERROR(__xludf.DUMMYFUNCTION("""COMPUTED_VALUE"""),138)</f>
        <v>138</v>
      </c>
      <c r="U98" s="1">
        <f ca="1">IFERROR(__xludf.DUMMYFUNCTION("""COMPUTED_VALUE"""),389)</f>
        <v>389</v>
      </c>
      <c r="V98" s="1">
        <f ca="1">IFERROR(__xludf.DUMMYFUNCTION("""COMPUTED_VALUE"""),0.355)</f>
        <v>0.35499999999999998</v>
      </c>
      <c r="W98" s="1">
        <f ca="1">IFERROR(__xludf.DUMMYFUNCTION("""COMPUTED_VALUE"""),470)</f>
        <v>470</v>
      </c>
      <c r="X98" s="1">
        <f ca="1">IFERROR(__xludf.DUMMYFUNCTION("""COMPUTED_VALUE"""),652)</f>
        <v>652</v>
      </c>
      <c r="Y98" s="1">
        <f ca="1">IFERROR(__xludf.DUMMYFUNCTION("""COMPUTED_VALUE"""),0.721)</f>
        <v>0.72099999999999997</v>
      </c>
      <c r="Z98" s="1">
        <f ca="1">IFERROR(__xludf.DUMMYFUNCTION("""COMPUTED_VALUE"""),286)</f>
        <v>286</v>
      </c>
      <c r="AA98" s="1">
        <f ca="1">IFERROR(__xludf.DUMMYFUNCTION("""COMPUTED_VALUE"""),1001)</f>
        <v>1001</v>
      </c>
      <c r="AB98" s="1">
        <f ca="1">IFERROR(__xludf.DUMMYFUNCTION("""COMPUTED_VALUE"""),423)</f>
        <v>423</v>
      </c>
      <c r="AC98" s="1">
        <f ca="1">IFERROR(__xludf.DUMMYFUNCTION("""COMPUTED_VALUE"""),153)</f>
        <v>153</v>
      </c>
      <c r="AD98" s="1">
        <f ca="1">IFERROR(__xludf.DUMMYFUNCTION("""COMPUTED_VALUE"""),50)</f>
        <v>50</v>
      </c>
      <c r="AE98" s="1">
        <f ca="1">IFERROR(__xludf.DUMMYFUNCTION("""COMPUTED_VALUE"""),431)</f>
        <v>431</v>
      </c>
      <c r="AF98" s="1">
        <f ca="1">IFERROR(__xludf.DUMMYFUNCTION("""COMPUTED_VALUE"""),642)</f>
        <v>642</v>
      </c>
    </row>
    <row r="99" spans="1:32" ht="12.5" x14ac:dyDescent="0.25">
      <c r="A99" s="1" t="str">
        <f ca="1">IFERROR(__xludf.DUMMYFUNCTION("""COMPUTED_VALUE"""),"Fairfield")</f>
        <v>Fairfield</v>
      </c>
      <c r="B99" s="1">
        <f ca="1">IFERROR(__xludf.DUMMYFUNCTION("""COMPUTED_VALUE"""),34)</f>
        <v>34</v>
      </c>
      <c r="C99" s="1">
        <f ca="1">IFERROR(__xludf.DUMMYFUNCTION("""COMPUTED_VALUE"""),23)</f>
        <v>23</v>
      </c>
      <c r="D99" s="1">
        <f ca="1">IFERROR(__xludf.DUMMYFUNCTION("""COMPUTED_VALUE"""),11)</f>
        <v>11</v>
      </c>
      <c r="E99" s="1">
        <f ca="1">IFERROR(__xludf.DUMMYFUNCTION("""COMPUTED_VALUE"""),0.676)</f>
        <v>0.67600000000000005</v>
      </c>
      <c r="F99" s="1">
        <f ca="1">IFERROR(__xludf.DUMMYFUNCTION("""COMPUTED_VALUE"""),0.4)</f>
        <v>0.4</v>
      </c>
      <c r="G99" s="1">
        <f ca="1">IFERROR(__xludf.DUMMYFUNCTION("""COMPUTED_VALUE"""),-3.33)</f>
        <v>-3.33</v>
      </c>
      <c r="H99" s="1">
        <f ca="1">IFERROR(__xludf.DUMMYFUNCTION("""COMPUTED_VALUE"""),13)</f>
        <v>13</v>
      </c>
      <c r="I99" s="1">
        <f ca="1">IFERROR(__xludf.DUMMYFUNCTION("""COMPUTED_VALUE"""),5)</f>
        <v>5</v>
      </c>
      <c r="J99" s="1">
        <f ca="1">IFERROR(__xludf.DUMMYFUNCTION("""COMPUTED_VALUE"""),12)</f>
        <v>12</v>
      </c>
      <c r="K99" s="1">
        <f ca="1">IFERROR(__xludf.DUMMYFUNCTION("""COMPUTED_VALUE"""),2)</f>
        <v>2</v>
      </c>
      <c r="L99" s="1">
        <f ca="1">IFERROR(__xludf.DUMMYFUNCTION("""COMPUTED_VALUE"""),9)</f>
        <v>9</v>
      </c>
      <c r="M99" s="1">
        <f ca="1">IFERROR(__xludf.DUMMYFUNCTION("""COMPUTED_VALUE"""),9)</f>
        <v>9</v>
      </c>
      <c r="N99" s="1">
        <f ca="1">IFERROR(__xludf.DUMMYFUNCTION("""COMPUTED_VALUE"""),2414)</f>
        <v>2414</v>
      </c>
      <c r="O99" s="1">
        <f ca="1">IFERROR(__xludf.DUMMYFUNCTION("""COMPUTED_VALUE"""),2287)</f>
        <v>2287</v>
      </c>
      <c r="P99" s="1">
        <f ca="1">IFERROR(__xludf.DUMMYFUNCTION("""COMPUTED_VALUE"""),1380)</f>
        <v>1380</v>
      </c>
      <c r="Q99" s="1">
        <f ca="1">IFERROR(__xludf.DUMMYFUNCTION("""COMPUTED_VALUE"""),860)</f>
        <v>860</v>
      </c>
      <c r="R99" s="1">
        <f ca="1">IFERROR(__xludf.DUMMYFUNCTION("""COMPUTED_VALUE"""),1996)</f>
        <v>1996</v>
      </c>
      <c r="S99" s="1">
        <f ca="1">IFERROR(__xludf.DUMMYFUNCTION("""COMPUTED_VALUE"""),0.431)</f>
        <v>0.43099999999999999</v>
      </c>
      <c r="T99" s="1">
        <f ca="1">IFERROR(__xludf.DUMMYFUNCTION("""COMPUTED_VALUE"""),207)</f>
        <v>207</v>
      </c>
      <c r="U99" s="1">
        <f ca="1">IFERROR(__xludf.DUMMYFUNCTION("""COMPUTED_VALUE"""),618)</f>
        <v>618</v>
      </c>
      <c r="V99" s="1">
        <f ca="1">IFERROR(__xludf.DUMMYFUNCTION("""COMPUTED_VALUE"""),0.335)</f>
        <v>0.33500000000000002</v>
      </c>
      <c r="W99" s="1">
        <f ca="1">IFERROR(__xludf.DUMMYFUNCTION("""COMPUTED_VALUE"""),487)</f>
        <v>487</v>
      </c>
      <c r="X99" s="1">
        <f ca="1">IFERROR(__xludf.DUMMYFUNCTION("""COMPUTED_VALUE"""),699)</f>
        <v>699</v>
      </c>
      <c r="Y99" s="1">
        <f ca="1">IFERROR(__xludf.DUMMYFUNCTION("""COMPUTED_VALUE"""),0.697)</f>
        <v>0.69699999999999995</v>
      </c>
      <c r="Z99" s="1">
        <f ca="1">IFERROR(__xludf.DUMMYFUNCTION("""COMPUTED_VALUE"""),455)</f>
        <v>455</v>
      </c>
      <c r="AA99" s="1">
        <f ca="1">IFERROR(__xludf.DUMMYFUNCTION("""COMPUTED_VALUE"""),1243)</f>
        <v>1243</v>
      </c>
      <c r="AB99" s="1">
        <f ca="1">IFERROR(__xludf.DUMMYFUNCTION("""COMPUTED_VALUE"""),473)</f>
        <v>473</v>
      </c>
      <c r="AC99" s="1">
        <f ca="1">IFERROR(__xludf.DUMMYFUNCTION("""COMPUTED_VALUE"""),253)</f>
        <v>253</v>
      </c>
      <c r="AD99" s="1">
        <f ca="1">IFERROR(__xludf.DUMMYFUNCTION("""COMPUTED_VALUE"""),174)</f>
        <v>174</v>
      </c>
      <c r="AE99" s="1">
        <f ca="1">IFERROR(__xludf.DUMMYFUNCTION("""COMPUTED_VALUE"""),452)</f>
        <v>452</v>
      </c>
      <c r="AF99" s="1">
        <f ca="1">IFERROR(__xludf.DUMMYFUNCTION("""COMPUTED_VALUE"""),627)</f>
        <v>627</v>
      </c>
    </row>
    <row r="100" spans="1:32" ht="12.5" x14ac:dyDescent="0.25">
      <c r="A100" s="1" t="str">
        <f ca="1">IFERROR(__xludf.DUMMYFUNCTION("""COMPUTED_VALUE"""),"Fairleigh Dickinson")</f>
        <v>Fairleigh Dickinson</v>
      </c>
      <c r="B100" s="1">
        <f ca="1">IFERROR(__xludf.DUMMYFUNCTION("""COMPUTED_VALUE"""),32)</f>
        <v>32</v>
      </c>
      <c r="C100" s="1">
        <f ca="1">IFERROR(__xludf.DUMMYFUNCTION("""COMPUTED_VALUE"""),11)</f>
        <v>11</v>
      </c>
      <c r="D100" s="1">
        <f ca="1">IFERROR(__xludf.DUMMYFUNCTION("""COMPUTED_VALUE"""),21)</f>
        <v>21</v>
      </c>
      <c r="E100" s="1">
        <f ca="1">IFERROR(__xludf.DUMMYFUNCTION("""COMPUTED_VALUE"""),0.344)</f>
        <v>0.34399999999999997</v>
      </c>
      <c r="F100" s="1">
        <f ca="1">IFERROR(__xludf.DUMMYFUNCTION("""COMPUTED_VALUE"""),-15.56)</f>
        <v>-15.56</v>
      </c>
      <c r="G100" s="1">
        <f ca="1">IFERROR(__xludf.DUMMYFUNCTION("""COMPUTED_VALUE"""),-6.42)</f>
        <v>-6.42</v>
      </c>
      <c r="H100" s="1">
        <f ca="1">IFERROR(__xludf.DUMMYFUNCTION("""COMPUTED_VALUE"""),10)</f>
        <v>10</v>
      </c>
      <c r="I100" s="1">
        <f ca="1">IFERROR(__xludf.DUMMYFUNCTION("""COMPUTED_VALUE"""),8)</f>
        <v>8</v>
      </c>
      <c r="J100" s="1">
        <f ca="1">IFERROR(__xludf.DUMMYFUNCTION("""COMPUTED_VALUE"""),7)</f>
        <v>7</v>
      </c>
      <c r="K100" s="1">
        <f ca="1">IFERROR(__xludf.DUMMYFUNCTION("""COMPUTED_VALUE"""),7)</f>
        <v>7</v>
      </c>
      <c r="L100" s="1">
        <f ca="1">IFERROR(__xludf.DUMMYFUNCTION("""COMPUTED_VALUE"""),4)</f>
        <v>4</v>
      </c>
      <c r="M100" s="1">
        <f ca="1">IFERROR(__xludf.DUMMYFUNCTION("""COMPUTED_VALUE"""),12)</f>
        <v>12</v>
      </c>
      <c r="N100" s="1">
        <f ca="1">IFERROR(__xludf.DUMMYFUNCTION("""COMPUTED_VALUE"""),2027)</f>
        <v>2027</v>
      </c>
      <c r="O100" s="1">
        <f ca="1">IFERROR(__xludf.DUMMYFUNCTION("""COMPUTED_VALUE"""),2279)</f>
        <v>2279</v>
      </c>
      <c r="P100" s="1">
        <f ca="1">IFERROR(__xludf.DUMMYFUNCTION("""COMPUTED_VALUE"""),1285)</f>
        <v>1285</v>
      </c>
      <c r="Q100" s="1">
        <f ca="1">IFERROR(__xludf.DUMMYFUNCTION("""COMPUTED_VALUE"""),701)</f>
        <v>701</v>
      </c>
      <c r="R100" s="1">
        <f ca="1">IFERROR(__xludf.DUMMYFUNCTION("""COMPUTED_VALUE"""),1678)</f>
        <v>1678</v>
      </c>
      <c r="S100" s="1">
        <f ca="1">IFERROR(__xludf.DUMMYFUNCTION("""COMPUTED_VALUE"""),0.418)</f>
        <v>0.41799999999999998</v>
      </c>
      <c r="T100" s="1">
        <f ca="1">IFERROR(__xludf.DUMMYFUNCTION("""COMPUTED_VALUE"""),144)</f>
        <v>144</v>
      </c>
      <c r="U100" s="1">
        <f ca="1">IFERROR(__xludf.DUMMYFUNCTION("""COMPUTED_VALUE"""),447)</f>
        <v>447</v>
      </c>
      <c r="V100" s="1">
        <f ca="1">IFERROR(__xludf.DUMMYFUNCTION("""COMPUTED_VALUE"""),0.322)</f>
        <v>0.32200000000000001</v>
      </c>
      <c r="W100" s="1">
        <f ca="1">IFERROR(__xludf.DUMMYFUNCTION("""COMPUTED_VALUE"""),481)</f>
        <v>481</v>
      </c>
      <c r="X100" s="1">
        <f ca="1">IFERROR(__xludf.DUMMYFUNCTION("""COMPUTED_VALUE"""),743)</f>
        <v>743</v>
      </c>
      <c r="Y100" s="1">
        <f ca="1">IFERROR(__xludf.DUMMYFUNCTION("""COMPUTED_VALUE"""),0.647)</f>
        <v>0.64700000000000002</v>
      </c>
      <c r="Z100" s="1">
        <f ca="1">IFERROR(__xludf.DUMMYFUNCTION("""COMPUTED_VALUE"""),319)</f>
        <v>319</v>
      </c>
      <c r="AA100" s="1">
        <f ca="1">IFERROR(__xludf.DUMMYFUNCTION("""COMPUTED_VALUE"""),1128)</f>
        <v>1128</v>
      </c>
      <c r="AB100" s="1">
        <f ca="1">IFERROR(__xludf.DUMMYFUNCTION("""COMPUTED_VALUE"""),361)</f>
        <v>361</v>
      </c>
      <c r="AC100" s="1">
        <f ca="1">IFERROR(__xludf.DUMMYFUNCTION("""COMPUTED_VALUE"""),176)</f>
        <v>176</v>
      </c>
      <c r="AD100" s="1">
        <f ca="1">IFERROR(__xludf.DUMMYFUNCTION("""COMPUTED_VALUE"""),127)</f>
        <v>127</v>
      </c>
      <c r="AE100" s="1">
        <f ca="1">IFERROR(__xludf.DUMMYFUNCTION("""COMPUTED_VALUE"""),497)</f>
        <v>497</v>
      </c>
      <c r="AF100" s="1">
        <f ca="1">IFERROR(__xludf.DUMMYFUNCTION("""COMPUTED_VALUE"""),610)</f>
        <v>610</v>
      </c>
    </row>
    <row r="101" spans="1:32" ht="12.5" x14ac:dyDescent="0.25">
      <c r="A101" s="1" t="str">
        <f ca="1">IFERROR(__xludf.DUMMYFUNCTION("""COMPUTED_VALUE"""),"Florida A&amp;M")</f>
        <v>Florida A&amp;M</v>
      </c>
      <c r="B101" s="1">
        <f ca="1">IFERROR(__xludf.DUMMYFUNCTION("""COMPUTED_VALUE"""),31)</f>
        <v>31</v>
      </c>
      <c r="C101" s="1">
        <f ca="1">IFERROR(__xludf.DUMMYFUNCTION("""COMPUTED_VALUE"""),9)</f>
        <v>9</v>
      </c>
      <c r="D101" s="1">
        <f ca="1">IFERROR(__xludf.DUMMYFUNCTION("""COMPUTED_VALUE"""),22)</f>
        <v>22</v>
      </c>
      <c r="E101" s="1">
        <f ca="1">IFERROR(__xludf.DUMMYFUNCTION("""COMPUTED_VALUE"""),0.29)</f>
        <v>0.28999999999999998</v>
      </c>
      <c r="F101" s="1">
        <f ca="1">IFERROR(__xludf.DUMMYFUNCTION("""COMPUTED_VALUE"""),-18.8)</f>
        <v>-18.8</v>
      </c>
      <c r="G101" s="1">
        <f ca="1">IFERROR(__xludf.DUMMYFUNCTION("""COMPUTED_VALUE"""),-6.41)</f>
        <v>-6.41</v>
      </c>
      <c r="H101" s="1">
        <f ca="1">IFERROR(__xludf.DUMMYFUNCTION("""COMPUTED_VALUE"""),5)</f>
        <v>5</v>
      </c>
      <c r="I101" s="1">
        <f ca="1">IFERROR(__xludf.DUMMYFUNCTION("""COMPUTED_VALUE"""),11)</f>
        <v>11</v>
      </c>
      <c r="J101" s="1">
        <f ca="1">IFERROR(__xludf.DUMMYFUNCTION("""COMPUTED_VALUE"""),6)</f>
        <v>6</v>
      </c>
      <c r="K101" s="1">
        <f ca="1">IFERROR(__xludf.DUMMYFUNCTION("""COMPUTED_VALUE"""),6)</f>
        <v>6</v>
      </c>
      <c r="L101" s="1">
        <f ca="1">IFERROR(__xludf.DUMMYFUNCTION("""COMPUTED_VALUE"""),3)</f>
        <v>3</v>
      </c>
      <c r="M101" s="1">
        <f ca="1">IFERROR(__xludf.DUMMYFUNCTION("""COMPUTED_VALUE"""),13)</f>
        <v>13</v>
      </c>
      <c r="N101" s="1">
        <f ca="1">IFERROR(__xludf.DUMMYFUNCTION("""COMPUTED_VALUE"""),1965)</f>
        <v>1965</v>
      </c>
      <c r="O101" s="1">
        <f ca="1">IFERROR(__xludf.DUMMYFUNCTION("""COMPUTED_VALUE"""),2270)</f>
        <v>2270</v>
      </c>
      <c r="P101" s="1">
        <f ca="1">IFERROR(__xludf.DUMMYFUNCTION("""COMPUTED_VALUE"""),1245)</f>
        <v>1245</v>
      </c>
      <c r="Q101" s="1">
        <f ca="1">IFERROR(__xludf.DUMMYFUNCTION("""COMPUTED_VALUE"""),683)</f>
        <v>683</v>
      </c>
      <c r="R101" s="1">
        <f ca="1">IFERROR(__xludf.DUMMYFUNCTION("""COMPUTED_VALUE"""),1681)</f>
        <v>1681</v>
      </c>
      <c r="S101" s="1">
        <f ca="1">IFERROR(__xludf.DUMMYFUNCTION("""COMPUTED_VALUE"""),0.406)</f>
        <v>0.40600000000000003</v>
      </c>
      <c r="T101" s="1">
        <f ca="1">IFERROR(__xludf.DUMMYFUNCTION("""COMPUTED_VALUE"""),172)</f>
        <v>172</v>
      </c>
      <c r="U101" s="1">
        <f ca="1">IFERROR(__xludf.DUMMYFUNCTION("""COMPUTED_VALUE"""),558)</f>
        <v>558</v>
      </c>
      <c r="V101" s="1">
        <f ca="1">IFERROR(__xludf.DUMMYFUNCTION("""COMPUTED_VALUE"""),0.308)</f>
        <v>0.308</v>
      </c>
      <c r="W101" s="1">
        <f ca="1">IFERROR(__xludf.DUMMYFUNCTION("""COMPUTED_VALUE"""),427)</f>
        <v>427</v>
      </c>
      <c r="X101" s="1">
        <f ca="1">IFERROR(__xludf.DUMMYFUNCTION("""COMPUTED_VALUE"""),667)</f>
        <v>667</v>
      </c>
      <c r="Y101" s="1">
        <f ca="1">IFERROR(__xludf.DUMMYFUNCTION("""COMPUTED_VALUE"""),0.64)</f>
        <v>0.64</v>
      </c>
      <c r="Z101" s="1">
        <f ca="1">IFERROR(__xludf.DUMMYFUNCTION("""COMPUTED_VALUE"""),358)</f>
        <v>358</v>
      </c>
      <c r="AA101" s="1">
        <f ca="1">IFERROR(__xludf.DUMMYFUNCTION("""COMPUTED_VALUE"""),1042)</f>
        <v>1042</v>
      </c>
      <c r="AB101" s="1">
        <f ca="1">IFERROR(__xludf.DUMMYFUNCTION("""COMPUTED_VALUE"""),312)</f>
        <v>312</v>
      </c>
      <c r="AC101" s="1">
        <f ca="1">IFERROR(__xludf.DUMMYFUNCTION("""COMPUTED_VALUE"""),178)</f>
        <v>178</v>
      </c>
      <c r="AD101" s="1">
        <f ca="1">IFERROR(__xludf.DUMMYFUNCTION("""COMPUTED_VALUE"""),82)</f>
        <v>82</v>
      </c>
      <c r="AE101" s="1">
        <f ca="1">IFERROR(__xludf.DUMMYFUNCTION("""COMPUTED_VALUE"""),485)</f>
        <v>485</v>
      </c>
      <c r="AF101" s="1">
        <f ca="1">IFERROR(__xludf.DUMMYFUNCTION("""COMPUTED_VALUE"""),591)</f>
        <v>591</v>
      </c>
    </row>
    <row r="102" spans="1:32" ht="12.5" x14ac:dyDescent="0.25">
      <c r="A102" s="1" t="str">
        <f ca="1">IFERROR(__xludf.DUMMYFUNCTION("""COMPUTED_VALUE"""),"Florida Atlantic")</f>
        <v>Florida Atlantic</v>
      </c>
      <c r="B102" s="1">
        <f ca="1">IFERROR(__xludf.DUMMYFUNCTION("""COMPUTED_VALUE"""),30)</f>
        <v>30</v>
      </c>
      <c r="C102" s="1">
        <f ca="1">IFERROR(__xludf.DUMMYFUNCTION("""COMPUTED_VALUE"""),14)</f>
        <v>14</v>
      </c>
      <c r="D102" s="1">
        <f ca="1">IFERROR(__xludf.DUMMYFUNCTION("""COMPUTED_VALUE"""),16)</f>
        <v>16</v>
      </c>
      <c r="E102" s="1">
        <f ca="1">IFERROR(__xludf.DUMMYFUNCTION("""COMPUTED_VALUE"""),0.467)</f>
        <v>0.46700000000000003</v>
      </c>
      <c r="F102" s="1">
        <f ca="1">IFERROR(__xludf.DUMMYFUNCTION("""COMPUTED_VALUE"""),-4.48)</f>
        <v>-4.4800000000000004</v>
      </c>
      <c r="G102" s="1">
        <f ca="1">IFERROR(__xludf.DUMMYFUNCTION("""COMPUTED_VALUE"""),-3.3)</f>
        <v>-3.3</v>
      </c>
      <c r="H102" s="1">
        <f ca="1">IFERROR(__xludf.DUMMYFUNCTION("""COMPUTED_VALUE"""),10)</f>
        <v>10</v>
      </c>
      <c r="I102" s="1">
        <f ca="1">IFERROR(__xludf.DUMMYFUNCTION("""COMPUTED_VALUE"""),8)</f>
        <v>8</v>
      </c>
      <c r="J102" s="1">
        <f ca="1">IFERROR(__xludf.DUMMYFUNCTION("""COMPUTED_VALUE"""),9)</f>
        <v>9</v>
      </c>
      <c r="K102" s="1">
        <f ca="1">IFERROR(__xludf.DUMMYFUNCTION("""COMPUTED_VALUE"""),4)</f>
        <v>4</v>
      </c>
      <c r="L102" s="1">
        <f ca="1">IFERROR(__xludf.DUMMYFUNCTION("""COMPUTED_VALUE"""),5)</f>
        <v>5</v>
      </c>
      <c r="M102" s="1">
        <f ca="1">IFERROR(__xludf.DUMMYFUNCTION("""COMPUTED_VALUE"""),10)</f>
        <v>10</v>
      </c>
      <c r="N102" s="1">
        <f ca="1">IFERROR(__xludf.DUMMYFUNCTION("""COMPUTED_VALUE"""),2202)</f>
        <v>2202</v>
      </c>
      <c r="O102" s="1">
        <f ca="1">IFERROR(__xludf.DUMMYFUNCTION("""COMPUTED_VALUE"""),2205)</f>
        <v>2205</v>
      </c>
      <c r="P102" s="1">
        <f ca="1">IFERROR(__xludf.DUMMYFUNCTION("""COMPUTED_VALUE"""),1225)</f>
        <v>1225</v>
      </c>
      <c r="Q102" s="1">
        <f ca="1">IFERROR(__xludf.DUMMYFUNCTION("""COMPUTED_VALUE"""),779)</f>
        <v>779</v>
      </c>
      <c r="R102" s="1">
        <f ca="1">IFERROR(__xludf.DUMMYFUNCTION("""COMPUTED_VALUE"""),1824)</f>
        <v>1824</v>
      </c>
      <c r="S102" s="1">
        <f ca="1">IFERROR(__xludf.DUMMYFUNCTION("""COMPUTED_VALUE"""),0.427)</f>
        <v>0.42699999999999999</v>
      </c>
      <c r="T102" s="1">
        <f ca="1">IFERROR(__xludf.DUMMYFUNCTION("""COMPUTED_VALUE"""),220)</f>
        <v>220</v>
      </c>
      <c r="U102" s="1">
        <f ca="1">IFERROR(__xludf.DUMMYFUNCTION("""COMPUTED_VALUE"""),577)</f>
        <v>577</v>
      </c>
      <c r="V102" s="1">
        <f ca="1">IFERROR(__xludf.DUMMYFUNCTION("""COMPUTED_VALUE"""),0.381)</f>
        <v>0.38100000000000001</v>
      </c>
      <c r="W102" s="1">
        <f ca="1">IFERROR(__xludf.DUMMYFUNCTION("""COMPUTED_VALUE"""),424)</f>
        <v>424</v>
      </c>
      <c r="X102" s="1">
        <f ca="1">IFERROR(__xludf.DUMMYFUNCTION("""COMPUTED_VALUE"""),626)</f>
        <v>626</v>
      </c>
      <c r="Y102" s="1">
        <f ca="1">IFERROR(__xludf.DUMMYFUNCTION("""COMPUTED_VALUE"""),0.677)</f>
        <v>0.67700000000000005</v>
      </c>
      <c r="Z102" s="1">
        <f ca="1">IFERROR(__xludf.DUMMYFUNCTION("""COMPUTED_VALUE"""),366)</f>
        <v>366</v>
      </c>
      <c r="AA102" s="1">
        <f ca="1">IFERROR(__xludf.DUMMYFUNCTION("""COMPUTED_VALUE"""),1061)</f>
        <v>1061</v>
      </c>
      <c r="AB102" s="1">
        <f ca="1">IFERROR(__xludf.DUMMYFUNCTION("""COMPUTED_VALUE"""),431)</f>
        <v>431</v>
      </c>
      <c r="AC102" s="1">
        <f ca="1">IFERROR(__xludf.DUMMYFUNCTION("""COMPUTED_VALUE"""),172)</f>
        <v>172</v>
      </c>
      <c r="AD102" s="1">
        <f ca="1">IFERROR(__xludf.DUMMYFUNCTION("""COMPUTED_VALUE"""),137)</f>
        <v>137</v>
      </c>
      <c r="AE102" s="1">
        <f ca="1">IFERROR(__xludf.DUMMYFUNCTION("""COMPUTED_VALUE"""),370)</f>
        <v>370</v>
      </c>
      <c r="AF102" s="1">
        <f ca="1">IFERROR(__xludf.DUMMYFUNCTION("""COMPUTED_VALUE"""),632)</f>
        <v>632</v>
      </c>
    </row>
    <row r="103" spans="1:32" ht="12.5" x14ac:dyDescent="0.25">
      <c r="A103" s="1" t="str">
        <f ca="1">IFERROR(__xludf.DUMMYFUNCTION("""COMPUTED_VALUE"""),"Florida Gulf Coast")</f>
        <v>Florida Gulf Coast</v>
      </c>
      <c r="B103" s="1">
        <f ca="1">IFERROR(__xludf.DUMMYFUNCTION("""COMPUTED_VALUE"""),29)</f>
        <v>29</v>
      </c>
      <c r="C103" s="1">
        <f ca="1">IFERROR(__xludf.DUMMYFUNCTION("""COMPUTED_VALUE"""),8)</f>
        <v>8</v>
      </c>
      <c r="D103" s="1">
        <f ca="1">IFERROR(__xludf.DUMMYFUNCTION("""COMPUTED_VALUE"""),21)</f>
        <v>21</v>
      </c>
      <c r="E103" s="1">
        <f ca="1">IFERROR(__xludf.DUMMYFUNCTION("""COMPUTED_VALUE"""),0.276)</f>
        <v>0.27600000000000002</v>
      </c>
      <c r="F103" s="1" t="str">
        <f ca="1">IFERROR(__xludf.DUMMYFUNCTION("""COMPUTED_VALUE"""),"")</f>
        <v/>
      </c>
      <c r="G103" s="1" t="str">
        <f ca="1">IFERROR(__xludf.DUMMYFUNCTION("""COMPUTED_VALUE"""),"")</f>
        <v/>
      </c>
      <c r="H103" s="1">
        <f ca="1">IFERROR(__xludf.DUMMYFUNCTION("""COMPUTED_VALUE"""),5)</f>
        <v>5</v>
      </c>
      <c r="I103" s="1">
        <f ca="1">IFERROR(__xludf.DUMMYFUNCTION("""COMPUTED_VALUE"""),15)</f>
        <v>15</v>
      </c>
      <c r="J103" s="1">
        <f ca="1">IFERROR(__xludf.DUMMYFUNCTION("""COMPUTED_VALUE"""),5)</f>
        <v>5</v>
      </c>
      <c r="K103" s="1">
        <f ca="1">IFERROR(__xludf.DUMMYFUNCTION("""COMPUTED_VALUE"""),8)</f>
        <v>8</v>
      </c>
      <c r="L103" s="1">
        <f ca="1">IFERROR(__xludf.DUMMYFUNCTION("""COMPUTED_VALUE"""),3)</f>
        <v>3</v>
      </c>
      <c r="M103" s="1">
        <f ca="1">IFERROR(__xludf.DUMMYFUNCTION("""COMPUTED_VALUE"""),13)</f>
        <v>13</v>
      </c>
      <c r="N103" s="1">
        <f ca="1">IFERROR(__xludf.DUMMYFUNCTION("""COMPUTED_VALUE"""),1875)</f>
        <v>1875</v>
      </c>
      <c r="O103" s="1">
        <f ca="1">IFERROR(__xludf.DUMMYFUNCTION("""COMPUTED_VALUE"""),2082)</f>
        <v>2082</v>
      </c>
      <c r="P103" s="1">
        <f ca="1">IFERROR(__xludf.DUMMYFUNCTION("""COMPUTED_VALUE"""),1165)</f>
        <v>1165</v>
      </c>
      <c r="Q103" s="1">
        <f ca="1">IFERROR(__xludf.DUMMYFUNCTION("""COMPUTED_VALUE"""),679)</f>
        <v>679</v>
      </c>
      <c r="R103" s="1">
        <f ca="1">IFERROR(__xludf.DUMMYFUNCTION("""COMPUTED_VALUE"""),1609)</f>
        <v>1609</v>
      </c>
      <c r="S103" s="1">
        <f ca="1">IFERROR(__xludf.DUMMYFUNCTION("""COMPUTED_VALUE"""),0.422)</f>
        <v>0.42199999999999999</v>
      </c>
      <c r="T103" s="1">
        <f ca="1">IFERROR(__xludf.DUMMYFUNCTION("""COMPUTED_VALUE"""),124)</f>
        <v>124</v>
      </c>
      <c r="U103" s="1">
        <f ca="1">IFERROR(__xludf.DUMMYFUNCTION("""COMPUTED_VALUE"""),409)</f>
        <v>409</v>
      </c>
      <c r="V103" s="1">
        <f ca="1">IFERROR(__xludf.DUMMYFUNCTION("""COMPUTED_VALUE"""),0.303)</f>
        <v>0.30299999999999999</v>
      </c>
      <c r="W103" s="1">
        <f ca="1">IFERROR(__xludf.DUMMYFUNCTION("""COMPUTED_VALUE"""),393)</f>
        <v>393</v>
      </c>
      <c r="X103" s="1">
        <f ca="1">IFERROR(__xludf.DUMMYFUNCTION("""COMPUTED_VALUE"""),606)</f>
        <v>606</v>
      </c>
      <c r="Y103" s="1">
        <f ca="1">IFERROR(__xludf.DUMMYFUNCTION("""COMPUTED_VALUE"""),0.649)</f>
        <v>0.64900000000000002</v>
      </c>
      <c r="Z103" s="1">
        <f ca="1">IFERROR(__xludf.DUMMYFUNCTION("""COMPUTED_VALUE"""),395)</f>
        <v>395</v>
      </c>
      <c r="AA103" s="1">
        <f ca="1">IFERROR(__xludf.DUMMYFUNCTION("""COMPUTED_VALUE"""),1035)</f>
        <v>1035</v>
      </c>
      <c r="AB103" s="1">
        <f ca="1">IFERROR(__xludf.DUMMYFUNCTION("""COMPUTED_VALUE"""),403)</f>
        <v>403</v>
      </c>
      <c r="AC103" s="1">
        <f ca="1">IFERROR(__xludf.DUMMYFUNCTION("""COMPUTED_VALUE"""),232)</f>
        <v>232</v>
      </c>
      <c r="AD103" s="1">
        <f ca="1">IFERROR(__xludf.DUMMYFUNCTION("""COMPUTED_VALUE"""),102)</f>
        <v>102</v>
      </c>
      <c r="AE103" s="1">
        <f ca="1">IFERROR(__xludf.DUMMYFUNCTION("""COMPUTED_VALUE"""),494)</f>
        <v>494</v>
      </c>
      <c r="AF103" s="1">
        <f ca="1">IFERROR(__xludf.DUMMYFUNCTION("""COMPUTED_VALUE"""),628)</f>
        <v>628</v>
      </c>
    </row>
    <row r="104" spans="1:32" ht="12.5" x14ac:dyDescent="0.25">
      <c r="A104" s="1" t="str">
        <f ca="1">IFERROR(__xludf.DUMMYFUNCTION("""COMPUTED_VALUE"""),"Florida International")</f>
        <v>Florida International</v>
      </c>
      <c r="B104" s="1">
        <f ca="1">IFERROR(__xludf.DUMMYFUNCTION("""COMPUTED_VALUE"""),32)</f>
        <v>32</v>
      </c>
      <c r="C104" s="1">
        <f ca="1">IFERROR(__xludf.DUMMYFUNCTION("""COMPUTED_VALUE"""),7)</f>
        <v>7</v>
      </c>
      <c r="D104" s="1">
        <f ca="1">IFERROR(__xludf.DUMMYFUNCTION("""COMPUTED_VALUE"""),25)</f>
        <v>25</v>
      </c>
      <c r="E104" s="1">
        <f ca="1">IFERROR(__xludf.DUMMYFUNCTION("""COMPUTED_VALUE"""),0.219)</f>
        <v>0.219</v>
      </c>
      <c r="F104" s="1">
        <f ca="1">IFERROR(__xludf.DUMMYFUNCTION("""COMPUTED_VALUE"""),-12.81)</f>
        <v>-12.81</v>
      </c>
      <c r="G104" s="1">
        <f ca="1">IFERROR(__xludf.DUMMYFUNCTION("""COMPUTED_VALUE"""),-2.74)</f>
        <v>-2.74</v>
      </c>
      <c r="H104" s="1">
        <f ca="1">IFERROR(__xludf.DUMMYFUNCTION("""COMPUTED_VALUE"""),4)</f>
        <v>4</v>
      </c>
      <c r="I104" s="1">
        <f ca="1">IFERROR(__xludf.DUMMYFUNCTION("""COMPUTED_VALUE"""),14)</f>
        <v>14</v>
      </c>
      <c r="J104" s="1">
        <f ca="1">IFERROR(__xludf.DUMMYFUNCTION("""COMPUTED_VALUE"""),4)</f>
        <v>4</v>
      </c>
      <c r="K104" s="1">
        <f ca="1">IFERROR(__xludf.DUMMYFUNCTION("""COMPUTED_VALUE"""),9)</f>
        <v>9</v>
      </c>
      <c r="L104" s="1">
        <f ca="1">IFERROR(__xludf.DUMMYFUNCTION("""COMPUTED_VALUE"""),3)</f>
        <v>3</v>
      </c>
      <c r="M104" s="1">
        <f ca="1">IFERROR(__xludf.DUMMYFUNCTION("""COMPUTED_VALUE"""),15)</f>
        <v>15</v>
      </c>
      <c r="N104" s="1">
        <f ca="1">IFERROR(__xludf.DUMMYFUNCTION("""COMPUTED_VALUE"""),2176)</f>
        <v>2176</v>
      </c>
      <c r="O104" s="1">
        <f ca="1">IFERROR(__xludf.DUMMYFUNCTION("""COMPUTED_VALUE"""),2469)</f>
        <v>2469</v>
      </c>
      <c r="P104" s="1">
        <f ca="1">IFERROR(__xludf.DUMMYFUNCTION("""COMPUTED_VALUE"""),1290)</f>
        <v>1290</v>
      </c>
      <c r="Q104" s="1">
        <f ca="1">IFERROR(__xludf.DUMMYFUNCTION("""COMPUTED_VALUE"""),782)</f>
        <v>782</v>
      </c>
      <c r="R104" s="1">
        <f ca="1">IFERROR(__xludf.DUMMYFUNCTION("""COMPUTED_VALUE"""),1882)</f>
        <v>1882</v>
      </c>
      <c r="S104" s="1">
        <f ca="1">IFERROR(__xludf.DUMMYFUNCTION("""COMPUTED_VALUE"""),0.416)</f>
        <v>0.41599999999999998</v>
      </c>
      <c r="T104" s="1">
        <f ca="1">IFERROR(__xludf.DUMMYFUNCTION("""COMPUTED_VALUE"""),176)</f>
        <v>176</v>
      </c>
      <c r="U104" s="1">
        <f ca="1">IFERROR(__xludf.DUMMYFUNCTION("""COMPUTED_VALUE"""),609)</f>
        <v>609</v>
      </c>
      <c r="V104" s="1">
        <f ca="1">IFERROR(__xludf.DUMMYFUNCTION("""COMPUTED_VALUE"""),0.289)</f>
        <v>0.28899999999999998</v>
      </c>
      <c r="W104" s="1">
        <f ca="1">IFERROR(__xludf.DUMMYFUNCTION("""COMPUTED_VALUE"""),436)</f>
        <v>436</v>
      </c>
      <c r="X104" s="1">
        <f ca="1">IFERROR(__xludf.DUMMYFUNCTION("""COMPUTED_VALUE"""),624)</f>
        <v>624</v>
      </c>
      <c r="Y104" s="1">
        <f ca="1">IFERROR(__xludf.DUMMYFUNCTION("""COMPUTED_VALUE"""),0.699)</f>
        <v>0.69899999999999995</v>
      </c>
      <c r="Z104" s="1">
        <f ca="1">IFERROR(__xludf.DUMMYFUNCTION("""COMPUTED_VALUE"""),384)</f>
        <v>384</v>
      </c>
      <c r="AA104" s="1">
        <f ca="1">IFERROR(__xludf.DUMMYFUNCTION("""COMPUTED_VALUE"""),1053)</f>
        <v>1053</v>
      </c>
      <c r="AB104" s="1">
        <f ca="1">IFERROR(__xludf.DUMMYFUNCTION("""COMPUTED_VALUE"""),395)</f>
        <v>395</v>
      </c>
      <c r="AC104" s="1">
        <f ca="1">IFERROR(__xludf.DUMMYFUNCTION("""COMPUTED_VALUE"""),254)</f>
        <v>254</v>
      </c>
      <c r="AD104" s="1">
        <f ca="1">IFERROR(__xludf.DUMMYFUNCTION("""COMPUTED_VALUE"""),60)</f>
        <v>60</v>
      </c>
      <c r="AE104" s="1">
        <f ca="1">IFERROR(__xludf.DUMMYFUNCTION("""COMPUTED_VALUE"""),435)</f>
        <v>435</v>
      </c>
      <c r="AF104" s="1">
        <f ca="1">IFERROR(__xludf.DUMMYFUNCTION("""COMPUTED_VALUE"""),623)</f>
        <v>623</v>
      </c>
    </row>
    <row r="105" spans="1:32" ht="12.5" x14ac:dyDescent="0.25">
      <c r="A105" s="1" t="str">
        <f ca="1">IFERROR(__xludf.DUMMYFUNCTION("""COMPUTED_VALUE"""),"Florida StateNCAA")</f>
        <v>Florida StateNCAA</v>
      </c>
      <c r="B105" s="1">
        <f ca="1">IFERROR(__xludf.DUMMYFUNCTION("""COMPUTED_VALUE"""),32)</f>
        <v>32</v>
      </c>
      <c r="C105" s="1">
        <f ca="1">IFERROR(__xludf.DUMMYFUNCTION("""COMPUTED_VALUE"""),22)</f>
        <v>22</v>
      </c>
      <c r="D105" s="1">
        <f ca="1">IFERROR(__xludf.DUMMYFUNCTION("""COMPUTED_VALUE"""),10)</f>
        <v>10</v>
      </c>
      <c r="E105" s="1">
        <f ca="1">IFERROR(__xludf.DUMMYFUNCTION("""COMPUTED_VALUE"""),0.688)</f>
        <v>0.68799999999999994</v>
      </c>
      <c r="F105" s="1">
        <f ca="1">IFERROR(__xludf.DUMMYFUNCTION("""COMPUTED_VALUE"""),14.64)</f>
        <v>14.64</v>
      </c>
      <c r="G105" s="1">
        <f ca="1">IFERROR(__xludf.DUMMYFUNCTION("""COMPUTED_VALUE"""),6.79)</f>
        <v>6.79</v>
      </c>
      <c r="H105" s="1">
        <f ca="1">IFERROR(__xludf.DUMMYFUNCTION("""COMPUTED_VALUE"""),10)</f>
        <v>10</v>
      </c>
      <c r="I105" s="1">
        <f ca="1">IFERROR(__xludf.DUMMYFUNCTION("""COMPUTED_VALUE"""),6)</f>
        <v>6</v>
      </c>
      <c r="J105" s="1">
        <f ca="1">IFERROR(__xludf.DUMMYFUNCTION("""COMPUTED_VALUE"""),13)</f>
        <v>13</v>
      </c>
      <c r="K105" s="1">
        <f ca="1">IFERROR(__xludf.DUMMYFUNCTION("""COMPUTED_VALUE"""),3)</f>
        <v>3</v>
      </c>
      <c r="L105" s="1">
        <f ca="1">IFERROR(__xludf.DUMMYFUNCTION("""COMPUTED_VALUE"""),6)</f>
        <v>6</v>
      </c>
      <c r="M105" s="1">
        <f ca="1">IFERROR(__xludf.DUMMYFUNCTION("""COMPUTED_VALUE"""),5)</f>
        <v>5</v>
      </c>
      <c r="N105" s="1">
        <f ca="1">IFERROR(__xludf.DUMMYFUNCTION("""COMPUTED_VALUE"""),2183)</f>
        <v>2183</v>
      </c>
      <c r="O105" s="1">
        <f ca="1">IFERROR(__xludf.DUMMYFUNCTION("""COMPUTED_VALUE"""),1932)</f>
        <v>1932</v>
      </c>
      <c r="P105" s="1">
        <f ca="1">IFERROR(__xludf.DUMMYFUNCTION("""COMPUTED_VALUE"""),1285)</f>
        <v>1285</v>
      </c>
      <c r="Q105" s="1">
        <f ca="1">IFERROR(__xludf.DUMMYFUNCTION("""COMPUTED_VALUE"""),783)</f>
        <v>783</v>
      </c>
      <c r="R105" s="1">
        <f ca="1">IFERROR(__xludf.DUMMYFUNCTION("""COMPUTED_VALUE"""),1734)</f>
        <v>1734</v>
      </c>
      <c r="S105" s="1">
        <f ca="1">IFERROR(__xludf.DUMMYFUNCTION("""COMPUTED_VALUE"""),0.452)</f>
        <v>0.45200000000000001</v>
      </c>
      <c r="T105" s="1">
        <f ca="1">IFERROR(__xludf.DUMMYFUNCTION("""COMPUTED_VALUE"""),186)</f>
        <v>186</v>
      </c>
      <c r="U105" s="1">
        <f ca="1">IFERROR(__xludf.DUMMYFUNCTION("""COMPUTED_VALUE"""),557)</f>
        <v>557</v>
      </c>
      <c r="V105" s="1">
        <f ca="1">IFERROR(__xludf.DUMMYFUNCTION("""COMPUTED_VALUE"""),0.334)</f>
        <v>0.33400000000000002</v>
      </c>
      <c r="W105" s="1">
        <f ca="1">IFERROR(__xludf.DUMMYFUNCTION("""COMPUTED_VALUE"""),431)</f>
        <v>431</v>
      </c>
      <c r="X105" s="1">
        <f ca="1">IFERROR(__xludf.DUMMYFUNCTION("""COMPUTED_VALUE"""),669)</f>
        <v>669</v>
      </c>
      <c r="Y105" s="1">
        <f ca="1">IFERROR(__xludf.DUMMYFUNCTION("""COMPUTED_VALUE"""),0.644)</f>
        <v>0.64400000000000002</v>
      </c>
      <c r="Z105" s="1">
        <f ca="1">IFERROR(__xludf.DUMMYFUNCTION("""COMPUTED_VALUE"""),406)</f>
        <v>406</v>
      </c>
      <c r="AA105" s="1">
        <f ca="1">IFERROR(__xludf.DUMMYFUNCTION("""COMPUTED_VALUE"""),1211)</f>
        <v>1211</v>
      </c>
      <c r="AB105" s="1">
        <f ca="1">IFERROR(__xludf.DUMMYFUNCTION("""COMPUTED_VALUE"""),446)</f>
        <v>446</v>
      </c>
      <c r="AC105" s="1">
        <f ca="1">IFERROR(__xludf.DUMMYFUNCTION("""COMPUTED_VALUE"""),267)</f>
        <v>267</v>
      </c>
      <c r="AD105" s="1">
        <f ca="1">IFERROR(__xludf.DUMMYFUNCTION("""COMPUTED_VALUE"""),200)</f>
        <v>200</v>
      </c>
      <c r="AE105" s="1">
        <f ca="1">IFERROR(__xludf.DUMMYFUNCTION("""COMPUTED_VALUE"""),528)</f>
        <v>528</v>
      </c>
      <c r="AF105" s="1">
        <f ca="1">IFERROR(__xludf.DUMMYFUNCTION("""COMPUTED_VALUE"""),575)</f>
        <v>575</v>
      </c>
    </row>
    <row r="106" spans="1:32" ht="12.5" x14ac:dyDescent="0.25">
      <c r="A106" s="1" t="str">
        <f ca="1">IFERROR(__xludf.DUMMYFUNCTION("""COMPUTED_VALUE"""),"FloridaNCAA")</f>
        <v>FloridaNCAA</v>
      </c>
      <c r="B106" s="1">
        <f ca="1">IFERROR(__xludf.DUMMYFUNCTION("""COMPUTED_VALUE"""),34)</f>
        <v>34</v>
      </c>
      <c r="C106" s="1">
        <f ca="1">IFERROR(__xludf.DUMMYFUNCTION("""COMPUTED_VALUE"""),21)</f>
        <v>21</v>
      </c>
      <c r="D106" s="1">
        <f ca="1">IFERROR(__xludf.DUMMYFUNCTION("""COMPUTED_VALUE"""),13)</f>
        <v>13</v>
      </c>
      <c r="E106" s="1">
        <f ca="1">IFERROR(__xludf.DUMMYFUNCTION("""COMPUTED_VALUE"""),0.618)</f>
        <v>0.61799999999999999</v>
      </c>
      <c r="F106" s="1">
        <f ca="1">IFERROR(__xludf.DUMMYFUNCTION("""COMPUTED_VALUE"""),11.89)</f>
        <v>11.89</v>
      </c>
      <c r="G106" s="1">
        <f ca="1">IFERROR(__xludf.DUMMYFUNCTION("""COMPUTED_VALUE"""),7.16)</f>
        <v>7.16</v>
      </c>
      <c r="H106" s="1">
        <f ca="1">IFERROR(__xludf.DUMMYFUNCTION("""COMPUTED_VALUE"""),9)</f>
        <v>9</v>
      </c>
      <c r="I106" s="1">
        <f ca="1">IFERROR(__xludf.DUMMYFUNCTION("""COMPUTED_VALUE"""),7)</f>
        <v>7</v>
      </c>
      <c r="J106" s="1">
        <f ca="1">IFERROR(__xludf.DUMMYFUNCTION("""COMPUTED_VALUE"""),13)</f>
        <v>13</v>
      </c>
      <c r="K106" s="1">
        <f ca="1">IFERROR(__xludf.DUMMYFUNCTION("""COMPUTED_VALUE"""),4)</f>
        <v>4</v>
      </c>
      <c r="L106" s="1">
        <f ca="1">IFERROR(__xludf.DUMMYFUNCTION("""COMPUTED_VALUE"""),5)</f>
        <v>5</v>
      </c>
      <c r="M106" s="1">
        <f ca="1">IFERROR(__xludf.DUMMYFUNCTION("""COMPUTED_VALUE"""),5)</f>
        <v>5</v>
      </c>
      <c r="N106" s="1">
        <f ca="1">IFERROR(__xludf.DUMMYFUNCTION("""COMPUTED_VALUE"""),2455)</f>
        <v>2455</v>
      </c>
      <c r="O106" s="1">
        <f ca="1">IFERROR(__xludf.DUMMYFUNCTION("""COMPUTED_VALUE"""),2258)</f>
        <v>2258</v>
      </c>
      <c r="P106" s="1">
        <f ca="1">IFERROR(__xludf.DUMMYFUNCTION("""COMPUTED_VALUE"""),1375)</f>
        <v>1375</v>
      </c>
      <c r="Q106" s="1">
        <f ca="1">IFERROR(__xludf.DUMMYFUNCTION("""COMPUTED_VALUE"""),890)</f>
        <v>890</v>
      </c>
      <c r="R106" s="1">
        <f ca="1">IFERROR(__xludf.DUMMYFUNCTION("""COMPUTED_VALUE"""),2006)</f>
        <v>2006</v>
      </c>
      <c r="S106" s="1">
        <f ca="1">IFERROR(__xludf.DUMMYFUNCTION("""COMPUTED_VALUE"""),0.444)</f>
        <v>0.44400000000000001</v>
      </c>
      <c r="T106" s="1">
        <f ca="1">IFERROR(__xludf.DUMMYFUNCTION("""COMPUTED_VALUE"""),203)</f>
        <v>203</v>
      </c>
      <c r="U106" s="1">
        <f ca="1">IFERROR(__xludf.DUMMYFUNCTION("""COMPUTED_VALUE"""),648)</f>
        <v>648</v>
      </c>
      <c r="V106" s="1">
        <f ca="1">IFERROR(__xludf.DUMMYFUNCTION("""COMPUTED_VALUE"""),0.313)</f>
        <v>0.313</v>
      </c>
      <c r="W106" s="1">
        <f ca="1">IFERROR(__xludf.DUMMYFUNCTION("""COMPUTED_VALUE"""),472)</f>
        <v>472</v>
      </c>
      <c r="X106" s="1">
        <f ca="1">IFERROR(__xludf.DUMMYFUNCTION("""COMPUTED_VALUE"""),671)</f>
        <v>671</v>
      </c>
      <c r="Y106" s="1">
        <f ca="1">IFERROR(__xludf.DUMMYFUNCTION("""COMPUTED_VALUE"""),0.703)</f>
        <v>0.70299999999999996</v>
      </c>
      <c r="Z106" s="1">
        <f ca="1">IFERROR(__xludf.DUMMYFUNCTION("""COMPUTED_VALUE"""),455)</f>
        <v>455</v>
      </c>
      <c r="AA106" s="1">
        <f ca="1">IFERROR(__xludf.DUMMYFUNCTION("""COMPUTED_VALUE"""),1265)</f>
        <v>1265</v>
      </c>
      <c r="AB106" s="1">
        <f ca="1">IFERROR(__xludf.DUMMYFUNCTION("""COMPUTED_VALUE"""),479)</f>
        <v>479</v>
      </c>
      <c r="AC106" s="1">
        <f ca="1">IFERROR(__xludf.DUMMYFUNCTION("""COMPUTED_VALUE"""),243)</f>
        <v>243</v>
      </c>
      <c r="AD106" s="1">
        <f ca="1">IFERROR(__xludf.DUMMYFUNCTION("""COMPUTED_VALUE"""),94)</f>
        <v>94</v>
      </c>
      <c r="AE106" s="1">
        <f ca="1">IFERROR(__xludf.DUMMYFUNCTION("""COMPUTED_VALUE"""),423)</f>
        <v>423</v>
      </c>
      <c r="AF106" s="1">
        <f ca="1">IFERROR(__xludf.DUMMYFUNCTION("""COMPUTED_VALUE"""),501)</f>
        <v>501</v>
      </c>
    </row>
    <row r="107" spans="1:32" ht="12.5" x14ac:dyDescent="0.25">
      <c r="A107" s="1" t="str">
        <f ca="1">IFERROR(__xludf.DUMMYFUNCTION("""COMPUTED_VALUE"""),"Fordham")</f>
        <v>Fordham</v>
      </c>
      <c r="B107" s="1">
        <f ca="1">IFERROR(__xludf.DUMMYFUNCTION("""COMPUTED_VALUE"""),28)</f>
        <v>28</v>
      </c>
      <c r="C107" s="1">
        <f ca="1">IFERROR(__xludf.DUMMYFUNCTION("""COMPUTED_VALUE"""),2)</f>
        <v>2</v>
      </c>
      <c r="D107" s="1">
        <f ca="1">IFERROR(__xludf.DUMMYFUNCTION("""COMPUTED_VALUE"""),26)</f>
        <v>26</v>
      </c>
      <c r="E107" s="1">
        <f ca="1">IFERROR(__xludf.DUMMYFUNCTION("""COMPUTED_VALUE"""),0.071)</f>
        <v>7.0999999999999994E-2</v>
      </c>
      <c r="F107" s="1">
        <f ca="1">IFERROR(__xludf.DUMMYFUNCTION("""COMPUTED_VALUE"""),-13.18)</f>
        <v>-13.18</v>
      </c>
      <c r="G107" s="1">
        <f ca="1">IFERROR(__xludf.DUMMYFUNCTION("""COMPUTED_VALUE"""),2.08)</f>
        <v>2.08</v>
      </c>
      <c r="H107" s="1">
        <f ca="1">IFERROR(__xludf.DUMMYFUNCTION("""COMPUTED_VALUE"""),0)</f>
        <v>0</v>
      </c>
      <c r="I107" s="1">
        <f ca="1">IFERROR(__xludf.DUMMYFUNCTION("""COMPUTED_VALUE"""),16)</f>
        <v>16</v>
      </c>
      <c r="J107" s="1">
        <f ca="1">IFERROR(__xludf.DUMMYFUNCTION("""COMPUTED_VALUE"""),2)</f>
        <v>2</v>
      </c>
      <c r="K107" s="1">
        <f ca="1">IFERROR(__xludf.DUMMYFUNCTION("""COMPUTED_VALUE"""),10)</f>
        <v>10</v>
      </c>
      <c r="L107" s="1">
        <f ca="1">IFERROR(__xludf.DUMMYFUNCTION("""COMPUTED_VALUE"""),0)</f>
        <v>0</v>
      </c>
      <c r="M107" s="1">
        <f ca="1">IFERROR(__xludf.DUMMYFUNCTION("""COMPUTED_VALUE"""),15)</f>
        <v>15</v>
      </c>
      <c r="N107" s="1">
        <f ca="1">IFERROR(__xludf.DUMMYFUNCTION("""COMPUTED_VALUE"""),1793)</f>
        <v>1793</v>
      </c>
      <c r="O107" s="1">
        <f ca="1">IFERROR(__xludf.DUMMYFUNCTION("""COMPUTED_VALUE"""),2220)</f>
        <v>2220</v>
      </c>
      <c r="P107" s="1">
        <f ca="1">IFERROR(__xludf.DUMMYFUNCTION("""COMPUTED_VALUE"""),1120)</f>
        <v>1120</v>
      </c>
      <c r="Q107" s="1">
        <f ca="1">IFERROR(__xludf.DUMMYFUNCTION("""COMPUTED_VALUE"""),645)</f>
        <v>645</v>
      </c>
      <c r="R107" s="1">
        <f ca="1">IFERROR(__xludf.DUMMYFUNCTION("""COMPUTED_VALUE"""),1698)</f>
        <v>1698</v>
      </c>
      <c r="S107" s="1">
        <f ca="1">IFERROR(__xludf.DUMMYFUNCTION("""COMPUTED_VALUE"""),0.38)</f>
        <v>0.38</v>
      </c>
      <c r="T107" s="1">
        <f ca="1">IFERROR(__xludf.DUMMYFUNCTION("""COMPUTED_VALUE"""),134)</f>
        <v>134</v>
      </c>
      <c r="U107" s="1">
        <f ca="1">IFERROR(__xludf.DUMMYFUNCTION("""COMPUTED_VALUE"""),482)</f>
        <v>482</v>
      </c>
      <c r="V107" s="1">
        <f ca="1">IFERROR(__xludf.DUMMYFUNCTION("""COMPUTED_VALUE"""),0.278)</f>
        <v>0.27800000000000002</v>
      </c>
      <c r="W107" s="1">
        <f ca="1">IFERROR(__xludf.DUMMYFUNCTION("""COMPUTED_VALUE"""),369)</f>
        <v>369</v>
      </c>
      <c r="X107" s="1">
        <f ca="1">IFERROR(__xludf.DUMMYFUNCTION("""COMPUTED_VALUE"""),544)</f>
        <v>544</v>
      </c>
      <c r="Y107" s="1">
        <f ca="1">IFERROR(__xludf.DUMMYFUNCTION("""COMPUTED_VALUE"""),0.678)</f>
        <v>0.67800000000000005</v>
      </c>
      <c r="Z107" s="1">
        <f ca="1">IFERROR(__xludf.DUMMYFUNCTION("""COMPUTED_VALUE"""),360)</f>
        <v>360</v>
      </c>
      <c r="AA107" s="1">
        <f ca="1">IFERROR(__xludf.DUMMYFUNCTION("""COMPUTED_VALUE"""),1046)</f>
        <v>1046</v>
      </c>
      <c r="AB107" s="1">
        <f ca="1">IFERROR(__xludf.DUMMYFUNCTION("""COMPUTED_VALUE"""),273)</f>
        <v>273</v>
      </c>
      <c r="AC107" s="1">
        <f ca="1">IFERROR(__xludf.DUMMYFUNCTION("""COMPUTED_VALUE"""),157)</f>
        <v>157</v>
      </c>
      <c r="AD107" s="1">
        <f ca="1">IFERROR(__xludf.DUMMYFUNCTION("""COMPUTED_VALUE"""),115)</f>
        <v>115</v>
      </c>
      <c r="AE107" s="1">
        <f ca="1">IFERROR(__xludf.DUMMYFUNCTION("""COMPUTED_VALUE"""),436)</f>
        <v>436</v>
      </c>
      <c r="AF107" s="1">
        <f ca="1">IFERROR(__xludf.DUMMYFUNCTION("""COMPUTED_VALUE"""),556)</f>
        <v>556</v>
      </c>
    </row>
    <row r="108" spans="1:32" ht="12.5" x14ac:dyDescent="0.25">
      <c r="A108" s="1" t="str">
        <f ca="1">IFERROR(__xludf.DUMMYFUNCTION("""COMPUTED_VALUE"""),"Fresno State")</f>
        <v>Fresno State</v>
      </c>
      <c r="B108" s="1">
        <f ca="1">IFERROR(__xludf.DUMMYFUNCTION("""COMPUTED_VALUE"""),33)</f>
        <v>33</v>
      </c>
      <c r="C108" s="1">
        <f ca="1">IFERROR(__xludf.DUMMYFUNCTION("""COMPUTED_VALUE"""),15)</f>
        <v>15</v>
      </c>
      <c r="D108" s="1">
        <f ca="1">IFERROR(__xludf.DUMMYFUNCTION("""COMPUTED_VALUE"""),18)</f>
        <v>18</v>
      </c>
      <c r="E108" s="1">
        <f ca="1">IFERROR(__xludf.DUMMYFUNCTION("""COMPUTED_VALUE"""),0.455)</f>
        <v>0.45500000000000002</v>
      </c>
      <c r="F108" s="1">
        <f ca="1">IFERROR(__xludf.DUMMYFUNCTION("""COMPUTED_VALUE"""),0.14)</f>
        <v>0.14000000000000001</v>
      </c>
      <c r="G108" s="1">
        <f ca="1">IFERROR(__xludf.DUMMYFUNCTION("""COMPUTED_VALUE"""),1.31)</f>
        <v>1.31</v>
      </c>
      <c r="H108" s="1">
        <f ca="1">IFERROR(__xludf.DUMMYFUNCTION("""COMPUTED_VALUE"""),7)</f>
        <v>7</v>
      </c>
      <c r="I108" s="1">
        <f ca="1">IFERROR(__xludf.DUMMYFUNCTION("""COMPUTED_VALUE"""),9)</f>
        <v>9</v>
      </c>
      <c r="J108" s="1">
        <f ca="1">IFERROR(__xludf.DUMMYFUNCTION("""COMPUTED_VALUE"""),12)</f>
        <v>12</v>
      </c>
      <c r="K108" s="1">
        <f ca="1">IFERROR(__xludf.DUMMYFUNCTION("""COMPUTED_VALUE"""),6)</f>
        <v>6</v>
      </c>
      <c r="L108" s="1">
        <f ca="1">IFERROR(__xludf.DUMMYFUNCTION("""COMPUTED_VALUE"""),3)</f>
        <v>3</v>
      </c>
      <c r="M108" s="1">
        <f ca="1">IFERROR(__xludf.DUMMYFUNCTION("""COMPUTED_VALUE"""),11)</f>
        <v>11</v>
      </c>
      <c r="N108" s="1">
        <f ca="1">IFERROR(__xludf.DUMMYFUNCTION("""COMPUTED_VALUE"""),2188)</f>
        <v>2188</v>
      </c>
      <c r="O108" s="1">
        <f ca="1">IFERROR(__xludf.DUMMYFUNCTION("""COMPUTED_VALUE"""),2207)</f>
        <v>2207</v>
      </c>
      <c r="P108" s="1">
        <f ca="1">IFERROR(__xludf.DUMMYFUNCTION("""COMPUTED_VALUE"""),1320)</f>
        <v>1320</v>
      </c>
      <c r="Q108" s="1">
        <f ca="1">IFERROR(__xludf.DUMMYFUNCTION("""COMPUTED_VALUE"""),750)</f>
        <v>750</v>
      </c>
      <c r="R108" s="1">
        <f ca="1">IFERROR(__xludf.DUMMYFUNCTION("""COMPUTED_VALUE"""),1763)</f>
        <v>1763</v>
      </c>
      <c r="S108" s="1">
        <f ca="1">IFERROR(__xludf.DUMMYFUNCTION("""COMPUTED_VALUE"""),0.425)</f>
        <v>0.42499999999999999</v>
      </c>
      <c r="T108" s="1">
        <f ca="1">IFERROR(__xludf.DUMMYFUNCTION("""COMPUTED_VALUE"""),215)</f>
        <v>215</v>
      </c>
      <c r="U108" s="1">
        <f ca="1">IFERROR(__xludf.DUMMYFUNCTION("""COMPUTED_VALUE"""),675)</f>
        <v>675</v>
      </c>
      <c r="V108" s="1">
        <f ca="1">IFERROR(__xludf.DUMMYFUNCTION("""COMPUTED_VALUE"""),0.319)</f>
        <v>0.31900000000000001</v>
      </c>
      <c r="W108" s="1">
        <f ca="1">IFERROR(__xludf.DUMMYFUNCTION("""COMPUTED_VALUE"""),473)</f>
        <v>473</v>
      </c>
      <c r="X108" s="1">
        <f ca="1">IFERROR(__xludf.DUMMYFUNCTION("""COMPUTED_VALUE"""),698)</f>
        <v>698</v>
      </c>
      <c r="Y108" s="1">
        <f ca="1">IFERROR(__xludf.DUMMYFUNCTION("""COMPUTED_VALUE"""),0.678)</f>
        <v>0.67800000000000005</v>
      </c>
      <c r="Z108" s="1">
        <f ca="1">IFERROR(__xludf.DUMMYFUNCTION("""COMPUTED_VALUE"""),343)</f>
        <v>343</v>
      </c>
      <c r="AA108" s="1">
        <f ca="1">IFERROR(__xludf.DUMMYFUNCTION("""COMPUTED_VALUE"""),1104)</f>
        <v>1104</v>
      </c>
      <c r="AB108" s="1">
        <f ca="1">IFERROR(__xludf.DUMMYFUNCTION("""COMPUTED_VALUE"""),466)</f>
        <v>466</v>
      </c>
      <c r="AC108" s="1">
        <f ca="1">IFERROR(__xludf.DUMMYFUNCTION("""COMPUTED_VALUE"""),261)</f>
        <v>261</v>
      </c>
      <c r="AD108" s="1">
        <f ca="1">IFERROR(__xludf.DUMMYFUNCTION("""COMPUTED_VALUE"""),143)</f>
        <v>143</v>
      </c>
      <c r="AE108" s="1">
        <f ca="1">IFERROR(__xludf.DUMMYFUNCTION("""COMPUTED_VALUE"""),462)</f>
        <v>462</v>
      </c>
      <c r="AF108" s="1">
        <f ca="1">IFERROR(__xludf.DUMMYFUNCTION("""COMPUTED_VALUE"""),555)</f>
        <v>555</v>
      </c>
    </row>
    <row r="109" spans="1:32" ht="12.5" x14ac:dyDescent="0.25">
      <c r="A109" s="1" t="str">
        <f ca="1">IFERROR(__xludf.DUMMYFUNCTION("""COMPUTED_VALUE"""),"Furman")</f>
        <v>Furman</v>
      </c>
      <c r="B109" s="1">
        <f ca="1">IFERROR(__xludf.DUMMYFUNCTION("""COMPUTED_VALUE"""),30)</f>
        <v>30</v>
      </c>
      <c r="C109" s="1">
        <f ca="1">IFERROR(__xludf.DUMMYFUNCTION("""COMPUTED_VALUE"""),13)</f>
        <v>13</v>
      </c>
      <c r="D109" s="1">
        <f ca="1">IFERROR(__xludf.DUMMYFUNCTION("""COMPUTED_VALUE"""),17)</f>
        <v>17</v>
      </c>
      <c r="E109" s="1">
        <f ca="1">IFERROR(__xludf.DUMMYFUNCTION("""COMPUTED_VALUE"""),0.433)</f>
        <v>0.433</v>
      </c>
      <c r="F109" s="1">
        <f ca="1">IFERROR(__xludf.DUMMYFUNCTION("""COMPUTED_VALUE"""),-7.01)</f>
        <v>-7.01</v>
      </c>
      <c r="G109" s="1">
        <f ca="1">IFERROR(__xludf.DUMMYFUNCTION("""COMPUTED_VALUE"""),-4.83)</f>
        <v>-4.83</v>
      </c>
      <c r="H109" s="1">
        <f ca="1">IFERROR(__xludf.DUMMYFUNCTION("""COMPUTED_VALUE"""),7)</f>
        <v>7</v>
      </c>
      <c r="I109" s="1">
        <f ca="1">IFERROR(__xludf.DUMMYFUNCTION("""COMPUTED_VALUE"""),11)</f>
        <v>11</v>
      </c>
      <c r="J109" s="1">
        <f ca="1">IFERROR(__xludf.DUMMYFUNCTION("""COMPUTED_VALUE"""),8)</f>
        <v>8</v>
      </c>
      <c r="K109" s="1">
        <f ca="1">IFERROR(__xludf.DUMMYFUNCTION("""COMPUTED_VALUE"""),6)</f>
        <v>6</v>
      </c>
      <c r="L109" s="1">
        <f ca="1">IFERROR(__xludf.DUMMYFUNCTION("""COMPUTED_VALUE"""),4)</f>
        <v>4</v>
      </c>
      <c r="M109" s="1">
        <f ca="1">IFERROR(__xludf.DUMMYFUNCTION("""COMPUTED_VALUE"""),9)</f>
        <v>9</v>
      </c>
      <c r="N109" s="1">
        <f ca="1">IFERROR(__xludf.DUMMYFUNCTION("""COMPUTED_VALUE"""),2052)</f>
        <v>2052</v>
      </c>
      <c r="O109" s="1">
        <f ca="1">IFERROR(__xludf.DUMMYFUNCTION("""COMPUTED_VALUE"""),2059)</f>
        <v>2059</v>
      </c>
      <c r="P109" s="1">
        <f ca="1">IFERROR(__xludf.DUMMYFUNCTION("""COMPUTED_VALUE"""),1205)</f>
        <v>1205</v>
      </c>
      <c r="Q109" s="1">
        <f ca="1">IFERROR(__xludf.DUMMYFUNCTION("""COMPUTED_VALUE"""),676)</f>
        <v>676</v>
      </c>
      <c r="R109" s="1">
        <f ca="1">IFERROR(__xludf.DUMMYFUNCTION("""COMPUTED_VALUE"""),1620)</f>
        <v>1620</v>
      </c>
      <c r="S109" s="1">
        <f ca="1">IFERROR(__xludf.DUMMYFUNCTION("""COMPUTED_VALUE"""),0.417)</f>
        <v>0.41699999999999998</v>
      </c>
      <c r="T109" s="1">
        <f ca="1">IFERROR(__xludf.DUMMYFUNCTION("""COMPUTED_VALUE"""),195)</f>
        <v>195</v>
      </c>
      <c r="U109" s="1">
        <f ca="1">IFERROR(__xludf.DUMMYFUNCTION("""COMPUTED_VALUE"""),554)</f>
        <v>554</v>
      </c>
      <c r="V109" s="1">
        <f ca="1">IFERROR(__xludf.DUMMYFUNCTION("""COMPUTED_VALUE"""),0.352)</f>
        <v>0.35199999999999998</v>
      </c>
      <c r="W109" s="1">
        <f ca="1">IFERROR(__xludf.DUMMYFUNCTION("""COMPUTED_VALUE"""),505)</f>
        <v>505</v>
      </c>
      <c r="X109" s="1">
        <f ca="1">IFERROR(__xludf.DUMMYFUNCTION("""COMPUTED_VALUE"""),706)</f>
        <v>706</v>
      </c>
      <c r="Y109" s="1">
        <f ca="1">IFERROR(__xludf.DUMMYFUNCTION("""COMPUTED_VALUE"""),0.715)</f>
        <v>0.71499999999999997</v>
      </c>
      <c r="Z109" s="1">
        <f ca="1">IFERROR(__xludf.DUMMYFUNCTION("""COMPUTED_VALUE"""),326)</f>
        <v>326</v>
      </c>
      <c r="AA109" s="1">
        <f ca="1">IFERROR(__xludf.DUMMYFUNCTION("""COMPUTED_VALUE"""),1074)</f>
        <v>1074</v>
      </c>
      <c r="AB109" s="1">
        <f ca="1">IFERROR(__xludf.DUMMYFUNCTION("""COMPUTED_VALUE"""),347)</f>
        <v>347</v>
      </c>
      <c r="AC109" s="1">
        <f ca="1">IFERROR(__xludf.DUMMYFUNCTION("""COMPUTED_VALUE"""),148)</f>
        <v>148</v>
      </c>
      <c r="AD109" s="1">
        <f ca="1">IFERROR(__xludf.DUMMYFUNCTION("""COMPUTED_VALUE"""),154)</f>
        <v>154</v>
      </c>
      <c r="AE109" s="1">
        <f ca="1">IFERROR(__xludf.DUMMYFUNCTION("""COMPUTED_VALUE"""),433)</f>
        <v>433</v>
      </c>
      <c r="AF109" s="1">
        <f ca="1">IFERROR(__xludf.DUMMYFUNCTION("""COMPUTED_VALUE"""),631)</f>
        <v>631</v>
      </c>
    </row>
    <row r="110" spans="1:32" ht="12.5" x14ac:dyDescent="0.25">
      <c r="A110" s="1" t="str">
        <f ca="1">IFERROR(__xludf.DUMMYFUNCTION("""COMPUTED_VALUE"""),"Overall")</f>
        <v>Overall</v>
      </c>
      <c r="B110" s="1" t="str">
        <f ca="1">IFERROR(__xludf.DUMMYFUNCTION("""COMPUTED_VALUE"""),"Conf.")</f>
        <v>Conf.</v>
      </c>
      <c r="C110" s="1" t="str">
        <f ca="1">IFERROR(__xludf.DUMMYFUNCTION("""COMPUTED_VALUE"""),"Home")</f>
        <v>Home</v>
      </c>
      <c r="D110" s="1" t="str">
        <f ca="1">IFERROR(__xludf.DUMMYFUNCTION("""COMPUTED_VALUE"""),"Away")</f>
        <v>Away</v>
      </c>
      <c r="E110" s="1" t="str">
        <f ca="1">IFERROR(__xludf.DUMMYFUNCTION("""COMPUTED_VALUE"""),"Points")</f>
        <v>Points</v>
      </c>
      <c r="F110" s="1" t="str">
        <f ca="1">IFERROR(__xludf.DUMMYFUNCTION("""COMPUTED_VALUE"""),"")</f>
        <v/>
      </c>
      <c r="G110" s="1" t="str">
        <f ca="1">IFERROR(__xludf.DUMMYFUNCTION("""COMPUTED_VALUE"""),"School Totals")</f>
        <v>School Totals</v>
      </c>
      <c r="H110" s="1" t="str">
        <f ca="1">IFERROR(__xludf.DUMMYFUNCTION("""COMPUTED_VALUE"""),"")</f>
        <v/>
      </c>
      <c r="I110" s="1" t="str">
        <f ca="1">IFERROR(__xludf.DUMMYFUNCTION("""COMPUTED_VALUE"""),"")</f>
        <v/>
      </c>
      <c r="J110" s="1" t="str">
        <f ca="1">IFERROR(__xludf.DUMMYFUNCTION("""COMPUTED_VALUE"""),"")</f>
        <v/>
      </c>
      <c r="K110" s="1" t="str">
        <f ca="1">IFERROR(__xludf.DUMMYFUNCTION("""COMPUTED_VALUE"""),"")</f>
        <v/>
      </c>
      <c r="L110" s="1" t="str">
        <f ca="1">IFERROR(__xludf.DUMMYFUNCTION("""COMPUTED_VALUE"""),"")</f>
        <v/>
      </c>
      <c r="M110" s="1" t="str">
        <f ca="1">IFERROR(__xludf.DUMMYFUNCTION("""COMPUTED_VALUE"""),"")</f>
        <v/>
      </c>
      <c r="N110" s="1" t="str">
        <f ca="1">IFERROR(__xludf.DUMMYFUNCTION("""COMPUTED_VALUE"""),"")</f>
        <v/>
      </c>
      <c r="O110" s="1" t="str">
        <f ca="1">IFERROR(__xludf.DUMMYFUNCTION("""COMPUTED_VALUE"""),"")</f>
        <v/>
      </c>
      <c r="P110" s="1" t="str">
        <f ca="1">IFERROR(__xludf.DUMMYFUNCTION("""COMPUTED_VALUE"""),"")</f>
        <v/>
      </c>
      <c r="Q110" s="1" t="str">
        <f ca="1">IFERROR(__xludf.DUMMYFUNCTION("""COMPUTED_VALUE"""),"")</f>
        <v/>
      </c>
      <c r="R110" s="1" t="str">
        <f ca="1">IFERROR(__xludf.DUMMYFUNCTION("""COMPUTED_VALUE"""),"")</f>
        <v/>
      </c>
      <c r="S110" s="1" t="str">
        <f ca="1">IFERROR(__xludf.DUMMYFUNCTION("""COMPUTED_VALUE"""),"")</f>
        <v/>
      </c>
      <c r="T110" s="1" t="str">
        <f ca="1">IFERROR(__xludf.DUMMYFUNCTION("""COMPUTED_VALUE"""),"")</f>
        <v/>
      </c>
      <c r="U110" s="1" t="str">
        <f ca="1">IFERROR(__xludf.DUMMYFUNCTION("""COMPUTED_VALUE"""),"")</f>
        <v/>
      </c>
      <c r="V110" s="1" t="str">
        <f ca="1">IFERROR(__xludf.DUMMYFUNCTION("""COMPUTED_VALUE"""),"")</f>
        <v/>
      </c>
      <c r="W110" s="1" t="str">
        <f ca="1">IFERROR(__xludf.DUMMYFUNCTION("""COMPUTED_VALUE"""),"")</f>
        <v/>
      </c>
      <c r="X110" s="1" t="str">
        <f ca="1">IFERROR(__xludf.DUMMYFUNCTION("""COMPUTED_VALUE"""),"")</f>
        <v/>
      </c>
      <c r="Y110" s="1" t="str">
        <f ca="1">IFERROR(__xludf.DUMMYFUNCTION("""COMPUTED_VALUE"""),"")</f>
        <v/>
      </c>
      <c r="Z110" s="1" t="str">
        <f ca="1">IFERROR(__xludf.DUMMYFUNCTION("""COMPUTED_VALUE"""),"")</f>
        <v/>
      </c>
      <c r="AA110" s="1" t="str">
        <f ca="1">IFERROR(__xludf.DUMMYFUNCTION("""COMPUTED_VALUE"""),"")</f>
        <v/>
      </c>
      <c r="AB110" s="1" t="str">
        <f ca="1">IFERROR(__xludf.DUMMYFUNCTION("""COMPUTED_VALUE"""),"")</f>
        <v/>
      </c>
      <c r="AC110" s="1" t="str">
        <f ca="1">IFERROR(__xludf.DUMMYFUNCTION("""COMPUTED_VALUE"""),"")</f>
        <v/>
      </c>
      <c r="AD110" s="1" t="str">
        <f ca="1">IFERROR(__xludf.DUMMYFUNCTION("""COMPUTED_VALUE"""),"")</f>
        <v/>
      </c>
      <c r="AE110" s="1" t="str">
        <f ca="1">IFERROR(__xludf.DUMMYFUNCTION("""COMPUTED_VALUE"""),"")</f>
        <v/>
      </c>
      <c r="AF110" s="1" t="str">
        <f ca="1">IFERROR(__xludf.DUMMYFUNCTION("""COMPUTED_VALUE"""),"")</f>
        <v/>
      </c>
    </row>
    <row r="111" spans="1:32" ht="12.5" x14ac:dyDescent="0.25">
      <c r="A111" s="1" t="str">
        <f ca="1">IFERROR(__xludf.DUMMYFUNCTION("""COMPUTED_VALUE"""),"School")</f>
        <v>School</v>
      </c>
      <c r="B111" s="1" t="str">
        <f ca="1">IFERROR(__xludf.DUMMYFUNCTION("""COMPUTED_VALUE"""),"G")</f>
        <v>G</v>
      </c>
      <c r="C111" s="1" t="str">
        <f ca="1">IFERROR(__xludf.DUMMYFUNCTION("""COMPUTED_VALUE"""),"W")</f>
        <v>W</v>
      </c>
      <c r="D111" s="1" t="str">
        <f ca="1">IFERROR(__xludf.DUMMYFUNCTION("""COMPUTED_VALUE"""),"L")</f>
        <v>L</v>
      </c>
      <c r="E111" s="1" t="str">
        <f ca="1">IFERROR(__xludf.DUMMYFUNCTION("""COMPUTED_VALUE"""),"W-L%")</f>
        <v>W-L%</v>
      </c>
      <c r="F111" s="1" t="str">
        <f ca="1">IFERROR(__xludf.DUMMYFUNCTION("""COMPUTED_VALUE"""),"SRS")</f>
        <v>SRS</v>
      </c>
      <c r="G111" s="1" t="str">
        <f ca="1">IFERROR(__xludf.DUMMYFUNCTION("""COMPUTED_VALUE"""),"SOS")</f>
        <v>SOS</v>
      </c>
      <c r="H111" s="1" t="str">
        <f ca="1">IFERROR(__xludf.DUMMYFUNCTION("""COMPUTED_VALUE"""),"W")</f>
        <v>W</v>
      </c>
      <c r="I111" s="1" t="str">
        <f ca="1">IFERROR(__xludf.DUMMYFUNCTION("""COMPUTED_VALUE"""),"L")</f>
        <v>L</v>
      </c>
      <c r="J111" s="1" t="str">
        <f ca="1">IFERROR(__xludf.DUMMYFUNCTION("""COMPUTED_VALUE"""),"W")</f>
        <v>W</v>
      </c>
      <c r="K111" s="1" t="str">
        <f ca="1">IFERROR(__xludf.DUMMYFUNCTION("""COMPUTED_VALUE"""),"L")</f>
        <v>L</v>
      </c>
      <c r="L111" s="1" t="str">
        <f ca="1">IFERROR(__xludf.DUMMYFUNCTION("""COMPUTED_VALUE"""),"W")</f>
        <v>W</v>
      </c>
      <c r="M111" s="1" t="str">
        <f ca="1">IFERROR(__xludf.DUMMYFUNCTION("""COMPUTED_VALUE"""),"L")</f>
        <v>L</v>
      </c>
      <c r="N111" s="1" t="str">
        <f ca="1">IFERROR(__xludf.DUMMYFUNCTION("""COMPUTED_VALUE"""),"Tm.")</f>
        <v>Tm.</v>
      </c>
      <c r="O111" s="1" t="str">
        <f ca="1">IFERROR(__xludf.DUMMYFUNCTION("""COMPUTED_VALUE"""),"Opp.")</f>
        <v>Opp.</v>
      </c>
      <c r="P111" s="1" t="str">
        <f ca="1">IFERROR(__xludf.DUMMYFUNCTION("""COMPUTED_VALUE"""),"MP")</f>
        <v>MP</v>
      </c>
      <c r="Q111" s="1" t="str">
        <f ca="1">IFERROR(__xludf.DUMMYFUNCTION("""COMPUTED_VALUE"""),"FG")</f>
        <v>FG</v>
      </c>
      <c r="R111" s="1" t="str">
        <f ca="1">IFERROR(__xludf.DUMMYFUNCTION("""COMPUTED_VALUE"""),"FGA")</f>
        <v>FGA</v>
      </c>
      <c r="S111" s="1" t="str">
        <f ca="1">IFERROR(__xludf.DUMMYFUNCTION("""COMPUTED_VALUE"""),"FG%")</f>
        <v>FG%</v>
      </c>
      <c r="T111" s="1" t="str">
        <f ca="1">IFERROR(__xludf.DUMMYFUNCTION("""COMPUTED_VALUE"""),"3P")</f>
        <v>3P</v>
      </c>
      <c r="U111" s="1" t="str">
        <f ca="1">IFERROR(__xludf.DUMMYFUNCTION("""COMPUTED_VALUE"""),"3PA")</f>
        <v>3PA</v>
      </c>
      <c r="V111" s="1" t="str">
        <f ca="1">IFERROR(__xludf.DUMMYFUNCTION("""COMPUTED_VALUE"""),"3P%")</f>
        <v>3P%</v>
      </c>
      <c r="W111" s="1" t="str">
        <f ca="1">IFERROR(__xludf.DUMMYFUNCTION("""COMPUTED_VALUE"""),"FT")</f>
        <v>FT</v>
      </c>
      <c r="X111" s="1" t="str">
        <f ca="1">IFERROR(__xludf.DUMMYFUNCTION("""COMPUTED_VALUE"""),"FTA")</f>
        <v>FTA</v>
      </c>
      <c r="Y111" s="1" t="str">
        <f ca="1">IFERROR(__xludf.DUMMYFUNCTION("""COMPUTED_VALUE"""),"FT%")</f>
        <v>FT%</v>
      </c>
      <c r="Z111" s="1" t="str">
        <f ca="1">IFERROR(__xludf.DUMMYFUNCTION("""COMPUTED_VALUE"""),"ORB")</f>
        <v>ORB</v>
      </c>
      <c r="AA111" s="1" t="str">
        <f ca="1">IFERROR(__xludf.DUMMYFUNCTION("""COMPUTED_VALUE"""),"TRB")</f>
        <v>TRB</v>
      </c>
      <c r="AB111" s="1" t="str">
        <f ca="1">IFERROR(__xludf.DUMMYFUNCTION("""COMPUTED_VALUE"""),"AST")</f>
        <v>AST</v>
      </c>
      <c r="AC111" s="1" t="str">
        <f ca="1">IFERROR(__xludf.DUMMYFUNCTION("""COMPUTED_VALUE"""),"STL")</f>
        <v>STL</v>
      </c>
      <c r="AD111" s="1" t="str">
        <f ca="1">IFERROR(__xludf.DUMMYFUNCTION("""COMPUTED_VALUE"""),"BLK")</f>
        <v>BLK</v>
      </c>
      <c r="AE111" s="1" t="str">
        <f ca="1">IFERROR(__xludf.DUMMYFUNCTION("""COMPUTED_VALUE"""),"TOV")</f>
        <v>TOV</v>
      </c>
      <c r="AF111" s="1" t="str">
        <f ca="1">IFERROR(__xludf.DUMMYFUNCTION("""COMPUTED_VALUE"""),"PF")</f>
        <v>PF</v>
      </c>
    </row>
    <row r="112" spans="1:32" ht="12.5" x14ac:dyDescent="0.25">
      <c r="A112" s="1" t="str">
        <f ca="1">IFERROR(__xludf.DUMMYFUNCTION("""COMPUTED_VALUE"""),"Gardner-Webb")</f>
        <v>Gardner-Webb</v>
      </c>
      <c r="B112" s="1">
        <f ca="1">IFERROR(__xludf.DUMMYFUNCTION("""COMPUTED_VALUE"""),29)</f>
        <v>29</v>
      </c>
      <c r="C112" s="1">
        <f ca="1">IFERROR(__xludf.DUMMYFUNCTION("""COMPUTED_VALUE"""),8)</f>
        <v>8</v>
      </c>
      <c r="D112" s="1">
        <f ca="1">IFERROR(__xludf.DUMMYFUNCTION("""COMPUTED_VALUE"""),21)</f>
        <v>21</v>
      </c>
      <c r="E112" s="1">
        <f ca="1">IFERROR(__xludf.DUMMYFUNCTION("""COMPUTED_VALUE"""),0.276)</f>
        <v>0.27600000000000002</v>
      </c>
      <c r="F112" s="1">
        <f ca="1">IFERROR(__xludf.DUMMYFUNCTION("""COMPUTED_VALUE"""),-20.32)</f>
        <v>-20.32</v>
      </c>
      <c r="G112" s="1">
        <f ca="1">IFERROR(__xludf.DUMMYFUNCTION("""COMPUTED_VALUE"""),-5.61)</f>
        <v>-5.61</v>
      </c>
      <c r="H112" s="1">
        <f ca="1">IFERROR(__xludf.DUMMYFUNCTION("""COMPUTED_VALUE"""),5)</f>
        <v>5</v>
      </c>
      <c r="I112" s="1">
        <f ca="1">IFERROR(__xludf.DUMMYFUNCTION("""COMPUTED_VALUE"""),13)</f>
        <v>13</v>
      </c>
      <c r="J112" s="1">
        <f ca="1">IFERROR(__xludf.DUMMYFUNCTION("""COMPUTED_VALUE"""),5)</f>
        <v>5</v>
      </c>
      <c r="K112" s="1">
        <f ca="1">IFERROR(__xludf.DUMMYFUNCTION("""COMPUTED_VALUE"""),10)</f>
        <v>10</v>
      </c>
      <c r="L112" s="1">
        <f ca="1">IFERROR(__xludf.DUMMYFUNCTION("""COMPUTED_VALUE"""),3)</f>
        <v>3</v>
      </c>
      <c r="M112" s="1">
        <f ca="1">IFERROR(__xludf.DUMMYFUNCTION("""COMPUTED_VALUE"""),11)</f>
        <v>11</v>
      </c>
      <c r="N112" s="1">
        <f ca="1">IFERROR(__xludf.DUMMYFUNCTION("""COMPUTED_VALUE"""),2005)</f>
        <v>2005</v>
      </c>
      <c r="O112" s="1">
        <f ca="1">IFERROR(__xludf.DUMMYFUNCTION("""COMPUTED_VALUE"""),2257)</f>
        <v>2257</v>
      </c>
      <c r="P112" s="1">
        <f ca="1">IFERROR(__xludf.DUMMYFUNCTION("""COMPUTED_VALUE"""),1175)</f>
        <v>1175</v>
      </c>
      <c r="Q112" s="1">
        <f ca="1">IFERROR(__xludf.DUMMYFUNCTION("""COMPUTED_VALUE"""),739)</f>
        <v>739</v>
      </c>
      <c r="R112" s="1">
        <f ca="1">IFERROR(__xludf.DUMMYFUNCTION("""COMPUTED_VALUE"""),1749)</f>
        <v>1749</v>
      </c>
      <c r="S112" s="1">
        <f ca="1">IFERROR(__xludf.DUMMYFUNCTION("""COMPUTED_VALUE"""),0.423)</f>
        <v>0.42299999999999999</v>
      </c>
      <c r="T112" s="1">
        <f ca="1">IFERROR(__xludf.DUMMYFUNCTION("""COMPUTED_VALUE"""),198)</f>
        <v>198</v>
      </c>
      <c r="U112" s="1">
        <f ca="1">IFERROR(__xludf.DUMMYFUNCTION("""COMPUTED_VALUE"""),592)</f>
        <v>592</v>
      </c>
      <c r="V112" s="1">
        <f ca="1">IFERROR(__xludf.DUMMYFUNCTION("""COMPUTED_VALUE"""),0.334)</f>
        <v>0.33400000000000002</v>
      </c>
      <c r="W112" s="1">
        <f ca="1">IFERROR(__xludf.DUMMYFUNCTION("""COMPUTED_VALUE"""),329)</f>
        <v>329</v>
      </c>
      <c r="X112" s="1">
        <f ca="1">IFERROR(__xludf.DUMMYFUNCTION("""COMPUTED_VALUE"""),512)</f>
        <v>512</v>
      </c>
      <c r="Y112" s="1">
        <f ca="1">IFERROR(__xludf.DUMMYFUNCTION("""COMPUTED_VALUE"""),0.643)</f>
        <v>0.64300000000000002</v>
      </c>
      <c r="Z112" s="1">
        <f ca="1">IFERROR(__xludf.DUMMYFUNCTION("""COMPUTED_VALUE"""),352)</f>
        <v>352</v>
      </c>
      <c r="AA112" s="1">
        <f ca="1">IFERROR(__xludf.DUMMYFUNCTION("""COMPUTED_VALUE"""),1044)</f>
        <v>1044</v>
      </c>
      <c r="AB112" s="1">
        <f ca="1">IFERROR(__xludf.DUMMYFUNCTION("""COMPUTED_VALUE"""),414)</f>
        <v>414</v>
      </c>
      <c r="AC112" s="1">
        <f ca="1">IFERROR(__xludf.DUMMYFUNCTION("""COMPUTED_VALUE"""),201)</f>
        <v>201</v>
      </c>
      <c r="AD112" s="1">
        <f ca="1">IFERROR(__xludf.DUMMYFUNCTION("""COMPUTED_VALUE"""),73)</f>
        <v>73</v>
      </c>
      <c r="AE112" s="1">
        <f ca="1">IFERROR(__xludf.DUMMYFUNCTION("""COMPUTED_VALUE"""),525)</f>
        <v>525</v>
      </c>
      <c r="AF112" s="1">
        <f ca="1">IFERROR(__xludf.DUMMYFUNCTION("""COMPUTED_VALUE"""),588)</f>
        <v>588</v>
      </c>
    </row>
    <row r="113" spans="1:32" ht="12.5" x14ac:dyDescent="0.25">
      <c r="A113" s="1" t="str">
        <f ca="1">IFERROR(__xludf.DUMMYFUNCTION("""COMPUTED_VALUE"""),"George Mason")</f>
        <v>George Mason</v>
      </c>
      <c r="B113" s="1">
        <f ca="1">IFERROR(__xludf.DUMMYFUNCTION("""COMPUTED_VALUE"""),32)</f>
        <v>32</v>
      </c>
      <c r="C113" s="1">
        <f ca="1">IFERROR(__xludf.DUMMYFUNCTION("""COMPUTED_VALUE"""),17)</f>
        <v>17</v>
      </c>
      <c r="D113" s="1">
        <f ca="1">IFERROR(__xludf.DUMMYFUNCTION("""COMPUTED_VALUE"""),15)</f>
        <v>15</v>
      </c>
      <c r="E113" s="1">
        <f ca="1">IFERROR(__xludf.DUMMYFUNCTION("""COMPUTED_VALUE"""),0.531)</f>
        <v>0.53100000000000003</v>
      </c>
      <c r="F113" s="1">
        <f ca="1">IFERROR(__xludf.DUMMYFUNCTION("""COMPUTED_VALUE"""),-0.44)</f>
        <v>-0.44</v>
      </c>
      <c r="G113" s="1">
        <f ca="1">IFERROR(__xludf.DUMMYFUNCTION("""COMPUTED_VALUE"""),0.06)</f>
        <v>0.06</v>
      </c>
      <c r="H113" s="1">
        <f ca="1">IFERROR(__xludf.DUMMYFUNCTION("""COMPUTED_VALUE"""),12)</f>
        <v>12</v>
      </c>
      <c r="I113" s="1">
        <f ca="1">IFERROR(__xludf.DUMMYFUNCTION("""COMPUTED_VALUE"""),6)</f>
        <v>6</v>
      </c>
      <c r="J113" s="1">
        <f ca="1">IFERROR(__xludf.DUMMYFUNCTION("""COMPUTED_VALUE"""),11)</f>
        <v>11</v>
      </c>
      <c r="K113" s="1">
        <f ca="1">IFERROR(__xludf.DUMMYFUNCTION("""COMPUTED_VALUE"""),5)</f>
        <v>5</v>
      </c>
      <c r="L113" s="1">
        <f ca="1">IFERROR(__xludf.DUMMYFUNCTION("""COMPUTED_VALUE"""),5)</f>
        <v>5</v>
      </c>
      <c r="M113" s="1">
        <f ca="1">IFERROR(__xludf.DUMMYFUNCTION("""COMPUTED_VALUE"""),8)</f>
        <v>8</v>
      </c>
      <c r="N113" s="1">
        <f ca="1">IFERROR(__xludf.DUMMYFUNCTION("""COMPUTED_VALUE"""),2145)</f>
        <v>2145</v>
      </c>
      <c r="O113" s="1">
        <f ca="1">IFERROR(__xludf.DUMMYFUNCTION("""COMPUTED_VALUE"""),2161)</f>
        <v>2161</v>
      </c>
      <c r="P113" s="1">
        <f ca="1">IFERROR(__xludf.DUMMYFUNCTION("""COMPUTED_VALUE"""),1290)</f>
        <v>1290</v>
      </c>
      <c r="Q113" s="1">
        <f ca="1">IFERROR(__xludf.DUMMYFUNCTION("""COMPUTED_VALUE"""),759)</f>
        <v>759</v>
      </c>
      <c r="R113" s="1">
        <f ca="1">IFERROR(__xludf.DUMMYFUNCTION("""COMPUTED_VALUE"""),1729)</f>
        <v>1729</v>
      </c>
      <c r="S113" s="1">
        <f ca="1">IFERROR(__xludf.DUMMYFUNCTION("""COMPUTED_VALUE"""),0.439)</f>
        <v>0.439</v>
      </c>
      <c r="T113" s="1">
        <f ca="1">IFERROR(__xludf.DUMMYFUNCTION("""COMPUTED_VALUE"""),165)</f>
        <v>165</v>
      </c>
      <c r="U113" s="1">
        <f ca="1">IFERROR(__xludf.DUMMYFUNCTION("""COMPUTED_VALUE"""),481)</f>
        <v>481</v>
      </c>
      <c r="V113" s="1">
        <f ca="1">IFERROR(__xludf.DUMMYFUNCTION("""COMPUTED_VALUE"""),0.343)</f>
        <v>0.34300000000000003</v>
      </c>
      <c r="W113" s="1">
        <f ca="1">IFERROR(__xludf.DUMMYFUNCTION("""COMPUTED_VALUE"""),462)</f>
        <v>462</v>
      </c>
      <c r="X113" s="1">
        <f ca="1">IFERROR(__xludf.DUMMYFUNCTION("""COMPUTED_VALUE"""),720)</f>
        <v>720</v>
      </c>
      <c r="Y113" s="1">
        <f ca="1">IFERROR(__xludf.DUMMYFUNCTION("""COMPUTED_VALUE"""),0.642)</f>
        <v>0.64200000000000002</v>
      </c>
      <c r="Z113" s="1">
        <f ca="1">IFERROR(__xludf.DUMMYFUNCTION("""COMPUTED_VALUE"""),365)</f>
        <v>365</v>
      </c>
      <c r="AA113" s="1">
        <f ca="1">IFERROR(__xludf.DUMMYFUNCTION("""COMPUTED_VALUE"""),1111)</f>
        <v>1111</v>
      </c>
      <c r="AB113" s="1">
        <f ca="1">IFERROR(__xludf.DUMMYFUNCTION("""COMPUTED_VALUE"""),379)</f>
        <v>379</v>
      </c>
      <c r="AC113" s="1">
        <f ca="1">IFERROR(__xludf.DUMMYFUNCTION("""COMPUTED_VALUE"""),210)</f>
        <v>210</v>
      </c>
      <c r="AD113" s="1">
        <f ca="1">IFERROR(__xludf.DUMMYFUNCTION("""COMPUTED_VALUE"""),128)</f>
        <v>128</v>
      </c>
      <c r="AE113" s="1">
        <f ca="1">IFERROR(__xludf.DUMMYFUNCTION("""COMPUTED_VALUE"""),438)</f>
        <v>438</v>
      </c>
      <c r="AF113" s="1">
        <f ca="1">IFERROR(__xludf.DUMMYFUNCTION("""COMPUTED_VALUE"""),557)</f>
        <v>557</v>
      </c>
    </row>
    <row r="114" spans="1:32" ht="12.5" x14ac:dyDescent="0.25">
      <c r="A114" s="1" t="str">
        <f ca="1">IFERROR(__xludf.DUMMYFUNCTION("""COMPUTED_VALUE"""),"George Washington")</f>
        <v>George Washington</v>
      </c>
      <c r="B114" s="1">
        <f ca="1">IFERROR(__xludf.DUMMYFUNCTION("""COMPUTED_VALUE"""),31)</f>
        <v>31</v>
      </c>
      <c r="C114" s="1">
        <f ca="1">IFERROR(__xludf.DUMMYFUNCTION("""COMPUTED_VALUE"""),16)</f>
        <v>16</v>
      </c>
      <c r="D114" s="1">
        <f ca="1">IFERROR(__xludf.DUMMYFUNCTION("""COMPUTED_VALUE"""),15)</f>
        <v>15</v>
      </c>
      <c r="E114" s="1">
        <f ca="1">IFERROR(__xludf.DUMMYFUNCTION("""COMPUTED_VALUE"""),0.516)</f>
        <v>0.51600000000000001</v>
      </c>
      <c r="F114" s="1">
        <f ca="1">IFERROR(__xludf.DUMMYFUNCTION("""COMPUTED_VALUE"""),3.12)</f>
        <v>3.12</v>
      </c>
      <c r="G114" s="1">
        <f ca="1">IFERROR(__xludf.DUMMYFUNCTION("""COMPUTED_VALUE"""),0.96)</f>
        <v>0.96</v>
      </c>
      <c r="H114" s="1">
        <f ca="1">IFERROR(__xludf.DUMMYFUNCTION("""COMPUTED_VALUE"""),6)</f>
        <v>6</v>
      </c>
      <c r="I114" s="1">
        <f ca="1">IFERROR(__xludf.DUMMYFUNCTION("""COMPUTED_VALUE"""),10)</f>
        <v>10</v>
      </c>
      <c r="J114" s="1">
        <f ca="1">IFERROR(__xludf.DUMMYFUNCTION("""COMPUTED_VALUE"""),8)</f>
        <v>8</v>
      </c>
      <c r="K114" s="1">
        <f ca="1">IFERROR(__xludf.DUMMYFUNCTION("""COMPUTED_VALUE"""),7)</f>
        <v>7</v>
      </c>
      <c r="L114" s="1">
        <f ca="1">IFERROR(__xludf.DUMMYFUNCTION("""COMPUTED_VALUE"""),7)</f>
        <v>7</v>
      </c>
      <c r="M114" s="1">
        <f ca="1">IFERROR(__xludf.DUMMYFUNCTION("""COMPUTED_VALUE"""),8)</f>
        <v>8</v>
      </c>
      <c r="N114" s="1">
        <f ca="1">IFERROR(__xludf.DUMMYFUNCTION("""COMPUTED_VALUE"""),2180)</f>
        <v>2180</v>
      </c>
      <c r="O114" s="1">
        <f ca="1">IFERROR(__xludf.DUMMYFUNCTION("""COMPUTED_VALUE"""),2113)</f>
        <v>2113</v>
      </c>
      <c r="P114" s="1">
        <f ca="1">IFERROR(__xludf.DUMMYFUNCTION("""COMPUTED_VALUE"""),1250)</f>
        <v>1250</v>
      </c>
      <c r="Q114" s="1">
        <f ca="1">IFERROR(__xludf.DUMMYFUNCTION("""COMPUTED_VALUE"""),783)</f>
        <v>783</v>
      </c>
      <c r="R114" s="1">
        <f ca="1">IFERROR(__xludf.DUMMYFUNCTION("""COMPUTED_VALUE"""),1800)</f>
        <v>1800</v>
      </c>
      <c r="S114" s="1">
        <f ca="1">IFERROR(__xludf.DUMMYFUNCTION("""COMPUTED_VALUE"""),0.435)</f>
        <v>0.435</v>
      </c>
      <c r="T114" s="1">
        <f ca="1">IFERROR(__xludf.DUMMYFUNCTION("""COMPUTED_VALUE"""),154)</f>
        <v>154</v>
      </c>
      <c r="U114" s="1">
        <f ca="1">IFERROR(__xludf.DUMMYFUNCTION("""COMPUTED_VALUE"""),467)</f>
        <v>467</v>
      </c>
      <c r="V114" s="1">
        <f ca="1">IFERROR(__xludf.DUMMYFUNCTION("""COMPUTED_VALUE"""),0.33)</f>
        <v>0.33</v>
      </c>
      <c r="W114" s="1">
        <f ca="1">IFERROR(__xludf.DUMMYFUNCTION("""COMPUTED_VALUE"""),460)</f>
        <v>460</v>
      </c>
      <c r="X114" s="1">
        <f ca="1">IFERROR(__xludf.DUMMYFUNCTION("""COMPUTED_VALUE"""),705)</f>
        <v>705</v>
      </c>
      <c r="Y114" s="1">
        <f ca="1">IFERROR(__xludf.DUMMYFUNCTION("""COMPUTED_VALUE"""),0.652)</f>
        <v>0.65200000000000002</v>
      </c>
      <c r="Z114" s="1">
        <f ca="1">IFERROR(__xludf.DUMMYFUNCTION("""COMPUTED_VALUE"""),431)</f>
        <v>431</v>
      </c>
      <c r="AA114" s="1">
        <f ca="1">IFERROR(__xludf.DUMMYFUNCTION("""COMPUTED_VALUE"""),1197)</f>
        <v>1197</v>
      </c>
      <c r="AB114" s="1">
        <f ca="1">IFERROR(__xludf.DUMMYFUNCTION("""COMPUTED_VALUE"""),398)</f>
        <v>398</v>
      </c>
      <c r="AC114" s="1">
        <f ca="1">IFERROR(__xludf.DUMMYFUNCTION("""COMPUTED_VALUE"""),244)</f>
        <v>244</v>
      </c>
      <c r="AD114" s="1">
        <f ca="1">IFERROR(__xludf.DUMMYFUNCTION("""COMPUTED_VALUE"""),109)</f>
        <v>109</v>
      </c>
      <c r="AE114" s="1">
        <f ca="1">IFERROR(__xludf.DUMMYFUNCTION("""COMPUTED_VALUE"""),443)</f>
        <v>443</v>
      </c>
      <c r="AF114" s="1">
        <f ca="1">IFERROR(__xludf.DUMMYFUNCTION("""COMPUTED_VALUE"""),647)</f>
        <v>647</v>
      </c>
    </row>
    <row r="115" spans="1:32" ht="12.5" x14ac:dyDescent="0.25">
      <c r="A115" s="1" t="str">
        <f ca="1">IFERROR(__xludf.DUMMYFUNCTION("""COMPUTED_VALUE"""),"GeorgetownNCAA")</f>
        <v>GeorgetownNCAA</v>
      </c>
      <c r="B115" s="1">
        <f ca="1">IFERROR(__xludf.DUMMYFUNCTION("""COMPUTED_VALUE"""),34)</f>
        <v>34</v>
      </c>
      <c r="C115" s="1">
        <f ca="1">IFERROR(__xludf.DUMMYFUNCTION("""COMPUTED_VALUE"""),23)</f>
        <v>23</v>
      </c>
      <c r="D115" s="1">
        <f ca="1">IFERROR(__xludf.DUMMYFUNCTION("""COMPUTED_VALUE"""),11)</f>
        <v>11</v>
      </c>
      <c r="E115" s="1">
        <f ca="1">IFERROR(__xludf.DUMMYFUNCTION("""COMPUTED_VALUE"""),0.676)</f>
        <v>0.67600000000000005</v>
      </c>
      <c r="F115" s="1">
        <f ca="1">IFERROR(__xludf.DUMMYFUNCTION("""COMPUTED_VALUE"""),17.03)</f>
        <v>17.03</v>
      </c>
      <c r="G115" s="1">
        <f ca="1">IFERROR(__xludf.DUMMYFUNCTION("""COMPUTED_VALUE"""),9.56)</f>
        <v>9.56</v>
      </c>
      <c r="H115" s="1">
        <f ca="1">IFERROR(__xludf.DUMMYFUNCTION("""COMPUTED_VALUE"""),10)</f>
        <v>10</v>
      </c>
      <c r="I115" s="1">
        <f ca="1">IFERROR(__xludf.DUMMYFUNCTION("""COMPUTED_VALUE"""),8)</f>
        <v>8</v>
      </c>
      <c r="J115" s="1">
        <f ca="1">IFERROR(__xludf.DUMMYFUNCTION("""COMPUTED_VALUE"""),12)</f>
        <v>12</v>
      </c>
      <c r="K115" s="1">
        <f ca="1">IFERROR(__xludf.DUMMYFUNCTION("""COMPUTED_VALUE"""),4)</f>
        <v>4</v>
      </c>
      <c r="L115" s="1">
        <f ca="1">IFERROR(__xludf.DUMMYFUNCTION("""COMPUTED_VALUE"""),6)</f>
        <v>6</v>
      </c>
      <c r="M115" s="1">
        <f ca="1">IFERROR(__xludf.DUMMYFUNCTION("""COMPUTED_VALUE"""),5)</f>
        <v>5</v>
      </c>
      <c r="N115" s="1">
        <f ca="1">IFERROR(__xludf.DUMMYFUNCTION("""COMPUTED_VALUE"""),2500)</f>
        <v>2500</v>
      </c>
      <c r="O115" s="1">
        <f ca="1">IFERROR(__xludf.DUMMYFUNCTION("""COMPUTED_VALUE"""),2246)</f>
        <v>2246</v>
      </c>
      <c r="P115" s="1">
        <f ca="1">IFERROR(__xludf.DUMMYFUNCTION("""COMPUTED_VALUE"""),1360)</f>
        <v>1360</v>
      </c>
      <c r="Q115" s="1">
        <f ca="1">IFERROR(__xludf.DUMMYFUNCTION("""COMPUTED_VALUE"""),905)</f>
        <v>905</v>
      </c>
      <c r="R115" s="1">
        <f ca="1">IFERROR(__xludf.DUMMYFUNCTION("""COMPUTED_VALUE"""),1815)</f>
        <v>1815</v>
      </c>
      <c r="S115" s="1">
        <f ca="1">IFERROR(__xludf.DUMMYFUNCTION("""COMPUTED_VALUE"""),0.499)</f>
        <v>0.499</v>
      </c>
      <c r="T115" s="1">
        <f ca="1">IFERROR(__xludf.DUMMYFUNCTION("""COMPUTED_VALUE"""),212)</f>
        <v>212</v>
      </c>
      <c r="U115" s="1">
        <f ca="1">IFERROR(__xludf.DUMMYFUNCTION("""COMPUTED_VALUE"""),548)</f>
        <v>548</v>
      </c>
      <c r="V115" s="1">
        <f ca="1">IFERROR(__xludf.DUMMYFUNCTION("""COMPUTED_VALUE"""),0.387)</f>
        <v>0.38700000000000001</v>
      </c>
      <c r="W115" s="1">
        <f ca="1">IFERROR(__xludf.DUMMYFUNCTION("""COMPUTED_VALUE"""),478)</f>
        <v>478</v>
      </c>
      <c r="X115" s="1">
        <f ca="1">IFERROR(__xludf.DUMMYFUNCTION("""COMPUTED_VALUE"""),672)</f>
        <v>672</v>
      </c>
      <c r="Y115" s="1">
        <f ca="1">IFERROR(__xludf.DUMMYFUNCTION("""COMPUTED_VALUE"""),0.711)</f>
        <v>0.71099999999999997</v>
      </c>
      <c r="Z115" s="1">
        <f ca="1">IFERROR(__xludf.DUMMYFUNCTION("""COMPUTED_VALUE"""),333)</f>
        <v>333</v>
      </c>
      <c r="AA115" s="1">
        <f ca="1">IFERROR(__xludf.DUMMYFUNCTION("""COMPUTED_VALUE"""),1132)</f>
        <v>1132</v>
      </c>
      <c r="AB115" s="1">
        <f ca="1">IFERROR(__xludf.DUMMYFUNCTION("""COMPUTED_VALUE"""),524)</f>
        <v>524</v>
      </c>
      <c r="AC115" s="1">
        <f ca="1">IFERROR(__xludf.DUMMYFUNCTION("""COMPUTED_VALUE"""),237)</f>
        <v>237</v>
      </c>
      <c r="AD115" s="1">
        <f ca="1">IFERROR(__xludf.DUMMYFUNCTION("""COMPUTED_VALUE"""),161)</f>
        <v>161</v>
      </c>
      <c r="AE115" s="1">
        <f ca="1">IFERROR(__xludf.DUMMYFUNCTION("""COMPUTED_VALUE"""),473)</f>
        <v>473</v>
      </c>
      <c r="AF115" s="1">
        <f ca="1">IFERROR(__xludf.DUMMYFUNCTION("""COMPUTED_VALUE"""),579)</f>
        <v>579</v>
      </c>
    </row>
    <row r="116" spans="1:32" ht="12.5" x14ac:dyDescent="0.25">
      <c r="A116" s="1" t="str">
        <f ca="1">IFERROR(__xludf.DUMMYFUNCTION("""COMPUTED_VALUE"""),"Georgia Southern")</f>
        <v>Georgia Southern</v>
      </c>
      <c r="B116" s="1">
        <f ca="1">IFERROR(__xludf.DUMMYFUNCTION("""COMPUTED_VALUE"""),32)</f>
        <v>32</v>
      </c>
      <c r="C116" s="1">
        <f ca="1">IFERROR(__xludf.DUMMYFUNCTION("""COMPUTED_VALUE"""),9)</f>
        <v>9</v>
      </c>
      <c r="D116" s="1">
        <f ca="1">IFERROR(__xludf.DUMMYFUNCTION("""COMPUTED_VALUE"""),23)</f>
        <v>23</v>
      </c>
      <c r="E116" s="1">
        <f ca="1">IFERROR(__xludf.DUMMYFUNCTION("""COMPUTED_VALUE"""),0.281)</f>
        <v>0.28100000000000003</v>
      </c>
      <c r="F116" s="1">
        <f ca="1">IFERROR(__xludf.DUMMYFUNCTION("""COMPUTED_VALUE"""),-12.57)</f>
        <v>-12.57</v>
      </c>
      <c r="G116" s="1">
        <f ca="1">IFERROR(__xludf.DUMMYFUNCTION("""COMPUTED_VALUE"""),-1.67)</f>
        <v>-1.67</v>
      </c>
      <c r="H116" s="1">
        <f ca="1">IFERROR(__xludf.DUMMYFUNCTION("""COMPUTED_VALUE"""),6)</f>
        <v>6</v>
      </c>
      <c r="I116" s="1">
        <f ca="1">IFERROR(__xludf.DUMMYFUNCTION("""COMPUTED_VALUE"""),12)</f>
        <v>12</v>
      </c>
      <c r="J116" s="1">
        <f ca="1">IFERROR(__xludf.DUMMYFUNCTION("""COMPUTED_VALUE"""),8)</f>
        <v>8</v>
      </c>
      <c r="K116" s="1">
        <f ca="1">IFERROR(__xludf.DUMMYFUNCTION("""COMPUTED_VALUE"""),6)</f>
        <v>6</v>
      </c>
      <c r="L116" s="1">
        <f ca="1">IFERROR(__xludf.DUMMYFUNCTION("""COMPUTED_VALUE"""),1)</f>
        <v>1</v>
      </c>
      <c r="M116" s="1">
        <f ca="1">IFERROR(__xludf.DUMMYFUNCTION("""COMPUTED_VALUE"""),16)</f>
        <v>16</v>
      </c>
      <c r="N116" s="1">
        <f ca="1">IFERROR(__xludf.DUMMYFUNCTION("""COMPUTED_VALUE"""),2260)</f>
        <v>2260</v>
      </c>
      <c r="O116" s="1">
        <f ca="1">IFERROR(__xludf.DUMMYFUNCTION("""COMPUTED_VALUE"""),2529)</f>
        <v>2529</v>
      </c>
      <c r="P116" s="1">
        <f ca="1">IFERROR(__xludf.DUMMYFUNCTION("""COMPUTED_VALUE"""),1290)</f>
        <v>1290</v>
      </c>
      <c r="Q116" s="1">
        <f ca="1">IFERROR(__xludf.DUMMYFUNCTION("""COMPUTED_VALUE"""),791)</f>
        <v>791</v>
      </c>
      <c r="R116" s="1">
        <f ca="1">IFERROR(__xludf.DUMMYFUNCTION("""COMPUTED_VALUE"""),1849)</f>
        <v>1849</v>
      </c>
      <c r="S116" s="1">
        <f ca="1">IFERROR(__xludf.DUMMYFUNCTION("""COMPUTED_VALUE"""),0.428)</f>
        <v>0.42799999999999999</v>
      </c>
      <c r="T116" s="1">
        <f ca="1">IFERROR(__xludf.DUMMYFUNCTION("""COMPUTED_VALUE"""),231)</f>
        <v>231</v>
      </c>
      <c r="U116" s="1">
        <f ca="1">IFERROR(__xludf.DUMMYFUNCTION("""COMPUTED_VALUE"""),611)</f>
        <v>611</v>
      </c>
      <c r="V116" s="1">
        <f ca="1">IFERROR(__xludf.DUMMYFUNCTION("""COMPUTED_VALUE"""),0.378)</f>
        <v>0.378</v>
      </c>
      <c r="W116" s="1">
        <f ca="1">IFERROR(__xludf.DUMMYFUNCTION("""COMPUTED_VALUE"""),447)</f>
        <v>447</v>
      </c>
      <c r="X116" s="1">
        <f ca="1">IFERROR(__xludf.DUMMYFUNCTION("""COMPUTED_VALUE"""),665)</f>
        <v>665</v>
      </c>
      <c r="Y116" s="1">
        <f ca="1">IFERROR(__xludf.DUMMYFUNCTION("""COMPUTED_VALUE"""),0.672)</f>
        <v>0.67200000000000004</v>
      </c>
      <c r="Z116" s="1">
        <f ca="1">IFERROR(__xludf.DUMMYFUNCTION("""COMPUTED_VALUE"""),368)</f>
        <v>368</v>
      </c>
      <c r="AA116" s="1">
        <f ca="1">IFERROR(__xludf.DUMMYFUNCTION("""COMPUTED_VALUE"""),985)</f>
        <v>985</v>
      </c>
      <c r="AB116" s="1">
        <f ca="1">IFERROR(__xludf.DUMMYFUNCTION("""COMPUTED_VALUE"""),444)</f>
        <v>444</v>
      </c>
      <c r="AC116" s="1">
        <f ca="1">IFERROR(__xludf.DUMMYFUNCTION("""COMPUTED_VALUE"""),259)</f>
        <v>259</v>
      </c>
      <c r="AD116" s="1">
        <f ca="1">IFERROR(__xludf.DUMMYFUNCTION("""COMPUTED_VALUE"""),106)</f>
        <v>106</v>
      </c>
      <c r="AE116" s="1">
        <f ca="1">IFERROR(__xludf.DUMMYFUNCTION("""COMPUTED_VALUE"""),512)</f>
        <v>512</v>
      </c>
      <c r="AF116" s="1">
        <f ca="1">IFERROR(__xludf.DUMMYFUNCTION("""COMPUTED_VALUE"""),693)</f>
        <v>693</v>
      </c>
    </row>
    <row r="117" spans="1:32" ht="12.5" x14ac:dyDescent="0.25">
      <c r="A117" s="1" t="str">
        <f ca="1">IFERROR(__xludf.DUMMYFUNCTION("""COMPUTED_VALUE"""),"Georgia State")</f>
        <v>Georgia State</v>
      </c>
      <c r="B117" s="1">
        <f ca="1">IFERROR(__xludf.DUMMYFUNCTION("""COMPUTED_VALUE"""),32)</f>
        <v>32</v>
      </c>
      <c r="C117" s="1">
        <f ca="1">IFERROR(__xludf.DUMMYFUNCTION("""COMPUTED_VALUE"""),12)</f>
        <v>12</v>
      </c>
      <c r="D117" s="1">
        <f ca="1">IFERROR(__xludf.DUMMYFUNCTION("""COMPUTED_VALUE"""),20)</f>
        <v>20</v>
      </c>
      <c r="E117" s="1">
        <f ca="1">IFERROR(__xludf.DUMMYFUNCTION("""COMPUTED_VALUE"""),0.375)</f>
        <v>0.375</v>
      </c>
      <c r="F117" s="1">
        <f ca="1">IFERROR(__xludf.DUMMYFUNCTION("""COMPUTED_VALUE"""),-3.74)</f>
        <v>-3.74</v>
      </c>
      <c r="G117" s="1">
        <f ca="1">IFERROR(__xludf.DUMMYFUNCTION("""COMPUTED_VALUE"""),-1.48)</f>
        <v>-1.48</v>
      </c>
      <c r="H117" s="1">
        <f ca="1">IFERROR(__xludf.DUMMYFUNCTION("""COMPUTED_VALUE"""),5)</f>
        <v>5</v>
      </c>
      <c r="I117" s="1">
        <f ca="1">IFERROR(__xludf.DUMMYFUNCTION("""COMPUTED_VALUE"""),13)</f>
        <v>13</v>
      </c>
      <c r="J117" s="1">
        <f ca="1">IFERROR(__xludf.DUMMYFUNCTION("""COMPUTED_VALUE"""),9)</f>
        <v>9</v>
      </c>
      <c r="K117" s="1">
        <f ca="1">IFERROR(__xludf.DUMMYFUNCTION("""COMPUTED_VALUE"""),5)</f>
        <v>5</v>
      </c>
      <c r="L117" s="1">
        <f ca="1">IFERROR(__xludf.DUMMYFUNCTION("""COMPUTED_VALUE"""),1)</f>
        <v>1</v>
      </c>
      <c r="M117" s="1">
        <f ca="1">IFERROR(__xludf.DUMMYFUNCTION("""COMPUTED_VALUE"""),12)</f>
        <v>12</v>
      </c>
      <c r="N117" s="1">
        <f ca="1">IFERROR(__xludf.DUMMYFUNCTION("""COMPUTED_VALUE"""),1993)</f>
        <v>1993</v>
      </c>
      <c r="O117" s="1">
        <f ca="1">IFERROR(__xludf.DUMMYFUNCTION("""COMPUTED_VALUE"""),2039)</f>
        <v>2039</v>
      </c>
      <c r="P117" s="1">
        <f ca="1">IFERROR(__xludf.DUMMYFUNCTION("""COMPUTED_VALUE"""),1295)</f>
        <v>1295</v>
      </c>
      <c r="Q117" s="1">
        <f ca="1">IFERROR(__xludf.DUMMYFUNCTION("""COMPUTED_VALUE"""),740)</f>
        <v>740</v>
      </c>
      <c r="R117" s="1">
        <f ca="1">IFERROR(__xludf.DUMMYFUNCTION("""COMPUTED_VALUE"""),1770)</f>
        <v>1770</v>
      </c>
      <c r="S117" s="1">
        <f ca="1">IFERROR(__xludf.DUMMYFUNCTION("""COMPUTED_VALUE"""),0.418)</f>
        <v>0.41799999999999998</v>
      </c>
      <c r="T117" s="1">
        <f ca="1">IFERROR(__xludf.DUMMYFUNCTION("""COMPUTED_VALUE"""),135)</f>
        <v>135</v>
      </c>
      <c r="U117" s="1">
        <f ca="1">IFERROR(__xludf.DUMMYFUNCTION("""COMPUTED_VALUE"""),428)</f>
        <v>428</v>
      </c>
      <c r="V117" s="1">
        <f ca="1">IFERROR(__xludf.DUMMYFUNCTION("""COMPUTED_VALUE"""),0.315)</f>
        <v>0.315</v>
      </c>
      <c r="W117" s="1">
        <f ca="1">IFERROR(__xludf.DUMMYFUNCTION("""COMPUTED_VALUE"""),378)</f>
        <v>378</v>
      </c>
      <c r="X117" s="1">
        <f ca="1">IFERROR(__xludf.DUMMYFUNCTION("""COMPUTED_VALUE"""),551)</f>
        <v>551</v>
      </c>
      <c r="Y117" s="1">
        <f ca="1">IFERROR(__xludf.DUMMYFUNCTION("""COMPUTED_VALUE"""),0.686)</f>
        <v>0.68600000000000005</v>
      </c>
      <c r="Z117" s="1">
        <f ca="1">IFERROR(__xludf.DUMMYFUNCTION("""COMPUTED_VALUE"""),423)</f>
        <v>423</v>
      </c>
      <c r="AA117" s="1">
        <f ca="1">IFERROR(__xludf.DUMMYFUNCTION("""COMPUTED_VALUE"""),1082)</f>
        <v>1082</v>
      </c>
      <c r="AB117" s="1">
        <f ca="1">IFERROR(__xludf.DUMMYFUNCTION("""COMPUTED_VALUE"""),356)</f>
        <v>356</v>
      </c>
      <c r="AC117" s="1">
        <f ca="1">IFERROR(__xludf.DUMMYFUNCTION("""COMPUTED_VALUE"""),231)</f>
        <v>231</v>
      </c>
      <c r="AD117" s="1">
        <f ca="1">IFERROR(__xludf.DUMMYFUNCTION("""COMPUTED_VALUE"""),106)</f>
        <v>106</v>
      </c>
      <c r="AE117" s="1">
        <f ca="1">IFERROR(__xludf.DUMMYFUNCTION("""COMPUTED_VALUE"""),432)</f>
        <v>432</v>
      </c>
      <c r="AF117" s="1">
        <f ca="1">IFERROR(__xludf.DUMMYFUNCTION("""COMPUTED_VALUE"""),599)</f>
        <v>599</v>
      </c>
    </row>
    <row r="118" spans="1:32" ht="12.5" x14ac:dyDescent="0.25">
      <c r="A118" s="1" t="str">
        <f ca="1">IFERROR(__xludf.DUMMYFUNCTION("""COMPUTED_VALUE"""),"Georgia TechNCAA")</f>
        <v>Georgia TechNCAA</v>
      </c>
      <c r="B118" s="1">
        <f ca="1">IFERROR(__xludf.DUMMYFUNCTION("""COMPUTED_VALUE"""),36)</f>
        <v>36</v>
      </c>
      <c r="C118" s="1">
        <f ca="1">IFERROR(__xludf.DUMMYFUNCTION("""COMPUTED_VALUE"""),23)</f>
        <v>23</v>
      </c>
      <c r="D118" s="1">
        <f ca="1">IFERROR(__xludf.DUMMYFUNCTION("""COMPUTED_VALUE"""),13)</f>
        <v>13</v>
      </c>
      <c r="E118" s="1">
        <f ca="1">IFERROR(__xludf.DUMMYFUNCTION("""COMPUTED_VALUE"""),0.639)</f>
        <v>0.63900000000000001</v>
      </c>
      <c r="F118" s="1">
        <f ca="1">IFERROR(__xludf.DUMMYFUNCTION("""COMPUTED_VALUE"""),14.11)</f>
        <v>14.11</v>
      </c>
      <c r="G118" s="1">
        <f ca="1">IFERROR(__xludf.DUMMYFUNCTION("""COMPUTED_VALUE"""),9.02)</f>
        <v>9.02</v>
      </c>
      <c r="H118" s="1">
        <f ca="1">IFERROR(__xludf.DUMMYFUNCTION("""COMPUTED_VALUE"""),7)</f>
        <v>7</v>
      </c>
      <c r="I118" s="1">
        <f ca="1">IFERROR(__xludf.DUMMYFUNCTION("""COMPUTED_VALUE"""),9)</f>
        <v>9</v>
      </c>
      <c r="J118" s="1">
        <f ca="1">IFERROR(__xludf.DUMMYFUNCTION("""COMPUTED_VALUE"""),14)</f>
        <v>14</v>
      </c>
      <c r="K118" s="1">
        <f ca="1">IFERROR(__xludf.DUMMYFUNCTION("""COMPUTED_VALUE"""),2)</f>
        <v>2</v>
      </c>
      <c r="L118" s="1">
        <f ca="1">IFERROR(__xludf.DUMMYFUNCTION("""COMPUTED_VALUE"""),3)</f>
        <v>3</v>
      </c>
      <c r="M118" s="1">
        <f ca="1">IFERROR(__xludf.DUMMYFUNCTION("""COMPUTED_VALUE"""),8)</f>
        <v>8</v>
      </c>
      <c r="N118" s="1">
        <f ca="1">IFERROR(__xludf.DUMMYFUNCTION("""COMPUTED_VALUE"""),2621)</f>
        <v>2621</v>
      </c>
      <c r="O118" s="1">
        <f ca="1">IFERROR(__xludf.DUMMYFUNCTION("""COMPUTED_VALUE"""),2365)</f>
        <v>2365</v>
      </c>
      <c r="P118" s="1">
        <f ca="1">IFERROR(__xludf.DUMMYFUNCTION("""COMPUTED_VALUE"""),1445)</f>
        <v>1445</v>
      </c>
      <c r="Q118" s="1">
        <f ca="1">IFERROR(__xludf.DUMMYFUNCTION("""COMPUTED_VALUE"""),948)</f>
        <v>948</v>
      </c>
      <c r="R118" s="1">
        <f ca="1">IFERROR(__xludf.DUMMYFUNCTION("""COMPUTED_VALUE"""),2064)</f>
        <v>2064</v>
      </c>
      <c r="S118" s="1">
        <f ca="1">IFERROR(__xludf.DUMMYFUNCTION("""COMPUTED_VALUE"""),0.459)</f>
        <v>0.45900000000000002</v>
      </c>
      <c r="T118" s="1">
        <f ca="1">IFERROR(__xludf.DUMMYFUNCTION("""COMPUTED_VALUE"""),213)</f>
        <v>213</v>
      </c>
      <c r="U118" s="1">
        <f ca="1">IFERROR(__xludf.DUMMYFUNCTION("""COMPUTED_VALUE"""),587)</f>
        <v>587</v>
      </c>
      <c r="V118" s="1">
        <f ca="1">IFERROR(__xludf.DUMMYFUNCTION("""COMPUTED_VALUE"""),0.363)</f>
        <v>0.36299999999999999</v>
      </c>
      <c r="W118" s="1">
        <f ca="1">IFERROR(__xludf.DUMMYFUNCTION("""COMPUTED_VALUE"""),512)</f>
        <v>512</v>
      </c>
      <c r="X118" s="1">
        <f ca="1">IFERROR(__xludf.DUMMYFUNCTION("""COMPUTED_VALUE"""),779)</f>
        <v>779</v>
      </c>
      <c r="Y118" s="1">
        <f ca="1">IFERROR(__xludf.DUMMYFUNCTION("""COMPUTED_VALUE"""),0.657)</f>
        <v>0.65700000000000003</v>
      </c>
      <c r="Z118" s="1">
        <f ca="1">IFERROR(__xludf.DUMMYFUNCTION("""COMPUTED_VALUE"""),464)</f>
        <v>464</v>
      </c>
      <c r="AA118" s="1">
        <f ca="1">IFERROR(__xludf.DUMMYFUNCTION("""COMPUTED_VALUE"""),1430)</f>
        <v>1430</v>
      </c>
      <c r="AB118" s="1">
        <f ca="1">IFERROR(__xludf.DUMMYFUNCTION("""COMPUTED_VALUE"""),508)</f>
        <v>508</v>
      </c>
      <c r="AC118" s="1">
        <f ca="1">IFERROR(__xludf.DUMMYFUNCTION("""COMPUTED_VALUE"""),288)</f>
        <v>288</v>
      </c>
      <c r="AD118" s="1">
        <f ca="1">IFERROR(__xludf.DUMMYFUNCTION("""COMPUTED_VALUE"""),190)</f>
        <v>190</v>
      </c>
      <c r="AE118" s="1">
        <f ca="1">IFERROR(__xludf.DUMMYFUNCTION("""COMPUTED_VALUE"""),574)</f>
        <v>574</v>
      </c>
      <c r="AF118" s="1">
        <f ca="1">IFERROR(__xludf.DUMMYFUNCTION("""COMPUTED_VALUE"""),670)</f>
        <v>670</v>
      </c>
    </row>
    <row r="119" spans="1:32" ht="12.5" x14ac:dyDescent="0.25">
      <c r="A119" s="1" t="str">
        <f ca="1">IFERROR(__xludf.DUMMYFUNCTION("""COMPUTED_VALUE"""),"Georgia")</f>
        <v>Georgia</v>
      </c>
      <c r="B119" s="1">
        <f ca="1">IFERROR(__xludf.DUMMYFUNCTION("""COMPUTED_VALUE"""),31)</f>
        <v>31</v>
      </c>
      <c r="C119" s="1">
        <f ca="1">IFERROR(__xludf.DUMMYFUNCTION("""COMPUTED_VALUE"""),14)</f>
        <v>14</v>
      </c>
      <c r="D119" s="1">
        <f ca="1">IFERROR(__xludf.DUMMYFUNCTION("""COMPUTED_VALUE"""),17)</f>
        <v>17</v>
      </c>
      <c r="E119" s="1">
        <f ca="1">IFERROR(__xludf.DUMMYFUNCTION("""COMPUTED_VALUE"""),0.452)</f>
        <v>0.45200000000000001</v>
      </c>
      <c r="F119" s="1">
        <f ca="1">IFERROR(__xludf.DUMMYFUNCTION("""COMPUTED_VALUE"""),7.33)</f>
        <v>7.33</v>
      </c>
      <c r="G119" s="1">
        <f ca="1">IFERROR(__xludf.DUMMYFUNCTION("""COMPUTED_VALUE"""),8.04)</f>
        <v>8.0399999999999991</v>
      </c>
      <c r="H119" s="1">
        <f ca="1">IFERROR(__xludf.DUMMYFUNCTION("""COMPUTED_VALUE"""),5)</f>
        <v>5</v>
      </c>
      <c r="I119" s="1">
        <f ca="1">IFERROR(__xludf.DUMMYFUNCTION("""COMPUTED_VALUE"""),11)</f>
        <v>11</v>
      </c>
      <c r="J119" s="1">
        <f ca="1">IFERROR(__xludf.DUMMYFUNCTION("""COMPUTED_VALUE"""),12)</f>
        <v>12</v>
      </c>
      <c r="K119" s="1">
        <f ca="1">IFERROR(__xludf.DUMMYFUNCTION("""COMPUTED_VALUE"""),4)</f>
        <v>4</v>
      </c>
      <c r="L119" s="1">
        <f ca="1">IFERROR(__xludf.DUMMYFUNCTION("""COMPUTED_VALUE"""),0)</f>
        <v>0</v>
      </c>
      <c r="M119" s="1">
        <f ca="1">IFERROR(__xludf.DUMMYFUNCTION("""COMPUTED_VALUE"""),12)</f>
        <v>12</v>
      </c>
      <c r="N119" s="1">
        <f ca="1">IFERROR(__xludf.DUMMYFUNCTION("""COMPUTED_VALUE"""),2128)</f>
        <v>2128</v>
      </c>
      <c r="O119" s="1">
        <f ca="1">IFERROR(__xludf.DUMMYFUNCTION("""COMPUTED_VALUE"""),2150)</f>
        <v>2150</v>
      </c>
      <c r="P119" s="1">
        <f ca="1">IFERROR(__xludf.DUMMYFUNCTION("""COMPUTED_VALUE"""),1245)</f>
        <v>1245</v>
      </c>
      <c r="Q119" s="1">
        <f ca="1">IFERROR(__xludf.DUMMYFUNCTION("""COMPUTED_VALUE"""),759)</f>
        <v>759</v>
      </c>
      <c r="R119" s="1">
        <f ca="1">IFERROR(__xludf.DUMMYFUNCTION("""COMPUTED_VALUE"""),1664)</f>
        <v>1664</v>
      </c>
      <c r="S119" s="1">
        <f ca="1">IFERROR(__xludf.DUMMYFUNCTION("""COMPUTED_VALUE"""),0.456)</f>
        <v>0.45600000000000002</v>
      </c>
      <c r="T119" s="1">
        <f ca="1">IFERROR(__xludf.DUMMYFUNCTION("""COMPUTED_VALUE"""),150)</f>
        <v>150</v>
      </c>
      <c r="U119" s="1">
        <f ca="1">IFERROR(__xludf.DUMMYFUNCTION("""COMPUTED_VALUE"""),410)</f>
        <v>410</v>
      </c>
      <c r="V119" s="1">
        <f ca="1">IFERROR(__xludf.DUMMYFUNCTION("""COMPUTED_VALUE"""),0.366)</f>
        <v>0.36599999999999999</v>
      </c>
      <c r="W119" s="1">
        <f ca="1">IFERROR(__xludf.DUMMYFUNCTION("""COMPUTED_VALUE"""),460)</f>
        <v>460</v>
      </c>
      <c r="X119" s="1">
        <f ca="1">IFERROR(__xludf.DUMMYFUNCTION("""COMPUTED_VALUE"""),641)</f>
        <v>641</v>
      </c>
      <c r="Y119" s="1">
        <f ca="1">IFERROR(__xludf.DUMMYFUNCTION("""COMPUTED_VALUE"""),0.718)</f>
        <v>0.71799999999999997</v>
      </c>
      <c r="Z119" s="1">
        <f ca="1">IFERROR(__xludf.DUMMYFUNCTION("""COMPUTED_VALUE"""),385)</f>
        <v>385</v>
      </c>
      <c r="AA119" s="1">
        <f ca="1">IFERROR(__xludf.DUMMYFUNCTION("""COMPUTED_VALUE"""),1117)</f>
        <v>1117</v>
      </c>
      <c r="AB119" s="1">
        <f ca="1">IFERROR(__xludf.DUMMYFUNCTION("""COMPUTED_VALUE"""),425)</f>
        <v>425</v>
      </c>
      <c r="AC119" s="1">
        <f ca="1">IFERROR(__xludf.DUMMYFUNCTION("""COMPUTED_VALUE"""),187)</f>
        <v>187</v>
      </c>
      <c r="AD119" s="1">
        <f ca="1">IFERROR(__xludf.DUMMYFUNCTION("""COMPUTED_VALUE"""),145)</f>
        <v>145</v>
      </c>
      <c r="AE119" s="1">
        <f ca="1">IFERROR(__xludf.DUMMYFUNCTION("""COMPUTED_VALUE"""),471)</f>
        <v>471</v>
      </c>
      <c r="AF119" s="1">
        <f ca="1">IFERROR(__xludf.DUMMYFUNCTION("""COMPUTED_VALUE"""),503)</f>
        <v>503</v>
      </c>
    </row>
    <row r="120" spans="1:32" ht="12.5" x14ac:dyDescent="0.25">
      <c r="A120" s="1" t="str">
        <f ca="1">IFERROR(__xludf.DUMMYFUNCTION("""COMPUTED_VALUE"""),"GonzagaNCAA")</f>
        <v>GonzagaNCAA</v>
      </c>
      <c r="B120" s="1">
        <f ca="1">IFERROR(__xludf.DUMMYFUNCTION("""COMPUTED_VALUE"""),34)</f>
        <v>34</v>
      </c>
      <c r="C120" s="1">
        <f ca="1">IFERROR(__xludf.DUMMYFUNCTION("""COMPUTED_VALUE"""),27)</f>
        <v>27</v>
      </c>
      <c r="D120" s="1">
        <f ca="1">IFERROR(__xludf.DUMMYFUNCTION("""COMPUTED_VALUE"""),7)</f>
        <v>7</v>
      </c>
      <c r="E120" s="1">
        <f ca="1">IFERROR(__xludf.DUMMYFUNCTION("""COMPUTED_VALUE"""),0.794)</f>
        <v>0.79400000000000004</v>
      </c>
      <c r="F120" s="1">
        <f ca="1">IFERROR(__xludf.DUMMYFUNCTION("""COMPUTED_VALUE"""),12.11)</f>
        <v>12.11</v>
      </c>
      <c r="G120" s="1">
        <f ca="1">IFERROR(__xludf.DUMMYFUNCTION("""COMPUTED_VALUE"""),3.83)</f>
        <v>3.83</v>
      </c>
      <c r="H120" s="1">
        <f ca="1">IFERROR(__xludf.DUMMYFUNCTION("""COMPUTED_VALUE"""),12)</f>
        <v>12</v>
      </c>
      <c r="I120" s="1">
        <f ca="1">IFERROR(__xludf.DUMMYFUNCTION("""COMPUTED_VALUE"""),2)</f>
        <v>2</v>
      </c>
      <c r="J120" s="1">
        <f ca="1">IFERROR(__xludf.DUMMYFUNCTION("""COMPUTED_VALUE"""),14)</f>
        <v>14</v>
      </c>
      <c r="K120" s="1">
        <f ca="1">IFERROR(__xludf.DUMMYFUNCTION("""COMPUTED_VALUE"""),1)</f>
        <v>1</v>
      </c>
      <c r="L120" s="1">
        <f ca="1">IFERROR(__xludf.DUMMYFUNCTION("""COMPUTED_VALUE"""),6)</f>
        <v>6</v>
      </c>
      <c r="M120" s="1">
        <f ca="1">IFERROR(__xludf.DUMMYFUNCTION("""COMPUTED_VALUE"""),3)</f>
        <v>3</v>
      </c>
      <c r="N120" s="1">
        <f ca="1">IFERROR(__xludf.DUMMYFUNCTION("""COMPUTED_VALUE"""),2614)</f>
        <v>2614</v>
      </c>
      <c r="O120" s="1">
        <f ca="1">IFERROR(__xludf.DUMMYFUNCTION("""COMPUTED_VALUE"""),2291)</f>
        <v>2291</v>
      </c>
      <c r="P120" s="1">
        <f ca="1">IFERROR(__xludf.DUMMYFUNCTION("""COMPUTED_VALUE"""),1375)</f>
        <v>1375</v>
      </c>
      <c r="Q120" s="1">
        <f ca="1">IFERROR(__xludf.DUMMYFUNCTION("""COMPUTED_VALUE"""),912)</f>
        <v>912</v>
      </c>
      <c r="R120" s="1">
        <f ca="1">IFERROR(__xludf.DUMMYFUNCTION("""COMPUTED_VALUE"""),1856)</f>
        <v>1856</v>
      </c>
      <c r="S120" s="1">
        <f ca="1">IFERROR(__xludf.DUMMYFUNCTION("""COMPUTED_VALUE"""),0.491)</f>
        <v>0.49099999999999999</v>
      </c>
      <c r="T120" s="1">
        <f ca="1">IFERROR(__xludf.DUMMYFUNCTION("""COMPUTED_VALUE"""),182)</f>
        <v>182</v>
      </c>
      <c r="U120" s="1">
        <f ca="1">IFERROR(__xludf.DUMMYFUNCTION("""COMPUTED_VALUE"""),516)</f>
        <v>516</v>
      </c>
      <c r="V120" s="1">
        <f ca="1">IFERROR(__xludf.DUMMYFUNCTION("""COMPUTED_VALUE"""),0.353)</f>
        <v>0.35299999999999998</v>
      </c>
      <c r="W120" s="1">
        <f ca="1">IFERROR(__xludf.DUMMYFUNCTION("""COMPUTED_VALUE"""),608)</f>
        <v>608</v>
      </c>
      <c r="X120" s="1">
        <f ca="1">IFERROR(__xludf.DUMMYFUNCTION("""COMPUTED_VALUE"""),916)</f>
        <v>916</v>
      </c>
      <c r="Y120" s="1">
        <f ca="1">IFERROR(__xludf.DUMMYFUNCTION("""COMPUTED_VALUE"""),0.664)</f>
        <v>0.66400000000000003</v>
      </c>
      <c r="Z120" s="1">
        <f ca="1">IFERROR(__xludf.DUMMYFUNCTION("""COMPUTED_VALUE"""),358)</f>
        <v>358</v>
      </c>
      <c r="AA120" s="1">
        <f ca="1">IFERROR(__xludf.DUMMYFUNCTION("""COMPUTED_VALUE"""),1286)</f>
        <v>1286</v>
      </c>
      <c r="AB120" s="1">
        <f ca="1">IFERROR(__xludf.DUMMYFUNCTION("""COMPUTED_VALUE"""),456)</f>
        <v>456</v>
      </c>
      <c r="AC120" s="1">
        <f ca="1">IFERROR(__xludf.DUMMYFUNCTION("""COMPUTED_VALUE"""),227)</f>
        <v>227</v>
      </c>
      <c r="AD120" s="1">
        <f ca="1">IFERROR(__xludf.DUMMYFUNCTION("""COMPUTED_VALUE"""),142)</f>
        <v>142</v>
      </c>
      <c r="AE120" s="1">
        <f ca="1">IFERROR(__xludf.DUMMYFUNCTION("""COMPUTED_VALUE"""),444)</f>
        <v>444</v>
      </c>
      <c r="AF120" s="1">
        <f ca="1">IFERROR(__xludf.DUMMYFUNCTION("""COMPUTED_VALUE"""),614)</f>
        <v>614</v>
      </c>
    </row>
    <row r="121" spans="1:32" ht="12.5" x14ac:dyDescent="0.25">
      <c r="A121" s="1" t="str">
        <f ca="1">IFERROR(__xludf.DUMMYFUNCTION("""COMPUTED_VALUE"""),"Grambling")</f>
        <v>Grambling</v>
      </c>
      <c r="B121" s="1">
        <f ca="1">IFERROR(__xludf.DUMMYFUNCTION("""COMPUTED_VALUE"""),28)</f>
        <v>28</v>
      </c>
      <c r="C121" s="1">
        <f ca="1">IFERROR(__xludf.DUMMYFUNCTION("""COMPUTED_VALUE"""),7)</f>
        <v>7</v>
      </c>
      <c r="D121" s="1">
        <f ca="1">IFERROR(__xludf.DUMMYFUNCTION("""COMPUTED_VALUE"""),21)</f>
        <v>21</v>
      </c>
      <c r="E121" s="1">
        <f ca="1">IFERROR(__xludf.DUMMYFUNCTION("""COMPUTED_VALUE"""),0.25)</f>
        <v>0.25</v>
      </c>
      <c r="F121" s="1">
        <f ca="1">IFERROR(__xludf.DUMMYFUNCTION("""COMPUTED_VALUE"""),-23.05)</f>
        <v>-23.05</v>
      </c>
      <c r="G121" s="1">
        <f ca="1">IFERROR(__xludf.DUMMYFUNCTION("""COMPUTED_VALUE"""),-12.75)</f>
        <v>-12.75</v>
      </c>
      <c r="H121" s="1">
        <f ca="1">IFERROR(__xludf.DUMMYFUNCTION("""COMPUTED_VALUE"""),4)</f>
        <v>4</v>
      </c>
      <c r="I121" s="1">
        <f ca="1">IFERROR(__xludf.DUMMYFUNCTION("""COMPUTED_VALUE"""),14)</f>
        <v>14</v>
      </c>
      <c r="J121" s="1">
        <f ca="1">IFERROR(__xludf.DUMMYFUNCTION("""COMPUTED_VALUE"""),4)</f>
        <v>4</v>
      </c>
      <c r="K121" s="1">
        <f ca="1">IFERROR(__xludf.DUMMYFUNCTION("""COMPUTED_VALUE"""),7)</f>
        <v>7</v>
      </c>
      <c r="L121" s="1">
        <f ca="1">IFERROR(__xludf.DUMMYFUNCTION("""COMPUTED_VALUE"""),2)</f>
        <v>2</v>
      </c>
      <c r="M121" s="1">
        <f ca="1">IFERROR(__xludf.DUMMYFUNCTION("""COMPUTED_VALUE"""),13)</f>
        <v>13</v>
      </c>
      <c r="N121" s="1">
        <f ca="1">IFERROR(__xludf.DUMMYFUNCTION("""COMPUTED_VALUE"""),1784)</f>
        <v>1784</v>
      </c>
      <c r="O121" s="1">
        <f ca="1">IFERROR(__xludf.DUMMYFUNCTION("""COMPUTED_VALUE"""),2048)</f>
        <v>2048</v>
      </c>
      <c r="P121" s="1">
        <f ca="1">IFERROR(__xludf.DUMMYFUNCTION("""COMPUTED_VALUE"""),1135)</f>
        <v>1135</v>
      </c>
      <c r="Q121" s="1">
        <f ca="1">IFERROR(__xludf.DUMMYFUNCTION("""COMPUTED_VALUE"""),613)</f>
        <v>613</v>
      </c>
      <c r="R121" s="1">
        <f ca="1">IFERROR(__xludf.DUMMYFUNCTION("""COMPUTED_VALUE"""),1551)</f>
        <v>1551</v>
      </c>
      <c r="S121" s="1">
        <f ca="1">IFERROR(__xludf.DUMMYFUNCTION("""COMPUTED_VALUE"""),0.395)</f>
        <v>0.39500000000000002</v>
      </c>
      <c r="T121" s="1">
        <f ca="1">IFERROR(__xludf.DUMMYFUNCTION("""COMPUTED_VALUE"""),166)</f>
        <v>166</v>
      </c>
      <c r="U121" s="1">
        <f ca="1">IFERROR(__xludf.DUMMYFUNCTION("""COMPUTED_VALUE"""),479)</f>
        <v>479</v>
      </c>
      <c r="V121" s="1">
        <f ca="1">IFERROR(__xludf.DUMMYFUNCTION("""COMPUTED_VALUE"""),0.347)</f>
        <v>0.34699999999999998</v>
      </c>
      <c r="W121" s="1">
        <f ca="1">IFERROR(__xludf.DUMMYFUNCTION("""COMPUTED_VALUE"""),392)</f>
        <v>392</v>
      </c>
      <c r="X121" s="1">
        <f ca="1">IFERROR(__xludf.DUMMYFUNCTION("""COMPUTED_VALUE"""),570)</f>
        <v>570</v>
      </c>
      <c r="Y121" s="1">
        <f ca="1">IFERROR(__xludf.DUMMYFUNCTION("""COMPUTED_VALUE"""),0.688)</f>
        <v>0.68799999999999994</v>
      </c>
      <c r="Z121" s="1">
        <f ca="1">IFERROR(__xludf.DUMMYFUNCTION("""COMPUTED_VALUE"""),299)</f>
        <v>299</v>
      </c>
      <c r="AA121" s="1">
        <f ca="1">IFERROR(__xludf.DUMMYFUNCTION("""COMPUTED_VALUE"""),930)</f>
        <v>930</v>
      </c>
      <c r="AB121" s="1">
        <f ca="1">IFERROR(__xludf.DUMMYFUNCTION("""COMPUTED_VALUE"""),315)</f>
        <v>315</v>
      </c>
      <c r="AC121" s="1">
        <f ca="1">IFERROR(__xludf.DUMMYFUNCTION("""COMPUTED_VALUE"""),210)</f>
        <v>210</v>
      </c>
      <c r="AD121" s="1">
        <f ca="1">IFERROR(__xludf.DUMMYFUNCTION("""COMPUTED_VALUE"""),73)</f>
        <v>73</v>
      </c>
      <c r="AE121" s="1">
        <f ca="1">IFERROR(__xludf.DUMMYFUNCTION("""COMPUTED_VALUE"""),438)</f>
        <v>438</v>
      </c>
      <c r="AF121" s="1">
        <f ca="1">IFERROR(__xludf.DUMMYFUNCTION("""COMPUTED_VALUE"""),624)</f>
        <v>624</v>
      </c>
    </row>
    <row r="122" spans="1:32" ht="12.5" x14ac:dyDescent="0.25">
      <c r="A122" s="1" t="str">
        <f ca="1">IFERROR(__xludf.DUMMYFUNCTION("""COMPUTED_VALUE"""),"Green Bay")</f>
        <v>Green Bay</v>
      </c>
      <c r="B122" s="1">
        <f ca="1">IFERROR(__xludf.DUMMYFUNCTION("""COMPUTED_VALUE"""),35)</f>
        <v>35</v>
      </c>
      <c r="C122" s="1">
        <f ca="1">IFERROR(__xludf.DUMMYFUNCTION("""COMPUTED_VALUE"""),22)</f>
        <v>22</v>
      </c>
      <c r="D122" s="1">
        <f ca="1">IFERROR(__xludf.DUMMYFUNCTION("""COMPUTED_VALUE"""),13)</f>
        <v>13</v>
      </c>
      <c r="E122" s="1">
        <f ca="1">IFERROR(__xludf.DUMMYFUNCTION("""COMPUTED_VALUE"""),0.629)</f>
        <v>0.629</v>
      </c>
      <c r="F122" s="1">
        <f ca="1">IFERROR(__xludf.DUMMYFUNCTION("""COMPUTED_VALUE"""),0.33)</f>
        <v>0.33</v>
      </c>
      <c r="G122" s="1">
        <f ca="1">IFERROR(__xludf.DUMMYFUNCTION("""COMPUTED_VALUE"""),0.75)</f>
        <v>0.75</v>
      </c>
      <c r="H122" s="1">
        <f ca="1">IFERROR(__xludf.DUMMYFUNCTION("""COMPUTED_VALUE"""),11)</f>
        <v>11</v>
      </c>
      <c r="I122" s="1">
        <f ca="1">IFERROR(__xludf.DUMMYFUNCTION("""COMPUTED_VALUE"""),7)</f>
        <v>7</v>
      </c>
      <c r="J122" s="1">
        <f ca="1">IFERROR(__xludf.DUMMYFUNCTION("""COMPUTED_VALUE"""),11)</f>
        <v>11</v>
      </c>
      <c r="K122" s="1">
        <f ca="1">IFERROR(__xludf.DUMMYFUNCTION("""COMPUTED_VALUE"""),4)</f>
        <v>4</v>
      </c>
      <c r="L122" s="1">
        <f ca="1">IFERROR(__xludf.DUMMYFUNCTION("""COMPUTED_VALUE"""),9)</f>
        <v>9</v>
      </c>
      <c r="M122" s="1">
        <f ca="1">IFERROR(__xludf.DUMMYFUNCTION("""COMPUTED_VALUE"""),7)</f>
        <v>7</v>
      </c>
      <c r="N122" s="1">
        <f ca="1">IFERROR(__xludf.DUMMYFUNCTION("""COMPUTED_VALUE"""),2397)</f>
        <v>2397</v>
      </c>
      <c r="O122" s="1">
        <f ca="1">IFERROR(__xludf.DUMMYFUNCTION("""COMPUTED_VALUE"""),2341)</f>
        <v>2341</v>
      </c>
      <c r="P122" s="1">
        <f ca="1">IFERROR(__xludf.DUMMYFUNCTION("""COMPUTED_VALUE"""),1420)</f>
        <v>1420</v>
      </c>
      <c r="Q122" s="1">
        <f ca="1">IFERROR(__xludf.DUMMYFUNCTION("""COMPUTED_VALUE"""),832)</f>
        <v>832</v>
      </c>
      <c r="R122" s="1">
        <f ca="1">IFERROR(__xludf.DUMMYFUNCTION("""COMPUTED_VALUE"""),1905)</f>
        <v>1905</v>
      </c>
      <c r="S122" s="1">
        <f ca="1">IFERROR(__xludf.DUMMYFUNCTION("""COMPUTED_VALUE"""),0.437)</f>
        <v>0.437</v>
      </c>
      <c r="T122" s="1">
        <f ca="1">IFERROR(__xludf.DUMMYFUNCTION("""COMPUTED_VALUE"""),234)</f>
        <v>234</v>
      </c>
      <c r="U122" s="1">
        <f ca="1">IFERROR(__xludf.DUMMYFUNCTION("""COMPUTED_VALUE"""),622)</f>
        <v>622</v>
      </c>
      <c r="V122" s="1">
        <f ca="1">IFERROR(__xludf.DUMMYFUNCTION("""COMPUTED_VALUE"""),0.376)</f>
        <v>0.376</v>
      </c>
      <c r="W122" s="1">
        <f ca="1">IFERROR(__xludf.DUMMYFUNCTION("""COMPUTED_VALUE"""),499)</f>
        <v>499</v>
      </c>
      <c r="X122" s="1">
        <f ca="1">IFERROR(__xludf.DUMMYFUNCTION("""COMPUTED_VALUE"""),680)</f>
        <v>680</v>
      </c>
      <c r="Y122" s="1">
        <f ca="1">IFERROR(__xludf.DUMMYFUNCTION("""COMPUTED_VALUE"""),0.734)</f>
        <v>0.73399999999999999</v>
      </c>
      <c r="Z122" s="1">
        <f ca="1">IFERROR(__xludf.DUMMYFUNCTION("""COMPUTED_VALUE"""),390)</f>
        <v>390</v>
      </c>
      <c r="AA122" s="1">
        <f ca="1">IFERROR(__xludf.DUMMYFUNCTION("""COMPUTED_VALUE"""),1142)</f>
        <v>1142</v>
      </c>
      <c r="AB122" s="1">
        <f ca="1">IFERROR(__xludf.DUMMYFUNCTION("""COMPUTED_VALUE"""),410)</f>
        <v>410</v>
      </c>
      <c r="AC122" s="1">
        <f ca="1">IFERROR(__xludf.DUMMYFUNCTION("""COMPUTED_VALUE"""),213)</f>
        <v>213</v>
      </c>
      <c r="AD122" s="1">
        <f ca="1">IFERROR(__xludf.DUMMYFUNCTION("""COMPUTED_VALUE"""),89)</f>
        <v>89</v>
      </c>
      <c r="AE122" s="1">
        <f ca="1">IFERROR(__xludf.DUMMYFUNCTION("""COMPUTED_VALUE"""),434)</f>
        <v>434</v>
      </c>
      <c r="AF122" s="1">
        <f ca="1">IFERROR(__xludf.DUMMYFUNCTION("""COMPUTED_VALUE"""),649)</f>
        <v>649</v>
      </c>
    </row>
    <row r="123" spans="1:32" ht="12.5" x14ac:dyDescent="0.25">
      <c r="A123" s="1" t="str">
        <f ca="1">IFERROR(__xludf.DUMMYFUNCTION("""COMPUTED_VALUE"""),"Hampton")</f>
        <v>Hampton</v>
      </c>
      <c r="B123" s="1">
        <f ca="1">IFERROR(__xludf.DUMMYFUNCTION("""COMPUTED_VALUE"""),32)</f>
        <v>32</v>
      </c>
      <c r="C123" s="1">
        <f ca="1">IFERROR(__xludf.DUMMYFUNCTION("""COMPUTED_VALUE"""),14)</f>
        <v>14</v>
      </c>
      <c r="D123" s="1">
        <f ca="1">IFERROR(__xludf.DUMMYFUNCTION("""COMPUTED_VALUE"""),18)</f>
        <v>18</v>
      </c>
      <c r="E123" s="1">
        <f ca="1">IFERROR(__xludf.DUMMYFUNCTION("""COMPUTED_VALUE"""),0.438)</f>
        <v>0.438</v>
      </c>
      <c r="F123" s="1">
        <f ca="1">IFERROR(__xludf.DUMMYFUNCTION("""COMPUTED_VALUE"""),-6.75)</f>
        <v>-6.75</v>
      </c>
      <c r="G123" s="1">
        <f ca="1">IFERROR(__xludf.DUMMYFUNCTION("""COMPUTED_VALUE"""),-8.36)</f>
        <v>-8.36</v>
      </c>
      <c r="H123" s="1">
        <f ca="1">IFERROR(__xludf.DUMMYFUNCTION("""COMPUTED_VALUE"""),8)</f>
        <v>8</v>
      </c>
      <c r="I123" s="1">
        <f ca="1">IFERROR(__xludf.DUMMYFUNCTION("""COMPUTED_VALUE"""),8)</f>
        <v>8</v>
      </c>
      <c r="J123" s="1">
        <f ca="1">IFERROR(__xludf.DUMMYFUNCTION("""COMPUTED_VALUE"""),6)</f>
        <v>6</v>
      </c>
      <c r="K123" s="1">
        <f ca="1">IFERROR(__xludf.DUMMYFUNCTION("""COMPUTED_VALUE"""),6)</f>
        <v>6</v>
      </c>
      <c r="L123" s="1">
        <f ca="1">IFERROR(__xludf.DUMMYFUNCTION("""COMPUTED_VALUE"""),6)</f>
        <v>6</v>
      </c>
      <c r="M123" s="1">
        <f ca="1">IFERROR(__xludf.DUMMYFUNCTION("""COMPUTED_VALUE"""),9)</f>
        <v>9</v>
      </c>
      <c r="N123" s="1">
        <f ca="1">IFERROR(__xludf.DUMMYFUNCTION("""COMPUTED_VALUE"""),2102)</f>
        <v>2102</v>
      </c>
      <c r="O123" s="1">
        <f ca="1">IFERROR(__xludf.DUMMYFUNCTION("""COMPUTED_VALUE"""),2050)</f>
        <v>2050</v>
      </c>
      <c r="P123" s="1">
        <f ca="1">IFERROR(__xludf.DUMMYFUNCTION("""COMPUTED_VALUE"""),1280)</f>
        <v>1280</v>
      </c>
      <c r="Q123" s="1">
        <f ca="1">IFERROR(__xludf.DUMMYFUNCTION("""COMPUTED_VALUE"""),725)</f>
        <v>725</v>
      </c>
      <c r="R123" s="1">
        <f ca="1">IFERROR(__xludf.DUMMYFUNCTION("""COMPUTED_VALUE"""),1708)</f>
        <v>1708</v>
      </c>
      <c r="S123" s="1">
        <f ca="1">IFERROR(__xludf.DUMMYFUNCTION("""COMPUTED_VALUE"""),0.424)</f>
        <v>0.42399999999999999</v>
      </c>
      <c r="T123" s="1">
        <f ca="1">IFERROR(__xludf.DUMMYFUNCTION("""COMPUTED_VALUE"""),164)</f>
        <v>164</v>
      </c>
      <c r="U123" s="1">
        <f ca="1">IFERROR(__xludf.DUMMYFUNCTION("""COMPUTED_VALUE"""),549)</f>
        <v>549</v>
      </c>
      <c r="V123" s="1">
        <f ca="1">IFERROR(__xludf.DUMMYFUNCTION("""COMPUTED_VALUE"""),0.299)</f>
        <v>0.29899999999999999</v>
      </c>
      <c r="W123" s="1">
        <f ca="1">IFERROR(__xludf.DUMMYFUNCTION("""COMPUTED_VALUE"""),488)</f>
        <v>488</v>
      </c>
      <c r="X123" s="1">
        <f ca="1">IFERROR(__xludf.DUMMYFUNCTION("""COMPUTED_VALUE"""),720)</f>
        <v>720</v>
      </c>
      <c r="Y123" s="1">
        <f ca="1">IFERROR(__xludf.DUMMYFUNCTION("""COMPUTED_VALUE"""),0.678)</f>
        <v>0.67800000000000005</v>
      </c>
      <c r="Z123" s="1">
        <f ca="1">IFERROR(__xludf.DUMMYFUNCTION("""COMPUTED_VALUE"""),368)</f>
        <v>368</v>
      </c>
      <c r="AA123" s="1">
        <f ca="1">IFERROR(__xludf.DUMMYFUNCTION("""COMPUTED_VALUE"""),1106)</f>
        <v>1106</v>
      </c>
      <c r="AB123" s="1">
        <f ca="1">IFERROR(__xludf.DUMMYFUNCTION("""COMPUTED_VALUE"""),385)</f>
        <v>385</v>
      </c>
      <c r="AC123" s="1">
        <f ca="1">IFERROR(__xludf.DUMMYFUNCTION("""COMPUTED_VALUE"""),278)</f>
        <v>278</v>
      </c>
      <c r="AD123" s="1">
        <f ca="1">IFERROR(__xludf.DUMMYFUNCTION("""COMPUTED_VALUE"""),127)</f>
        <v>127</v>
      </c>
      <c r="AE123" s="1">
        <f ca="1">IFERROR(__xludf.DUMMYFUNCTION("""COMPUTED_VALUE"""),496)</f>
        <v>496</v>
      </c>
      <c r="AF123" s="1">
        <f ca="1">IFERROR(__xludf.DUMMYFUNCTION("""COMPUTED_VALUE"""),591)</f>
        <v>591</v>
      </c>
    </row>
    <row r="124" spans="1:32" ht="12.5" x14ac:dyDescent="0.25">
      <c r="A124" s="1" t="str">
        <f ca="1">IFERROR(__xludf.DUMMYFUNCTION("""COMPUTED_VALUE"""),"Hartford")</f>
        <v>Hartford</v>
      </c>
      <c r="B124" s="1">
        <f ca="1">IFERROR(__xludf.DUMMYFUNCTION("""COMPUTED_VALUE"""),30)</f>
        <v>30</v>
      </c>
      <c r="C124" s="1">
        <f ca="1">IFERROR(__xludf.DUMMYFUNCTION("""COMPUTED_VALUE"""),8)</f>
        <v>8</v>
      </c>
      <c r="D124" s="1">
        <f ca="1">IFERROR(__xludf.DUMMYFUNCTION("""COMPUTED_VALUE"""),22)</f>
        <v>22</v>
      </c>
      <c r="E124" s="1">
        <f ca="1">IFERROR(__xludf.DUMMYFUNCTION("""COMPUTED_VALUE"""),0.267)</f>
        <v>0.26700000000000002</v>
      </c>
      <c r="F124" s="1">
        <f ca="1">IFERROR(__xludf.DUMMYFUNCTION("""COMPUTED_VALUE"""),-13.77)</f>
        <v>-13.77</v>
      </c>
      <c r="G124" s="1">
        <f ca="1">IFERROR(__xludf.DUMMYFUNCTION("""COMPUTED_VALUE"""),-6.04)</f>
        <v>-6.04</v>
      </c>
      <c r="H124" s="1">
        <f ca="1">IFERROR(__xludf.DUMMYFUNCTION("""COMPUTED_VALUE"""),6)</f>
        <v>6</v>
      </c>
      <c r="I124" s="1">
        <f ca="1">IFERROR(__xludf.DUMMYFUNCTION("""COMPUTED_VALUE"""),10)</f>
        <v>10</v>
      </c>
      <c r="J124" s="1">
        <f ca="1">IFERROR(__xludf.DUMMYFUNCTION("""COMPUTED_VALUE"""),5)</f>
        <v>5</v>
      </c>
      <c r="K124" s="1">
        <f ca="1">IFERROR(__xludf.DUMMYFUNCTION("""COMPUTED_VALUE"""),8)</f>
        <v>8</v>
      </c>
      <c r="L124" s="1">
        <f ca="1">IFERROR(__xludf.DUMMYFUNCTION("""COMPUTED_VALUE"""),3)</f>
        <v>3</v>
      </c>
      <c r="M124" s="1">
        <f ca="1">IFERROR(__xludf.DUMMYFUNCTION("""COMPUTED_VALUE"""),13)</f>
        <v>13</v>
      </c>
      <c r="N124" s="1">
        <f ca="1">IFERROR(__xludf.DUMMYFUNCTION("""COMPUTED_VALUE"""),1868)</f>
        <v>1868</v>
      </c>
      <c r="O124" s="1">
        <f ca="1">IFERROR(__xludf.DUMMYFUNCTION("""COMPUTED_VALUE"""),2100)</f>
        <v>2100</v>
      </c>
      <c r="P124" s="1">
        <f ca="1">IFERROR(__xludf.DUMMYFUNCTION("""COMPUTED_VALUE"""),1205)</f>
        <v>1205</v>
      </c>
      <c r="Q124" s="1">
        <f ca="1">IFERROR(__xludf.DUMMYFUNCTION("""COMPUTED_VALUE"""),668)</f>
        <v>668</v>
      </c>
      <c r="R124" s="1">
        <f ca="1">IFERROR(__xludf.DUMMYFUNCTION("""COMPUTED_VALUE"""),1678)</f>
        <v>1678</v>
      </c>
      <c r="S124" s="1">
        <f ca="1">IFERROR(__xludf.DUMMYFUNCTION("""COMPUTED_VALUE"""),0.398)</f>
        <v>0.39800000000000002</v>
      </c>
      <c r="T124" s="1">
        <f ca="1">IFERROR(__xludf.DUMMYFUNCTION("""COMPUTED_VALUE"""),233)</f>
        <v>233</v>
      </c>
      <c r="U124" s="1">
        <f ca="1">IFERROR(__xludf.DUMMYFUNCTION("""COMPUTED_VALUE"""),678)</f>
        <v>678</v>
      </c>
      <c r="V124" s="1">
        <f ca="1">IFERROR(__xludf.DUMMYFUNCTION("""COMPUTED_VALUE"""),0.344)</f>
        <v>0.34399999999999997</v>
      </c>
      <c r="W124" s="1">
        <f ca="1">IFERROR(__xludf.DUMMYFUNCTION("""COMPUTED_VALUE"""),299)</f>
        <v>299</v>
      </c>
      <c r="X124" s="1">
        <f ca="1">IFERROR(__xludf.DUMMYFUNCTION("""COMPUTED_VALUE"""),468)</f>
        <v>468</v>
      </c>
      <c r="Y124" s="1">
        <f ca="1">IFERROR(__xludf.DUMMYFUNCTION("""COMPUTED_VALUE"""),0.639)</f>
        <v>0.63900000000000001</v>
      </c>
      <c r="Z124" s="1">
        <f ca="1">IFERROR(__xludf.DUMMYFUNCTION("""COMPUTED_VALUE"""),297)</f>
        <v>297</v>
      </c>
      <c r="AA124" s="1">
        <f ca="1">IFERROR(__xludf.DUMMYFUNCTION("""COMPUTED_VALUE"""),932)</f>
        <v>932</v>
      </c>
      <c r="AB124" s="1">
        <f ca="1">IFERROR(__xludf.DUMMYFUNCTION("""COMPUTED_VALUE"""),340)</f>
        <v>340</v>
      </c>
      <c r="AC124" s="1">
        <f ca="1">IFERROR(__xludf.DUMMYFUNCTION("""COMPUTED_VALUE"""),181)</f>
        <v>181</v>
      </c>
      <c r="AD124" s="1">
        <f ca="1">IFERROR(__xludf.DUMMYFUNCTION("""COMPUTED_VALUE"""),80)</f>
        <v>80</v>
      </c>
      <c r="AE124" s="1">
        <f ca="1">IFERROR(__xludf.DUMMYFUNCTION("""COMPUTED_VALUE"""),349)</f>
        <v>349</v>
      </c>
      <c r="AF124" s="1">
        <f ca="1">IFERROR(__xludf.DUMMYFUNCTION("""COMPUTED_VALUE"""),659)</f>
        <v>659</v>
      </c>
    </row>
    <row r="125" spans="1:32" ht="12.5" x14ac:dyDescent="0.25">
      <c r="A125" s="1" t="str">
        <f ca="1">IFERROR(__xludf.DUMMYFUNCTION("""COMPUTED_VALUE"""),"Harvard")</f>
        <v>Harvard</v>
      </c>
      <c r="B125" s="1">
        <f ca="1">IFERROR(__xludf.DUMMYFUNCTION("""COMPUTED_VALUE"""),29)</f>
        <v>29</v>
      </c>
      <c r="C125" s="1">
        <f ca="1">IFERROR(__xludf.DUMMYFUNCTION("""COMPUTED_VALUE"""),21)</f>
        <v>21</v>
      </c>
      <c r="D125" s="1">
        <f ca="1">IFERROR(__xludf.DUMMYFUNCTION("""COMPUTED_VALUE"""),8)</f>
        <v>8</v>
      </c>
      <c r="E125" s="1">
        <f ca="1">IFERROR(__xludf.DUMMYFUNCTION("""COMPUTED_VALUE"""),0.724)</f>
        <v>0.72399999999999998</v>
      </c>
      <c r="F125" s="1">
        <f ca="1">IFERROR(__xludf.DUMMYFUNCTION("""COMPUTED_VALUE"""),1.59)</f>
        <v>1.59</v>
      </c>
      <c r="G125" s="1">
        <f ca="1">IFERROR(__xludf.DUMMYFUNCTION("""COMPUTED_VALUE"""),-3.91)</f>
        <v>-3.91</v>
      </c>
      <c r="H125" s="1">
        <f ca="1">IFERROR(__xludf.DUMMYFUNCTION("""COMPUTED_VALUE"""),10)</f>
        <v>10</v>
      </c>
      <c r="I125" s="1">
        <f ca="1">IFERROR(__xludf.DUMMYFUNCTION("""COMPUTED_VALUE"""),4)</f>
        <v>4</v>
      </c>
      <c r="J125" s="1">
        <f ca="1">IFERROR(__xludf.DUMMYFUNCTION("""COMPUTED_VALUE"""),11)</f>
        <v>11</v>
      </c>
      <c r="K125" s="1">
        <f ca="1">IFERROR(__xludf.DUMMYFUNCTION("""COMPUTED_VALUE"""),2)</f>
        <v>2</v>
      </c>
      <c r="L125" s="1">
        <f ca="1">IFERROR(__xludf.DUMMYFUNCTION("""COMPUTED_VALUE"""),10)</f>
        <v>10</v>
      </c>
      <c r="M125" s="1">
        <f ca="1">IFERROR(__xludf.DUMMYFUNCTION("""COMPUTED_VALUE"""),6)</f>
        <v>6</v>
      </c>
      <c r="N125" s="1">
        <f ca="1">IFERROR(__xludf.DUMMYFUNCTION("""COMPUTED_VALUE"""),2145)</f>
        <v>2145</v>
      </c>
      <c r="O125" s="1">
        <f ca="1">IFERROR(__xludf.DUMMYFUNCTION("""COMPUTED_VALUE"""),1928)</f>
        <v>1928</v>
      </c>
      <c r="P125" s="1">
        <f ca="1">IFERROR(__xludf.DUMMYFUNCTION("""COMPUTED_VALUE"""),1180)</f>
        <v>1180</v>
      </c>
      <c r="Q125" s="1">
        <f ca="1">IFERROR(__xludf.DUMMYFUNCTION("""COMPUTED_VALUE"""),723)</f>
        <v>723</v>
      </c>
      <c r="R125" s="1">
        <f ca="1">IFERROR(__xludf.DUMMYFUNCTION("""COMPUTED_VALUE"""),1510)</f>
        <v>1510</v>
      </c>
      <c r="S125" s="1">
        <f ca="1">IFERROR(__xludf.DUMMYFUNCTION("""COMPUTED_VALUE"""),0.479)</f>
        <v>0.47899999999999998</v>
      </c>
      <c r="T125" s="1">
        <f ca="1">IFERROR(__xludf.DUMMYFUNCTION("""COMPUTED_VALUE"""),185)</f>
        <v>185</v>
      </c>
      <c r="U125" s="1">
        <f ca="1">IFERROR(__xludf.DUMMYFUNCTION("""COMPUTED_VALUE"""),512)</f>
        <v>512</v>
      </c>
      <c r="V125" s="1">
        <f ca="1">IFERROR(__xludf.DUMMYFUNCTION("""COMPUTED_VALUE"""),0.361)</f>
        <v>0.36099999999999999</v>
      </c>
      <c r="W125" s="1">
        <f ca="1">IFERROR(__xludf.DUMMYFUNCTION("""COMPUTED_VALUE"""),514)</f>
        <v>514</v>
      </c>
      <c r="X125" s="1">
        <f ca="1">IFERROR(__xludf.DUMMYFUNCTION("""COMPUTED_VALUE"""),672)</f>
        <v>672</v>
      </c>
      <c r="Y125" s="1">
        <f ca="1">IFERROR(__xludf.DUMMYFUNCTION("""COMPUTED_VALUE"""),0.765)</f>
        <v>0.76500000000000001</v>
      </c>
      <c r="Z125" s="1">
        <f ca="1">IFERROR(__xludf.DUMMYFUNCTION("""COMPUTED_VALUE"""),272)</f>
        <v>272</v>
      </c>
      <c r="AA125" s="1">
        <f ca="1">IFERROR(__xludf.DUMMYFUNCTION("""COMPUTED_VALUE"""),970)</f>
        <v>970</v>
      </c>
      <c r="AB125" s="1">
        <f ca="1">IFERROR(__xludf.DUMMYFUNCTION("""COMPUTED_VALUE"""),446)</f>
        <v>446</v>
      </c>
      <c r="AC125" s="1">
        <f ca="1">IFERROR(__xludf.DUMMYFUNCTION("""COMPUTED_VALUE"""),228)</f>
        <v>228</v>
      </c>
      <c r="AD125" s="1">
        <f ca="1">IFERROR(__xludf.DUMMYFUNCTION("""COMPUTED_VALUE"""),136)</f>
        <v>136</v>
      </c>
      <c r="AE125" s="1">
        <f ca="1">IFERROR(__xludf.DUMMYFUNCTION("""COMPUTED_VALUE"""),446)</f>
        <v>446</v>
      </c>
      <c r="AF125" s="1">
        <f ca="1">IFERROR(__xludf.DUMMYFUNCTION("""COMPUTED_VALUE"""),540)</f>
        <v>540</v>
      </c>
    </row>
    <row r="126" spans="1:32" ht="12.5" x14ac:dyDescent="0.25">
      <c r="A126" s="1" t="str">
        <f ca="1">IFERROR(__xludf.DUMMYFUNCTION("""COMPUTED_VALUE"""),"Hawaii")</f>
        <v>Hawaii</v>
      </c>
      <c r="B126" s="1">
        <f ca="1">IFERROR(__xludf.DUMMYFUNCTION("""COMPUTED_VALUE"""),30)</f>
        <v>30</v>
      </c>
      <c r="C126" s="1">
        <f ca="1">IFERROR(__xludf.DUMMYFUNCTION("""COMPUTED_VALUE"""),10)</f>
        <v>10</v>
      </c>
      <c r="D126" s="1">
        <f ca="1">IFERROR(__xludf.DUMMYFUNCTION("""COMPUTED_VALUE"""),20)</f>
        <v>20</v>
      </c>
      <c r="E126" s="1">
        <f ca="1">IFERROR(__xludf.DUMMYFUNCTION("""COMPUTED_VALUE"""),0.333)</f>
        <v>0.33300000000000002</v>
      </c>
      <c r="F126" s="1">
        <f ca="1">IFERROR(__xludf.DUMMYFUNCTION("""COMPUTED_VALUE"""),-4.91)</f>
        <v>-4.91</v>
      </c>
      <c r="G126" s="1">
        <f ca="1">IFERROR(__xludf.DUMMYFUNCTION("""COMPUTED_VALUE"""),0.33)</f>
        <v>0.33</v>
      </c>
      <c r="H126" s="1">
        <f ca="1">IFERROR(__xludf.DUMMYFUNCTION("""COMPUTED_VALUE"""),3)</f>
        <v>3</v>
      </c>
      <c r="I126" s="1">
        <f ca="1">IFERROR(__xludf.DUMMYFUNCTION("""COMPUTED_VALUE"""),13)</f>
        <v>13</v>
      </c>
      <c r="J126" s="1">
        <f ca="1">IFERROR(__xludf.DUMMYFUNCTION("""COMPUTED_VALUE"""),10)</f>
        <v>10</v>
      </c>
      <c r="K126" s="1">
        <f ca="1">IFERROR(__xludf.DUMMYFUNCTION("""COMPUTED_VALUE"""),11)</f>
        <v>11</v>
      </c>
      <c r="L126" s="1">
        <f ca="1">IFERROR(__xludf.DUMMYFUNCTION("""COMPUTED_VALUE"""),0)</f>
        <v>0</v>
      </c>
      <c r="M126" s="1">
        <f ca="1">IFERROR(__xludf.DUMMYFUNCTION("""COMPUTED_VALUE"""),9)</f>
        <v>9</v>
      </c>
      <c r="N126" s="1">
        <f ca="1">IFERROR(__xludf.DUMMYFUNCTION("""COMPUTED_VALUE"""),2044)</f>
        <v>2044</v>
      </c>
      <c r="O126" s="1">
        <f ca="1">IFERROR(__xludf.DUMMYFUNCTION("""COMPUTED_VALUE"""),2187)</f>
        <v>2187</v>
      </c>
      <c r="P126" s="1">
        <f ca="1">IFERROR(__xludf.DUMMYFUNCTION("""COMPUTED_VALUE"""),1200)</f>
        <v>1200</v>
      </c>
      <c r="Q126" s="1">
        <f ca="1">IFERROR(__xludf.DUMMYFUNCTION("""COMPUTED_VALUE"""),707)</f>
        <v>707</v>
      </c>
      <c r="R126" s="1">
        <f ca="1">IFERROR(__xludf.DUMMYFUNCTION("""COMPUTED_VALUE"""),1640)</f>
        <v>1640</v>
      </c>
      <c r="S126" s="1">
        <f ca="1">IFERROR(__xludf.DUMMYFUNCTION("""COMPUTED_VALUE"""),0.431)</f>
        <v>0.43099999999999999</v>
      </c>
      <c r="T126" s="1">
        <f ca="1">IFERROR(__xludf.DUMMYFUNCTION("""COMPUTED_VALUE"""),150)</f>
        <v>150</v>
      </c>
      <c r="U126" s="1">
        <f ca="1">IFERROR(__xludf.DUMMYFUNCTION("""COMPUTED_VALUE"""),479)</f>
        <v>479</v>
      </c>
      <c r="V126" s="1">
        <f ca="1">IFERROR(__xludf.DUMMYFUNCTION("""COMPUTED_VALUE"""),0.313)</f>
        <v>0.313</v>
      </c>
      <c r="W126" s="1">
        <f ca="1">IFERROR(__xludf.DUMMYFUNCTION("""COMPUTED_VALUE"""),480)</f>
        <v>480</v>
      </c>
      <c r="X126" s="1">
        <f ca="1">IFERROR(__xludf.DUMMYFUNCTION("""COMPUTED_VALUE"""),727)</f>
        <v>727</v>
      </c>
      <c r="Y126" s="1">
        <f ca="1">IFERROR(__xludf.DUMMYFUNCTION("""COMPUTED_VALUE"""),0.66)</f>
        <v>0.66</v>
      </c>
      <c r="Z126" s="1">
        <f ca="1">IFERROR(__xludf.DUMMYFUNCTION("""COMPUTED_VALUE"""),402)</f>
        <v>402</v>
      </c>
      <c r="AA126" s="1">
        <f ca="1">IFERROR(__xludf.DUMMYFUNCTION("""COMPUTED_VALUE"""),1075)</f>
        <v>1075</v>
      </c>
      <c r="AB126" s="1">
        <f ca="1">IFERROR(__xludf.DUMMYFUNCTION("""COMPUTED_VALUE"""),415)</f>
        <v>415</v>
      </c>
      <c r="AC126" s="1">
        <f ca="1">IFERROR(__xludf.DUMMYFUNCTION("""COMPUTED_VALUE"""),133)</f>
        <v>133</v>
      </c>
      <c r="AD126" s="1">
        <f ca="1">IFERROR(__xludf.DUMMYFUNCTION("""COMPUTED_VALUE"""),61)</f>
        <v>61</v>
      </c>
      <c r="AE126" s="1">
        <f ca="1">IFERROR(__xludf.DUMMYFUNCTION("""COMPUTED_VALUE"""),429)</f>
        <v>429</v>
      </c>
      <c r="AF126" s="1">
        <f ca="1">IFERROR(__xludf.DUMMYFUNCTION("""COMPUTED_VALUE"""),543)</f>
        <v>543</v>
      </c>
    </row>
    <row r="127" spans="1:32" ht="12.5" x14ac:dyDescent="0.25">
      <c r="A127" s="1" t="str">
        <f ca="1">IFERROR(__xludf.DUMMYFUNCTION("""COMPUTED_VALUE"""),"High Point")</f>
        <v>High Point</v>
      </c>
      <c r="B127" s="1">
        <f ca="1">IFERROR(__xludf.DUMMYFUNCTION("""COMPUTED_VALUE"""),30)</f>
        <v>30</v>
      </c>
      <c r="C127" s="1">
        <f ca="1">IFERROR(__xludf.DUMMYFUNCTION("""COMPUTED_VALUE"""),15)</f>
        <v>15</v>
      </c>
      <c r="D127" s="1">
        <f ca="1">IFERROR(__xludf.DUMMYFUNCTION("""COMPUTED_VALUE"""),15)</f>
        <v>15</v>
      </c>
      <c r="E127" s="1">
        <f ca="1">IFERROR(__xludf.DUMMYFUNCTION("""COMPUTED_VALUE"""),0.5)</f>
        <v>0.5</v>
      </c>
      <c r="F127" s="1">
        <f ca="1">IFERROR(__xludf.DUMMYFUNCTION("""COMPUTED_VALUE"""),-14.63)</f>
        <v>-14.63</v>
      </c>
      <c r="G127" s="1">
        <f ca="1">IFERROR(__xludf.DUMMYFUNCTION("""COMPUTED_VALUE"""),-9.3)</f>
        <v>-9.3000000000000007</v>
      </c>
      <c r="H127" s="1">
        <f ca="1">IFERROR(__xludf.DUMMYFUNCTION("""COMPUTED_VALUE"""),10)</f>
        <v>10</v>
      </c>
      <c r="I127" s="1">
        <f ca="1">IFERROR(__xludf.DUMMYFUNCTION("""COMPUTED_VALUE"""),8)</f>
        <v>8</v>
      </c>
      <c r="J127" s="1">
        <f ca="1">IFERROR(__xludf.DUMMYFUNCTION("""COMPUTED_VALUE"""),12)</f>
        <v>12</v>
      </c>
      <c r="K127" s="1">
        <f ca="1">IFERROR(__xludf.DUMMYFUNCTION("""COMPUTED_VALUE"""),1)</f>
        <v>1</v>
      </c>
      <c r="L127" s="1">
        <f ca="1">IFERROR(__xludf.DUMMYFUNCTION("""COMPUTED_VALUE"""),3)</f>
        <v>3</v>
      </c>
      <c r="M127" s="1">
        <f ca="1">IFERROR(__xludf.DUMMYFUNCTION("""COMPUTED_VALUE"""),14)</f>
        <v>14</v>
      </c>
      <c r="N127" s="1">
        <f ca="1">IFERROR(__xludf.DUMMYFUNCTION("""COMPUTED_VALUE"""),2169)</f>
        <v>2169</v>
      </c>
      <c r="O127" s="1">
        <f ca="1">IFERROR(__xludf.DUMMYFUNCTION("""COMPUTED_VALUE"""),2203)</f>
        <v>2203</v>
      </c>
      <c r="P127" s="1">
        <f ca="1">IFERROR(__xludf.DUMMYFUNCTION("""COMPUTED_VALUE"""),1205)</f>
        <v>1205</v>
      </c>
      <c r="Q127" s="1">
        <f ca="1">IFERROR(__xludf.DUMMYFUNCTION("""COMPUTED_VALUE"""),771)</f>
        <v>771</v>
      </c>
      <c r="R127" s="1">
        <f ca="1">IFERROR(__xludf.DUMMYFUNCTION("""COMPUTED_VALUE"""),1787)</f>
        <v>1787</v>
      </c>
      <c r="S127" s="1">
        <f ca="1">IFERROR(__xludf.DUMMYFUNCTION("""COMPUTED_VALUE"""),0.431)</f>
        <v>0.43099999999999999</v>
      </c>
      <c r="T127" s="1">
        <f ca="1">IFERROR(__xludf.DUMMYFUNCTION("""COMPUTED_VALUE"""),196)</f>
        <v>196</v>
      </c>
      <c r="U127" s="1">
        <f ca="1">IFERROR(__xludf.DUMMYFUNCTION("""COMPUTED_VALUE"""),551)</f>
        <v>551</v>
      </c>
      <c r="V127" s="1">
        <f ca="1">IFERROR(__xludf.DUMMYFUNCTION("""COMPUTED_VALUE"""),0.356)</f>
        <v>0.35599999999999998</v>
      </c>
      <c r="W127" s="1">
        <f ca="1">IFERROR(__xludf.DUMMYFUNCTION("""COMPUTED_VALUE"""),431)</f>
        <v>431</v>
      </c>
      <c r="X127" s="1">
        <f ca="1">IFERROR(__xludf.DUMMYFUNCTION("""COMPUTED_VALUE"""),627)</f>
        <v>627</v>
      </c>
      <c r="Y127" s="1">
        <f ca="1">IFERROR(__xludf.DUMMYFUNCTION("""COMPUTED_VALUE"""),0.687)</f>
        <v>0.68700000000000006</v>
      </c>
      <c r="Z127" s="1">
        <f ca="1">IFERROR(__xludf.DUMMYFUNCTION("""COMPUTED_VALUE"""),390)</f>
        <v>390</v>
      </c>
      <c r="AA127" s="1">
        <f ca="1">IFERROR(__xludf.DUMMYFUNCTION("""COMPUTED_VALUE"""),1063)</f>
        <v>1063</v>
      </c>
      <c r="AB127" s="1">
        <f ca="1">IFERROR(__xludf.DUMMYFUNCTION("""COMPUTED_VALUE"""),385)</f>
        <v>385</v>
      </c>
      <c r="AC127" s="1">
        <f ca="1">IFERROR(__xludf.DUMMYFUNCTION("""COMPUTED_VALUE"""),205)</f>
        <v>205</v>
      </c>
      <c r="AD127" s="1">
        <f ca="1">IFERROR(__xludf.DUMMYFUNCTION("""COMPUTED_VALUE"""),127)</f>
        <v>127</v>
      </c>
      <c r="AE127" s="1">
        <f ca="1">IFERROR(__xludf.DUMMYFUNCTION("""COMPUTED_VALUE"""),471)</f>
        <v>471</v>
      </c>
      <c r="AF127" s="1">
        <f ca="1">IFERROR(__xludf.DUMMYFUNCTION("""COMPUTED_VALUE"""),648)</f>
        <v>648</v>
      </c>
    </row>
    <row r="128" spans="1:32" ht="12.5" x14ac:dyDescent="0.25">
      <c r="A128" s="1" t="str">
        <f ca="1">IFERROR(__xludf.DUMMYFUNCTION("""COMPUTED_VALUE"""),"Hofstra")</f>
        <v>Hofstra</v>
      </c>
      <c r="B128" s="1">
        <f ca="1">IFERROR(__xludf.DUMMYFUNCTION("""COMPUTED_VALUE"""),34)</f>
        <v>34</v>
      </c>
      <c r="C128" s="1">
        <f ca="1">IFERROR(__xludf.DUMMYFUNCTION("""COMPUTED_VALUE"""),19)</f>
        <v>19</v>
      </c>
      <c r="D128" s="1">
        <f ca="1">IFERROR(__xludf.DUMMYFUNCTION("""COMPUTED_VALUE"""),15)</f>
        <v>15</v>
      </c>
      <c r="E128" s="1">
        <f ca="1">IFERROR(__xludf.DUMMYFUNCTION("""COMPUTED_VALUE"""),0.559)</f>
        <v>0.55900000000000005</v>
      </c>
      <c r="F128" s="1">
        <f ca="1">IFERROR(__xludf.DUMMYFUNCTION("""COMPUTED_VALUE"""),1.65)</f>
        <v>1.65</v>
      </c>
      <c r="G128" s="1">
        <f ca="1">IFERROR(__xludf.DUMMYFUNCTION("""COMPUTED_VALUE"""),-0.02)</f>
        <v>-0.02</v>
      </c>
      <c r="H128" s="1">
        <f ca="1">IFERROR(__xludf.DUMMYFUNCTION("""COMPUTED_VALUE"""),10)</f>
        <v>10</v>
      </c>
      <c r="I128" s="1">
        <f ca="1">IFERROR(__xludf.DUMMYFUNCTION("""COMPUTED_VALUE"""),8)</f>
        <v>8</v>
      </c>
      <c r="J128" s="1">
        <f ca="1">IFERROR(__xludf.DUMMYFUNCTION("""COMPUTED_VALUE"""),11)</f>
        <v>11</v>
      </c>
      <c r="K128" s="1">
        <f ca="1">IFERROR(__xludf.DUMMYFUNCTION("""COMPUTED_VALUE"""),6)</f>
        <v>6</v>
      </c>
      <c r="L128" s="1">
        <f ca="1">IFERROR(__xludf.DUMMYFUNCTION("""COMPUTED_VALUE"""),6)</f>
        <v>6</v>
      </c>
      <c r="M128" s="1">
        <f ca="1">IFERROR(__xludf.DUMMYFUNCTION("""COMPUTED_VALUE"""),7)</f>
        <v>7</v>
      </c>
      <c r="N128" s="1">
        <f ca="1">IFERROR(__xludf.DUMMYFUNCTION("""COMPUTED_VALUE"""),2406)</f>
        <v>2406</v>
      </c>
      <c r="O128" s="1">
        <f ca="1">IFERROR(__xludf.DUMMYFUNCTION("""COMPUTED_VALUE"""),2320)</f>
        <v>2320</v>
      </c>
      <c r="P128" s="1">
        <f ca="1">IFERROR(__xludf.DUMMYFUNCTION("""COMPUTED_VALUE"""),1375)</f>
        <v>1375</v>
      </c>
      <c r="Q128" s="1">
        <f ca="1">IFERROR(__xludf.DUMMYFUNCTION("""COMPUTED_VALUE"""),859)</f>
        <v>859</v>
      </c>
      <c r="R128" s="1">
        <f ca="1">IFERROR(__xludf.DUMMYFUNCTION("""COMPUTED_VALUE"""),2102)</f>
        <v>2102</v>
      </c>
      <c r="S128" s="1">
        <f ca="1">IFERROR(__xludf.DUMMYFUNCTION("""COMPUTED_VALUE"""),0.409)</f>
        <v>0.40899999999999997</v>
      </c>
      <c r="T128" s="1">
        <f ca="1">IFERROR(__xludf.DUMMYFUNCTION("""COMPUTED_VALUE"""),184)</f>
        <v>184</v>
      </c>
      <c r="U128" s="1">
        <f ca="1">IFERROR(__xludf.DUMMYFUNCTION("""COMPUTED_VALUE"""),565)</f>
        <v>565</v>
      </c>
      <c r="V128" s="1">
        <f ca="1">IFERROR(__xludf.DUMMYFUNCTION("""COMPUTED_VALUE"""),0.326)</f>
        <v>0.32600000000000001</v>
      </c>
      <c r="W128" s="1">
        <f ca="1">IFERROR(__xludf.DUMMYFUNCTION("""COMPUTED_VALUE"""),482)</f>
        <v>482</v>
      </c>
      <c r="X128" s="1">
        <f ca="1">IFERROR(__xludf.DUMMYFUNCTION("""COMPUTED_VALUE"""),664)</f>
        <v>664</v>
      </c>
      <c r="Y128" s="1">
        <f ca="1">IFERROR(__xludf.DUMMYFUNCTION("""COMPUTED_VALUE"""),0.726)</f>
        <v>0.72599999999999998</v>
      </c>
      <c r="Z128" s="1">
        <f ca="1">IFERROR(__xludf.DUMMYFUNCTION("""COMPUTED_VALUE"""),503)</f>
        <v>503</v>
      </c>
      <c r="AA128" s="1">
        <f ca="1">IFERROR(__xludf.DUMMYFUNCTION("""COMPUTED_VALUE"""),1382)</f>
        <v>1382</v>
      </c>
      <c r="AB128" s="1">
        <f ca="1">IFERROR(__xludf.DUMMYFUNCTION("""COMPUTED_VALUE"""),466)</f>
        <v>466</v>
      </c>
      <c r="AC128" s="1">
        <f ca="1">IFERROR(__xludf.DUMMYFUNCTION("""COMPUTED_VALUE"""),254)</f>
        <v>254</v>
      </c>
      <c r="AD128" s="1">
        <f ca="1">IFERROR(__xludf.DUMMYFUNCTION("""COMPUTED_VALUE"""),219)</f>
        <v>219</v>
      </c>
      <c r="AE128" s="1">
        <f ca="1">IFERROR(__xludf.DUMMYFUNCTION("""COMPUTED_VALUE"""),469)</f>
        <v>469</v>
      </c>
      <c r="AF128" s="1">
        <f ca="1">IFERROR(__xludf.DUMMYFUNCTION("""COMPUTED_VALUE"""),731)</f>
        <v>731</v>
      </c>
    </row>
    <row r="129" spans="1:32" ht="12.5" x14ac:dyDescent="0.25">
      <c r="A129" s="1" t="str">
        <f ca="1">IFERROR(__xludf.DUMMYFUNCTION("""COMPUTED_VALUE"""),"Holy Cross")</f>
        <v>Holy Cross</v>
      </c>
      <c r="B129" s="1">
        <f ca="1">IFERROR(__xludf.DUMMYFUNCTION("""COMPUTED_VALUE"""),31)</f>
        <v>31</v>
      </c>
      <c r="C129" s="1">
        <f ca="1">IFERROR(__xludf.DUMMYFUNCTION("""COMPUTED_VALUE"""),9)</f>
        <v>9</v>
      </c>
      <c r="D129" s="1">
        <f ca="1">IFERROR(__xludf.DUMMYFUNCTION("""COMPUTED_VALUE"""),22)</f>
        <v>22</v>
      </c>
      <c r="E129" s="1">
        <f ca="1">IFERROR(__xludf.DUMMYFUNCTION("""COMPUTED_VALUE"""),0.29)</f>
        <v>0.28999999999999998</v>
      </c>
      <c r="F129" s="1">
        <f ca="1">IFERROR(__xludf.DUMMYFUNCTION("""COMPUTED_VALUE"""),-8.03)</f>
        <v>-8.0299999999999994</v>
      </c>
      <c r="G129" s="1">
        <f ca="1">IFERROR(__xludf.DUMMYFUNCTION("""COMPUTED_VALUE"""),-5.57)</f>
        <v>-5.57</v>
      </c>
      <c r="H129" s="1">
        <f ca="1">IFERROR(__xludf.DUMMYFUNCTION("""COMPUTED_VALUE"""),5)</f>
        <v>5</v>
      </c>
      <c r="I129" s="1">
        <f ca="1">IFERROR(__xludf.DUMMYFUNCTION("""COMPUTED_VALUE"""),9)</f>
        <v>9</v>
      </c>
      <c r="J129" s="1">
        <f ca="1">IFERROR(__xludf.DUMMYFUNCTION("""COMPUTED_VALUE"""),5)</f>
        <v>5</v>
      </c>
      <c r="K129" s="1">
        <f ca="1">IFERROR(__xludf.DUMMYFUNCTION("""COMPUTED_VALUE"""),7)</f>
        <v>7</v>
      </c>
      <c r="L129" s="1">
        <f ca="1">IFERROR(__xludf.DUMMYFUNCTION("""COMPUTED_VALUE"""),3)</f>
        <v>3</v>
      </c>
      <c r="M129" s="1">
        <f ca="1">IFERROR(__xludf.DUMMYFUNCTION("""COMPUTED_VALUE"""),14)</f>
        <v>14</v>
      </c>
      <c r="N129" s="1">
        <f ca="1">IFERROR(__xludf.DUMMYFUNCTION("""COMPUTED_VALUE"""),2147)</f>
        <v>2147</v>
      </c>
      <c r="O129" s="1">
        <f ca="1">IFERROR(__xludf.DUMMYFUNCTION("""COMPUTED_VALUE"""),2223)</f>
        <v>2223</v>
      </c>
      <c r="P129" s="1">
        <f ca="1">IFERROR(__xludf.DUMMYFUNCTION("""COMPUTED_VALUE"""),1250)</f>
        <v>1250</v>
      </c>
      <c r="Q129" s="1">
        <f ca="1">IFERROR(__xludf.DUMMYFUNCTION("""COMPUTED_VALUE"""),761)</f>
        <v>761</v>
      </c>
      <c r="R129" s="1">
        <f ca="1">IFERROR(__xludf.DUMMYFUNCTION("""COMPUTED_VALUE"""),1707)</f>
        <v>1707</v>
      </c>
      <c r="S129" s="1">
        <f ca="1">IFERROR(__xludf.DUMMYFUNCTION("""COMPUTED_VALUE"""),0.446)</f>
        <v>0.44600000000000001</v>
      </c>
      <c r="T129" s="1">
        <f ca="1">IFERROR(__xludf.DUMMYFUNCTION("""COMPUTED_VALUE"""),161)</f>
        <v>161</v>
      </c>
      <c r="U129" s="1">
        <f ca="1">IFERROR(__xludf.DUMMYFUNCTION("""COMPUTED_VALUE"""),423)</f>
        <v>423</v>
      </c>
      <c r="V129" s="1">
        <f ca="1">IFERROR(__xludf.DUMMYFUNCTION("""COMPUTED_VALUE"""),0.381)</f>
        <v>0.38100000000000001</v>
      </c>
      <c r="W129" s="1">
        <f ca="1">IFERROR(__xludf.DUMMYFUNCTION("""COMPUTED_VALUE"""),464)</f>
        <v>464</v>
      </c>
      <c r="X129" s="1">
        <f ca="1">IFERROR(__xludf.DUMMYFUNCTION("""COMPUTED_VALUE"""),662)</f>
        <v>662</v>
      </c>
      <c r="Y129" s="1">
        <f ca="1">IFERROR(__xludf.DUMMYFUNCTION("""COMPUTED_VALUE"""),0.701)</f>
        <v>0.70099999999999996</v>
      </c>
      <c r="Z129" s="1">
        <f ca="1">IFERROR(__xludf.DUMMYFUNCTION("""COMPUTED_VALUE"""),381)</f>
        <v>381</v>
      </c>
      <c r="AA129" s="1">
        <f ca="1">IFERROR(__xludf.DUMMYFUNCTION("""COMPUTED_VALUE"""),1136)</f>
        <v>1136</v>
      </c>
      <c r="AB129" s="1">
        <f ca="1">IFERROR(__xludf.DUMMYFUNCTION("""COMPUTED_VALUE"""),409)</f>
        <v>409</v>
      </c>
      <c r="AC129" s="1">
        <f ca="1">IFERROR(__xludf.DUMMYFUNCTION("""COMPUTED_VALUE"""),134)</f>
        <v>134</v>
      </c>
      <c r="AD129" s="1">
        <f ca="1">IFERROR(__xludf.DUMMYFUNCTION("""COMPUTED_VALUE"""),89)</f>
        <v>89</v>
      </c>
      <c r="AE129" s="1">
        <f ca="1">IFERROR(__xludf.DUMMYFUNCTION("""COMPUTED_VALUE"""),447)</f>
        <v>447</v>
      </c>
      <c r="AF129" s="1">
        <f ca="1">IFERROR(__xludf.DUMMYFUNCTION("""COMPUTED_VALUE"""),551)</f>
        <v>551</v>
      </c>
    </row>
    <row r="130" spans="1:32" ht="12.5" x14ac:dyDescent="0.25">
      <c r="A130" s="1" t="str">
        <f ca="1">IFERROR(__xludf.DUMMYFUNCTION("""COMPUTED_VALUE"""),"Houston Baptist")</f>
        <v>Houston Baptist</v>
      </c>
      <c r="B130" s="1">
        <f ca="1">IFERROR(__xludf.DUMMYFUNCTION("""COMPUTED_VALUE"""),33)</f>
        <v>33</v>
      </c>
      <c r="C130" s="1">
        <f ca="1">IFERROR(__xludf.DUMMYFUNCTION("""COMPUTED_VALUE"""),12)</f>
        <v>12</v>
      </c>
      <c r="D130" s="1">
        <f ca="1">IFERROR(__xludf.DUMMYFUNCTION("""COMPUTED_VALUE"""),21)</f>
        <v>21</v>
      </c>
      <c r="E130" s="1">
        <f ca="1">IFERROR(__xludf.DUMMYFUNCTION("""COMPUTED_VALUE"""),0.364)</f>
        <v>0.36399999999999999</v>
      </c>
      <c r="F130" s="1" t="str">
        <f ca="1">IFERROR(__xludf.DUMMYFUNCTION("""COMPUTED_VALUE"""),"")</f>
        <v/>
      </c>
      <c r="G130" s="1" t="str">
        <f ca="1">IFERROR(__xludf.DUMMYFUNCTION("""COMPUTED_VALUE"""),"")</f>
        <v/>
      </c>
      <c r="H130" s="1">
        <f ca="1">IFERROR(__xludf.DUMMYFUNCTION("""COMPUTED_VALUE"""),9)</f>
        <v>9</v>
      </c>
      <c r="I130" s="1">
        <f ca="1">IFERROR(__xludf.DUMMYFUNCTION("""COMPUTED_VALUE"""),3)</f>
        <v>3</v>
      </c>
      <c r="J130" s="1">
        <f ca="1">IFERROR(__xludf.DUMMYFUNCTION("""COMPUTED_VALUE"""),6)</f>
        <v>6</v>
      </c>
      <c r="K130" s="1">
        <f ca="1">IFERROR(__xludf.DUMMYFUNCTION("""COMPUTED_VALUE"""),8)</f>
        <v>8</v>
      </c>
      <c r="L130" s="1">
        <f ca="1">IFERROR(__xludf.DUMMYFUNCTION("""COMPUTED_VALUE"""),4)</f>
        <v>4</v>
      </c>
      <c r="M130" s="1">
        <f ca="1">IFERROR(__xludf.DUMMYFUNCTION("""COMPUTED_VALUE"""),12)</f>
        <v>12</v>
      </c>
      <c r="N130" s="1">
        <f ca="1">IFERROR(__xludf.DUMMYFUNCTION("""COMPUTED_VALUE"""),2347)</f>
        <v>2347</v>
      </c>
      <c r="O130" s="1">
        <f ca="1">IFERROR(__xludf.DUMMYFUNCTION("""COMPUTED_VALUE"""),2604)</f>
        <v>2604</v>
      </c>
      <c r="P130" s="1">
        <f ca="1">IFERROR(__xludf.DUMMYFUNCTION("""COMPUTED_VALUE"""),1330)</f>
        <v>1330</v>
      </c>
      <c r="Q130" s="1">
        <f ca="1">IFERROR(__xludf.DUMMYFUNCTION("""COMPUTED_VALUE"""),801)</f>
        <v>801</v>
      </c>
      <c r="R130" s="1">
        <f ca="1">IFERROR(__xludf.DUMMYFUNCTION("""COMPUTED_VALUE"""),1926)</f>
        <v>1926</v>
      </c>
      <c r="S130" s="1">
        <f ca="1">IFERROR(__xludf.DUMMYFUNCTION("""COMPUTED_VALUE"""),0.416)</f>
        <v>0.41599999999999998</v>
      </c>
      <c r="T130" s="1">
        <f ca="1">IFERROR(__xludf.DUMMYFUNCTION("""COMPUTED_VALUE"""),135)</f>
        <v>135</v>
      </c>
      <c r="U130" s="1">
        <f ca="1">IFERROR(__xludf.DUMMYFUNCTION("""COMPUTED_VALUE"""),475)</f>
        <v>475</v>
      </c>
      <c r="V130" s="1">
        <f ca="1">IFERROR(__xludf.DUMMYFUNCTION("""COMPUTED_VALUE"""),0.284)</f>
        <v>0.28399999999999997</v>
      </c>
      <c r="W130" s="1">
        <f ca="1">IFERROR(__xludf.DUMMYFUNCTION("""COMPUTED_VALUE"""),610)</f>
        <v>610</v>
      </c>
      <c r="X130" s="1">
        <f ca="1">IFERROR(__xludf.DUMMYFUNCTION("""COMPUTED_VALUE"""),839)</f>
        <v>839</v>
      </c>
      <c r="Y130" s="1">
        <f ca="1">IFERROR(__xludf.DUMMYFUNCTION("""COMPUTED_VALUE"""),0.727)</f>
        <v>0.72699999999999998</v>
      </c>
      <c r="Z130" s="1">
        <f ca="1">IFERROR(__xludf.DUMMYFUNCTION("""COMPUTED_VALUE"""),450)</f>
        <v>450</v>
      </c>
      <c r="AA130" s="1">
        <f ca="1">IFERROR(__xludf.DUMMYFUNCTION("""COMPUTED_VALUE"""),1294)</f>
        <v>1294</v>
      </c>
      <c r="AB130" s="1">
        <f ca="1">IFERROR(__xludf.DUMMYFUNCTION("""COMPUTED_VALUE"""),409)</f>
        <v>409</v>
      </c>
      <c r="AC130" s="1">
        <f ca="1">IFERROR(__xludf.DUMMYFUNCTION("""COMPUTED_VALUE"""),237)</f>
        <v>237</v>
      </c>
      <c r="AD130" s="1">
        <f ca="1">IFERROR(__xludf.DUMMYFUNCTION("""COMPUTED_VALUE"""),121)</f>
        <v>121</v>
      </c>
      <c r="AE130" s="1">
        <f ca="1">IFERROR(__xludf.DUMMYFUNCTION("""COMPUTED_VALUE"""),606)</f>
        <v>606</v>
      </c>
      <c r="AF130" s="1">
        <f ca="1">IFERROR(__xludf.DUMMYFUNCTION("""COMPUTED_VALUE"""),683)</f>
        <v>683</v>
      </c>
    </row>
    <row r="131" spans="1:32" ht="12.5" x14ac:dyDescent="0.25">
      <c r="A131" s="1" t="str">
        <f ca="1">IFERROR(__xludf.DUMMYFUNCTION("""COMPUTED_VALUE"""),"HoustonNCAA")</f>
        <v>HoustonNCAA</v>
      </c>
      <c r="B131" s="1">
        <f ca="1">IFERROR(__xludf.DUMMYFUNCTION("""COMPUTED_VALUE"""),35)</f>
        <v>35</v>
      </c>
      <c r="C131" s="1">
        <f ca="1">IFERROR(__xludf.DUMMYFUNCTION("""COMPUTED_VALUE"""),19)</f>
        <v>19</v>
      </c>
      <c r="D131" s="1">
        <f ca="1">IFERROR(__xludf.DUMMYFUNCTION("""COMPUTED_VALUE"""),16)</f>
        <v>16</v>
      </c>
      <c r="E131" s="1">
        <f ca="1">IFERROR(__xludf.DUMMYFUNCTION("""COMPUTED_VALUE"""),0.543)</f>
        <v>0.54300000000000004</v>
      </c>
      <c r="F131" s="1">
        <f ca="1">IFERROR(__xludf.DUMMYFUNCTION("""COMPUTED_VALUE"""),6.74)</f>
        <v>6.74</v>
      </c>
      <c r="G131" s="1">
        <f ca="1">IFERROR(__xludf.DUMMYFUNCTION("""COMPUTED_VALUE"""),3.48)</f>
        <v>3.48</v>
      </c>
      <c r="H131" s="1">
        <f ca="1">IFERROR(__xludf.DUMMYFUNCTION("""COMPUTED_VALUE"""),7)</f>
        <v>7</v>
      </c>
      <c r="I131" s="1">
        <f ca="1">IFERROR(__xludf.DUMMYFUNCTION("""COMPUTED_VALUE"""),9)</f>
        <v>9</v>
      </c>
      <c r="J131" s="1">
        <f ca="1">IFERROR(__xludf.DUMMYFUNCTION("""COMPUTED_VALUE"""),10)</f>
        <v>10</v>
      </c>
      <c r="K131" s="1">
        <f ca="1">IFERROR(__xludf.DUMMYFUNCTION("""COMPUTED_VALUE"""),5)</f>
        <v>5</v>
      </c>
      <c r="L131" s="1">
        <f ca="1">IFERROR(__xludf.DUMMYFUNCTION("""COMPUTED_VALUE"""),4)</f>
        <v>4</v>
      </c>
      <c r="M131" s="1">
        <f ca="1">IFERROR(__xludf.DUMMYFUNCTION("""COMPUTED_VALUE"""),9)</f>
        <v>9</v>
      </c>
      <c r="N131" s="1">
        <f ca="1">IFERROR(__xludf.DUMMYFUNCTION("""COMPUTED_VALUE"""),2751)</f>
        <v>2751</v>
      </c>
      <c r="O131" s="1">
        <f ca="1">IFERROR(__xludf.DUMMYFUNCTION("""COMPUTED_VALUE"""),2624)</f>
        <v>2624</v>
      </c>
      <c r="P131" s="1">
        <f ca="1">IFERROR(__xludf.DUMMYFUNCTION("""COMPUTED_VALUE"""),1410)</f>
        <v>1410</v>
      </c>
      <c r="Q131" s="1">
        <f ca="1">IFERROR(__xludf.DUMMYFUNCTION("""COMPUTED_VALUE"""),958)</f>
        <v>958</v>
      </c>
      <c r="R131" s="1">
        <f ca="1">IFERROR(__xludf.DUMMYFUNCTION("""COMPUTED_VALUE"""),2282)</f>
        <v>2282</v>
      </c>
      <c r="S131" s="1">
        <f ca="1">IFERROR(__xludf.DUMMYFUNCTION("""COMPUTED_VALUE"""),0.42)</f>
        <v>0.42</v>
      </c>
      <c r="T131" s="1">
        <f ca="1">IFERROR(__xludf.DUMMYFUNCTION("""COMPUTED_VALUE"""),290)</f>
        <v>290</v>
      </c>
      <c r="U131" s="1">
        <f ca="1">IFERROR(__xludf.DUMMYFUNCTION("""COMPUTED_VALUE"""),814)</f>
        <v>814</v>
      </c>
      <c r="V131" s="1">
        <f ca="1">IFERROR(__xludf.DUMMYFUNCTION("""COMPUTED_VALUE"""),0.356)</f>
        <v>0.35599999999999998</v>
      </c>
      <c r="W131" s="1">
        <f ca="1">IFERROR(__xludf.DUMMYFUNCTION("""COMPUTED_VALUE"""),545)</f>
        <v>545</v>
      </c>
      <c r="X131" s="1">
        <f ca="1">IFERROR(__xludf.DUMMYFUNCTION("""COMPUTED_VALUE"""),768)</f>
        <v>768</v>
      </c>
      <c r="Y131" s="1">
        <f ca="1">IFERROR(__xludf.DUMMYFUNCTION("""COMPUTED_VALUE"""),0.71)</f>
        <v>0.71</v>
      </c>
      <c r="Z131" s="1">
        <f ca="1">IFERROR(__xludf.DUMMYFUNCTION("""COMPUTED_VALUE"""),440)</f>
        <v>440</v>
      </c>
      <c r="AA131" s="1">
        <f ca="1">IFERROR(__xludf.DUMMYFUNCTION("""COMPUTED_VALUE"""),1185)</f>
        <v>1185</v>
      </c>
      <c r="AB131" s="1">
        <f ca="1">IFERROR(__xludf.DUMMYFUNCTION("""COMPUTED_VALUE"""),435)</f>
        <v>435</v>
      </c>
      <c r="AC131" s="1">
        <f ca="1">IFERROR(__xludf.DUMMYFUNCTION("""COMPUTED_VALUE"""),329)</f>
        <v>329</v>
      </c>
      <c r="AD131" s="1">
        <f ca="1">IFERROR(__xludf.DUMMYFUNCTION("""COMPUTED_VALUE"""),103)</f>
        <v>103</v>
      </c>
      <c r="AE131" s="1">
        <f ca="1">IFERROR(__xludf.DUMMYFUNCTION("""COMPUTED_VALUE"""),315)</f>
        <v>315</v>
      </c>
      <c r="AF131" s="1">
        <f ca="1">IFERROR(__xludf.DUMMYFUNCTION("""COMPUTED_VALUE"""),652)</f>
        <v>652</v>
      </c>
    </row>
    <row r="132" spans="1:32" ht="12.5" x14ac:dyDescent="0.25">
      <c r="A132" s="1" t="str">
        <f ca="1">IFERROR(__xludf.DUMMYFUNCTION("""COMPUTED_VALUE"""),"Overall")</f>
        <v>Overall</v>
      </c>
      <c r="B132" s="1" t="str">
        <f ca="1">IFERROR(__xludf.DUMMYFUNCTION("""COMPUTED_VALUE"""),"Conf.")</f>
        <v>Conf.</v>
      </c>
      <c r="C132" s="1" t="str">
        <f ca="1">IFERROR(__xludf.DUMMYFUNCTION("""COMPUTED_VALUE"""),"Home")</f>
        <v>Home</v>
      </c>
      <c r="D132" s="1" t="str">
        <f ca="1">IFERROR(__xludf.DUMMYFUNCTION("""COMPUTED_VALUE"""),"Away")</f>
        <v>Away</v>
      </c>
      <c r="E132" s="1" t="str">
        <f ca="1">IFERROR(__xludf.DUMMYFUNCTION("""COMPUTED_VALUE"""),"Points")</f>
        <v>Points</v>
      </c>
      <c r="F132" s="1" t="str">
        <f ca="1">IFERROR(__xludf.DUMMYFUNCTION("""COMPUTED_VALUE"""),"")</f>
        <v/>
      </c>
      <c r="G132" s="1" t="str">
        <f ca="1">IFERROR(__xludf.DUMMYFUNCTION("""COMPUTED_VALUE"""),"School Totals")</f>
        <v>School Totals</v>
      </c>
      <c r="H132" s="1" t="str">
        <f ca="1">IFERROR(__xludf.DUMMYFUNCTION("""COMPUTED_VALUE"""),"")</f>
        <v/>
      </c>
      <c r="I132" s="1" t="str">
        <f ca="1">IFERROR(__xludf.DUMMYFUNCTION("""COMPUTED_VALUE"""),"")</f>
        <v/>
      </c>
      <c r="J132" s="1" t="str">
        <f ca="1">IFERROR(__xludf.DUMMYFUNCTION("""COMPUTED_VALUE"""),"")</f>
        <v/>
      </c>
      <c r="K132" s="1" t="str">
        <f ca="1">IFERROR(__xludf.DUMMYFUNCTION("""COMPUTED_VALUE"""),"")</f>
        <v/>
      </c>
      <c r="L132" s="1" t="str">
        <f ca="1">IFERROR(__xludf.DUMMYFUNCTION("""COMPUTED_VALUE"""),"")</f>
        <v/>
      </c>
      <c r="M132" s="1" t="str">
        <f ca="1">IFERROR(__xludf.DUMMYFUNCTION("""COMPUTED_VALUE"""),"")</f>
        <v/>
      </c>
      <c r="N132" s="1" t="str">
        <f ca="1">IFERROR(__xludf.DUMMYFUNCTION("""COMPUTED_VALUE"""),"")</f>
        <v/>
      </c>
      <c r="O132" s="1" t="str">
        <f ca="1">IFERROR(__xludf.DUMMYFUNCTION("""COMPUTED_VALUE"""),"")</f>
        <v/>
      </c>
      <c r="P132" s="1" t="str">
        <f ca="1">IFERROR(__xludf.DUMMYFUNCTION("""COMPUTED_VALUE"""),"")</f>
        <v/>
      </c>
      <c r="Q132" s="1" t="str">
        <f ca="1">IFERROR(__xludf.DUMMYFUNCTION("""COMPUTED_VALUE"""),"")</f>
        <v/>
      </c>
      <c r="R132" s="1" t="str">
        <f ca="1">IFERROR(__xludf.DUMMYFUNCTION("""COMPUTED_VALUE"""),"")</f>
        <v/>
      </c>
      <c r="S132" s="1" t="str">
        <f ca="1">IFERROR(__xludf.DUMMYFUNCTION("""COMPUTED_VALUE"""),"")</f>
        <v/>
      </c>
      <c r="T132" s="1" t="str">
        <f ca="1">IFERROR(__xludf.DUMMYFUNCTION("""COMPUTED_VALUE"""),"")</f>
        <v/>
      </c>
      <c r="U132" s="1" t="str">
        <f ca="1">IFERROR(__xludf.DUMMYFUNCTION("""COMPUTED_VALUE"""),"")</f>
        <v/>
      </c>
      <c r="V132" s="1" t="str">
        <f ca="1">IFERROR(__xludf.DUMMYFUNCTION("""COMPUTED_VALUE"""),"")</f>
        <v/>
      </c>
      <c r="W132" s="1" t="str">
        <f ca="1">IFERROR(__xludf.DUMMYFUNCTION("""COMPUTED_VALUE"""),"")</f>
        <v/>
      </c>
      <c r="X132" s="1" t="str">
        <f ca="1">IFERROR(__xludf.DUMMYFUNCTION("""COMPUTED_VALUE"""),"")</f>
        <v/>
      </c>
      <c r="Y132" s="1" t="str">
        <f ca="1">IFERROR(__xludf.DUMMYFUNCTION("""COMPUTED_VALUE"""),"")</f>
        <v/>
      </c>
      <c r="Z132" s="1" t="str">
        <f ca="1">IFERROR(__xludf.DUMMYFUNCTION("""COMPUTED_VALUE"""),"")</f>
        <v/>
      </c>
      <c r="AA132" s="1" t="str">
        <f ca="1">IFERROR(__xludf.DUMMYFUNCTION("""COMPUTED_VALUE"""),"")</f>
        <v/>
      </c>
      <c r="AB132" s="1" t="str">
        <f ca="1">IFERROR(__xludf.DUMMYFUNCTION("""COMPUTED_VALUE"""),"")</f>
        <v/>
      </c>
      <c r="AC132" s="1" t="str">
        <f ca="1">IFERROR(__xludf.DUMMYFUNCTION("""COMPUTED_VALUE"""),"")</f>
        <v/>
      </c>
      <c r="AD132" s="1" t="str">
        <f ca="1">IFERROR(__xludf.DUMMYFUNCTION("""COMPUTED_VALUE"""),"")</f>
        <v/>
      </c>
      <c r="AE132" s="1" t="str">
        <f ca="1">IFERROR(__xludf.DUMMYFUNCTION("""COMPUTED_VALUE"""),"")</f>
        <v/>
      </c>
      <c r="AF132" s="1" t="str">
        <f ca="1">IFERROR(__xludf.DUMMYFUNCTION("""COMPUTED_VALUE"""),"")</f>
        <v/>
      </c>
    </row>
    <row r="133" spans="1:32" ht="12.5" x14ac:dyDescent="0.25">
      <c r="A133" s="1" t="str">
        <f ca="1">IFERROR(__xludf.DUMMYFUNCTION("""COMPUTED_VALUE"""),"School")</f>
        <v>School</v>
      </c>
      <c r="B133" s="1" t="str">
        <f ca="1">IFERROR(__xludf.DUMMYFUNCTION("""COMPUTED_VALUE"""),"G")</f>
        <v>G</v>
      </c>
      <c r="C133" s="1" t="str">
        <f ca="1">IFERROR(__xludf.DUMMYFUNCTION("""COMPUTED_VALUE"""),"W")</f>
        <v>W</v>
      </c>
      <c r="D133" s="1" t="str">
        <f ca="1">IFERROR(__xludf.DUMMYFUNCTION("""COMPUTED_VALUE"""),"L")</f>
        <v>L</v>
      </c>
      <c r="E133" s="1" t="str">
        <f ca="1">IFERROR(__xludf.DUMMYFUNCTION("""COMPUTED_VALUE"""),"W-L%")</f>
        <v>W-L%</v>
      </c>
      <c r="F133" s="1" t="str">
        <f ca="1">IFERROR(__xludf.DUMMYFUNCTION("""COMPUTED_VALUE"""),"SRS")</f>
        <v>SRS</v>
      </c>
      <c r="G133" s="1" t="str">
        <f ca="1">IFERROR(__xludf.DUMMYFUNCTION("""COMPUTED_VALUE"""),"SOS")</f>
        <v>SOS</v>
      </c>
      <c r="H133" s="1" t="str">
        <f ca="1">IFERROR(__xludf.DUMMYFUNCTION("""COMPUTED_VALUE"""),"W")</f>
        <v>W</v>
      </c>
      <c r="I133" s="1" t="str">
        <f ca="1">IFERROR(__xludf.DUMMYFUNCTION("""COMPUTED_VALUE"""),"L")</f>
        <v>L</v>
      </c>
      <c r="J133" s="1" t="str">
        <f ca="1">IFERROR(__xludf.DUMMYFUNCTION("""COMPUTED_VALUE"""),"W")</f>
        <v>W</v>
      </c>
      <c r="K133" s="1" t="str">
        <f ca="1">IFERROR(__xludf.DUMMYFUNCTION("""COMPUTED_VALUE"""),"L")</f>
        <v>L</v>
      </c>
      <c r="L133" s="1" t="str">
        <f ca="1">IFERROR(__xludf.DUMMYFUNCTION("""COMPUTED_VALUE"""),"W")</f>
        <v>W</v>
      </c>
      <c r="M133" s="1" t="str">
        <f ca="1">IFERROR(__xludf.DUMMYFUNCTION("""COMPUTED_VALUE"""),"L")</f>
        <v>L</v>
      </c>
      <c r="N133" s="1" t="str">
        <f ca="1">IFERROR(__xludf.DUMMYFUNCTION("""COMPUTED_VALUE"""),"Tm.")</f>
        <v>Tm.</v>
      </c>
      <c r="O133" s="1" t="str">
        <f ca="1">IFERROR(__xludf.DUMMYFUNCTION("""COMPUTED_VALUE"""),"Opp.")</f>
        <v>Opp.</v>
      </c>
      <c r="P133" s="1" t="str">
        <f ca="1">IFERROR(__xludf.DUMMYFUNCTION("""COMPUTED_VALUE"""),"MP")</f>
        <v>MP</v>
      </c>
      <c r="Q133" s="1" t="str">
        <f ca="1">IFERROR(__xludf.DUMMYFUNCTION("""COMPUTED_VALUE"""),"FG")</f>
        <v>FG</v>
      </c>
      <c r="R133" s="1" t="str">
        <f ca="1">IFERROR(__xludf.DUMMYFUNCTION("""COMPUTED_VALUE"""),"FGA")</f>
        <v>FGA</v>
      </c>
      <c r="S133" s="1" t="str">
        <f ca="1">IFERROR(__xludf.DUMMYFUNCTION("""COMPUTED_VALUE"""),"FG%")</f>
        <v>FG%</v>
      </c>
      <c r="T133" s="1" t="str">
        <f ca="1">IFERROR(__xludf.DUMMYFUNCTION("""COMPUTED_VALUE"""),"3P")</f>
        <v>3P</v>
      </c>
      <c r="U133" s="1" t="str">
        <f ca="1">IFERROR(__xludf.DUMMYFUNCTION("""COMPUTED_VALUE"""),"3PA")</f>
        <v>3PA</v>
      </c>
      <c r="V133" s="1" t="str">
        <f ca="1">IFERROR(__xludf.DUMMYFUNCTION("""COMPUTED_VALUE"""),"3P%")</f>
        <v>3P%</v>
      </c>
      <c r="W133" s="1" t="str">
        <f ca="1">IFERROR(__xludf.DUMMYFUNCTION("""COMPUTED_VALUE"""),"FT")</f>
        <v>FT</v>
      </c>
      <c r="X133" s="1" t="str">
        <f ca="1">IFERROR(__xludf.DUMMYFUNCTION("""COMPUTED_VALUE"""),"FTA")</f>
        <v>FTA</v>
      </c>
      <c r="Y133" s="1" t="str">
        <f ca="1">IFERROR(__xludf.DUMMYFUNCTION("""COMPUTED_VALUE"""),"FT%")</f>
        <v>FT%</v>
      </c>
      <c r="Z133" s="1" t="str">
        <f ca="1">IFERROR(__xludf.DUMMYFUNCTION("""COMPUTED_VALUE"""),"ORB")</f>
        <v>ORB</v>
      </c>
      <c r="AA133" s="1" t="str">
        <f ca="1">IFERROR(__xludf.DUMMYFUNCTION("""COMPUTED_VALUE"""),"TRB")</f>
        <v>TRB</v>
      </c>
      <c r="AB133" s="1" t="str">
        <f ca="1">IFERROR(__xludf.DUMMYFUNCTION("""COMPUTED_VALUE"""),"AST")</f>
        <v>AST</v>
      </c>
      <c r="AC133" s="1" t="str">
        <f ca="1">IFERROR(__xludf.DUMMYFUNCTION("""COMPUTED_VALUE"""),"STL")</f>
        <v>STL</v>
      </c>
      <c r="AD133" s="1" t="str">
        <f ca="1">IFERROR(__xludf.DUMMYFUNCTION("""COMPUTED_VALUE"""),"BLK")</f>
        <v>BLK</v>
      </c>
      <c r="AE133" s="1" t="str">
        <f ca="1">IFERROR(__xludf.DUMMYFUNCTION("""COMPUTED_VALUE"""),"TOV")</f>
        <v>TOV</v>
      </c>
      <c r="AF133" s="1" t="str">
        <f ca="1">IFERROR(__xludf.DUMMYFUNCTION("""COMPUTED_VALUE"""),"PF")</f>
        <v>PF</v>
      </c>
    </row>
    <row r="134" spans="1:32" ht="12.5" x14ac:dyDescent="0.25">
      <c r="A134" s="1" t="str">
        <f ca="1">IFERROR(__xludf.DUMMYFUNCTION("""COMPUTED_VALUE"""),"Howard")</f>
        <v>Howard</v>
      </c>
      <c r="B134" s="1">
        <f ca="1">IFERROR(__xludf.DUMMYFUNCTION("""COMPUTED_VALUE"""),32)</f>
        <v>32</v>
      </c>
      <c r="C134" s="1">
        <f ca="1">IFERROR(__xludf.DUMMYFUNCTION("""COMPUTED_VALUE"""),7)</f>
        <v>7</v>
      </c>
      <c r="D134" s="1">
        <f ca="1">IFERROR(__xludf.DUMMYFUNCTION("""COMPUTED_VALUE"""),25)</f>
        <v>25</v>
      </c>
      <c r="E134" s="1">
        <f ca="1">IFERROR(__xludf.DUMMYFUNCTION("""COMPUTED_VALUE"""),0.219)</f>
        <v>0.219</v>
      </c>
      <c r="F134" s="1">
        <f ca="1">IFERROR(__xludf.DUMMYFUNCTION("""COMPUTED_VALUE"""),-19.49)</f>
        <v>-19.489999999999998</v>
      </c>
      <c r="G134" s="1">
        <f ca="1">IFERROR(__xludf.DUMMYFUNCTION("""COMPUTED_VALUE"""),-7.27)</f>
        <v>-7.27</v>
      </c>
      <c r="H134" s="1">
        <f ca="1">IFERROR(__xludf.DUMMYFUNCTION("""COMPUTED_VALUE"""),6)</f>
        <v>6</v>
      </c>
      <c r="I134" s="1">
        <f ca="1">IFERROR(__xludf.DUMMYFUNCTION("""COMPUTED_VALUE"""),10)</f>
        <v>10</v>
      </c>
      <c r="J134" s="1">
        <f ca="1">IFERROR(__xludf.DUMMYFUNCTION("""COMPUTED_VALUE"""),4)</f>
        <v>4</v>
      </c>
      <c r="K134" s="1">
        <f ca="1">IFERROR(__xludf.DUMMYFUNCTION("""COMPUTED_VALUE"""),5)</f>
        <v>5</v>
      </c>
      <c r="L134" s="1">
        <f ca="1">IFERROR(__xludf.DUMMYFUNCTION("""COMPUTED_VALUE"""),2)</f>
        <v>2</v>
      </c>
      <c r="M134" s="1">
        <f ca="1">IFERROR(__xludf.DUMMYFUNCTION("""COMPUTED_VALUE"""),15)</f>
        <v>15</v>
      </c>
      <c r="N134" s="1">
        <f ca="1">IFERROR(__xludf.DUMMYFUNCTION("""COMPUTED_VALUE"""),1868)</f>
        <v>1868</v>
      </c>
      <c r="O134" s="1">
        <f ca="1">IFERROR(__xludf.DUMMYFUNCTION("""COMPUTED_VALUE"""),2251)</f>
        <v>2251</v>
      </c>
      <c r="P134" s="1">
        <f ca="1">IFERROR(__xludf.DUMMYFUNCTION("""COMPUTED_VALUE"""),1290)</f>
        <v>1290</v>
      </c>
      <c r="Q134" s="1">
        <f ca="1">IFERROR(__xludf.DUMMYFUNCTION("""COMPUTED_VALUE"""),639)</f>
        <v>639</v>
      </c>
      <c r="R134" s="1">
        <f ca="1">IFERROR(__xludf.DUMMYFUNCTION("""COMPUTED_VALUE"""),1704)</f>
        <v>1704</v>
      </c>
      <c r="S134" s="1">
        <f ca="1">IFERROR(__xludf.DUMMYFUNCTION("""COMPUTED_VALUE"""),0.375)</f>
        <v>0.375</v>
      </c>
      <c r="T134" s="1">
        <f ca="1">IFERROR(__xludf.DUMMYFUNCTION("""COMPUTED_VALUE"""),178)</f>
        <v>178</v>
      </c>
      <c r="U134" s="1">
        <f ca="1">IFERROR(__xludf.DUMMYFUNCTION("""COMPUTED_VALUE"""),599)</f>
        <v>599</v>
      </c>
      <c r="V134" s="1">
        <f ca="1">IFERROR(__xludf.DUMMYFUNCTION("""COMPUTED_VALUE"""),0.297)</f>
        <v>0.29699999999999999</v>
      </c>
      <c r="W134" s="1">
        <f ca="1">IFERROR(__xludf.DUMMYFUNCTION("""COMPUTED_VALUE"""),412)</f>
        <v>412</v>
      </c>
      <c r="X134" s="1">
        <f ca="1">IFERROR(__xludf.DUMMYFUNCTION("""COMPUTED_VALUE"""),696)</f>
        <v>696</v>
      </c>
      <c r="Y134" s="1">
        <f ca="1">IFERROR(__xludf.DUMMYFUNCTION("""COMPUTED_VALUE"""),0.592)</f>
        <v>0.59199999999999997</v>
      </c>
      <c r="Z134" s="1">
        <f ca="1">IFERROR(__xludf.DUMMYFUNCTION("""COMPUTED_VALUE"""),388)</f>
        <v>388</v>
      </c>
      <c r="AA134" s="1">
        <f ca="1">IFERROR(__xludf.DUMMYFUNCTION("""COMPUTED_VALUE"""),1092)</f>
        <v>1092</v>
      </c>
      <c r="AB134" s="1">
        <f ca="1">IFERROR(__xludf.DUMMYFUNCTION("""COMPUTED_VALUE"""),308)</f>
        <v>308</v>
      </c>
      <c r="AC134" s="1">
        <f ca="1">IFERROR(__xludf.DUMMYFUNCTION("""COMPUTED_VALUE"""),140)</f>
        <v>140</v>
      </c>
      <c r="AD134" s="1">
        <f ca="1">IFERROR(__xludf.DUMMYFUNCTION("""COMPUTED_VALUE"""),69)</f>
        <v>69</v>
      </c>
      <c r="AE134" s="1">
        <f ca="1">IFERROR(__xludf.DUMMYFUNCTION("""COMPUTED_VALUE"""),473)</f>
        <v>473</v>
      </c>
      <c r="AF134" s="1">
        <f ca="1">IFERROR(__xludf.DUMMYFUNCTION("""COMPUTED_VALUE"""),537)</f>
        <v>537</v>
      </c>
    </row>
    <row r="135" spans="1:32" ht="12.5" x14ac:dyDescent="0.25">
      <c r="A135" s="1" t="str">
        <f ca="1">IFERROR(__xludf.DUMMYFUNCTION("""COMPUTED_VALUE"""),"Idaho State")</f>
        <v>Idaho State</v>
      </c>
      <c r="B135" s="1">
        <f ca="1">IFERROR(__xludf.DUMMYFUNCTION("""COMPUTED_VALUE"""),29)</f>
        <v>29</v>
      </c>
      <c r="C135" s="1">
        <f ca="1">IFERROR(__xludf.DUMMYFUNCTION("""COMPUTED_VALUE"""),7)</f>
        <v>7</v>
      </c>
      <c r="D135" s="1">
        <f ca="1">IFERROR(__xludf.DUMMYFUNCTION("""COMPUTED_VALUE"""),22)</f>
        <v>22</v>
      </c>
      <c r="E135" s="1">
        <f ca="1">IFERROR(__xludf.DUMMYFUNCTION("""COMPUTED_VALUE"""),0.241)</f>
        <v>0.24099999999999999</v>
      </c>
      <c r="F135" s="1">
        <f ca="1">IFERROR(__xludf.DUMMYFUNCTION("""COMPUTED_VALUE"""),-10.29)</f>
        <v>-10.29</v>
      </c>
      <c r="G135" s="1">
        <f ca="1">IFERROR(__xludf.DUMMYFUNCTION("""COMPUTED_VALUE"""),0.13)</f>
        <v>0.13</v>
      </c>
      <c r="H135" s="1">
        <f ca="1">IFERROR(__xludf.DUMMYFUNCTION("""COMPUTED_VALUE"""),4)</f>
        <v>4</v>
      </c>
      <c r="I135" s="1">
        <f ca="1">IFERROR(__xludf.DUMMYFUNCTION("""COMPUTED_VALUE"""),12)</f>
        <v>12</v>
      </c>
      <c r="J135" s="1">
        <f ca="1">IFERROR(__xludf.DUMMYFUNCTION("""COMPUTED_VALUE"""),6)</f>
        <v>6</v>
      </c>
      <c r="K135" s="1">
        <f ca="1">IFERROR(__xludf.DUMMYFUNCTION("""COMPUTED_VALUE"""),6)</f>
        <v>6</v>
      </c>
      <c r="L135" s="1">
        <f ca="1">IFERROR(__xludf.DUMMYFUNCTION("""COMPUTED_VALUE"""),1)</f>
        <v>1</v>
      </c>
      <c r="M135" s="1">
        <f ca="1">IFERROR(__xludf.DUMMYFUNCTION("""COMPUTED_VALUE"""),16)</f>
        <v>16</v>
      </c>
      <c r="N135" s="1">
        <f ca="1">IFERROR(__xludf.DUMMYFUNCTION("""COMPUTED_VALUE"""),1927)</f>
        <v>1927</v>
      </c>
      <c r="O135" s="1">
        <f ca="1">IFERROR(__xludf.DUMMYFUNCTION("""COMPUTED_VALUE"""),2176)</f>
        <v>2176</v>
      </c>
      <c r="P135" s="1">
        <f ca="1">IFERROR(__xludf.DUMMYFUNCTION("""COMPUTED_VALUE"""),1185)</f>
        <v>1185</v>
      </c>
      <c r="Q135" s="1">
        <f ca="1">IFERROR(__xludf.DUMMYFUNCTION("""COMPUTED_VALUE"""),705)</f>
        <v>705</v>
      </c>
      <c r="R135" s="1">
        <f ca="1">IFERROR(__xludf.DUMMYFUNCTION("""COMPUTED_VALUE"""),1555)</f>
        <v>1555</v>
      </c>
      <c r="S135" s="1">
        <f ca="1">IFERROR(__xludf.DUMMYFUNCTION("""COMPUTED_VALUE"""),0.453)</f>
        <v>0.45300000000000001</v>
      </c>
      <c r="T135" s="1">
        <f ca="1">IFERROR(__xludf.DUMMYFUNCTION("""COMPUTED_VALUE"""),135)</f>
        <v>135</v>
      </c>
      <c r="U135" s="1">
        <f ca="1">IFERROR(__xludf.DUMMYFUNCTION("""COMPUTED_VALUE"""),389)</f>
        <v>389</v>
      </c>
      <c r="V135" s="1">
        <f ca="1">IFERROR(__xludf.DUMMYFUNCTION("""COMPUTED_VALUE"""),0.347)</f>
        <v>0.34699999999999998</v>
      </c>
      <c r="W135" s="1">
        <f ca="1">IFERROR(__xludf.DUMMYFUNCTION("""COMPUTED_VALUE"""),382)</f>
        <v>382</v>
      </c>
      <c r="X135" s="1">
        <f ca="1">IFERROR(__xludf.DUMMYFUNCTION("""COMPUTED_VALUE"""),551)</f>
        <v>551</v>
      </c>
      <c r="Y135" s="1">
        <f ca="1">IFERROR(__xludf.DUMMYFUNCTION("""COMPUTED_VALUE"""),0.693)</f>
        <v>0.69299999999999995</v>
      </c>
      <c r="Z135" s="1">
        <f ca="1">IFERROR(__xludf.DUMMYFUNCTION("""COMPUTED_VALUE"""),332)</f>
        <v>332</v>
      </c>
      <c r="AA135" s="1">
        <f ca="1">IFERROR(__xludf.DUMMYFUNCTION("""COMPUTED_VALUE"""),926)</f>
        <v>926</v>
      </c>
      <c r="AB135" s="1">
        <f ca="1">IFERROR(__xludf.DUMMYFUNCTION("""COMPUTED_VALUE"""),324)</f>
        <v>324</v>
      </c>
      <c r="AC135" s="1">
        <f ca="1">IFERROR(__xludf.DUMMYFUNCTION("""COMPUTED_VALUE"""),166)</f>
        <v>166</v>
      </c>
      <c r="AD135" s="1">
        <f ca="1">IFERROR(__xludf.DUMMYFUNCTION("""COMPUTED_VALUE"""),80)</f>
        <v>80</v>
      </c>
      <c r="AE135" s="1">
        <f ca="1">IFERROR(__xludf.DUMMYFUNCTION("""COMPUTED_VALUE"""),382)</f>
        <v>382</v>
      </c>
      <c r="AF135" s="1">
        <f ca="1">IFERROR(__xludf.DUMMYFUNCTION("""COMPUTED_VALUE"""),516)</f>
        <v>516</v>
      </c>
    </row>
    <row r="136" spans="1:32" ht="12.5" x14ac:dyDescent="0.25">
      <c r="A136" s="1" t="str">
        <f ca="1">IFERROR(__xludf.DUMMYFUNCTION("""COMPUTED_VALUE"""),"Idaho")</f>
        <v>Idaho</v>
      </c>
      <c r="B136" s="1">
        <f ca="1">IFERROR(__xludf.DUMMYFUNCTION("""COMPUTED_VALUE"""),31)</f>
        <v>31</v>
      </c>
      <c r="C136" s="1">
        <f ca="1">IFERROR(__xludf.DUMMYFUNCTION("""COMPUTED_VALUE"""),15)</f>
        <v>15</v>
      </c>
      <c r="D136" s="1">
        <f ca="1">IFERROR(__xludf.DUMMYFUNCTION("""COMPUTED_VALUE"""),16)</f>
        <v>16</v>
      </c>
      <c r="E136" s="1">
        <f ca="1">IFERROR(__xludf.DUMMYFUNCTION("""COMPUTED_VALUE"""),0.484)</f>
        <v>0.48399999999999999</v>
      </c>
      <c r="F136" s="1">
        <f ca="1">IFERROR(__xludf.DUMMYFUNCTION("""COMPUTED_VALUE"""),-0.19)</f>
        <v>-0.19</v>
      </c>
      <c r="G136" s="1">
        <f ca="1">IFERROR(__xludf.DUMMYFUNCTION("""COMPUTED_VALUE"""),0.48)</f>
        <v>0.48</v>
      </c>
      <c r="H136" s="1">
        <f ca="1">IFERROR(__xludf.DUMMYFUNCTION("""COMPUTED_VALUE"""),6)</f>
        <v>6</v>
      </c>
      <c r="I136" s="1">
        <f ca="1">IFERROR(__xludf.DUMMYFUNCTION("""COMPUTED_VALUE"""),10)</f>
        <v>10</v>
      </c>
      <c r="J136" s="1">
        <f ca="1">IFERROR(__xludf.DUMMYFUNCTION("""COMPUTED_VALUE"""),8)</f>
        <v>8</v>
      </c>
      <c r="K136" s="1">
        <f ca="1">IFERROR(__xludf.DUMMYFUNCTION("""COMPUTED_VALUE"""),6)</f>
        <v>6</v>
      </c>
      <c r="L136" s="1">
        <f ca="1">IFERROR(__xludf.DUMMYFUNCTION("""COMPUTED_VALUE"""),6)</f>
        <v>6</v>
      </c>
      <c r="M136" s="1">
        <f ca="1">IFERROR(__xludf.DUMMYFUNCTION("""COMPUTED_VALUE"""),10)</f>
        <v>10</v>
      </c>
      <c r="N136" s="1">
        <f ca="1">IFERROR(__xludf.DUMMYFUNCTION("""COMPUTED_VALUE"""),2206)</f>
        <v>2206</v>
      </c>
      <c r="O136" s="1">
        <f ca="1">IFERROR(__xludf.DUMMYFUNCTION("""COMPUTED_VALUE"""),2188)</f>
        <v>2188</v>
      </c>
      <c r="P136" s="1">
        <f ca="1">IFERROR(__xludf.DUMMYFUNCTION("""COMPUTED_VALUE"""),1245)</f>
        <v>1245</v>
      </c>
      <c r="Q136" s="1">
        <f ca="1">IFERROR(__xludf.DUMMYFUNCTION("""COMPUTED_VALUE"""),791)</f>
        <v>791</v>
      </c>
      <c r="R136" s="1">
        <f ca="1">IFERROR(__xludf.DUMMYFUNCTION("""COMPUTED_VALUE"""),1703)</f>
        <v>1703</v>
      </c>
      <c r="S136" s="1">
        <f ca="1">IFERROR(__xludf.DUMMYFUNCTION("""COMPUTED_VALUE"""),0.464)</f>
        <v>0.46400000000000002</v>
      </c>
      <c r="T136" s="1">
        <f ca="1">IFERROR(__xludf.DUMMYFUNCTION("""COMPUTED_VALUE"""),194)</f>
        <v>194</v>
      </c>
      <c r="U136" s="1">
        <f ca="1">IFERROR(__xludf.DUMMYFUNCTION("""COMPUTED_VALUE"""),515)</f>
        <v>515</v>
      </c>
      <c r="V136" s="1">
        <f ca="1">IFERROR(__xludf.DUMMYFUNCTION("""COMPUTED_VALUE"""),0.377)</f>
        <v>0.377</v>
      </c>
      <c r="W136" s="1">
        <f ca="1">IFERROR(__xludf.DUMMYFUNCTION("""COMPUTED_VALUE"""),430)</f>
        <v>430</v>
      </c>
      <c r="X136" s="1">
        <f ca="1">IFERROR(__xludf.DUMMYFUNCTION("""COMPUTED_VALUE"""),651)</f>
        <v>651</v>
      </c>
      <c r="Y136" s="1">
        <f ca="1">IFERROR(__xludf.DUMMYFUNCTION("""COMPUTED_VALUE"""),0.661)</f>
        <v>0.66100000000000003</v>
      </c>
      <c r="Z136" s="1">
        <f ca="1">IFERROR(__xludf.DUMMYFUNCTION("""COMPUTED_VALUE"""),335)</f>
        <v>335</v>
      </c>
      <c r="AA136" s="1">
        <f ca="1">IFERROR(__xludf.DUMMYFUNCTION("""COMPUTED_VALUE"""),1074)</f>
        <v>1074</v>
      </c>
      <c r="AB136" s="1">
        <f ca="1">IFERROR(__xludf.DUMMYFUNCTION("""COMPUTED_VALUE"""),459)</f>
        <v>459</v>
      </c>
      <c r="AC136" s="1">
        <f ca="1">IFERROR(__xludf.DUMMYFUNCTION("""COMPUTED_VALUE"""),185)</f>
        <v>185</v>
      </c>
      <c r="AD136" s="1">
        <f ca="1">IFERROR(__xludf.DUMMYFUNCTION("""COMPUTED_VALUE"""),95)</f>
        <v>95</v>
      </c>
      <c r="AE136" s="1">
        <f ca="1">IFERROR(__xludf.DUMMYFUNCTION("""COMPUTED_VALUE"""),432)</f>
        <v>432</v>
      </c>
      <c r="AF136" s="1">
        <f ca="1">IFERROR(__xludf.DUMMYFUNCTION("""COMPUTED_VALUE"""),554)</f>
        <v>554</v>
      </c>
    </row>
    <row r="137" spans="1:32" ht="12.5" x14ac:dyDescent="0.25">
      <c r="A137" s="1" t="str">
        <f ca="1">IFERROR(__xludf.DUMMYFUNCTION("""COMPUTED_VALUE"""),"Illinois-Chicago")</f>
        <v>Illinois-Chicago</v>
      </c>
      <c r="B137" s="1">
        <f ca="1">IFERROR(__xludf.DUMMYFUNCTION("""COMPUTED_VALUE"""),30)</f>
        <v>30</v>
      </c>
      <c r="C137" s="1">
        <f ca="1">IFERROR(__xludf.DUMMYFUNCTION("""COMPUTED_VALUE"""),8)</f>
        <v>8</v>
      </c>
      <c r="D137" s="1">
        <f ca="1">IFERROR(__xludf.DUMMYFUNCTION("""COMPUTED_VALUE"""),22)</f>
        <v>22</v>
      </c>
      <c r="E137" s="1">
        <f ca="1">IFERROR(__xludf.DUMMYFUNCTION("""COMPUTED_VALUE"""),0.267)</f>
        <v>0.26700000000000002</v>
      </c>
      <c r="F137" s="1">
        <f ca="1">IFERROR(__xludf.DUMMYFUNCTION("""COMPUTED_VALUE"""),-7.58)</f>
        <v>-7.58</v>
      </c>
      <c r="G137" s="1">
        <f ca="1">IFERROR(__xludf.DUMMYFUNCTION("""COMPUTED_VALUE"""),0.94)</f>
        <v>0.94</v>
      </c>
      <c r="H137" s="1">
        <f ca="1">IFERROR(__xludf.DUMMYFUNCTION("""COMPUTED_VALUE"""),3)</f>
        <v>3</v>
      </c>
      <c r="I137" s="1">
        <f ca="1">IFERROR(__xludf.DUMMYFUNCTION("""COMPUTED_VALUE"""),15)</f>
        <v>15</v>
      </c>
      <c r="J137" s="1">
        <f ca="1">IFERROR(__xludf.DUMMYFUNCTION("""COMPUTED_VALUE"""),7)</f>
        <v>7</v>
      </c>
      <c r="K137" s="1">
        <f ca="1">IFERROR(__xludf.DUMMYFUNCTION("""COMPUTED_VALUE"""),7)</f>
        <v>7</v>
      </c>
      <c r="L137" s="1">
        <f ca="1">IFERROR(__xludf.DUMMYFUNCTION("""COMPUTED_VALUE"""),1)</f>
        <v>1</v>
      </c>
      <c r="M137" s="1">
        <f ca="1">IFERROR(__xludf.DUMMYFUNCTION("""COMPUTED_VALUE"""),15)</f>
        <v>15</v>
      </c>
      <c r="N137" s="1">
        <f ca="1">IFERROR(__xludf.DUMMYFUNCTION("""COMPUTED_VALUE"""),1876)</f>
        <v>1876</v>
      </c>
      <c r="O137" s="1">
        <f ca="1">IFERROR(__xludf.DUMMYFUNCTION("""COMPUTED_VALUE"""),2110)</f>
        <v>2110</v>
      </c>
      <c r="P137" s="1">
        <f ca="1">IFERROR(__xludf.DUMMYFUNCTION("""COMPUTED_VALUE"""),1200)</f>
        <v>1200</v>
      </c>
      <c r="Q137" s="1">
        <f ca="1">IFERROR(__xludf.DUMMYFUNCTION("""COMPUTED_VALUE"""),654)</f>
        <v>654</v>
      </c>
      <c r="R137" s="1">
        <f ca="1">IFERROR(__xludf.DUMMYFUNCTION("""COMPUTED_VALUE"""),1691)</f>
        <v>1691</v>
      </c>
      <c r="S137" s="1">
        <f ca="1">IFERROR(__xludf.DUMMYFUNCTION("""COMPUTED_VALUE"""),0.387)</f>
        <v>0.38700000000000001</v>
      </c>
      <c r="T137" s="1">
        <f ca="1">IFERROR(__xludf.DUMMYFUNCTION("""COMPUTED_VALUE"""),175)</f>
        <v>175</v>
      </c>
      <c r="U137" s="1">
        <f ca="1">IFERROR(__xludf.DUMMYFUNCTION("""COMPUTED_VALUE"""),578)</f>
        <v>578</v>
      </c>
      <c r="V137" s="1">
        <f ca="1">IFERROR(__xludf.DUMMYFUNCTION("""COMPUTED_VALUE"""),0.303)</f>
        <v>0.30299999999999999</v>
      </c>
      <c r="W137" s="1">
        <f ca="1">IFERROR(__xludf.DUMMYFUNCTION("""COMPUTED_VALUE"""),393)</f>
        <v>393</v>
      </c>
      <c r="X137" s="1">
        <f ca="1">IFERROR(__xludf.DUMMYFUNCTION("""COMPUTED_VALUE"""),549)</f>
        <v>549</v>
      </c>
      <c r="Y137" s="1">
        <f ca="1">IFERROR(__xludf.DUMMYFUNCTION("""COMPUTED_VALUE"""),0.716)</f>
        <v>0.71599999999999997</v>
      </c>
      <c r="Z137" s="1">
        <f ca="1">IFERROR(__xludf.DUMMYFUNCTION("""COMPUTED_VALUE"""),313)</f>
        <v>313</v>
      </c>
      <c r="AA137" s="1">
        <f ca="1">IFERROR(__xludf.DUMMYFUNCTION("""COMPUTED_VALUE"""),982)</f>
        <v>982</v>
      </c>
      <c r="AB137" s="1">
        <f ca="1">IFERROR(__xludf.DUMMYFUNCTION("""COMPUTED_VALUE"""),315)</f>
        <v>315</v>
      </c>
      <c r="AC137" s="1">
        <f ca="1">IFERROR(__xludf.DUMMYFUNCTION("""COMPUTED_VALUE"""),211)</f>
        <v>211</v>
      </c>
      <c r="AD137" s="1">
        <f ca="1">IFERROR(__xludf.DUMMYFUNCTION("""COMPUTED_VALUE"""),74)</f>
        <v>74</v>
      </c>
      <c r="AE137" s="1">
        <f ca="1">IFERROR(__xludf.DUMMYFUNCTION("""COMPUTED_VALUE"""),383)</f>
        <v>383</v>
      </c>
      <c r="AF137" s="1">
        <f ca="1">IFERROR(__xludf.DUMMYFUNCTION("""COMPUTED_VALUE"""),569)</f>
        <v>569</v>
      </c>
    </row>
    <row r="138" spans="1:32" ht="12.5" x14ac:dyDescent="0.25">
      <c r="A138" s="1" t="str">
        <f ca="1">IFERROR(__xludf.DUMMYFUNCTION("""COMPUTED_VALUE"""),"Illinois State")</f>
        <v>Illinois State</v>
      </c>
      <c r="B138" s="1">
        <f ca="1">IFERROR(__xludf.DUMMYFUNCTION("""COMPUTED_VALUE"""),33)</f>
        <v>33</v>
      </c>
      <c r="C138" s="1">
        <f ca="1">IFERROR(__xludf.DUMMYFUNCTION("""COMPUTED_VALUE"""),22)</f>
        <v>22</v>
      </c>
      <c r="D138" s="1">
        <f ca="1">IFERROR(__xludf.DUMMYFUNCTION("""COMPUTED_VALUE"""),11)</f>
        <v>11</v>
      </c>
      <c r="E138" s="1">
        <f ca="1">IFERROR(__xludf.DUMMYFUNCTION("""COMPUTED_VALUE"""),0.667)</f>
        <v>0.66700000000000004</v>
      </c>
      <c r="F138" s="1">
        <f ca="1">IFERROR(__xludf.DUMMYFUNCTION("""COMPUTED_VALUE"""),5.73)</f>
        <v>5.73</v>
      </c>
      <c r="G138" s="1">
        <f ca="1">IFERROR(__xludf.DUMMYFUNCTION("""COMPUTED_VALUE"""),1.16)</f>
        <v>1.1599999999999999</v>
      </c>
      <c r="H138" s="1">
        <f ca="1">IFERROR(__xludf.DUMMYFUNCTION("""COMPUTED_VALUE"""),11)</f>
        <v>11</v>
      </c>
      <c r="I138" s="1">
        <f ca="1">IFERROR(__xludf.DUMMYFUNCTION("""COMPUTED_VALUE"""),7)</f>
        <v>7</v>
      </c>
      <c r="J138" s="1">
        <f ca="1">IFERROR(__xludf.DUMMYFUNCTION("""COMPUTED_VALUE"""),15)</f>
        <v>15</v>
      </c>
      <c r="K138" s="1">
        <f ca="1">IFERROR(__xludf.DUMMYFUNCTION("""COMPUTED_VALUE"""),2)</f>
        <v>2</v>
      </c>
      <c r="L138" s="1">
        <f ca="1">IFERROR(__xludf.DUMMYFUNCTION("""COMPUTED_VALUE"""),6)</f>
        <v>6</v>
      </c>
      <c r="M138" s="1">
        <f ca="1">IFERROR(__xludf.DUMMYFUNCTION("""COMPUTED_VALUE"""),8)</f>
        <v>8</v>
      </c>
      <c r="N138" s="1">
        <f ca="1">IFERROR(__xludf.DUMMYFUNCTION("""COMPUTED_VALUE"""),2283)</f>
        <v>2283</v>
      </c>
      <c r="O138" s="1">
        <f ca="1">IFERROR(__xludf.DUMMYFUNCTION("""COMPUTED_VALUE"""),2115)</f>
        <v>2115</v>
      </c>
      <c r="P138" s="1">
        <f ca="1">IFERROR(__xludf.DUMMYFUNCTION("""COMPUTED_VALUE"""),1325)</f>
        <v>1325</v>
      </c>
      <c r="Q138" s="1">
        <f ca="1">IFERROR(__xludf.DUMMYFUNCTION("""COMPUTED_VALUE"""),794)</f>
        <v>794</v>
      </c>
      <c r="R138" s="1">
        <f ca="1">IFERROR(__xludf.DUMMYFUNCTION("""COMPUTED_VALUE"""),1776)</f>
        <v>1776</v>
      </c>
      <c r="S138" s="1">
        <f ca="1">IFERROR(__xludf.DUMMYFUNCTION("""COMPUTED_VALUE"""),0.447)</f>
        <v>0.44700000000000001</v>
      </c>
      <c r="T138" s="1">
        <f ca="1">IFERROR(__xludf.DUMMYFUNCTION("""COMPUTED_VALUE"""),193)</f>
        <v>193</v>
      </c>
      <c r="U138" s="1">
        <f ca="1">IFERROR(__xludf.DUMMYFUNCTION("""COMPUTED_VALUE"""),590)</f>
        <v>590</v>
      </c>
      <c r="V138" s="1">
        <f ca="1">IFERROR(__xludf.DUMMYFUNCTION("""COMPUTED_VALUE"""),0.327)</f>
        <v>0.32700000000000001</v>
      </c>
      <c r="W138" s="1">
        <f ca="1">IFERROR(__xludf.DUMMYFUNCTION("""COMPUTED_VALUE"""),502)</f>
        <v>502</v>
      </c>
      <c r="X138" s="1">
        <f ca="1">IFERROR(__xludf.DUMMYFUNCTION("""COMPUTED_VALUE"""),717)</f>
        <v>717</v>
      </c>
      <c r="Y138" s="1">
        <f ca="1">IFERROR(__xludf.DUMMYFUNCTION("""COMPUTED_VALUE"""),0.7)</f>
        <v>0.7</v>
      </c>
      <c r="Z138" s="1">
        <f ca="1">IFERROR(__xludf.DUMMYFUNCTION("""COMPUTED_VALUE"""),383)</f>
        <v>383</v>
      </c>
      <c r="AA138" s="1">
        <f ca="1">IFERROR(__xludf.DUMMYFUNCTION("""COMPUTED_VALUE"""),1173)</f>
        <v>1173</v>
      </c>
      <c r="AB138" s="1">
        <f ca="1">IFERROR(__xludf.DUMMYFUNCTION("""COMPUTED_VALUE"""),433)</f>
        <v>433</v>
      </c>
      <c r="AC138" s="1">
        <f ca="1">IFERROR(__xludf.DUMMYFUNCTION("""COMPUTED_VALUE"""),240)</f>
        <v>240</v>
      </c>
      <c r="AD138" s="1">
        <f ca="1">IFERROR(__xludf.DUMMYFUNCTION("""COMPUTED_VALUE"""),114)</f>
        <v>114</v>
      </c>
      <c r="AE138" s="1">
        <f ca="1">IFERROR(__xludf.DUMMYFUNCTION("""COMPUTED_VALUE"""),429)</f>
        <v>429</v>
      </c>
      <c r="AF138" s="1">
        <f ca="1">IFERROR(__xludf.DUMMYFUNCTION("""COMPUTED_VALUE"""),556)</f>
        <v>556</v>
      </c>
    </row>
    <row r="139" spans="1:32" ht="12.5" x14ac:dyDescent="0.25">
      <c r="A139" s="1" t="str">
        <f ca="1">IFERROR(__xludf.DUMMYFUNCTION("""COMPUTED_VALUE"""),"Illinois")</f>
        <v>Illinois</v>
      </c>
      <c r="B139" s="1">
        <f ca="1">IFERROR(__xludf.DUMMYFUNCTION("""COMPUTED_VALUE"""),36)</f>
        <v>36</v>
      </c>
      <c r="C139" s="1">
        <f ca="1">IFERROR(__xludf.DUMMYFUNCTION("""COMPUTED_VALUE"""),21)</f>
        <v>21</v>
      </c>
      <c r="D139" s="1">
        <f ca="1">IFERROR(__xludf.DUMMYFUNCTION("""COMPUTED_VALUE"""),15)</f>
        <v>15</v>
      </c>
      <c r="E139" s="1">
        <f ca="1">IFERROR(__xludf.DUMMYFUNCTION("""COMPUTED_VALUE"""),0.583)</f>
        <v>0.58299999999999996</v>
      </c>
      <c r="F139" s="1">
        <f ca="1">IFERROR(__xludf.DUMMYFUNCTION("""COMPUTED_VALUE"""),11.58)</f>
        <v>11.58</v>
      </c>
      <c r="G139" s="1">
        <f ca="1">IFERROR(__xludf.DUMMYFUNCTION("""COMPUTED_VALUE"""),9.58)</f>
        <v>9.58</v>
      </c>
      <c r="H139" s="1">
        <f ca="1">IFERROR(__xludf.DUMMYFUNCTION("""COMPUTED_VALUE"""),10)</f>
        <v>10</v>
      </c>
      <c r="I139" s="1">
        <f ca="1">IFERROR(__xludf.DUMMYFUNCTION("""COMPUTED_VALUE"""),8)</f>
        <v>8</v>
      </c>
      <c r="J139" s="1">
        <f ca="1">IFERROR(__xludf.DUMMYFUNCTION("""COMPUTED_VALUE"""),13)</f>
        <v>13</v>
      </c>
      <c r="K139" s="1">
        <f ca="1">IFERROR(__xludf.DUMMYFUNCTION("""COMPUTED_VALUE"""),5)</f>
        <v>5</v>
      </c>
      <c r="L139" s="1">
        <f ca="1">IFERROR(__xludf.DUMMYFUNCTION("""COMPUTED_VALUE"""),7)</f>
        <v>7</v>
      </c>
      <c r="M139" s="1">
        <f ca="1">IFERROR(__xludf.DUMMYFUNCTION("""COMPUTED_VALUE"""),4)</f>
        <v>4</v>
      </c>
      <c r="N139" s="1">
        <f ca="1">IFERROR(__xludf.DUMMYFUNCTION("""COMPUTED_VALUE"""),2547)</f>
        <v>2547</v>
      </c>
      <c r="O139" s="1">
        <f ca="1">IFERROR(__xludf.DUMMYFUNCTION("""COMPUTED_VALUE"""),2406)</f>
        <v>2406</v>
      </c>
      <c r="P139" s="1">
        <f ca="1">IFERROR(__xludf.DUMMYFUNCTION("""COMPUTED_VALUE"""),1460)</f>
        <v>1460</v>
      </c>
      <c r="Q139" s="1">
        <f ca="1">IFERROR(__xludf.DUMMYFUNCTION("""COMPUTED_VALUE"""),957)</f>
        <v>957</v>
      </c>
      <c r="R139" s="1">
        <f ca="1">IFERROR(__xludf.DUMMYFUNCTION("""COMPUTED_VALUE"""),2127)</f>
        <v>2127</v>
      </c>
      <c r="S139" s="1">
        <f ca="1">IFERROR(__xludf.DUMMYFUNCTION("""COMPUTED_VALUE"""),0.45)</f>
        <v>0.45</v>
      </c>
      <c r="T139" s="1">
        <f ca="1">IFERROR(__xludf.DUMMYFUNCTION("""COMPUTED_VALUE"""),219)</f>
        <v>219</v>
      </c>
      <c r="U139" s="1">
        <f ca="1">IFERROR(__xludf.DUMMYFUNCTION("""COMPUTED_VALUE"""),645)</f>
        <v>645</v>
      </c>
      <c r="V139" s="1">
        <f ca="1">IFERROR(__xludf.DUMMYFUNCTION("""COMPUTED_VALUE"""),0.34)</f>
        <v>0.34</v>
      </c>
      <c r="W139" s="1">
        <f ca="1">IFERROR(__xludf.DUMMYFUNCTION("""COMPUTED_VALUE"""),414)</f>
        <v>414</v>
      </c>
      <c r="X139" s="1">
        <f ca="1">IFERROR(__xludf.DUMMYFUNCTION("""COMPUTED_VALUE"""),581)</f>
        <v>581</v>
      </c>
      <c r="Y139" s="1">
        <f ca="1">IFERROR(__xludf.DUMMYFUNCTION("""COMPUTED_VALUE"""),0.713)</f>
        <v>0.71299999999999997</v>
      </c>
      <c r="Z139" s="1">
        <f ca="1">IFERROR(__xludf.DUMMYFUNCTION("""COMPUTED_VALUE"""),396)</f>
        <v>396</v>
      </c>
      <c r="AA139" s="1">
        <f ca="1">IFERROR(__xludf.DUMMYFUNCTION("""COMPUTED_VALUE"""),1337)</f>
        <v>1337</v>
      </c>
      <c r="AB139" s="1">
        <f ca="1">IFERROR(__xludf.DUMMYFUNCTION("""COMPUTED_VALUE"""),570)</f>
        <v>570</v>
      </c>
      <c r="AC139" s="1">
        <f ca="1">IFERROR(__xludf.DUMMYFUNCTION("""COMPUTED_VALUE"""),202)</f>
        <v>202</v>
      </c>
      <c r="AD139" s="1">
        <f ca="1">IFERROR(__xludf.DUMMYFUNCTION("""COMPUTED_VALUE"""),144)</f>
        <v>144</v>
      </c>
      <c r="AE139" s="1">
        <f ca="1">IFERROR(__xludf.DUMMYFUNCTION("""COMPUTED_VALUE"""),443)</f>
        <v>443</v>
      </c>
      <c r="AF139" s="1">
        <f ca="1">IFERROR(__xludf.DUMMYFUNCTION("""COMPUTED_VALUE"""),611)</f>
        <v>611</v>
      </c>
    </row>
    <row r="140" spans="1:32" ht="12.5" x14ac:dyDescent="0.25">
      <c r="A140" s="1" t="str">
        <f ca="1">IFERROR(__xludf.DUMMYFUNCTION("""COMPUTED_VALUE"""),"Indiana State")</f>
        <v>Indiana State</v>
      </c>
      <c r="B140" s="1">
        <f ca="1">IFERROR(__xludf.DUMMYFUNCTION("""COMPUTED_VALUE"""),32)</f>
        <v>32</v>
      </c>
      <c r="C140" s="1">
        <f ca="1">IFERROR(__xludf.DUMMYFUNCTION("""COMPUTED_VALUE"""),17)</f>
        <v>17</v>
      </c>
      <c r="D140" s="1">
        <f ca="1">IFERROR(__xludf.DUMMYFUNCTION("""COMPUTED_VALUE"""),15)</f>
        <v>15</v>
      </c>
      <c r="E140" s="1">
        <f ca="1">IFERROR(__xludf.DUMMYFUNCTION("""COMPUTED_VALUE"""),0.531)</f>
        <v>0.53100000000000003</v>
      </c>
      <c r="F140" s="1">
        <f ca="1">IFERROR(__xludf.DUMMYFUNCTION("""COMPUTED_VALUE"""),1.11)</f>
        <v>1.1100000000000001</v>
      </c>
      <c r="G140" s="1">
        <f ca="1">IFERROR(__xludf.DUMMYFUNCTION("""COMPUTED_VALUE"""),2.4)</f>
        <v>2.4</v>
      </c>
      <c r="H140" s="1">
        <f ca="1">IFERROR(__xludf.DUMMYFUNCTION("""COMPUTED_VALUE"""),9)</f>
        <v>9</v>
      </c>
      <c r="I140" s="1">
        <f ca="1">IFERROR(__xludf.DUMMYFUNCTION("""COMPUTED_VALUE"""),9)</f>
        <v>9</v>
      </c>
      <c r="J140" s="1">
        <f ca="1">IFERROR(__xludf.DUMMYFUNCTION("""COMPUTED_VALUE"""),11)</f>
        <v>11</v>
      </c>
      <c r="K140" s="1">
        <f ca="1">IFERROR(__xludf.DUMMYFUNCTION("""COMPUTED_VALUE"""),3)</f>
        <v>3</v>
      </c>
      <c r="L140" s="1">
        <f ca="1">IFERROR(__xludf.DUMMYFUNCTION("""COMPUTED_VALUE"""),5)</f>
        <v>5</v>
      </c>
      <c r="M140" s="1">
        <f ca="1">IFERROR(__xludf.DUMMYFUNCTION("""COMPUTED_VALUE"""),10)</f>
        <v>10</v>
      </c>
      <c r="N140" s="1">
        <f ca="1">IFERROR(__xludf.DUMMYFUNCTION("""COMPUTED_VALUE"""),2113)</f>
        <v>2113</v>
      </c>
      <c r="O140" s="1">
        <f ca="1">IFERROR(__xludf.DUMMYFUNCTION("""COMPUTED_VALUE"""),2123)</f>
        <v>2123</v>
      </c>
      <c r="P140" s="1">
        <f ca="1">IFERROR(__xludf.DUMMYFUNCTION("""COMPUTED_VALUE"""),1300)</f>
        <v>1300</v>
      </c>
      <c r="Q140" s="1">
        <f ca="1">IFERROR(__xludf.DUMMYFUNCTION("""COMPUTED_VALUE"""),708)</f>
        <v>708</v>
      </c>
      <c r="R140" s="1">
        <f ca="1">IFERROR(__xludf.DUMMYFUNCTION("""COMPUTED_VALUE"""),1681)</f>
        <v>1681</v>
      </c>
      <c r="S140" s="1">
        <f ca="1">IFERROR(__xludf.DUMMYFUNCTION("""COMPUTED_VALUE"""),0.421)</f>
        <v>0.42099999999999999</v>
      </c>
      <c r="T140" s="1">
        <f ca="1">IFERROR(__xludf.DUMMYFUNCTION("""COMPUTED_VALUE"""),221)</f>
        <v>221</v>
      </c>
      <c r="U140" s="1">
        <f ca="1">IFERROR(__xludf.DUMMYFUNCTION("""COMPUTED_VALUE"""),630)</f>
        <v>630</v>
      </c>
      <c r="V140" s="1">
        <f ca="1">IFERROR(__xludf.DUMMYFUNCTION("""COMPUTED_VALUE"""),0.351)</f>
        <v>0.35099999999999998</v>
      </c>
      <c r="W140" s="1">
        <f ca="1">IFERROR(__xludf.DUMMYFUNCTION("""COMPUTED_VALUE"""),476)</f>
        <v>476</v>
      </c>
      <c r="X140" s="1">
        <f ca="1">IFERROR(__xludf.DUMMYFUNCTION("""COMPUTED_VALUE"""),619)</f>
        <v>619</v>
      </c>
      <c r="Y140" s="1">
        <f ca="1">IFERROR(__xludf.DUMMYFUNCTION("""COMPUTED_VALUE"""),0.769)</f>
        <v>0.76900000000000002</v>
      </c>
      <c r="Z140" s="1">
        <f ca="1">IFERROR(__xludf.DUMMYFUNCTION("""COMPUTED_VALUE"""),290)</f>
        <v>290</v>
      </c>
      <c r="AA140" s="1">
        <f ca="1">IFERROR(__xludf.DUMMYFUNCTION("""COMPUTED_VALUE"""),1067)</f>
        <v>1067</v>
      </c>
      <c r="AB140" s="1">
        <f ca="1">IFERROR(__xludf.DUMMYFUNCTION("""COMPUTED_VALUE"""),335)</f>
        <v>335</v>
      </c>
      <c r="AC140" s="1">
        <f ca="1">IFERROR(__xludf.DUMMYFUNCTION("""COMPUTED_VALUE"""),177)</f>
        <v>177</v>
      </c>
      <c r="AD140" s="1">
        <f ca="1">IFERROR(__xludf.DUMMYFUNCTION("""COMPUTED_VALUE"""),120)</f>
        <v>120</v>
      </c>
      <c r="AE140" s="1">
        <f ca="1">IFERROR(__xludf.DUMMYFUNCTION("""COMPUTED_VALUE"""),401)</f>
        <v>401</v>
      </c>
      <c r="AF140" s="1">
        <f ca="1">IFERROR(__xludf.DUMMYFUNCTION("""COMPUTED_VALUE"""),590)</f>
        <v>590</v>
      </c>
    </row>
    <row r="141" spans="1:32" ht="12.5" x14ac:dyDescent="0.25">
      <c r="A141" s="1" t="str">
        <f ca="1">IFERROR(__xludf.DUMMYFUNCTION("""COMPUTED_VALUE"""),"Indiana")</f>
        <v>Indiana</v>
      </c>
      <c r="B141" s="1">
        <f ca="1">IFERROR(__xludf.DUMMYFUNCTION("""COMPUTED_VALUE"""),31)</f>
        <v>31</v>
      </c>
      <c r="C141" s="1">
        <f ca="1">IFERROR(__xludf.DUMMYFUNCTION("""COMPUTED_VALUE"""),10)</f>
        <v>10</v>
      </c>
      <c r="D141" s="1">
        <f ca="1">IFERROR(__xludf.DUMMYFUNCTION("""COMPUTED_VALUE"""),21)</f>
        <v>21</v>
      </c>
      <c r="E141" s="1">
        <f ca="1">IFERROR(__xludf.DUMMYFUNCTION("""COMPUTED_VALUE"""),0.323)</f>
        <v>0.32300000000000001</v>
      </c>
      <c r="F141" s="1">
        <f ca="1">IFERROR(__xludf.DUMMYFUNCTION("""COMPUTED_VALUE"""),0.76)</f>
        <v>0.76</v>
      </c>
      <c r="G141" s="1">
        <f ca="1">IFERROR(__xludf.DUMMYFUNCTION("""COMPUTED_VALUE"""),9.37)</f>
        <v>9.3699999999999992</v>
      </c>
      <c r="H141" s="1">
        <f ca="1">IFERROR(__xludf.DUMMYFUNCTION("""COMPUTED_VALUE"""),4)</f>
        <v>4</v>
      </c>
      <c r="I141" s="1">
        <f ca="1">IFERROR(__xludf.DUMMYFUNCTION("""COMPUTED_VALUE"""),14)</f>
        <v>14</v>
      </c>
      <c r="J141" s="1">
        <f ca="1">IFERROR(__xludf.DUMMYFUNCTION("""COMPUTED_VALUE"""),8)</f>
        <v>8</v>
      </c>
      <c r="K141" s="1">
        <f ca="1">IFERROR(__xludf.DUMMYFUNCTION("""COMPUTED_VALUE"""),9)</f>
        <v>9</v>
      </c>
      <c r="L141" s="1">
        <f ca="1">IFERROR(__xludf.DUMMYFUNCTION("""COMPUTED_VALUE"""),1)</f>
        <v>1</v>
      </c>
      <c r="M141" s="1">
        <f ca="1">IFERROR(__xludf.DUMMYFUNCTION("""COMPUTED_VALUE"""),8)</f>
        <v>8</v>
      </c>
      <c r="N141" s="1">
        <f ca="1">IFERROR(__xludf.DUMMYFUNCTION("""COMPUTED_VALUE"""),2053)</f>
        <v>2053</v>
      </c>
      <c r="O141" s="1">
        <f ca="1">IFERROR(__xludf.DUMMYFUNCTION("""COMPUTED_VALUE"""),2215)</f>
        <v>2215</v>
      </c>
      <c r="P141" s="1">
        <f ca="1">IFERROR(__xludf.DUMMYFUNCTION("""COMPUTED_VALUE"""),1250)</f>
        <v>1250</v>
      </c>
      <c r="Q141" s="1">
        <f ca="1">IFERROR(__xludf.DUMMYFUNCTION("""COMPUTED_VALUE"""),703)</f>
        <v>703</v>
      </c>
      <c r="R141" s="1">
        <f ca="1">IFERROR(__xludf.DUMMYFUNCTION("""COMPUTED_VALUE"""),1687)</f>
        <v>1687</v>
      </c>
      <c r="S141" s="1">
        <f ca="1">IFERROR(__xludf.DUMMYFUNCTION("""COMPUTED_VALUE"""),0.417)</f>
        <v>0.41699999999999998</v>
      </c>
      <c r="T141" s="1">
        <f ca="1">IFERROR(__xludf.DUMMYFUNCTION("""COMPUTED_VALUE"""),160)</f>
        <v>160</v>
      </c>
      <c r="U141" s="1">
        <f ca="1">IFERROR(__xludf.DUMMYFUNCTION("""COMPUTED_VALUE"""),469)</f>
        <v>469</v>
      </c>
      <c r="V141" s="1">
        <f ca="1">IFERROR(__xludf.DUMMYFUNCTION("""COMPUTED_VALUE"""),0.341)</f>
        <v>0.34100000000000003</v>
      </c>
      <c r="W141" s="1">
        <f ca="1">IFERROR(__xludf.DUMMYFUNCTION("""COMPUTED_VALUE"""),487)</f>
        <v>487</v>
      </c>
      <c r="X141" s="1">
        <f ca="1">IFERROR(__xludf.DUMMYFUNCTION("""COMPUTED_VALUE"""),705)</f>
        <v>705</v>
      </c>
      <c r="Y141" s="1">
        <f ca="1">IFERROR(__xludf.DUMMYFUNCTION("""COMPUTED_VALUE"""),0.691)</f>
        <v>0.69099999999999995</v>
      </c>
      <c r="Z141" s="1">
        <f ca="1">IFERROR(__xludf.DUMMYFUNCTION("""COMPUTED_VALUE"""),395)</f>
        <v>395</v>
      </c>
      <c r="AA141" s="1">
        <f ca="1">IFERROR(__xludf.DUMMYFUNCTION("""COMPUTED_VALUE"""),1090)</f>
        <v>1090</v>
      </c>
      <c r="AB141" s="1">
        <f ca="1">IFERROR(__xludf.DUMMYFUNCTION("""COMPUTED_VALUE"""),375)</f>
        <v>375</v>
      </c>
      <c r="AC141" s="1">
        <f ca="1">IFERROR(__xludf.DUMMYFUNCTION("""COMPUTED_VALUE"""),211)</f>
        <v>211</v>
      </c>
      <c r="AD141" s="1">
        <f ca="1">IFERROR(__xludf.DUMMYFUNCTION("""COMPUTED_VALUE"""),107)</f>
        <v>107</v>
      </c>
      <c r="AE141" s="1">
        <f ca="1">IFERROR(__xludf.DUMMYFUNCTION("""COMPUTED_VALUE"""),486)</f>
        <v>486</v>
      </c>
      <c r="AF141" s="1">
        <f ca="1">IFERROR(__xludf.DUMMYFUNCTION("""COMPUTED_VALUE"""),636)</f>
        <v>636</v>
      </c>
    </row>
    <row r="142" spans="1:32" ht="12.5" x14ac:dyDescent="0.25">
      <c r="A142" s="1" t="str">
        <f ca="1">IFERROR(__xludf.DUMMYFUNCTION("""COMPUTED_VALUE"""),"Iona")</f>
        <v>Iona</v>
      </c>
      <c r="B142" s="1">
        <f ca="1">IFERROR(__xludf.DUMMYFUNCTION("""COMPUTED_VALUE"""),31)</f>
        <v>31</v>
      </c>
      <c r="C142" s="1">
        <f ca="1">IFERROR(__xludf.DUMMYFUNCTION("""COMPUTED_VALUE"""),21)</f>
        <v>21</v>
      </c>
      <c r="D142" s="1">
        <f ca="1">IFERROR(__xludf.DUMMYFUNCTION("""COMPUTED_VALUE"""),10)</f>
        <v>10</v>
      </c>
      <c r="E142" s="1">
        <f ca="1">IFERROR(__xludf.DUMMYFUNCTION("""COMPUTED_VALUE"""),0.677)</f>
        <v>0.67700000000000005</v>
      </c>
      <c r="F142" s="1">
        <f ca="1">IFERROR(__xludf.DUMMYFUNCTION("""COMPUTED_VALUE"""),2.31)</f>
        <v>2.31</v>
      </c>
      <c r="G142" s="1">
        <f ca="1">IFERROR(__xludf.DUMMYFUNCTION("""COMPUTED_VALUE"""),-1.85)</f>
        <v>-1.85</v>
      </c>
      <c r="H142" s="1">
        <f ca="1">IFERROR(__xludf.DUMMYFUNCTION("""COMPUTED_VALUE"""),12)</f>
        <v>12</v>
      </c>
      <c r="I142" s="1">
        <f ca="1">IFERROR(__xludf.DUMMYFUNCTION("""COMPUTED_VALUE"""),6)</f>
        <v>6</v>
      </c>
      <c r="J142" s="1">
        <f ca="1">IFERROR(__xludf.DUMMYFUNCTION("""COMPUTED_VALUE"""),11)</f>
        <v>11</v>
      </c>
      <c r="K142" s="1">
        <f ca="1">IFERROR(__xludf.DUMMYFUNCTION("""COMPUTED_VALUE"""),3)</f>
        <v>3</v>
      </c>
      <c r="L142" s="1">
        <f ca="1">IFERROR(__xludf.DUMMYFUNCTION("""COMPUTED_VALUE"""),8)</f>
        <v>8</v>
      </c>
      <c r="M142" s="1">
        <f ca="1">IFERROR(__xludf.DUMMYFUNCTION("""COMPUTED_VALUE"""),4)</f>
        <v>4</v>
      </c>
      <c r="N142" s="1">
        <f ca="1">IFERROR(__xludf.DUMMYFUNCTION("""COMPUTED_VALUE"""),2050)</f>
        <v>2050</v>
      </c>
      <c r="O142" s="1">
        <f ca="1">IFERROR(__xludf.DUMMYFUNCTION("""COMPUTED_VALUE"""),1921)</f>
        <v>1921</v>
      </c>
      <c r="P142" s="1">
        <f ca="1">IFERROR(__xludf.DUMMYFUNCTION("""COMPUTED_VALUE"""),1245)</f>
        <v>1245</v>
      </c>
      <c r="Q142" s="1">
        <f ca="1">IFERROR(__xludf.DUMMYFUNCTION("""COMPUTED_VALUE"""),700)</f>
        <v>700</v>
      </c>
      <c r="R142" s="1">
        <f ca="1">IFERROR(__xludf.DUMMYFUNCTION("""COMPUTED_VALUE"""),1667)</f>
        <v>1667</v>
      </c>
      <c r="S142" s="1">
        <f ca="1">IFERROR(__xludf.DUMMYFUNCTION("""COMPUTED_VALUE"""),0.42)</f>
        <v>0.42</v>
      </c>
      <c r="T142" s="1">
        <f ca="1">IFERROR(__xludf.DUMMYFUNCTION("""COMPUTED_VALUE"""),227)</f>
        <v>227</v>
      </c>
      <c r="U142" s="1">
        <f ca="1">IFERROR(__xludf.DUMMYFUNCTION("""COMPUTED_VALUE"""),619)</f>
        <v>619</v>
      </c>
      <c r="V142" s="1">
        <f ca="1">IFERROR(__xludf.DUMMYFUNCTION("""COMPUTED_VALUE"""),0.367)</f>
        <v>0.36699999999999999</v>
      </c>
      <c r="W142" s="1">
        <f ca="1">IFERROR(__xludf.DUMMYFUNCTION("""COMPUTED_VALUE"""),423)</f>
        <v>423</v>
      </c>
      <c r="X142" s="1">
        <f ca="1">IFERROR(__xludf.DUMMYFUNCTION("""COMPUTED_VALUE"""),621)</f>
        <v>621</v>
      </c>
      <c r="Y142" s="1">
        <f ca="1">IFERROR(__xludf.DUMMYFUNCTION("""COMPUTED_VALUE"""),0.681)</f>
        <v>0.68100000000000005</v>
      </c>
      <c r="Z142" s="1">
        <f ca="1">IFERROR(__xludf.DUMMYFUNCTION("""COMPUTED_VALUE"""),322)</f>
        <v>322</v>
      </c>
      <c r="AA142" s="1">
        <f ca="1">IFERROR(__xludf.DUMMYFUNCTION("""COMPUTED_VALUE"""),1041)</f>
        <v>1041</v>
      </c>
      <c r="AB142" s="1">
        <f ca="1">IFERROR(__xludf.DUMMYFUNCTION("""COMPUTED_VALUE"""),421)</f>
        <v>421</v>
      </c>
      <c r="AC142" s="1">
        <f ca="1">IFERROR(__xludf.DUMMYFUNCTION("""COMPUTED_VALUE"""),246)</f>
        <v>246</v>
      </c>
      <c r="AD142" s="1">
        <f ca="1">IFERROR(__xludf.DUMMYFUNCTION("""COMPUTED_VALUE"""),90)</f>
        <v>90</v>
      </c>
      <c r="AE142" s="1">
        <f ca="1">IFERROR(__xludf.DUMMYFUNCTION("""COMPUTED_VALUE"""),420)</f>
        <v>420</v>
      </c>
      <c r="AF142" s="1">
        <f ca="1">IFERROR(__xludf.DUMMYFUNCTION("""COMPUTED_VALUE"""),614)</f>
        <v>614</v>
      </c>
    </row>
    <row r="143" spans="1:32" ht="12.5" x14ac:dyDescent="0.25">
      <c r="A143" s="1" t="str">
        <f ca="1">IFERROR(__xludf.DUMMYFUNCTION("""COMPUTED_VALUE"""),"Iowa State")</f>
        <v>Iowa State</v>
      </c>
      <c r="B143" s="1">
        <f ca="1">IFERROR(__xludf.DUMMYFUNCTION("""COMPUTED_VALUE"""),32)</f>
        <v>32</v>
      </c>
      <c r="C143" s="1">
        <f ca="1">IFERROR(__xludf.DUMMYFUNCTION("""COMPUTED_VALUE"""),15)</f>
        <v>15</v>
      </c>
      <c r="D143" s="1">
        <f ca="1">IFERROR(__xludf.DUMMYFUNCTION("""COMPUTED_VALUE"""),17)</f>
        <v>17</v>
      </c>
      <c r="E143" s="1">
        <f ca="1">IFERROR(__xludf.DUMMYFUNCTION("""COMPUTED_VALUE"""),0.469)</f>
        <v>0.46899999999999997</v>
      </c>
      <c r="F143" s="1">
        <f ca="1">IFERROR(__xludf.DUMMYFUNCTION("""COMPUTED_VALUE"""),9.6)</f>
        <v>9.6</v>
      </c>
      <c r="G143" s="1">
        <f ca="1">IFERROR(__xludf.DUMMYFUNCTION("""COMPUTED_VALUE"""),8.37)</f>
        <v>8.3699999999999992</v>
      </c>
      <c r="H143" s="1">
        <f ca="1">IFERROR(__xludf.DUMMYFUNCTION("""COMPUTED_VALUE"""),4)</f>
        <v>4</v>
      </c>
      <c r="I143" s="1">
        <f ca="1">IFERROR(__xludf.DUMMYFUNCTION("""COMPUTED_VALUE"""),12)</f>
        <v>12</v>
      </c>
      <c r="J143" s="1">
        <f ca="1">IFERROR(__xludf.DUMMYFUNCTION("""COMPUTED_VALUE"""),11)</f>
        <v>11</v>
      </c>
      <c r="K143" s="1">
        <f ca="1">IFERROR(__xludf.DUMMYFUNCTION("""COMPUTED_VALUE"""),7)</f>
        <v>7</v>
      </c>
      <c r="L143" s="1">
        <f ca="1">IFERROR(__xludf.DUMMYFUNCTION("""COMPUTED_VALUE"""),3)</f>
        <v>3</v>
      </c>
      <c r="M143" s="1">
        <f ca="1">IFERROR(__xludf.DUMMYFUNCTION("""COMPUTED_VALUE"""),7)</f>
        <v>7</v>
      </c>
      <c r="N143" s="1">
        <f ca="1">IFERROR(__xludf.DUMMYFUNCTION("""COMPUTED_VALUE"""),2250)</f>
        <v>2250</v>
      </c>
      <c r="O143" s="1">
        <f ca="1">IFERROR(__xludf.DUMMYFUNCTION("""COMPUTED_VALUE"""),2174)</f>
        <v>2174</v>
      </c>
      <c r="P143" s="1">
        <f ca="1">IFERROR(__xludf.DUMMYFUNCTION("""COMPUTED_VALUE"""),1260)</f>
        <v>1260</v>
      </c>
      <c r="Q143" s="1">
        <f ca="1">IFERROR(__xludf.DUMMYFUNCTION("""COMPUTED_VALUE"""),804)</f>
        <v>804</v>
      </c>
      <c r="R143" s="1">
        <f ca="1">IFERROR(__xludf.DUMMYFUNCTION("""COMPUTED_VALUE"""),1811)</f>
        <v>1811</v>
      </c>
      <c r="S143" s="1">
        <f ca="1">IFERROR(__xludf.DUMMYFUNCTION("""COMPUTED_VALUE"""),0.444)</f>
        <v>0.44400000000000001</v>
      </c>
      <c r="T143" s="1">
        <f ca="1">IFERROR(__xludf.DUMMYFUNCTION("""COMPUTED_VALUE"""),200)</f>
        <v>200</v>
      </c>
      <c r="U143" s="1">
        <f ca="1">IFERROR(__xludf.DUMMYFUNCTION("""COMPUTED_VALUE"""),540)</f>
        <v>540</v>
      </c>
      <c r="V143" s="1">
        <f ca="1">IFERROR(__xludf.DUMMYFUNCTION("""COMPUTED_VALUE"""),0.37)</f>
        <v>0.37</v>
      </c>
      <c r="W143" s="1">
        <f ca="1">IFERROR(__xludf.DUMMYFUNCTION("""COMPUTED_VALUE"""),442)</f>
        <v>442</v>
      </c>
      <c r="X143" s="1">
        <f ca="1">IFERROR(__xludf.DUMMYFUNCTION("""COMPUTED_VALUE"""),673)</f>
        <v>673</v>
      </c>
      <c r="Y143" s="1">
        <f ca="1">IFERROR(__xludf.DUMMYFUNCTION("""COMPUTED_VALUE"""),0.657)</f>
        <v>0.65700000000000003</v>
      </c>
      <c r="Z143" s="1">
        <f ca="1">IFERROR(__xludf.DUMMYFUNCTION("""COMPUTED_VALUE"""),388)</f>
        <v>388</v>
      </c>
      <c r="AA143" s="1">
        <f ca="1">IFERROR(__xludf.DUMMYFUNCTION("""COMPUTED_VALUE"""),1193)</f>
        <v>1193</v>
      </c>
      <c r="AB143" s="1">
        <f ca="1">IFERROR(__xludf.DUMMYFUNCTION("""COMPUTED_VALUE"""),442)</f>
        <v>442</v>
      </c>
      <c r="AC143" s="1">
        <f ca="1">IFERROR(__xludf.DUMMYFUNCTION("""COMPUTED_VALUE"""),162)</f>
        <v>162</v>
      </c>
      <c r="AD143" s="1">
        <f ca="1">IFERROR(__xludf.DUMMYFUNCTION("""COMPUTED_VALUE"""),155)</f>
        <v>155</v>
      </c>
      <c r="AE143" s="1">
        <f ca="1">IFERROR(__xludf.DUMMYFUNCTION("""COMPUTED_VALUE"""),443)</f>
        <v>443</v>
      </c>
      <c r="AF143" s="1">
        <f ca="1">IFERROR(__xludf.DUMMYFUNCTION("""COMPUTED_VALUE"""),490)</f>
        <v>490</v>
      </c>
    </row>
    <row r="144" spans="1:32" ht="12.5" x14ac:dyDescent="0.25">
      <c r="A144" s="1" t="str">
        <f ca="1">IFERROR(__xludf.DUMMYFUNCTION("""COMPUTED_VALUE"""),"Iowa")</f>
        <v>Iowa</v>
      </c>
      <c r="B144" s="1">
        <f ca="1">IFERROR(__xludf.DUMMYFUNCTION("""COMPUTED_VALUE"""),32)</f>
        <v>32</v>
      </c>
      <c r="C144" s="1">
        <f ca="1">IFERROR(__xludf.DUMMYFUNCTION("""COMPUTED_VALUE"""),10)</f>
        <v>10</v>
      </c>
      <c r="D144" s="1">
        <f ca="1">IFERROR(__xludf.DUMMYFUNCTION("""COMPUTED_VALUE"""),22)</f>
        <v>22</v>
      </c>
      <c r="E144" s="1">
        <f ca="1">IFERROR(__xludf.DUMMYFUNCTION("""COMPUTED_VALUE"""),0.313)</f>
        <v>0.313</v>
      </c>
      <c r="F144" s="1">
        <f ca="1">IFERROR(__xludf.DUMMYFUNCTION("""COMPUTED_VALUE"""),2.12)</f>
        <v>2.12</v>
      </c>
      <c r="G144" s="1">
        <f ca="1">IFERROR(__xludf.DUMMYFUNCTION("""COMPUTED_VALUE"""),8.09)</f>
        <v>8.09</v>
      </c>
      <c r="H144" s="1">
        <f ca="1">IFERROR(__xludf.DUMMYFUNCTION("""COMPUTED_VALUE"""),4)</f>
        <v>4</v>
      </c>
      <c r="I144" s="1">
        <f ca="1">IFERROR(__xludf.DUMMYFUNCTION("""COMPUTED_VALUE"""),14)</f>
        <v>14</v>
      </c>
      <c r="J144" s="1">
        <f ca="1">IFERROR(__xludf.DUMMYFUNCTION("""COMPUTED_VALUE"""),9)</f>
        <v>9</v>
      </c>
      <c r="K144" s="1">
        <f ca="1">IFERROR(__xludf.DUMMYFUNCTION("""COMPUTED_VALUE"""),9)</f>
        <v>9</v>
      </c>
      <c r="L144" s="1">
        <f ca="1">IFERROR(__xludf.DUMMYFUNCTION("""COMPUTED_VALUE"""),1)</f>
        <v>1</v>
      </c>
      <c r="M144" s="1">
        <f ca="1">IFERROR(__xludf.DUMMYFUNCTION("""COMPUTED_VALUE"""),10)</f>
        <v>10</v>
      </c>
      <c r="N144" s="1">
        <f ca="1">IFERROR(__xludf.DUMMYFUNCTION("""COMPUTED_VALUE"""),1937)</f>
        <v>1937</v>
      </c>
      <c r="O144" s="1">
        <f ca="1">IFERROR(__xludf.DUMMYFUNCTION("""COMPUTED_VALUE"""),2112)</f>
        <v>2112</v>
      </c>
      <c r="P144" s="1">
        <f ca="1">IFERROR(__xludf.DUMMYFUNCTION("""COMPUTED_VALUE"""),1285)</f>
        <v>1285</v>
      </c>
      <c r="Q144" s="1">
        <f ca="1">IFERROR(__xludf.DUMMYFUNCTION("""COMPUTED_VALUE"""),675)</f>
        <v>675</v>
      </c>
      <c r="R144" s="1">
        <f ca="1">IFERROR(__xludf.DUMMYFUNCTION("""COMPUTED_VALUE"""),1629)</f>
        <v>1629</v>
      </c>
      <c r="S144" s="1">
        <f ca="1">IFERROR(__xludf.DUMMYFUNCTION("""COMPUTED_VALUE"""),0.414)</f>
        <v>0.41399999999999998</v>
      </c>
      <c r="T144" s="1">
        <f ca="1">IFERROR(__xludf.DUMMYFUNCTION("""COMPUTED_VALUE"""),239)</f>
        <v>239</v>
      </c>
      <c r="U144" s="1">
        <f ca="1">IFERROR(__xludf.DUMMYFUNCTION("""COMPUTED_VALUE"""),753)</f>
        <v>753</v>
      </c>
      <c r="V144" s="1">
        <f ca="1">IFERROR(__xludf.DUMMYFUNCTION("""COMPUTED_VALUE"""),0.317)</f>
        <v>0.317</v>
      </c>
      <c r="W144" s="1">
        <f ca="1">IFERROR(__xludf.DUMMYFUNCTION("""COMPUTED_VALUE"""),348)</f>
        <v>348</v>
      </c>
      <c r="X144" s="1">
        <f ca="1">IFERROR(__xludf.DUMMYFUNCTION("""COMPUTED_VALUE"""),503)</f>
        <v>503</v>
      </c>
      <c r="Y144" s="1">
        <f ca="1">IFERROR(__xludf.DUMMYFUNCTION("""COMPUTED_VALUE"""),0.692)</f>
        <v>0.69199999999999995</v>
      </c>
      <c r="Z144" s="1">
        <f ca="1">IFERROR(__xludf.DUMMYFUNCTION("""COMPUTED_VALUE"""),317)</f>
        <v>317</v>
      </c>
      <c r="AA144" s="1">
        <f ca="1">IFERROR(__xludf.DUMMYFUNCTION("""COMPUTED_VALUE"""),1023)</f>
        <v>1023</v>
      </c>
      <c r="AB144" s="1">
        <f ca="1">IFERROR(__xludf.DUMMYFUNCTION("""COMPUTED_VALUE"""),394)</f>
        <v>394</v>
      </c>
      <c r="AC144" s="1">
        <f ca="1">IFERROR(__xludf.DUMMYFUNCTION("""COMPUTED_VALUE"""),134)</f>
        <v>134</v>
      </c>
      <c r="AD144" s="1">
        <f ca="1">IFERROR(__xludf.DUMMYFUNCTION("""COMPUTED_VALUE"""),64)</f>
        <v>64</v>
      </c>
      <c r="AE144" s="1">
        <f ca="1">IFERROR(__xludf.DUMMYFUNCTION("""COMPUTED_VALUE"""),440)</f>
        <v>440</v>
      </c>
      <c r="AF144" s="1">
        <f ca="1">IFERROR(__xludf.DUMMYFUNCTION("""COMPUTED_VALUE"""),507)</f>
        <v>507</v>
      </c>
    </row>
    <row r="145" spans="1:32" ht="12.5" x14ac:dyDescent="0.25">
      <c r="A145" s="1" t="str">
        <f ca="1">IFERROR(__xludf.DUMMYFUNCTION("""COMPUTED_VALUE"""),"Purdue-Fort Wayne")</f>
        <v>Purdue-Fort Wayne</v>
      </c>
      <c r="B145" s="1">
        <f ca="1">IFERROR(__xludf.DUMMYFUNCTION("""COMPUTED_VALUE"""),31)</f>
        <v>31</v>
      </c>
      <c r="C145" s="1">
        <f ca="1">IFERROR(__xludf.DUMMYFUNCTION("""COMPUTED_VALUE"""),16)</f>
        <v>16</v>
      </c>
      <c r="D145" s="1">
        <f ca="1">IFERROR(__xludf.DUMMYFUNCTION("""COMPUTED_VALUE"""),15)</f>
        <v>15</v>
      </c>
      <c r="E145" s="1">
        <f ca="1">IFERROR(__xludf.DUMMYFUNCTION("""COMPUTED_VALUE"""),0.516)</f>
        <v>0.51600000000000001</v>
      </c>
      <c r="F145" s="1">
        <f ca="1">IFERROR(__xludf.DUMMYFUNCTION("""COMPUTED_VALUE"""),-9.42)</f>
        <v>-9.42</v>
      </c>
      <c r="G145" s="1">
        <f ca="1">IFERROR(__xludf.DUMMYFUNCTION("""COMPUTED_VALUE"""),-4.73)</f>
        <v>-4.7300000000000004</v>
      </c>
      <c r="H145" s="1">
        <f ca="1">IFERROR(__xludf.DUMMYFUNCTION("""COMPUTED_VALUE"""),9)</f>
        <v>9</v>
      </c>
      <c r="I145" s="1">
        <f ca="1">IFERROR(__xludf.DUMMYFUNCTION("""COMPUTED_VALUE"""),9)</f>
        <v>9</v>
      </c>
      <c r="J145" s="1">
        <f ca="1">IFERROR(__xludf.DUMMYFUNCTION("""COMPUTED_VALUE"""),10)</f>
        <v>10</v>
      </c>
      <c r="K145" s="1">
        <f ca="1">IFERROR(__xludf.DUMMYFUNCTION("""COMPUTED_VALUE"""),4)</f>
        <v>4</v>
      </c>
      <c r="L145" s="1">
        <f ca="1">IFERROR(__xludf.DUMMYFUNCTION("""COMPUTED_VALUE"""),5)</f>
        <v>5</v>
      </c>
      <c r="M145" s="1">
        <f ca="1">IFERROR(__xludf.DUMMYFUNCTION("""COMPUTED_VALUE"""),10)</f>
        <v>10</v>
      </c>
      <c r="N145" s="1">
        <f ca="1">IFERROR(__xludf.DUMMYFUNCTION("""COMPUTED_VALUE"""),2129)</f>
        <v>2129</v>
      </c>
      <c r="O145" s="1">
        <f ca="1">IFERROR(__xludf.DUMMYFUNCTION("""COMPUTED_VALUE"""),2112)</f>
        <v>2112</v>
      </c>
      <c r="P145" s="1">
        <f ca="1">IFERROR(__xludf.DUMMYFUNCTION("""COMPUTED_VALUE"""),1255)</f>
        <v>1255</v>
      </c>
      <c r="Q145" s="1">
        <f ca="1">IFERROR(__xludf.DUMMYFUNCTION("""COMPUTED_VALUE"""),747)</f>
        <v>747</v>
      </c>
      <c r="R145" s="1">
        <f ca="1">IFERROR(__xludf.DUMMYFUNCTION("""COMPUTED_VALUE"""),1790)</f>
        <v>1790</v>
      </c>
      <c r="S145" s="1">
        <f ca="1">IFERROR(__xludf.DUMMYFUNCTION("""COMPUTED_VALUE"""),0.417)</f>
        <v>0.41699999999999998</v>
      </c>
      <c r="T145" s="1">
        <f ca="1">IFERROR(__xludf.DUMMYFUNCTION("""COMPUTED_VALUE"""),221)</f>
        <v>221</v>
      </c>
      <c r="U145" s="1">
        <f ca="1">IFERROR(__xludf.DUMMYFUNCTION("""COMPUTED_VALUE"""),583)</f>
        <v>583</v>
      </c>
      <c r="V145" s="1">
        <f ca="1">IFERROR(__xludf.DUMMYFUNCTION("""COMPUTED_VALUE"""),0.379)</f>
        <v>0.379</v>
      </c>
      <c r="W145" s="1">
        <f ca="1">IFERROR(__xludf.DUMMYFUNCTION("""COMPUTED_VALUE"""),414)</f>
        <v>414</v>
      </c>
      <c r="X145" s="1">
        <f ca="1">IFERROR(__xludf.DUMMYFUNCTION("""COMPUTED_VALUE"""),595)</f>
        <v>595</v>
      </c>
      <c r="Y145" s="1">
        <f ca="1">IFERROR(__xludf.DUMMYFUNCTION("""COMPUTED_VALUE"""),0.696)</f>
        <v>0.69599999999999995</v>
      </c>
      <c r="Z145" s="1">
        <f ca="1">IFERROR(__xludf.DUMMYFUNCTION("""COMPUTED_VALUE"""),335)</f>
        <v>335</v>
      </c>
      <c r="AA145" s="1">
        <f ca="1">IFERROR(__xludf.DUMMYFUNCTION("""COMPUTED_VALUE"""),1103)</f>
        <v>1103</v>
      </c>
      <c r="AB145" s="1">
        <f ca="1">IFERROR(__xludf.DUMMYFUNCTION("""COMPUTED_VALUE"""),376)</f>
        <v>376</v>
      </c>
      <c r="AC145" s="1">
        <f ca="1">IFERROR(__xludf.DUMMYFUNCTION("""COMPUTED_VALUE"""),183)</f>
        <v>183</v>
      </c>
      <c r="AD145" s="1">
        <f ca="1">IFERROR(__xludf.DUMMYFUNCTION("""COMPUTED_VALUE"""),145)</f>
        <v>145</v>
      </c>
      <c r="AE145" s="1">
        <f ca="1">IFERROR(__xludf.DUMMYFUNCTION("""COMPUTED_VALUE"""),398)</f>
        <v>398</v>
      </c>
      <c r="AF145" s="1">
        <f ca="1">IFERROR(__xludf.DUMMYFUNCTION("""COMPUTED_VALUE"""),592)</f>
        <v>592</v>
      </c>
    </row>
    <row r="146" spans="1:32" ht="12.5" x14ac:dyDescent="0.25">
      <c r="A146" s="1" t="str">
        <f ca="1">IFERROR(__xludf.DUMMYFUNCTION("""COMPUTED_VALUE"""),"IUPUI")</f>
        <v>IUPUI</v>
      </c>
      <c r="B146" s="1">
        <f ca="1">IFERROR(__xludf.DUMMYFUNCTION("""COMPUTED_VALUE"""),36)</f>
        <v>36</v>
      </c>
      <c r="C146" s="1">
        <f ca="1">IFERROR(__xludf.DUMMYFUNCTION("""COMPUTED_VALUE"""),25)</f>
        <v>25</v>
      </c>
      <c r="D146" s="1">
        <f ca="1">IFERROR(__xludf.DUMMYFUNCTION("""COMPUTED_VALUE"""),11)</f>
        <v>11</v>
      </c>
      <c r="E146" s="1">
        <f ca="1">IFERROR(__xludf.DUMMYFUNCTION("""COMPUTED_VALUE"""),0.694)</f>
        <v>0.69399999999999995</v>
      </c>
      <c r="F146" s="1">
        <f ca="1">IFERROR(__xludf.DUMMYFUNCTION("""COMPUTED_VALUE"""),1.63)</f>
        <v>1.63</v>
      </c>
      <c r="G146" s="1">
        <f ca="1">IFERROR(__xludf.DUMMYFUNCTION("""COMPUTED_VALUE"""),-4.08)</f>
        <v>-4.08</v>
      </c>
      <c r="H146" s="1">
        <f ca="1">IFERROR(__xludf.DUMMYFUNCTION("""COMPUTED_VALUE"""),15)</f>
        <v>15</v>
      </c>
      <c r="I146" s="1">
        <f ca="1">IFERROR(__xludf.DUMMYFUNCTION("""COMPUTED_VALUE"""),3)</f>
        <v>3</v>
      </c>
      <c r="J146" s="1">
        <f ca="1">IFERROR(__xludf.DUMMYFUNCTION("""COMPUTED_VALUE"""),11)</f>
        <v>11</v>
      </c>
      <c r="K146" s="1">
        <f ca="1">IFERROR(__xludf.DUMMYFUNCTION("""COMPUTED_VALUE"""),3)</f>
        <v>3</v>
      </c>
      <c r="L146" s="1">
        <f ca="1">IFERROR(__xludf.DUMMYFUNCTION("""COMPUTED_VALUE"""),10)</f>
        <v>10</v>
      </c>
      <c r="M146" s="1">
        <f ca="1">IFERROR(__xludf.DUMMYFUNCTION("""COMPUTED_VALUE"""),5)</f>
        <v>5</v>
      </c>
      <c r="N146" s="1">
        <f ca="1">IFERROR(__xludf.DUMMYFUNCTION("""COMPUTED_VALUE"""),2681)</f>
        <v>2681</v>
      </c>
      <c r="O146" s="1">
        <f ca="1">IFERROR(__xludf.DUMMYFUNCTION("""COMPUTED_VALUE"""),2420)</f>
        <v>2420</v>
      </c>
      <c r="P146" s="1">
        <f ca="1">IFERROR(__xludf.DUMMYFUNCTION("""COMPUTED_VALUE"""),1465)</f>
        <v>1465</v>
      </c>
      <c r="Q146" s="1">
        <f ca="1">IFERROR(__xludf.DUMMYFUNCTION("""COMPUTED_VALUE"""),953)</f>
        <v>953</v>
      </c>
      <c r="R146" s="1">
        <f ca="1">IFERROR(__xludf.DUMMYFUNCTION("""COMPUTED_VALUE"""),1891)</f>
        <v>1891</v>
      </c>
      <c r="S146" s="1">
        <f ca="1">IFERROR(__xludf.DUMMYFUNCTION("""COMPUTED_VALUE"""),0.504)</f>
        <v>0.504</v>
      </c>
      <c r="T146" s="1">
        <f ca="1">IFERROR(__xludf.DUMMYFUNCTION("""COMPUTED_VALUE"""),204)</f>
        <v>204</v>
      </c>
      <c r="U146" s="1">
        <f ca="1">IFERROR(__xludf.DUMMYFUNCTION("""COMPUTED_VALUE"""),525)</f>
        <v>525</v>
      </c>
      <c r="V146" s="1">
        <f ca="1">IFERROR(__xludf.DUMMYFUNCTION("""COMPUTED_VALUE"""),0.389)</f>
        <v>0.38900000000000001</v>
      </c>
      <c r="W146" s="1">
        <f ca="1">IFERROR(__xludf.DUMMYFUNCTION("""COMPUTED_VALUE"""),571)</f>
        <v>571</v>
      </c>
      <c r="X146" s="1">
        <f ca="1">IFERROR(__xludf.DUMMYFUNCTION("""COMPUTED_VALUE"""),799)</f>
        <v>799</v>
      </c>
      <c r="Y146" s="1">
        <f ca="1">IFERROR(__xludf.DUMMYFUNCTION("""COMPUTED_VALUE"""),0.715)</f>
        <v>0.71499999999999997</v>
      </c>
      <c r="Z146" s="1">
        <f ca="1">IFERROR(__xludf.DUMMYFUNCTION("""COMPUTED_VALUE"""),359)</f>
        <v>359</v>
      </c>
      <c r="AA146" s="1">
        <f ca="1">IFERROR(__xludf.DUMMYFUNCTION("""COMPUTED_VALUE"""),1199)</f>
        <v>1199</v>
      </c>
      <c r="AB146" s="1">
        <f ca="1">IFERROR(__xludf.DUMMYFUNCTION("""COMPUTED_VALUE"""),538)</f>
        <v>538</v>
      </c>
      <c r="AC146" s="1">
        <f ca="1">IFERROR(__xludf.DUMMYFUNCTION("""COMPUTED_VALUE"""),317)</f>
        <v>317</v>
      </c>
      <c r="AD146" s="1">
        <f ca="1">IFERROR(__xludf.DUMMYFUNCTION("""COMPUTED_VALUE"""),167)</f>
        <v>167</v>
      </c>
      <c r="AE146" s="1">
        <f ca="1">IFERROR(__xludf.DUMMYFUNCTION("""COMPUTED_VALUE"""),513)</f>
        <v>513</v>
      </c>
      <c r="AF146" s="1">
        <f ca="1">IFERROR(__xludf.DUMMYFUNCTION("""COMPUTED_VALUE"""),573)</f>
        <v>573</v>
      </c>
    </row>
    <row r="147" spans="1:32" ht="12.5" x14ac:dyDescent="0.25">
      <c r="A147" s="1" t="str">
        <f ca="1">IFERROR(__xludf.DUMMYFUNCTION("""COMPUTED_VALUE"""),"Jackson State")</f>
        <v>Jackson State</v>
      </c>
      <c r="B147" s="1">
        <f ca="1">IFERROR(__xludf.DUMMYFUNCTION("""COMPUTED_VALUE"""),32)</f>
        <v>32</v>
      </c>
      <c r="C147" s="1">
        <f ca="1">IFERROR(__xludf.DUMMYFUNCTION("""COMPUTED_VALUE"""),19)</f>
        <v>19</v>
      </c>
      <c r="D147" s="1">
        <f ca="1">IFERROR(__xludf.DUMMYFUNCTION("""COMPUTED_VALUE"""),13)</f>
        <v>13</v>
      </c>
      <c r="E147" s="1">
        <f ca="1">IFERROR(__xludf.DUMMYFUNCTION("""COMPUTED_VALUE"""),0.594)</f>
        <v>0.59399999999999997</v>
      </c>
      <c r="F147" s="1">
        <f ca="1">IFERROR(__xludf.DUMMYFUNCTION("""COMPUTED_VALUE"""),-13.21)</f>
        <v>-13.21</v>
      </c>
      <c r="G147" s="1">
        <f ca="1">IFERROR(__xludf.DUMMYFUNCTION("""COMPUTED_VALUE"""),-10.66)</f>
        <v>-10.66</v>
      </c>
      <c r="H147" s="1">
        <f ca="1">IFERROR(__xludf.DUMMYFUNCTION("""COMPUTED_VALUE"""),17)</f>
        <v>17</v>
      </c>
      <c r="I147" s="1">
        <f ca="1">IFERROR(__xludf.DUMMYFUNCTION("""COMPUTED_VALUE"""),1)</f>
        <v>1</v>
      </c>
      <c r="J147" s="1">
        <f ca="1">IFERROR(__xludf.DUMMYFUNCTION("""COMPUTED_VALUE"""),9)</f>
        <v>9</v>
      </c>
      <c r="K147" s="1">
        <f ca="1">IFERROR(__xludf.DUMMYFUNCTION("""COMPUTED_VALUE"""),3)</f>
        <v>3</v>
      </c>
      <c r="L147" s="1">
        <f ca="1">IFERROR(__xludf.DUMMYFUNCTION("""COMPUTED_VALUE"""),9)</f>
        <v>9</v>
      </c>
      <c r="M147" s="1">
        <f ca="1">IFERROR(__xludf.DUMMYFUNCTION("""COMPUTED_VALUE"""),8)</f>
        <v>8</v>
      </c>
      <c r="N147" s="1">
        <f ca="1">IFERROR(__xludf.DUMMYFUNCTION("""COMPUTED_VALUE"""),2028)</f>
        <v>2028</v>
      </c>
      <c r="O147" s="1">
        <f ca="1">IFERROR(__xludf.DUMMYFUNCTION("""COMPUTED_VALUE"""),2089)</f>
        <v>2089</v>
      </c>
      <c r="P147" s="1">
        <f ca="1">IFERROR(__xludf.DUMMYFUNCTION("""COMPUTED_VALUE"""),1290)</f>
        <v>1290</v>
      </c>
      <c r="Q147" s="1">
        <f ca="1">IFERROR(__xludf.DUMMYFUNCTION("""COMPUTED_VALUE"""),682)</f>
        <v>682</v>
      </c>
      <c r="R147" s="1">
        <f ca="1">IFERROR(__xludf.DUMMYFUNCTION("""COMPUTED_VALUE"""),1725)</f>
        <v>1725</v>
      </c>
      <c r="S147" s="1">
        <f ca="1">IFERROR(__xludf.DUMMYFUNCTION("""COMPUTED_VALUE"""),0.395)</f>
        <v>0.39500000000000002</v>
      </c>
      <c r="T147" s="1">
        <f ca="1">IFERROR(__xludf.DUMMYFUNCTION("""COMPUTED_VALUE"""),177)</f>
        <v>177</v>
      </c>
      <c r="U147" s="1">
        <f ca="1">IFERROR(__xludf.DUMMYFUNCTION("""COMPUTED_VALUE"""),540)</f>
        <v>540</v>
      </c>
      <c r="V147" s="1">
        <f ca="1">IFERROR(__xludf.DUMMYFUNCTION("""COMPUTED_VALUE"""),0.328)</f>
        <v>0.32800000000000001</v>
      </c>
      <c r="W147" s="1">
        <f ca="1">IFERROR(__xludf.DUMMYFUNCTION("""COMPUTED_VALUE"""),487)</f>
        <v>487</v>
      </c>
      <c r="X147" s="1">
        <f ca="1">IFERROR(__xludf.DUMMYFUNCTION("""COMPUTED_VALUE"""),755)</f>
        <v>755</v>
      </c>
      <c r="Y147" s="1">
        <f ca="1">IFERROR(__xludf.DUMMYFUNCTION("""COMPUTED_VALUE"""),0.645)</f>
        <v>0.64500000000000002</v>
      </c>
      <c r="Z147" s="1">
        <f ca="1">IFERROR(__xludf.DUMMYFUNCTION("""COMPUTED_VALUE"""),413)</f>
        <v>413</v>
      </c>
      <c r="AA147" s="1">
        <f ca="1">IFERROR(__xludf.DUMMYFUNCTION("""COMPUTED_VALUE"""),1214)</f>
        <v>1214</v>
      </c>
      <c r="AB147" s="1">
        <f ca="1">IFERROR(__xludf.DUMMYFUNCTION("""COMPUTED_VALUE"""),359)</f>
        <v>359</v>
      </c>
      <c r="AC147" s="1">
        <f ca="1">IFERROR(__xludf.DUMMYFUNCTION("""COMPUTED_VALUE"""),190)</f>
        <v>190</v>
      </c>
      <c r="AD147" s="1">
        <f ca="1">IFERROR(__xludf.DUMMYFUNCTION("""COMPUTED_VALUE"""),119)</f>
        <v>119</v>
      </c>
      <c r="AE147" s="1">
        <f ca="1">IFERROR(__xludf.DUMMYFUNCTION("""COMPUTED_VALUE"""),469)</f>
        <v>469</v>
      </c>
      <c r="AF147" s="1">
        <f ca="1">IFERROR(__xludf.DUMMYFUNCTION("""COMPUTED_VALUE"""),659)</f>
        <v>659</v>
      </c>
    </row>
    <row r="148" spans="1:32" ht="12.5" x14ac:dyDescent="0.25">
      <c r="A148" s="1" t="str">
        <f ca="1">IFERROR(__xludf.DUMMYFUNCTION("""COMPUTED_VALUE"""),"Jacksonville State")</f>
        <v>Jacksonville State</v>
      </c>
      <c r="B148" s="1">
        <f ca="1">IFERROR(__xludf.DUMMYFUNCTION("""COMPUTED_VALUE"""),30)</f>
        <v>30</v>
      </c>
      <c r="C148" s="1">
        <f ca="1">IFERROR(__xludf.DUMMYFUNCTION("""COMPUTED_VALUE"""),11)</f>
        <v>11</v>
      </c>
      <c r="D148" s="1">
        <f ca="1">IFERROR(__xludf.DUMMYFUNCTION("""COMPUTED_VALUE"""),19)</f>
        <v>19</v>
      </c>
      <c r="E148" s="1">
        <f ca="1">IFERROR(__xludf.DUMMYFUNCTION("""COMPUTED_VALUE"""),0.367)</f>
        <v>0.36699999999999999</v>
      </c>
      <c r="F148" s="1">
        <f ca="1">IFERROR(__xludf.DUMMYFUNCTION("""COMPUTED_VALUE"""),-8.18)</f>
        <v>-8.18</v>
      </c>
      <c r="G148" s="1">
        <f ca="1">IFERROR(__xludf.DUMMYFUNCTION("""COMPUTED_VALUE"""),-4.22)</f>
        <v>-4.22</v>
      </c>
      <c r="H148" s="1">
        <f ca="1">IFERROR(__xludf.DUMMYFUNCTION("""COMPUTED_VALUE"""),7)</f>
        <v>7</v>
      </c>
      <c r="I148" s="1">
        <f ca="1">IFERROR(__xludf.DUMMYFUNCTION("""COMPUTED_VALUE"""),11)</f>
        <v>11</v>
      </c>
      <c r="J148" s="1">
        <f ca="1">IFERROR(__xludf.DUMMYFUNCTION("""COMPUTED_VALUE"""),10)</f>
        <v>10</v>
      </c>
      <c r="K148" s="1">
        <f ca="1">IFERROR(__xludf.DUMMYFUNCTION("""COMPUTED_VALUE"""),7)</f>
        <v>7</v>
      </c>
      <c r="L148" s="1">
        <f ca="1">IFERROR(__xludf.DUMMYFUNCTION("""COMPUTED_VALUE"""),1)</f>
        <v>1</v>
      </c>
      <c r="M148" s="1">
        <f ca="1">IFERROR(__xludf.DUMMYFUNCTION("""COMPUTED_VALUE"""),12)</f>
        <v>12</v>
      </c>
      <c r="N148" s="1">
        <f ca="1">IFERROR(__xludf.DUMMYFUNCTION("""COMPUTED_VALUE"""),2088)</f>
        <v>2088</v>
      </c>
      <c r="O148" s="1">
        <f ca="1">IFERROR(__xludf.DUMMYFUNCTION("""COMPUTED_VALUE"""),2144)</f>
        <v>2144</v>
      </c>
      <c r="P148" s="1">
        <f ca="1">IFERROR(__xludf.DUMMYFUNCTION("""COMPUTED_VALUE"""),1205)</f>
        <v>1205</v>
      </c>
      <c r="Q148" s="1">
        <f ca="1">IFERROR(__xludf.DUMMYFUNCTION("""COMPUTED_VALUE"""),727)</f>
        <v>727</v>
      </c>
      <c r="R148" s="1">
        <f ca="1">IFERROR(__xludf.DUMMYFUNCTION("""COMPUTED_VALUE"""),1670)</f>
        <v>1670</v>
      </c>
      <c r="S148" s="1">
        <f ca="1">IFERROR(__xludf.DUMMYFUNCTION("""COMPUTED_VALUE"""),0.435)</f>
        <v>0.435</v>
      </c>
      <c r="T148" s="1">
        <f ca="1">IFERROR(__xludf.DUMMYFUNCTION("""COMPUTED_VALUE"""),181)</f>
        <v>181</v>
      </c>
      <c r="U148" s="1">
        <f ca="1">IFERROR(__xludf.DUMMYFUNCTION("""COMPUTED_VALUE"""),497)</f>
        <v>497</v>
      </c>
      <c r="V148" s="1">
        <f ca="1">IFERROR(__xludf.DUMMYFUNCTION("""COMPUTED_VALUE"""),0.364)</f>
        <v>0.36399999999999999</v>
      </c>
      <c r="W148" s="1">
        <f ca="1">IFERROR(__xludf.DUMMYFUNCTION("""COMPUTED_VALUE"""),453)</f>
        <v>453</v>
      </c>
      <c r="X148" s="1">
        <f ca="1">IFERROR(__xludf.DUMMYFUNCTION("""COMPUTED_VALUE"""),619)</f>
        <v>619</v>
      </c>
      <c r="Y148" s="1">
        <f ca="1">IFERROR(__xludf.DUMMYFUNCTION("""COMPUTED_VALUE"""),0.732)</f>
        <v>0.73199999999999998</v>
      </c>
      <c r="Z148" s="1">
        <f ca="1">IFERROR(__xludf.DUMMYFUNCTION("""COMPUTED_VALUE"""),328)</f>
        <v>328</v>
      </c>
      <c r="AA148" s="1">
        <f ca="1">IFERROR(__xludf.DUMMYFUNCTION("""COMPUTED_VALUE"""),1026)</f>
        <v>1026</v>
      </c>
      <c r="AB148" s="1">
        <f ca="1">IFERROR(__xludf.DUMMYFUNCTION("""COMPUTED_VALUE"""),455)</f>
        <v>455</v>
      </c>
      <c r="AC148" s="1">
        <f ca="1">IFERROR(__xludf.DUMMYFUNCTION("""COMPUTED_VALUE"""),202)</f>
        <v>202</v>
      </c>
      <c r="AD148" s="1">
        <f ca="1">IFERROR(__xludf.DUMMYFUNCTION("""COMPUTED_VALUE"""),142)</f>
        <v>142</v>
      </c>
      <c r="AE148" s="1">
        <f ca="1">IFERROR(__xludf.DUMMYFUNCTION("""COMPUTED_VALUE"""),415)</f>
        <v>415</v>
      </c>
      <c r="AF148" s="1">
        <f ca="1">IFERROR(__xludf.DUMMYFUNCTION("""COMPUTED_VALUE"""),560)</f>
        <v>560</v>
      </c>
    </row>
    <row r="149" spans="1:32" ht="12.5" x14ac:dyDescent="0.25">
      <c r="A149" s="1" t="str">
        <f ca="1">IFERROR(__xludf.DUMMYFUNCTION("""COMPUTED_VALUE"""),"Jacksonville")</f>
        <v>Jacksonville</v>
      </c>
      <c r="B149" s="1">
        <f ca="1">IFERROR(__xludf.DUMMYFUNCTION("""COMPUTED_VALUE"""),33)</f>
        <v>33</v>
      </c>
      <c r="C149" s="1">
        <f ca="1">IFERROR(__xludf.DUMMYFUNCTION("""COMPUTED_VALUE"""),20)</f>
        <v>20</v>
      </c>
      <c r="D149" s="1">
        <f ca="1">IFERROR(__xludf.DUMMYFUNCTION("""COMPUTED_VALUE"""),13)</f>
        <v>13</v>
      </c>
      <c r="E149" s="1">
        <f ca="1">IFERROR(__xludf.DUMMYFUNCTION("""COMPUTED_VALUE"""),0.606)</f>
        <v>0.60599999999999998</v>
      </c>
      <c r="F149" s="1">
        <f ca="1">IFERROR(__xludf.DUMMYFUNCTION("""COMPUTED_VALUE"""),-1.71)</f>
        <v>-1.71</v>
      </c>
      <c r="G149" s="1">
        <f ca="1">IFERROR(__xludf.DUMMYFUNCTION("""COMPUTED_VALUE"""),-2.3)</f>
        <v>-2.2999999999999998</v>
      </c>
      <c r="H149" s="1">
        <f ca="1">IFERROR(__xludf.DUMMYFUNCTION("""COMPUTED_VALUE"""),14)</f>
        <v>14</v>
      </c>
      <c r="I149" s="1">
        <f ca="1">IFERROR(__xludf.DUMMYFUNCTION("""COMPUTED_VALUE"""),6)</f>
        <v>6</v>
      </c>
      <c r="J149" s="1">
        <f ca="1">IFERROR(__xludf.DUMMYFUNCTION("""COMPUTED_VALUE"""),8)</f>
        <v>8</v>
      </c>
      <c r="K149" s="1">
        <f ca="1">IFERROR(__xludf.DUMMYFUNCTION("""COMPUTED_VALUE"""),3)</f>
        <v>3</v>
      </c>
      <c r="L149" s="1">
        <f ca="1">IFERROR(__xludf.DUMMYFUNCTION("""COMPUTED_VALUE"""),10)</f>
        <v>10</v>
      </c>
      <c r="M149" s="1">
        <f ca="1">IFERROR(__xludf.DUMMYFUNCTION("""COMPUTED_VALUE"""),10)</f>
        <v>10</v>
      </c>
      <c r="N149" s="1">
        <f ca="1">IFERROR(__xludf.DUMMYFUNCTION("""COMPUTED_VALUE"""),2304)</f>
        <v>2304</v>
      </c>
      <c r="O149" s="1">
        <f ca="1">IFERROR(__xludf.DUMMYFUNCTION("""COMPUTED_VALUE"""),2228)</f>
        <v>2228</v>
      </c>
      <c r="P149" s="1">
        <f ca="1">IFERROR(__xludf.DUMMYFUNCTION("""COMPUTED_VALUE"""),1320)</f>
        <v>1320</v>
      </c>
      <c r="Q149" s="1">
        <f ca="1">IFERROR(__xludf.DUMMYFUNCTION("""COMPUTED_VALUE"""),803)</f>
        <v>803</v>
      </c>
      <c r="R149" s="1">
        <f ca="1">IFERROR(__xludf.DUMMYFUNCTION("""COMPUTED_VALUE"""),1915)</f>
        <v>1915</v>
      </c>
      <c r="S149" s="1">
        <f ca="1">IFERROR(__xludf.DUMMYFUNCTION("""COMPUTED_VALUE"""),0.419)</f>
        <v>0.41899999999999998</v>
      </c>
      <c r="T149" s="1">
        <f ca="1">IFERROR(__xludf.DUMMYFUNCTION("""COMPUTED_VALUE"""),176)</f>
        <v>176</v>
      </c>
      <c r="U149" s="1">
        <f ca="1">IFERROR(__xludf.DUMMYFUNCTION("""COMPUTED_VALUE"""),529)</f>
        <v>529</v>
      </c>
      <c r="V149" s="1">
        <f ca="1">IFERROR(__xludf.DUMMYFUNCTION("""COMPUTED_VALUE"""),0.333)</f>
        <v>0.33300000000000002</v>
      </c>
      <c r="W149" s="1">
        <f ca="1">IFERROR(__xludf.DUMMYFUNCTION("""COMPUTED_VALUE"""),522)</f>
        <v>522</v>
      </c>
      <c r="X149" s="1">
        <f ca="1">IFERROR(__xludf.DUMMYFUNCTION("""COMPUTED_VALUE"""),739)</f>
        <v>739</v>
      </c>
      <c r="Y149" s="1">
        <f ca="1">IFERROR(__xludf.DUMMYFUNCTION("""COMPUTED_VALUE"""),0.706)</f>
        <v>0.70599999999999996</v>
      </c>
      <c r="Z149" s="1">
        <f ca="1">IFERROR(__xludf.DUMMYFUNCTION("""COMPUTED_VALUE"""),480)</f>
        <v>480</v>
      </c>
      <c r="AA149" s="1">
        <f ca="1">IFERROR(__xludf.DUMMYFUNCTION("""COMPUTED_VALUE"""),1230)</f>
        <v>1230</v>
      </c>
      <c r="AB149" s="1">
        <f ca="1">IFERROR(__xludf.DUMMYFUNCTION("""COMPUTED_VALUE"""),393)</f>
        <v>393</v>
      </c>
      <c r="AC149" s="1">
        <f ca="1">IFERROR(__xludf.DUMMYFUNCTION("""COMPUTED_VALUE"""),279)</f>
        <v>279</v>
      </c>
      <c r="AD149" s="1">
        <f ca="1">IFERROR(__xludf.DUMMYFUNCTION("""COMPUTED_VALUE"""),137)</f>
        <v>137</v>
      </c>
      <c r="AE149" s="1">
        <f ca="1">IFERROR(__xludf.DUMMYFUNCTION("""COMPUTED_VALUE"""),481)</f>
        <v>481</v>
      </c>
      <c r="AF149" s="1">
        <f ca="1">IFERROR(__xludf.DUMMYFUNCTION("""COMPUTED_VALUE"""),654)</f>
        <v>654</v>
      </c>
    </row>
    <row r="150" spans="1:32" ht="12.5" x14ac:dyDescent="0.25">
      <c r="A150" s="1" t="str">
        <f ca="1">IFERROR(__xludf.DUMMYFUNCTION("""COMPUTED_VALUE"""),"James Madison")</f>
        <v>James Madison</v>
      </c>
      <c r="B150" s="1">
        <f ca="1">IFERROR(__xludf.DUMMYFUNCTION("""COMPUTED_VALUE"""),33)</f>
        <v>33</v>
      </c>
      <c r="C150" s="1">
        <f ca="1">IFERROR(__xludf.DUMMYFUNCTION("""COMPUTED_VALUE"""),13)</f>
        <v>13</v>
      </c>
      <c r="D150" s="1">
        <f ca="1">IFERROR(__xludf.DUMMYFUNCTION("""COMPUTED_VALUE"""),20)</f>
        <v>20</v>
      </c>
      <c r="E150" s="1">
        <f ca="1">IFERROR(__xludf.DUMMYFUNCTION("""COMPUTED_VALUE"""),0.394)</f>
        <v>0.39400000000000002</v>
      </c>
      <c r="F150" s="1">
        <f ca="1">IFERROR(__xludf.DUMMYFUNCTION("""COMPUTED_VALUE"""),-4.96)</f>
        <v>-4.96</v>
      </c>
      <c r="G150" s="1">
        <f ca="1">IFERROR(__xludf.DUMMYFUNCTION("""COMPUTED_VALUE"""),-1.52)</f>
        <v>-1.52</v>
      </c>
      <c r="H150" s="1">
        <f ca="1">IFERROR(__xludf.DUMMYFUNCTION("""COMPUTED_VALUE"""),4)</f>
        <v>4</v>
      </c>
      <c r="I150" s="1">
        <f ca="1">IFERROR(__xludf.DUMMYFUNCTION("""COMPUTED_VALUE"""),14)</f>
        <v>14</v>
      </c>
      <c r="J150" s="1">
        <f ca="1">IFERROR(__xludf.DUMMYFUNCTION("""COMPUTED_VALUE"""),9)</f>
        <v>9</v>
      </c>
      <c r="K150" s="1">
        <f ca="1">IFERROR(__xludf.DUMMYFUNCTION("""COMPUTED_VALUE"""),5)</f>
        <v>5</v>
      </c>
      <c r="L150" s="1">
        <f ca="1">IFERROR(__xludf.DUMMYFUNCTION("""COMPUTED_VALUE"""),2)</f>
        <v>2</v>
      </c>
      <c r="M150" s="1">
        <f ca="1">IFERROR(__xludf.DUMMYFUNCTION("""COMPUTED_VALUE"""),13)</f>
        <v>13</v>
      </c>
      <c r="N150" s="1">
        <f ca="1">IFERROR(__xludf.DUMMYFUNCTION("""COMPUTED_VALUE"""),2210)</f>
        <v>2210</v>
      </c>
      <c r="O150" s="1">
        <f ca="1">IFERROR(__xludf.DUMMYFUNCTION("""COMPUTED_VALUE"""),2307)</f>
        <v>2307</v>
      </c>
      <c r="P150" s="1">
        <f ca="1">IFERROR(__xludf.DUMMYFUNCTION("""COMPUTED_VALUE"""),1320)</f>
        <v>1320</v>
      </c>
      <c r="Q150" s="1">
        <f ca="1">IFERROR(__xludf.DUMMYFUNCTION("""COMPUTED_VALUE"""),796)</f>
        <v>796</v>
      </c>
      <c r="R150" s="1">
        <f ca="1">IFERROR(__xludf.DUMMYFUNCTION("""COMPUTED_VALUE"""),1810)</f>
        <v>1810</v>
      </c>
      <c r="S150" s="1">
        <f ca="1">IFERROR(__xludf.DUMMYFUNCTION("""COMPUTED_VALUE"""),0.44)</f>
        <v>0.44</v>
      </c>
      <c r="T150" s="1">
        <f ca="1">IFERROR(__xludf.DUMMYFUNCTION("""COMPUTED_VALUE"""),189)</f>
        <v>189</v>
      </c>
      <c r="U150" s="1">
        <f ca="1">IFERROR(__xludf.DUMMYFUNCTION("""COMPUTED_VALUE"""),605)</f>
        <v>605</v>
      </c>
      <c r="V150" s="1">
        <f ca="1">IFERROR(__xludf.DUMMYFUNCTION("""COMPUTED_VALUE"""),0.312)</f>
        <v>0.312</v>
      </c>
      <c r="W150" s="1">
        <f ca="1">IFERROR(__xludf.DUMMYFUNCTION("""COMPUTED_VALUE"""),429)</f>
        <v>429</v>
      </c>
      <c r="X150" s="1">
        <f ca="1">IFERROR(__xludf.DUMMYFUNCTION("""COMPUTED_VALUE"""),628)</f>
        <v>628</v>
      </c>
      <c r="Y150" s="1">
        <f ca="1">IFERROR(__xludf.DUMMYFUNCTION("""COMPUTED_VALUE"""),0.683)</f>
        <v>0.68300000000000005</v>
      </c>
      <c r="Z150" s="1">
        <f ca="1">IFERROR(__xludf.DUMMYFUNCTION("""COMPUTED_VALUE"""),353)</f>
        <v>353</v>
      </c>
      <c r="AA150" s="1">
        <f ca="1">IFERROR(__xludf.DUMMYFUNCTION("""COMPUTED_VALUE"""),1149)</f>
        <v>1149</v>
      </c>
      <c r="AB150" s="1">
        <f ca="1">IFERROR(__xludf.DUMMYFUNCTION("""COMPUTED_VALUE"""),462)</f>
        <v>462</v>
      </c>
      <c r="AC150" s="1">
        <f ca="1">IFERROR(__xludf.DUMMYFUNCTION("""COMPUTED_VALUE"""),204)</f>
        <v>204</v>
      </c>
      <c r="AD150" s="1">
        <f ca="1">IFERROR(__xludf.DUMMYFUNCTION("""COMPUTED_VALUE"""),140)</f>
        <v>140</v>
      </c>
      <c r="AE150" s="1">
        <f ca="1">IFERROR(__xludf.DUMMYFUNCTION("""COMPUTED_VALUE"""),477)</f>
        <v>477</v>
      </c>
      <c r="AF150" s="1">
        <f ca="1">IFERROR(__xludf.DUMMYFUNCTION("""COMPUTED_VALUE"""),532)</f>
        <v>532</v>
      </c>
    </row>
    <row r="151" spans="1:32" ht="12.5" x14ac:dyDescent="0.25">
      <c r="A151" s="1" t="str">
        <f ca="1">IFERROR(__xludf.DUMMYFUNCTION("""COMPUTED_VALUE"""),"Kansas StateNCAA")</f>
        <v>Kansas StateNCAA</v>
      </c>
      <c r="B151" s="1">
        <f ca="1">IFERROR(__xludf.DUMMYFUNCTION("""COMPUTED_VALUE"""),37)</f>
        <v>37</v>
      </c>
      <c r="C151" s="1">
        <f ca="1">IFERROR(__xludf.DUMMYFUNCTION("""COMPUTED_VALUE"""),29)</f>
        <v>29</v>
      </c>
      <c r="D151" s="1">
        <f ca="1">IFERROR(__xludf.DUMMYFUNCTION("""COMPUTED_VALUE"""),8)</f>
        <v>8</v>
      </c>
      <c r="E151" s="1">
        <f ca="1">IFERROR(__xludf.DUMMYFUNCTION("""COMPUTED_VALUE"""),0.784)</f>
        <v>0.78400000000000003</v>
      </c>
      <c r="F151" s="1">
        <f ca="1">IFERROR(__xludf.DUMMYFUNCTION("""COMPUTED_VALUE"""),19.88)</f>
        <v>19.88</v>
      </c>
      <c r="G151" s="1">
        <f ca="1">IFERROR(__xludf.DUMMYFUNCTION("""COMPUTED_VALUE"""),10.28)</f>
        <v>10.28</v>
      </c>
      <c r="H151" s="1">
        <f ca="1">IFERROR(__xludf.DUMMYFUNCTION("""COMPUTED_VALUE"""),11)</f>
        <v>11</v>
      </c>
      <c r="I151" s="1">
        <f ca="1">IFERROR(__xludf.DUMMYFUNCTION("""COMPUTED_VALUE"""),5)</f>
        <v>5</v>
      </c>
      <c r="J151" s="1">
        <f ca="1">IFERROR(__xludf.DUMMYFUNCTION("""COMPUTED_VALUE"""),13)</f>
        <v>13</v>
      </c>
      <c r="K151" s="1">
        <f ca="1">IFERROR(__xludf.DUMMYFUNCTION("""COMPUTED_VALUE"""),3)</f>
        <v>3</v>
      </c>
      <c r="L151" s="1">
        <f ca="1">IFERROR(__xludf.DUMMYFUNCTION("""COMPUTED_VALUE"""),7)</f>
        <v>7</v>
      </c>
      <c r="M151" s="1">
        <f ca="1">IFERROR(__xludf.DUMMYFUNCTION("""COMPUTED_VALUE"""),2)</f>
        <v>2</v>
      </c>
      <c r="N151" s="1">
        <f ca="1">IFERROR(__xludf.DUMMYFUNCTION("""COMPUTED_VALUE"""),2949)</f>
        <v>2949</v>
      </c>
      <c r="O151" s="1">
        <f ca="1">IFERROR(__xludf.DUMMYFUNCTION("""COMPUTED_VALUE"""),2584)</f>
        <v>2584</v>
      </c>
      <c r="P151" s="1">
        <f ca="1">IFERROR(__xludf.DUMMYFUNCTION("""COMPUTED_VALUE"""),1500)</f>
        <v>1500</v>
      </c>
      <c r="Q151" s="1">
        <f ca="1">IFERROR(__xludf.DUMMYFUNCTION("""COMPUTED_VALUE"""),981)</f>
        <v>981</v>
      </c>
      <c r="R151" s="1">
        <f ca="1">IFERROR(__xludf.DUMMYFUNCTION("""COMPUTED_VALUE"""),2182)</f>
        <v>2182</v>
      </c>
      <c r="S151" s="1">
        <f ca="1">IFERROR(__xludf.DUMMYFUNCTION("""COMPUTED_VALUE"""),0.45)</f>
        <v>0.45</v>
      </c>
      <c r="T151" s="1">
        <f ca="1">IFERROR(__xludf.DUMMYFUNCTION("""COMPUTED_VALUE"""),253)</f>
        <v>253</v>
      </c>
      <c r="U151" s="1">
        <f ca="1">IFERROR(__xludf.DUMMYFUNCTION("""COMPUTED_VALUE"""),703)</f>
        <v>703</v>
      </c>
      <c r="V151" s="1">
        <f ca="1">IFERROR(__xludf.DUMMYFUNCTION("""COMPUTED_VALUE"""),0.36)</f>
        <v>0.36</v>
      </c>
      <c r="W151" s="1">
        <f ca="1">IFERROR(__xludf.DUMMYFUNCTION("""COMPUTED_VALUE"""),734)</f>
        <v>734</v>
      </c>
      <c r="X151" s="1">
        <f ca="1">IFERROR(__xludf.DUMMYFUNCTION("""COMPUTED_VALUE"""),1098)</f>
        <v>1098</v>
      </c>
      <c r="Y151" s="1">
        <f ca="1">IFERROR(__xludf.DUMMYFUNCTION("""COMPUTED_VALUE"""),0.668)</f>
        <v>0.66800000000000004</v>
      </c>
      <c r="Z151" s="1">
        <f ca="1">IFERROR(__xludf.DUMMYFUNCTION("""COMPUTED_VALUE"""),559)</f>
        <v>559</v>
      </c>
      <c r="AA151" s="1">
        <f ca="1">IFERROR(__xludf.DUMMYFUNCTION("""COMPUTED_VALUE"""),1437)</f>
        <v>1437</v>
      </c>
      <c r="AB151" s="1">
        <f ca="1">IFERROR(__xludf.DUMMYFUNCTION("""COMPUTED_VALUE"""),541)</f>
        <v>541</v>
      </c>
      <c r="AC151" s="1">
        <f ca="1">IFERROR(__xludf.DUMMYFUNCTION("""COMPUTED_VALUE"""),274)</f>
        <v>274</v>
      </c>
      <c r="AD151" s="1">
        <f ca="1">IFERROR(__xludf.DUMMYFUNCTION("""COMPUTED_VALUE"""),187)</f>
        <v>187</v>
      </c>
      <c r="AE151" s="1">
        <f ca="1">IFERROR(__xludf.DUMMYFUNCTION("""COMPUTED_VALUE"""),529)</f>
        <v>529</v>
      </c>
      <c r="AF151" s="1">
        <f ca="1">IFERROR(__xludf.DUMMYFUNCTION("""COMPUTED_VALUE"""),828)</f>
        <v>828</v>
      </c>
    </row>
    <row r="152" spans="1:32" ht="12.5" x14ac:dyDescent="0.25">
      <c r="A152" s="1" t="str">
        <f ca="1">IFERROR(__xludf.DUMMYFUNCTION("""COMPUTED_VALUE"""),"KansasNCAA")</f>
        <v>KansasNCAA</v>
      </c>
      <c r="B152" s="1">
        <f ca="1">IFERROR(__xludf.DUMMYFUNCTION("""COMPUTED_VALUE"""),36)</f>
        <v>36</v>
      </c>
      <c r="C152" s="1">
        <f ca="1">IFERROR(__xludf.DUMMYFUNCTION("""COMPUTED_VALUE"""),33)</f>
        <v>33</v>
      </c>
      <c r="D152" s="1">
        <f ca="1">IFERROR(__xludf.DUMMYFUNCTION("""COMPUTED_VALUE"""),3)</f>
        <v>3</v>
      </c>
      <c r="E152" s="1">
        <f ca="1">IFERROR(__xludf.DUMMYFUNCTION("""COMPUTED_VALUE"""),0.917)</f>
        <v>0.91700000000000004</v>
      </c>
      <c r="F152" s="1">
        <f ca="1">IFERROR(__xludf.DUMMYFUNCTION("""COMPUTED_VALUE"""),24.68)</f>
        <v>24.68</v>
      </c>
      <c r="G152" s="1">
        <f ca="1">IFERROR(__xludf.DUMMYFUNCTION("""COMPUTED_VALUE"""),8.25)</f>
        <v>8.25</v>
      </c>
      <c r="H152" s="1">
        <f ca="1">IFERROR(__xludf.DUMMYFUNCTION("""COMPUTED_VALUE"""),15)</f>
        <v>15</v>
      </c>
      <c r="I152" s="1">
        <f ca="1">IFERROR(__xludf.DUMMYFUNCTION("""COMPUTED_VALUE"""),1)</f>
        <v>1</v>
      </c>
      <c r="J152" s="1">
        <f ca="1">IFERROR(__xludf.DUMMYFUNCTION("""COMPUTED_VALUE"""),18)</f>
        <v>18</v>
      </c>
      <c r="K152" s="1">
        <f ca="1">IFERROR(__xludf.DUMMYFUNCTION("""COMPUTED_VALUE"""),0)</f>
        <v>0</v>
      </c>
      <c r="L152" s="1">
        <f ca="1">IFERROR(__xludf.DUMMYFUNCTION("""COMPUTED_VALUE"""),9)</f>
        <v>9</v>
      </c>
      <c r="M152" s="1">
        <f ca="1">IFERROR(__xludf.DUMMYFUNCTION("""COMPUTED_VALUE"""),2)</f>
        <v>2</v>
      </c>
      <c r="N152" s="1">
        <f ca="1">IFERROR(__xludf.DUMMYFUNCTION("""COMPUTED_VALUE"""),2937)</f>
        <v>2937</v>
      </c>
      <c r="O152" s="1">
        <f ca="1">IFERROR(__xludf.DUMMYFUNCTION("""COMPUTED_VALUE"""),2312)</f>
        <v>2312</v>
      </c>
      <c r="P152" s="1">
        <f ca="1">IFERROR(__xludf.DUMMYFUNCTION("""COMPUTED_VALUE"""),1450)</f>
        <v>1450</v>
      </c>
      <c r="Q152" s="1">
        <f ca="1">IFERROR(__xludf.DUMMYFUNCTION("""COMPUTED_VALUE"""),1033)</f>
        <v>1033</v>
      </c>
      <c r="R152" s="1">
        <f ca="1">IFERROR(__xludf.DUMMYFUNCTION("""COMPUTED_VALUE"""),2111)</f>
        <v>2111</v>
      </c>
      <c r="S152" s="1">
        <f ca="1">IFERROR(__xludf.DUMMYFUNCTION("""COMPUTED_VALUE"""),0.489)</f>
        <v>0.48899999999999999</v>
      </c>
      <c r="T152" s="1">
        <f ca="1">IFERROR(__xludf.DUMMYFUNCTION("""COMPUTED_VALUE"""),262)</f>
        <v>262</v>
      </c>
      <c r="U152" s="1">
        <f ca="1">IFERROR(__xludf.DUMMYFUNCTION("""COMPUTED_VALUE"""),648)</f>
        <v>648</v>
      </c>
      <c r="V152" s="1">
        <f ca="1">IFERROR(__xludf.DUMMYFUNCTION("""COMPUTED_VALUE"""),0.404)</f>
        <v>0.40400000000000003</v>
      </c>
      <c r="W152" s="1">
        <f ca="1">IFERROR(__xludf.DUMMYFUNCTION("""COMPUTED_VALUE"""),609)</f>
        <v>609</v>
      </c>
      <c r="X152" s="1">
        <f ca="1">IFERROR(__xludf.DUMMYFUNCTION("""COMPUTED_VALUE"""),871)</f>
        <v>871</v>
      </c>
      <c r="Y152" s="1">
        <f ca="1">IFERROR(__xludf.DUMMYFUNCTION("""COMPUTED_VALUE"""),0.699)</f>
        <v>0.69899999999999995</v>
      </c>
      <c r="Z152" s="1">
        <f ca="1">IFERROR(__xludf.DUMMYFUNCTION("""COMPUTED_VALUE"""),468)</f>
        <v>468</v>
      </c>
      <c r="AA152" s="1">
        <f ca="1">IFERROR(__xludf.DUMMYFUNCTION("""COMPUTED_VALUE"""),1457)</f>
        <v>1457</v>
      </c>
      <c r="AB152" s="1">
        <f ca="1">IFERROR(__xludf.DUMMYFUNCTION("""COMPUTED_VALUE"""),609)</f>
        <v>609</v>
      </c>
      <c r="AC152" s="1">
        <f ca="1">IFERROR(__xludf.DUMMYFUNCTION("""COMPUTED_VALUE"""),301)</f>
        <v>301</v>
      </c>
      <c r="AD152" s="1">
        <f ca="1">IFERROR(__xludf.DUMMYFUNCTION("""COMPUTED_VALUE"""),232)</f>
        <v>232</v>
      </c>
      <c r="AE152" s="1">
        <f ca="1">IFERROR(__xludf.DUMMYFUNCTION("""COMPUTED_VALUE"""),470)</f>
        <v>470</v>
      </c>
      <c r="AF152" s="1">
        <f ca="1">IFERROR(__xludf.DUMMYFUNCTION("""COMPUTED_VALUE"""),658)</f>
        <v>658</v>
      </c>
    </row>
    <row r="153" spans="1:32" ht="12.5" x14ac:dyDescent="0.25">
      <c r="A153" s="1" t="str">
        <f ca="1">IFERROR(__xludf.DUMMYFUNCTION("""COMPUTED_VALUE"""),"Kennesaw State")</f>
        <v>Kennesaw State</v>
      </c>
      <c r="B153" s="1">
        <f ca="1">IFERROR(__xludf.DUMMYFUNCTION("""COMPUTED_VALUE"""),33)</f>
        <v>33</v>
      </c>
      <c r="C153" s="1">
        <f ca="1">IFERROR(__xludf.DUMMYFUNCTION("""COMPUTED_VALUE"""),13)</f>
        <v>13</v>
      </c>
      <c r="D153" s="1">
        <f ca="1">IFERROR(__xludf.DUMMYFUNCTION("""COMPUTED_VALUE"""),20)</f>
        <v>20</v>
      </c>
      <c r="E153" s="1">
        <f ca="1">IFERROR(__xludf.DUMMYFUNCTION("""COMPUTED_VALUE"""),0.394)</f>
        <v>0.39400000000000002</v>
      </c>
      <c r="F153" s="1">
        <f ca="1">IFERROR(__xludf.DUMMYFUNCTION("""COMPUTED_VALUE"""),-10.08)</f>
        <v>-10.08</v>
      </c>
      <c r="G153" s="1">
        <f ca="1">IFERROR(__xludf.DUMMYFUNCTION("""COMPUTED_VALUE"""),-3.69)</f>
        <v>-3.69</v>
      </c>
      <c r="H153" s="1">
        <f ca="1">IFERROR(__xludf.DUMMYFUNCTION("""COMPUTED_VALUE"""),7)</f>
        <v>7</v>
      </c>
      <c r="I153" s="1">
        <f ca="1">IFERROR(__xludf.DUMMYFUNCTION("""COMPUTED_VALUE"""),13)</f>
        <v>13</v>
      </c>
      <c r="J153" s="1">
        <f ca="1">IFERROR(__xludf.DUMMYFUNCTION("""COMPUTED_VALUE"""),8)</f>
        <v>8</v>
      </c>
      <c r="K153" s="1">
        <f ca="1">IFERROR(__xludf.DUMMYFUNCTION("""COMPUTED_VALUE"""),6)</f>
        <v>6</v>
      </c>
      <c r="L153" s="1">
        <f ca="1">IFERROR(__xludf.DUMMYFUNCTION("""COMPUTED_VALUE"""),3)</f>
        <v>3</v>
      </c>
      <c r="M153" s="1">
        <f ca="1">IFERROR(__xludf.DUMMYFUNCTION("""COMPUTED_VALUE"""),12)</f>
        <v>12</v>
      </c>
      <c r="N153" s="1">
        <f ca="1">IFERROR(__xludf.DUMMYFUNCTION("""COMPUTED_VALUE"""),2182)</f>
        <v>2182</v>
      </c>
      <c r="O153" s="1">
        <f ca="1">IFERROR(__xludf.DUMMYFUNCTION("""COMPUTED_VALUE"""),2314)</f>
        <v>2314</v>
      </c>
      <c r="P153" s="1">
        <f ca="1">IFERROR(__xludf.DUMMYFUNCTION("""COMPUTED_VALUE"""),1330)</f>
        <v>1330</v>
      </c>
      <c r="Q153" s="1">
        <f ca="1">IFERROR(__xludf.DUMMYFUNCTION("""COMPUTED_VALUE"""),784)</f>
        <v>784</v>
      </c>
      <c r="R153" s="1">
        <f ca="1">IFERROR(__xludf.DUMMYFUNCTION("""COMPUTED_VALUE"""),1924)</f>
        <v>1924</v>
      </c>
      <c r="S153" s="1">
        <f ca="1">IFERROR(__xludf.DUMMYFUNCTION("""COMPUTED_VALUE"""),0.407)</f>
        <v>0.40699999999999997</v>
      </c>
      <c r="T153" s="1">
        <f ca="1">IFERROR(__xludf.DUMMYFUNCTION("""COMPUTED_VALUE"""),235)</f>
        <v>235</v>
      </c>
      <c r="U153" s="1">
        <f ca="1">IFERROR(__xludf.DUMMYFUNCTION("""COMPUTED_VALUE"""),715)</f>
        <v>715</v>
      </c>
      <c r="V153" s="1">
        <f ca="1">IFERROR(__xludf.DUMMYFUNCTION("""COMPUTED_VALUE"""),0.329)</f>
        <v>0.32900000000000001</v>
      </c>
      <c r="W153" s="1">
        <f ca="1">IFERROR(__xludf.DUMMYFUNCTION("""COMPUTED_VALUE"""),379)</f>
        <v>379</v>
      </c>
      <c r="X153" s="1">
        <f ca="1">IFERROR(__xludf.DUMMYFUNCTION("""COMPUTED_VALUE"""),557)</f>
        <v>557</v>
      </c>
      <c r="Y153" s="1">
        <f ca="1">IFERROR(__xludf.DUMMYFUNCTION("""COMPUTED_VALUE"""),0.68)</f>
        <v>0.68</v>
      </c>
      <c r="Z153" s="1">
        <f ca="1">IFERROR(__xludf.DUMMYFUNCTION("""COMPUTED_VALUE"""),450)</f>
        <v>450</v>
      </c>
      <c r="AA153" s="1">
        <f ca="1">IFERROR(__xludf.DUMMYFUNCTION("""COMPUTED_VALUE"""),1166)</f>
        <v>1166</v>
      </c>
      <c r="AB153" s="1">
        <f ca="1">IFERROR(__xludf.DUMMYFUNCTION("""COMPUTED_VALUE"""),417)</f>
        <v>417</v>
      </c>
      <c r="AC153" s="1">
        <f ca="1">IFERROR(__xludf.DUMMYFUNCTION("""COMPUTED_VALUE"""),218)</f>
        <v>218</v>
      </c>
      <c r="AD153" s="1">
        <f ca="1">IFERROR(__xludf.DUMMYFUNCTION("""COMPUTED_VALUE"""),121)</f>
        <v>121</v>
      </c>
      <c r="AE153" s="1">
        <f ca="1">IFERROR(__xludf.DUMMYFUNCTION("""COMPUTED_VALUE"""),480)</f>
        <v>480</v>
      </c>
      <c r="AF153" s="1">
        <f ca="1">IFERROR(__xludf.DUMMYFUNCTION("""COMPUTED_VALUE"""),529)</f>
        <v>529</v>
      </c>
    </row>
    <row r="154" spans="1:32" ht="12.5" x14ac:dyDescent="0.25">
      <c r="A154" s="1" t="str">
        <f ca="1">IFERROR(__xludf.DUMMYFUNCTION("""COMPUTED_VALUE"""),"Overall")</f>
        <v>Overall</v>
      </c>
      <c r="B154" s="1" t="str">
        <f ca="1">IFERROR(__xludf.DUMMYFUNCTION("""COMPUTED_VALUE"""),"Conf.")</f>
        <v>Conf.</v>
      </c>
      <c r="C154" s="1" t="str">
        <f ca="1">IFERROR(__xludf.DUMMYFUNCTION("""COMPUTED_VALUE"""),"Home")</f>
        <v>Home</v>
      </c>
      <c r="D154" s="1" t="str">
        <f ca="1">IFERROR(__xludf.DUMMYFUNCTION("""COMPUTED_VALUE"""),"Away")</f>
        <v>Away</v>
      </c>
      <c r="E154" s="1" t="str">
        <f ca="1">IFERROR(__xludf.DUMMYFUNCTION("""COMPUTED_VALUE"""),"Points")</f>
        <v>Points</v>
      </c>
      <c r="F154" s="1" t="str">
        <f ca="1">IFERROR(__xludf.DUMMYFUNCTION("""COMPUTED_VALUE"""),"")</f>
        <v/>
      </c>
      <c r="G154" s="1" t="str">
        <f ca="1">IFERROR(__xludf.DUMMYFUNCTION("""COMPUTED_VALUE"""),"School Totals")</f>
        <v>School Totals</v>
      </c>
      <c r="H154" s="1" t="str">
        <f ca="1">IFERROR(__xludf.DUMMYFUNCTION("""COMPUTED_VALUE"""),"")</f>
        <v/>
      </c>
      <c r="I154" s="1" t="str">
        <f ca="1">IFERROR(__xludf.DUMMYFUNCTION("""COMPUTED_VALUE"""),"")</f>
        <v/>
      </c>
      <c r="J154" s="1" t="str">
        <f ca="1">IFERROR(__xludf.DUMMYFUNCTION("""COMPUTED_VALUE"""),"")</f>
        <v/>
      </c>
      <c r="K154" s="1" t="str">
        <f ca="1">IFERROR(__xludf.DUMMYFUNCTION("""COMPUTED_VALUE"""),"")</f>
        <v/>
      </c>
      <c r="L154" s="1" t="str">
        <f ca="1">IFERROR(__xludf.DUMMYFUNCTION("""COMPUTED_VALUE"""),"")</f>
        <v/>
      </c>
      <c r="M154" s="1" t="str">
        <f ca="1">IFERROR(__xludf.DUMMYFUNCTION("""COMPUTED_VALUE"""),"")</f>
        <v/>
      </c>
      <c r="N154" s="1" t="str">
        <f ca="1">IFERROR(__xludf.DUMMYFUNCTION("""COMPUTED_VALUE"""),"")</f>
        <v/>
      </c>
      <c r="O154" s="1" t="str">
        <f ca="1">IFERROR(__xludf.DUMMYFUNCTION("""COMPUTED_VALUE"""),"")</f>
        <v/>
      </c>
      <c r="P154" s="1" t="str">
        <f ca="1">IFERROR(__xludf.DUMMYFUNCTION("""COMPUTED_VALUE"""),"")</f>
        <v/>
      </c>
      <c r="Q154" s="1" t="str">
        <f ca="1">IFERROR(__xludf.DUMMYFUNCTION("""COMPUTED_VALUE"""),"")</f>
        <v/>
      </c>
      <c r="R154" s="1" t="str">
        <f ca="1">IFERROR(__xludf.DUMMYFUNCTION("""COMPUTED_VALUE"""),"")</f>
        <v/>
      </c>
      <c r="S154" s="1" t="str">
        <f ca="1">IFERROR(__xludf.DUMMYFUNCTION("""COMPUTED_VALUE"""),"")</f>
        <v/>
      </c>
      <c r="T154" s="1" t="str">
        <f ca="1">IFERROR(__xludf.DUMMYFUNCTION("""COMPUTED_VALUE"""),"")</f>
        <v/>
      </c>
      <c r="U154" s="1" t="str">
        <f ca="1">IFERROR(__xludf.DUMMYFUNCTION("""COMPUTED_VALUE"""),"")</f>
        <v/>
      </c>
      <c r="V154" s="1" t="str">
        <f ca="1">IFERROR(__xludf.DUMMYFUNCTION("""COMPUTED_VALUE"""),"")</f>
        <v/>
      </c>
      <c r="W154" s="1" t="str">
        <f ca="1">IFERROR(__xludf.DUMMYFUNCTION("""COMPUTED_VALUE"""),"")</f>
        <v/>
      </c>
      <c r="X154" s="1" t="str">
        <f ca="1">IFERROR(__xludf.DUMMYFUNCTION("""COMPUTED_VALUE"""),"")</f>
        <v/>
      </c>
      <c r="Y154" s="1" t="str">
        <f ca="1">IFERROR(__xludf.DUMMYFUNCTION("""COMPUTED_VALUE"""),"")</f>
        <v/>
      </c>
      <c r="Z154" s="1" t="str">
        <f ca="1">IFERROR(__xludf.DUMMYFUNCTION("""COMPUTED_VALUE"""),"")</f>
        <v/>
      </c>
      <c r="AA154" s="1" t="str">
        <f ca="1">IFERROR(__xludf.DUMMYFUNCTION("""COMPUTED_VALUE"""),"")</f>
        <v/>
      </c>
      <c r="AB154" s="1" t="str">
        <f ca="1">IFERROR(__xludf.DUMMYFUNCTION("""COMPUTED_VALUE"""),"")</f>
        <v/>
      </c>
      <c r="AC154" s="1" t="str">
        <f ca="1">IFERROR(__xludf.DUMMYFUNCTION("""COMPUTED_VALUE"""),"")</f>
        <v/>
      </c>
      <c r="AD154" s="1" t="str">
        <f ca="1">IFERROR(__xludf.DUMMYFUNCTION("""COMPUTED_VALUE"""),"")</f>
        <v/>
      </c>
      <c r="AE154" s="1" t="str">
        <f ca="1">IFERROR(__xludf.DUMMYFUNCTION("""COMPUTED_VALUE"""),"")</f>
        <v/>
      </c>
      <c r="AF154" s="1" t="str">
        <f ca="1">IFERROR(__xludf.DUMMYFUNCTION("""COMPUTED_VALUE"""),"")</f>
        <v/>
      </c>
    </row>
    <row r="155" spans="1:32" ht="12.5" x14ac:dyDescent="0.25">
      <c r="A155" s="1" t="str">
        <f ca="1">IFERROR(__xludf.DUMMYFUNCTION("""COMPUTED_VALUE"""),"School")</f>
        <v>School</v>
      </c>
      <c r="B155" s="1" t="str">
        <f ca="1">IFERROR(__xludf.DUMMYFUNCTION("""COMPUTED_VALUE"""),"G")</f>
        <v>G</v>
      </c>
      <c r="C155" s="1" t="str">
        <f ca="1">IFERROR(__xludf.DUMMYFUNCTION("""COMPUTED_VALUE"""),"W")</f>
        <v>W</v>
      </c>
      <c r="D155" s="1" t="str">
        <f ca="1">IFERROR(__xludf.DUMMYFUNCTION("""COMPUTED_VALUE"""),"L")</f>
        <v>L</v>
      </c>
      <c r="E155" s="1" t="str">
        <f ca="1">IFERROR(__xludf.DUMMYFUNCTION("""COMPUTED_VALUE"""),"W-L%")</f>
        <v>W-L%</v>
      </c>
      <c r="F155" s="1" t="str">
        <f ca="1">IFERROR(__xludf.DUMMYFUNCTION("""COMPUTED_VALUE"""),"SRS")</f>
        <v>SRS</v>
      </c>
      <c r="G155" s="1" t="str">
        <f ca="1">IFERROR(__xludf.DUMMYFUNCTION("""COMPUTED_VALUE"""),"SOS")</f>
        <v>SOS</v>
      </c>
      <c r="H155" s="1" t="str">
        <f ca="1">IFERROR(__xludf.DUMMYFUNCTION("""COMPUTED_VALUE"""),"W")</f>
        <v>W</v>
      </c>
      <c r="I155" s="1" t="str">
        <f ca="1">IFERROR(__xludf.DUMMYFUNCTION("""COMPUTED_VALUE"""),"L")</f>
        <v>L</v>
      </c>
      <c r="J155" s="1" t="str">
        <f ca="1">IFERROR(__xludf.DUMMYFUNCTION("""COMPUTED_VALUE"""),"W")</f>
        <v>W</v>
      </c>
      <c r="K155" s="1" t="str">
        <f ca="1">IFERROR(__xludf.DUMMYFUNCTION("""COMPUTED_VALUE"""),"L")</f>
        <v>L</v>
      </c>
      <c r="L155" s="1" t="str">
        <f ca="1">IFERROR(__xludf.DUMMYFUNCTION("""COMPUTED_VALUE"""),"W")</f>
        <v>W</v>
      </c>
      <c r="M155" s="1" t="str">
        <f ca="1">IFERROR(__xludf.DUMMYFUNCTION("""COMPUTED_VALUE"""),"L")</f>
        <v>L</v>
      </c>
      <c r="N155" s="1" t="str">
        <f ca="1">IFERROR(__xludf.DUMMYFUNCTION("""COMPUTED_VALUE"""),"Tm.")</f>
        <v>Tm.</v>
      </c>
      <c r="O155" s="1" t="str">
        <f ca="1">IFERROR(__xludf.DUMMYFUNCTION("""COMPUTED_VALUE"""),"Opp.")</f>
        <v>Opp.</v>
      </c>
      <c r="P155" s="1" t="str">
        <f ca="1">IFERROR(__xludf.DUMMYFUNCTION("""COMPUTED_VALUE"""),"MP")</f>
        <v>MP</v>
      </c>
      <c r="Q155" s="1" t="str">
        <f ca="1">IFERROR(__xludf.DUMMYFUNCTION("""COMPUTED_VALUE"""),"FG")</f>
        <v>FG</v>
      </c>
      <c r="R155" s="1" t="str">
        <f ca="1">IFERROR(__xludf.DUMMYFUNCTION("""COMPUTED_VALUE"""),"FGA")</f>
        <v>FGA</v>
      </c>
      <c r="S155" s="1" t="str">
        <f ca="1">IFERROR(__xludf.DUMMYFUNCTION("""COMPUTED_VALUE"""),"FG%")</f>
        <v>FG%</v>
      </c>
      <c r="T155" s="1" t="str">
        <f ca="1">IFERROR(__xludf.DUMMYFUNCTION("""COMPUTED_VALUE"""),"3P")</f>
        <v>3P</v>
      </c>
      <c r="U155" s="1" t="str">
        <f ca="1">IFERROR(__xludf.DUMMYFUNCTION("""COMPUTED_VALUE"""),"3PA")</f>
        <v>3PA</v>
      </c>
      <c r="V155" s="1" t="str">
        <f ca="1">IFERROR(__xludf.DUMMYFUNCTION("""COMPUTED_VALUE"""),"3P%")</f>
        <v>3P%</v>
      </c>
      <c r="W155" s="1" t="str">
        <f ca="1">IFERROR(__xludf.DUMMYFUNCTION("""COMPUTED_VALUE"""),"FT")</f>
        <v>FT</v>
      </c>
      <c r="X155" s="1" t="str">
        <f ca="1">IFERROR(__xludf.DUMMYFUNCTION("""COMPUTED_VALUE"""),"FTA")</f>
        <v>FTA</v>
      </c>
      <c r="Y155" s="1" t="str">
        <f ca="1">IFERROR(__xludf.DUMMYFUNCTION("""COMPUTED_VALUE"""),"FT%")</f>
        <v>FT%</v>
      </c>
      <c r="Z155" s="1" t="str">
        <f ca="1">IFERROR(__xludf.DUMMYFUNCTION("""COMPUTED_VALUE"""),"ORB")</f>
        <v>ORB</v>
      </c>
      <c r="AA155" s="1" t="str">
        <f ca="1">IFERROR(__xludf.DUMMYFUNCTION("""COMPUTED_VALUE"""),"TRB")</f>
        <v>TRB</v>
      </c>
      <c r="AB155" s="1" t="str">
        <f ca="1">IFERROR(__xludf.DUMMYFUNCTION("""COMPUTED_VALUE"""),"AST")</f>
        <v>AST</v>
      </c>
      <c r="AC155" s="1" t="str">
        <f ca="1">IFERROR(__xludf.DUMMYFUNCTION("""COMPUTED_VALUE"""),"STL")</f>
        <v>STL</v>
      </c>
      <c r="AD155" s="1" t="str">
        <f ca="1">IFERROR(__xludf.DUMMYFUNCTION("""COMPUTED_VALUE"""),"BLK")</f>
        <v>BLK</v>
      </c>
      <c r="AE155" s="1" t="str">
        <f ca="1">IFERROR(__xludf.DUMMYFUNCTION("""COMPUTED_VALUE"""),"TOV")</f>
        <v>TOV</v>
      </c>
      <c r="AF155" s="1" t="str">
        <f ca="1">IFERROR(__xludf.DUMMYFUNCTION("""COMPUTED_VALUE"""),"PF")</f>
        <v>PF</v>
      </c>
    </row>
    <row r="156" spans="1:32" ht="12.5" x14ac:dyDescent="0.25">
      <c r="A156" s="1" t="str">
        <f ca="1">IFERROR(__xludf.DUMMYFUNCTION("""COMPUTED_VALUE"""),"Kent State")</f>
        <v>Kent State</v>
      </c>
      <c r="B156" s="1">
        <f ca="1">IFERROR(__xludf.DUMMYFUNCTION("""COMPUTED_VALUE"""),34)</f>
        <v>34</v>
      </c>
      <c r="C156" s="1">
        <f ca="1">IFERROR(__xludf.DUMMYFUNCTION("""COMPUTED_VALUE"""),24)</f>
        <v>24</v>
      </c>
      <c r="D156" s="1">
        <f ca="1">IFERROR(__xludf.DUMMYFUNCTION("""COMPUTED_VALUE"""),10)</f>
        <v>10</v>
      </c>
      <c r="E156" s="1">
        <f ca="1">IFERROR(__xludf.DUMMYFUNCTION("""COMPUTED_VALUE"""),0.706)</f>
        <v>0.70599999999999996</v>
      </c>
      <c r="F156" s="1">
        <f ca="1">IFERROR(__xludf.DUMMYFUNCTION("""COMPUTED_VALUE"""),5.28)</f>
        <v>5.28</v>
      </c>
      <c r="G156" s="1">
        <f ca="1">IFERROR(__xludf.DUMMYFUNCTION("""COMPUTED_VALUE"""),0.74)</f>
        <v>0.74</v>
      </c>
      <c r="H156" s="1">
        <f ca="1">IFERROR(__xludf.DUMMYFUNCTION("""COMPUTED_VALUE"""),13)</f>
        <v>13</v>
      </c>
      <c r="I156" s="1">
        <f ca="1">IFERROR(__xludf.DUMMYFUNCTION("""COMPUTED_VALUE"""),3)</f>
        <v>3</v>
      </c>
      <c r="J156" s="1">
        <f ca="1">IFERROR(__xludf.DUMMYFUNCTION("""COMPUTED_VALUE"""),14)</f>
        <v>14</v>
      </c>
      <c r="K156" s="1">
        <f ca="1">IFERROR(__xludf.DUMMYFUNCTION("""COMPUTED_VALUE"""),2)</f>
        <v>2</v>
      </c>
      <c r="L156" s="1">
        <f ca="1">IFERROR(__xludf.DUMMYFUNCTION("""COMPUTED_VALUE"""),9)</f>
        <v>9</v>
      </c>
      <c r="M156" s="1">
        <f ca="1">IFERROR(__xludf.DUMMYFUNCTION("""COMPUTED_VALUE"""),6)</f>
        <v>6</v>
      </c>
      <c r="N156" s="1">
        <f ca="1">IFERROR(__xludf.DUMMYFUNCTION("""COMPUTED_VALUE"""),2382)</f>
        <v>2382</v>
      </c>
      <c r="O156" s="1">
        <f ca="1">IFERROR(__xludf.DUMMYFUNCTION("""COMPUTED_VALUE"""),2213)</f>
        <v>2213</v>
      </c>
      <c r="P156" s="1">
        <f ca="1">IFERROR(__xludf.DUMMYFUNCTION("""COMPUTED_VALUE"""),1370)</f>
        <v>1370</v>
      </c>
      <c r="Q156" s="1">
        <f ca="1">IFERROR(__xludf.DUMMYFUNCTION("""COMPUTED_VALUE"""),839)</f>
        <v>839</v>
      </c>
      <c r="R156" s="1">
        <f ca="1">IFERROR(__xludf.DUMMYFUNCTION("""COMPUTED_VALUE"""),1942)</f>
        <v>1942</v>
      </c>
      <c r="S156" s="1">
        <f ca="1">IFERROR(__xludf.DUMMYFUNCTION("""COMPUTED_VALUE"""),0.432)</f>
        <v>0.432</v>
      </c>
      <c r="T156" s="1">
        <f ca="1">IFERROR(__xludf.DUMMYFUNCTION("""COMPUTED_VALUE"""),189)</f>
        <v>189</v>
      </c>
      <c r="U156" s="1">
        <f ca="1">IFERROR(__xludf.DUMMYFUNCTION("""COMPUTED_VALUE"""),599)</f>
        <v>599</v>
      </c>
      <c r="V156" s="1">
        <f ca="1">IFERROR(__xludf.DUMMYFUNCTION("""COMPUTED_VALUE"""),0.316)</f>
        <v>0.316</v>
      </c>
      <c r="W156" s="1">
        <f ca="1">IFERROR(__xludf.DUMMYFUNCTION("""COMPUTED_VALUE"""),515)</f>
        <v>515</v>
      </c>
      <c r="X156" s="1">
        <f ca="1">IFERROR(__xludf.DUMMYFUNCTION("""COMPUTED_VALUE"""),766)</f>
        <v>766</v>
      </c>
      <c r="Y156" s="1">
        <f ca="1">IFERROR(__xludf.DUMMYFUNCTION("""COMPUTED_VALUE"""),0.672)</f>
        <v>0.67200000000000004</v>
      </c>
      <c r="Z156" s="1">
        <f ca="1">IFERROR(__xludf.DUMMYFUNCTION("""COMPUTED_VALUE"""),410)</f>
        <v>410</v>
      </c>
      <c r="AA156" s="1">
        <f ca="1">IFERROR(__xludf.DUMMYFUNCTION("""COMPUTED_VALUE"""),1207)</f>
        <v>1207</v>
      </c>
      <c r="AB156" s="1">
        <f ca="1">IFERROR(__xludf.DUMMYFUNCTION("""COMPUTED_VALUE"""),437)</f>
        <v>437</v>
      </c>
      <c r="AC156" s="1">
        <f ca="1">IFERROR(__xludf.DUMMYFUNCTION("""COMPUTED_VALUE"""),285)</f>
        <v>285</v>
      </c>
      <c r="AD156" s="1">
        <f ca="1">IFERROR(__xludf.DUMMYFUNCTION("""COMPUTED_VALUE"""),91)</f>
        <v>91</v>
      </c>
      <c r="AE156" s="1">
        <f ca="1">IFERROR(__xludf.DUMMYFUNCTION("""COMPUTED_VALUE"""),407)</f>
        <v>407</v>
      </c>
      <c r="AF156" s="1">
        <f ca="1">IFERROR(__xludf.DUMMYFUNCTION("""COMPUTED_VALUE"""),631)</f>
        <v>631</v>
      </c>
    </row>
    <row r="157" spans="1:32" ht="12.5" x14ac:dyDescent="0.25">
      <c r="A157" s="1" t="str">
        <f ca="1">IFERROR(__xludf.DUMMYFUNCTION("""COMPUTED_VALUE"""),"KentuckyNCAA")</f>
        <v>KentuckyNCAA</v>
      </c>
      <c r="B157" s="1">
        <f ca="1">IFERROR(__xludf.DUMMYFUNCTION("""COMPUTED_VALUE"""),38)</f>
        <v>38</v>
      </c>
      <c r="C157" s="1">
        <f ca="1">IFERROR(__xludf.DUMMYFUNCTION("""COMPUTED_VALUE"""),35)</f>
        <v>35</v>
      </c>
      <c r="D157" s="1">
        <f ca="1">IFERROR(__xludf.DUMMYFUNCTION("""COMPUTED_VALUE"""),3)</f>
        <v>3</v>
      </c>
      <c r="E157" s="1">
        <f ca="1">IFERROR(__xludf.DUMMYFUNCTION("""COMPUTED_VALUE"""),0.921)</f>
        <v>0.92100000000000004</v>
      </c>
      <c r="F157" s="1">
        <f ca="1">IFERROR(__xludf.DUMMYFUNCTION("""COMPUTED_VALUE"""),21.13)</f>
        <v>21.13</v>
      </c>
      <c r="G157" s="1">
        <f ca="1">IFERROR(__xludf.DUMMYFUNCTION("""COMPUTED_VALUE"""),6.82)</f>
        <v>6.82</v>
      </c>
      <c r="H157" s="1">
        <f ca="1">IFERROR(__xludf.DUMMYFUNCTION("""COMPUTED_VALUE"""),14)</f>
        <v>14</v>
      </c>
      <c r="I157" s="1">
        <f ca="1">IFERROR(__xludf.DUMMYFUNCTION("""COMPUTED_VALUE"""),2)</f>
        <v>2</v>
      </c>
      <c r="J157" s="1">
        <f ca="1">IFERROR(__xludf.DUMMYFUNCTION("""COMPUTED_VALUE"""),18)</f>
        <v>18</v>
      </c>
      <c r="K157" s="1">
        <f ca="1">IFERROR(__xludf.DUMMYFUNCTION("""COMPUTED_VALUE"""),0)</f>
        <v>0</v>
      </c>
      <c r="L157" s="1">
        <f ca="1">IFERROR(__xludf.DUMMYFUNCTION("""COMPUTED_VALUE"""),7)</f>
        <v>7</v>
      </c>
      <c r="M157" s="1">
        <f ca="1">IFERROR(__xludf.DUMMYFUNCTION("""COMPUTED_VALUE"""),2)</f>
        <v>2</v>
      </c>
      <c r="N157" s="1">
        <f ca="1">IFERROR(__xludf.DUMMYFUNCTION("""COMPUTED_VALUE"""),3012)</f>
        <v>3012</v>
      </c>
      <c r="O157" s="1">
        <f ca="1">IFERROR(__xludf.DUMMYFUNCTION("""COMPUTED_VALUE"""),2468)</f>
        <v>2468</v>
      </c>
      <c r="P157" s="1">
        <f ca="1">IFERROR(__xludf.DUMMYFUNCTION("""COMPUTED_VALUE"""),1535)</f>
        <v>1535</v>
      </c>
      <c r="Q157" s="1">
        <f ca="1">IFERROR(__xludf.DUMMYFUNCTION("""COMPUTED_VALUE"""),1066)</f>
        <v>1066</v>
      </c>
      <c r="R157" s="1">
        <f ca="1">IFERROR(__xludf.DUMMYFUNCTION("""COMPUTED_VALUE"""),2228)</f>
        <v>2228</v>
      </c>
      <c r="S157" s="1">
        <f ca="1">IFERROR(__xludf.DUMMYFUNCTION("""COMPUTED_VALUE"""),0.478)</f>
        <v>0.47799999999999998</v>
      </c>
      <c r="T157" s="1">
        <f ca="1">IFERROR(__xludf.DUMMYFUNCTION("""COMPUTED_VALUE"""),231)</f>
        <v>231</v>
      </c>
      <c r="U157" s="1">
        <f ca="1">IFERROR(__xludf.DUMMYFUNCTION("""COMPUTED_VALUE"""),697)</f>
        <v>697</v>
      </c>
      <c r="V157" s="1">
        <f ca="1">IFERROR(__xludf.DUMMYFUNCTION("""COMPUTED_VALUE"""),0.331)</f>
        <v>0.33100000000000002</v>
      </c>
      <c r="W157" s="1">
        <f ca="1">IFERROR(__xludf.DUMMYFUNCTION("""COMPUTED_VALUE"""),649)</f>
        <v>649</v>
      </c>
      <c r="X157" s="1">
        <f ca="1">IFERROR(__xludf.DUMMYFUNCTION("""COMPUTED_VALUE"""),971)</f>
        <v>971</v>
      </c>
      <c r="Y157" s="1">
        <f ca="1">IFERROR(__xludf.DUMMYFUNCTION("""COMPUTED_VALUE"""),0.668)</f>
        <v>0.66800000000000004</v>
      </c>
      <c r="Z157" s="1">
        <f ca="1">IFERROR(__xludf.DUMMYFUNCTION("""COMPUTED_VALUE"""),538)</f>
        <v>538</v>
      </c>
      <c r="AA157" s="1">
        <f ca="1">IFERROR(__xludf.DUMMYFUNCTION("""COMPUTED_VALUE"""),1584)</f>
        <v>1584</v>
      </c>
      <c r="AB157" s="1">
        <f ca="1">IFERROR(__xludf.DUMMYFUNCTION("""COMPUTED_VALUE"""),573)</f>
        <v>573</v>
      </c>
      <c r="AC157" s="1">
        <f ca="1">IFERROR(__xludf.DUMMYFUNCTION("""COMPUTED_VALUE"""),279)</f>
        <v>279</v>
      </c>
      <c r="AD157" s="1">
        <f ca="1">IFERROR(__xludf.DUMMYFUNCTION("""COMPUTED_VALUE"""),273)</f>
        <v>273</v>
      </c>
      <c r="AE157" s="1">
        <f ca="1">IFERROR(__xludf.DUMMYFUNCTION("""COMPUTED_VALUE"""),538)</f>
        <v>538</v>
      </c>
      <c r="AF157" s="1">
        <f ca="1">IFERROR(__xludf.DUMMYFUNCTION("""COMPUTED_VALUE"""),641)</f>
        <v>641</v>
      </c>
    </row>
    <row r="158" spans="1:32" ht="12.5" x14ac:dyDescent="0.25">
      <c r="A158" s="1" t="str">
        <f ca="1">IFERROR(__xludf.DUMMYFUNCTION("""COMPUTED_VALUE"""),"La Salle")</f>
        <v>La Salle</v>
      </c>
      <c r="B158" s="1">
        <f ca="1">IFERROR(__xludf.DUMMYFUNCTION("""COMPUTED_VALUE"""),30)</f>
        <v>30</v>
      </c>
      <c r="C158" s="1">
        <f ca="1">IFERROR(__xludf.DUMMYFUNCTION("""COMPUTED_VALUE"""),12)</f>
        <v>12</v>
      </c>
      <c r="D158" s="1">
        <f ca="1">IFERROR(__xludf.DUMMYFUNCTION("""COMPUTED_VALUE"""),18)</f>
        <v>18</v>
      </c>
      <c r="E158" s="1">
        <f ca="1">IFERROR(__xludf.DUMMYFUNCTION("""COMPUTED_VALUE"""),0.4)</f>
        <v>0.4</v>
      </c>
      <c r="F158" s="1">
        <f ca="1">IFERROR(__xludf.DUMMYFUNCTION("""COMPUTED_VALUE"""),-0.28)</f>
        <v>-0.28000000000000003</v>
      </c>
      <c r="G158" s="1">
        <f ca="1">IFERROR(__xludf.DUMMYFUNCTION("""COMPUTED_VALUE"""),2.46)</f>
        <v>2.46</v>
      </c>
      <c r="H158" s="1">
        <f ca="1">IFERROR(__xludf.DUMMYFUNCTION("""COMPUTED_VALUE"""),4)</f>
        <v>4</v>
      </c>
      <c r="I158" s="1">
        <f ca="1">IFERROR(__xludf.DUMMYFUNCTION("""COMPUTED_VALUE"""),12)</f>
        <v>12</v>
      </c>
      <c r="J158" s="1">
        <f ca="1">IFERROR(__xludf.DUMMYFUNCTION("""COMPUTED_VALUE"""),6)</f>
        <v>6</v>
      </c>
      <c r="K158" s="1">
        <f ca="1">IFERROR(__xludf.DUMMYFUNCTION("""COMPUTED_VALUE"""),7)</f>
        <v>7</v>
      </c>
      <c r="L158" s="1">
        <f ca="1">IFERROR(__xludf.DUMMYFUNCTION("""COMPUTED_VALUE"""),4)</f>
        <v>4</v>
      </c>
      <c r="M158" s="1">
        <f ca="1">IFERROR(__xludf.DUMMYFUNCTION("""COMPUTED_VALUE"""),8)</f>
        <v>8</v>
      </c>
      <c r="N158" s="1">
        <f ca="1">IFERROR(__xludf.DUMMYFUNCTION("""COMPUTED_VALUE"""),2111)</f>
        <v>2111</v>
      </c>
      <c r="O158" s="1">
        <f ca="1">IFERROR(__xludf.DUMMYFUNCTION("""COMPUTED_VALUE"""),2193)</f>
        <v>2193</v>
      </c>
      <c r="P158" s="1">
        <f ca="1">IFERROR(__xludf.DUMMYFUNCTION("""COMPUTED_VALUE"""),1200)</f>
        <v>1200</v>
      </c>
      <c r="Q158" s="1">
        <f ca="1">IFERROR(__xludf.DUMMYFUNCTION("""COMPUTED_VALUE"""),756)</f>
        <v>756</v>
      </c>
      <c r="R158" s="1">
        <f ca="1">IFERROR(__xludf.DUMMYFUNCTION("""COMPUTED_VALUE"""),1718)</f>
        <v>1718</v>
      </c>
      <c r="S158" s="1">
        <f ca="1">IFERROR(__xludf.DUMMYFUNCTION("""COMPUTED_VALUE"""),0.44)</f>
        <v>0.44</v>
      </c>
      <c r="T158" s="1">
        <f ca="1">IFERROR(__xludf.DUMMYFUNCTION("""COMPUTED_VALUE"""),164)</f>
        <v>164</v>
      </c>
      <c r="U158" s="1">
        <f ca="1">IFERROR(__xludf.DUMMYFUNCTION("""COMPUTED_VALUE"""),487)</f>
        <v>487</v>
      </c>
      <c r="V158" s="1">
        <f ca="1">IFERROR(__xludf.DUMMYFUNCTION("""COMPUTED_VALUE"""),0.337)</f>
        <v>0.33700000000000002</v>
      </c>
      <c r="W158" s="1">
        <f ca="1">IFERROR(__xludf.DUMMYFUNCTION("""COMPUTED_VALUE"""),435)</f>
        <v>435</v>
      </c>
      <c r="X158" s="1">
        <f ca="1">IFERROR(__xludf.DUMMYFUNCTION("""COMPUTED_VALUE"""),652)</f>
        <v>652</v>
      </c>
      <c r="Y158" s="1">
        <f ca="1">IFERROR(__xludf.DUMMYFUNCTION("""COMPUTED_VALUE"""),0.667)</f>
        <v>0.66700000000000004</v>
      </c>
      <c r="Z158" s="1">
        <f ca="1">IFERROR(__xludf.DUMMYFUNCTION("""COMPUTED_VALUE"""),420)</f>
        <v>420</v>
      </c>
      <c r="AA158" s="1">
        <f ca="1">IFERROR(__xludf.DUMMYFUNCTION("""COMPUTED_VALUE"""),1167)</f>
        <v>1167</v>
      </c>
      <c r="AB158" s="1">
        <f ca="1">IFERROR(__xludf.DUMMYFUNCTION("""COMPUTED_VALUE"""),415)</f>
        <v>415</v>
      </c>
      <c r="AC158" s="1">
        <f ca="1">IFERROR(__xludf.DUMMYFUNCTION("""COMPUTED_VALUE"""),187)</f>
        <v>187</v>
      </c>
      <c r="AD158" s="1">
        <f ca="1">IFERROR(__xludf.DUMMYFUNCTION("""COMPUTED_VALUE"""),140)</f>
        <v>140</v>
      </c>
      <c r="AE158" s="1">
        <f ca="1">IFERROR(__xludf.DUMMYFUNCTION("""COMPUTED_VALUE"""),471)</f>
        <v>471</v>
      </c>
      <c r="AF158" s="1">
        <f ca="1">IFERROR(__xludf.DUMMYFUNCTION("""COMPUTED_VALUE"""),517)</f>
        <v>517</v>
      </c>
    </row>
    <row r="159" spans="1:32" ht="12.5" x14ac:dyDescent="0.25">
      <c r="A159" s="1" t="str">
        <f ca="1">IFERROR(__xludf.DUMMYFUNCTION("""COMPUTED_VALUE"""),"Lafayette")</f>
        <v>Lafayette</v>
      </c>
      <c r="B159" s="1">
        <f ca="1">IFERROR(__xludf.DUMMYFUNCTION("""COMPUTED_VALUE"""),32)</f>
        <v>32</v>
      </c>
      <c r="C159" s="1">
        <f ca="1">IFERROR(__xludf.DUMMYFUNCTION("""COMPUTED_VALUE"""),19)</f>
        <v>19</v>
      </c>
      <c r="D159" s="1">
        <f ca="1">IFERROR(__xludf.DUMMYFUNCTION("""COMPUTED_VALUE"""),13)</f>
        <v>13</v>
      </c>
      <c r="E159" s="1">
        <f ca="1">IFERROR(__xludf.DUMMYFUNCTION("""COMPUTED_VALUE"""),0.594)</f>
        <v>0.59399999999999997</v>
      </c>
      <c r="F159" s="1">
        <f ca="1">IFERROR(__xludf.DUMMYFUNCTION("""COMPUTED_VALUE"""),-7.96)</f>
        <v>-7.96</v>
      </c>
      <c r="G159" s="1">
        <f ca="1">IFERROR(__xludf.DUMMYFUNCTION("""COMPUTED_VALUE"""),-8.99)</f>
        <v>-8.99</v>
      </c>
      <c r="H159" s="1">
        <f ca="1">IFERROR(__xludf.DUMMYFUNCTION("""COMPUTED_VALUE"""),8)</f>
        <v>8</v>
      </c>
      <c r="I159" s="1">
        <f ca="1">IFERROR(__xludf.DUMMYFUNCTION("""COMPUTED_VALUE"""),6)</f>
        <v>6</v>
      </c>
      <c r="J159" s="1">
        <f ca="1">IFERROR(__xludf.DUMMYFUNCTION("""COMPUTED_VALUE"""),13)</f>
        <v>13</v>
      </c>
      <c r="K159" s="1">
        <f ca="1">IFERROR(__xludf.DUMMYFUNCTION("""COMPUTED_VALUE"""),3)</f>
        <v>3</v>
      </c>
      <c r="L159" s="1">
        <f ca="1">IFERROR(__xludf.DUMMYFUNCTION("""COMPUTED_VALUE"""),6)</f>
        <v>6</v>
      </c>
      <c r="M159" s="1">
        <f ca="1">IFERROR(__xludf.DUMMYFUNCTION("""COMPUTED_VALUE"""),10)</f>
        <v>10</v>
      </c>
      <c r="N159" s="1">
        <f ca="1">IFERROR(__xludf.DUMMYFUNCTION("""COMPUTED_VALUE"""),2320)</f>
        <v>2320</v>
      </c>
      <c r="O159" s="1">
        <f ca="1">IFERROR(__xludf.DUMMYFUNCTION("""COMPUTED_VALUE"""),2287)</f>
        <v>2287</v>
      </c>
      <c r="P159" s="1">
        <f ca="1">IFERROR(__xludf.DUMMYFUNCTION("""COMPUTED_VALUE"""),1285)</f>
        <v>1285</v>
      </c>
      <c r="Q159" s="1">
        <f ca="1">IFERROR(__xludf.DUMMYFUNCTION("""COMPUTED_VALUE"""),775)</f>
        <v>775</v>
      </c>
      <c r="R159" s="1">
        <f ca="1">IFERROR(__xludf.DUMMYFUNCTION("""COMPUTED_VALUE"""),1710)</f>
        <v>1710</v>
      </c>
      <c r="S159" s="1">
        <f ca="1">IFERROR(__xludf.DUMMYFUNCTION("""COMPUTED_VALUE"""),0.453)</f>
        <v>0.45300000000000001</v>
      </c>
      <c r="T159" s="1">
        <f ca="1">IFERROR(__xludf.DUMMYFUNCTION("""COMPUTED_VALUE"""),258)</f>
        <v>258</v>
      </c>
      <c r="U159" s="1">
        <f ca="1">IFERROR(__xludf.DUMMYFUNCTION("""COMPUTED_VALUE"""),691)</f>
        <v>691</v>
      </c>
      <c r="V159" s="1">
        <f ca="1">IFERROR(__xludf.DUMMYFUNCTION("""COMPUTED_VALUE"""),0.373)</f>
        <v>0.373</v>
      </c>
      <c r="W159" s="1">
        <f ca="1">IFERROR(__xludf.DUMMYFUNCTION("""COMPUTED_VALUE"""),512)</f>
        <v>512</v>
      </c>
      <c r="X159" s="1">
        <f ca="1">IFERROR(__xludf.DUMMYFUNCTION("""COMPUTED_VALUE"""),670)</f>
        <v>670</v>
      </c>
      <c r="Y159" s="1">
        <f ca="1">IFERROR(__xludf.DUMMYFUNCTION("""COMPUTED_VALUE"""),0.764)</f>
        <v>0.76400000000000001</v>
      </c>
      <c r="Z159" s="1">
        <f ca="1">IFERROR(__xludf.DUMMYFUNCTION("""COMPUTED_VALUE"""),274)</f>
        <v>274</v>
      </c>
      <c r="AA159" s="1">
        <f ca="1">IFERROR(__xludf.DUMMYFUNCTION("""COMPUTED_VALUE"""),991)</f>
        <v>991</v>
      </c>
      <c r="AB159" s="1">
        <f ca="1">IFERROR(__xludf.DUMMYFUNCTION("""COMPUTED_VALUE"""),482)</f>
        <v>482</v>
      </c>
      <c r="AC159" s="1">
        <f ca="1">IFERROR(__xludf.DUMMYFUNCTION("""COMPUTED_VALUE"""),235)</f>
        <v>235</v>
      </c>
      <c r="AD159" s="1">
        <f ca="1">IFERROR(__xludf.DUMMYFUNCTION("""COMPUTED_VALUE"""),91)</f>
        <v>91</v>
      </c>
      <c r="AE159" s="1">
        <f ca="1">IFERROR(__xludf.DUMMYFUNCTION("""COMPUTED_VALUE"""),422)</f>
        <v>422</v>
      </c>
      <c r="AF159" s="1">
        <f ca="1">IFERROR(__xludf.DUMMYFUNCTION("""COMPUTED_VALUE"""),552)</f>
        <v>552</v>
      </c>
    </row>
    <row r="160" spans="1:32" ht="12.5" x14ac:dyDescent="0.25">
      <c r="A160" s="1" t="str">
        <f ca="1">IFERROR(__xludf.DUMMYFUNCTION("""COMPUTED_VALUE"""),"Lamar")</f>
        <v>Lamar</v>
      </c>
      <c r="B160" s="1">
        <f ca="1">IFERROR(__xludf.DUMMYFUNCTION("""COMPUTED_VALUE"""),32)</f>
        <v>32</v>
      </c>
      <c r="C160" s="1">
        <f ca="1">IFERROR(__xludf.DUMMYFUNCTION("""COMPUTED_VALUE"""),14)</f>
        <v>14</v>
      </c>
      <c r="D160" s="1">
        <f ca="1">IFERROR(__xludf.DUMMYFUNCTION("""COMPUTED_VALUE"""),18)</f>
        <v>18</v>
      </c>
      <c r="E160" s="1">
        <f ca="1">IFERROR(__xludf.DUMMYFUNCTION("""COMPUTED_VALUE"""),0.438)</f>
        <v>0.438</v>
      </c>
      <c r="F160" s="1">
        <f ca="1">IFERROR(__xludf.DUMMYFUNCTION("""COMPUTED_VALUE"""),-11.11)</f>
        <v>-11.11</v>
      </c>
      <c r="G160" s="1">
        <f ca="1">IFERROR(__xludf.DUMMYFUNCTION("""COMPUTED_VALUE"""),-4.22)</f>
        <v>-4.22</v>
      </c>
      <c r="H160" s="1">
        <f ca="1">IFERROR(__xludf.DUMMYFUNCTION("""COMPUTED_VALUE"""),5)</f>
        <v>5</v>
      </c>
      <c r="I160" s="1">
        <f ca="1">IFERROR(__xludf.DUMMYFUNCTION("""COMPUTED_VALUE"""),11)</f>
        <v>11</v>
      </c>
      <c r="J160" s="1">
        <f ca="1">IFERROR(__xludf.DUMMYFUNCTION("""COMPUTED_VALUE"""),13)</f>
        <v>13</v>
      </c>
      <c r="K160" s="1">
        <f ca="1">IFERROR(__xludf.DUMMYFUNCTION("""COMPUTED_VALUE"""),5)</f>
        <v>5</v>
      </c>
      <c r="L160" s="1">
        <f ca="1">IFERROR(__xludf.DUMMYFUNCTION("""COMPUTED_VALUE"""),1)</f>
        <v>1</v>
      </c>
      <c r="M160" s="1">
        <f ca="1">IFERROR(__xludf.DUMMYFUNCTION("""COMPUTED_VALUE"""),13)</f>
        <v>13</v>
      </c>
      <c r="N160" s="1">
        <f ca="1">IFERROR(__xludf.DUMMYFUNCTION("""COMPUTED_VALUE"""),2200)</f>
        <v>2200</v>
      </c>
      <c r="O160" s="1">
        <f ca="1">IFERROR(__xludf.DUMMYFUNCTION("""COMPUTED_VALUE"""),2288)</f>
        <v>2288</v>
      </c>
      <c r="P160" s="1">
        <f ca="1">IFERROR(__xludf.DUMMYFUNCTION("""COMPUTED_VALUE"""),1285)</f>
        <v>1285</v>
      </c>
      <c r="Q160" s="1">
        <f ca="1">IFERROR(__xludf.DUMMYFUNCTION("""COMPUTED_VALUE"""),755)</f>
        <v>755</v>
      </c>
      <c r="R160" s="1">
        <f ca="1">IFERROR(__xludf.DUMMYFUNCTION("""COMPUTED_VALUE"""),1782)</f>
        <v>1782</v>
      </c>
      <c r="S160" s="1">
        <f ca="1">IFERROR(__xludf.DUMMYFUNCTION("""COMPUTED_VALUE"""),0.424)</f>
        <v>0.42399999999999999</v>
      </c>
      <c r="T160" s="1">
        <f ca="1">IFERROR(__xludf.DUMMYFUNCTION("""COMPUTED_VALUE"""),122)</f>
        <v>122</v>
      </c>
      <c r="U160" s="1">
        <f ca="1">IFERROR(__xludf.DUMMYFUNCTION("""COMPUTED_VALUE"""),453)</f>
        <v>453</v>
      </c>
      <c r="V160" s="1">
        <f ca="1">IFERROR(__xludf.DUMMYFUNCTION("""COMPUTED_VALUE"""),0.269)</f>
        <v>0.26900000000000002</v>
      </c>
      <c r="W160" s="1">
        <f ca="1">IFERROR(__xludf.DUMMYFUNCTION("""COMPUTED_VALUE"""),568)</f>
        <v>568</v>
      </c>
      <c r="X160" s="1">
        <f ca="1">IFERROR(__xludf.DUMMYFUNCTION("""COMPUTED_VALUE"""),839)</f>
        <v>839</v>
      </c>
      <c r="Y160" s="1">
        <f ca="1">IFERROR(__xludf.DUMMYFUNCTION("""COMPUTED_VALUE"""),0.677)</f>
        <v>0.67700000000000005</v>
      </c>
      <c r="Z160" s="1">
        <f ca="1">IFERROR(__xludf.DUMMYFUNCTION("""COMPUTED_VALUE"""),449)</f>
        <v>449</v>
      </c>
      <c r="AA160" s="1">
        <f ca="1">IFERROR(__xludf.DUMMYFUNCTION("""COMPUTED_VALUE"""),1257)</f>
        <v>1257</v>
      </c>
      <c r="AB160" s="1">
        <f ca="1">IFERROR(__xludf.DUMMYFUNCTION("""COMPUTED_VALUE"""),439)</f>
        <v>439</v>
      </c>
      <c r="AC160" s="1">
        <f ca="1">IFERROR(__xludf.DUMMYFUNCTION("""COMPUTED_VALUE"""),202)</f>
        <v>202</v>
      </c>
      <c r="AD160" s="1">
        <f ca="1">IFERROR(__xludf.DUMMYFUNCTION("""COMPUTED_VALUE"""),115)</f>
        <v>115</v>
      </c>
      <c r="AE160" s="1">
        <f ca="1">IFERROR(__xludf.DUMMYFUNCTION("""COMPUTED_VALUE"""),510)</f>
        <v>510</v>
      </c>
      <c r="AF160" s="1">
        <f ca="1">IFERROR(__xludf.DUMMYFUNCTION("""COMPUTED_VALUE"""),609)</f>
        <v>609</v>
      </c>
    </row>
    <row r="161" spans="1:32" ht="12.5" x14ac:dyDescent="0.25">
      <c r="A161" s="1" t="str">
        <f ca="1">IFERROR(__xludf.DUMMYFUNCTION("""COMPUTED_VALUE"""),"LehighNCAA")</f>
        <v>LehighNCAA</v>
      </c>
      <c r="B161" s="1">
        <f ca="1">IFERROR(__xludf.DUMMYFUNCTION("""COMPUTED_VALUE"""),33)</f>
        <v>33</v>
      </c>
      <c r="C161" s="1">
        <f ca="1">IFERROR(__xludf.DUMMYFUNCTION("""COMPUTED_VALUE"""),22)</f>
        <v>22</v>
      </c>
      <c r="D161" s="1">
        <f ca="1">IFERROR(__xludf.DUMMYFUNCTION("""COMPUTED_VALUE"""),11)</f>
        <v>11</v>
      </c>
      <c r="E161" s="1">
        <f ca="1">IFERROR(__xludf.DUMMYFUNCTION("""COMPUTED_VALUE"""),0.667)</f>
        <v>0.66700000000000004</v>
      </c>
      <c r="F161" s="1">
        <f ca="1">IFERROR(__xludf.DUMMYFUNCTION("""COMPUTED_VALUE"""),-3.33)</f>
        <v>-3.33</v>
      </c>
      <c r="G161" s="1">
        <f ca="1">IFERROR(__xludf.DUMMYFUNCTION("""COMPUTED_VALUE"""),-7.79)</f>
        <v>-7.79</v>
      </c>
      <c r="H161" s="1">
        <f ca="1">IFERROR(__xludf.DUMMYFUNCTION("""COMPUTED_VALUE"""),10)</f>
        <v>10</v>
      </c>
      <c r="I161" s="1">
        <f ca="1">IFERROR(__xludf.DUMMYFUNCTION("""COMPUTED_VALUE"""),4)</f>
        <v>4</v>
      </c>
      <c r="J161" s="1">
        <f ca="1">IFERROR(__xludf.DUMMYFUNCTION("""COMPUTED_VALUE"""),15)</f>
        <v>15</v>
      </c>
      <c r="K161" s="1">
        <f ca="1">IFERROR(__xludf.DUMMYFUNCTION("""COMPUTED_VALUE"""),2)</f>
        <v>2</v>
      </c>
      <c r="L161" s="1">
        <f ca="1">IFERROR(__xludf.DUMMYFUNCTION("""COMPUTED_VALUE"""),7)</f>
        <v>7</v>
      </c>
      <c r="M161" s="1">
        <f ca="1">IFERROR(__xludf.DUMMYFUNCTION("""COMPUTED_VALUE"""),8)</f>
        <v>8</v>
      </c>
      <c r="N161" s="1">
        <f ca="1">IFERROR(__xludf.DUMMYFUNCTION("""COMPUTED_VALUE"""),2478)</f>
        <v>2478</v>
      </c>
      <c r="O161" s="1">
        <f ca="1">IFERROR(__xludf.DUMMYFUNCTION("""COMPUTED_VALUE"""),2331)</f>
        <v>2331</v>
      </c>
      <c r="P161" s="1">
        <f ca="1">IFERROR(__xludf.DUMMYFUNCTION("""COMPUTED_VALUE"""),1330)</f>
        <v>1330</v>
      </c>
      <c r="Q161" s="1">
        <f ca="1">IFERROR(__xludf.DUMMYFUNCTION("""COMPUTED_VALUE"""),842)</f>
        <v>842</v>
      </c>
      <c r="R161" s="1">
        <f ca="1">IFERROR(__xludf.DUMMYFUNCTION("""COMPUTED_VALUE"""),1853)</f>
        <v>1853</v>
      </c>
      <c r="S161" s="1">
        <f ca="1">IFERROR(__xludf.DUMMYFUNCTION("""COMPUTED_VALUE"""),0.454)</f>
        <v>0.45400000000000001</v>
      </c>
      <c r="T161" s="1">
        <f ca="1">IFERROR(__xludf.DUMMYFUNCTION("""COMPUTED_VALUE"""),220)</f>
        <v>220</v>
      </c>
      <c r="U161" s="1">
        <f ca="1">IFERROR(__xludf.DUMMYFUNCTION("""COMPUTED_VALUE"""),551)</f>
        <v>551</v>
      </c>
      <c r="V161" s="1">
        <f ca="1">IFERROR(__xludf.DUMMYFUNCTION("""COMPUTED_VALUE"""),0.399)</f>
        <v>0.39900000000000002</v>
      </c>
      <c r="W161" s="1">
        <f ca="1">IFERROR(__xludf.DUMMYFUNCTION("""COMPUTED_VALUE"""),574)</f>
        <v>574</v>
      </c>
      <c r="X161" s="1">
        <f ca="1">IFERROR(__xludf.DUMMYFUNCTION("""COMPUTED_VALUE"""),799)</f>
        <v>799</v>
      </c>
      <c r="Y161" s="1">
        <f ca="1">IFERROR(__xludf.DUMMYFUNCTION("""COMPUTED_VALUE"""),0.718)</f>
        <v>0.71799999999999997</v>
      </c>
      <c r="Z161" s="1">
        <f ca="1">IFERROR(__xludf.DUMMYFUNCTION("""COMPUTED_VALUE"""),339)</f>
        <v>339</v>
      </c>
      <c r="AA161" s="1">
        <f ca="1">IFERROR(__xludf.DUMMYFUNCTION("""COMPUTED_VALUE"""),1201)</f>
        <v>1201</v>
      </c>
      <c r="AB161" s="1">
        <f ca="1">IFERROR(__xludf.DUMMYFUNCTION("""COMPUTED_VALUE"""),495)</f>
        <v>495</v>
      </c>
      <c r="AC161" s="1">
        <f ca="1">IFERROR(__xludf.DUMMYFUNCTION("""COMPUTED_VALUE"""),203)</f>
        <v>203</v>
      </c>
      <c r="AD161" s="1">
        <f ca="1">IFERROR(__xludf.DUMMYFUNCTION("""COMPUTED_VALUE"""),85)</f>
        <v>85</v>
      </c>
      <c r="AE161" s="1">
        <f ca="1">IFERROR(__xludf.DUMMYFUNCTION("""COMPUTED_VALUE"""),429)</f>
        <v>429</v>
      </c>
      <c r="AF161" s="1">
        <f ca="1">IFERROR(__xludf.DUMMYFUNCTION("""COMPUTED_VALUE"""),589)</f>
        <v>589</v>
      </c>
    </row>
    <row r="162" spans="1:32" ht="12.5" x14ac:dyDescent="0.25">
      <c r="A162" s="1" t="str">
        <f ca="1">IFERROR(__xludf.DUMMYFUNCTION("""COMPUTED_VALUE"""),"Liberty")</f>
        <v>Liberty</v>
      </c>
      <c r="B162" s="1">
        <f ca="1">IFERROR(__xludf.DUMMYFUNCTION("""COMPUTED_VALUE"""),31)</f>
        <v>31</v>
      </c>
      <c r="C162" s="1">
        <f ca="1">IFERROR(__xludf.DUMMYFUNCTION("""COMPUTED_VALUE"""),15)</f>
        <v>15</v>
      </c>
      <c r="D162" s="1">
        <f ca="1">IFERROR(__xludf.DUMMYFUNCTION("""COMPUTED_VALUE"""),16)</f>
        <v>16</v>
      </c>
      <c r="E162" s="1">
        <f ca="1">IFERROR(__xludf.DUMMYFUNCTION("""COMPUTED_VALUE"""),0.484)</f>
        <v>0.48399999999999999</v>
      </c>
      <c r="F162" s="1">
        <f ca="1">IFERROR(__xludf.DUMMYFUNCTION("""COMPUTED_VALUE"""),-13.22)</f>
        <v>-13.22</v>
      </c>
      <c r="G162" s="1">
        <f ca="1">IFERROR(__xludf.DUMMYFUNCTION("""COMPUTED_VALUE"""),-7.25)</f>
        <v>-7.25</v>
      </c>
      <c r="H162" s="1">
        <f ca="1">IFERROR(__xludf.DUMMYFUNCTION("""COMPUTED_VALUE"""),10)</f>
        <v>10</v>
      </c>
      <c r="I162" s="1">
        <f ca="1">IFERROR(__xludf.DUMMYFUNCTION("""COMPUTED_VALUE"""),8)</f>
        <v>8</v>
      </c>
      <c r="J162" s="1">
        <f ca="1">IFERROR(__xludf.DUMMYFUNCTION("""COMPUTED_VALUE"""),8)</f>
        <v>8</v>
      </c>
      <c r="K162" s="1">
        <f ca="1">IFERROR(__xludf.DUMMYFUNCTION("""COMPUTED_VALUE"""),6)</f>
        <v>6</v>
      </c>
      <c r="L162" s="1">
        <f ca="1">IFERROR(__xludf.DUMMYFUNCTION("""COMPUTED_VALUE"""),5)</f>
        <v>5</v>
      </c>
      <c r="M162" s="1">
        <f ca="1">IFERROR(__xludf.DUMMYFUNCTION("""COMPUTED_VALUE"""),9)</f>
        <v>9</v>
      </c>
      <c r="N162" s="1">
        <f ca="1">IFERROR(__xludf.DUMMYFUNCTION("""COMPUTED_VALUE"""),2093)</f>
        <v>2093</v>
      </c>
      <c r="O162" s="1">
        <f ca="1">IFERROR(__xludf.DUMMYFUNCTION("""COMPUTED_VALUE"""),2114)</f>
        <v>2114</v>
      </c>
      <c r="P162" s="1">
        <f ca="1">IFERROR(__xludf.DUMMYFUNCTION("""COMPUTED_VALUE"""),1240)</f>
        <v>1240</v>
      </c>
      <c r="Q162" s="1">
        <f ca="1">IFERROR(__xludf.DUMMYFUNCTION("""COMPUTED_VALUE"""),727)</f>
        <v>727</v>
      </c>
      <c r="R162" s="1">
        <f ca="1">IFERROR(__xludf.DUMMYFUNCTION("""COMPUTED_VALUE"""),1656)</f>
        <v>1656</v>
      </c>
      <c r="S162" s="1">
        <f ca="1">IFERROR(__xludf.DUMMYFUNCTION("""COMPUTED_VALUE"""),0.439)</f>
        <v>0.439</v>
      </c>
      <c r="T162" s="1">
        <f ca="1">IFERROR(__xludf.DUMMYFUNCTION("""COMPUTED_VALUE"""),171)</f>
        <v>171</v>
      </c>
      <c r="U162" s="1">
        <f ca="1">IFERROR(__xludf.DUMMYFUNCTION("""COMPUTED_VALUE"""),510)</f>
        <v>510</v>
      </c>
      <c r="V162" s="1">
        <f ca="1">IFERROR(__xludf.DUMMYFUNCTION("""COMPUTED_VALUE"""),0.335)</f>
        <v>0.33500000000000002</v>
      </c>
      <c r="W162" s="1">
        <f ca="1">IFERROR(__xludf.DUMMYFUNCTION("""COMPUTED_VALUE"""),468)</f>
        <v>468</v>
      </c>
      <c r="X162" s="1">
        <f ca="1">IFERROR(__xludf.DUMMYFUNCTION("""COMPUTED_VALUE"""),669)</f>
        <v>669</v>
      </c>
      <c r="Y162" s="1">
        <f ca="1">IFERROR(__xludf.DUMMYFUNCTION("""COMPUTED_VALUE"""),0.7)</f>
        <v>0.7</v>
      </c>
      <c r="Z162" s="1">
        <f ca="1">IFERROR(__xludf.DUMMYFUNCTION("""COMPUTED_VALUE"""),333)</f>
        <v>333</v>
      </c>
      <c r="AA162" s="1">
        <f ca="1">IFERROR(__xludf.DUMMYFUNCTION("""COMPUTED_VALUE"""),1141)</f>
        <v>1141</v>
      </c>
      <c r="AB162" s="1">
        <f ca="1">IFERROR(__xludf.DUMMYFUNCTION("""COMPUTED_VALUE"""),383)</f>
        <v>383</v>
      </c>
      <c r="AC162" s="1">
        <f ca="1">IFERROR(__xludf.DUMMYFUNCTION("""COMPUTED_VALUE"""),205)</f>
        <v>205</v>
      </c>
      <c r="AD162" s="1">
        <f ca="1">IFERROR(__xludf.DUMMYFUNCTION("""COMPUTED_VALUE"""),91)</f>
        <v>91</v>
      </c>
      <c r="AE162" s="1">
        <f ca="1">IFERROR(__xludf.DUMMYFUNCTION("""COMPUTED_VALUE"""),483)</f>
        <v>483</v>
      </c>
      <c r="AF162" s="1">
        <f ca="1">IFERROR(__xludf.DUMMYFUNCTION("""COMPUTED_VALUE"""),567)</f>
        <v>567</v>
      </c>
    </row>
    <row r="163" spans="1:32" ht="12.5" x14ac:dyDescent="0.25">
      <c r="A163" s="1" t="str">
        <f ca="1">IFERROR(__xludf.DUMMYFUNCTION("""COMPUTED_VALUE"""),"Lipscomb")</f>
        <v>Lipscomb</v>
      </c>
      <c r="B163" s="1">
        <f ca="1">IFERROR(__xludf.DUMMYFUNCTION("""COMPUTED_VALUE"""),30)</f>
        <v>30</v>
      </c>
      <c r="C163" s="1">
        <f ca="1">IFERROR(__xludf.DUMMYFUNCTION("""COMPUTED_VALUE"""),17)</f>
        <v>17</v>
      </c>
      <c r="D163" s="1">
        <f ca="1">IFERROR(__xludf.DUMMYFUNCTION("""COMPUTED_VALUE"""),13)</f>
        <v>13</v>
      </c>
      <c r="E163" s="1">
        <f ca="1">IFERROR(__xludf.DUMMYFUNCTION("""COMPUTED_VALUE"""),0.567)</f>
        <v>0.56699999999999995</v>
      </c>
      <c r="F163" s="1">
        <f ca="1">IFERROR(__xludf.DUMMYFUNCTION("""COMPUTED_VALUE"""),-2.07)</f>
        <v>-2.0699999999999998</v>
      </c>
      <c r="G163" s="1">
        <f ca="1">IFERROR(__xludf.DUMMYFUNCTION("""COMPUTED_VALUE"""),-3.07)</f>
        <v>-3.07</v>
      </c>
      <c r="H163" s="1">
        <f ca="1">IFERROR(__xludf.DUMMYFUNCTION("""COMPUTED_VALUE"""),14)</f>
        <v>14</v>
      </c>
      <c r="I163" s="1">
        <f ca="1">IFERROR(__xludf.DUMMYFUNCTION("""COMPUTED_VALUE"""),6)</f>
        <v>6</v>
      </c>
      <c r="J163" s="1">
        <f ca="1">IFERROR(__xludf.DUMMYFUNCTION("""COMPUTED_VALUE"""),9)</f>
        <v>9</v>
      </c>
      <c r="K163" s="1">
        <f ca="1">IFERROR(__xludf.DUMMYFUNCTION("""COMPUTED_VALUE"""),5)</f>
        <v>5</v>
      </c>
      <c r="L163" s="1">
        <f ca="1">IFERROR(__xludf.DUMMYFUNCTION("""COMPUTED_VALUE"""),8)</f>
        <v>8</v>
      </c>
      <c r="M163" s="1">
        <f ca="1">IFERROR(__xludf.DUMMYFUNCTION("""COMPUTED_VALUE"""),7)</f>
        <v>7</v>
      </c>
      <c r="N163" s="1">
        <f ca="1">IFERROR(__xludf.DUMMYFUNCTION("""COMPUTED_VALUE"""),2373)</f>
        <v>2373</v>
      </c>
      <c r="O163" s="1">
        <f ca="1">IFERROR(__xludf.DUMMYFUNCTION("""COMPUTED_VALUE"""),2255)</f>
        <v>2255</v>
      </c>
      <c r="P163" s="1">
        <f ca="1">IFERROR(__xludf.DUMMYFUNCTION("""COMPUTED_VALUE"""),1210)</f>
        <v>1210</v>
      </c>
      <c r="Q163" s="1">
        <f ca="1">IFERROR(__xludf.DUMMYFUNCTION("""COMPUTED_VALUE"""),826)</f>
        <v>826</v>
      </c>
      <c r="R163" s="1">
        <f ca="1">IFERROR(__xludf.DUMMYFUNCTION("""COMPUTED_VALUE"""),1778)</f>
        <v>1778</v>
      </c>
      <c r="S163" s="1">
        <f ca="1">IFERROR(__xludf.DUMMYFUNCTION("""COMPUTED_VALUE"""),0.465)</f>
        <v>0.46500000000000002</v>
      </c>
      <c r="T163" s="1">
        <f ca="1">IFERROR(__xludf.DUMMYFUNCTION("""COMPUTED_VALUE"""),243)</f>
        <v>243</v>
      </c>
      <c r="U163" s="1">
        <f ca="1">IFERROR(__xludf.DUMMYFUNCTION("""COMPUTED_VALUE"""),667)</f>
        <v>667</v>
      </c>
      <c r="V163" s="1">
        <f ca="1">IFERROR(__xludf.DUMMYFUNCTION("""COMPUTED_VALUE"""),0.364)</f>
        <v>0.36399999999999999</v>
      </c>
      <c r="W163" s="1">
        <f ca="1">IFERROR(__xludf.DUMMYFUNCTION("""COMPUTED_VALUE"""),478)</f>
        <v>478</v>
      </c>
      <c r="X163" s="1">
        <f ca="1">IFERROR(__xludf.DUMMYFUNCTION("""COMPUTED_VALUE"""),678)</f>
        <v>678</v>
      </c>
      <c r="Y163" s="1">
        <f ca="1">IFERROR(__xludf.DUMMYFUNCTION("""COMPUTED_VALUE"""),0.705)</f>
        <v>0.70499999999999996</v>
      </c>
      <c r="Z163" s="1">
        <f ca="1">IFERROR(__xludf.DUMMYFUNCTION("""COMPUTED_VALUE"""),385)</f>
        <v>385</v>
      </c>
      <c r="AA163" s="1">
        <f ca="1">IFERROR(__xludf.DUMMYFUNCTION("""COMPUTED_VALUE"""),1105)</f>
        <v>1105</v>
      </c>
      <c r="AB163" s="1">
        <f ca="1">IFERROR(__xludf.DUMMYFUNCTION("""COMPUTED_VALUE"""),519)</f>
        <v>519</v>
      </c>
      <c r="AC163" s="1">
        <f ca="1">IFERROR(__xludf.DUMMYFUNCTION("""COMPUTED_VALUE"""),201)</f>
        <v>201</v>
      </c>
      <c r="AD163" s="1">
        <f ca="1">IFERROR(__xludf.DUMMYFUNCTION("""COMPUTED_VALUE"""),76)</f>
        <v>76</v>
      </c>
      <c r="AE163" s="1">
        <f ca="1">IFERROR(__xludf.DUMMYFUNCTION("""COMPUTED_VALUE"""),439)</f>
        <v>439</v>
      </c>
      <c r="AF163" s="1">
        <f ca="1">IFERROR(__xludf.DUMMYFUNCTION("""COMPUTED_VALUE"""),520)</f>
        <v>520</v>
      </c>
    </row>
    <row r="164" spans="1:32" ht="12.5" x14ac:dyDescent="0.25">
      <c r="A164" s="1" t="str">
        <f ca="1">IFERROR(__xludf.DUMMYFUNCTION("""COMPUTED_VALUE"""),"Cal State Long Beach")</f>
        <v>Cal State Long Beach</v>
      </c>
      <c r="B164" s="1">
        <f ca="1">IFERROR(__xludf.DUMMYFUNCTION("""COMPUTED_VALUE"""),33)</f>
        <v>33</v>
      </c>
      <c r="C164" s="1">
        <f ca="1">IFERROR(__xludf.DUMMYFUNCTION("""COMPUTED_VALUE"""),17)</f>
        <v>17</v>
      </c>
      <c r="D164" s="1">
        <f ca="1">IFERROR(__xludf.DUMMYFUNCTION("""COMPUTED_VALUE"""),16)</f>
        <v>16</v>
      </c>
      <c r="E164" s="1">
        <f ca="1">IFERROR(__xludf.DUMMYFUNCTION("""COMPUTED_VALUE"""),0.515)</f>
        <v>0.51500000000000001</v>
      </c>
      <c r="F164" s="1">
        <f ca="1">IFERROR(__xludf.DUMMYFUNCTION("""COMPUTED_VALUE"""),-0.42)</f>
        <v>-0.42</v>
      </c>
      <c r="G164" s="1">
        <f ca="1">IFERROR(__xludf.DUMMYFUNCTION("""COMPUTED_VALUE"""),1.55)</f>
        <v>1.55</v>
      </c>
      <c r="H164" s="1">
        <f ca="1">IFERROR(__xludf.DUMMYFUNCTION("""COMPUTED_VALUE"""),8)</f>
        <v>8</v>
      </c>
      <c r="I164" s="1">
        <f ca="1">IFERROR(__xludf.DUMMYFUNCTION("""COMPUTED_VALUE"""),8)</f>
        <v>8</v>
      </c>
      <c r="J164" s="1">
        <f ca="1">IFERROR(__xludf.DUMMYFUNCTION("""COMPUTED_VALUE"""),8)</f>
        <v>8</v>
      </c>
      <c r="K164" s="1">
        <f ca="1">IFERROR(__xludf.DUMMYFUNCTION("""COMPUTED_VALUE"""),3)</f>
        <v>3</v>
      </c>
      <c r="L164" s="1">
        <f ca="1">IFERROR(__xludf.DUMMYFUNCTION("""COMPUTED_VALUE"""),6)</f>
        <v>6</v>
      </c>
      <c r="M164" s="1">
        <f ca="1">IFERROR(__xludf.DUMMYFUNCTION("""COMPUTED_VALUE"""),10)</f>
        <v>10</v>
      </c>
      <c r="N164" s="1">
        <f ca="1">IFERROR(__xludf.DUMMYFUNCTION("""COMPUTED_VALUE"""),2344)</f>
        <v>2344</v>
      </c>
      <c r="O164" s="1">
        <f ca="1">IFERROR(__xludf.DUMMYFUNCTION("""COMPUTED_VALUE"""),2347)</f>
        <v>2347</v>
      </c>
      <c r="P164" s="1">
        <f ca="1">IFERROR(__xludf.DUMMYFUNCTION("""COMPUTED_VALUE"""),1335)</f>
        <v>1335</v>
      </c>
      <c r="Q164" s="1">
        <f ca="1">IFERROR(__xludf.DUMMYFUNCTION("""COMPUTED_VALUE"""),828)</f>
        <v>828</v>
      </c>
      <c r="R164" s="1">
        <f ca="1">IFERROR(__xludf.DUMMYFUNCTION("""COMPUTED_VALUE"""),1912)</f>
        <v>1912</v>
      </c>
      <c r="S164" s="1">
        <f ca="1">IFERROR(__xludf.DUMMYFUNCTION("""COMPUTED_VALUE"""),0.433)</f>
        <v>0.433</v>
      </c>
      <c r="T164" s="1">
        <f ca="1">IFERROR(__xludf.DUMMYFUNCTION("""COMPUTED_VALUE"""),202)</f>
        <v>202</v>
      </c>
      <c r="U164" s="1">
        <f ca="1">IFERROR(__xludf.DUMMYFUNCTION("""COMPUTED_VALUE"""),613)</f>
        <v>613</v>
      </c>
      <c r="V164" s="1">
        <f ca="1">IFERROR(__xludf.DUMMYFUNCTION("""COMPUTED_VALUE"""),0.33)</f>
        <v>0.33</v>
      </c>
      <c r="W164" s="1">
        <f ca="1">IFERROR(__xludf.DUMMYFUNCTION("""COMPUTED_VALUE"""),486)</f>
        <v>486</v>
      </c>
      <c r="X164" s="1">
        <f ca="1">IFERROR(__xludf.DUMMYFUNCTION("""COMPUTED_VALUE"""),745)</f>
        <v>745</v>
      </c>
      <c r="Y164" s="1">
        <f ca="1">IFERROR(__xludf.DUMMYFUNCTION("""COMPUTED_VALUE"""),0.652)</f>
        <v>0.65200000000000002</v>
      </c>
      <c r="Z164" s="1">
        <f ca="1">IFERROR(__xludf.DUMMYFUNCTION("""COMPUTED_VALUE"""),395)</f>
        <v>395</v>
      </c>
      <c r="AA164" s="1">
        <f ca="1">IFERROR(__xludf.DUMMYFUNCTION("""COMPUTED_VALUE"""),1176)</f>
        <v>1176</v>
      </c>
      <c r="AB164" s="1">
        <f ca="1">IFERROR(__xludf.DUMMYFUNCTION("""COMPUTED_VALUE"""),440)</f>
        <v>440</v>
      </c>
      <c r="AC164" s="1">
        <f ca="1">IFERROR(__xludf.DUMMYFUNCTION("""COMPUTED_VALUE"""),256)</f>
        <v>256</v>
      </c>
      <c r="AD164" s="1">
        <f ca="1">IFERROR(__xludf.DUMMYFUNCTION("""COMPUTED_VALUE"""),89)</f>
        <v>89</v>
      </c>
      <c r="AE164" s="1">
        <f ca="1">IFERROR(__xludf.DUMMYFUNCTION("""COMPUTED_VALUE"""),473)</f>
        <v>473</v>
      </c>
      <c r="AF164" s="1">
        <f ca="1">IFERROR(__xludf.DUMMYFUNCTION("""COMPUTED_VALUE"""),591)</f>
        <v>591</v>
      </c>
    </row>
    <row r="165" spans="1:32" ht="12.5" x14ac:dyDescent="0.25">
      <c r="A165" s="1" t="str">
        <f ca="1">IFERROR(__xludf.DUMMYFUNCTION("""COMPUTED_VALUE"""),"Long Island University")</f>
        <v>Long Island University</v>
      </c>
      <c r="B165" s="1">
        <f ca="1">IFERROR(__xludf.DUMMYFUNCTION("""COMPUTED_VALUE"""),31)</f>
        <v>31</v>
      </c>
      <c r="C165" s="1">
        <f ca="1">IFERROR(__xludf.DUMMYFUNCTION("""COMPUTED_VALUE"""),14)</f>
        <v>14</v>
      </c>
      <c r="D165" s="1">
        <f ca="1">IFERROR(__xludf.DUMMYFUNCTION("""COMPUTED_VALUE"""),17)</f>
        <v>17</v>
      </c>
      <c r="E165" s="1">
        <f ca="1">IFERROR(__xludf.DUMMYFUNCTION("""COMPUTED_VALUE"""),0.452)</f>
        <v>0.45200000000000001</v>
      </c>
      <c r="F165" s="1">
        <f ca="1">IFERROR(__xludf.DUMMYFUNCTION("""COMPUTED_VALUE"""),-11.56)</f>
        <v>-11.56</v>
      </c>
      <c r="G165" s="1">
        <f ca="1">IFERROR(__xludf.DUMMYFUNCTION("""COMPUTED_VALUE"""),-8.25)</f>
        <v>-8.25</v>
      </c>
      <c r="H165" s="1">
        <f ca="1">IFERROR(__xludf.DUMMYFUNCTION("""COMPUTED_VALUE"""),11)</f>
        <v>11</v>
      </c>
      <c r="I165" s="1">
        <f ca="1">IFERROR(__xludf.DUMMYFUNCTION("""COMPUTED_VALUE"""),7)</f>
        <v>7</v>
      </c>
      <c r="J165" s="1">
        <f ca="1">IFERROR(__xludf.DUMMYFUNCTION("""COMPUTED_VALUE"""),10)</f>
        <v>10</v>
      </c>
      <c r="K165" s="1">
        <f ca="1">IFERROR(__xludf.DUMMYFUNCTION("""COMPUTED_VALUE"""),3)</f>
        <v>3</v>
      </c>
      <c r="L165" s="1">
        <f ca="1">IFERROR(__xludf.DUMMYFUNCTION("""COMPUTED_VALUE"""),4)</f>
        <v>4</v>
      </c>
      <c r="M165" s="1">
        <f ca="1">IFERROR(__xludf.DUMMYFUNCTION("""COMPUTED_VALUE"""),13)</f>
        <v>13</v>
      </c>
      <c r="N165" s="1">
        <f ca="1">IFERROR(__xludf.DUMMYFUNCTION("""COMPUTED_VALUE"""),2162)</f>
        <v>2162</v>
      </c>
      <c r="O165" s="1">
        <f ca="1">IFERROR(__xludf.DUMMYFUNCTION("""COMPUTED_VALUE"""),2225)</f>
        <v>2225</v>
      </c>
      <c r="P165" s="1">
        <f ca="1">IFERROR(__xludf.DUMMYFUNCTION("""COMPUTED_VALUE"""),1265)</f>
        <v>1265</v>
      </c>
      <c r="Q165" s="1">
        <f ca="1">IFERROR(__xludf.DUMMYFUNCTION("""COMPUTED_VALUE"""),721)</f>
        <v>721</v>
      </c>
      <c r="R165" s="1">
        <f ca="1">IFERROR(__xludf.DUMMYFUNCTION("""COMPUTED_VALUE"""),1802)</f>
        <v>1802</v>
      </c>
      <c r="S165" s="1">
        <f ca="1">IFERROR(__xludf.DUMMYFUNCTION("""COMPUTED_VALUE"""),0.4)</f>
        <v>0.4</v>
      </c>
      <c r="T165" s="1">
        <f ca="1">IFERROR(__xludf.DUMMYFUNCTION("""COMPUTED_VALUE"""),230)</f>
        <v>230</v>
      </c>
      <c r="U165" s="1">
        <f ca="1">IFERROR(__xludf.DUMMYFUNCTION("""COMPUTED_VALUE"""),661)</f>
        <v>661</v>
      </c>
      <c r="V165" s="1">
        <f ca="1">IFERROR(__xludf.DUMMYFUNCTION("""COMPUTED_VALUE"""),0.348)</f>
        <v>0.34799999999999998</v>
      </c>
      <c r="W165" s="1">
        <f ca="1">IFERROR(__xludf.DUMMYFUNCTION("""COMPUTED_VALUE"""),490)</f>
        <v>490</v>
      </c>
      <c r="X165" s="1">
        <f ca="1">IFERROR(__xludf.DUMMYFUNCTION("""COMPUTED_VALUE"""),709)</f>
        <v>709</v>
      </c>
      <c r="Y165" s="1">
        <f ca="1">IFERROR(__xludf.DUMMYFUNCTION("""COMPUTED_VALUE"""),0.691)</f>
        <v>0.69099999999999995</v>
      </c>
      <c r="Z165" s="1">
        <f ca="1">IFERROR(__xludf.DUMMYFUNCTION("""COMPUTED_VALUE"""),426)</f>
        <v>426</v>
      </c>
      <c r="AA165" s="1">
        <f ca="1">IFERROR(__xludf.DUMMYFUNCTION("""COMPUTED_VALUE"""),1210)</f>
        <v>1210</v>
      </c>
      <c r="AB165" s="1">
        <f ca="1">IFERROR(__xludf.DUMMYFUNCTION("""COMPUTED_VALUE"""),335)</f>
        <v>335</v>
      </c>
      <c r="AC165" s="1">
        <f ca="1">IFERROR(__xludf.DUMMYFUNCTION("""COMPUTED_VALUE"""),180)</f>
        <v>180</v>
      </c>
      <c r="AD165" s="1">
        <f ca="1">IFERROR(__xludf.DUMMYFUNCTION("""COMPUTED_VALUE"""),122)</f>
        <v>122</v>
      </c>
      <c r="AE165" s="1">
        <f ca="1">IFERROR(__xludf.DUMMYFUNCTION("""COMPUTED_VALUE"""),437)</f>
        <v>437</v>
      </c>
      <c r="AF165" s="1">
        <f ca="1">IFERROR(__xludf.DUMMYFUNCTION("""COMPUTED_VALUE"""),551)</f>
        <v>551</v>
      </c>
    </row>
    <row r="166" spans="1:32" ht="12.5" x14ac:dyDescent="0.25">
      <c r="A166" s="1" t="str">
        <f ca="1">IFERROR(__xludf.DUMMYFUNCTION("""COMPUTED_VALUE"""),"Longwood")</f>
        <v>Longwood</v>
      </c>
      <c r="B166" s="1">
        <f ca="1">IFERROR(__xludf.DUMMYFUNCTION("""COMPUTED_VALUE"""),31)</f>
        <v>31</v>
      </c>
      <c r="C166" s="1">
        <f ca="1">IFERROR(__xludf.DUMMYFUNCTION("""COMPUTED_VALUE"""),12)</f>
        <v>12</v>
      </c>
      <c r="D166" s="1">
        <f ca="1">IFERROR(__xludf.DUMMYFUNCTION("""COMPUTED_VALUE"""),19)</f>
        <v>19</v>
      </c>
      <c r="E166" s="1">
        <f ca="1">IFERROR(__xludf.DUMMYFUNCTION("""COMPUTED_VALUE"""),0.387)</f>
        <v>0.38700000000000001</v>
      </c>
      <c r="F166" s="1">
        <f ca="1">IFERROR(__xludf.DUMMYFUNCTION("""COMPUTED_VALUE"""),-14.69)</f>
        <v>-14.69</v>
      </c>
      <c r="G166" s="1">
        <f ca="1">IFERROR(__xludf.DUMMYFUNCTION("""COMPUTED_VALUE"""),-3.74)</f>
        <v>-3.74</v>
      </c>
      <c r="H166" s="1" t="str">
        <f ca="1">IFERROR(__xludf.DUMMYFUNCTION("""COMPUTED_VALUE"""),"")</f>
        <v/>
      </c>
      <c r="I166" s="1" t="str">
        <f ca="1">IFERROR(__xludf.DUMMYFUNCTION("""COMPUTED_VALUE"""),"")</f>
        <v/>
      </c>
      <c r="J166" s="1">
        <f ca="1">IFERROR(__xludf.DUMMYFUNCTION("""COMPUTED_VALUE"""),9)</f>
        <v>9</v>
      </c>
      <c r="K166" s="1">
        <f ca="1">IFERROR(__xludf.DUMMYFUNCTION("""COMPUTED_VALUE"""),3)</f>
        <v>3</v>
      </c>
      <c r="L166" s="1">
        <f ca="1">IFERROR(__xludf.DUMMYFUNCTION("""COMPUTED_VALUE"""),3)</f>
        <v>3</v>
      </c>
      <c r="M166" s="1">
        <f ca="1">IFERROR(__xludf.DUMMYFUNCTION("""COMPUTED_VALUE"""),14)</f>
        <v>14</v>
      </c>
      <c r="N166" s="1">
        <f ca="1">IFERROR(__xludf.DUMMYFUNCTION("""COMPUTED_VALUE"""),2297)</f>
        <v>2297</v>
      </c>
      <c r="O166" s="1">
        <f ca="1">IFERROR(__xludf.DUMMYFUNCTION("""COMPUTED_VALUE"""),2437)</f>
        <v>2437</v>
      </c>
      <c r="P166" s="1">
        <f ca="1">IFERROR(__xludf.DUMMYFUNCTION("""COMPUTED_VALUE"""),1240)</f>
        <v>1240</v>
      </c>
      <c r="Q166" s="1">
        <f ca="1">IFERROR(__xludf.DUMMYFUNCTION("""COMPUTED_VALUE"""),859)</f>
        <v>859</v>
      </c>
      <c r="R166" s="1">
        <f ca="1">IFERROR(__xludf.DUMMYFUNCTION("""COMPUTED_VALUE"""),1963)</f>
        <v>1963</v>
      </c>
      <c r="S166" s="1">
        <f ca="1">IFERROR(__xludf.DUMMYFUNCTION("""COMPUTED_VALUE"""),0.438)</f>
        <v>0.438</v>
      </c>
      <c r="T166" s="1">
        <f ca="1">IFERROR(__xludf.DUMMYFUNCTION("""COMPUTED_VALUE"""),217)</f>
        <v>217</v>
      </c>
      <c r="U166" s="1">
        <f ca="1">IFERROR(__xludf.DUMMYFUNCTION("""COMPUTED_VALUE"""),632)</f>
        <v>632</v>
      </c>
      <c r="V166" s="1">
        <f ca="1">IFERROR(__xludf.DUMMYFUNCTION("""COMPUTED_VALUE"""),0.343)</f>
        <v>0.34300000000000003</v>
      </c>
      <c r="W166" s="1">
        <f ca="1">IFERROR(__xludf.DUMMYFUNCTION("""COMPUTED_VALUE"""),362)</f>
        <v>362</v>
      </c>
      <c r="X166" s="1">
        <f ca="1">IFERROR(__xludf.DUMMYFUNCTION("""COMPUTED_VALUE"""),554)</f>
        <v>554</v>
      </c>
      <c r="Y166" s="1">
        <f ca="1">IFERROR(__xludf.DUMMYFUNCTION("""COMPUTED_VALUE"""),0.653)</f>
        <v>0.65300000000000002</v>
      </c>
      <c r="Z166" s="1">
        <f ca="1">IFERROR(__xludf.DUMMYFUNCTION("""COMPUTED_VALUE"""),388)</f>
        <v>388</v>
      </c>
      <c r="AA166" s="1">
        <f ca="1">IFERROR(__xludf.DUMMYFUNCTION("""COMPUTED_VALUE"""),1091)</f>
        <v>1091</v>
      </c>
      <c r="AB166" s="1">
        <f ca="1">IFERROR(__xludf.DUMMYFUNCTION("""COMPUTED_VALUE"""),524)</f>
        <v>524</v>
      </c>
      <c r="AC166" s="1">
        <f ca="1">IFERROR(__xludf.DUMMYFUNCTION("""COMPUTED_VALUE"""),221)</f>
        <v>221</v>
      </c>
      <c r="AD166" s="1">
        <f ca="1">IFERROR(__xludf.DUMMYFUNCTION("""COMPUTED_VALUE"""),69)</f>
        <v>69</v>
      </c>
      <c r="AE166" s="1">
        <f ca="1">IFERROR(__xludf.DUMMYFUNCTION("""COMPUTED_VALUE"""),475)</f>
        <v>475</v>
      </c>
      <c r="AF166" s="1">
        <f ca="1">IFERROR(__xludf.DUMMYFUNCTION("""COMPUTED_VALUE"""),652)</f>
        <v>652</v>
      </c>
    </row>
    <row r="167" spans="1:32" ht="12.5" x14ac:dyDescent="0.25">
      <c r="A167" s="1" t="str">
        <f ca="1">IFERROR(__xludf.DUMMYFUNCTION("""COMPUTED_VALUE"""),"Louisiana")</f>
        <v>Louisiana</v>
      </c>
      <c r="B167" s="1">
        <f ca="1">IFERROR(__xludf.DUMMYFUNCTION("""COMPUTED_VALUE"""),30)</f>
        <v>30</v>
      </c>
      <c r="C167" s="1">
        <f ca="1">IFERROR(__xludf.DUMMYFUNCTION("""COMPUTED_VALUE"""),13)</f>
        <v>13</v>
      </c>
      <c r="D167" s="1">
        <f ca="1">IFERROR(__xludf.DUMMYFUNCTION("""COMPUTED_VALUE"""),17)</f>
        <v>17</v>
      </c>
      <c r="E167" s="1">
        <f ca="1">IFERROR(__xludf.DUMMYFUNCTION("""COMPUTED_VALUE"""),0.433)</f>
        <v>0.433</v>
      </c>
      <c r="F167" s="1">
        <f ca="1">IFERROR(__xludf.DUMMYFUNCTION("""COMPUTED_VALUE"""),-4.74)</f>
        <v>-4.74</v>
      </c>
      <c r="G167" s="1">
        <f ca="1">IFERROR(__xludf.DUMMYFUNCTION("""COMPUTED_VALUE"""),-4.74)</f>
        <v>-4.74</v>
      </c>
      <c r="H167" s="1">
        <f ca="1">IFERROR(__xludf.DUMMYFUNCTION("""COMPUTED_VALUE"""),10)</f>
        <v>10</v>
      </c>
      <c r="I167" s="1">
        <f ca="1">IFERROR(__xludf.DUMMYFUNCTION("""COMPUTED_VALUE"""),8)</f>
        <v>8</v>
      </c>
      <c r="J167" s="1">
        <f ca="1">IFERROR(__xludf.DUMMYFUNCTION("""COMPUTED_VALUE"""),10)</f>
        <v>10</v>
      </c>
      <c r="K167" s="1">
        <f ca="1">IFERROR(__xludf.DUMMYFUNCTION("""COMPUTED_VALUE"""),4)</f>
        <v>4</v>
      </c>
      <c r="L167" s="1">
        <f ca="1">IFERROR(__xludf.DUMMYFUNCTION("""COMPUTED_VALUE"""),3)</f>
        <v>3</v>
      </c>
      <c r="M167" s="1">
        <f ca="1">IFERROR(__xludf.DUMMYFUNCTION("""COMPUTED_VALUE"""),12)</f>
        <v>12</v>
      </c>
      <c r="N167" s="1">
        <f ca="1">IFERROR(__xludf.DUMMYFUNCTION("""COMPUTED_VALUE"""),2043)</f>
        <v>2043</v>
      </c>
      <c r="O167" s="1">
        <f ca="1">IFERROR(__xludf.DUMMYFUNCTION("""COMPUTED_VALUE"""),2025)</f>
        <v>2025</v>
      </c>
      <c r="P167" s="1">
        <f ca="1">IFERROR(__xludf.DUMMYFUNCTION("""COMPUTED_VALUE"""),1200)</f>
        <v>1200</v>
      </c>
      <c r="Q167" s="1">
        <f ca="1">IFERROR(__xludf.DUMMYFUNCTION("""COMPUTED_VALUE"""),743)</f>
        <v>743</v>
      </c>
      <c r="R167" s="1">
        <f ca="1">IFERROR(__xludf.DUMMYFUNCTION("""COMPUTED_VALUE"""),1657)</f>
        <v>1657</v>
      </c>
      <c r="S167" s="1">
        <f ca="1">IFERROR(__xludf.DUMMYFUNCTION("""COMPUTED_VALUE"""),0.448)</f>
        <v>0.44800000000000001</v>
      </c>
      <c r="T167" s="1">
        <f ca="1">IFERROR(__xludf.DUMMYFUNCTION("""COMPUTED_VALUE"""),168)</f>
        <v>168</v>
      </c>
      <c r="U167" s="1">
        <f ca="1">IFERROR(__xludf.DUMMYFUNCTION("""COMPUTED_VALUE"""),521)</f>
        <v>521</v>
      </c>
      <c r="V167" s="1">
        <f ca="1">IFERROR(__xludf.DUMMYFUNCTION("""COMPUTED_VALUE"""),0.322)</f>
        <v>0.32200000000000001</v>
      </c>
      <c r="W167" s="1">
        <f ca="1">IFERROR(__xludf.DUMMYFUNCTION("""COMPUTED_VALUE"""),389)</f>
        <v>389</v>
      </c>
      <c r="X167" s="1">
        <f ca="1">IFERROR(__xludf.DUMMYFUNCTION("""COMPUTED_VALUE"""),572)</f>
        <v>572</v>
      </c>
      <c r="Y167" s="1">
        <f ca="1">IFERROR(__xludf.DUMMYFUNCTION("""COMPUTED_VALUE"""),0.68)</f>
        <v>0.68</v>
      </c>
      <c r="Z167" s="1">
        <f ca="1">IFERROR(__xludf.DUMMYFUNCTION("""COMPUTED_VALUE"""),311)</f>
        <v>311</v>
      </c>
      <c r="AA167" s="1">
        <f ca="1">IFERROR(__xludf.DUMMYFUNCTION("""COMPUTED_VALUE"""),958)</f>
        <v>958</v>
      </c>
      <c r="AB167" s="1">
        <f ca="1">IFERROR(__xludf.DUMMYFUNCTION("""COMPUTED_VALUE"""),351)</f>
        <v>351</v>
      </c>
      <c r="AC167" s="1">
        <f ca="1">IFERROR(__xludf.DUMMYFUNCTION("""COMPUTED_VALUE"""),207)</f>
        <v>207</v>
      </c>
      <c r="AD167" s="1">
        <f ca="1">IFERROR(__xludf.DUMMYFUNCTION("""COMPUTED_VALUE"""),133)</f>
        <v>133</v>
      </c>
      <c r="AE167" s="1">
        <f ca="1">IFERROR(__xludf.DUMMYFUNCTION("""COMPUTED_VALUE"""),391)</f>
        <v>391</v>
      </c>
      <c r="AF167" s="1">
        <f ca="1">IFERROR(__xludf.DUMMYFUNCTION("""COMPUTED_VALUE"""),610)</f>
        <v>610</v>
      </c>
    </row>
    <row r="168" spans="1:32" ht="12.5" x14ac:dyDescent="0.25">
      <c r="A168" s="1" t="str">
        <f ca="1">IFERROR(__xludf.DUMMYFUNCTION("""COMPUTED_VALUE"""),"Louisiana-Monroe")</f>
        <v>Louisiana-Monroe</v>
      </c>
      <c r="B168" s="1">
        <f ca="1">IFERROR(__xludf.DUMMYFUNCTION("""COMPUTED_VALUE"""),31)</f>
        <v>31</v>
      </c>
      <c r="C168" s="1">
        <f ca="1">IFERROR(__xludf.DUMMYFUNCTION("""COMPUTED_VALUE"""),12)</f>
        <v>12</v>
      </c>
      <c r="D168" s="1">
        <f ca="1">IFERROR(__xludf.DUMMYFUNCTION("""COMPUTED_VALUE"""),19)</f>
        <v>19</v>
      </c>
      <c r="E168" s="1">
        <f ca="1">IFERROR(__xludf.DUMMYFUNCTION("""COMPUTED_VALUE"""),0.387)</f>
        <v>0.38700000000000001</v>
      </c>
      <c r="F168" s="1">
        <f ca="1">IFERROR(__xludf.DUMMYFUNCTION("""COMPUTED_VALUE"""),-10.75)</f>
        <v>-10.75</v>
      </c>
      <c r="G168" s="1">
        <f ca="1">IFERROR(__xludf.DUMMYFUNCTION("""COMPUTED_VALUE"""),-5.3)</f>
        <v>-5.3</v>
      </c>
      <c r="H168" s="1">
        <f ca="1">IFERROR(__xludf.DUMMYFUNCTION("""COMPUTED_VALUE"""),6)</f>
        <v>6</v>
      </c>
      <c r="I168" s="1">
        <f ca="1">IFERROR(__xludf.DUMMYFUNCTION("""COMPUTED_VALUE"""),12)</f>
        <v>12</v>
      </c>
      <c r="J168" s="1">
        <f ca="1">IFERROR(__xludf.DUMMYFUNCTION("""COMPUTED_VALUE"""),8)</f>
        <v>8</v>
      </c>
      <c r="K168" s="1">
        <f ca="1">IFERROR(__xludf.DUMMYFUNCTION("""COMPUTED_VALUE"""),6)</f>
        <v>6</v>
      </c>
      <c r="L168" s="1">
        <f ca="1">IFERROR(__xludf.DUMMYFUNCTION("""COMPUTED_VALUE"""),3)</f>
        <v>3</v>
      </c>
      <c r="M168" s="1">
        <f ca="1">IFERROR(__xludf.DUMMYFUNCTION("""COMPUTED_VALUE"""),12)</f>
        <v>12</v>
      </c>
      <c r="N168" s="1">
        <f ca="1">IFERROR(__xludf.DUMMYFUNCTION("""COMPUTED_VALUE"""),2108)</f>
        <v>2108</v>
      </c>
      <c r="O168" s="1">
        <f ca="1">IFERROR(__xludf.DUMMYFUNCTION("""COMPUTED_VALUE"""),2224)</f>
        <v>2224</v>
      </c>
      <c r="P168" s="1">
        <f ca="1">IFERROR(__xludf.DUMMYFUNCTION("""COMPUTED_VALUE"""),1240)</f>
        <v>1240</v>
      </c>
      <c r="Q168" s="1">
        <f ca="1">IFERROR(__xludf.DUMMYFUNCTION("""COMPUTED_VALUE"""),683)</f>
        <v>683</v>
      </c>
      <c r="R168" s="1">
        <f ca="1">IFERROR(__xludf.DUMMYFUNCTION("""COMPUTED_VALUE"""),1621)</f>
        <v>1621</v>
      </c>
      <c r="S168" s="1">
        <f ca="1">IFERROR(__xludf.DUMMYFUNCTION("""COMPUTED_VALUE"""),0.421)</f>
        <v>0.42099999999999999</v>
      </c>
      <c r="T168" s="1">
        <f ca="1">IFERROR(__xludf.DUMMYFUNCTION("""COMPUTED_VALUE"""),194)</f>
        <v>194</v>
      </c>
      <c r="U168" s="1">
        <f ca="1">IFERROR(__xludf.DUMMYFUNCTION("""COMPUTED_VALUE"""),550)</f>
        <v>550</v>
      </c>
      <c r="V168" s="1">
        <f ca="1">IFERROR(__xludf.DUMMYFUNCTION("""COMPUTED_VALUE"""),0.353)</f>
        <v>0.35299999999999998</v>
      </c>
      <c r="W168" s="1">
        <f ca="1">IFERROR(__xludf.DUMMYFUNCTION("""COMPUTED_VALUE"""),548)</f>
        <v>548</v>
      </c>
      <c r="X168" s="1">
        <f ca="1">IFERROR(__xludf.DUMMYFUNCTION("""COMPUTED_VALUE"""),757)</f>
        <v>757</v>
      </c>
      <c r="Y168" s="1">
        <f ca="1">IFERROR(__xludf.DUMMYFUNCTION("""COMPUTED_VALUE"""),0.724)</f>
        <v>0.72399999999999998</v>
      </c>
      <c r="Z168" s="1">
        <f ca="1">IFERROR(__xludf.DUMMYFUNCTION("""COMPUTED_VALUE"""),370)</f>
        <v>370</v>
      </c>
      <c r="AA168" s="1">
        <f ca="1">IFERROR(__xludf.DUMMYFUNCTION("""COMPUTED_VALUE"""),1039)</f>
        <v>1039</v>
      </c>
      <c r="AB168" s="1">
        <f ca="1">IFERROR(__xludf.DUMMYFUNCTION("""COMPUTED_VALUE"""),298)</f>
        <v>298</v>
      </c>
      <c r="AC168" s="1">
        <f ca="1">IFERROR(__xludf.DUMMYFUNCTION("""COMPUTED_VALUE"""),216)</f>
        <v>216</v>
      </c>
      <c r="AD168" s="1">
        <f ca="1">IFERROR(__xludf.DUMMYFUNCTION("""COMPUTED_VALUE"""),91)</f>
        <v>91</v>
      </c>
      <c r="AE168" s="1">
        <f ca="1">IFERROR(__xludf.DUMMYFUNCTION("""COMPUTED_VALUE"""),503)</f>
        <v>503</v>
      </c>
      <c r="AF168" s="1">
        <f ca="1">IFERROR(__xludf.DUMMYFUNCTION("""COMPUTED_VALUE"""),627)</f>
        <v>627</v>
      </c>
    </row>
    <row r="169" spans="1:32" ht="12.5" x14ac:dyDescent="0.25">
      <c r="A169" s="1" t="str">
        <f ca="1">IFERROR(__xludf.DUMMYFUNCTION("""COMPUTED_VALUE"""),"Louisiana State")</f>
        <v>Louisiana State</v>
      </c>
      <c r="B169" s="1">
        <f ca="1">IFERROR(__xludf.DUMMYFUNCTION("""COMPUTED_VALUE"""),31)</f>
        <v>31</v>
      </c>
      <c r="C169" s="1">
        <f ca="1">IFERROR(__xludf.DUMMYFUNCTION("""COMPUTED_VALUE"""),11)</f>
        <v>11</v>
      </c>
      <c r="D169" s="1">
        <f ca="1">IFERROR(__xludf.DUMMYFUNCTION("""COMPUTED_VALUE"""),20)</f>
        <v>20</v>
      </c>
      <c r="E169" s="1">
        <f ca="1">IFERROR(__xludf.DUMMYFUNCTION("""COMPUTED_VALUE"""),0.355)</f>
        <v>0.35499999999999998</v>
      </c>
      <c r="F169" s="1">
        <f ca="1">IFERROR(__xludf.DUMMYFUNCTION("""COMPUTED_VALUE"""),0.97)</f>
        <v>0.97</v>
      </c>
      <c r="G169" s="1">
        <f ca="1">IFERROR(__xludf.DUMMYFUNCTION("""COMPUTED_VALUE"""),5.93)</f>
        <v>5.93</v>
      </c>
      <c r="H169" s="1">
        <f ca="1">IFERROR(__xludf.DUMMYFUNCTION("""COMPUTED_VALUE"""),2)</f>
        <v>2</v>
      </c>
      <c r="I169" s="1">
        <f ca="1">IFERROR(__xludf.DUMMYFUNCTION("""COMPUTED_VALUE"""),14)</f>
        <v>14</v>
      </c>
      <c r="J169" s="1">
        <f ca="1">IFERROR(__xludf.DUMMYFUNCTION("""COMPUTED_VALUE"""),11)</f>
        <v>11</v>
      </c>
      <c r="K169" s="1">
        <f ca="1">IFERROR(__xludf.DUMMYFUNCTION("""COMPUTED_VALUE"""),7)</f>
        <v>7</v>
      </c>
      <c r="L169" s="1">
        <f ca="1">IFERROR(__xludf.DUMMYFUNCTION("""COMPUTED_VALUE"""),0)</f>
        <v>0</v>
      </c>
      <c r="M169" s="1">
        <f ca="1">IFERROR(__xludf.DUMMYFUNCTION("""COMPUTED_VALUE"""),9)</f>
        <v>9</v>
      </c>
      <c r="N169" s="1">
        <f ca="1">IFERROR(__xludf.DUMMYFUNCTION("""COMPUTED_VALUE"""),1905)</f>
        <v>1905</v>
      </c>
      <c r="O169" s="1">
        <f ca="1">IFERROR(__xludf.DUMMYFUNCTION("""COMPUTED_VALUE"""),2059)</f>
        <v>2059</v>
      </c>
      <c r="P169" s="1">
        <f ca="1">IFERROR(__xludf.DUMMYFUNCTION("""COMPUTED_VALUE"""),1245)</f>
        <v>1245</v>
      </c>
      <c r="Q169" s="1">
        <f ca="1">IFERROR(__xludf.DUMMYFUNCTION("""COMPUTED_VALUE"""),690)</f>
        <v>690</v>
      </c>
      <c r="R169" s="1">
        <f ca="1">IFERROR(__xludf.DUMMYFUNCTION("""COMPUTED_VALUE"""),1727)</f>
        <v>1727</v>
      </c>
      <c r="S169" s="1">
        <f ca="1">IFERROR(__xludf.DUMMYFUNCTION("""COMPUTED_VALUE"""),0.4)</f>
        <v>0.4</v>
      </c>
      <c r="T169" s="1">
        <f ca="1">IFERROR(__xludf.DUMMYFUNCTION("""COMPUTED_VALUE"""),141)</f>
        <v>141</v>
      </c>
      <c r="U169" s="1">
        <f ca="1">IFERROR(__xludf.DUMMYFUNCTION("""COMPUTED_VALUE"""),491)</f>
        <v>491</v>
      </c>
      <c r="V169" s="1">
        <f ca="1">IFERROR(__xludf.DUMMYFUNCTION("""COMPUTED_VALUE"""),0.287)</f>
        <v>0.28699999999999998</v>
      </c>
      <c r="W169" s="1">
        <f ca="1">IFERROR(__xludf.DUMMYFUNCTION("""COMPUTED_VALUE"""),384)</f>
        <v>384</v>
      </c>
      <c r="X169" s="1">
        <f ca="1">IFERROR(__xludf.DUMMYFUNCTION("""COMPUTED_VALUE"""),552)</f>
        <v>552</v>
      </c>
      <c r="Y169" s="1">
        <f ca="1">IFERROR(__xludf.DUMMYFUNCTION("""COMPUTED_VALUE"""),0.696)</f>
        <v>0.69599999999999995</v>
      </c>
      <c r="Z169" s="1">
        <f ca="1">IFERROR(__xludf.DUMMYFUNCTION("""COMPUTED_VALUE"""),394)</f>
        <v>394</v>
      </c>
      <c r="AA169" s="1">
        <f ca="1">IFERROR(__xludf.DUMMYFUNCTION("""COMPUTED_VALUE"""),1114)</f>
        <v>1114</v>
      </c>
      <c r="AB169" s="1">
        <f ca="1">IFERROR(__xludf.DUMMYFUNCTION("""COMPUTED_VALUE"""),354)</f>
        <v>354</v>
      </c>
      <c r="AC169" s="1">
        <f ca="1">IFERROR(__xludf.DUMMYFUNCTION("""COMPUTED_VALUE"""),189)</f>
        <v>189</v>
      </c>
      <c r="AD169" s="1">
        <f ca="1">IFERROR(__xludf.DUMMYFUNCTION("""COMPUTED_VALUE"""),116)</f>
        <v>116</v>
      </c>
      <c r="AE169" s="1">
        <f ca="1">IFERROR(__xludf.DUMMYFUNCTION("""COMPUTED_VALUE"""),397)</f>
        <v>397</v>
      </c>
      <c r="AF169" s="1">
        <f ca="1">IFERROR(__xludf.DUMMYFUNCTION("""COMPUTED_VALUE"""),547)</f>
        <v>547</v>
      </c>
    </row>
    <row r="170" spans="1:32" ht="12.5" x14ac:dyDescent="0.25">
      <c r="A170" s="1" t="str">
        <f ca="1">IFERROR(__xludf.DUMMYFUNCTION("""COMPUTED_VALUE"""),"Louisiana Tech")</f>
        <v>Louisiana Tech</v>
      </c>
      <c r="B170" s="1">
        <f ca="1">IFERROR(__xludf.DUMMYFUNCTION("""COMPUTED_VALUE"""),35)</f>
        <v>35</v>
      </c>
      <c r="C170" s="1">
        <f ca="1">IFERROR(__xludf.DUMMYFUNCTION("""COMPUTED_VALUE"""),24)</f>
        <v>24</v>
      </c>
      <c r="D170" s="1">
        <f ca="1">IFERROR(__xludf.DUMMYFUNCTION("""COMPUTED_VALUE"""),11)</f>
        <v>11</v>
      </c>
      <c r="E170" s="1">
        <f ca="1">IFERROR(__xludf.DUMMYFUNCTION("""COMPUTED_VALUE"""),0.686)</f>
        <v>0.68600000000000005</v>
      </c>
      <c r="F170" s="1">
        <f ca="1">IFERROR(__xludf.DUMMYFUNCTION("""COMPUTED_VALUE"""),2.89)</f>
        <v>2.89</v>
      </c>
      <c r="G170" s="1">
        <f ca="1">IFERROR(__xludf.DUMMYFUNCTION("""COMPUTED_VALUE"""),-0.4)</f>
        <v>-0.4</v>
      </c>
      <c r="H170" s="1">
        <f ca="1">IFERROR(__xludf.DUMMYFUNCTION("""COMPUTED_VALUE"""),9)</f>
        <v>9</v>
      </c>
      <c r="I170" s="1">
        <f ca="1">IFERROR(__xludf.DUMMYFUNCTION("""COMPUTED_VALUE"""),7)</f>
        <v>7</v>
      </c>
      <c r="J170" s="1">
        <f ca="1">IFERROR(__xludf.DUMMYFUNCTION("""COMPUTED_VALUE"""),12)</f>
        <v>12</v>
      </c>
      <c r="K170" s="1">
        <f ca="1">IFERROR(__xludf.DUMMYFUNCTION("""COMPUTED_VALUE"""),2)</f>
        <v>2</v>
      </c>
      <c r="L170" s="1">
        <f ca="1">IFERROR(__xludf.DUMMYFUNCTION("""COMPUTED_VALUE"""),9)</f>
        <v>9</v>
      </c>
      <c r="M170" s="1">
        <f ca="1">IFERROR(__xludf.DUMMYFUNCTION("""COMPUTED_VALUE"""),8)</f>
        <v>8</v>
      </c>
      <c r="N170" s="1">
        <f ca="1">IFERROR(__xludf.DUMMYFUNCTION("""COMPUTED_VALUE"""),2557)</f>
        <v>2557</v>
      </c>
      <c r="O170" s="1">
        <f ca="1">IFERROR(__xludf.DUMMYFUNCTION("""COMPUTED_VALUE"""),2442)</f>
        <v>2442</v>
      </c>
      <c r="P170" s="1">
        <f ca="1">IFERROR(__xludf.DUMMYFUNCTION("""COMPUTED_VALUE"""),1410)</f>
        <v>1410</v>
      </c>
      <c r="Q170" s="1">
        <f ca="1">IFERROR(__xludf.DUMMYFUNCTION("""COMPUTED_VALUE"""),917)</f>
        <v>917</v>
      </c>
      <c r="R170" s="1">
        <f ca="1">IFERROR(__xludf.DUMMYFUNCTION("""COMPUTED_VALUE"""),2034)</f>
        <v>2034</v>
      </c>
      <c r="S170" s="1">
        <f ca="1">IFERROR(__xludf.DUMMYFUNCTION("""COMPUTED_VALUE"""),0.451)</f>
        <v>0.45100000000000001</v>
      </c>
      <c r="T170" s="1">
        <f ca="1">IFERROR(__xludf.DUMMYFUNCTION("""COMPUTED_VALUE"""),202)</f>
        <v>202</v>
      </c>
      <c r="U170" s="1">
        <f ca="1">IFERROR(__xludf.DUMMYFUNCTION("""COMPUTED_VALUE"""),598)</f>
        <v>598</v>
      </c>
      <c r="V170" s="1">
        <f ca="1">IFERROR(__xludf.DUMMYFUNCTION("""COMPUTED_VALUE"""),0.338)</f>
        <v>0.33800000000000002</v>
      </c>
      <c r="W170" s="1">
        <f ca="1">IFERROR(__xludf.DUMMYFUNCTION("""COMPUTED_VALUE"""),521)</f>
        <v>521</v>
      </c>
      <c r="X170" s="1">
        <f ca="1">IFERROR(__xludf.DUMMYFUNCTION("""COMPUTED_VALUE"""),760)</f>
        <v>760</v>
      </c>
      <c r="Y170" s="1">
        <f ca="1">IFERROR(__xludf.DUMMYFUNCTION("""COMPUTED_VALUE"""),0.686)</f>
        <v>0.68600000000000005</v>
      </c>
      <c r="Z170" s="1">
        <f ca="1">IFERROR(__xludf.DUMMYFUNCTION("""COMPUTED_VALUE"""),441)</f>
        <v>441</v>
      </c>
      <c r="AA170" s="1">
        <f ca="1">IFERROR(__xludf.DUMMYFUNCTION("""COMPUTED_VALUE"""),1294)</f>
        <v>1294</v>
      </c>
      <c r="AB170" s="1">
        <f ca="1">IFERROR(__xludf.DUMMYFUNCTION("""COMPUTED_VALUE"""),417)</f>
        <v>417</v>
      </c>
      <c r="AC170" s="1">
        <f ca="1">IFERROR(__xludf.DUMMYFUNCTION("""COMPUTED_VALUE"""),235)</f>
        <v>235</v>
      </c>
      <c r="AD170" s="1">
        <f ca="1">IFERROR(__xludf.DUMMYFUNCTION("""COMPUTED_VALUE"""),116)</f>
        <v>116</v>
      </c>
      <c r="AE170" s="1">
        <f ca="1">IFERROR(__xludf.DUMMYFUNCTION("""COMPUTED_VALUE"""),462)</f>
        <v>462</v>
      </c>
      <c r="AF170" s="1">
        <f ca="1">IFERROR(__xludf.DUMMYFUNCTION("""COMPUTED_VALUE"""),562)</f>
        <v>562</v>
      </c>
    </row>
    <row r="171" spans="1:32" ht="12.5" x14ac:dyDescent="0.25">
      <c r="A171" s="1" t="str">
        <f ca="1">IFERROR(__xludf.DUMMYFUNCTION("""COMPUTED_VALUE"""),"LouisvilleNCAA")</f>
        <v>LouisvilleNCAA</v>
      </c>
      <c r="B171" s="1">
        <f ca="1">IFERROR(__xludf.DUMMYFUNCTION("""COMPUTED_VALUE"""),33)</f>
        <v>33</v>
      </c>
      <c r="C171" s="1">
        <f ca="1">IFERROR(__xludf.DUMMYFUNCTION("""COMPUTED_VALUE"""),20)</f>
        <v>20</v>
      </c>
      <c r="D171" s="1">
        <f ca="1">IFERROR(__xludf.DUMMYFUNCTION("""COMPUTED_VALUE"""),13)</f>
        <v>13</v>
      </c>
      <c r="E171" s="1">
        <f ca="1">IFERROR(__xludf.DUMMYFUNCTION("""COMPUTED_VALUE"""),0.606)</f>
        <v>0.60599999999999998</v>
      </c>
      <c r="F171" s="1">
        <f ca="1">IFERROR(__xludf.DUMMYFUNCTION("""COMPUTED_VALUE"""),14.08)</f>
        <v>14.08</v>
      </c>
      <c r="G171" s="1">
        <f ca="1">IFERROR(__xludf.DUMMYFUNCTION("""COMPUTED_VALUE"""),7.99)</f>
        <v>7.99</v>
      </c>
      <c r="H171" s="1">
        <f ca="1">IFERROR(__xludf.DUMMYFUNCTION("""COMPUTED_VALUE"""),11)</f>
        <v>11</v>
      </c>
      <c r="I171" s="1">
        <f ca="1">IFERROR(__xludf.DUMMYFUNCTION("""COMPUTED_VALUE"""),7)</f>
        <v>7</v>
      </c>
      <c r="J171" s="1">
        <f ca="1">IFERROR(__xludf.DUMMYFUNCTION("""COMPUTED_VALUE"""),15)</f>
        <v>15</v>
      </c>
      <c r="K171" s="1">
        <f ca="1">IFERROR(__xludf.DUMMYFUNCTION("""COMPUTED_VALUE"""),4)</f>
        <v>4</v>
      </c>
      <c r="L171" s="1">
        <f ca="1">IFERROR(__xludf.DUMMYFUNCTION("""COMPUTED_VALUE"""),4)</f>
        <v>4</v>
      </c>
      <c r="M171" s="1">
        <f ca="1">IFERROR(__xludf.DUMMYFUNCTION("""COMPUTED_VALUE"""),7)</f>
        <v>7</v>
      </c>
      <c r="N171" s="1">
        <f ca="1">IFERROR(__xludf.DUMMYFUNCTION("""COMPUTED_VALUE"""),2505)</f>
        <v>2505</v>
      </c>
      <c r="O171" s="1">
        <f ca="1">IFERROR(__xludf.DUMMYFUNCTION("""COMPUTED_VALUE"""),2304)</f>
        <v>2304</v>
      </c>
      <c r="P171" s="1">
        <f ca="1">IFERROR(__xludf.DUMMYFUNCTION("""COMPUTED_VALUE"""),1335)</f>
        <v>1335</v>
      </c>
      <c r="Q171" s="1">
        <f ca="1">IFERROR(__xludf.DUMMYFUNCTION("""COMPUTED_VALUE"""),876)</f>
        <v>876</v>
      </c>
      <c r="R171" s="1">
        <f ca="1">IFERROR(__xludf.DUMMYFUNCTION("""COMPUTED_VALUE"""),1960)</f>
        <v>1960</v>
      </c>
      <c r="S171" s="1">
        <f ca="1">IFERROR(__xludf.DUMMYFUNCTION("""COMPUTED_VALUE"""),0.447)</f>
        <v>0.44700000000000001</v>
      </c>
      <c r="T171" s="1">
        <f ca="1">IFERROR(__xludf.DUMMYFUNCTION("""COMPUTED_VALUE"""),262)</f>
        <v>262</v>
      </c>
      <c r="U171" s="1">
        <f ca="1">IFERROR(__xludf.DUMMYFUNCTION("""COMPUTED_VALUE"""),777)</f>
        <v>777</v>
      </c>
      <c r="V171" s="1">
        <f ca="1">IFERROR(__xludf.DUMMYFUNCTION("""COMPUTED_VALUE"""),0.337)</f>
        <v>0.33700000000000002</v>
      </c>
      <c r="W171" s="1">
        <f ca="1">IFERROR(__xludf.DUMMYFUNCTION("""COMPUTED_VALUE"""),491)</f>
        <v>491</v>
      </c>
      <c r="X171" s="1">
        <f ca="1">IFERROR(__xludf.DUMMYFUNCTION("""COMPUTED_VALUE"""),700)</f>
        <v>700</v>
      </c>
      <c r="Y171" s="1">
        <f ca="1">IFERROR(__xludf.DUMMYFUNCTION("""COMPUTED_VALUE"""),0.701)</f>
        <v>0.70099999999999996</v>
      </c>
      <c r="Z171" s="1">
        <f ca="1">IFERROR(__xludf.DUMMYFUNCTION("""COMPUTED_VALUE"""),478)</f>
        <v>478</v>
      </c>
      <c r="AA171" s="1">
        <f ca="1">IFERROR(__xludf.DUMMYFUNCTION("""COMPUTED_VALUE"""),1217)</f>
        <v>1217</v>
      </c>
      <c r="AB171" s="1">
        <f ca="1">IFERROR(__xludf.DUMMYFUNCTION("""COMPUTED_VALUE"""),511)</f>
        <v>511</v>
      </c>
      <c r="AC171" s="1">
        <f ca="1">IFERROR(__xludf.DUMMYFUNCTION("""COMPUTED_VALUE"""),258)</f>
        <v>258</v>
      </c>
      <c r="AD171" s="1">
        <f ca="1">IFERROR(__xludf.DUMMYFUNCTION("""COMPUTED_VALUE"""),135)</f>
        <v>135</v>
      </c>
      <c r="AE171" s="1">
        <f ca="1">IFERROR(__xludf.DUMMYFUNCTION("""COMPUTED_VALUE"""),453)</f>
        <v>453</v>
      </c>
      <c r="AF171" s="1">
        <f ca="1">IFERROR(__xludf.DUMMYFUNCTION("""COMPUTED_VALUE"""),663)</f>
        <v>663</v>
      </c>
    </row>
    <row r="172" spans="1:32" ht="12.5" x14ac:dyDescent="0.25">
      <c r="A172" s="1" t="str">
        <f ca="1">IFERROR(__xludf.DUMMYFUNCTION("""COMPUTED_VALUE"""),"Loyola (IL)")</f>
        <v>Loyola (IL)</v>
      </c>
      <c r="B172" s="1">
        <f ca="1">IFERROR(__xludf.DUMMYFUNCTION("""COMPUTED_VALUE"""),30)</f>
        <v>30</v>
      </c>
      <c r="C172" s="1">
        <f ca="1">IFERROR(__xludf.DUMMYFUNCTION("""COMPUTED_VALUE"""),14)</f>
        <v>14</v>
      </c>
      <c r="D172" s="1">
        <f ca="1">IFERROR(__xludf.DUMMYFUNCTION("""COMPUTED_VALUE"""),16)</f>
        <v>16</v>
      </c>
      <c r="E172" s="1">
        <f ca="1">IFERROR(__xludf.DUMMYFUNCTION("""COMPUTED_VALUE"""),0.467)</f>
        <v>0.46700000000000003</v>
      </c>
      <c r="F172" s="1">
        <f ca="1">IFERROR(__xludf.DUMMYFUNCTION("""COMPUTED_VALUE"""),-4.85)</f>
        <v>-4.8499999999999996</v>
      </c>
      <c r="G172" s="1">
        <f ca="1">IFERROR(__xludf.DUMMYFUNCTION("""COMPUTED_VALUE"""),0.56)</f>
        <v>0.56000000000000005</v>
      </c>
      <c r="H172" s="1">
        <f ca="1">IFERROR(__xludf.DUMMYFUNCTION("""COMPUTED_VALUE"""),5)</f>
        <v>5</v>
      </c>
      <c r="I172" s="1">
        <f ca="1">IFERROR(__xludf.DUMMYFUNCTION("""COMPUTED_VALUE"""),13)</f>
        <v>13</v>
      </c>
      <c r="J172" s="1">
        <f ca="1">IFERROR(__xludf.DUMMYFUNCTION("""COMPUTED_VALUE"""),9)</f>
        <v>9</v>
      </c>
      <c r="K172" s="1">
        <f ca="1">IFERROR(__xludf.DUMMYFUNCTION("""COMPUTED_VALUE"""),6)</f>
        <v>6</v>
      </c>
      <c r="L172" s="1">
        <f ca="1">IFERROR(__xludf.DUMMYFUNCTION("""COMPUTED_VALUE"""),5)</f>
        <v>5</v>
      </c>
      <c r="M172" s="1">
        <f ca="1">IFERROR(__xludf.DUMMYFUNCTION("""COMPUTED_VALUE"""),10)</f>
        <v>10</v>
      </c>
      <c r="N172" s="1">
        <f ca="1">IFERROR(__xludf.DUMMYFUNCTION("""COMPUTED_VALUE"""),1945)</f>
        <v>1945</v>
      </c>
      <c r="O172" s="1">
        <f ca="1">IFERROR(__xludf.DUMMYFUNCTION("""COMPUTED_VALUE"""),2017)</f>
        <v>2017</v>
      </c>
      <c r="P172" s="1">
        <f ca="1">IFERROR(__xludf.DUMMYFUNCTION("""COMPUTED_VALUE"""),1205)</f>
        <v>1205</v>
      </c>
      <c r="Q172" s="1">
        <f ca="1">IFERROR(__xludf.DUMMYFUNCTION("""COMPUTED_VALUE"""),673)</f>
        <v>673</v>
      </c>
      <c r="R172" s="1">
        <f ca="1">IFERROR(__xludf.DUMMYFUNCTION("""COMPUTED_VALUE"""),1598)</f>
        <v>1598</v>
      </c>
      <c r="S172" s="1">
        <f ca="1">IFERROR(__xludf.DUMMYFUNCTION("""COMPUTED_VALUE"""),0.421)</f>
        <v>0.42099999999999999</v>
      </c>
      <c r="T172" s="1">
        <f ca="1">IFERROR(__xludf.DUMMYFUNCTION("""COMPUTED_VALUE"""),194)</f>
        <v>194</v>
      </c>
      <c r="U172" s="1">
        <f ca="1">IFERROR(__xludf.DUMMYFUNCTION("""COMPUTED_VALUE"""),537)</f>
        <v>537</v>
      </c>
      <c r="V172" s="1">
        <f ca="1">IFERROR(__xludf.DUMMYFUNCTION("""COMPUTED_VALUE"""),0.361)</f>
        <v>0.36099999999999999</v>
      </c>
      <c r="W172" s="1">
        <f ca="1">IFERROR(__xludf.DUMMYFUNCTION("""COMPUTED_VALUE"""),405)</f>
        <v>405</v>
      </c>
      <c r="X172" s="1">
        <f ca="1">IFERROR(__xludf.DUMMYFUNCTION("""COMPUTED_VALUE"""),589)</f>
        <v>589</v>
      </c>
      <c r="Y172" s="1">
        <f ca="1">IFERROR(__xludf.DUMMYFUNCTION("""COMPUTED_VALUE"""),0.688)</f>
        <v>0.68799999999999994</v>
      </c>
      <c r="Z172" s="1">
        <f ca="1">IFERROR(__xludf.DUMMYFUNCTION("""COMPUTED_VALUE"""),364)</f>
        <v>364</v>
      </c>
      <c r="AA172" s="1">
        <f ca="1">IFERROR(__xludf.DUMMYFUNCTION("""COMPUTED_VALUE"""),1072)</f>
        <v>1072</v>
      </c>
      <c r="AB172" s="1">
        <f ca="1">IFERROR(__xludf.DUMMYFUNCTION("""COMPUTED_VALUE"""),393)</f>
        <v>393</v>
      </c>
      <c r="AC172" s="1">
        <f ca="1">IFERROR(__xludf.DUMMYFUNCTION("""COMPUTED_VALUE"""),149)</f>
        <v>149</v>
      </c>
      <c r="AD172" s="1">
        <f ca="1">IFERROR(__xludf.DUMMYFUNCTION("""COMPUTED_VALUE"""),98)</f>
        <v>98</v>
      </c>
      <c r="AE172" s="1">
        <f ca="1">IFERROR(__xludf.DUMMYFUNCTION("""COMPUTED_VALUE"""),415)</f>
        <v>415</v>
      </c>
      <c r="AF172" s="1">
        <f ca="1">IFERROR(__xludf.DUMMYFUNCTION("""COMPUTED_VALUE"""),523)</f>
        <v>523</v>
      </c>
    </row>
    <row r="173" spans="1:32" ht="12.5" x14ac:dyDescent="0.25">
      <c r="A173" s="1" t="str">
        <f ca="1">IFERROR(__xludf.DUMMYFUNCTION("""COMPUTED_VALUE"""),"Loyola Marymount")</f>
        <v>Loyola Marymount</v>
      </c>
      <c r="B173" s="1">
        <f ca="1">IFERROR(__xludf.DUMMYFUNCTION("""COMPUTED_VALUE"""),34)</f>
        <v>34</v>
      </c>
      <c r="C173" s="1">
        <f ca="1">IFERROR(__xludf.DUMMYFUNCTION("""COMPUTED_VALUE"""),18)</f>
        <v>18</v>
      </c>
      <c r="D173" s="1">
        <f ca="1">IFERROR(__xludf.DUMMYFUNCTION("""COMPUTED_VALUE"""),16)</f>
        <v>16</v>
      </c>
      <c r="E173" s="1">
        <f ca="1">IFERROR(__xludf.DUMMYFUNCTION("""COMPUTED_VALUE"""),0.529)</f>
        <v>0.52900000000000003</v>
      </c>
      <c r="F173" s="1">
        <f ca="1">IFERROR(__xludf.DUMMYFUNCTION("""COMPUTED_VALUE"""),-1.47)</f>
        <v>-1.47</v>
      </c>
      <c r="G173" s="1">
        <f ca="1">IFERROR(__xludf.DUMMYFUNCTION("""COMPUTED_VALUE"""),1.32)</f>
        <v>1.32</v>
      </c>
      <c r="H173" s="1">
        <f ca="1">IFERROR(__xludf.DUMMYFUNCTION("""COMPUTED_VALUE"""),7)</f>
        <v>7</v>
      </c>
      <c r="I173" s="1">
        <f ca="1">IFERROR(__xludf.DUMMYFUNCTION("""COMPUTED_VALUE"""),7)</f>
        <v>7</v>
      </c>
      <c r="J173" s="1">
        <f ca="1">IFERROR(__xludf.DUMMYFUNCTION("""COMPUTED_VALUE"""),9)</f>
        <v>9</v>
      </c>
      <c r="K173" s="1">
        <f ca="1">IFERROR(__xludf.DUMMYFUNCTION("""COMPUTED_VALUE"""),6)</f>
        <v>6</v>
      </c>
      <c r="L173" s="1">
        <f ca="1">IFERROR(__xludf.DUMMYFUNCTION("""COMPUTED_VALUE"""),6)</f>
        <v>6</v>
      </c>
      <c r="M173" s="1">
        <f ca="1">IFERROR(__xludf.DUMMYFUNCTION("""COMPUTED_VALUE"""),8)</f>
        <v>8</v>
      </c>
      <c r="N173" s="1">
        <f ca="1">IFERROR(__xludf.DUMMYFUNCTION("""COMPUTED_VALUE"""),2578)</f>
        <v>2578</v>
      </c>
      <c r="O173" s="1">
        <f ca="1">IFERROR(__xludf.DUMMYFUNCTION("""COMPUTED_VALUE"""),2581)</f>
        <v>2581</v>
      </c>
      <c r="P173" s="1">
        <f ca="1">IFERROR(__xludf.DUMMYFUNCTION("""COMPUTED_VALUE"""),1370)</f>
        <v>1370</v>
      </c>
      <c r="Q173" s="1">
        <f ca="1">IFERROR(__xludf.DUMMYFUNCTION("""COMPUTED_VALUE"""),910)</f>
        <v>910</v>
      </c>
      <c r="R173" s="1">
        <f ca="1">IFERROR(__xludf.DUMMYFUNCTION("""COMPUTED_VALUE"""),1998)</f>
        <v>1998</v>
      </c>
      <c r="S173" s="1">
        <f ca="1">IFERROR(__xludf.DUMMYFUNCTION("""COMPUTED_VALUE"""),0.455)</f>
        <v>0.45500000000000002</v>
      </c>
      <c r="T173" s="1">
        <f ca="1">IFERROR(__xludf.DUMMYFUNCTION("""COMPUTED_VALUE"""),201)</f>
        <v>201</v>
      </c>
      <c r="U173" s="1">
        <f ca="1">IFERROR(__xludf.DUMMYFUNCTION("""COMPUTED_VALUE"""),534)</f>
        <v>534</v>
      </c>
      <c r="V173" s="1">
        <f ca="1">IFERROR(__xludf.DUMMYFUNCTION("""COMPUTED_VALUE"""),0.376)</f>
        <v>0.376</v>
      </c>
      <c r="W173" s="1">
        <f ca="1">IFERROR(__xludf.DUMMYFUNCTION("""COMPUTED_VALUE"""),557)</f>
        <v>557</v>
      </c>
      <c r="X173" s="1">
        <f ca="1">IFERROR(__xludf.DUMMYFUNCTION("""COMPUTED_VALUE"""),807)</f>
        <v>807</v>
      </c>
      <c r="Y173" s="1">
        <f ca="1">IFERROR(__xludf.DUMMYFUNCTION("""COMPUTED_VALUE"""),0.69)</f>
        <v>0.69</v>
      </c>
      <c r="Z173" s="1">
        <f ca="1">IFERROR(__xludf.DUMMYFUNCTION("""COMPUTED_VALUE"""),416)</f>
        <v>416</v>
      </c>
      <c r="AA173" s="1">
        <f ca="1">IFERROR(__xludf.DUMMYFUNCTION("""COMPUTED_VALUE"""),1210)</f>
        <v>1210</v>
      </c>
      <c r="AB173" s="1">
        <f ca="1">IFERROR(__xludf.DUMMYFUNCTION("""COMPUTED_VALUE"""),472)</f>
        <v>472</v>
      </c>
      <c r="AC173" s="1">
        <f ca="1">IFERROR(__xludf.DUMMYFUNCTION("""COMPUTED_VALUE"""),255)</f>
        <v>255</v>
      </c>
      <c r="AD173" s="1">
        <f ca="1">IFERROR(__xludf.DUMMYFUNCTION("""COMPUTED_VALUE"""),141)</f>
        <v>141</v>
      </c>
      <c r="AE173" s="1">
        <f ca="1">IFERROR(__xludf.DUMMYFUNCTION("""COMPUTED_VALUE"""),441)</f>
        <v>441</v>
      </c>
      <c r="AF173" s="1">
        <f ca="1">IFERROR(__xludf.DUMMYFUNCTION("""COMPUTED_VALUE"""),655)</f>
        <v>655</v>
      </c>
    </row>
    <row r="174" spans="1:32" ht="12.5" x14ac:dyDescent="0.25">
      <c r="A174" s="1" t="str">
        <f ca="1">IFERROR(__xludf.DUMMYFUNCTION("""COMPUTED_VALUE"""),"Loyola (MD)")</f>
        <v>Loyola (MD)</v>
      </c>
      <c r="B174" s="1">
        <f ca="1">IFERROR(__xludf.DUMMYFUNCTION("""COMPUTED_VALUE"""),30)</f>
        <v>30</v>
      </c>
      <c r="C174" s="1">
        <f ca="1">IFERROR(__xludf.DUMMYFUNCTION("""COMPUTED_VALUE"""),13)</f>
        <v>13</v>
      </c>
      <c r="D174" s="1">
        <f ca="1">IFERROR(__xludf.DUMMYFUNCTION("""COMPUTED_VALUE"""),17)</f>
        <v>17</v>
      </c>
      <c r="E174" s="1">
        <f ca="1">IFERROR(__xludf.DUMMYFUNCTION("""COMPUTED_VALUE"""),0.433)</f>
        <v>0.433</v>
      </c>
      <c r="F174" s="1">
        <f ca="1">IFERROR(__xludf.DUMMYFUNCTION("""COMPUTED_VALUE"""),-5.23)</f>
        <v>-5.23</v>
      </c>
      <c r="G174" s="1">
        <f ca="1">IFERROR(__xludf.DUMMYFUNCTION("""COMPUTED_VALUE"""),-4.09)</f>
        <v>-4.09</v>
      </c>
      <c r="H174" s="1">
        <f ca="1">IFERROR(__xludf.DUMMYFUNCTION("""COMPUTED_VALUE"""),6)</f>
        <v>6</v>
      </c>
      <c r="I174" s="1">
        <f ca="1">IFERROR(__xludf.DUMMYFUNCTION("""COMPUTED_VALUE"""),12)</f>
        <v>12</v>
      </c>
      <c r="J174" s="1">
        <f ca="1">IFERROR(__xludf.DUMMYFUNCTION("""COMPUTED_VALUE"""),6)</f>
        <v>6</v>
      </c>
      <c r="K174" s="1">
        <f ca="1">IFERROR(__xludf.DUMMYFUNCTION("""COMPUTED_VALUE"""),7)</f>
        <v>7</v>
      </c>
      <c r="L174" s="1">
        <f ca="1">IFERROR(__xludf.DUMMYFUNCTION("""COMPUTED_VALUE"""),7)</f>
        <v>7</v>
      </c>
      <c r="M174" s="1">
        <f ca="1">IFERROR(__xludf.DUMMYFUNCTION("""COMPUTED_VALUE"""),9)</f>
        <v>9</v>
      </c>
      <c r="N174" s="1">
        <f ca="1">IFERROR(__xludf.DUMMYFUNCTION("""COMPUTED_VALUE"""),1949)</f>
        <v>1949</v>
      </c>
      <c r="O174" s="1">
        <f ca="1">IFERROR(__xludf.DUMMYFUNCTION("""COMPUTED_VALUE"""),1983)</f>
        <v>1983</v>
      </c>
      <c r="P174" s="1">
        <f ca="1">IFERROR(__xludf.DUMMYFUNCTION("""COMPUTED_VALUE"""),1205)</f>
        <v>1205</v>
      </c>
      <c r="Q174" s="1">
        <f ca="1">IFERROR(__xludf.DUMMYFUNCTION("""COMPUTED_VALUE"""),673)</f>
        <v>673</v>
      </c>
      <c r="R174" s="1">
        <f ca="1">IFERROR(__xludf.DUMMYFUNCTION("""COMPUTED_VALUE"""),1601)</f>
        <v>1601</v>
      </c>
      <c r="S174" s="1">
        <f ca="1">IFERROR(__xludf.DUMMYFUNCTION("""COMPUTED_VALUE"""),0.42)</f>
        <v>0.42</v>
      </c>
      <c r="T174" s="1">
        <f ca="1">IFERROR(__xludf.DUMMYFUNCTION("""COMPUTED_VALUE"""),164)</f>
        <v>164</v>
      </c>
      <c r="U174" s="1">
        <f ca="1">IFERROR(__xludf.DUMMYFUNCTION("""COMPUTED_VALUE"""),459)</f>
        <v>459</v>
      </c>
      <c r="V174" s="1">
        <f ca="1">IFERROR(__xludf.DUMMYFUNCTION("""COMPUTED_VALUE"""),0.357)</f>
        <v>0.35699999999999998</v>
      </c>
      <c r="W174" s="1">
        <f ca="1">IFERROR(__xludf.DUMMYFUNCTION("""COMPUTED_VALUE"""),439)</f>
        <v>439</v>
      </c>
      <c r="X174" s="1">
        <f ca="1">IFERROR(__xludf.DUMMYFUNCTION("""COMPUTED_VALUE"""),628)</f>
        <v>628</v>
      </c>
      <c r="Y174" s="1">
        <f ca="1">IFERROR(__xludf.DUMMYFUNCTION("""COMPUTED_VALUE"""),0.699)</f>
        <v>0.69899999999999995</v>
      </c>
      <c r="Z174" s="1">
        <f ca="1">IFERROR(__xludf.DUMMYFUNCTION("""COMPUTED_VALUE"""),353)</f>
        <v>353</v>
      </c>
      <c r="AA174" s="1">
        <f ca="1">IFERROR(__xludf.DUMMYFUNCTION("""COMPUTED_VALUE"""),1053)</f>
        <v>1053</v>
      </c>
      <c r="AB174" s="1">
        <f ca="1">IFERROR(__xludf.DUMMYFUNCTION("""COMPUTED_VALUE"""),343)</f>
        <v>343</v>
      </c>
      <c r="AC174" s="1">
        <f ca="1">IFERROR(__xludf.DUMMYFUNCTION("""COMPUTED_VALUE"""),193)</f>
        <v>193</v>
      </c>
      <c r="AD174" s="1">
        <f ca="1">IFERROR(__xludf.DUMMYFUNCTION("""COMPUTED_VALUE"""),132)</f>
        <v>132</v>
      </c>
      <c r="AE174" s="1">
        <f ca="1">IFERROR(__xludf.DUMMYFUNCTION("""COMPUTED_VALUE"""),450)</f>
        <v>450</v>
      </c>
      <c r="AF174" s="1">
        <f ca="1">IFERROR(__xludf.DUMMYFUNCTION("""COMPUTED_VALUE"""),606)</f>
        <v>606</v>
      </c>
    </row>
    <row r="175" spans="1:32" ht="12.5" x14ac:dyDescent="0.25">
      <c r="A175" s="1" t="str">
        <f ca="1">IFERROR(__xludf.DUMMYFUNCTION("""COMPUTED_VALUE"""),"Maine")</f>
        <v>Maine</v>
      </c>
      <c r="B175" s="1">
        <f ca="1">IFERROR(__xludf.DUMMYFUNCTION("""COMPUTED_VALUE"""),30)</f>
        <v>30</v>
      </c>
      <c r="C175" s="1">
        <f ca="1">IFERROR(__xludf.DUMMYFUNCTION("""COMPUTED_VALUE"""),19)</f>
        <v>19</v>
      </c>
      <c r="D175" s="1">
        <f ca="1">IFERROR(__xludf.DUMMYFUNCTION("""COMPUTED_VALUE"""),11)</f>
        <v>11</v>
      </c>
      <c r="E175" s="1">
        <f ca="1">IFERROR(__xludf.DUMMYFUNCTION("""COMPUTED_VALUE"""),0.633)</f>
        <v>0.63300000000000001</v>
      </c>
      <c r="F175" s="1">
        <f ca="1">IFERROR(__xludf.DUMMYFUNCTION("""COMPUTED_VALUE"""),-6.53)</f>
        <v>-6.53</v>
      </c>
      <c r="G175" s="1">
        <f ca="1">IFERROR(__xludf.DUMMYFUNCTION("""COMPUTED_VALUE"""),-6.26)</f>
        <v>-6.26</v>
      </c>
      <c r="H175" s="1">
        <f ca="1">IFERROR(__xludf.DUMMYFUNCTION("""COMPUTED_VALUE"""),11)</f>
        <v>11</v>
      </c>
      <c r="I175" s="1">
        <f ca="1">IFERROR(__xludf.DUMMYFUNCTION("""COMPUTED_VALUE"""),5)</f>
        <v>5</v>
      </c>
      <c r="J175" s="1">
        <f ca="1">IFERROR(__xludf.DUMMYFUNCTION("""COMPUTED_VALUE"""),9)</f>
        <v>9</v>
      </c>
      <c r="K175" s="1">
        <f ca="1">IFERROR(__xludf.DUMMYFUNCTION("""COMPUTED_VALUE"""),3)</f>
        <v>3</v>
      </c>
      <c r="L175" s="1">
        <f ca="1">IFERROR(__xludf.DUMMYFUNCTION("""COMPUTED_VALUE"""),10)</f>
        <v>10</v>
      </c>
      <c r="M175" s="1">
        <f ca="1">IFERROR(__xludf.DUMMYFUNCTION("""COMPUTED_VALUE"""),7)</f>
        <v>7</v>
      </c>
      <c r="N175" s="1">
        <f ca="1">IFERROR(__xludf.DUMMYFUNCTION("""COMPUTED_VALUE"""),1931)</f>
        <v>1931</v>
      </c>
      <c r="O175" s="1">
        <f ca="1">IFERROR(__xludf.DUMMYFUNCTION("""COMPUTED_VALUE"""),1864)</f>
        <v>1864</v>
      </c>
      <c r="P175" s="1">
        <f ca="1">IFERROR(__xludf.DUMMYFUNCTION("""COMPUTED_VALUE"""),1205)</f>
        <v>1205</v>
      </c>
      <c r="Q175" s="1">
        <f ca="1">IFERROR(__xludf.DUMMYFUNCTION("""COMPUTED_VALUE"""),650)</f>
        <v>650</v>
      </c>
      <c r="R175" s="1">
        <f ca="1">IFERROR(__xludf.DUMMYFUNCTION("""COMPUTED_VALUE"""),1596)</f>
        <v>1596</v>
      </c>
      <c r="S175" s="1">
        <f ca="1">IFERROR(__xludf.DUMMYFUNCTION("""COMPUTED_VALUE"""),0.407)</f>
        <v>0.40699999999999997</v>
      </c>
      <c r="T175" s="1">
        <f ca="1">IFERROR(__xludf.DUMMYFUNCTION("""COMPUTED_VALUE"""),196)</f>
        <v>196</v>
      </c>
      <c r="U175" s="1">
        <f ca="1">IFERROR(__xludf.DUMMYFUNCTION("""COMPUTED_VALUE"""),582)</f>
        <v>582</v>
      </c>
      <c r="V175" s="1">
        <f ca="1">IFERROR(__xludf.DUMMYFUNCTION("""COMPUTED_VALUE"""),0.337)</f>
        <v>0.33700000000000002</v>
      </c>
      <c r="W175" s="1">
        <f ca="1">IFERROR(__xludf.DUMMYFUNCTION("""COMPUTED_VALUE"""),435)</f>
        <v>435</v>
      </c>
      <c r="X175" s="1">
        <f ca="1">IFERROR(__xludf.DUMMYFUNCTION("""COMPUTED_VALUE"""),634)</f>
        <v>634</v>
      </c>
      <c r="Y175" s="1">
        <f ca="1">IFERROR(__xludf.DUMMYFUNCTION("""COMPUTED_VALUE"""),0.686)</f>
        <v>0.68600000000000005</v>
      </c>
      <c r="Z175" s="1">
        <f ca="1">IFERROR(__xludf.DUMMYFUNCTION("""COMPUTED_VALUE"""),337)</f>
        <v>337</v>
      </c>
      <c r="AA175" s="1">
        <f ca="1">IFERROR(__xludf.DUMMYFUNCTION("""COMPUTED_VALUE"""),1089)</f>
        <v>1089</v>
      </c>
      <c r="AB175" s="1">
        <f ca="1">IFERROR(__xludf.DUMMYFUNCTION("""COMPUTED_VALUE"""),397)</f>
        <v>397</v>
      </c>
      <c r="AC175" s="1">
        <f ca="1">IFERROR(__xludf.DUMMYFUNCTION("""COMPUTED_VALUE"""),219)</f>
        <v>219</v>
      </c>
      <c r="AD175" s="1">
        <f ca="1">IFERROR(__xludf.DUMMYFUNCTION("""COMPUTED_VALUE"""),97)</f>
        <v>97</v>
      </c>
      <c r="AE175" s="1">
        <f ca="1">IFERROR(__xludf.DUMMYFUNCTION("""COMPUTED_VALUE"""),431)</f>
        <v>431</v>
      </c>
      <c r="AF175" s="1">
        <f ca="1">IFERROR(__xludf.DUMMYFUNCTION("""COMPUTED_VALUE"""),471)</f>
        <v>471</v>
      </c>
    </row>
    <row r="176" spans="1:32" ht="12.5" x14ac:dyDescent="0.25">
      <c r="A176" s="1" t="str">
        <f ca="1">IFERROR(__xludf.DUMMYFUNCTION("""COMPUTED_VALUE"""),"Overall")</f>
        <v>Overall</v>
      </c>
      <c r="B176" s="1" t="str">
        <f ca="1">IFERROR(__xludf.DUMMYFUNCTION("""COMPUTED_VALUE"""),"Conf.")</f>
        <v>Conf.</v>
      </c>
      <c r="C176" s="1" t="str">
        <f ca="1">IFERROR(__xludf.DUMMYFUNCTION("""COMPUTED_VALUE"""),"Home")</f>
        <v>Home</v>
      </c>
      <c r="D176" s="1" t="str">
        <f ca="1">IFERROR(__xludf.DUMMYFUNCTION("""COMPUTED_VALUE"""),"Away")</f>
        <v>Away</v>
      </c>
      <c r="E176" s="1" t="str">
        <f ca="1">IFERROR(__xludf.DUMMYFUNCTION("""COMPUTED_VALUE"""),"Points")</f>
        <v>Points</v>
      </c>
      <c r="F176" s="1" t="str">
        <f ca="1">IFERROR(__xludf.DUMMYFUNCTION("""COMPUTED_VALUE"""),"")</f>
        <v/>
      </c>
      <c r="G176" s="1" t="str">
        <f ca="1">IFERROR(__xludf.DUMMYFUNCTION("""COMPUTED_VALUE"""),"School Totals")</f>
        <v>School Totals</v>
      </c>
      <c r="H176" s="1" t="str">
        <f ca="1">IFERROR(__xludf.DUMMYFUNCTION("""COMPUTED_VALUE"""),"")</f>
        <v/>
      </c>
      <c r="I176" s="1" t="str">
        <f ca="1">IFERROR(__xludf.DUMMYFUNCTION("""COMPUTED_VALUE"""),"")</f>
        <v/>
      </c>
      <c r="J176" s="1" t="str">
        <f ca="1">IFERROR(__xludf.DUMMYFUNCTION("""COMPUTED_VALUE"""),"")</f>
        <v/>
      </c>
      <c r="K176" s="1" t="str">
        <f ca="1">IFERROR(__xludf.DUMMYFUNCTION("""COMPUTED_VALUE"""),"")</f>
        <v/>
      </c>
      <c r="L176" s="1" t="str">
        <f ca="1">IFERROR(__xludf.DUMMYFUNCTION("""COMPUTED_VALUE"""),"")</f>
        <v/>
      </c>
      <c r="M176" s="1" t="str">
        <f ca="1">IFERROR(__xludf.DUMMYFUNCTION("""COMPUTED_VALUE"""),"")</f>
        <v/>
      </c>
      <c r="N176" s="1" t="str">
        <f ca="1">IFERROR(__xludf.DUMMYFUNCTION("""COMPUTED_VALUE"""),"")</f>
        <v/>
      </c>
      <c r="O176" s="1" t="str">
        <f ca="1">IFERROR(__xludf.DUMMYFUNCTION("""COMPUTED_VALUE"""),"")</f>
        <v/>
      </c>
      <c r="P176" s="1" t="str">
        <f ca="1">IFERROR(__xludf.DUMMYFUNCTION("""COMPUTED_VALUE"""),"")</f>
        <v/>
      </c>
      <c r="Q176" s="1" t="str">
        <f ca="1">IFERROR(__xludf.DUMMYFUNCTION("""COMPUTED_VALUE"""),"")</f>
        <v/>
      </c>
      <c r="R176" s="1" t="str">
        <f ca="1">IFERROR(__xludf.DUMMYFUNCTION("""COMPUTED_VALUE"""),"")</f>
        <v/>
      </c>
      <c r="S176" s="1" t="str">
        <f ca="1">IFERROR(__xludf.DUMMYFUNCTION("""COMPUTED_VALUE"""),"")</f>
        <v/>
      </c>
      <c r="T176" s="1" t="str">
        <f ca="1">IFERROR(__xludf.DUMMYFUNCTION("""COMPUTED_VALUE"""),"")</f>
        <v/>
      </c>
      <c r="U176" s="1" t="str">
        <f ca="1">IFERROR(__xludf.DUMMYFUNCTION("""COMPUTED_VALUE"""),"")</f>
        <v/>
      </c>
      <c r="V176" s="1" t="str">
        <f ca="1">IFERROR(__xludf.DUMMYFUNCTION("""COMPUTED_VALUE"""),"")</f>
        <v/>
      </c>
      <c r="W176" s="1" t="str">
        <f ca="1">IFERROR(__xludf.DUMMYFUNCTION("""COMPUTED_VALUE"""),"")</f>
        <v/>
      </c>
      <c r="X176" s="1" t="str">
        <f ca="1">IFERROR(__xludf.DUMMYFUNCTION("""COMPUTED_VALUE"""),"")</f>
        <v/>
      </c>
      <c r="Y176" s="1" t="str">
        <f ca="1">IFERROR(__xludf.DUMMYFUNCTION("""COMPUTED_VALUE"""),"")</f>
        <v/>
      </c>
      <c r="Z176" s="1" t="str">
        <f ca="1">IFERROR(__xludf.DUMMYFUNCTION("""COMPUTED_VALUE"""),"")</f>
        <v/>
      </c>
      <c r="AA176" s="1" t="str">
        <f ca="1">IFERROR(__xludf.DUMMYFUNCTION("""COMPUTED_VALUE"""),"")</f>
        <v/>
      </c>
      <c r="AB176" s="1" t="str">
        <f ca="1">IFERROR(__xludf.DUMMYFUNCTION("""COMPUTED_VALUE"""),"")</f>
        <v/>
      </c>
      <c r="AC176" s="1" t="str">
        <f ca="1">IFERROR(__xludf.DUMMYFUNCTION("""COMPUTED_VALUE"""),"")</f>
        <v/>
      </c>
      <c r="AD176" s="1" t="str">
        <f ca="1">IFERROR(__xludf.DUMMYFUNCTION("""COMPUTED_VALUE"""),"")</f>
        <v/>
      </c>
      <c r="AE176" s="1" t="str">
        <f ca="1">IFERROR(__xludf.DUMMYFUNCTION("""COMPUTED_VALUE"""),"")</f>
        <v/>
      </c>
      <c r="AF176" s="1" t="str">
        <f ca="1">IFERROR(__xludf.DUMMYFUNCTION("""COMPUTED_VALUE"""),"")</f>
        <v/>
      </c>
    </row>
    <row r="177" spans="1:32" ht="12.5" x14ac:dyDescent="0.25">
      <c r="A177" s="1" t="str">
        <f ca="1">IFERROR(__xludf.DUMMYFUNCTION("""COMPUTED_VALUE"""),"School")</f>
        <v>School</v>
      </c>
      <c r="B177" s="1" t="str">
        <f ca="1">IFERROR(__xludf.DUMMYFUNCTION("""COMPUTED_VALUE"""),"G")</f>
        <v>G</v>
      </c>
      <c r="C177" s="1" t="str">
        <f ca="1">IFERROR(__xludf.DUMMYFUNCTION("""COMPUTED_VALUE"""),"W")</f>
        <v>W</v>
      </c>
      <c r="D177" s="1" t="str">
        <f ca="1">IFERROR(__xludf.DUMMYFUNCTION("""COMPUTED_VALUE"""),"L")</f>
        <v>L</v>
      </c>
      <c r="E177" s="1" t="str">
        <f ca="1">IFERROR(__xludf.DUMMYFUNCTION("""COMPUTED_VALUE"""),"W-L%")</f>
        <v>W-L%</v>
      </c>
      <c r="F177" s="1" t="str">
        <f ca="1">IFERROR(__xludf.DUMMYFUNCTION("""COMPUTED_VALUE"""),"SRS")</f>
        <v>SRS</v>
      </c>
      <c r="G177" s="1" t="str">
        <f ca="1">IFERROR(__xludf.DUMMYFUNCTION("""COMPUTED_VALUE"""),"SOS")</f>
        <v>SOS</v>
      </c>
      <c r="H177" s="1" t="str">
        <f ca="1">IFERROR(__xludf.DUMMYFUNCTION("""COMPUTED_VALUE"""),"W")</f>
        <v>W</v>
      </c>
      <c r="I177" s="1" t="str">
        <f ca="1">IFERROR(__xludf.DUMMYFUNCTION("""COMPUTED_VALUE"""),"L")</f>
        <v>L</v>
      </c>
      <c r="J177" s="1" t="str">
        <f ca="1">IFERROR(__xludf.DUMMYFUNCTION("""COMPUTED_VALUE"""),"W")</f>
        <v>W</v>
      </c>
      <c r="K177" s="1" t="str">
        <f ca="1">IFERROR(__xludf.DUMMYFUNCTION("""COMPUTED_VALUE"""),"L")</f>
        <v>L</v>
      </c>
      <c r="L177" s="1" t="str">
        <f ca="1">IFERROR(__xludf.DUMMYFUNCTION("""COMPUTED_VALUE"""),"W")</f>
        <v>W</v>
      </c>
      <c r="M177" s="1" t="str">
        <f ca="1">IFERROR(__xludf.DUMMYFUNCTION("""COMPUTED_VALUE"""),"L")</f>
        <v>L</v>
      </c>
      <c r="N177" s="1" t="str">
        <f ca="1">IFERROR(__xludf.DUMMYFUNCTION("""COMPUTED_VALUE"""),"Tm.")</f>
        <v>Tm.</v>
      </c>
      <c r="O177" s="1" t="str">
        <f ca="1">IFERROR(__xludf.DUMMYFUNCTION("""COMPUTED_VALUE"""),"Opp.")</f>
        <v>Opp.</v>
      </c>
      <c r="P177" s="1" t="str">
        <f ca="1">IFERROR(__xludf.DUMMYFUNCTION("""COMPUTED_VALUE"""),"MP")</f>
        <v>MP</v>
      </c>
      <c r="Q177" s="1" t="str">
        <f ca="1">IFERROR(__xludf.DUMMYFUNCTION("""COMPUTED_VALUE"""),"FG")</f>
        <v>FG</v>
      </c>
      <c r="R177" s="1" t="str">
        <f ca="1">IFERROR(__xludf.DUMMYFUNCTION("""COMPUTED_VALUE"""),"FGA")</f>
        <v>FGA</v>
      </c>
      <c r="S177" s="1" t="str">
        <f ca="1">IFERROR(__xludf.DUMMYFUNCTION("""COMPUTED_VALUE"""),"FG%")</f>
        <v>FG%</v>
      </c>
      <c r="T177" s="1" t="str">
        <f ca="1">IFERROR(__xludf.DUMMYFUNCTION("""COMPUTED_VALUE"""),"3P")</f>
        <v>3P</v>
      </c>
      <c r="U177" s="1" t="str">
        <f ca="1">IFERROR(__xludf.DUMMYFUNCTION("""COMPUTED_VALUE"""),"3PA")</f>
        <v>3PA</v>
      </c>
      <c r="V177" s="1" t="str">
        <f ca="1">IFERROR(__xludf.DUMMYFUNCTION("""COMPUTED_VALUE"""),"3P%")</f>
        <v>3P%</v>
      </c>
      <c r="W177" s="1" t="str">
        <f ca="1">IFERROR(__xludf.DUMMYFUNCTION("""COMPUTED_VALUE"""),"FT")</f>
        <v>FT</v>
      </c>
      <c r="X177" s="1" t="str">
        <f ca="1">IFERROR(__xludf.DUMMYFUNCTION("""COMPUTED_VALUE"""),"FTA")</f>
        <v>FTA</v>
      </c>
      <c r="Y177" s="1" t="str">
        <f ca="1">IFERROR(__xludf.DUMMYFUNCTION("""COMPUTED_VALUE"""),"FT%")</f>
        <v>FT%</v>
      </c>
      <c r="Z177" s="1" t="str">
        <f ca="1">IFERROR(__xludf.DUMMYFUNCTION("""COMPUTED_VALUE"""),"ORB")</f>
        <v>ORB</v>
      </c>
      <c r="AA177" s="1" t="str">
        <f ca="1">IFERROR(__xludf.DUMMYFUNCTION("""COMPUTED_VALUE"""),"TRB")</f>
        <v>TRB</v>
      </c>
      <c r="AB177" s="1" t="str">
        <f ca="1">IFERROR(__xludf.DUMMYFUNCTION("""COMPUTED_VALUE"""),"AST")</f>
        <v>AST</v>
      </c>
      <c r="AC177" s="1" t="str">
        <f ca="1">IFERROR(__xludf.DUMMYFUNCTION("""COMPUTED_VALUE"""),"STL")</f>
        <v>STL</v>
      </c>
      <c r="AD177" s="1" t="str">
        <f ca="1">IFERROR(__xludf.DUMMYFUNCTION("""COMPUTED_VALUE"""),"BLK")</f>
        <v>BLK</v>
      </c>
      <c r="AE177" s="1" t="str">
        <f ca="1">IFERROR(__xludf.DUMMYFUNCTION("""COMPUTED_VALUE"""),"TOV")</f>
        <v>TOV</v>
      </c>
      <c r="AF177" s="1" t="str">
        <f ca="1">IFERROR(__xludf.DUMMYFUNCTION("""COMPUTED_VALUE"""),"PF")</f>
        <v>PF</v>
      </c>
    </row>
    <row r="178" spans="1:32" ht="12.5" x14ac:dyDescent="0.25">
      <c r="A178" s="1" t="str">
        <f ca="1">IFERROR(__xludf.DUMMYFUNCTION("""COMPUTED_VALUE"""),"Manhattan")</f>
        <v>Manhattan</v>
      </c>
      <c r="B178" s="1">
        <f ca="1">IFERROR(__xludf.DUMMYFUNCTION("""COMPUTED_VALUE"""),31)</f>
        <v>31</v>
      </c>
      <c r="C178" s="1">
        <f ca="1">IFERROR(__xludf.DUMMYFUNCTION("""COMPUTED_VALUE"""),11)</f>
        <v>11</v>
      </c>
      <c r="D178" s="1">
        <f ca="1">IFERROR(__xludf.DUMMYFUNCTION("""COMPUTED_VALUE"""),20)</f>
        <v>20</v>
      </c>
      <c r="E178" s="1">
        <f ca="1">IFERROR(__xludf.DUMMYFUNCTION("""COMPUTED_VALUE"""),0.355)</f>
        <v>0.35499999999999998</v>
      </c>
      <c r="F178" s="1">
        <f ca="1">IFERROR(__xludf.DUMMYFUNCTION("""COMPUTED_VALUE"""),-4.68)</f>
        <v>-4.68</v>
      </c>
      <c r="G178" s="1">
        <f ca="1">IFERROR(__xludf.DUMMYFUNCTION("""COMPUTED_VALUE"""),-2.97)</f>
        <v>-2.97</v>
      </c>
      <c r="H178" s="1">
        <f ca="1">IFERROR(__xludf.DUMMYFUNCTION("""COMPUTED_VALUE"""),4)</f>
        <v>4</v>
      </c>
      <c r="I178" s="1">
        <f ca="1">IFERROR(__xludf.DUMMYFUNCTION("""COMPUTED_VALUE"""),14)</f>
        <v>14</v>
      </c>
      <c r="J178" s="1">
        <f ca="1">IFERROR(__xludf.DUMMYFUNCTION("""COMPUTED_VALUE"""),6)</f>
        <v>6</v>
      </c>
      <c r="K178" s="1">
        <f ca="1">IFERROR(__xludf.DUMMYFUNCTION("""COMPUTED_VALUE"""),8)</f>
        <v>8</v>
      </c>
      <c r="L178" s="1">
        <f ca="1">IFERROR(__xludf.DUMMYFUNCTION("""COMPUTED_VALUE"""),4)</f>
        <v>4</v>
      </c>
      <c r="M178" s="1">
        <f ca="1">IFERROR(__xludf.DUMMYFUNCTION("""COMPUTED_VALUE"""),12)</f>
        <v>12</v>
      </c>
      <c r="N178" s="1">
        <f ca="1">IFERROR(__xludf.DUMMYFUNCTION("""COMPUTED_VALUE"""),2031)</f>
        <v>2031</v>
      </c>
      <c r="O178" s="1">
        <f ca="1">IFERROR(__xludf.DUMMYFUNCTION("""COMPUTED_VALUE"""),2084)</f>
        <v>2084</v>
      </c>
      <c r="P178" s="1">
        <f ca="1">IFERROR(__xludf.DUMMYFUNCTION("""COMPUTED_VALUE"""),1246)</f>
        <v>1246</v>
      </c>
      <c r="Q178" s="1">
        <f ca="1">IFERROR(__xludf.DUMMYFUNCTION("""COMPUTED_VALUE"""),727)</f>
        <v>727</v>
      </c>
      <c r="R178" s="1">
        <f ca="1">IFERROR(__xludf.DUMMYFUNCTION("""COMPUTED_VALUE"""),1797)</f>
        <v>1797</v>
      </c>
      <c r="S178" s="1">
        <f ca="1">IFERROR(__xludf.DUMMYFUNCTION("""COMPUTED_VALUE"""),0.405)</f>
        <v>0.40500000000000003</v>
      </c>
      <c r="T178" s="1">
        <f ca="1">IFERROR(__xludf.DUMMYFUNCTION("""COMPUTED_VALUE"""),133)</f>
        <v>133</v>
      </c>
      <c r="U178" s="1">
        <f ca="1">IFERROR(__xludf.DUMMYFUNCTION("""COMPUTED_VALUE"""),433)</f>
        <v>433</v>
      </c>
      <c r="V178" s="1">
        <f ca="1">IFERROR(__xludf.DUMMYFUNCTION("""COMPUTED_VALUE"""),0.307)</f>
        <v>0.307</v>
      </c>
      <c r="W178" s="1">
        <f ca="1">IFERROR(__xludf.DUMMYFUNCTION("""COMPUTED_VALUE"""),444)</f>
        <v>444</v>
      </c>
      <c r="X178" s="1">
        <f ca="1">IFERROR(__xludf.DUMMYFUNCTION("""COMPUTED_VALUE"""),649)</f>
        <v>649</v>
      </c>
      <c r="Y178" s="1">
        <f ca="1">IFERROR(__xludf.DUMMYFUNCTION("""COMPUTED_VALUE"""),0.684)</f>
        <v>0.68400000000000005</v>
      </c>
      <c r="Z178" s="1">
        <f ca="1">IFERROR(__xludf.DUMMYFUNCTION("""COMPUTED_VALUE"""),364)</f>
        <v>364</v>
      </c>
      <c r="AA178" s="1">
        <f ca="1">IFERROR(__xludf.DUMMYFUNCTION("""COMPUTED_VALUE"""),1089)</f>
        <v>1089</v>
      </c>
      <c r="AB178" s="1">
        <f ca="1">IFERROR(__xludf.DUMMYFUNCTION("""COMPUTED_VALUE"""),307)</f>
        <v>307</v>
      </c>
      <c r="AC178" s="1">
        <f ca="1">IFERROR(__xludf.DUMMYFUNCTION("""COMPUTED_VALUE"""),240)</f>
        <v>240</v>
      </c>
      <c r="AD178" s="1">
        <f ca="1">IFERROR(__xludf.DUMMYFUNCTION("""COMPUTED_VALUE"""),114)</f>
        <v>114</v>
      </c>
      <c r="AE178" s="1">
        <f ca="1">IFERROR(__xludf.DUMMYFUNCTION("""COMPUTED_VALUE"""),361)</f>
        <v>361</v>
      </c>
      <c r="AF178" s="1">
        <f ca="1">IFERROR(__xludf.DUMMYFUNCTION("""COMPUTED_VALUE"""),603)</f>
        <v>603</v>
      </c>
    </row>
    <row r="179" spans="1:32" ht="12.5" x14ac:dyDescent="0.25">
      <c r="A179" s="1" t="str">
        <f ca="1">IFERROR(__xludf.DUMMYFUNCTION("""COMPUTED_VALUE"""),"Marist")</f>
        <v>Marist</v>
      </c>
      <c r="B179" s="1">
        <f ca="1">IFERROR(__xludf.DUMMYFUNCTION("""COMPUTED_VALUE"""),30)</f>
        <v>30</v>
      </c>
      <c r="C179" s="1">
        <f ca="1">IFERROR(__xludf.DUMMYFUNCTION("""COMPUTED_VALUE"""),1)</f>
        <v>1</v>
      </c>
      <c r="D179" s="1">
        <f ca="1">IFERROR(__xludf.DUMMYFUNCTION("""COMPUTED_VALUE"""),29)</f>
        <v>29</v>
      </c>
      <c r="E179" s="1">
        <f ca="1">IFERROR(__xludf.DUMMYFUNCTION("""COMPUTED_VALUE"""),0.033)</f>
        <v>3.3000000000000002E-2</v>
      </c>
      <c r="F179" s="1">
        <f ca="1">IFERROR(__xludf.DUMMYFUNCTION("""COMPUTED_VALUE"""),-17.21)</f>
        <v>-17.21</v>
      </c>
      <c r="G179" s="1">
        <f ca="1">IFERROR(__xludf.DUMMYFUNCTION("""COMPUTED_VALUE"""),-2.85)</f>
        <v>-2.85</v>
      </c>
      <c r="H179" s="1">
        <f ca="1">IFERROR(__xludf.DUMMYFUNCTION("""COMPUTED_VALUE"""),1)</f>
        <v>1</v>
      </c>
      <c r="I179" s="1">
        <f ca="1">IFERROR(__xludf.DUMMYFUNCTION("""COMPUTED_VALUE"""),17)</f>
        <v>17</v>
      </c>
      <c r="J179" s="1">
        <f ca="1">IFERROR(__xludf.DUMMYFUNCTION("""COMPUTED_VALUE"""),1)</f>
        <v>1</v>
      </c>
      <c r="K179" s="1">
        <f ca="1">IFERROR(__xludf.DUMMYFUNCTION("""COMPUTED_VALUE"""),12)</f>
        <v>12</v>
      </c>
      <c r="L179" s="1">
        <f ca="1">IFERROR(__xludf.DUMMYFUNCTION("""COMPUTED_VALUE"""),0)</f>
        <v>0</v>
      </c>
      <c r="M179" s="1">
        <f ca="1">IFERROR(__xludf.DUMMYFUNCTION("""COMPUTED_VALUE"""),16)</f>
        <v>16</v>
      </c>
      <c r="N179" s="1">
        <f ca="1">IFERROR(__xludf.DUMMYFUNCTION("""COMPUTED_VALUE"""),1684)</f>
        <v>1684</v>
      </c>
      <c r="O179" s="1">
        <f ca="1">IFERROR(__xludf.DUMMYFUNCTION("""COMPUTED_VALUE"""),2115)</f>
        <v>2115</v>
      </c>
      <c r="P179" s="1">
        <f ca="1">IFERROR(__xludf.DUMMYFUNCTION("""COMPUTED_VALUE"""),1205)</f>
        <v>1205</v>
      </c>
      <c r="Q179" s="1">
        <f ca="1">IFERROR(__xludf.DUMMYFUNCTION("""COMPUTED_VALUE"""),600)</f>
        <v>600</v>
      </c>
      <c r="R179" s="1">
        <f ca="1">IFERROR(__xludf.DUMMYFUNCTION("""COMPUTED_VALUE"""),1546)</f>
        <v>1546</v>
      </c>
      <c r="S179" s="1">
        <f ca="1">IFERROR(__xludf.DUMMYFUNCTION("""COMPUTED_VALUE"""),0.388)</f>
        <v>0.38800000000000001</v>
      </c>
      <c r="T179" s="1">
        <f ca="1">IFERROR(__xludf.DUMMYFUNCTION("""COMPUTED_VALUE"""),204)</f>
        <v>204</v>
      </c>
      <c r="U179" s="1">
        <f ca="1">IFERROR(__xludf.DUMMYFUNCTION("""COMPUTED_VALUE"""),581)</f>
        <v>581</v>
      </c>
      <c r="V179" s="1">
        <f ca="1">IFERROR(__xludf.DUMMYFUNCTION("""COMPUTED_VALUE"""),0.351)</f>
        <v>0.35099999999999998</v>
      </c>
      <c r="W179" s="1">
        <f ca="1">IFERROR(__xludf.DUMMYFUNCTION("""COMPUTED_VALUE"""),280)</f>
        <v>280</v>
      </c>
      <c r="X179" s="1">
        <f ca="1">IFERROR(__xludf.DUMMYFUNCTION("""COMPUTED_VALUE"""),439)</f>
        <v>439</v>
      </c>
      <c r="Y179" s="1">
        <f ca="1">IFERROR(__xludf.DUMMYFUNCTION("""COMPUTED_VALUE"""),0.638)</f>
        <v>0.63800000000000001</v>
      </c>
      <c r="Z179" s="1">
        <f ca="1">IFERROR(__xludf.DUMMYFUNCTION("""COMPUTED_VALUE"""),268)</f>
        <v>268</v>
      </c>
      <c r="AA179" s="1">
        <f ca="1">IFERROR(__xludf.DUMMYFUNCTION("""COMPUTED_VALUE"""),904)</f>
        <v>904</v>
      </c>
      <c r="AB179" s="1">
        <f ca="1">IFERROR(__xludf.DUMMYFUNCTION("""COMPUTED_VALUE"""),296)</f>
        <v>296</v>
      </c>
      <c r="AC179" s="1">
        <f ca="1">IFERROR(__xludf.DUMMYFUNCTION("""COMPUTED_VALUE"""),156)</f>
        <v>156</v>
      </c>
      <c r="AD179" s="1">
        <f ca="1">IFERROR(__xludf.DUMMYFUNCTION("""COMPUTED_VALUE"""),38)</f>
        <v>38</v>
      </c>
      <c r="AE179" s="1">
        <f ca="1">IFERROR(__xludf.DUMMYFUNCTION("""COMPUTED_VALUE"""),424)</f>
        <v>424</v>
      </c>
      <c r="AF179" s="1">
        <f ca="1">IFERROR(__xludf.DUMMYFUNCTION("""COMPUTED_VALUE"""),553)</f>
        <v>553</v>
      </c>
    </row>
    <row r="180" spans="1:32" ht="12.5" x14ac:dyDescent="0.25">
      <c r="A180" s="1" t="str">
        <f ca="1">IFERROR(__xludf.DUMMYFUNCTION("""COMPUTED_VALUE"""),"MarquetteNCAA")</f>
        <v>MarquetteNCAA</v>
      </c>
      <c r="B180" s="1">
        <f ca="1">IFERROR(__xludf.DUMMYFUNCTION("""COMPUTED_VALUE"""),34)</f>
        <v>34</v>
      </c>
      <c r="C180" s="1">
        <f ca="1">IFERROR(__xludf.DUMMYFUNCTION("""COMPUTED_VALUE"""),22)</f>
        <v>22</v>
      </c>
      <c r="D180" s="1">
        <f ca="1">IFERROR(__xludf.DUMMYFUNCTION("""COMPUTED_VALUE"""),12)</f>
        <v>12</v>
      </c>
      <c r="E180" s="1">
        <f ca="1">IFERROR(__xludf.DUMMYFUNCTION("""COMPUTED_VALUE"""),0.647)</f>
        <v>0.64700000000000002</v>
      </c>
      <c r="F180" s="1">
        <f ca="1">IFERROR(__xludf.DUMMYFUNCTION("""COMPUTED_VALUE"""),15.17)</f>
        <v>15.17</v>
      </c>
      <c r="G180" s="1">
        <f ca="1">IFERROR(__xludf.DUMMYFUNCTION("""COMPUTED_VALUE"""),8.23)</f>
        <v>8.23</v>
      </c>
      <c r="H180" s="1">
        <f ca="1">IFERROR(__xludf.DUMMYFUNCTION("""COMPUTED_VALUE"""),11)</f>
        <v>11</v>
      </c>
      <c r="I180" s="1">
        <f ca="1">IFERROR(__xludf.DUMMYFUNCTION("""COMPUTED_VALUE"""),7)</f>
        <v>7</v>
      </c>
      <c r="J180" s="1">
        <f ca="1">IFERROR(__xludf.DUMMYFUNCTION("""COMPUTED_VALUE"""),13)</f>
        <v>13</v>
      </c>
      <c r="K180" s="1">
        <f ca="1">IFERROR(__xludf.DUMMYFUNCTION("""COMPUTED_VALUE"""),4)</f>
        <v>4</v>
      </c>
      <c r="L180" s="1">
        <f ca="1">IFERROR(__xludf.DUMMYFUNCTION("""COMPUTED_VALUE"""),6)</f>
        <v>6</v>
      </c>
      <c r="M180" s="1">
        <f ca="1">IFERROR(__xludf.DUMMYFUNCTION("""COMPUTED_VALUE"""),5)</f>
        <v>5</v>
      </c>
      <c r="N180" s="1">
        <f ca="1">IFERROR(__xludf.DUMMYFUNCTION("""COMPUTED_VALUE"""),2485)</f>
        <v>2485</v>
      </c>
      <c r="O180" s="1">
        <f ca="1">IFERROR(__xludf.DUMMYFUNCTION("""COMPUTED_VALUE"""),2198)</f>
        <v>2198</v>
      </c>
      <c r="P180" s="1">
        <f ca="1">IFERROR(__xludf.DUMMYFUNCTION("""COMPUTED_VALUE"""),1380)</f>
        <v>1380</v>
      </c>
      <c r="Q180" s="1">
        <f ca="1">IFERROR(__xludf.DUMMYFUNCTION("""COMPUTED_VALUE"""),861)</f>
        <v>861</v>
      </c>
      <c r="R180" s="1">
        <f ca="1">IFERROR(__xludf.DUMMYFUNCTION("""COMPUTED_VALUE"""),1890)</f>
        <v>1890</v>
      </c>
      <c r="S180" s="1">
        <f ca="1">IFERROR(__xludf.DUMMYFUNCTION("""COMPUTED_VALUE"""),0.456)</f>
        <v>0.45600000000000002</v>
      </c>
      <c r="T180" s="1">
        <f ca="1">IFERROR(__xludf.DUMMYFUNCTION("""COMPUTED_VALUE"""),274)</f>
        <v>274</v>
      </c>
      <c r="U180" s="1">
        <f ca="1">IFERROR(__xludf.DUMMYFUNCTION("""COMPUTED_VALUE"""),664)</f>
        <v>664</v>
      </c>
      <c r="V180" s="1">
        <f ca="1">IFERROR(__xludf.DUMMYFUNCTION("""COMPUTED_VALUE"""),0.413)</f>
        <v>0.41299999999999998</v>
      </c>
      <c r="W180" s="1">
        <f ca="1">IFERROR(__xludf.DUMMYFUNCTION("""COMPUTED_VALUE"""),489)</f>
        <v>489</v>
      </c>
      <c r="X180" s="1">
        <f ca="1">IFERROR(__xludf.DUMMYFUNCTION("""COMPUTED_VALUE"""),660)</f>
        <v>660</v>
      </c>
      <c r="Y180" s="1">
        <f ca="1">IFERROR(__xludf.DUMMYFUNCTION("""COMPUTED_VALUE"""),0.741)</f>
        <v>0.74099999999999999</v>
      </c>
      <c r="Z180" s="1">
        <f ca="1">IFERROR(__xludf.DUMMYFUNCTION("""COMPUTED_VALUE"""),343)</f>
        <v>343</v>
      </c>
      <c r="AA180" s="1">
        <f ca="1">IFERROR(__xludf.DUMMYFUNCTION("""COMPUTED_VALUE"""),1071)</f>
        <v>1071</v>
      </c>
      <c r="AB180" s="1">
        <f ca="1">IFERROR(__xludf.DUMMYFUNCTION("""COMPUTED_VALUE"""),516)</f>
        <v>516</v>
      </c>
      <c r="AC180" s="1">
        <f ca="1">IFERROR(__xludf.DUMMYFUNCTION("""COMPUTED_VALUE"""),269)</f>
        <v>269</v>
      </c>
      <c r="AD180" s="1">
        <f ca="1">IFERROR(__xludf.DUMMYFUNCTION("""COMPUTED_VALUE"""),72)</f>
        <v>72</v>
      </c>
      <c r="AE180" s="1">
        <f ca="1">IFERROR(__xludf.DUMMYFUNCTION("""COMPUTED_VALUE"""),353)</f>
        <v>353</v>
      </c>
      <c r="AF180" s="1">
        <f ca="1">IFERROR(__xludf.DUMMYFUNCTION("""COMPUTED_VALUE"""),580)</f>
        <v>580</v>
      </c>
    </row>
    <row r="181" spans="1:32" ht="12.5" x14ac:dyDescent="0.25">
      <c r="A181" s="1" t="str">
        <f ca="1">IFERROR(__xludf.DUMMYFUNCTION("""COMPUTED_VALUE"""),"Marshall")</f>
        <v>Marshall</v>
      </c>
      <c r="B181" s="1">
        <f ca="1">IFERROR(__xludf.DUMMYFUNCTION("""COMPUTED_VALUE"""),34)</f>
        <v>34</v>
      </c>
      <c r="C181" s="1">
        <f ca="1">IFERROR(__xludf.DUMMYFUNCTION("""COMPUTED_VALUE"""),24)</f>
        <v>24</v>
      </c>
      <c r="D181" s="1">
        <f ca="1">IFERROR(__xludf.DUMMYFUNCTION("""COMPUTED_VALUE"""),10)</f>
        <v>10</v>
      </c>
      <c r="E181" s="1">
        <f ca="1">IFERROR(__xludf.DUMMYFUNCTION("""COMPUTED_VALUE"""),0.706)</f>
        <v>0.70599999999999996</v>
      </c>
      <c r="F181" s="1">
        <f ca="1">IFERROR(__xludf.DUMMYFUNCTION("""COMPUTED_VALUE"""),7.8)</f>
        <v>7.8</v>
      </c>
      <c r="G181" s="1">
        <f ca="1">IFERROR(__xludf.DUMMYFUNCTION("""COMPUTED_VALUE"""),1.57)</f>
        <v>1.57</v>
      </c>
      <c r="H181" s="1">
        <f ca="1">IFERROR(__xludf.DUMMYFUNCTION("""COMPUTED_VALUE"""),11)</f>
        <v>11</v>
      </c>
      <c r="I181" s="1">
        <f ca="1">IFERROR(__xludf.DUMMYFUNCTION("""COMPUTED_VALUE"""),5)</f>
        <v>5</v>
      </c>
      <c r="J181" s="1">
        <f ca="1">IFERROR(__xludf.DUMMYFUNCTION("""COMPUTED_VALUE"""),15)</f>
        <v>15</v>
      </c>
      <c r="K181" s="1">
        <f ca="1">IFERROR(__xludf.DUMMYFUNCTION("""COMPUTED_VALUE"""),4)</f>
        <v>4</v>
      </c>
      <c r="L181" s="1">
        <f ca="1">IFERROR(__xludf.DUMMYFUNCTION("""COMPUTED_VALUE"""),8)</f>
        <v>8</v>
      </c>
      <c r="M181" s="1">
        <f ca="1">IFERROR(__xludf.DUMMYFUNCTION("""COMPUTED_VALUE"""),5)</f>
        <v>5</v>
      </c>
      <c r="N181" s="1">
        <f ca="1">IFERROR(__xludf.DUMMYFUNCTION("""COMPUTED_VALUE"""),2717)</f>
        <v>2717</v>
      </c>
      <c r="O181" s="1">
        <f ca="1">IFERROR(__xludf.DUMMYFUNCTION("""COMPUTED_VALUE"""),2347)</f>
        <v>2347</v>
      </c>
      <c r="P181" s="1">
        <f ca="1">IFERROR(__xludf.DUMMYFUNCTION("""COMPUTED_VALUE"""),1375)</f>
        <v>1375</v>
      </c>
      <c r="Q181" s="1">
        <f ca="1">IFERROR(__xludf.DUMMYFUNCTION("""COMPUTED_VALUE"""),949)</f>
        <v>949</v>
      </c>
      <c r="R181" s="1">
        <f ca="1">IFERROR(__xludf.DUMMYFUNCTION("""COMPUTED_VALUE"""),1985)</f>
        <v>1985</v>
      </c>
      <c r="S181" s="1">
        <f ca="1">IFERROR(__xludf.DUMMYFUNCTION("""COMPUTED_VALUE"""),0.478)</f>
        <v>0.47799999999999998</v>
      </c>
      <c r="T181" s="1">
        <f ca="1">IFERROR(__xludf.DUMMYFUNCTION("""COMPUTED_VALUE"""),222)</f>
        <v>222</v>
      </c>
      <c r="U181" s="1">
        <f ca="1">IFERROR(__xludf.DUMMYFUNCTION("""COMPUTED_VALUE"""),591)</f>
        <v>591</v>
      </c>
      <c r="V181" s="1">
        <f ca="1">IFERROR(__xludf.DUMMYFUNCTION("""COMPUTED_VALUE"""),0.376)</f>
        <v>0.376</v>
      </c>
      <c r="W181" s="1">
        <f ca="1">IFERROR(__xludf.DUMMYFUNCTION("""COMPUTED_VALUE"""),597)</f>
        <v>597</v>
      </c>
      <c r="X181" s="1">
        <f ca="1">IFERROR(__xludf.DUMMYFUNCTION("""COMPUTED_VALUE"""),873)</f>
        <v>873</v>
      </c>
      <c r="Y181" s="1">
        <f ca="1">IFERROR(__xludf.DUMMYFUNCTION("""COMPUTED_VALUE"""),0.684)</f>
        <v>0.68400000000000005</v>
      </c>
      <c r="Z181" s="1">
        <f ca="1">IFERROR(__xludf.DUMMYFUNCTION("""COMPUTED_VALUE"""),412)</f>
        <v>412</v>
      </c>
      <c r="AA181" s="1">
        <f ca="1">IFERROR(__xludf.DUMMYFUNCTION("""COMPUTED_VALUE"""),1327)</f>
        <v>1327</v>
      </c>
      <c r="AB181" s="1">
        <f ca="1">IFERROR(__xludf.DUMMYFUNCTION("""COMPUTED_VALUE"""),549)</f>
        <v>549</v>
      </c>
      <c r="AC181" s="1">
        <f ca="1">IFERROR(__xludf.DUMMYFUNCTION("""COMPUTED_VALUE"""),216)</f>
        <v>216</v>
      </c>
      <c r="AD181" s="1">
        <f ca="1">IFERROR(__xludf.DUMMYFUNCTION("""COMPUTED_VALUE"""),268)</f>
        <v>268</v>
      </c>
      <c r="AE181" s="1">
        <f ca="1">IFERROR(__xludf.DUMMYFUNCTION("""COMPUTED_VALUE"""),432)</f>
        <v>432</v>
      </c>
      <c r="AF181" s="1">
        <f ca="1">IFERROR(__xludf.DUMMYFUNCTION("""COMPUTED_VALUE"""),613)</f>
        <v>613</v>
      </c>
    </row>
    <row r="182" spans="1:32" ht="12.5" x14ac:dyDescent="0.25">
      <c r="A182" s="1" t="str">
        <f ca="1">IFERROR(__xludf.DUMMYFUNCTION("""COMPUTED_VALUE"""),"Maryland-Baltimore County")</f>
        <v>Maryland-Baltimore County</v>
      </c>
      <c r="B182" s="1">
        <f ca="1">IFERROR(__xludf.DUMMYFUNCTION("""COMPUTED_VALUE"""),30)</f>
        <v>30</v>
      </c>
      <c r="C182" s="1">
        <f ca="1">IFERROR(__xludf.DUMMYFUNCTION("""COMPUTED_VALUE"""),4)</f>
        <v>4</v>
      </c>
      <c r="D182" s="1">
        <f ca="1">IFERROR(__xludf.DUMMYFUNCTION("""COMPUTED_VALUE"""),26)</f>
        <v>26</v>
      </c>
      <c r="E182" s="1">
        <f ca="1">IFERROR(__xludf.DUMMYFUNCTION("""COMPUTED_VALUE"""),0.133)</f>
        <v>0.13300000000000001</v>
      </c>
      <c r="F182" s="1">
        <f ca="1">IFERROR(__xludf.DUMMYFUNCTION("""COMPUTED_VALUE"""),-16.92)</f>
        <v>-16.920000000000002</v>
      </c>
      <c r="G182" s="1">
        <f ca="1">IFERROR(__xludf.DUMMYFUNCTION("""COMPUTED_VALUE"""),-6.19)</f>
        <v>-6.19</v>
      </c>
      <c r="H182" s="1">
        <f ca="1">IFERROR(__xludf.DUMMYFUNCTION("""COMPUTED_VALUE"""),3)</f>
        <v>3</v>
      </c>
      <c r="I182" s="1">
        <f ca="1">IFERROR(__xludf.DUMMYFUNCTION("""COMPUTED_VALUE"""),13)</f>
        <v>13</v>
      </c>
      <c r="J182" s="1">
        <f ca="1">IFERROR(__xludf.DUMMYFUNCTION("""COMPUTED_VALUE"""),0)</f>
        <v>0</v>
      </c>
      <c r="K182" s="1">
        <f ca="1">IFERROR(__xludf.DUMMYFUNCTION("""COMPUTED_VALUE"""),13)</f>
        <v>13</v>
      </c>
      <c r="L182" s="1">
        <f ca="1">IFERROR(__xludf.DUMMYFUNCTION("""COMPUTED_VALUE"""),4)</f>
        <v>4</v>
      </c>
      <c r="M182" s="1">
        <f ca="1">IFERROR(__xludf.DUMMYFUNCTION("""COMPUTED_VALUE"""),12)</f>
        <v>12</v>
      </c>
      <c r="N182" s="1">
        <f ca="1">IFERROR(__xludf.DUMMYFUNCTION("""COMPUTED_VALUE"""),1893)</f>
        <v>1893</v>
      </c>
      <c r="O182" s="1">
        <f ca="1">IFERROR(__xludf.DUMMYFUNCTION("""COMPUTED_VALUE"""),2215)</f>
        <v>2215</v>
      </c>
      <c r="P182" s="1">
        <f ca="1">IFERROR(__xludf.DUMMYFUNCTION("""COMPUTED_VALUE"""),1210)</f>
        <v>1210</v>
      </c>
      <c r="Q182" s="1">
        <f ca="1">IFERROR(__xludf.DUMMYFUNCTION("""COMPUTED_VALUE"""),684)</f>
        <v>684</v>
      </c>
      <c r="R182" s="1">
        <f ca="1">IFERROR(__xludf.DUMMYFUNCTION("""COMPUTED_VALUE"""),1656)</f>
        <v>1656</v>
      </c>
      <c r="S182" s="1">
        <f ca="1">IFERROR(__xludf.DUMMYFUNCTION("""COMPUTED_VALUE"""),0.413)</f>
        <v>0.41299999999999998</v>
      </c>
      <c r="T182" s="1">
        <f ca="1">IFERROR(__xludf.DUMMYFUNCTION("""COMPUTED_VALUE"""),150)</f>
        <v>150</v>
      </c>
      <c r="U182" s="1">
        <f ca="1">IFERROR(__xludf.DUMMYFUNCTION("""COMPUTED_VALUE"""),464)</f>
        <v>464</v>
      </c>
      <c r="V182" s="1">
        <f ca="1">IFERROR(__xludf.DUMMYFUNCTION("""COMPUTED_VALUE"""),0.323)</f>
        <v>0.32300000000000001</v>
      </c>
      <c r="W182" s="1">
        <f ca="1">IFERROR(__xludf.DUMMYFUNCTION("""COMPUTED_VALUE"""),375)</f>
        <v>375</v>
      </c>
      <c r="X182" s="1">
        <f ca="1">IFERROR(__xludf.DUMMYFUNCTION("""COMPUTED_VALUE"""),544)</f>
        <v>544</v>
      </c>
      <c r="Y182" s="1">
        <f ca="1">IFERROR(__xludf.DUMMYFUNCTION("""COMPUTED_VALUE"""),0.689)</f>
        <v>0.68899999999999995</v>
      </c>
      <c r="Z182" s="1">
        <f ca="1">IFERROR(__xludf.DUMMYFUNCTION("""COMPUTED_VALUE"""),251)</f>
        <v>251</v>
      </c>
      <c r="AA182" s="1">
        <f ca="1">IFERROR(__xludf.DUMMYFUNCTION("""COMPUTED_VALUE"""),918)</f>
        <v>918</v>
      </c>
      <c r="AB182" s="1">
        <f ca="1">IFERROR(__xludf.DUMMYFUNCTION("""COMPUTED_VALUE"""),332)</f>
        <v>332</v>
      </c>
      <c r="AC182" s="1">
        <f ca="1">IFERROR(__xludf.DUMMYFUNCTION("""COMPUTED_VALUE"""),179)</f>
        <v>179</v>
      </c>
      <c r="AD182" s="1">
        <f ca="1">IFERROR(__xludf.DUMMYFUNCTION("""COMPUTED_VALUE"""),90)</f>
        <v>90</v>
      </c>
      <c r="AE182" s="1">
        <f ca="1">IFERROR(__xludf.DUMMYFUNCTION("""COMPUTED_VALUE"""),341)</f>
        <v>341</v>
      </c>
      <c r="AF182" s="1">
        <f ca="1">IFERROR(__xludf.DUMMYFUNCTION("""COMPUTED_VALUE"""),564)</f>
        <v>564</v>
      </c>
    </row>
    <row r="183" spans="1:32" ht="12.5" x14ac:dyDescent="0.25">
      <c r="A183" s="1" t="str">
        <f ca="1">IFERROR(__xludf.DUMMYFUNCTION("""COMPUTED_VALUE"""),"Maryland-Eastern Shore")</f>
        <v>Maryland-Eastern Shore</v>
      </c>
      <c r="B183" s="1">
        <f ca="1">IFERROR(__xludf.DUMMYFUNCTION("""COMPUTED_VALUE"""),32)</f>
        <v>32</v>
      </c>
      <c r="C183" s="1">
        <f ca="1">IFERROR(__xludf.DUMMYFUNCTION("""COMPUTED_VALUE"""),11)</f>
        <v>11</v>
      </c>
      <c r="D183" s="1">
        <f ca="1">IFERROR(__xludf.DUMMYFUNCTION("""COMPUTED_VALUE"""),21)</f>
        <v>21</v>
      </c>
      <c r="E183" s="1">
        <f ca="1">IFERROR(__xludf.DUMMYFUNCTION("""COMPUTED_VALUE"""),0.344)</f>
        <v>0.34399999999999997</v>
      </c>
      <c r="F183" s="1">
        <f ca="1">IFERROR(__xludf.DUMMYFUNCTION("""COMPUTED_VALUE"""),-16.18)</f>
        <v>-16.18</v>
      </c>
      <c r="G183" s="1">
        <f ca="1">IFERROR(__xludf.DUMMYFUNCTION("""COMPUTED_VALUE"""),-7.38)</f>
        <v>-7.38</v>
      </c>
      <c r="H183" s="1">
        <f ca="1">IFERROR(__xludf.DUMMYFUNCTION("""COMPUTED_VALUE"""),8)</f>
        <v>8</v>
      </c>
      <c r="I183" s="1">
        <f ca="1">IFERROR(__xludf.DUMMYFUNCTION("""COMPUTED_VALUE"""),8)</f>
        <v>8</v>
      </c>
      <c r="J183" s="1">
        <f ca="1">IFERROR(__xludf.DUMMYFUNCTION("""COMPUTED_VALUE"""),6)</f>
        <v>6</v>
      </c>
      <c r="K183" s="1">
        <f ca="1">IFERROR(__xludf.DUMMYFUNCTION("""COMPUTED_VALUE"""),6)</f>
        <v>6</v>
      </c>
      <c r="L183" s="1">
        <f ca="1">IFERROR(__xludf.DUMMYFUNCTION("""COMPUTED_VALUE"""),4)</f>
        <v>4</v>
      </c>
      <c r="M183" s="1">
        <f ca="1">IFERROR(__xludf.DUMMYFUNCTION("""COMPUTED_VALUE"""),12)</f>
        <v>12</v>
      </c>
      <c r="N183" s="1">
        <f ca="1">IFERROR(__xludf.DUMMYFUNCTION("""COMPUTED_VALUE"""),1945)</f>
        <v>1945</v>
      </c>
      <c r="O183" s="1">
        <f ca="1">IFERROR(__xludf.DUMMYFUNCTION("""COMPUTED_VALUE"""),2216)</f>
        <v>2216</v>
      </c>
      <c r="P183" s="1">
        <f ca="1">IFERROR(__xludf.DUMMYFUNCTION("""COMPUTED_VALUE"""),1285)</f>
        <v>1285</v>
      </c>
      <c r="Q183" s="1">
        <f ca="1">IFERROR(__xludf.DUMMYFUNCTION("""COMPUTED_VALUE"""),691)</f>
        <v>691</v>
      </c>
      <c r="R183" s="1">
        <f ca="1">IFERROR(__xludf.DUMMYFUNCTION("""COMPUTED_VALUE"""),1722)</f>
        <v>1722</v>
      </c>
      <c r="S183" s="1">
        <f ca="1">IFERROR(__xludf.DUMMYFUNCTION("""COMPUTED_VALUE"""),0.401)</f>
        <v>0.40100000000000002</v>
      </c>
      <c r="T183" s="1">
        <f ca="1">IFERROR(__xludf.DUMMYFUNCTION("""COMPUTED_VALUE"""),161)</f>
        <v>161</v>
      </c>
      <c r="U183" s="1">
        <f ca="1">IFERROR(__xludf.DUMMYFUNCTION("""COMPUTED_VALUE"""),528)</f>
        <v>528</v>
      </c>
      <c r="V183" s="1">
        <f ca="1">IFERROR(__xludf.DUMMYFUNCTION("""COMPUTED_VALUE"""),0.305)</f>
        <v>0.30499999999999999</v>
      </c>
      <c r="W183" s="1">
        <f ca="1">IFERROR(__xludf.DUMMYFUNCTION("""COMPUTED_VALUE"""),402)</f>
        <v>402</v>
      </c>
      <c r="X183" s="1">
        <f ca="1">IFERROR(__xludf.DUMMYFUNCTION("""COMPUTED_VALUE"""),624)</f>
        <v>624</v>
      </c>
      <c r="Y183" s="1">
        <f ca="1">IFERROR(__xludf.DUMMYFUNCTION("""COMPUTED_VALUE"""),0.644)</f>
        <v>0.64400000000000002</v>
      </c>
      <c r="Z183" s="1">
        <f ca="1">IFERROR(__xludf.DUMMYFUNCTION("""COMPUTED_VALUE"""),398)</f>
        <v>398</v>
      </c>
      <c r="AA183" s="1">
        <f ca="1">IFERROR(__xludf.DUMMYFUNCTION("""COMPUTED_VALUE"""),1159)</f>
        <v>1159</v>
      </c>
      <c r="AB183" s="1">
        <f ca="1">IFERROR(__xludf.DUMMYFUNCTION("""COMPUTED_VALUE"""),359)</f>
        <v>359</v>
      </c>
      <c r="AC183" s="1">
        <f ca="1">IFERROR(__xludf.DUMMYFUNCTION("""COMPUTED_VALUE"""),173)</f>
        <v>173</v>
      </c>
      <c r="AD183" s="1">
        <f ca="1">IFERROR(__xludf.DUMMYFUNCTION("""COMPUTED_VALUE"""),67)</f>
        <v>67</v>
      </c>
      <c r="AE183" s="1">
        <f ca="1">IFERROR(__xludf.DUMMYFUNCTION("""COMPUTED_VALUE"""),485)</f>
        <v>485</v>
      </c>
      <c r="AF183" s="1">
        <f ca="1">IFERROR(__xludf.DUMMYFUNCTION("""COMPUTED_VALUE"""),595)</f>
        <v>595</v>
      </c>
    </row>
    <row r="184" spans="1:32" ht="12.5" x14ac:dyDescent="0.25">
      <c r="A184" s="1" t="str">
        <f ca="1">IFERROR(__xludf.DUMMYFUNCTION("""COMPUTED_VALUE"""),"MarylandNCAA")</f>
        <v>MarylandNCAA</v>
      </c>
      <c r="B184" s="1">
        <f ca="1">IFERROR(__xludf.DUMMYFUNCTION("""COMPUTED_VALUE"""),33)</f>
        <v>33</v>
      </c>
      <c r="C184" s="1">
        <f ca="1">IFERROR(__xludf.DUMMYFUNCTION("""COMPUTED_VALUE"""),24)</f>
        <v>24</v>
      </c>
      <c r="D184" s="1">
        <f ca="1">IFERROR(__xludf.DUMMYFUNCTION("""COMPUTED_VALUE"""),9)</f>
        <v>9</v>
      </c>
      <c r="E184" s="1">
        <f ca="1">IFERROR(__xludf.DUMMYFUNCTION("""COMPUTED_VALUE"""),0.727)</f>
        <v>0.72699999999999998</v>
      </c>
      <c r="F184" s="1">
        <f ca="1">IFERROR(__xludf.DUMMYFUNCTION("""COMPUTED_VALUE"""),17.75)</f>
        <v>17.75</v>
      </c>
      <c r="G184" s="1">
        <f ca="1">IFERROR(__xludf.DUMMYFUNCTION("""COMPUTED_VALUE"""),7.95)</f>
        <v>7.95</v>
      </c>
      <c r="H184" s="1">
        <f ca="1">IFERROR(__xludf.DUMMYFUNCTION("""COMPUTED_VALUE"""),13)</f>
        <v>13</v>
      </c>
      <c r="I184" s="1">
        <f ca="1">IFERROR(__xludf.DUMMYFUNCTION("""COMPUTED_VALUE"""),3)</f>
        <v>3</v>
      </c>
      <c r="J184" s="1">
        <f ca="1">IFERROR(__xludf.DUMMYFUNCTION("""COMPUTED_VALUE"""),15)</f>
        <v>15</v>
      </c>
      <c r="K184" s="1">
        <f ca="1">IFERROR(__xludf.DUMMYFUNCTION("""COMPUTED_VALUE"""),1)</f>
        <v>1</v>
      </c>
      <c r="L184" s="1">
        <f ca="1">IFERROR(__xludf.DUMMYFUNCTION("""COMPUTED_VALUE"""),7)</f>
        <v>7</v>
      </c>
      <c r="M184" s="1">
        <f ca="1">IFERROR(__xludf.DUMMYFUNCTION("""COMPUTED_VALUE"""),3)</f>
        <v>3</v>
      </c>
      <c r="N184" s="1">
        <f ca="1">IFERROR(__xludf.DUMMYFUNCTION("""COMPUTED_VALUE"""),2629)</f>
        <v>2629</v>
      </c>
      <c r="O184" s="1">
        <f ca="1">IFERROR(__xludf.DUMMYFUNCTION("""COMPUTED_VALUE"""),2254)</f>
        <v>2254</v>
      </c>
      <c r="P184" s="1">
        <f ca="1">IFERROR(__xludf.DUMMYFUNCTION("""COMPUTED_VALUE"""),1335)</f>
        <v>1335</v>
      </c>
      <c r="Q184" s="1">
        <f ca="1">IFERROR(__xludf.DUMMYFUNCTION("""COMPUTED_VALUE"""),966)</f>
        <v>966</v>
      </c>
      <c r="R184" s="1">
        <f ca="1">IFERROR(__xludf.DUMMYFUNCTION("""COMPUTED_VALUE"""),2052)</f>
        <v>2052</v>
      </c>
      <c r="S184" s="1">
        <f ca="1">IFERROR(__xludf.DUMMYFUNCTION("""COMPUTED_VALUE"""),0.471)</f>
        <v>0.47099999999999997</v>
      </c>
      <c r="T184" s="1">
        <f ca="1">IFERROR(__xludf.DUMMYFUNCTION("""COMPUTED_VALUE"""),195)</f>
        <v>195</v>
      </c>
      <c r="U184" s="1">
        <f ca="1">IFERROR(__xludf.DUMMYFUNCTION("""COMPUTED_VALUE"""),510)</f>
        <v>510</v>
      </c>
      <c r="V184" s="1">
        <f ca="1">IFERROR(__xludf.DUMMYFUNCTION("""COMPUTED_VALUE"""),0.382)</f>
        <v>0.38200000000000001</v>
      </c>
      <c r="W184" s="1">
        <f ca="1">IFERROR(__xludf.DUMMYFUNCTION("""COMPUTED_VALUE"""),502)</f>
        <v>502</v>
      </c>
      <c r="X184" s="1">
        <f ca="1">IFERROR(__xludf.DUMMYFUNCTION("""COMPUTED_VALUE"""),689)</f>
        <v>689</v>
      </c>
      <c r="Y184" s="1">
        <f ca="1">IFERROR(__xludf.DUMMYFUNCTION("""COMPUTED_VALUE"""),0.729)</f>
        <v>0.72899999999999998</v>
      </c>
      <c r="Z184" s="1">
        <f ca="1">IFERROR(__xludf.DUMMYFUNCTION("""COMPUTED_VALUE"""),421)</f>
        <v>421</v>
      </c>
      <c r="AA184" s="1">
        <f ca="1">IFERROR(__xludf.DUMMYFUNCTION("""COMPUTED_VALUE"""),1270)</f>
        <v>1270</v>
      </c>
      <c r="AB184" s="1">
        <f ca="1">IFERROR(__xludf.DUMMYFUNCTION("""COMPUTED_VALUE"""),545)</f>
        <v>545</v>
      </c>
      <c r="AC184" s="1">
        <f ca="1">IFERROR(__xludf.DUMMYFUNCTION("""COMPUTED_VALUE"""),256)</f>
        <v>256</v>
      </c>
      <c r="AD184" s="1">
        <f ca="1">IFERROR(__xludf.DUMMYFUNCTION("""COMPUTED_VALUE"""),154)</f>
        <v>154</v>
      </c>
      <c r="AE184" s="1">
        <f ca="1">IFERROR(__xludf.DUMMYFUNCTION("""COMPUTED_VALUE"""),383)</f>
        <v>383</v>
      </c>
      <c r="AF184" s="1">
        <f ca="1">IFERROR(__xludf.DUMMYFUNCTION("""COMPUTED_VALUE"""),554)</f>
        <v>554</v>
      </c>
    </row>
    <row r="185" spans="1:32" ht="12.5" x14ac:dyDescent="0.25">
      <c r="A185" s="1" t="str">
        <f ca="1">IFERROR(__xludf.DUMMYFUNCTION("""COMPUTED_VALUE"""),"Massachusetts")</f>
        <v>Massachusetts</v>
      </c>
      <c r="B185" s="1">
        <f ca="1">IFERROR(__xludf.DUMMYFUNCTION("""COMPUTED_VALUE"""),32)</f>
        <v>32</v>
      </c>
      <c r="C185" s="1">
        <f ca="1">IFERROR(__xludf.DUMMYFUNCTION("""COMPUTED_VALUE"""),12)</f>
        <v>12</v>
      </c>
      <c r="D185" s="1">
        <f ca="1">IFERROR(__xludf.DUMMYFUNCTION("""COMPUTED_VALUE"""),20)</f>
        <v>20</v>
      </c>
      <c r="E185" s="1">
        <f ca="1">IFERROR(__xludf.DUMMYFUNCTION("""COMPUTED_VALUE"""),0.375)</f>
        <v>0.375</v>
      </c>
      <c r="F185" s="1">
        <f ca="1">IFERROR(__xludf.DUMMYFUNCTION("""COMPUTED_VALUE"""),-1.76)</f>
        <v>-1.76</v>
      </c>
      <c r="G185" s="1">
        <f ca="1">IFERROR(__xludf.DUMMYFUNCTION("""COMPUTED_VALUE"""),3.4)</f>
        <v>3.4</v>
      </c>
      <c r="H185" s="1">
        <f ca="1">IFERROR(__xludf.DUMMYFUNCTION("""COMPUTED_VALUE"""),5)</f>
        <v>5</v>
      </c>
      <c r="I185" s="1">
        <f ca="1">IFERROR(__xludf.DUMMYFUNCTION("""COMPUTED_VALUE"""),11)</f>
        <v>11</v>
      </c>
      <c r="J185" s="1">
        <f ca="1">IFERROR(__xludf.DUMMYFUNCTION("""COMPUTED_VALUE"""),7)</f>
        <v>7</v>
      </c>
      <c r="K185" s="1">
        <f ca="1">IFERROR(__xludf.DUMMYFUNCTION("""COMPUTED_VALUE"""),6)</f>
        <v>6</v>
      </c>
      <c r="L185" s="1">
        <f ca="1">IFERROR(__xludf.DUMMYFUNCTION("""COMPUTED_VALUE"""),3)</f>
        <v>3</v>
      </c>
      <c r="M185" s="1">
        <f ca="1">IFERROR(__xludf.DUMMYFUNCTION("""COMPUTED_VALUE"""),11)</f>
        <v>11</v>
      </c>
      <c r="N185" s="1">
        <f ca="1">IFERROR(__xludf.DUMMYFUNCTION("""COMPUTED_VALUE"""),2262)</f>
        <v>2262</v>
      </c>
      <c r="O185" s="1">
        <f ca="1">IFERROR(__xludf.DUMMYFUNCTION("""COMPUTED_VALUE"""),2396)</f>
        <v>2396</v>
      </c>
      <c r="P185" s="1">
        <f ca="1">IFERROR(__xludf.DUMMYFUNCTION("""COMPUTED_VALUE"""),1290)</f>
        <v>1290</v>
      </c>
      <c r="Q185" s="1">
        <f ca="1">IFERROR(__xludf.DUMMYFUNCTION("""COMPUTED_VALUE"""),795)</f>
        <v>795</v>
      </c>
      <c r="R185" s="1">
        <f ca="1">IFERROR(__xludf.DUMMYFUNCTION("""COMPUTED_VALUE"""),1976)</f>
        <v>1976</v>
      </c>
      <c r="S185" s="1">
        <f ca="1">IFERROR(__xludf.DUMMYFUNCTION("""COMPUTED_VALUE"""),0.402)</f>
        <v>0.40200000000000002</v>
      </c>
      <c r="T185" s="1">
        <f ca="1">IFERROR(__xludf.DUMMYFUNCTION("""COMPUTED_VALUE"""),227)</f>
        <v>227</v>
      </c>
      <c r="U185" s="1">
        <f ca="1">IFERROR(__xludf.DUMMYFUNCTION("""COMPUTED_VALUE"""),754)</f>
        <v>754</v>
      </c>
      <c r="V185" s="1">
        <f ca="1">IFERROR(__xludf.DUMMYFUNCTION("""COMPUTED_VALUE"""),0.301)</f>
        <v>0.30099999999999999</v>
      </c>
      <c r="W185" s="1">
        <f ca="1">IFERROR(__xludf.DUMMYFUNCTION("""COMPUTED_VALUE"""),445)</f>
        <v>445</v>
      </c>
      <c r="X185" s="1">
        <f ca="1">IFERROR(__xludf.DUMMYFUNCTION("""COMPUTED_VALUE"""),670)</f>
        <v>670</v>
      </c>
      <c r="Y185" s="1">
        <f ca="1">IFERROR(__xludf.DUMMYFUNCTION("""COMPUTED_VALUE"""),0.664)</f>
        <v>0.66400000000000003</v>
      </c>
      <c r="Z185" s="1">
        <f ca="1">IFERROR(__xludf.DUMMYFUNCTION("""COMPUTED_VALUE"""),468)</f>
        <v>468</v>
      </c>
      <c r="AA185" s="1">
        <f ca="1">IFERROR(__xludf.DUMMYFUNCTION("""COMPUTED_VALUE"""),1287)</f>
        <v>1287</v>
      </c>
      <c r="AB185" s="1">
        <f ca="1">IFERROR(__xludf.DUMMYFUNCTION("""COMPUTED_VALUE"""),380)</f>
        <v>380</v>
      </c>
      <c r="AC185" s="1">
        <f ca="1">IFERROR(__xludf.DUMMYFUNCTION("""COMPUTED_VALUE"""),176)</f>
        <v>176</v>
      </c>
      <c r="AD185" s="1">
        <f ca="1">IFERROR(__xludf.DUMMYFUNCTION("""COMPUTED_VALUE"""),124)</f>
        <v>124</v>
      </c>
      <c r="AE185" s="1">
        <f ca="1">IFERROR(__xludf.DUMMYFUNCTION("""COMPUTED_VALUE"""),446)</f>
        <v>446</v>
      </c>
      <c r="AF185" s="1">
        <f ca="1">IFERROR(__xludf.DUMMYFUNCTION("""COMPUTED_VALUE"""),652)</f>
        <v>652</v>
      </c>
    </row>
    <row r="186" spans="1:32" ht="12.5" x14ac:dyDescent="0.25">
      <c r="A186" s="1" t="str">
        <f ca="1">IFERROR(__xludf.DUMMYFUNCTION("""COMPUTED_VALUE"""),"McNeese State")</f>
        <v>McNeese State</v>
      </c>
      <c r="B186" s="1">
        <f ca="1">IFERROR(__xludf.DUMMYFUNCTION("""COMPUTED_VALUE"""),30)</f>
        <v>30</v>
      </c>
      <c r="C186" s="1">
        <f ca="1">IFERROR(__xludf.DUMMYFUNCTION("""COMPUTED_VALUE"""),10)</f>
        <v>10</v>
      </c>
      <c r="D186" s="1">
        <f ca="1">IFERROR(__xludf.DUMMYFUNCTION("""COMPUTED_VALUE"""),20)</f>
        <v>20</v>
      </c>
      <c r="E186" s="1">
        <f ca="1">IFERROR(__xludf.DUMMYFUNCTION("""COMPUTED_VALUE"""),0.333)</f>
        <v>0.33300000000000002</v>
      </c>
      <c r="F186" s="1">
        <f ca="1">IFERROR(__xludf.DUMMYFUNCTION("""COMPUTED_VALUE"""),-11.82)</f>
        <v>-11.82</v>
      </c>
      <c r="G186" s="1">
        <f ca="1">IFERROR(__xludf.DUMMYFUNCTION("""COMPUTED_VALUE"""),-4.34)</f>
        <v>-4.34</v>
      </c>
      <c r="H186" s="1">
        <f ca="1">IFERROR(__xludf.DUMMYFUNCTION("""COMPUTED_VALUE"""),5)</f>
        <v>5</v>
      </c>
      <c r="I186" s="1">
        <f ca="1">IFERROR(__xludf.DUMMYFUNCTION("""COMPUTED_VALUE"""),11)</f>
        <v>11</v>
      </c>
      <c r="J186" s="1">
        <f ca="1">IFERROR(__xludf.DUMMYFUNCTION("""COMPUTED_VALUE"""),7)</f>
        <v>7</v>
      </c>
      <c r="K186" s="1">
        <f ca="1">IFERROR(__xludf.DUMMYFUNCTION("""COMPUTED_VALUE"""),5)</f>
        <v>5</v>
      </c>
      <c r="L186" s="1">
        <f ca="1">IFERROR(__xludf.DUMMYFUNCTION("""COMPUTED_VALUE"""),3)</f>
        <v>3</v>
      </c>
      <c r="M186" s="1">
        <f ca="1">IFERROR(__xludf.DUMMYFUNCTION("""COMPUTED_VALUE"""),13)</f>
        <v>13</v>
      </c>
      <c r="N186" s="1">
        <f ca="1">IFERROR(__xludf.DUMMYFUNCTION("""COMPUTED_VALUE"""),2032)</f>
        <v>2032</v>
      </c>
      <c r="O186" s="1">
        <f ca="1">IFERROR(__xludf.DUMMYFUNCTION("""COMPUTED_VALUE"""),2106)</f>
        <v>2106</v>
      </c>
      <c r="P186" s="1">
        <f ca="1">IFERROR(__xludf.DUMMYFUNCTION("""COMPUTED_VALUE"""),1200)</f>
        <v>1200</v>
      </c>
      <c r="Q186" s="1">
        <f ca="1">IFERROR(__xludf.DUMMYFUNCTION("""COMPUTED_VALUE"""),755)</f>
        <v>755</v>
      </c>
      <c r="R186" s="1">
        <f ca="1">IFERROR(__xludf.DUMMYFUNCTION("""COMPUTED_VALUE"""),1743)</f>
        <v>1743</v>
      </c>
      <c r="S186" s="1">
        <f ca="1">IFERROR(__xludf.DUMMYFUNCTION("""COMPUTED_VALUE"""),0.433)</f>
        <v>0.433</v>
      </c>
      <c r="T186" s="1">
        <f ca="1">IFERROR(__xludf.DUMMYFUNCTION("""COMPUTED_VALUE"""),183)</f>
        <v>183</v>
      </c>
      <c r="U186" s="1">
        <f ca="1">IFERROR(__xludf.DUMMYFUNCTION("""COMPUTED_VALUE"""),525)</f>
        <v>525</v>
      </c>
      <c r="V186" s="1">
        <f ca="1">IFERROR(__xludf.DUMMYFUNCTION("""COMPUTED_VALUE"""),0.349)</f>
        <v>0.34899999999999998</v>
      </c>
      <c r="W186" s="1">
        <f ca="1">IFERROR(__xludf.DUMMYFUNCTION("""COMPUTED_VALUE"""),339)</f>
        <v>339</v>
      </c>
      <c r="X186" s="1">
        <f ca="1">IFERROR(__xludf.DUMMYFUNCTION("""COMPUTED_VALUE"""),528)</f>
        <v>528</v>
      </c>
      <c r="Y186" s="1">
        <f ca="1">IFERROR(__xludf.DUMMYFUNCTION("""COMPUTED_VALUE"""),0.642)</f>
        <v>0.64200000000000002</v>
      </c>
      <c r="Z186" s="1">
        <f ca="1">IFERROR(__xludf.DUMMYFUNCTION("""COMPUTED_VALUE"""),407)</f>
        <v>407</v>
      </c>
      <c r="AA186" s="1">
        <f ca="1">IFERROR(__xludf.DUMMYFUNCTION("""COMPUTED_VALUE"""),1048)</f>
        <v>1048</v>
      </c>
      <c r="AB186" s="1">
        <f ca="1">IFERROR(__xludf.DUMMYFUNCTION("""COMPUTED_VALUE"""),356)</f>
        <v>356</v>
      </c>
      <c r="AC186" s="1">
        <f ca="1">IFERROR(__xludf.DUMMYFUNCTION("""COMPUTED_VALUE"""),221)</f>
        <v>221</v>
      </c>
      <c r="AD186" s="1">
        <f ca="1">IFERROR(__xludf.DUMMYFUNCTION("""COMPUTED_VALUE"""),108)</f>
        <v>108</v>
      </c>
      <c r="AE186" s="1">
        <f ca="1">IFERROR(__xludf.DUMMYFUNCTION("""COMPUTED_VALUE"""),430)</f>
        <v>430</v>
      </c>
      <c r="AF186" s="1">
        <f ca="1">IFERROR(__xludf.DUMMYFUNCTION("""COMPUTED_VALUE"""),607)</f>
        <v>607</v>
      </c>
    </row>
    <row r="187" spans="1:32" ht="12.5" x14ac:dyDescent="0.25">
      <c r="A187" s="1" t="str">
        <f ca="1">IFERROR(__xludf.DUMMYFUNCTION("""COMPUTED_VALUE"""),"Memphis")</f>
        <v>Memphis</v>
      </c>
      <c r="B187" s="1">
        <f ca="1">IFERROR(__xludf.DUMMYFUNCTION("""COMPUTED_VALUE"""),34)</f>
        <v>34</v>
      </c>
      <c r="C187" s="1">
        <f ca="1">IFERROR(__xludf.DUMMYFUNCTION("""COMPUTED_VALUE"""),24)</f>
        <v>24</v>
      </c>
      <c r="D187" s="1">
        <f ca="1">IFERROR(__xludf.DUMMYFUNCTION("""COMPUTED_VALUE"""),10)</f>
        <v>10</v>
      </c>
      <c r="E187" s="1">
        <f ca="1">IFERROR(__xludf.DUMMYFUNCTION("""COMPUTED_VALUE"""),0.706)</f>
        <v>0.70599999999999996</v>
      </c>
      <c r="F187" s="1">
        <f ca="1">IFERROR(__xludf.DUMMYFUNCTION("""COMPUTED_VALUE"""),11.74)</f>
        <v>11.74</v>
      </c>
      <c r="G187" s="1">
        <f ca="1">IFERROR(__xludf.DUMMYFUNCTION("""COMPUTED_VALUE"""),3.65)</f>
        <v>3.65</v>
      </c>
      <c r="H187" s="1">
        <f ca="1">IFERROR(__xludf.DUMMYFUNCTION("""COMPUTED_VALUE"""),13)</f>
        <v>13</v>
      </c>
      <c r="I187" s="1">
        <f ca="1">IFERROR(__xludf.DUMMYFUNCTION("""COMPUTED_VALUE"""),3)</f>
        <v>3</v>
      </c>
      <c r="J187" s="1">
        <f ca="1">IFERROR(__xludf.DUMMYFUNCTION("""COMPUTED_VALUE"""),17)</f>
        <v>17</v>
      </c>
      <c r="K187" s="1">
        <f ca="1">IFERROR(__xludf.DUMMYFUNCTION("""COMPUTED_VALUE"""),3)</f>
        <v>3</v>
      </c>
      <c r="L187" s="1">
        <f ca="1">IFERROR(__xludf.DUMMYFUNCTION("""COMPUTED_VALUE"""),6)</f>
        <v>6</v>
      </c>
      <c r="M187" s="1">
        <f ca="1">IFERROR(__xludf.DUMMYFUNCTION("""COMPUTED_VALUE"""),4)</f>
        <v>4</v>
      </c>
      <c r="N187" s="1">
        <f ca="1">IFERROR(__xludf.DUMMYFUNCTION("""COMPUTED_VALUE"""),2565)</f>
        <v>2565</v>
      </c>
      <c r="O187" s="1">
        <f ca="1">IFERROR(__xludf.DUMMYFUNCTION("""COMPUTED_VALUE"""),2233)</f>
        <v>2233</v>
      </c>
      <c r="P187" s="1">
        <f ca="1">IFERROR(__xludf.DUMMYFUNCTION("""COMPUTED_VALUE"""),1360)</f>
        <v>1360</v>
      </c>
      <c r="Q187" s="1">
        <f ca="1">IFERROR(__xludf.DUMMYFUNCTION("""COMPUTED_VALUE"""),854)</f>
        <v>854</v>
      </c>
      <c r="R187" s="1">
        <f ca="1">IFERROR(__xludf.DUMMYFUNCTION("""COMPUTED_VALUE"""),1859)</f>
        <v>1859</v>
      </c>
      <c r="S187" s="1">
        <f ca="1">IFERROR(__xludf.DUMMYFUNCTION("""COMPUTED_VALUE"""),0.459)</f>
        <v>0.45900000000000002</v>
      </c>
      <c r="T187" s="1">
        <f ca="1">IFERROR(__xludf.DUMMYFUNCTION("""COMPUTED_VALUE"""),284)</f>
        <v>284</v>
      </c>
      <c r="U187" s="1">
        <f ca="1">IFERROR(__xludf.DUMMYFUNCTION("""COMPUTED_VALUE"""),732)</f>
        <v>732</v>
      </c>
      <c r="V187" s="1">
        <f ca="1">IFERROR(__xludf.DUMMYFUNCTION("""COMPUTED_VALUE"""),0.388)</f>
        <v>0.38800000000000001</v>
      </c>
      <c r="W187" s="1">
        <f ca="1">IFERROR(__xludf.DUMMYFUNCTION("""COMPUTED_VALUE"""),573)</f>
        <v>573</v>
      </c>
      <c r="X187" s="1">
        <f ca="1">IFERROR(__xludf.DUMMYFUNCTION("""COMPUTED_VALUE"""),826)</f>
        <v>826</v>
      </c>
      <c r="Y187" s="1">
        <f ca="1">IFERROR(__xludf.DUMMYFUNCTION("""COMPUTED_VALUE"""),0.694)</f>
        <v>0.69399999999999995</v>
      </c>
      <c r="Z187" s="1">
        <f ca="1">IFERROR(__xludf.DUMMYFUNCTION("""COMPUTED_VALUE"""),358)</f>
        <v>358</v>
      </c>
      <c r="AA187" s="1">
        <f ca="1">IFERROR(__xludf.DUMMYFUNCTION("""COMPUTED_VALUE"""),1103)</f>
        <v>1103</v>
      </c>
      <c r="AB187" s="1">
        <f ca="1">IFERROR(__xludf.DUMMYFUNCTION("""COMPUTED_VALUE"""),468)</f>
        <v>468</v>
      </c>
      <c r="AC187" s="1">
        <f ca="1">IFERROR(__xludf.DUMMYFUNCTION("""COMPUTED_VALUE"""),276)</f>
        <v>276</v>
      </c>
      <c r="AD187" s="1">
        <f ca="1">IFERROR(__xludf.DUMMYFUNCTION("""COMPUTED_VALUE"""),182)</f>
        <v>182</v>
      </c>
      <c r="AE187" s="1">
        <f ca="1">IFERROR(__xludf.DUMMYFUNCTION("""COMPUTED_VALUE"""),390)</f>
        <v>390</v>
      </c>
      <c r="AF187" s="1">
        <f ca="1">IFERROR(__xludf.DUMMYFUNCTION("""COMPUTED_VALUE"""),643)</f>
        <v>643</v>
      </c>
    </row>
    <row r="188" spans="1:32" ht="12.5" x14ac:dyDescent="0.25">
      <c r="A188" s="1" t="str">
        <f ca="1">IFERROR(__xludf.DUMMYFUNCTION("""COMPUTED_VALUE"""),"Mercer")</f>
        <v>Mercer</v>
      </c>
      <c r="B188" s="1">
        <f ca="1">IFERROR(__xludf.DUMMYFUNCTION("""COMPUTED_VALUE"""),33)</f>
        <v>33</v>
      </c>
      <c r="C188" s="1">
        <f ca="1">IFERROR(__xludf.DUMMYFUNCTION("""COMPUTED_VALUE"""),16)</f>
        <v>16</v>
      </c>
      <c r="D188" s="1">
        <f ca="1">IFERROR(__xludf.DUMMYFUNCTION("""COMPUTED_VALUE"""),17)</f>
        <v>17</v>
      </c>
      <c r="E188" s="1">
        <f ca="1">IFERROR(__xludf.DUMMYFUNCTION("""COMPUTED_VALUE"""),0.485)</f>
        <v>0.48499999999999999</v>
      </c>
      <c r="F188" s="1">
        <f ca="1">IFERROR(__xludf.DUMMYFUNCTION("""COMPUTED_VALUE"""),-5.05)</f>
        <v>-5.05</v>
      </c>
      <c r="G188" s="1">
        <f ca="1">IFERROR(__xludf.DUMMYFUNCTION("""COMPUTED_VALUE"""),-1.2)</f>
        <v>-1.2</v>
      </c>
      <c r="H188" s="1">
        <f ca="1">IFERROR(__xludf.DUMMYFUNCTION("""COMPUTED_VALUE"""),10)</f>
        <v>10</v>
      </c>
      <c r="I188" s="1">
        <f ca="1">IFERROR(__xludf.DUMMYFUNCTION("""COMPUTED_VALUE"""),10)</f>
        <v>10</v>
      </c>
      <c r="J188" s="1">
        <f ca="1">IFERROR(__xludf.DUMMYFUNCTION("""COMPUTED_VALUE"""),10)</f>
        <v>10</v>
      </c>
      <c r="K188" s="1">
        <f ca="1">IFERROR(__xludf.DUMMYFUNCTION("""COMPUTED_VALUE"""),6)</f>
        <v>6</v>
      </c>
      <c r="L188" s="1">
        <f ca="1">IFERROR(__xludf.DUMMYFUNCTION("""COMPUTED_VALUE"""),4)</f>
        <v>4</v>
      </c>
      <c r="M188" s="1">
        <f ca="1">IFERROR(__xludf.DUMMYFUNCTION("""COMPUTED_VALUE"""),11)</f>
        <v>11</v>
      </c>
      <c r="N188" s="1">
        <f ca="1">IFERROR(__xludf.DUMMYFUNCTION("""COMPUTED_VALUE"""),2514)</f>
        <v>2514</v>
      </c>
      <c r="O188" s="1">
        <f ca="1">IFERROR(__xludf.DUMMYFUNCTION("""COMPUTED_VALUE"""),2478)</f>
        <v>2478</v>
      </c>
      <c r="P188" s="1">
        <f ca="1">IFERROR(__xludf.DUMMYFUNCTION("""COMPUTED_VALUE"""),1325)</f>
        <v>1325</v>
      </c>
      <c r="Q188" s="1">
        <f ca="1">IFERROR(__xludf.DUMMYFUNCTION("""COMPUTED_VALUE"""),836)</f>
        <v>836</v>
      </c>
      <c r="R188" s="1">
        <f ca="1">IFERROR(__xludf.DUMMYFUNCTION("""COMPUTED_VALUE"""),1866)</f>
        <v>1866</v>
      </c>
      <c r="S188" s="1">
        <f ca="1">IFERROR(__xludf.DUMMYFUNCTION("""COMPUTED_VALUE"""),0.448)</f>
        <v>0.44800000000000001</v>
      </c>
      <c r="T188" s="1">
        <f ca="1">IFERROR(__xludf.DUMMYFUNCTION("""COMPUTED_VALUE"""),274)</f>
        <v>274</v>
      </c>
      <c r="U188" s="1">
        <f ca="1">IFERROR(__xludf.DUMMYFUNCTION("""COMPUTED_VALUE"""),785)</f>
        <v>785</v>
      </c>
      <c r="V188" s="1">
        <f ca="1">IFERROR(__xludf.DUMMYFUNCTION("""COMPUTED_VALUE"""),0.349)</f>
        <v>0.34899999999999998</v>
      </c>
      <c r="W188" s="1">
        <f ca="1">IFERROR(__xludf.DUMMYFUNCTION("""COMPUTED_VALUE"""),568)</f>
        <v>568</v>
      </c>
      <c r="X188" s="1">
        <f ca="1">IFERROR(__xludf.DUMMYFUNCTION("""COMPUTED_VALUE"""),808)</f>
        <v>808</v>
      </c>
      <c r="Y188" s="1">
        <f ca="1">IFERROR(__xludf.DUMMYFUNCTION("""COMPUTED_VALUE"""),0.703)</f>
        <v>0.70299999999999996</v>
      </c>
      <c r="Z188" s="1">
        <f ca="1">IFERROR(__xludf.DUMMYFUNCTION("""COMPUTED_VALUE"""),402)</f>
        <v>402</v>
      </c>
      <c r="AA188" s="1">
        <f ca="1">IFERROR(__xludf.DUMMYFUNCTION("""COMPUTED_VALUE"""),1227)</f>
        <v>1227</v>
      </c>
      <c r="AB188" s="1">
        <f ca="1">IFERROR(__xludf.DUMMYFUNCTION("""COMPUTED_VALUE"""),446)</f>
        <v>446</v>
      </c>
      <c r="AC188" s="1">
        <f ca="1">IFERROR(__xludf.DUMMYFUNCTION("""COMPUTED_VALUE"""),199)</f>
        <v>199</v>
      </c>
      <c r="AD188" s="1">
        <f ca="1">IFERROR(__xludf.DUMMYFUNCTION("""COMPUTED_VALUE"""),85)</f>
        <v>85</v>
      </c>
      <c r="AE188" s="1">
        <f ca="1">IFERROR(__xludf.DUMMYFUNCTION("""COMPUTED_VALUE"""),488)</f>
        <v>488</v>
      </c>
      <c r="AF188" s="1">
        <f ca="1">IFERROR(__xludf.DUMMYFUNCTION("""COMPUTED_VALUE"""),617)</f>
        <v>617</v>
      </c>
    </row>
    <row r="189" spans="1:32" ht="12.5" x14ac:dyDescent="0.25">
      <c r="A189" s="1" t="str">
        <f ca="1">IFERROR(__xludf.DUMMYFUNCTION("""COMPUTED_VALUE"""),"Miami (FL)")</f>
        <v>Miami (FL)</v>
      </c>
      <c r="B189" s="1">
        <f ca="1">IFERROR(__xludf.DUMMYFUNCTION("""COMPUTED_VALUE"""),33)</f>
        <v>33</v>
      </c>
      <c r="C189" s="1">
        <f ca="1">IFERROR(__xludf.DUMMYFUNCTION("""COMPUTED_VALUE"""),20)</f>
        <v>20</v>
      </c>
      <c r="D189" s="1">
        <f ca="1">IFERROR(__xludf.DUMMYFUNCTION("""COMPUTED_VALUE"""),13)</f>
        <v>13</v>
      </c>
      <c r="E189" s="1">
        <f ca="1">IFERROR(__xludf.DUMMYFUNCTION("""COMPUTED_VALUE"""),0.606)</f>
        <v>0.60599999999999998</v>
      </c>
      <c r="F189" s="1">
        <f ca="1">IFERROR(__xludf.DUMMYFUNCTION("""COMPUTED_VALUE"""),11.35)</f>
        <v>11.35</v>
      </c>
      <c r="G189" s="1">
        <f ca="1">IFERROR(__xludf.DUMMYFUNCTION("""COMPUTED_VALUE"""),7.01)</f>
        <v>7.01</v>
      </c>
      <c r="H189" s="1">
        <f ca="1">IFERROR(__xludf.DUMMYFUNCTION("""COMPUTED_VALUE"""),4)</f>
        <v>4</v>
      </c>
      <c r="I189" s="1">
        <f ca="1">IFERROR(__xludf.DUMMYFUNCTION("""COMPUTED_VALUE"""),12)</f>
        <v>12</v>
      </c>
      <c r="J189" s="1">
        <f ca="1">IFERROR(__xludf.DUMMYFUNCTION("""COMPUTED_VALUE"""),12)</f>
        <v>12</v>
      </c>
      <c r="K189" s="1">
        <f ca="1">IFERROR(__xludf.DUMMYFUNCTION("""COMPUTED_VALUE"""),4)</f>
        <v>4</v>
      </c>
      <c r="L189" s="1">
        <f ca="1">IFERROR(__xludf.DUMMYFUNCTION("""COMPUTED_VALUE"""),2)</f>
        <v>2</v>
      </c>
      <c r="M189" s="1">
        <f ca="1">IFERROR(__xludf.DUMMYFUNCTION("""COMPUTED_VALUE"""),8)</f>
        <v>8</v>
      </c>
      <c r="N189" s="1">
        <f ca="1">IFERROR(__xludf.DUMMYFUNCTION("""COMPUTED_VALUE"""),2390)</f>
        <v>2390</v>
      </c>
      <c r="O189" s="1">
        <f ca="1">IFERROR(__xludf.DUMMYFUNCTION("""COMPUTED_VALUE"""),2136)</f>
        <v>2136</v>
      </c>
      <c r="P189" s="1">
        <f ca="1">IFERROR(__xludf.DUMMYFUNCTION("""COMPUTED_VALUE"""),1320)</f>
        <v>1320</v>
      </c>
      <c r="Q189" s="1">
        <f ca="1">IFERROR(__xludf.DUMMYFUNCTION("""COMPUTED_VALUE"""),843)</f>
        <v>843</v>
      </c>
      <c r="R189" s="1">
        <f ca="1">IFERROR(__xludf.DUMMYFUNCTION("""COMPUTED_VALUE"""),1820)</f>
        <v>1820</v>
      </c>
      <c r="S189" s="1">
        <f ca="1">IFERROR(__xludf.DUMMYFUNCTION("""COMPUTED_VALUE"""),0.463)</f>
        <v>0.46300000000000002</v>
      </c>
      <c r="T189" s="1">
        <f ca="1">IFERROR(__xludf.DUMMYFUNCTION("""COMPUTED_VALUE"""),245)</f>
        <v>245</v>
      </c>
      <c r="U189" s="1">
        <f ca="1">IFERROR(__xludf.DUMMYFUNCTION("""COMPUTED_VALUE"""),670)</f>
        <v>670</v>
      </c>
      <c r="V189" s="1">
        <f ca="1">IFERROR(__xludf.DUMMYFUNCTION("""COMPUTED_VALUE"""),0.366)</f>
        <v>0.36599999999999999</v>
      </c>
      <c r="W189" s="1">
        <f ca="1">IFERROR(__xludf.DUMMYFUNCTION("""COMPUTED_VALUE"""),459)</f>
        <v>459</v>
      </c>
      <c r="X189" s="1">
        <f ca="1">IFERROR(__xludf.DUMMYFUNCTION("""COMPUTED_VALUE"""),677)</f>
        <v>677</v>
      </c>
      <c r="Y189" s="1">
        <f ca="1">IFERROR(__xludf.DUMMYFUNCTION("""COMPUTED_VALUE"""),0.678)</f>
        <v>0.67800000000000005</v>
      </c>
      <c r="Z189" s="1">
        <f ca="1">IFERROR(__xludf.DUMMYFUNCTION("""COMPUTED_VALUE"""),385)</f>
        <v>385</v>
      </c>
      <c r="AA189" s="1">
        <f ca="1">IFERROR(__xludf.DUMMYFUNCTION("""COMPUTED_VALUE"""),1186)</f>
        <v>1186</v>
      </c>
      <c r="AB189" s="1">
        <f ca="1">IFERROR(__xludf.DUMMYFUNCTION("""COMPUTED_VALUE"""),461)</f>
        <v>461</v>
      </c>
      <c r="AC189" s="1">
        <f ca="1">IFERROR(__xludf.DUMMYFUNCTION("""COMPUTED_VALUE"""),229)</f>
        <v>229</v>
      </c>
      <c r="AD189" s="1">
        <f ca="1">IFERROR(__xludf.DUMMYFUNCTION("""COMPUTED_VALUE"""),146)</f>
        <v>146</v>
      </c>
      <c r="AE189" s="1">
        <f ca="1">IFERROR(__xludf.DUMMYFUNCTION("""COMPUTED_VALUE"""),464)</f>
        <v>464</v>
      </c>
      <c r="AF189" s="1">
        <f ca="1">IFERROR(__xludf.DUMMYFUNCTION("""COMPUTED_VALUE"""),573)</f>
        <v>573</v>
      </c>
    </row>
    <row r="190" spans="1:32" ht="12.5" x14ac:dyDescent="0.25">
      <c r="A190" s="1" t="str">
        <f ca="1">IFERROR(__xludf.DUMMYFUNCTION("""COMPUTED_VALUE"""),"Miami (OH)")</f>
        <v>Miami (OH)</v>
      </c>
      <c r="B190" s="1">
        <f ca="1">IFERROR(__xludf.DUMMYFUNCTION("""COMPUTED_VALUE"""),32)</f>
        <v>32</v>
      </c>
      <c r="C190" s="1">
        <f ca="1">IFERROR(__xludf.DUMMYFUNCTION("""COMPUTED_VALUE"""),14)</f>
        <v>14</v>
      </c>
      <c r="D190" s="1">
        <f ca="1">IFERROR(__xludf.DUMMYFUNCTION("""COMPUTED_VALUE"""),18)</f>
        <v>18</v>
      </c>
      <c r="E190" s="1">
        <f ca="1">IFERROR(__xludf.DUMMYFUNCTION("""COMPUTED_VALUE"""),0.438)</f>
        <v>0.438</v>
      </c>
      <c r="F190" s="1">
        <f ca="1">IFERROR(__xludf.DUMMYFUNCTION("""COMPUTED_VALUE"""),0.56)</f>
        <v>0.56000000000000005</v>
      </c>
      <c r="G190" s="1">
        <f ca="1">IFERROR(__xludf.DUMMYFUNCTION("""COMPUTED_VALUE"""),1.43)</f>
        <v>1.43</v>
      </c>
      <c r="H190" s="1">
        <f ca="1">IFERROR(__xludf.DUMMYFUNCTION("""COMPUTED_VALUE"""),9)</f>
        <v>9</v>
      </c>
      <c r="I190" s="1">
        <f ca="1">IFERROR(__xludf.DUMMYFUNCTION("""COMPUTED_VALUE"""),7)</f>
        <v>7</v>
      </c>
      <c r="J190" s="1">
        <f ca="1">IFERROR(__xludf.DUMMYFUNCTION("""COMPUTED_VALUE"""),10)</f>
        <v>10</v>
      </c>
      <c r="K190" s="1">
        <f ca="1">IFERROR(__xludf.DUMMYFUNCTION("""COMPUTED_VALUE"""),3)</f>
        <v>3</v>
      </c>
      <c r="L190" s="1">
        <f ca="1">IFERROR(__xludf.DUMMYFUNCTION("""COMPUTED_VALUE"""),2)</f>
        <v>2</v>
      </c>
      <c r="M190" s="1">
        <f ca="1">IFERROR(__xludf.DUMMYFUNCTION("""COMPUTED_VALUE"""),13)</f>
        <v>13</v>
      </c>
      <c r="N190" s="1">
        <f ca="1">IFERROR(__xludf.DUMMYFUNCTION("""COMPUTED_VALUE"""),1996)</f>
        <v>1996</v>
      </c>
      <c r="O190" s="1">
        <f ca="1">IFERROR(__xludf.DUMMYFUNCTION("""COMPUTED_VALUE"""),2024)</f>
        <v>2024</v>
      </c>
      <c r="P190" s="1">
        <f ca="1">IFERROR(__xludf.DUMMYFUNCTION("""COMPUTED_VALUE"""),1295)</f>
        <v>1295</v>
      </c>
      <c r="Q190" s="1">
        <f ca="1">IFERROR(__xludf.DUMMYFUNCTION("""COMPUTED_VALUE"""),682)</f>
        <v>682</v>
      </c>
      <c r="R190" s="1">
        <f ca="1">IFERROR(__xludf.DUMMYFUNCTION("""COMPUTED_VALUE"""),1568)</f>
        <v>1568</v>
      </c>
      <c r="S190" s="1">
        <f ca="1">IFERROR(__xludf.DUMMYFUNCTION("""COMPUTED_VALUE"""),0.435)</f>
        <v>0.435</v>
      </c>
      <c r="T190" s="1">
        <f ca="1">IFERROR(__xludf.DUMMYFUNCTION("""COMPUTED_VALUE"""),205)</f>
        <v>205</v>
      </c>
      <c r="U190" s="1">
        <f ca="1">IFERROR(__xludf.DUMMYFUNCTION("""COMPUTED_VALUE"""),590)</f>
        <v>590</v>
      </c>
      <c r="V190" s="1">
        <f ca="1">IFERROR(__xludf.DUMMYFUNCTION("""COMPUTED_VALUE"""),0.347)</f>
        <v>0.34699999999999998</v>
      </c>
      <c r="W190" s="1">
        <f ca="1">IFERROR(__xludf.DUMMYFUNCTION("""COMPUTED_VALUE"""),427)</f>
        <v>427</v>
      </c>
      <c r="X190" s="1">
        <f ca="1">IFERROR(__xludf.DUMMYFUNCTION("""COMPUTED_VALUE"""),587)</f>
        <v>587</v>
      </c>
      <c r="Y190" s="1">
        <f ca="1">IFERROR(__xludf.DUMMYFUNCTION("""COMPUTED_VALUE"""),0.727)</f>
        <v>0.72699999999999998</v>
      </c>
      <c r="Z190" s="1">
        <f ca="1">IFERROR(__xludf.DUMMYFUNCTION("""COMPUTED_VALUE"""),278)</f>
        <v>278</v>
      </c>
      <c r="AA190" s="1">
        <f ca="1">IFERROR(__xludf.DUMMYFUNCTION("""COMPUTED_VALUE"""),1017)</f>
        <v>1017</v>
      </c>
      <c r="AB190" s="1">
        <f ca="1">IFERROR(__xludf.DUMMYFUNCTION("""COMPUTED_VALUE"""),333)</f>
        <v>333</v>
      </c>
      <c r="AC190" s="1">
        <f ca="1">IFERROR(__xludf.DUMMYFUNCTION("""COMPUTED_VALUE"""),159)</f>
        <v>159</v>
      </c>
      <c r="AD190" s="1">
        <f ca="1">IFERROR(__xludf.DUMMYFUNCTION("""COMPUTED_VALUE"""),120)</f>
        <v>120</v>
      </c>
      <c r="AE190" s="1">
        <f ca="1">IFERROR(__xludf.DUMMYFUNCTION("""COMPUTED_VALUE"""),411)</f>
        <v>411</v>
      </c>
      <c r="AF190" s="1">
        <f ca="1">IFERROR(__xludf.DUMMYFUNCTION("""COMPUTED_VALUE"""),582)</f>
        <v>582</v>
      </c>
    </row>
    <row r="191" spans="1:32" ht="12.5" x14ac:dyDescent="0.25">
      <c r="A191" s="1" t="str">
        <f ca="1">IFERROR(__xludf.DUMMYFUNCTION("""COMPUTED_VALUE"""),"Michigan StateNCAA")</f>
        <v>Michigan StateNCAA</v>
      </c>
      <c r="B191" s="1">
        <f ca="1">IFERROR(__xludf.DUMMYFUNCTION("""COMPUTED_VALUE"""),37)</f>
        <v>37</v>
      </c>
      <c r="C191" s="1">
        <f ca="1">IFERROR(__xludf.DUMMYFUNCTION("""COMPUTED_VALUE"""),28)</f>
        <v>28</v>
      </c>
      <c r="D191" s="1">
        <f ca="1">IFERROR(__xludf.DUMMYFUNCTION("""COMPUTED_VALUE"""),9)</f>
        <v>9</v>
      </c>
      <c r="E191" s="1">
        <f ca="1">IFERROR(__xludf.DUMMYFUNCTION("""COMPUTED_VALUE"""),0.757)</f>
        <v>0.75700000000000001</v>
      </c>
      <c r="F191" s="1">
        <f ca="1">IFERROR(__xludf.DUMMYFUNCTION("""COMPUTED_VALUE"""),15.33)</f>
        <v>15.33</v>
      </c>
      <c r="G191" s="1">
        <f ca="1">IFERROR(__xludf.DUMMYFUNCTION("""COMPUTED_VALUE"""),8.17)</f>
        <v>8.17</v>
      </c>
      <c r="H191" s="1">
        <f ca="1">IFERROR(__xludf.DUMMYFUNCTION("""COMPUTED_VALUE"""),14)</f>
        <v>14</v>
      </c>
      <c r="I191" s="1">
        <f ca="1">IFERROR(__xludf.DUMMYFUNCTION("""COMPUTED_VALUE"""),4)</f>
        <v>4</v>
      </c>
      <c r="J191" s="1">
        <f ca="1">IFERROR(__xludf.DUMMYFUNCTION("""COMPUTED_VALUE"""),15)</f>
        <v>15</v>
      </c>
      <c r="K191" s="1">
        <f ca="1">IFERROR(__xludf.DUMMYFUNCTION("""COMPUTED_VALUE"""),2)</f>
        <v>2</v>
      </c>
      <c r="L191" s="1">
        <f ca="1">IFERROR(__xludf.DUMMYFUNCTION("""COMPUTED_VALUE"""),8)</f>
        <v>8</v>
      </c>
      <c r="M191" s="1">
        <f ca="1">IFERROR(__xludf.DUMMYFUNCTION("""COMPUTED_VALUE"""),4)</f>
        <v>4</v>
      </c>
      <c r="N191" s="1">
        <f ca="1">IFERROR(__xludf.DUMMYFUNCTION("""COMPUTED_VALUE"""),2658)</f>
        <v>2658</v>
      </c>
      <c r="O191" s="1">
        <f ca="1">IFERROR(__xludf.DUMMYFUNCTION("""COMPUTED_VALUE"""),2361)</f>
        <v>2361</v>
      </c>
      <c r="P191" s="1">
        <f ca="1">IFERROR(__xludf.DUMMYFUNCTION("""COMPUTED_VALUE"""),1485)</f>
        <v>1485</v>
      </c>
      <c r="Q191" s="1">
        <f ca="1">IFERROR(__xludf.DUMMYFUNCTION("""COMPUTED_VALUE"""),974)</f>
        <v>974</v>
      </c>
      <c r="R191" s="1">
        <f ca="1">IFERROR(__xludf.DUMMYFUNCTION("""COMPUTED_VALUE"""),2068)</f>
        <v>2068</v>
      </c>
      <c r="S191" s="1">
        <f ca="1">IFERROR(__xludf.DUMMYFUNCTION("""COMPUTED_VALUE"""),0.471)</f>
        <v>0.47099999999999997</v>
      </c>
      <c r="T191" s="1">
        <f ca="1">IFERROR(__xludf.DUMMYFUNCTION("""COMPUTED_VALUE"""),187)</f>
        <v>187</v>
      </c>
      <c r="U191" s="1">
        <f ca="1">IFERROR(__xludf.DUMMYFUNCTION("""COMPUTED_VALUE"""),543)</f>
        <v>543</v>
      </c>
      <c r="V191" s="1">
        <f ca="1">IFERROR(__xludf.DUMMYFUNCTION("""COMPUTED_VALUE"""),0.344)</f>
        <v>0.34399999999999997</v>
      </c>
      <c r="W191" s="1">
        <f ca="1">IFERROR(__xludf.DUMMYFUNCTION("""COMPUTED_VALUE"""),523)</f>
        <v>523</v>
      </c>
      <c r="X191" s="1">
        <f ca="1">IFERROR(__xludf.DUMMYFUNCTION("""COMPUTED_VALUE"""),764)</f>
        <v>764</v>
      </c>
      <c r="Y191" s="1">
        <f ca="1">IFERROR(__xludf.DUMMYFUNCTION("""COMPUTED_VALUE"""),0.685)</f>
        <v>0.68500000000000005</v>
      </c>
      <c r="Z191" s="1">
        <f ca="1">IFERROR(__xludf.DUMMYFUNCTION("""COMPUTED_VALUE"""),487)</f>
        <v>487</v>
      </c>
      <c r="AA191" s="1">
        <f ca="1">IFERROR(__xludf.DUMMYFUNCTION("""COMPUTED_VALUE"""),1426)</f>
        <v>1426</v>
      </c>
      <c r="AB191" s="1">
        <f ca="1">IFERROR(__xludf.DUMMYFUNCTION("""COMPUTED_VALUE"""),606)</f>
        <v>606</v>
      </c>
      <c r="AC191" s="1">
        <f ca="1">IFERROR(__xludf.DUMMYFUNCTION("""COMPUTED_VALUE"""),242)</f>
        <v>242</v>
      </c>
      <c r="AD191" s="1">
        <f ca="1">IFERROR(__xludf.DUMMYFUNCTION("""COMPUTED_VALUE"""),123)</f>
        <v>123</v>
      </c>
      <c r="AE191" s="1">
        <f ca="1">IFERROR(__xludf.DUMMYFUNCTION("""COMPUTED_VALUE"""),514)</f>
        <v>514</v>
      </c>
      <c r="AF191" s="1">
        <f ca="1">IFERROR(__xludf.DUMMYFUNCTION("""COMPUTED_VALUE"""),666)</f>
        <v>666</v>
      </c>
    </row>
    <row r="192" spans="1:32" ht="12.5" x14ac:dyDescent="0.25">
      <c r="A192" s="1" t="str">
        <f ca="1">IFERROR(__xludf.DUMMYFUNCTION("""COMPUTED_VALUE"""),"Michigan")</f>
        <v>Michigan</v>
      </c>
      <c r="B192" s="1">
        <f ca="1">IFERROR(__xludf.DUMMYFUNCTION("""COMPUTED_VALUE"""),32)</f>
        <v>32</v>
      </c>
      <c r="C192" s="1">
        <f ca="1">IFERROR(__xludf.DUMMYFUNCTION("""COMPUTED_VALUE"""),15)</f>
        <v>15</v>
      </c>
      <c r="D192" s="1">
        <f ca="1">IFERROR(__xludf.DUMMYFUNCTION("""COMPUTED_VALUE"""),17)</f>
        <v>17</v>
      </c>
      <c r="E192" s="1">
        <f ca="1">IFERROR(__xludf.DUMMYFUNCTION("""COMPUTED_VALUE"""),0.469)</f>
        <v>0.46899999999999997</v>
      </c>
      <c r="F192" s="1">
        <f ca="1">IFERROR(__xludf.DUMMYFUNCTION("""COMPUTED_VALUE"""),10.04)</f>
        <v>10.039999999999999</v>
      </c>
      <c r="G192" s="1">
        <f ca="1">IFERROR(__xludf.DUMMYFUNCTION("""COMPUTED_VALUE"""),9.37)</f>
        <v>9.3699999999999992</v>
      </c>
      <c r="H192" s="1">
        <f ca="1">IFERROR(__xludf.DUMMYFUNCTION("""COMPUTED_VALUE"""),7)</f>
        <v>7</v>
      </c>
      <c r="I192" s="1">
        <f ca="1">IFERROR(__xludf.DUMMYFUNCTION("""COMPUTED_VALUE"""),11)</f>
        <v>11</v>
      </c>
      <c r="J192" s="1">
        <f ca="1">IFERROR(__xludf.DUMMYFUNCTION("""COMPUTED_VALUE"""),10)</f>
        <v>10</v>
      </c>
      <c r="K192" s="1">
        <f ca="1">IFERROR(__xludf.DUMMYFUNCTION("""COMPUTED_VALUE"""),6)</f>
        <v>6</v>
      </c>
      <c r="L192" s="1">
        <f ca="1">IFERROR(__xludf.DUMMYFUNCTION("""COMPUTED_VALUE"""),3)</f>
        <v>3</v>
      </c>
      <c r="M192" s="1">
        <f ca="1">IFERROR(__xludf.DUMMYFUNCTION("""COMPUTED_VALUE"""),8)</f>
        <v>8</v>
      </c>
      <c r="N192" s="1">
        <f ca="1">IFERROR(__xludf.DUMMYFUNCTION("""COMPUTED_VALUE"""),2059)</f>
        <v>2059</v>
      </c>
      <c r="O192" s="1">
        <f ca="1">IFERROR(__xludf.DUMMYFUNCTION("""COMPUTED_VALUE"""),1970)</f>
        <v>1970</v>
      </c>
      <c r="P192" s="1">
        <f ca="1">IFERROR(__xludf.DUMMYFUNCTION("""COMPUTED_VALUE"""),1290)</f>
        <v>1290</v>
      </c>
      <c r="Q192" s="1">
        <f ca="1">IFERROR(__xludf.DUMMYFUNCTION("""COMPUTED_VALUE"""),732)</f>
        <v>732</v>
      </c>
      <c r="R192" s="1">
        <f ca="1">IFERROR(__xludf.DUMMYFUNCTION("""COMPUTED_VALUE"""),1758)</f>
        <v>1758</v>
      </c>
      <c r="S192" s="1">
        <f ca="1">IFERROR(__xludf.DUMMYFUNCTION("""COMPUTED_VALUE"""),0.416)</f>
        <v>0.41599999999999998</v>
      </c>
      <c r="T192" s="1">
        <f ca="1">IFERROR(__xludf.DUMMYFUNCTION("""COMPUTED_VALUE"""),227)</f>
        <v>227</v>
      </c>
      <c r="U192" s="1">
        <f ca="1">IFERROR(__xludf.DUMMYFUNCTION("""COMPUTED_VALUE"""),760)</f>
        <v>760</v>
      </c>
      <c r="V192" s="1">
        <f ca="1">IFERROR(__xludf.DUMMYFUNCTION("""COMPUTED_VALUE"""),0.299)</f>
        <v>0.29899999999999999</v>
      </c>
      <c r="W192" s="1">
        <f ca="1">IFERROR(__xludf.DUMMYFUNCTION("""COMPUTED_VALUE"""),368)</f>
        <v>368</v>
      </c>
      <c r="X192" s="1">
        <f ca="1">IFERROR(__xludf.DUMMYFUNCTION("""COMPUTED_VALUE"""),509)</f>
        <v>509</v>
      </c>
      <c r="Y192" s="1">
        <f ca="1">IFERROR(__xludf.DUMMYFUNCTION("""COMPUTED_VALUE"""),0.723)</f>
        <v>0.72299999999999998</v>
      </c>
      <c r="Z192" s="1">
        <f ca="1">IFERROR(__xludf.DUMMYFUNCTION("""COMPUTED_VALUE"""),320)</f>
        <v>320</v>
      </c>
      <c r="AA192" s="1">
        <f ca="1">IFERROR(__xludf.DUMMYFUNCTION("""COMPUTED_VALUE"""),990)</f>
        <v>990</v>
      </c>
      <c r="AB192" s="1">
        <f ca="1">IFERROR(__xludf.DUMMYFUNCTION("""COMPUTED_VALUE"""),456)</f>
        <v>456</v>
      </c>
      <c r="AC192" s="1">
        <f ca="1">IFERROR(__xludf.DUMMYFUNCTION("""COMPUTED_VALUE"""),223)</f>
        <v>223</v>
      </c>
      <c r="AD192" s="1">
        <f ca="1">IFERROR(__xludf.DUMMYFUNCTION("""COMPUTED_VALUE"""),68)</f>
        <v>68</v>
      </c>
      <c r="AE192" s="1">
        <f ca="1">IFERROR(__xludf.DUMMYFUNCTION("""COMPUTED_VALUE"""),326)</f>
        <v>326</v>
      </c>
      <c r="AF192" s="1">
        <f ca="1">IFERROR(__xludf.DUMMYFUNCTION("""COMPUTED_VALUE"""),468)</f>
        <v>468</v>
      </c>
    </row>
    <row r="193" spans="1:32" ht="12.5" x14ac:dyDescent="0.25">
      <c r="A193" s="1" t="str">
        <f ca="1">IFERROR(__xludf.DUMMYFUNCTION("""COMPUTED_VALUE"""),"Middle Tennessee")</f>
        <v>Middle Tennessee</v>
      </c>
      <c r="B193" s="1">
        <f ca="1">IFERROR(__xludf.DUMMYFUNCTION("""COMPUTED_VALUE"""),33)</f>
        <v>33</v>
      </c>
      <c r="C193" s="1">
        <f ca="1">IFERROR(__xludf.DUMMYFUNCTION("""COMPUTED_VALUE"""),19)</f>
        <v>19</v>
      </c>
      <c r="D193" s="1">
        <f ca="1">IFERROR(__xludf.DUMMYFUNCTION("""COMPUTED_VALUE"""),14)</f>
        <v>14</v>
      </c>
      <c r="E193" s="1">
        <f ca="1">IFERROR(__xludf.DUMMYFUNCTION("""COMPUTED_VALUE"""),0.576)</f>
        <v>0.57599999999999996</v>
      </c>
      <c r="F193" s="1">
        <f ca="1">IFERROR(__xludf.DUMMYFUNCTION("""COMPUTED_VALUE"""),-1.99)</f>
        <v>-1.99</v>
      </c>
      <c r="G193" s="1">
        <f ca="1">IFERROR(__xludf.DUMMYFUNCTION("""COMPUTED_VALUE"""),-3.33)</f>
        <v>-3.33</v>
      </c>
      <c r="H193" s="1">
        <f ca="1">IFERROR(__xludf.DUMMYFUNCTION("""COMPUTED_VALUE"""),13)</f>
        <v>13</v>
      </c>
      <c r="I193" s="1">
        <f ca="1">IFERROR(__xludf.DUMMYFUNCTION("""COMPUTED_VALUE"""),5)</f>
        <v>5</v>
      </c>
      <c r="J193" s="1">
        <f ca="1">IFERROR(__xludf.DUMMYFUNCTION("""COMPUTED_VALUE"""),12)</f>
        <v>12</v>
      </c>
      <c r="K193" s="1">
        <f ca="1">IFERROR(__xludf.DUMMYFUNCTION("""COMPUTED_VALUE"""),4)</f>
        <v>4</v>
      </c>
      <c r="L193" s="1">
        <f ca="1">IFERROR(__xludf.DUMMYFUNCTION("""COMPUTED_VALUE"""),7)</f>
        <v>7</v>
      </c>
      <c r="M193" s="1">
        <f ca="1">IFERROR(__xludf.DUMMYFUNCTION("""COMPUTED_VALUE"""),8)</f>
        <v>8</v>
      </c>
      <c r="N193" s="1">
        <f ca="1">IFERROR(__xludf.DUMMYFUNCTION("""COMPUTED_VALUE"""),2282)</f>
        <v>2282</v>
      </c>
      <c r="O193" s="1">
        <f ca="1">IFERROR(__xludf.DUMMYFUNCTION("""COMPUTED_VALUE"""),2135)</f>
        <v>2135</v>
      </c>
      <c r="P193" s="1">
        <f ca="1">IFERROR(__xludf.DUMMYFUNCTION("""COMPUTED_VALUE"""),1320)</f>
        <v>1320</v>
      </c>
      <c r="Q193" s="1">
        <f ca="1">IFERROR(__xludf.DUMMYFUNCTION("""COMPUTED_VALUE"""),792)</f>
        <v>792</v>
      </c>
      <c r="R193" s="1">
        <f ca="1">IFERROR(__xludf.DUMMYFUNCTION("""COMPUTED_VALUE"""),1780)</f>
        <v>1780</v>
      </c>
      <c r="S193" s="1">
        <f ca="1">IFERROR(__xludf.DUMMYFUNCTION("""COMPUTED_VALUE"""),0.445)</f>
        <v>0.44500000000000001</v>
      </c>
      <c r="T193" s="1">
        <f ca="1">IFERROR(__xludf.DUMMYFUNCTION("""COMPUTED_VALUE"""),201)</f>
        <v>201</v>
      </c>
      <c r="U193" s="1">
        <f ca="1">IFERROR(__xludf.DUMMYFUNCTION("""COMPUTED_VALUE"""),530)</f>
        <v>530</v>
      </c>
      <c r="V193" s="1">
        <f ca="1">IFERROR(__xludf.DUMMYFUNCTION("""COMPUTED_VALUE"""),0.379)</f>
        <v>0.379</v>
      </c>
      <c r="W193" s="1">
        <f ca="1">IFERROR(__xludf.DUMMYFUNCTION("""COMPUTED_VALUE"""),497)</f>
        <v>497</v>
      </c>
      <c r="X193" s="1">
        <f ca="1">IFERROR(__xludf.DUMMYFUNCTION("""COMPUTED_VALUE"""),675)</f>
        <v>675</v>
      </c>
      <c r="Y193" s="1">
        <f ca="1">IFERROR(__xludf.DUMMYFUNCTION("""COMPUTED_VALUE"""),0.736)</f>
        <v>0.73599999999999999</v>
      </c>
      <c r="Z193" s="1">
        <f ca="1">IFERROR(__xludf.DUMMYFUNCTION("""COMPUTED_VALUE"""),336)</f>
        <v>336</v>
      </c>
      <c r="AA193" s="1">
        <f ca="1">IFERROR(__xludf.DUMMYFUNCTION("""COMPUTED_VALUE"""),1097)</f>
        <v>1097</v>
      </c>
      <c r="AB193" s="1">
        <f ca="1">IFERROR(__xludf.DUMMYFUNCTION("""COMPUTED_VALUE"""),365)</f>
        <v>365</v>
      </c>
      <c r="AC193" s="1">
        <f ca="1">IFERROR(__xludf.DUMMYFUNCTION("""COMPUTED_VALUE"""),199)</f>
        <v>199</v>
      </c>
      <c r="AD193" s="1">
        <f ca="1">IFERROR(__xludf.DUMMYFUNCTION("""COMPUTED_VALUE"""),82)</f>
        <v>82</v>
      </c>
      <c r="AE193" s="1">
        <f ca="1">IFERROR(__xludf.DUMMYFUNCTION("""COMPUTED_VALUE"""),436)</f>
        <v>436</v>
      </c>
      <c r="AF193" s="1">
        <f ca="1">IFERROR(__xludf.DUMMYFUNCTION("""COMPUTED_VALUE"""),696)</f>
        <v>696</v>
      </c>
    </row>
    <row r="194" spans="1:32" ht="12.5" x14ac:dyDescent="0.25">
      <c r="A194" s="1" t="str">
        <f ca="1">IFERROR(__xludf.DUMMYFUNCTION("""COMPUTED_VALUE"""),"Milwaukee")</f>
        <v>Milwaukee</v>
      </c>
      <c r="B194" s="1">
        <f ca="1">IFERROR(__xludf.DUMMYFUNCTION("""COMPUTED_VALUE"""),34)</f>
        <v>34</v>
      </c>
      <c r="C194" s="1">
        <f ca="1">IFERROR(__xludf.DUMMYFUNCTION("""COMPUTED_VALUE"""),20)</f>
        <v>20</v>
      </c>
      <c r="D194" s="1">
        <f ca="1">IFERROR(__xludf.DUMMYFUNCTION("""COMPUTED_VALUE"""),14)</f>
        <v>14</v>
      </c>
      <c r="E194" s="1">
        <f ca="1">IFERROR(__xludf.DUMMYFUNCTION("""COMPUTED_VALUE"""),0.588)</f>
        <v>0.58799999999999997</v>
      </c>
      <c r="F194" s="1">
        <f ca="1">IFERROR(__xludf.DUMMYFUNCTION("""COMPUTED_VALUE"""),1.23)</f>
        <v>1.23</v>
      </c>
      <c r="G194" s="1">
        <f ca="1">IFERROR(__xludf.DUMMYFUNCTION("""COMPUTED_VALUE"""),0.52)</f>
        <v>0.52</v>
      </c>
      <c r="H194" s="1">
        <f ca="1">IFERROR(__xludf.DUMMYFUNCTION("""COMPUTED_VALUE"""),10)</f>
        <v>10</v>
      </c>
      <c r="I194" s="1">
        <f ca="1">IFERROR(__xludf.DUMMYFUNCTION("""COMPUTED_VALUE"""),8)</f>
        <v>8</v>
      </c>
      <c r="J194" s="1">
        <f ca="1">IFERROR(__xludf.DUMMYFUNCTION("""COMPUTED_VALUE"""),10)</f>
        <v>10</v>
      </c>
      <c r="K194" s="1">
        <f ca="1">IFERROR(__xludf.DUMMYFUNCTION("""COMPUTED_VALUE"""),4)</f>
        <v>4</v>
      </c>
      <c r="L194" s="1">
        <f ca="1">IFERROR(__xludf.DUMMYFUNCTION("""COMPUTED_VALUE"""),7)</f>
        <v>7</v>
      </c>
      <c r="M194" s="1">
        <f ca="1">IFERROR(__xludf.DUMMYFUNCTION("""COMPUTED_VALUE"""),8)</f>
        <v>8</v>
      </c>
      <c r="N194" s="1">
        <f ca="1">IFERROR(__xludf.DUMMYFUNCTION("""COMPUTED_VALUE"""),2370)</f>
        <v>2370</v>
      </c>
      <c r="O194" s="1">
        <f ca="1">IFERROR(__xludf.DUMMYFUNCTION("""COMPUTED_VALUE"""),2314)</f>
        <v>2314</v>
      </c>
      <c r="P194" s="1">
        <f ca="1">IFERROR(__xludf.DUMMYFUNCTION("""COMPUTED_VALUE"""),1370)</f>
        <v>1370</v>
      </c>
      <c r="Q194" s="1">
        <f ca="1">IFERROR(__xludf.DUMMYFUNCTION("""COMPUTED_VALUE"""),789)</f>
        <v>789</v>
      </c>
      <c r="R194" s="1">
        <f ca="1">IFERROR(__xludf.DUMMYFUNCTION("""COMPUTED_VALUE"""),1834)</f>
        <v>1834</v>
      </c>
      <c r="S194" s="1">
        <f ca="1">IFERROR(__xludf.DUMMYFUNCTION("""COMPUTED_VALUE"""),0.43)</f>
        <v>0.43</v>
      </c>
      <c r="T194" s="1">
        <f ca="1">IFERROR(__xludf.DUMMYFUNCTION("""COMPUTED_VALUE"""),250)</f>
        <v>250</v>
      </c>
      <c r="U194" s="1">
        <f ca="1">IFERROR(__xludf.DUMMYFUNCTION("""COMPUTED_VALUE"""),747)</f>
        <v>747</v>
      </c>
      <c r="V194" s="1">
        <f ca="1">IFERROR(__xludf.DUMMYFUNCTION("""COMPUTED_VALUE"""),0.335)</f>
        <v>0.33500000000000002</v>
      </c>
      <c r="W194" s="1">
        <f ca="1">IFERROR(__xludf.DUMMYFUNCTION("""COMPUTED_VALUE"""),542)</f>
        <v>542</v>
      </c>
      <c r="X194" s="1">
        <f ca="1">IFERROR(__xludf.DUMMYFUNCTION("""COMPUTED_VALUE"""),791)</f>
        <v>791</v>
      </c>
      <c r="Y194" s="1">
        <f ca="1">IFERROR(__xludf.DUMMYFUNCTION("""COMPUTED_VALUE"""),0.685)</f>
        <v>0.68500000000000005</v>
      </c>
      <c r="Z194" s="1">
        <f ca="1">IFERROR(__xludf.DUMMYFUNCTION("""COMPUTED_VALUE"""),379)</f>
        <v>379</v>
      </c>
      <c r="AA194" s="1">
        <f ca="1">IFERROR(__xludf.DUMMYFUNCTION("""COMPUTED_VALUE"""),1241)</f>
        <v>1241</v>
      </c>
      <c r="AB194" s="1">
        <f ca="1">IFERROR(__xludf.DUMMYFUNCTION("""COMPUTED_VALUE"""),423)</f>
        <v>423</v>
      </c>
      <c r="AC194" s="1">
        <f ca="1">IFERROR(__xludf.DUMMYFUNCTION("""COMPUTED_VALUE"""),190)</f>
        <v>190</v>
      </c>
      <c r="AD194" s="1">
        <f ca="1">IFERROR(__xludf.DUMMYFUNCTION("""COMPUTED_VALUE"""),79)</f>
        <v>79</v>
      </c>
      <c r="AE194" s="1">
        <f ca="1">IFERROR(__xludf.DUMMYFUNCTION("""COMPUTED_VALUE"""),465)</f>
        <v>465</v>
      </c>
      <c r="AF194" s="1">
        <f ca="1">IFERROR(__xludf.DUMMYFUNCTION("""COMPUTED_VALUE"""),629)</f>
        <v>629</v>
      </c>
    </row>
    <row r="195" spans="1:32" ht="12.5" x14ac:dyDescent="0.25">
      <c r="A195" s="1" t="str">
        <f ca="1">IFERROR(__xludf.DUMMYFUNCTION("""COMPUTED_VALUE"""),"MinnesotaNCAA")</f>
        <v>MinnesotaNCAA</v>
      </c>
      <c r="B195" s="1">
        <f ca="1">IFERROR(__xludf.DUMMYFUNCTION("""COMPUTED_VALUE"""),35)</f>
        <v>35</v>
      </c>
      <c r="C195" s="1">
        <f ca="1">IFERROR(__xludf.DUMMYFUNCTION("""COMPUTED_VALUE"""),21)</f>
        <v>21</v>
      </c>
      <c r="D195" s="1">
        <f ca="1">IFERROR(__xludf.DUMMYFUNCTION("""COMPUTED_VALUE"""),14)</f>
        <v>14</v>
      </c>
      <c r="E195" s="1">
        <f ca="1">IFERROR(__xludf.DUMMYFUNCTION("""COMPUTED_VALUE"""),0.6)</f>
        <v>0.6</v>
      </c>
      <c r="F195" s="1">
        <f ca="1">IFERROR(__xludf.DUMMYFUNCTION("""COMPUTED_VALUE"""),15.64)</f>
        <v>15.64</v>
      </c>
      <c r="G195" s="1">
        <f ca="1">IFERROR(__xludf.DUMMYFUNCTION("""COMPUTED_VALUE"""),7.32)</f>
        <v>7.32</v>
      </c>
      <c r="H195" s="1">
        <f ca="1">IFERROR(__xludf.DUMMYFUNCTION("""COMPUTED_VALUE"""),9)</f>
        <v>9</v>
      </c>
      <c r="I195" s="1">
        <f ca="1">IFERROR(__xludf.DUMMYFUNCTION("""COMPUTED_VALUE"""),9)</f>
        <v>9</v>
      </c>
      <c r="J195" s="1">
        <f ca="1">IFERROR(__xludf.DUMMYFUNCTION("""COMPUTED_VALUE"""),14)</f>
        <v>14</v>
      </c>
      <c r="K195" s="1">
        <f ca="1">IFERROR(__xludf.DUMMYFUNCTION("""COMPUTED_VALUE"""),3)</f>
        <v>3</v>
      </c>
      <c r="L195" s="1">
        <f ca="1">IFERROR(__xludf.DUMMYFUNCTION("""COMPUTED_VALUE"""),4)</f>
        <v>4</v>
      </c>
      <c r="M195" s="1">
        <f ca="1">IFERROR(__xludf.DUMMYFUNCTION("""COMPUTED_VALUE"""),7)</f>
        <v>7</v>
      </c>
      <c r="N195" s="1">
        <f ca="1">IFERROR(__xludf.DUMMYFUNCTION("""COMPUTED_VALUE"""),2533)</f>
        <v>2533</v>
      </c>
      <c r="O195" s="1">
        <f ca="1">IFERROR(__xludf.DUMMYFUNCTION("""COMPUTED_VALUE"""),2242)</f>
        <v>2242</v>
      </c>
      <c r="P195" s="1">
        <f ca="1">IFERROR(__xludf.DUMMYFUNCTION("""COMPUTED_VALUE"""),1415)</f>
        <v>1415</v>
      </c>
      <c r="Q195" s="1">
        <f ca="1">IFERROR(__xludf.DUMMYFUNCTION("""COMPUTED_VALUE"""),912)</f>
        <v>912</v>
      </c>
      <c r="R195" s="1">
        <f ca="1">IFERROR(__xludf.DUMMYFUNCTION("""COMPUTED_VALUE"""),1949)</f>
        <v>1949</v>
      </c>
      <c r="S195" s="1">
        <f ca="1">IFERROR(__xludf.DUMMYFUNCTION("""COMPUTED_VALUE"""),0.468)</f>
        <v>0.46800000000000003</v>
      </c>
      <c r="T195" s="1">
        <f ca="1">IFERROR(__xludf.DUMMYFUNCTION("""COMPUTED_VALUE"""),246)</f>
        <v>246</v>
      </c>
      <c r="U195" s="1">
        <f ca="1">IFERROR(__xludf.DUMMYFUNCTION("""COMPUTED_VALUE"""),617)</f>
        <v>617</v>
      </c>
      <c r="V195" s="1">
        <f ca="1">IFERROR(__xludf.DUMMYFUNCTION("""COMPUTED_VALUE"""),0.399)</f>
        <v>0.39900000000000002</v>
      </c>
      <c r="W195" s="1">
        <f ca="1">IFERROR(__xludf.DUMMYFUNCTION("""COMPUTED_VALUE"""),463)</f>
        <v>463</v>
      </c>
      <c r="X195" s="1">
        <f ca="1">IFERROR(__xludf.DUMMYFUNCTION("""COMPUTED_VALUE"""),661)</f>
        <v>661</v>
      </c>
      <c r="Y195" s="1">
        <f ca="1">IFERROR(__xludf.DUMMYFUNCTION("""COMPUTED_VALUE"""),0.7)</f>
        <v>0.7</v>
      </c>
      <c r="Z195" s="1">
        <f ca="1">IFERROR(__xludf.DUMMYFUNCTION("""COMPUTED_VALUE"""),375)</f>
        <v>375</v>
      </c>
      <c r="AA195" s="1">
        <f ca="1">IFERROR(__xludf.DUMMYFUNCTION("""COMPUTED_VALUE"""),1237)</f>
        <v>1237</v>
      </c>
      <c r="AB195" s="1">
        <f ca="1">IFERROR(__xludf.DUMMYFUNCTION("""COMPUTED_VALUE"""),583)</f>
        <v>583</v>
      </c>
      <c r="AC195" s="1">
        <f ca="1">IFERROR(__xludf.DUMMYFUNCTION("""COMPUTED_VALUE"""),273)</f>
        <v>273</v>
      </c>
      <c r="AD195" s="1">
        <f ca="1">IFERROR(__xludf.DUMMYFUNCTION("""COMPUTED_VALUE"""),199)</f>
        <v>199</v>
      </c>
      <c r="AE195" s="1">
        <f ca="1">IFERROR(__xludf.DUMMYFUNCTION("""COMPUTED_VALUE"""),427)</f>
        <v>427</v>
      </c>
      <c r="AF195" s="1">
        <f ca="1">IFERROR(__xludf.DUMMYFUNCTION("""COMPUTED_VALUE"""),579)</f>
        <v>579</v>
      </c>
    </row>
    <row r="196" spans="1:32" ht="12.5" x14ac:dyDescent="0.25">
      <c r="A196" s="1" t="str">
        <f ca="1">IFERROR(__xludf.DUMMYFUNCTION("""COMPUTED_VALUE"""),"Mississippi State")</f>
        <v>Mississippi State</v>
      </c>
      <c r="B196" s="1">
        <f ca="1">IFERROR(__xludf.DUMMYFUNCTION("""COMPUTED_VALUE"""),36)</f>
        <v>36</v>
      </c>
      <c r="C196" s="1">
        <f ca="1">IFERROR(__xludf.DUMMYFUNCTION("""COMPUTED_VALUE"""),24)</f>
        <v>24</v>
      </c>
      <c r="D196" s="1">
        <f ca="1">IFERROR(__xludf.DUMMYFUNCTION("""COMPUTED_VALUE"""),12)</f>
        <v>12</v>
      </c>
      <c r="E196" s="1">
        <f ca="1">IFERROR(__xludf.DUMMYFUNCTION("""COMPUTED_VALUE"""),0.667)</f>
        <v>0.66700000000000004</v>
      </c>
      <c r="F196" s="1">
        <f ca="1">IFERROR(__xludf.DUMMYFUNCTION("""COMPUTED_VALUE"""),12.55)</f>
        <v>12.55</v>
      </c>
      <c r="G196" s="1">
        <f ca="1">IFERROR(__xludf.DUMMYFUNCTION("""COMPUTED_VALUE"""),4.6)</f>
        <v>4.5999999999999996</v>
      </c>
      <c r="H196" s="1">
        <f ca="1">IFERROR(__xludf.DUMMYFUNCTION("""COMPUTED_VALUE"""),9)</f>
        <v>9</v>
      </c>
      <c r="I196" s="1">
        <f ca="1">IFERROR(__xludf.DUMMYFUNCTION("""COMPUTED_VALUE"""),7)</f>
        <v>7</v>
      </c>
      <c r="J196" s="1">
        <f ca="1">IFERROR(__xludf.DUMMYFUNCTION("""COMPUTED_VALUE"""),13)</f>
        <v>13</v>
      </c>
      <c r="K196" s="1">
        <f ca="1">IFERROR(__xludf.DUMMYFUNCTION("""COMPUTED_VALUE"""),4)</f>
        <v>4</v>
      </c>
      <c r="L196" s="1">
        <f ca="1">IFERROR(__xludf.DUMMYFUNCTION("""COMPUTED_VALUE"""),5)</f>
        <v>5</v>
      </c>
      <c r="M196" s="1">
        <f ca="1">IFERROR(__xludf.DUMMYFUNCTION("""COMPUTED_VALUE"""),6)</f>
        <v>6</v>
      </c>
      <c r="N196" s="1">
        <f ca="1">IFERROR(__xludf.DUMMYFUNCTION("""COMPUTED_VALUE"""),2622)</f>
        <v>2622</v>
      </c>
      <c r="O196" s="1">
        <f ca="1">IFERROR(__xludf.DUMMYFUNCTION("""COMPUTED_VALUE"""),2336)</f>
        <v>2336</v>
      </c>
      <c r="P196" s="1">
        <f ca="1">IFERROR(__xludf.DUMMYFUNCTION("""COMPUTED_VALUE"""),1455)</f>
        <v>1455</v>
      </c>
      <c r="Q196" s="1">
        <f ca="1">IFERROR(__xludf.DUMMYFUNCTION("""COMPUTED_VALUE"""),897)</f>
        <v>897</v>
      </c>
      <c r="R196" s="1">
        <f ca="1">IFERROR(__xludf.DUMMYFUNCTION("""COMPUTED_VALUE"""),2065)</f>
        <v>2065</v>
      </c>
      <c r="S196" s="1">
        <f ca="1">IFERROR(__xludf.DUMMYFUNCTION("""COMPUTED_VALUE"""),0.434)</f>
        <v>0.434</v>
      </c>
      <c r="T196" s="1">
        <f ca="1">IFERROR(__xludf.DUMMYFUNCTION("""COMPUTED_VALUE"""),329)</f>
        <v>329</v>
      </c>
      <c r="U196" s="1">
        <f ca="1">IFERROR(__xludf.DUMMYFUNCTION("""COMPUTED_VALUE"""),918)</f>
        <v>918</v>
      </c>
      <c r="V196" s="1">
        <f ca="1">IFERROR(__xludf.DUMMYFUNCTION("""COMPUTED_VALUE"""),0.358)</f>
        <v>0.35799999999999998</v>
      </c>
      <c r="W196" s="1">
        <f ca="1">IFERROR(__xludf.DUMMYFUNCTION("""COMPUTED_VALUE"""),499)</f>
        <v>499</v>
      </c>
      <c r="X196" s="1">
        <f ca="1">IFERROR(__xludf.DUMMYFUNCTION("""COMPUTED_VALUE"""),728)</f>
        <v>728</v>
      </c>
      <c r="Y196" s="1">
        <f ca="1">IFERROR(__xludf.DUMMYFUNCTION("""COMPUTED_VALUE"""),0.685)</f>
        <v>0.68500000000000005</v>
      </c>
      <c r="Z196" s="1">
        <f ca="1">IFERROR(__xludf.DUMMYFUNCTION("""COMPUTED_VALUE"""),379)</f>
        <v>379</v>
      </c>
      <c r="AA196" s="1">
        <f ca="1">IFERROR(__xludf.DUMMYFUNCTION("""COMPUTED_VALUE"""),1406)</f>
        <v>1406</v>
      </c>
      <c r="AB196" s="1">
        <f ca="1">IFERROR(__xludf.DUMMYFUNCTION("""COMPUTED_VALUE"""),462)</f>
        <v>462</v>
      </c>
      <c r="AC196" s="1">
        <f ca="1">IFERROR(__xludf.DUMMYFUNCTION("""COMPUTED_VALUE"""),209)</f>
        <v>209</v>
      </c>
      <c r="AD196" s="1">
        <f ca="1">IFERROR(__xludf.DUMMYFUNCTION("""COMPUTED_VALUE"""),271)</f>
        <v>271</v>
      </c>
      <c r="AE196" s="1">
        <f ca="1">IFERROR(__xludf.DUMMYFUNCTION("""COMPUTED_VALUE"""),443)</f>
        <v>443</v>
      </c>
      <c r="AF196" s="1">
        <f ca="1">IFERROR(__xludf.DUMMYFUNCTION("""COMPUTED_VALUE"""),508)</f>
        <v>508</v>
      </c>
    </row>
    <row r="197" spans="1:32" ht="12.5" x14ac:dyDescent="0.25">
      <c r="A197" s="1" t="str">
        <f ca="1">IFERROR(__xludf.DUMMYFUNCTION("""COMPUTED_VALUE"""),"Mississippi Valley State")</f>
        <v>Mississippi Valley State</v>
      </c>
      <c r="B197" s="1">
        <f ca="1">IFERROR(__xludf.DUMMYFUNCTION("""COMPUTED_VALUE"""),32)</f>
        <v>32</v>
      </c>
      <c r="C197" s="1">
        <f ca="1">IFERROR(__xludf.DUMMYFUNCTION("""COMPUTED_VALUE"""),9)</f>
        <v>9</v>
      </c>
      <c r="D197" s="1">
        <f ca="1">IFERROR(__xludf.DUMMYFUNCTION("""COMPUTED_VALUE"""),23)</f>
        <v>23</v>
      </c>
      <c r="E197" s="1">
        <f ca="1">IFERROR(__xludf.DUMMYFUNCTION("""COMPUTED_VALUE"""),0.281)</f>
        <v>0.28100000000000003</v>
      </c>
      <c r="F197" s="1">
        <f ca="1">IFERROR(__xludf.DUMMYFUNCTION("""COMPUTED_VALUE"""),-19.69)</f>
        <v>-19.690000000000001</v>
      </c>
      <c r="G197" s="1">
        <f ca="1">IFERROR(__xludf.DUMMYFUNCTION("""COMPUTED_VALUE"""),-9.88)</f>
        <v>-9.8800000000000008</v>
      </c>
      <c r="H197" s="1">
        <f ca="1">IFERROR(__xludf.DUMMYFUNCTION("""COMPUTED_VALUE"""),8)</f>
        <v>8</v>
      </c>
      <c r="I197" s="1">
        <f ca="1">IFERROR(__xludf.DUMMYFUNCTION("""COMPUTED_VALUE"""),10)</f>
        <v>10</v>
      </c>
      <c r="J197" s="1">
        <f ca="1">IFERROR(__xludf.DUMMYFUNCTION("""COMPUTED_VALUE"""),6)</f>
        <v>6</v>
      </c>
      <c r="K197" s="1">
        <f ca="1">IFERROR(__xludf.DUMMYFUNCTION("""COMPUTED_VALUE"""),3)</f>
        <v>3</v>
      </c>
      <c r="L197" s="1">
        <f ca="1">IFERROR(__xludf.DUMMYFUNCTION("""COMPUTED_VALUE"""),3)</f>
        <v>3</v>
      </c>
      <c r="M197" s="1">
        <f ca="1">IFERROR(__xludf.DUMMYFUNCTION("""COMPUTED_VALUE"""),15)</f>
        <v>15</v>
      </c>
      <c r="N197" s="1">
        <f ca="1">IFERROR(__xludf.DUMMYFUNCTION("""COMPUTED_VALUE"""),2057)</f>
        <v>2057</v>
      </c>
      <c r="O197" s="1">
        <f ca="1">IFERROR(__xludf.DUMMYFUNCTION("""COMPUTED_VALUE"""),2315)</f>
        <v>2315</v>
      </c>
      <c r="P197" s="1">
        <f ca="1">IFERROR(__xludf.DUMMYFUNCTION("""COMPUTED_VALUE"""),1290)</f>
        <v>1290</v>
      </c>
      <c r="Q197" s="1">
        <f ca="1">IFERROR(__xludf.DUMMYFUNCTION("""COMPUTED_VALUE"""),723)</f>
        <v>723</v>
      </c>
      <c r="R197" s="1">
        <f ca="1">IFERROR(__xludf.DUMMYFUNCTION("""COMPUTED_VALUE"""),1766)</f>
        <v>1766</v>
      </c>
      <c r="S197" s="1">
        <f ca="1">IFERROR(__xludf.DUMMYFUNCTION("""COMPUTED_VALUE"""),0.409)</f>
        <v>0.40899999999999997</v>
      </c>
      <c r="T197" s="1">
        <f ca="1">IFERROR(__xludf.DUMMYFUNCTION("""COMPUTED_VALUE"""),203)</f>
        <v>203</v>
      </c>
      <c r="U197" s="1">
        <f ca="1">IFERROR(__xludf.DUMMYFUNCTION("""COMPUTED_VALUE"""),633)</f>
        <v>633</v>
      </c>
      <c r="V197" s="1">
        <f ca="1">IFERROR(__xludf.DUMMYFUNCTION("""COMPUTED_VALUE"""),0.321)</f>
        <v>0.32100000000000001</v>
      </c>
      <c r="W197" s="1">
        <f ca="1">IFERROR(__xludf.DUMMYFUNCTION("""COMPUTED_VALUE"""),408)</f>
        <v>408</v>
      </c>
      <c r="X197" s="1">
        <f ca="1">IFERROR(__xludf.DUMMYFUNCTION("""COMPUTED_VALUE"""),642)</f>
        <v>642</v>
      </c>
      <c r="Y197" s="1">
        <f ca="1">IFERROR(__xludf.DUMMYFUNCTION("""COMPUTED_VALUE"""),0.636)</f>
        <v>0.63600000000000001</v>
      </c>
      <c r="Z197" s="1">
        <f ca="1">IFERROR(__xludf.DUMMYFUNCTION("""COMPUTED_VALUE"""),365)</f>
        <v>365</v>
      </c>
      <c r="AA197" s="1">
        <f ca="1">IFERROR(__xludf.DUMMYFUNCTION("""COMPUTED_VALUE"""),1116)</f>
        <v>1116</v>
      </c>
      <c r="AB197" s="1">
        <f ca="1">IFERROR(__xludf.DUMMYFUNCTION("""COMPUTED_VALUE"""),390)</f>
        <v>390</v>
      </c>
      <c r="AC197" s="1">
        <f ca="1">IFERROR(__xludf.DUMMYFUNCTION("""COMPUTED_VALUE"""),251)</f>
        <v>251</v>
      </c>
      <c r="AD197" s="1">
        <f ca="1">IFERROR(__xludf.DUMMYFUNCTION("""COMPUTED_VALUE"""),82)</f>
        <v>82</v>
      </c>
      <c r="AE197" s="1">
        <f ca="1">IFERROR(__xludf.DUMMYFUNCTION("""COMPUTED_VALUE"""),552)</f>
        <v>552</v>
      </c>
      <c r="AF197" s="1">
        <f ca="1">IFERROR(__xludf.DUMMYFUNCTION("""COMPUTED_VALUE"""),666)</f>
        <v>666</v>
      </c>
    </row>
    <row r="198" spans="1:32" ht="12.5" x14ac:dyDescent="0.25">
      <c r="A198" s="1" t="str">
        <f ca="1">IFERROR(__xludf.DUMMYFUNCTION("""COMPUTED_VALUE"""),"Overall")</f>
        <v>Overall</v>
      </c>
      <c r="B198" s="1" t="str">
        <f ca="1">IFERROR(__xludf.DUMMYFUNCTION("""COMPUTED_VALUE"""),"Conf.")</f>
        <v>Conf.</v>
      </c>
      <c r="C198" s="1" t="str">
        <f ca="1">IFERROR(__xludf.DUMMYFUNCTION("""COMPUTED_VALUE"""),"Home")</f>
        <v>Home</v>
      </c>
      <c r="D198" s="1" t="str">
        <f ca="1">IFERROR(__xludf.DUMMYFUNCTION("""COMPUTED_VALUE"""),"Away")</f>
        <v>Away</v>
      </c>
      <c r="E198" s="1" t="str">
        <f ca="1">IFERROR(__xludf.DUMMYFUNCTION("""COMPUTED_VALUE"""),"Points")</f>
        <v>Points</v>
      </c>
      <c r="F198" s="1" t="str">
        <f ca="1">IFERROR(__xludf.DUMMYFUNCTION("""COMPUTED_VALUE"""),"")</f>
        <v/>
      </c>
      <c r="G198" s="1" t="str">
        <f ca="1">IFERROR(__xludf.DUMMYFUNCTION("""COMPUTED_VALUE"""),"School Totals")</f>
        <v>School Totals</v>
      </c>
      <c r="H198" s="1" t="str">
        <f ca="1">IFERROR(__xludf.DUMMYFUNCTION("""COMPUTED_VALUE"""),"")</f>
        <v/>
      </c>
      <c r="I198" s="1" t="str">
        <f ca="1">IFERROR(__xludf.DUMMYFUNCTION("""COMPUTED_VALUE"""),"")</f>
        <v/>
      </c>
      <c r="J198" s="1" t="str">
        <f ca="1">IFERROR(__xludf.DUMMYFUNCTION("""COMPUTED_VALUE"""),"")</f>
        <v/>
      </c>
      <c r="K198" s="1" t="str">
        <f ca="1">IFERROR(__xludf.DUMMYFUNCTION("""COMPUTED_VALUE"""),"")</f>
        <v/>
      </c>
      <c r="L198" s="1" t="str">
        <f ca="1">IFERROR(__xludf.DUMMYFUNCTION("""COMPUTED_VALUE"""),"")</f>
        <v/>
      </c>
      <c r="M198" s="1" t="str">
        <f ca="1">IFERROR(__xludf.DUMMYFUNCTION("""COMPUTED_VALUE"""),"")</f>
        <v/>
      </c>
      <c r="N198" s="1" t="str">
        <f ca="1">IFERROR(__xludf.DUMMYFUNCTION("""COMPUTED_VALUE"""),"")</f>
        <v/>
      </c>
      <c r="O198" s="1" t="str">
        <f ca="1">IFERROR(__xludf.DUMMYFUNCTION("""COMPUTED_VALUE"""),"")</f>
        <v/>
      </c>
      <c r="P198" s="1" t="str">
        <f ca="1">IFERROR(__xludf.DUMMYFUNCTION("""COMPUTED_VALUE"""),"")</f>
        <v/>
      </c>
      <c r="Q198" s="1" t="str">
        <f ca="1">IFERROR(__xludf.DUMMYFUNCTION("""COMPUTED_VALUE"""),"")</f>
        <v/>
      </c>
      <c r="R198" s="1" t="str">
        <f ca="1">IFERROR(__xludf.DUMMYFUNCTION("""COMPUTED_VALUE"""),"")</f>
        <v/>
      </c>
      <c r="S198" s="1" t="str">
        <f ca="1">IFERROR(__xludf.DUMMYFUNCTION("""COMPUTED_VALUE"""),"")</f>
        <v/>
      </c>
      <c r="T198" s="1" t="str">
        <f ca="1">IFERROR(__xludf.DUMMYFUNCTION("""COMPUTED_VALUE"""),"")</f>
        <v/>
      </c>
      <c r="U198" s="1" t="str">
        <f ca="1">IFERROR(__xludf.DUMMYFUNCTION("""COMPUTED_VALUE"""),"")</f>
        <v/>
      </c>
      <c r="V198" s="1" t="str">
        <f ca="1">IFERROR(__xludf.DUMMYFUNCTION("""COMPUTED_VALUE"""),"")</f>
        <v/>
      </c>
      <c r="W198" s="1" t="str">
        <f ca="1">IFERROR(__xludf.DUMMYFUNCTION("""COMPUTED_VALUE"""),"")</f>
        <v/>
      </c>
      <c r="X198" s="1" t="str">
        <f ca="1">IFERROR(__xludf.DUMMYFUNCTION("""COMPUTED_VALUE"""),"")</f>
        <v/>
      </c>
      <c r="Y198" s="1" t="str">
        <f ca="1">IFERROR(__xludf.DUMMYFUNCTION("""COMPUTED_VALUE"""),"")</f>
        <v/>
      </c>
      <c r="Z198" s="1" t="str">
        <f ca="1">IFERROR(__xludf.DUMMYFUNCTION("""COMPUTED_VALUE"""),"")</f>
        <v/>
      </c>
      <c r="AA198" s="1" t="str">
        <f ca="1">IFERROR(__xludf.DUMMYFUNCTION("""COMPUTED_VALUE"""),"")</f>
        <v/>
      </c>
      <c r="AB198" s="1" t="str">
        <f ca="1">IFERROR(__xludf.DUMMYFUNCTION("""COMPUTED_VALUE"""),"")</f>
        <v/>
      </c>
      <c r="AC198" s="1" t="str">
        <f ca="1">IFERROR(__xludf.DUMMYFUNCTION("""COMPUTED_VALUE"""),"")</f>
        <v/>
      </c>
      <c r="AD198" s="1" t="str">
        <f ca="1">IFERROR(__xludf.DUMMYFUNCTION("""COMPUTED_VALUE"""),"")</f>
        <v/>
      </c>
      <c r="AE198" s="1" t="str">
        <f ca="1">IFERROR(__xludf.DUMMYFUNCTION("""COMPUTED_VALUE"""),"")</f>
        <v/>
      </c>
      <c r="AF198" s="1" t="str">
        <f ca="1">IFERROR(__xludf.DUMMYFUNCTION("""COMPUTED_VALUE"""),"")</f>
        <v/>
      </c>
    </row>
    <row r="199" spans="1:32" ht="12.5" x14ac:dyDescent="0.25">
      <c r="A199" s="1" t="str">
        <f ca="1">IFERROR(__xludf.DUMMYFUNCTION("""COMPUTED_VALUE"""),"School")</f>
        <v>School</v>
      </c>
      <c r="B199" s="1" t="str">
        <f ca="1">IFERROR(__xludf.DUMMYFUNCTION("""COMPUTED_VALUE"""),"G")</f>
        <v>G</v>
      </c>
      <c r="C199" s="1" t="str">
        <f ca="1">IFERROR(__xludf.DUMMYFUNCTION("""COMPUTED_VALUE"""),"W")</f>
        <v>W</v>
      </c>
      <c r="D199" s="1" t="str">
        <f ca="1">IFERROR(__xludf.DUMMYFUNCTION("""COMPUTED_VALUE"""),"L")</f>
        <v>L</v>
      </c>
      <c r="E199" s="1" t="str">
        <f ca="1">IFERROR(__xludf.DUMMYFUNCTION("""COMPUTED_VALUE"""),"W-L%")</f>
        <v>W-L%</v>
      </c>
      <c r="F199" s="1" t="str">
        <f ca="1">IFERROR(__xludf.DUMMYFUNCTION("""COMPUTED_VALUE"""),"SRS")</f>
        <v>SRS</v>
      </c>
      <c r="G199" s="1" t="str">
        <f ca="1">IFERROR(__xludf.DUMMYFUNCTION("""COMPUTED_VALUE"""),"SOS")</f>
        <v>SOS</v>
      </c>
      <c r="H199" s="1" t="str">
        <f ca="1">IFERROR(__xludf.DUMMYFUNCTION("""COMPUTED_VALUE"""),"W")</f>
        <v>W</v>
      </c>
      <c r="I199" s="1" t="str">
        <f ca="1">IFERROR(__xludf.DUMMYFUNCTION("""COMPUTED_VALUE"""),"L")</f>
        <v>L</v>
      </c>
      <c r="J199" s="1" t="str">
        <f ca="1">IFERROR(__xludf.DUMMYFUNCTION("""COMPUTED_VALUE"""),"W")</f>
        <v>W</v>
      </c>
      <c r="K199" s="1" t="str">
        <f ca="1">IFERROR(__xludf.DUMMYFUNCTION("""COMPUTED_VALUE"""),"L")</f>
        <v>L</v>
      </c>
      <c r="L199" s="1" t="str">
        <f ca="1">IFERROR(__xludf.DUMMYFUNCTION("""COMPUTED_VALUE"""),"W")</f>
        <v>W</v>
      </c>
      <c r="M199" s="1" t="str">
        <f ca="1">IFERROR(__xludf.DUMMYFUNCTION("""COMPUTED_VALUE"""),"L")</f>
        <v>L</v>
      </c>
      <c r="N199" s="1" t="str">
        <f ca="1">IFERROR(__xludf.DUMMYFUNCTION("""COMPUTED_VALUE"""),"Tm.")</f>
        <v>Tm.</v>
      </c>
      <c r="O199" s="1" t="str">
        <f ca="1">IFERROR(__xludf.DUMMYFUNCTION("""COMPUTED_VALUE"""),"Opp.")</f>
        <v>Opp.</v>
      </c>
      <c r="P199" s="1" t="str">
        <f ca="1">IFERROR(__xludf.DUMMYFUNCTION("""COMPUTED_VALUE"""),"MP")</f>
        <v>MP</v>
      </c>
      <c r="Q199" s="1" t="str">
        <f ca="1">IFERROR(__xludf.DUMMYFUNCTION("""COMPUTED_VALUE"""),"FG")</f>
        <v>FG</v>
      </c>
      <c r="R199" s="1" t="str">
        <f ca="1">IFERROR(__xludf.DUMMYFUNCTION("""COMPUTED_VALUE"""),"FGA")</f>
        <v>FGA</v>
      </c>
      <c r="S199" s="1" t="str">
        <f ca="1">IFERROR(__xludf.DUMMYFUNCTION("""COMPUTED_VALUE"""),"FG%")</f>
        <v>FG%</v>
      </c>
      <c r="T199" s="1" t="str">
        <f ca="1">IFERROR(__xludf.DUMMYFUNCTION("""COMPUTED_VALUE"""),"3P")</f>
        <v>3P</v>
      </c>
      <c r="U199" s="1" t="str">
        <f ca="1">IFERROR(__xludf.DUMMYFUNCTION("""COMPUTED_VALUE"""),"3PA")</f>
        <v>3PA</v>
      </c>
      <c r="V199" s="1" t="str">
        <f ca="1">IFERROR(__xludf.DUMMYFUNCTION("""COMPUTED_VALUE"""),"3P%")</f>
        <v>3P%</v>
      </c>
      <c r="W199" s="1" t="str">
        <f ca="1">IFERROR(__xludf.DUMMYFUNCTION("""COMPUTED_VALUE"""),"FT")</f>
        <v>FT</v>
      </c>
      <c r="X199" s="1" t="str">
        <f ca="1">IFERROR(__xludf.DUMMYFUNCTION("""COMPUTED_VALUE"""),"FTA")</f>
        <v>FTA</v>
      </c>
      <c r="Y199" s="1" t="str">
        <f ca="1">IFERROR(__xludf.DUMMYFUNCTION("""COMPUTED_VALUE"""),"FT%")</f>
        <v>FT%</v>
      </c>
      <c r="Z199" s="1" t="str">
        <f ca="1">IFERROR(__xludf.DUMMYFUNCTION("""COMPUTED_VALUE"""),"ORB")</f>
        <v>ORB</v>
      </c>
      <c r="AA199" s="1" t="str">
        <f ca="1">IFERROR(__xludf.DUMMYFUNCTION("""COMPUTED_VALUE"""),"TRB")</f>
        <v>TRB</v>
      </c>
      <c r="AB199" s="1" t="str">
        <f ca="1">IFERROR(__xludf.DUMMYFUNCTION("""COMPUTED_VALUE"""),"AST")</f>
        <v>AST</v>
      </c>
      <c r="AC199" s="1" t="str">
        <f ca="1">IFERROR(__xludf.DUMMYFUNCTION("""COMPUTED_VALUE"""),"STL")</f>
        <v>STL</v>
      </c>
      <c r="AD199" s="1" t="str">
        <f ca="1">IFERROR(__xludf.DUMMYFUNCTION("""COMPUTED_VALUE"""),"BLK")</f>
        <v>BLK</v>
      </c>
      <c r="AE199" s="1" t="str">
        <f ca="1">IFERROR(__xludf.DUMMYFUNCTION("""COMPUTED_VALUE"""),"TOV")</f>
        <v>TOV</v>
      </c>
      <c r="AF199" s="1" t="str">
        <f ca="1">IFERROR(__xludf.DUMMYFUNCTION("""COMPUTED_VALUE"""),"PF")</f>
        <v>PF</v>
      </c>
    </row>
    <row r="200" spans="1:32" ht="12.5" x14ac:dyDescent="0.25">
      <c r="A200" s="1" t="str">
        <f ca="1">IFERROR(__xludf.DUMMYFUNCTION("""COMPUTED_VALUE"""),"Mississippi")</f>
        <v>Mississippi</v>
      </c>
      <c r="B200" s="1">
        <f ca="1">IFERROR(__xludf.DUMMYFUNCTION("""COMPUTED_VALUE"""),35)</f>
        <v>35</v>
      </c>
      <c r="C200" s="1">
        <f ca="1">IFERROR(__xludf.DUMMYFUNCTION("""COMPUTED_VALUE"""),24)</f>
        <v>24</v>
      </c>
      <c r="D200" s="1">
        <f ca="1">IFERROR(__xludf.DUMMYFUNCTION("""COMPUTED_VALUE"""),11)</f>
        <v>11</v>
      </c>
      <c r="E200" s="1">
        <f ca="1">IFERROR(__xludf.DUMMYFUNCTION("""COMPUTED_VALUE"""),0.686)</f>
        <v>0.68600000000000005</v>
      </c>
      <c r="F200" s="1">
        <f ca="1">IFERROR(__xludf.DUMMYFUNCTION("""COMPUTED_VALUE"""),13.46)</f>
        <v>13.46</v>
      </c>
      <c r="G200" s="1">
        <f ca="1">IFERROR(__xludf.DUMMYFUNCTION("""COMPUTED_VALUE"""),5.77)</f>
        <v>5.77</v>
      </c>
      <c r="H200" s="1">
        <f ca="1">IFERROR(__xludf.DUMMYFUNCTION("""COMPUTED_VALUE"""),9)</f>
        <v>9</v>
      </c>
      <c r="I200" s="1">
        <f ca="1">IFERROR(__xludf.DUMMYFUNCTION("""COMPUTED_VALUE"""),7)</f>
        <v>7</v>
      </c>
      <c r="J200" s="1">
        <f ca="1">IFERROR(__xludf.DUMMYFUNCTION("""COMPUTED_VALUE"""),15)</f>
        <v>15</v>
      </c>
      <c r="K200" s="1">
        <f ca="1">IFERROR(__xludf.DUMMYFUNCTION("""COMPUTED_VALUE"""),4)</f>
        <v>4</v>
      </c>
      <c r="L200" s="1">
        <f ca="1">IFERROR(__xludf.DUMMYFUNCTION("""COMPUTED_VALUE"""),6)</f>
        <v>6</v>
      </c>
      <c r="M200" s="1">
        <f ca="1">IFERROR(__xludf.DUMMYFUNCTION("""COMPUTED_VALUE"""),4)</f>
        <v>4</v>
      </c>
      <c r="N200" s="1">
        <f ca="1">IFERROR(__xludf.DUMMYFUNCTION("""COMPUTED_VALUE"""),2743)</f>
        <v>2743</v>
      </c>
      <c r="O200" s="1">
        <f ca="1">IFERROR(__xludf.DUMMYFUNCTION("""COMPUTED_VALUE"""),2474)</f>
        <v>2474</v>
      </c>
      <c r="P200" s="1">
        <f ca="1">IFERROR(__xludf.DUMMYFUNCTION("""COMPUTED_VALUE"""),1420)</f>
        <v>1420</v>
      </c>
      <c r="Q200" s="1">
        <f ca="1">IFERROR(__xludf.DUMMYFUNCTION("""COMPUTED_VALUE"""),986)</f>
        <v>986</v>
      </c>
      <c r="R200" s="1">
        <f ca="1">IFERROR(__xludf.DUMMYFUNCTION("""COMPUTED_VALUE"""),2185)</f>
        <v>2185</v>
      </c>
      <c r="S200" s="1">
        <f ca="1">IFERROR(__xludf.DUMMYFUNCTION("""COMPUTED_VALUE"""),0.451)</f>
        <v>0.45100000000000001</v>
      </c>
      <c r="T200" s="1">
        <f ca="1">IFERROR(__xludf.DUMMYFUNCTION("""COMPUTED_VALUE"""),286)</f>
        <v>286</v>
      </c>
      <c r="U200" s="1">
        <f ca="1">IFERROR(__xludf.DUMMYFUNCTION("""COMPUTED_VALUE"""),796)</f>
        <v>796</v>
      </c>
      <c r="V200" s="1">
        <f ca="1">IFERROR(__xludf.DUMMYFUNCTION("""COMPUTED_VALUE"""),0.359)</f>
        <v>0.35899999999999999</v>
      </c>
      <c r="W200" s="1">
        <f ca="1">IFERROR(__xludf.DUMMYFUNCTION("""COMPUTED_VALUE"""),485)</f>
        <v>485</v>
      </c>
      <c r="X200" s="1">
        <f ca="1">IFERROR(__xludf.DUMMYFUNCTION("""COMPUTED_VALUE"""),731)</f>
        <v>731</v>
      </c>
      <c r="Y200" s="1">
        <f ca="1">IFERROR(__xludf.DUMMYFUNCTION("""COMPUTED_VALUE"""),0.663)</f>
        <v>0.66300000000000003</v>
      </c>
      <c r="Z200" s="1">
        <f ca="1">IFERROR(__xludf.DUMMYFUNCTION("""COMPUTED_VALUE"""),460)</f>
        <v>460</v>
      </c>
      <c r="AA200" s="1">
        <f ca="1">IFERROR(__xludf.DUMMYFUNCTION("""COMPUTED_VALUE"""),1377)</f>
        <v>1377</v>
      </c>
      <c r="AB200" s="1">
        <f ca="1">IFERROR(__xludf.DUMMYFUNCTION("""COMPUTED_VALUE"""),486)</f>
        <v>486</v>
      </c>
      <c r="AC200" s="1">
        <f ca="1">IFERROR(__xludf.DUMMYFUNCTION("""COMPUTED_VALUE"""),259)</f>
        <v>259</v>
      </c>
      <c r="AD200" s="1">
        <f ca="1">IFERROR(__xludf.DUMMYFUNCTION("""COMPUTED_VALUE"""),184)</f>
        <v>184</v>
      </c>
      <c r="AE200" s="1">
        <f ca="1">IFERROR(__xludf.DUMMYFUNCTION("""COMPUTED_VALUE"""),424)</f>
        <v>424</v>
      </c>
      <c r="AF200" s="1">
        <f ca="1">IFERROR(__xludf.DUMMYFUNCTION("""COMPUTED_VALUE"""),660)</f>
        <v>660</v>
      </c>
    </row>
    <row r="201" spans="1:32" ht="12.5" x14ac:dyDescent="0.25">
      <c r="A201" s="1" t="str">
        <f ca="1">IFERROR(__xludf.DUMMYFUNCTION("""COMPUTED_VALUE"""),"Missouri-Kansas City")</f>
        <v>Missouri-Kansas City</v>
      </c>
      <c r="B201" s="1">
        <f ca="1">IFERROR(__xludf.DUMMYFUNCTION("""COMPUTED_VALUE"""),30)</f>
        <v>30</v>
      </c>
      <c r="C201" s="1">
        <f ca="1">IFERROR(__xludf.DUMMYFUNCTION("""COMPUTED_VALUE"""),12)</f>
        <v>12</v>
      </c>
      <c r="D201" s="1">
        <f ca="1">IFERROR(__xludf.DUMMYFUNCTION("""COMPUTED_VALUE"""),18)</f>
        <v>18</v>
      </c>
      <c r="E201" s="1">
        <f ca="1">IFERROR(__xludf.DUMMYFUNCTION("""COMPUTED_VALUE"""),0.4)</f>
        <v>0.4</v>
      </c>
      <c r="F201" s="1">
        <f ca="1">IFERROR(__xludf.DUMMYFUNCTION("""COMPUTED_VALUE"""),-13.88)</f>
        <v>-13.88</v>
      </c>
      <c r="G201" s="1">
        <f ca="1">IFERROR(__xludf.DUMMYFUNCTION("""COMPUTED_VALUE"""),-4.75)</f>
        <v>-4.75</v>
      </c>
      <c r="H201" s="1">
        <f ca="1">IFERROR(__xludf.DUMMYFUNCTION("""COMPUTED_VALUE"""),6)</f>
        <v>6</v>
      </c>
      <c r="I201" s="1">
        <f ca="1">IFERROR(__xludf.DUMMYFUNCTION("""COMPUTED_VALUE"""),12)</f>
        <v>12</v>
      </c>
      <c r="J201" s="1">
        <f ca="1">IFERROR(__xludf.DUMMYFUNCTION("""COMPUTED_VALUE"""),7)</f>
        <v>7</v>
      </c>
      <c r="K201" s="1">
        <f ca="1">IFERROR(__xludf.DUMMYFUNCTION("""COMPUTED_VALUE"""),7)</f>
        <v>7</v>
      </c>
      <c r="L201" s="1">
        <f ca="1">IFERROR(__xludf.DUMMYFUNCTION("""COMPUTED_VALUE"""),5)</f>
        <v>5</v>
      </c>
      <c r="M201" s="1">
        <f ca="1">IFERROR(__xludf.DUMMYFUNCTION("""COMPUTED_VALUE"""),10)</f>
        <v>10</v>
      </c>
      <c r="N201" s="1">
        <f ca="1">IFERROR(__xludf.DUMMYFUNCTION("""COMPUTED_VALUE"""),2002)</f>
        <v>2002</v>
      </c>
      <c r="O201" s="1">
        <f ca="1">IFERROR(__xludf.DUMMYFUNCTION("""COMPUTED_VALUE"""),2106)</f>
        <v>2106</v>
      </c>
      <c r="P201" s="1">
        <f ca="1">IFERROR(__xludf.DUMMYFUNCTION("""COMPUTED_VALUE"""),1200)</f>
        <v>1200</v>
      </c>
      <c r="Q201" s="1">
        <f ca="1">IFERROR(__xludf.DUMMYFUNCTION("""COMPUTED_VALUE"""),685)</f>
        <v>685</v>
      </c>
      <c r="R201" s="1">
        <f ca="1">IFERROR(__xludf.DUMMYFUNCTION("""COMPUTED_VALUE"""),1629)</f>
        <v>1629</v>
      </c>
      <c r="S201" s="1">
        <f ca="1">IFERROR(__xludf.DUMMYFUNCTION("""COMPUTED_VALUE"""),0.421)</f>
        <v>0.42099999999999999</v>
      </c>
      <c r="T201" s="1">
        <f ca="1">IFERROR(__xludf.DUMMYFUNCTION("""COMPUTED_VALUE"""),174)</f>
        <v>174</v>
      </c>
      <c r="U201" s="1">
        <f ca="1">IFERROR(__xludf.DUMMYFUNCTION("""COMPUTED_VALUE"""),515)</f>
        <v>515</v>
      </c>
      <c r="V201" s="1">
        <f ca="1">IFERROR(__xludf.DUMMYFUNCTION("""COMPUTED_VALUE"""),0.338)</f>
        <v>0.33800000000000002</v>
      </c>
      <c r="W201" s="1">
        <f ca="1">IFERROR(__xludf.DUMMYFUNCTION("""COMPUTED_VALUE"""),458)</f>
        <v>458</v>
      </c>
      <c r="X201" s="1">
        <f ca="1">IFERROR(__xludf.DUMMYFUNCTION("""COMPUTED_VALUE"""),654)</f>
        <v>654</v>
      </c>
      <c r="Y201" s="1">
        <f ca="1">IFERROR(__xludf.DUMMYFUNCTION("""COMPUTED_VALUE"""),0.7)</f>
        <v>0.7</v>
      </c>
      <c r="Z201" s="1">
        <f ca="1">IFERROR(__xludf.DUMMYFUNCTION("""COMPUTED_VALUE"""),307)</f>
        <v>307</v>
      </c>
      <c r="AA201" s="1">
        <f ca="1">IFERROR(__xludf.DUMMYFUNCTION("""COMPUTED_VALUE"""),931)</f>
        <v>931</v>
      </c>
      <c r="AB201" s="1">
        <f ca="1">IFERROR(__xludf.DUMMYFUNCTION("""COMPUTED_VALUE"""),345)</f>
        <v>345</v>
      </c>
      <c r="AC201" s="1">
        <f ca="1">IFERROR(__xludf.DUMMYFUNCTION("""COMPUTED_VALUE"""),179)</f>
        <v>179</v>
      </c>
      <c r="AD201" s="1">
        <f ca="1">IFERROR(__xludf.DUMMYFUNCTION("""COMPUTED_VALUE"""),51)</f>
        <v>51</v>
      </c>
      <c r="AE201" s="1">
        <f ca="1">IFERROR(__xludf.DUMMYFUNCTION("""COMPUTED_VALUE"""),383)</f>
        <v>383</v>
      </c>
      <c r="AF201" s="1">
        <f ca="1">IFERROR(__xludf.DUMMYFUNCTION("""COMPUTED_VALUE"""),624)</f>
        <v>624</v>
      </c>
    </row>
    <row r="202" spans="1:32" ht="12.5" x14ac:dyDescent="0.25">
      <c r="A202" s="1" t="str">
        <f ca="1">IFERROR(__xludf.DUMMYFUNCTION("""COMPUTED_VALUE"""),"Missouri State")</f>
        <v>Missouri State</v>
      </c>
      <c r="B202" s="1">
        <f ca="1">IFERROR(__xludf.DUMMYFUNCTION("""COMPUTED_VALUE"""),36)</f>
        <v>36</v>
      </c>
      <c r="C202" s="1">
        <f ca="1">IFERROR(__xludf.DUMMYFUNCTION("""COMPUTED_VALUE"""),24)</f>
        <v>24</v>
      </c>
      <c r="D202" s="1">
        <f ca="1">IFERROR(__xludf.DUMMYFUNCTION("""COMPUTED_VALUE"""),12)</f>
        <v>12</v>
      </c>
      <c r="E202" s="1">
        <f ca="1">IFERROR(__xludf.DUMMYFUNCTION("""COMPUTED_VALUE"""),0.667)</f>
        <v>0.66700000000000004</v>
      </c>
      <c r="F202" s="1">
        <f ca="1">IFERROR(__xludf.DUMMYFUNCTION("""COMPUTED_VALUE"""),7.57)</f>
        <v>7.57</v>
      </c>
      <c r="G202" s="1">
        <f ca="1">IFERROR(__xludf.DUMMYFUNCTION("""COMPUTED_VALUE"""),1.4)</f>
        <v>1.4</v>
      </c>
      <c r="H202" s="1">
        <f ca="1">IFERROR(__xludf.DUMMYFUNCTION("""COMPUTED_VALUE"""),8)</f>
        <v>8</v>
      </c>
      <c r="I202" s="1">
        <f ca="1">IFERROR(__xludf.DUMMYFUNCTION("""COMPUTED_VALUE"""),10)</f>
        <v>10</v>
      </c>
      <c r="J202" s="1">
        <f ca="1">IFERROR(__xludf.DUMMYFUNCTION("""COMPUTED_VALUE"""),19)</f>
        <v>19</v>
      </c>
      <c r="K202" s="1">
        <f ca="1">IFERROR(__xludf.DUMMYFUNCTION("""COMPUTED_VALUE"""),2)</f>
        <v>2</v>
      </c>
      <c r="L202" s="1">
        <f ca="1">IFERROR(__xludf.DUMMYFUNCTION("""COMPUTED_VALUE"""),4)</f>
        <v>4</v>
      </c>
      <c r="M202" s="1">
        <f ca="1">IFERROR(__xludf.DUMMYFUNCTION("""COMPUTED_VALUE"""),9)</f>
        <v>9</v>
      </c>
      <c r="N202" s="1">
        <f ca="1">IFERROR(__xludf.DUMMYFUNCTION("""COMPUTED_VALUE"""),2572)</f>
        <v>2572</v>
      </c>
      <c r="O202" s="1">
        <f ca="1">IFERROR(__xludf.DUMMYFUNCTION("""COMPUTED_VALUE"""),2350)</f>
        <v>2350</v>
      </c>
      <c r="P202" s="1">
        <f ca="1">IFERROR(__xludf.DUMMYFUNCTION("""COMPUTED_VALUE"""),1455)</f>
        <v>1455</v>
      </c>
      <c r="Q202" s="1">
        <f ca="1">IFERROR(__xludf.DUMMYFUNCTION("""COMPUTED_VALUE"""),895)</f>
        <v>895</v>
      </c>
      <c r="R202" s="1">
        <f ca="1">IFERROR(__xludf.DUMMYFUNCTION("""COMPUTED_VALUE"""),1993)</f>
        <v>1993</v>
      </c>
      <c r="S202" s="1">
        <f ca="1">IFERROR(__xludf.DUMMYFUNCTION("""COMPUTED_VALUE"""),0.449)</f>
        <v>0.44900000000000001</v>
      </c>
      <c r="T202" s="1">
        <f ca="1">IFERROR(__xludf.DUMMYFUNCTION("""COMPUTED_VALUE"""),252)</f>
        <v>252</v>
      </c>
      <c r="U202" s="1">
        <f ca="1">IFERROR(__xludf.DUMMYFUNCTION("""COMPUTED_VALUE"""),688)</f>
        <v>688</v>
      </c>
      <c r="V202" s="1">
        <f ca="1">IFERROR(__xludf.DUMMYFUNCTION("""COMPUTED_VALUE"""),0.366)</f>
        <v>0.36599999999999999</v>
      </c>
      <c r="W202" s="1">
        <f ca="1">IFERROR(__xludf.DUMMYFUNCTION("""COMPUTED_VALUE"""),530)</f>
        <v>530</v>
      </c>
      <c r="X202" s="1">
        <f ca="1">IFERROR(__xludf.DUMMYFUNCTION("""COMPUTED_VALUE"""),724)</f>
        <v>724</v>
      </c>
      <c r="Y202" s="1">
        <f ca="1">IFERROR(__xludf.DUMMYFUNCTION("""COMPUTED_VALUE"""),0.732)</f>
        <v>0.73199999999999998</v>
      </c>
      <c r="Z202" s="1">
        <f ca="1">IFERROR(__xludf.DUMMYFUNCTION("""COMPUTED_VALUE"""),398)</f>
        <v>398</v>
      </c>
      <c r="AA202" s="1">
        <f ca="1">IFERROR(__xludf.DUMMYFUNCTION("""COMPUTED_VALUE"""),1247)</f>
        <v>1247</v>
      </c>
      <c r="AB202" s="1">
        <f ca="1">IFERROR(__xludf.DUMMYFUNCTION("""COMPUTED_VALUE"""),505)</f>
        <v>505</v>
      </c>
      <c r="AC202" s="1">
        <f ca="1">IFERROR(__xludf.DUMMYFUNCTION("""COMPUTED_VALUE"""),209)</f>
        <v>209</v>
      </c>
      <c r="AD202" s="1">
        <f ca="1">IFERROR(__xludf.DUMMYFUNCTION("""COMPUTED_VALUE"""),110)</f>
        <v>110</v>
      </c>
      <c r="AE202" s="1">
        <f ca="1">IFERROR(__xludf.DUMMYFUNCTION("""COMPUTED_VALUE"""),407)</f>
        <v>407</v>
      </c>
      <c r="AF202" s="1">
        <f ca="1">IFERROR(__xludf.DUMMYFUNCTION("""COMPUTED_VALUE"""),667)</f>
        <v>667</v>
      </c>
    </row>
    <row r="203" spans="1:32" ht="12.5" x14ac:dyDescent="0.25">
      <c r="A203" s="1" t="str">
        <f ca="1">IFERROR(__xludf.DUMMYFUNCTION("""COMPUTED_VALUE"""),"MissouriNCAA")</f>
        <v>MissouriNCAA</v>
      </c>
      <c r="B203" s="1">
        <f ca="1">IFERROR(__xludf.DUMMYFUNCTION("""COMPUTED_VALUE"""),34)</f>
        <v>34</v>
      </c>
      <c r="C203" s="1">
        <f ca="1">IFERROR(__xludf.DUMMYFUNCTION("""COMPUTED_VALUE"""),23)</f>
        <v>23</v>
      </c>
      <c r="D203" s="1">
        <f ca="1">IFERROR(__xludf.DUMMYFUNCTION("""COMPUTED_VALUE"""),11)</f>
        <v>11</v>
      </c>
      <c r="E203" s="1">
        <f ca="1">IFERROR(__xludf.DUMMYFUNCTION("""COMPUTED_VALUE"""),0.676)</f>
        <v>0.67600000000000005</v>
      </c>
      <c r="F203" s="1">
        <f ca="1">IFERROR(__xludf.DUMMYFUNCTION("""COMPUTED_VALUE"""),17.39)</f>
        <v>17.39</v>
      </c>
      <c r="G203" s="1">
        <f ca="1">IFERROR(__xludf.DUMMYFUNCTION("""COMPUTED_VALUE"""),6.36)</f>
        <v>6.36</v>
      </c>
      <c r="H203" s="1">
        <f ca="1">IFERROR(__xludf.DUMMYFUNCTION("""COMPUTED_VALUE"""),10)</f>
        <v>10</v>
      </c>
      <c r="I203" s="1">
        <f ca="1">IFERROR(__xludf.DUMMYFUNCTION("""COMPUTED_VALUE"""),6)</f>
        <v>6</v>
      </c>
      <c r="J203" s="1">
        <f ca="1">IFERROR(__xludf.DUMMYFUNCTION("""COMPUTED_VALUE"""),16)</f>
        <v>16</v>
      </c>
      <c r="K203" s="1">
        <f ca="1">IFERROR(__xludf.DUMMYFUNCTION("""COMPUTED_VALUE"""),2)</f>
        <v>2</v>
      </c>
      <c r="L203" s="1">
        <f ca="1">IFERROR(__xludf.DUMMYFUNCTION("""COMPUTED_VALUE"""),4)</f>
        <v>4</v>
      </c>
      <c r="M203" s="1">
        <f ca="1">IFERROR(__xludf.DUMMYFUNCTION("""COMPUTED_VALUE"""),6)</f>
        <v>6</v>
      </c>
      <c r="N203" s="1">
        <f ca="1">IFERROR(__xludf.DUMMYFUNCTION("""COMPUTED_VALUE"""),2627)</f>
        <v>2627</v>
      </c>
      <c r="O203" s="1">
        <f ca="1">IFERROR(__xludf.DUMMYFUNCTION("""COMPUTED_VALUE"""),2252)</f>
        <v>2252</v>
      </c>
      <c r="P203" s="1">
        <f ca="1">IFERROR(__xludf.DUMMYFUNCTION("""COMPUTED_VALUE"""),1370)</f>
        <v>1370</v>
      </c>
      <c r="Q203" s="1">
        <f ca="1">IFERROR(__xludf.DUMMYFUNCTION("""COMPUTED_VALUE"""),926)</f>
        <v>926</v>
      </c>
      <c r="R203" s="1">
        <f ca="1">IFERROR(__xludf.DUMMYFUNCTION("""COMPUTED_VALUE"""),2104)</f>
        <v>2104</v>
      </c>
      <c r="S203" s="1">
        <f ca="1">IFERROR(__xludf.DUMMYFUNCTION("""COMPUTED_VALUE"""),0.44)</f>
        <v>0.44</v>
      </c>
      <c r="T203" s="1">
        <f ca="1">IFERROR(__xludf.DUMMYFUNCTION("""COMPUTED_VALUE"""),258)</f>
        <v>258</v>
      </c>
      <c r="U203" s="1">
        <f ca="1">IFERROR(__xludf.DUMMYFUNCTION("""COMPUTED_VALUE"""),701)</f>
        <v>701</v>
      </c>
      <c r="V203" s="1">
        <f ca="1">IFERROR(__xludf.DUMMYFUNCTION("""COMPUTED_VALUE"""),0.368)</f>
        <v>0.36799999999999999</v>
      </c>
      <c r="W203" s="1">
        <f ca="1">IFERROR(__xludf.DUMMYFUNCTION("""COMPUTED_VALUE"""),517)</f>
        <v>517</v>
      </c>
      <c r="X203" s="1">
        <f ca="1">IFERROR(__xludf.DUMMYFUNCTION("""COMPUTED_VALUE"""),714)</f>
        <v>714</v>
      </c>
      <c r="Y203" s="1">
        <f ca="1">IFERROR(__xludf.DUMMYFUNCTION("""COMPUTED_VALUE"""),0.724)</f>
        <v>0.72399999999999998</v>
      </c>
      <c r="Z203" s="1">
        <f ca="1">IFERROR(__xludf.DUMMYFUNCTION("""COMPUTED_VALUE"""),441)</f>
        <v>441</v>
      </c>
      <c r="AA203" s="1">
        <f ca="1">IFERROR(__xludf.DUMMYFUNCTION("""COMPUTED_VALUE"""),1200)</f>
        <v>1200</v>
      </c>
      <c r="AB203" s="1">
        <f ca="1">IFERROR(__xludf.DUMMYFUNCTION("""COMPUTED_VALUE"""),522)</f>
        <v>522</v>
      </c>
      <c r="AC203" s="1">
        <f ca="1">IFERROR(__xludf.DUMMYFUNCTION("""COMPUTED_VALUE"""),371)</f>
        <v>371</v>
      </c>
      <c r="AD203" s="1">
        <f ca="1">IFERROR(__xludf.DUMMYFUNCTION("""COMPUTED_VALUE"""),160)</f>
        <v>160</v>
      </c>
      <c r="AE203" s="1">
        <f ca="1">IFERROR(__xludf.DUMMYFUNCTION("""COMPUTED_VALUE"""),432)</f>
        <v>432</v>
      </c>
      <c r="AF203" s="1">
        <f ca="1">IFERROR(__xludf.DUMMYFUNCTION("""COMPUTED_VALUE"""),656)</f>
        <v>656</v>
      </c>
    </row>
    <row r="204" spans="1:32" ht="12.5" x14ac:dyDescent="0.25">
      <c r="A204" s="1" t="str">
        <f ca="1">IFERROR(__xludf.DUMMYFUNCTION("""COMPUTED_VALUE"""),"Monmouth")</f>
        <v>Monmouth</v>
      </c>
      <c r="B204" s="1">
        <f ca="1">IFERROR(__xludf.DUMMYFUNCTION("""COMPUTED_VALUE"""),31)</f>
        <v>31</v>
      </c>
      <c r="C204" s="1">
        <f ca="1">IFERROR(__xludf.DUMMYFUNCTION("""COMPUTED_VALUE"""),12)</f>
        <v>12</v>
      </c>
      <c r="D204" s="1">
        <f ca="1">IFERROR(__xludf.DUMMYFUNCTION("""COMPUTED_VALUE"""),19)</f>
        <v>19</v>
      </c>
      <c r="E204" s="1">
        <f ca="1">IFERROR(__xludf.DUMMYFUNCTION("""COMPUTED_VALUE"""),0.387)</f>
        <v>0.38700000000000001</v>
      </c>
      <c r="F204" s="1">
        <f ca="1">IFERROR(__xludf.DUMMYFUNCTION("""COMPUTED_VALUE"""),-11.2)</f>
        <v>-11.2</v>
      </c>
      <c r="G204" s="1">
        <f ca="1">IFERROR(__xludf.DUMMYFUNCTION("""COMPUTED_VALUE"""),-7.82)</f>
        <v>-7.82</v>
      </c>
      <c r="H204" s="1">
        <f ca="1">IFERROR(__xludf.DUMMYFUNCTION("""COMPUTED_VALUE"""),8)</f>
        <v>8</v>
      </c>
      <c r="I204" s="1">
        <f ca="1">IFERROR(__xludf.DUMMYFUNCTION("""COMPUTED_VALUE"""),10)</f>
        <v>10</v>
      </c>
      <c r="J204" s="1">
        <f ca="1">IFERROR(__xludf.DUMMYFUNCTION("""COMPUTED_VALUE"""),8)</f>
        <v>8</v>
      </c>
      <c r="K204" s="1">
        <f ca="1">IFERROR(__xludf.DUMMYFUNCTION("""COMPUTED_VALUE"""),6)</f>
        <v>6</v>
      </c>
      <c r="L204" s="1">
        <f ca="1">IFERROR(__xludf.DUMMYFUNCTION("""COMPUTED_VALUE"""),4)</f>
        <v>4</v>
      </c>
      <c r="M204" s="1">
        <f ca="1">IFERROR(__xludf.DUMMYFUNCTION("""COMPUTED_VALUE"""),11)</f>
        <v>11</v>
      </c>
      <c r="N204" s="1">
        <f ca="1">IFERROR(__xludf.DUMMYFUNCTION("""COMPUTED_VALUE"""),1976)</f>
        <v>1976</v>
      </c>
      <c r="O204" s="1">
        <f ca="1">IFERROR(__xludf.DUMMYFUNCTION("""COMPUTED_VALUE"""),2065)</f>
        <v>2065</v>
      </c>
      <c r="P204" s="1">
        <f ca="1">IFERROR(__xludf.DUMMYFUNCTION("""COMPUTED_VALUE"""),1240)</f>
        <v>1240</v>
      </c>
      <c r="Q204" s="1">
        <f ca="1">IFERROR(__xludf.DUMMYFUNCTION("""COMPUTED_VALUE"""),682)</f>
        <v>682</v>
      </c>
      <c r="R204" s="1">
        <f ca="1">IFERROR(__xludf.DUMMYFUNCTION("""COMPUTED_VALUE"""),1689)</f>
        <v>1689</v>
      </c>
      <c r="S204" s="1">
        <f ca="1">IFERROR(__xludf.DUMMYFUNCTION("""COMPUTED_VALUE"""),0.404)</f>
        <v>0.40400000000000003</v>
      </c>
      <c r="T204" s="1">
        <f ca="1">IFERROR(__xludf.DUMMYFUNCTION("""COMPUTED_VALUE"""),196)</f>
        <v>196</v>
      </c>
      <c r="U204" s="1">
        <f ca="1">IFERROR(__xludf.DUMMYFUNCTION("""COMPUTED_VALUE"""),630)</f>
        <v>630</v>
      </c>
      <c r="V204" s="1">
        <f ca="1">IFERROR(__xludf.DUMMYFUNCTION("""COMPUTED_VALUE"""),0.311)</f>
        <v>0.311</v>
      </c>
      <c r="W204" s="1">
        <f ca="1">IFERROR(__xludf.DUMMYFUNCTION("""COMPUTED_VALUE"""),416)</f>
        <v>416</v>
      </c>
      <c r="X204" s="1">
        <f ca="1">IFERROR(__xludf.DUMMYFUNCTION("""COMPUTED_VALUE"""),607)</f>
        <v>607</v>
      </c>
      <c r="Y204" s="1">
        <f ca="1">IFERROR(__xludf.DUMMYFUNCTION("""COMPUTED_VALUE"""),0.685)</f>
        <v>0.68500000000000005</v>
      </c>
      <c r="Z204" s="1">
        <f ca="1">IFERROR(__xludf.DUMMYFUNCTION("""COMPUTED_VALUE"""),341)</f>
        <v>341</v>
      </c>
      <c r="AA204" s="1">
        <f ca="1">IFERROR(__xludf.DUMMYFUNCTION("""COMPUTED_VALUE"""),1038)</f>
        <v>1038</v>
      </c>
      <c r="AB204" s="1">
        <f ca="1">IFERROR(__xludf.DUMMYFUNCTION("""COMPUTED_VALUE"""),405)</f>
        <v>405</v>
      </c>
      <c r="AC204" s="1">
        <f ca="1">IFERROR(__xludf.DUMMYFUNCTION("""COMPUTED_VALUE"""),226)</f>
        <v>226</v>
      </c>
      <c r="AD204" s="1">
        <f ca="1">IFERROR(__xludf.DUMMYFUNCTION("""COMPUTED_VALUE"""),69)</f>
        <v>69</v>
      </c>
      <c r="AE204" s="1">
        <f ca="1">IFERROR(__xludf.DUMMYFUNCTION("""COMPUTED_VALUE"""),447)</f>
        <v>447</v>
      </c>
      <c r="AF204" s="1">
        <f ca="1">IFERROR(__xludf.DUMMYFUNCTION("""COMPUTED_VALUE"""),565)</f>
        <v>565</v>
      </c>
    </row>
    <row r="205" spans="1:32" ht="12.5" x14ac:dyDescent="0.25">
      <c r="A205" s="1" t="str">
        <f ca="1">IFERROR(__xludf.DUMMYFUNCTION("""COMPUTED_VALUE"""),"Montana State")</f>
        <v>Montana State</v>
      </c>
      <c r="B205" s="1">
        <f ca="1">IFERROR(__xludf.DUMMYFUNCTION("""COMPUTED_VALUE"""),29)</f>
        <v>29</v>
      </c>
      <c r="C205" s="1">
        <f ca="1">IFERROR(__xludf.DUMMYFUNCTION("""COMPUTED_VALUE"""),15)</f>
        <v>15</v>
      </c>
      <c r="D205" s="1">
        <f ca="1">IFERROR(__xludf.DUMMYFUNCTION("""COMPUTED_VALUE"""),14)</f>
        <v>14</v>
      </c>
      <c r="E205" s="1">
        <f ca="1">IFERROR(__xludf.DUMMYFUNCTION("""COMPUTED_VALUE"""),0.517)</f>
        <v>0.51700000000000002</v>
      </c>
      <c r="F205" s="1">
        <f ca="1">IFERROR(__xludf.DUMMYFUNCTION("""COMPUTED_VALUE"""),-3.18)</f>
        <v>-3.18</v>
      </c>
      <c r="G205" s="1">
        <f ca="1">IFERROR(__xludf.DUMMYFUNCTION("""COMPUTED_VALUE"""),-2.45)</f>
        <v>-2.4500000000000002</v>
      </c>
      <c r="H205" s="1">
        <f ca="1">IFERROR(__xludf.DUMMYFUNCTION("""COMPUTED_VALUE"""),10)</f>
        <v>10</v>
      </c>
      <c r="I205" s="1">
        <f ca="1">IFERROR(__xludf.DUMMYFUNCTION("""COMPUTED_VALUE"""),6)</f>
        <v>6</v>
      </c>
      <c r="J205" s="1">
        <f ca="1">IFERROR(__xludf.DUMMYFUNCTION("""COMPUTED_VALUE"""),9)</f>
        <v>9</v>
      </c>
      <c r="K205" s="1">
        <f ca="1">IFERROR(__xludf.DUMMYFUNCTION("""COMPUTED_VALUE"""),5)</f>
        <v>5</v>
      </c>
      <c r="L205" s="1">
        <f ca="1">IFERROR(__xludf.DUMMYFUNCTION("""COMPUTED_VALUE"""),6)</f>
        <v>6</v>
      </c>
      <c r="M205" s="1">
        <f ca="1">IFERROR(__xludf.DUMMYFUNCTION("""COMPUTED_VALUE"""),9)</f>
        <v>9</v>
      </c>
      <c r="N205" s="1">
        <f ca="1">IFERROR(__xludf.DUMMYFUNCTION("""COMPUTED_VALUE"""),1992)</f>
        <v>1992</v>
      </c>
      <c r="O205" s="1">
        <f ca="1">IFERROR(__xludf.DUMMYFUNCTION("""COMPUTED_VALUE"""),1962)</f>
        <v>1962</v>
      </c>
      <c r="P205" s="1">
        <f ca="1">IFERROR(__xludf.DUMMYFUNCTION("""COMPUTED_VALUE"""),1200)</f>
        <v>1200</v>
      </c>
      <c r="Q205" s="1">
        <f ca="1">IFERROR(__xludf.DUMMYFUNCTION("""COMPUTED_VALUE"""),689)</f>
        <v>689</v>
      </c>
      <c r="R205" s="1">
        <f ca="1">IFERROR(__xludf.DUMMYFUNCTION("""COMPUTED_VALUE"""),1548)</f>
        <v>1548</v>
      </c>
      <c r="S205" s="1">
        <f ca="1">IFERROR(__xludf.DUMMYFUNCTION("""COMPUTED_VALUE"""),0.445)</f>
        <v>0.44500000000000001</v>
      </c>
      <c r="T205" s="1">
        <f ca="1">IFERROR(__xludf.DUMMYFUNCTION("""COMPUTED_VALUE"""),212)</f>
        <v>212</v>
      </c>
      <c r="U205" s="1">
        <f ca="1">IFERROR(__xludf.DUMMYFUNCTION("""COMPUTED_VALUE"""),585)</f>
        <v>585</v>
      </c>
      <c r="V205" s="1">
        <f ca="1">IFERROR(__xludf.DUMMYFUNCTION("""COMPUTED_VALUE"""),0.362)</f>
        <v>0.36199999999999999</v>
      </c>
      <c r="W205" s="1">
        <f ca="1">IFERROR(__xludf.DUMMYFUNCTION("""COMPUTED_VALUE"""),402)</f>
        <v>402</v>
      </c>
      <c r="X205" s="1">
        <f ca="1">IFERROR(__xludf.DUMMYFUNCTION("""COMPUTED_VALUE"""),584)</f>
        <v>584</v>
      </c>
      <c r="Y205" s="1">
        <f ca="1">IFERROR(__xludf.DUMMYFUNCTION("""COMPUTED_VALUE"""),0.688)</f>
        <v>0.68799999999999994</v>
      </c>
      <c r="Z205" s="1">
        <f ca="1">IFERROR(__xludf.DUMMYFUNCTION("""COMPUTED_VALUE"""),266)</f>
        <v>266</v>
      </c>
      <c r="AA205" s="1">
        <f ca="1">IFERROR(__xludf.DUMMYFUNCTION("""COMPUTED_VALUE"""),912)</f>
        <v>912</v>
      </c>
      <c r="AB205" s="1">
        <f ca="1">IFERROR(__xludf.DUMMYFUNCTION("""COMPUTED_VALUE"""),365)</f>
        <v>365</v>
      </c>
      <c r="AC205" s="1">
        <f ca="1">IFERROR(__xludf.DUMMYFUNCTION("""COMPUTED_VALUE"""),180)</f>
        <v>180</v>
      </c>
      <c r="AD205" s="1">
        <f ca="1">IFERROR(__xludf.DUMMYFUNCTION("""COMPUTED_VALUE"""),89)</f>
        <v>89</v>
      </c>
      <c r="AE205" s="1">
        <f ca="1">IFERROR(__xludf.DUMMYFUNCTION("""COMPUTED_VALUE"""),331)</f>
        <v>331</v>
      </c>
      <c r="AF205" s="1">
        <f ca="1">IFERROR(__xludf.DUMMYFUNCTION("""COMPUTED_VALUE"""),516)</f>
        <v>516</v>
      </c>
    </row>
    <row r="206" spans="1:32" ht="12.5" x14ac:dyDescent="0.25">
      <c r="A206" s="1" t="str">
        <f ca="1">IFERROR(__xludf.DUMMYFUNCTION("""COMPUTED_VALUE"""),"MontanaNCAA")</f>
        <v>MontanaNCAA</v>
      </c>
      <c r="B206" s="1">
        <f ca="1">IFERROR(__xludf.DUMMYFUNCTION("""COMPUTED_VALUE"""),32)</f>
        <v>32</v>
      </c>
      <c r="C206" s="1">
        <f ca="1">IFERROR(__xludf.DUMMYFUNCTION("""COMPUTED_VALUE"""),22)</f>
        <v>22</v>
      </c>
      <c r="D206" s="1">
        <f ca="1">IFERROR(__xludf.DUMMYFUNCTION("""COMPUTED_VALUE"""),10)</f>
        <v>10</v>
      </c>
      <c r="E206" s="1">
        <f ca="1">IFERROR(__xludf.DUMMYFUNCTION("""COMPUTED_VALUE"""),0.688)</f>
        <v>0.68799999999999994</v>
      </c>
      <c r="F206" s="1">
        <f ca="1">IFERROR(__xludf.DUMMYFUNCTION("""COMPUTED_VALUE"""),3.93)</f>
        <v>3.93</v>
      </c>
      <c r="G206" s="1">
        <f ca="1">IFERROR(__xludf.DUMMYFUNCTION("""COMPUTED_VALUE"""),-2.35)</f>
        <v>-2.35</v>
      </c>
      <c r="H206" s="1">
        <f ca="1">IFERROR(__xludf.DUMMYFUNCTION("""COMPUTED_VALUE"""),10)</f>
        <v>10</v>
      </c>
      <c r="I206" s="1">
        <f ca="1">IFERROR(__xludf.DUMMYFUNCTION("""COMPUTED_VALUE"""),6)</f>
        <v>6</v>
      </c>
      <c r="J206" s="1">
        <f ca="1">IFERROR(__xludf.DUMMYFUNCTION("""COMPUTED_VALUE"""),14)</f>
        <v>14</v>
      </c>
      <c r="K206" s="1">
        <f ca="1">IFERROR(__xludf.DUMMYFUNCTION("""COMPUTED_VALUE"""),2)</f>
        <v>2</v>
      </c>
      <c r="L206" s="1">
        <f ca="1">IFERROR(__xludf.DUMMYFUNCTION("""COMPUTED_VALUE"""),7)</f>
        <v>7</v>
      </c>
      <c r="M206" s="1">
        <f ca="1">IFERROR(__xludf.DUMMYFUNCTION("""COMPUTED_VALUE"""),7)</f>
        <v>7</v>
      </c>
      <c r="N206" s="1">
        <f ca="1">IFERROR(__xludf.DUMMYFUNCTION("""COMPUTED_VALUE"""),2228)</f>
        <v>2228</v>
      </c>
      <c r="O206" s="1">
        <f ca="1">IFERROR(__xludf.DUMMYFUNCTION("""COMPUTED_VALUE"""),1960)</f>
        <v>1960</v>
      </c>
      <c r="P206" s="1">
        <f ca="1">IFERROR(__xludf.DUMMYFUNCTION("""COMPUTED_VALUE"""),1280)</f>
        <v>1280</v>
      </c>
      <c r="Q206" s="1">
        <f ca="1">IFERROR(__xludf.DUMMYFUNCTION("""COMPUTED_VALUE"""),791)</f>
        <v>791</v>
      </c>
      <c r="R206" s="1">
        <f ca="1">IFERROR(__xludf.DUMMYFUNCTION("""COMPUTED_VALUE"""),1636)</f>
        <v>1636</v>
      </c>
      <c r="S206" s="1">
        <f ca="1">IFERROR(__xludf.DUMMYFUNCTION("""COMPUTED_VALUE"""),0.483)</f>
        <v>0.48299999999999998</v>
      </c>
      <c r="T206" s="1">
        <f ca="1">IFERROR(__xludf.DUMMYFUNCTION("""COMPUTED_VALUE"""),210)</f>
        <v>210</v>
      </c>
      <c r="U206" s="1">
        <f ca="1">IFERROR(__xludf.DUMMYFUNCTION("""COMPUTED_VALUE"""),526)</f>
        <v>526</v>
      </c>
      <c r="V206" s="1">
        <f ca="1">IFERROR(__xludf.DUMMYFUNCTION("""COMPUTED_VALUE"""),0.399)</f>
        <v>0.39900000000000002</v>
      </c>
      <c r="W206" s="1">
        <f ca="1">IFERROR(__xludf.DUMMYFUNCTION("""COMPUTED_VALUE"""),436)</f>
        <v>436</v>
      </c>
      <c r="X206" s="1">
        <f ca="1">IFERROR(__xludf.DUMMYFUNCTION("""COMPUTED_VALUE"""),603)</f>
        <v>603</v>
      </c>
      <c r="Y206" s="1">
        <f ca="1">IFERROR(__xludf.DUMMYFUNCTION("""COMPUTED_VALUE"""),0.723)</f>
        <v>0.72299999999999998</v>
      </c>
      <c r="Z206" s="1">
        <f ca="1">IFERROR(__xludf.DUMMYFUNCTION("""COMPUTED_VALUE"""),283)</f>
        <v>283</v>
      </c>
      <c r="AA206" s="1">
        <f ca="1">IFERROR(__xludf.DUMMYFUNCTION("""COMPUTED_VALUE"""),1048)</f>
        <v>1048</v>
      </c>
      <c r="AB206" s="1">
        <f ca="1">IFERROR(__xludf.DUMMYFUNCTION("""COMPUTED_VALUE"""),396)</f>
        <v>396</v>
      </c>
      <c r="AC206" s="1">
        <f ca="1">IFERROR(__xludf.DUMMYFUNCTION("""COMPUTED_VALUE"""),206)</f>
        <v>206</v>
      </c>
      <c r="AD206" s="1">
        <f ca="1">IFERROR(__xludf.DUMMYFUNCTION("""COMPUTED_VALUE"""),106)</f>
        <v>106</v>
      </c>
      <c r="AE206" s="1">
        <f ca="1">IFERROR(__xludf.DUMMYFUNCTION("""COMPUTED_VALUE"""),390)</f>
        <v>390</v>
      </c>
      <c r="AF206" s="1">
        <f ca="1">IFERROR(__xludf.DUMMYFUNCTION("""COMPUTED_VALUE"""),571)</f>
        <v>571</v>
      </c>
    </row>
    <row r="207" spans="1:32" ht="12.5" x14ac:dyDescent="0.25">
      <c r="A207" s="1" t="str">
        <f ca="1">IFERROR(__xludf.DUMMYFUNCTION("""COMPUTED_VALUE"""),"Morehead State")</f>
        <v>Morehead State</v>
      </c>
      <c r="B207" s="1">
        <f ca="1">IFERROR(__xludf.DUMMYFUNCTION("""COMPUTED_VALUE"""),35)</f>
        <v>35</v>
      </c>
      <c r="C207" s="1">
        <f ca="1">IFERROR(__xludf.DUMMYFUNCTION("""COMPUTED_VALUE"""),24)</f>
        <v>24</v>
      </c>
      <c r="D207" s="1">
        <f ca="1">IFERROR(__xludf.DUMMYFUNCTION("""COMPUTED_VALUE"""),11)</f>
        <v>11</v>
      </c>
      <c r="E207" s="1">
        <f ca="1">IFERROR(__xludf.DUMMYFUNCTION("""COMPUTED_VALUE"""),0.686)</f>
        <v>0.68600000000000005</v>
      </c>
      <c r="F207" s="1">
        <f ca="1">IFERROR(__xludf.DUMMYFUNCTION("""COMPUTED_VALUE"""),3.51)</f>
        <v>3.51</v>
      </c>
      <c r="G207" s="1">
        <f ca="1">IFERROR(__xludf.DUMMYFUNCTION("""COMPUTED_VALUE"""),-3.07)</f>
        <v>-3.07</v>
      </c>
      <c r="H207" s="1">
        <f ca="1">IFERROR(__xludf.DUMMYFUNCTION("""COMPUTED_VALUE"""),15)</f>
        <v>15</v>
      </c>
      <c r="I207" s="1">
        <f ca="1">IFERROR(__xludf.DUMMYFUNCTION("""COMPUTED_VALUE"""),3)</f>
        <v>3</v>
      </c>
      <c r="J207" s="1">
        <f ca="1">IFERROR(__xludf.DUMMYFUNCTION("""COMPUTED_VALUE"""),15)</f>
        <v>15</v>
      </c>
      <c r="K207" s="1">
        <f ca="1">IFERROR(__xludf.DUMMYFUNCTION("""COMPUTED_VALUE"""),2)</f>
        <v>2</v>
      </c>
      <c r="L207" s="1">
        <f ca="1">IFERROR(__xludf.DUMMYFUNCTION("""COMPUTED_VALUE"""),7)</f>
        <v>7</v>
      </c>
      <c r="M207" s="1">
        <f ca="1">IFERROR(__xludf.DUMMYFUNCTION("""COMPUTED_VALUE"""),7)</f>
        <v>7</v>
      </c>
      <c r="N207" s="1">
        <f ca="1">IFERROR(__xludf.DUMMYFUNCTION("""COMPUTED_VALUE"""),2505)</f>
        <v>2505</v>
      </c>
      <c r="O207" s="1">
        <f ca="1">IFERROR(__xludf.DUMMYFUNCTION("""COMPUTED_VALUE"""),2216)</f>
        <v>2216</v>
      </c>
      <c r="P207" s="1">
        <f ca="1">IFERROR(__xludf.DUMMYFUNCTION("""COMPUTED_VALUE"""),1410)</f>
        <v>1410</v>
      </c>
      <c r="Q207" s="1">
        <f ca="1">IFERROR(__xludf.DUMMYFUNCTION("""COMPUTED_VALUE"""),880)</f>
        <v>880</v>
      </c>
      <c r="R207" s="1">
        <f ca="1">IFERROR(__xludf.DUMMYFUNCTION("""COMPUTED_VALUE"""),1963)</f>
        <v>1963</v>
      </c>
      <c r="S207" s="1">
        <f ca="1">IFERROR(__xludf.DUMMYFUNCTION("""COMPUTED_VALUE"""),0.448)</f>
        <v>0.44800000000000001</v>
      </c>
      <c r="T207" s="1">
        <f ca="1">IFERROR(__xludf.DUMMYFUNCTION("""COMPUTED_VALUE"""),258)</f>
        <v>258</v>
      </c>
      <c r="U207" s="1">
        <f ca="1">IFERROR(__xludf.DUMMYFUNCTION("""COMPUTED_VALUE"""),672)</f>
        <v>672</v>
      </c>
      <c r="V207" s="1">
        <f ca="1">IFERROR(__xludf.DUMMYFUNCTION("""COMPUTED_VALUE"""),0.384)</f>
        <v>0.38400000000000001</v>
      </c>
      <c r="W207" s="1">
        <f ca="1">IFERROR(__xludf.DUMMYFUNCTION("""COMPUTED_VALUE"""),487)</f>
        <v>487</v>
      </c>
      <c r="X207" s="1">
        <f ca="1">IFERROR(__xludf.DUMMYFUNCTION("""COMPUTED_VALUE"""),710)</f>
        <v>710</v>
      </c>
      <c r="Y207" s="1">
        <f ca="1">IFERROR(__xludf.DUMMYFUNCTION("""COMPUTED_VALUE"""),0.686)</f>
        <v>0.68600000000000005</v>
      </c>
      <c r="Z207" s="1">
        <f ca="1">IFERROR(__xludf.DUMMYFUNCTION("""COMPUTED_VALUE"""),491)</f>
        <v>491</v>
      </c>
      <c r="AA207" s="1">
        <f ca="1">IFERROR(__xludf.DUMMYFUNCTION("""COMPUTED_VALUE"""),1301)</f>
        <v>1301</v>
      </c>
      <c r="AB207" s="1">
        <f ca="1">IFERROR(__xludf.DUMMYFUNCTION("""COMPUTED_VALUE"""),502)</f>
        <v>502</v>
      </c>
      <c r="AC207" s="1">
        <f ca="1">IFERROR(__xludf.DUMMYFUNCTION("""COMPUTED_VALUE"""),314)</f>
        <v>314</v>
      </c>
      <c r="AD207" s="1">
        <f ca="1">IFERROR(__xludf.DUMMYFUNCTION("""COMPUTED_VALUE"""),118)</f>
        <v>118</v>
      </c>
      <c r="AE207" s="1">
        <f ca="1">IFERROR(__xludf.DUMMYFUNCTION("""COMPUTED_VALUE"""),521)</f>
        <v>521</v>
      </c>
      <c r="AF207" s="1">
        <f ca="1">IFERROR(__xludf.DUMMYFUNCTION("""COMPUTED_VALUE"""),691)</f>
        <v>691</v>
      </c>
    </row>
    <row r="208" spans="1:32" ht="12.5" x14ac:dyDescent="0.25">
      <c r="A208" s="1" t="str">
        <f ca="1">IFERROR(__xludf.DUMMYFUNCTION("""COMPUTED_VALUE"""),"Morgan StateNCAA")</f>
        <v>Morgan StateNCAA</v>
      </c>
      <c r="B208" s="1">
        <f ca="1">IFERROR(__xludf.DUMMYFUNCTION("""COMPUTED_VALUE"""),37)</f>
        <v>37</v>
      </c>
      <c r="C208" s="1">
        <f ca="1">IFERROR(__xludf.DUMMYFUNCTION("""COMPUTED_VALUE"""),27)</f>
        <v>27</v>
      </c>
      <c r="D208" s="1">
        <f ca="1">IFERROR(__xludf.DUMMYFUNCTION("""COMPUTED_VALUE"""),10)</f>
        <v>10</v>
      </c>
      <c r="E208" s="1">
        <f ca="1">IFERROR(__xludf.DUMMYFUNCTION("""COMPUTED_VALUE"""),0.73)</f>
        <v>0.73</v>
      </c>
      <c r="F208" s="1">
        <f ca="1">IFERROR(__xludf.DUMMYFUNCTION("""COMPUTED_VALUE"""),-1.18)</f>
        <v>-1.18</v>
      </c>
      <c r="G208" s="1">
        <f ca="1">IFERROR(__xludf.DUMMYFUNCTION("""COMPUTED_VALUE"""),-6.15)</f>
        <v>-6.15</v>
      </c>
      <c r="H208" s="1">
        <f ca="1">IFERROR(__xludf.DUMMYFUNCTION("""COMPUTED_VALUE"""),15)</f>
        <v>15</v>
      </c>
      <c r="I208" s="1">
        <f ca="1">IFERROR(__xludf.DUMMYFUNCTION("""COMPUTED_VALUE"""),1)</f>
        <v>1</v>
      </c>
      <c r="J208" s="1">
        <f ca="1">IFERROR(__xludf.DUMMYFUNCTION("""COMPUTED_VALUE"""),11)</f>
        <v>11</v>
      </c>
      <c r="K208" s="1">
        <f ca="1">IFERROR(__xludf.DUMMYFUNCTION("""COMPUTED_VALUE"""),1)</f>
        <v>1</v>
      </c>
      <c r="L208" s="1">
        <f ca="1">IFERROR(__xludf.DUMMYFUNCTION("""COMPUTED_VALUE"""),12)</f>
        <v>12</v>
      </c>
      <c r="M208" s="1">
        <f ca="1">IFERROR(__xludf.DUMMYFUNCTION("""COMPUTED_VALUE"""),7)</f>
        <v>7</v>
      </c>
      <c r="N208" s="1">
        <f ca="1">IFERROR(__xludf.DUMMYFUNCTION("""COMPUTED_VALUE"""),2813)</f>
        <v>2813</v>
      </c>
      <c r="O208" s="1">
        <f ca="1">IFERROR(__xludf.DUMMYFUNCTION("""COMPUTED_VALUE"""),2606)</f>
        <v>2606</v>
      </c>
      <c r="P208" s="1">
        <f ca="1">IFERROR(__xludf.DUMMYFUNCTION("""COMPUTED_VALUE"""),1500)</f>
        <v>1500</v>
      </c>
      <c r="Q208" s="1">
        <f ca="1">IFERROR(__xludf.DUMMYFUNCTION("""COMPUTED_VALUE"""),960)</f>
        <v>960</v>
      </c>
      <c r="R208" s="1">
        <f ca="1">IFERROR(__xludf.DUMMYFUNCTION("""COMPUTED_VALUE"""),2239)</f>
        <v>2239</v>
      </c>
      <c r="S208" s="1">
        <f ca="1">IFERROR(__xludf.DUMMYFUNCTION("""COMPUTED_VALUE"""),0.429)</f>
        <v>0.42899999999999999</v>
      </c>
      <c r="T208" s="1">
        <f ca="1">IFERROR(__xludf.DUMMYFUNCTION("""COMPUTED_VALUE"""),205)</f>
        <v>205</v>
      </c>
      <c r="U208" s="1">
        <f ca="1">IFERROR(__xludf.DUMMYFUNCTION("""COMPUTED_VALUE"""),617)</f>
        <v>617</v>
      </c>
      <c r="V208" s="1">
        <f ca="1">IFERROR(__xludf.DUMMYFUNCTION("""COMPUTED_VALUE"""),0.332)</f>
        <v>0.33200000000000002</v>
      </c>
      <c r="W208" s="1">
        <f ca="1">IFERROR(__xludf.DUMMYFUNCTION("""COMPUTED_VALUE"""),688)</f>
        <v>688</v>
      </c>
      <c r="X208" s="1">
        <f ca="1">IFERROR(__xludf.DUMMYFUNCTION("""COMPUTED_VALUE"""),983)</f>
        <v>983</v>
      </c>
      <c r="Y208" s="1">
        <f ca="1">IFERROR(__xludf.DUMMYFUNCTION("""COMPUTED_VALUE"""),0.7)</f>
        <v>0.7</v>
      </c>
      <c r="Z208" s="1">
        <f ca="1">IFERROR(__xludf.DUMMYFUNCTION("""COMPUTED_VALUE"""),568)</f>
        <v>568</v>
      </c>
      <c r="AA208" s="1">
        <f ca="1">IFERROR(__xludf.DUMMYFUNCTION("""COMPUTED_VALUE"""),1488)</f>
        <v>1488</v>
      </c>
      <c r="AB208" s="1">
        <f ca="1">IFERROR(__xludf.DUMMYFUNCTION("""COMPUTED_VALUE"""),461)</f>
        <v>461</v>
      </c>
      <c r="AC208" s="1">
        <f ca="1">IFERROR(__xludf.DUMMYFUNCTION("""COMPUTED_VALUE"""),243)</f>
        <v>243</v>
      </c>
      <c r="AD208" s="1">
        <f ca="1">IFERROR(__xludf.DUMMYFUNCTION("""COMPUTED_VALUE"""),152)</f>
        <v>152</v>
      </c>
      <c r="AE208" s="1">
        <f ca="1">IFERROR(__xludf.DUMMYFUNCTION("""COMPUTED_VALUE"""),499)</f>
        <v>499</v>
      </c>
      <c r="AF208" s="1">
        <f ca="1">IFERROR(__xludf.DUMMYFUNCTION("""COMPUTED_VALUE"""),782)</f>
        <v>782</v>
      </c>
    </row>
    <row r="209" spans="1:32" ht="12.5" x14ac:dyDescent="0.25">
      <c r="A209" s="1" t="str">
        <f ca="1">IFERROR(__xludf.DUMMYFUNCTION("""COMPUTED_VALUE"""),"Mount St. Mary's")</f>
        <v>Mount St. Mary's</v>
      </c>
      <c r="B209" s="1">
        <f ca="1">IFERROR(__xludf.DUMMYFUNCTION("""COMPUTED_VALUE"""),31)</f>
        <v>31</v>
      </c>
      <c r="C209" s="1">
        <f ca="1">IFERROR(__xludf.DUMMYFUNCTION("""COMPUTED_VALUE"""),16)</f>
        <v>16</v>
      </c>
      <c r="D209" s="1">
        <f ca="1">IFERROR(__xludf.DUMMYFUNCTION("""COMPUTED_VALUE"""),15)</f>
        <v>15</v>
      </c>
      <c r="E209" s="1">
        <f ca="1">IFERROR(__xludf.DUMMYFUNCTION("""COMPUTED_VALUE"""),0.516)</f>
        <v>0.51600000000000001</v>
      </c>
      <c r="F209" s="1">
        <f ca="1">IFERROR(__xludf.DUMMYFUNCTION("""COMPUTED_VALUE"""),-4.38)</f>
        <v>-4.38</v>
      </c>
      <c r="G209" s="1">
        <f ca="1">IFERROR(__xludf.DUMMYFUNCTION("""COMPUTED_VALUE"""),-6.28)</f>
        <v>-6.28</v>
      </c>
      <c r="H209" s="1">
        <f ca="1">IFERROR(__xludf.DUMMYFUNCTION("""COMPUTED_VALUE"""),12)</f>
        <v>12</v>
      </c>
      <c r="I209" s="1">
        <f ca="1">IFERROR(__xludf.DUMMYFUNCTION("""COMPUTED_VALUE"""),6)</f>
        <v>6</v>
      </c>
      <c r="J209" s="1">
        <f ca="1">IFERROR(__xludf.DUMMYFUNCTION("""COMPUTED_VALUE"""),10)</f>
        <v>10</v>
      </c>
      <c r="K209" s="1">
        <f ca="1">IFERROR(__xludf.DUMMYFUNCTION("""COMPUTED_VALUE"""),3)</f>
        <v>3</v>
      </c>
      <c r="L209" s="1">
        <f ca="1">IFERROR(__xludf.DUMMYFUNCTION("""COMPUTED_VALUE"""),6)</f>
        <v>6</v>
      </c>
      <c r="M209" s="1">
        <f ca="1">IFERROR(__xludf.DUMMYFUNCTION("""COMPUTED_VALUE"""),12)</f>
        <v>12</v>
      </c>
      <c r="N209" s="1">
        <f ca="1">IFERROR(__xludf.DUMMYFUNCTION("""COMPUTED_VALUE"""),2045)</f>
        <v>2045</v>
      </c>
      <c r="O209" s="1">
        <f ca="1">IFERROR(__xludf.DUMMYFUNCTION("""COMPUTED_VALUE"""),1959)</f>
        <v>1959</v>
      </c>
      <c r="P209" s="1">
        <f ca="1">IFERROR(__xludf.DUMMYFUNCTION("""COMPUTED_VALUE"""),1250)</f>
        <v>1250</v>
      </c>
      <c r="Q209" s="1">
        <f ca="1">IFERROR(__xludf.DUMMYFUNCTION("""COMPUTED_VALUE"""),714)</f>
        <v>714</v>
      </c>
      <c r="R209" s="1">
        <f ca="1">IFERROR(__xludf.DUMMYFUNCTION("""COMPUTED_VALUE"""),1692)</f>
        <v>1692</v>
      </c>
      <c r="S209" s="1">
        <f ca="1">IFERROR(__xludf.DUMMYFUNCTION("""COMPUTED_VALUE"""),0.422)</f>
        <v>0.42199999999999999</v>
      </c>
      <c r="T209" s="1">
        <f ca="1">IFERROR(__xludf.DUMMYFUNCTION("""COMPUTED_VALUE"""),183)</f>
        <v>183</v>
      </c>
      <c r="U209" s="1">
        <f ca="1">IFERROR(__xludf.DUMMYFUNCTION("""COMPUTED_VALUE"""),523)</f>
        <v>523</v>
      </c>
      <c r="V209" s="1">
        <f ca="1">IFERROR(__xludf.DUMMYFUNCTION("""COMPUTED_VALUE"""),0.35)</f>
        <v>0.35</v>
      </c>
      <c r="W209" s="1">
        <f ca="1">IFERROR(__xludf.DUMMYFUNCTION("""COMPUTED_VALUE"""),434)</f>
        <v>434</v>
      </c>
      <c r="X209" s="1">
        <f ca="1">IFERROR(__xludf.DUMMYFUNCTION("""COMPUTED_VALUE"""),681)</f>
        <v>681</v>
      </c>
      <c r="Y209" s="1">
        <f ca="1">IFERROR(__xludf.DUMMYFUNCTION("""COMPUTED_VALUE"""),0.637)</f>
        <v>0.63700000000000001</v>
      </c>
      <c r="Z209" s="1">
        <f ca="1">IFERROR(__xludf.DUMMYFUNCTION("""COMPUTED_VALUE"""),341)</f>
        <v>341</v>
      </c>
      <c r="AA209" s="1">
        <f ca="1">IFERROR(__xludf.DUMMYFUNCTION("""COMPUTED_VALUE"""),1082)</f>
        <v>1082</v>
      </c>
      <c r="AB209" s="1">
        <f ca="1">IFERROR(__xludf.DUMMYFUNCTION("""COMPUTED_VALUE"""),352)</f>
        <v>352</v>
      </c>
      <c r="AC209" s="1">
        <f ca="1">IFERROR(__xludf.DUMMYFUNCTION("""COMPUTED_VALUE"""),235)</f>
        <v>235</v>
      </c>
      <c r="AD209" s="1">
        <f ca="1">IFERROR(__xludf.DUMMYFUNCTION("""COMPUTED_VALUE"""),143)</f>
        <v>143</v>
      </c>
      <c r="AE209" s="1">
        <f ca="1">IFERROR(__xludf.DUMMYFUNCTION("""COMPUTED_VALUE"""),415)</f>
        <v>415</v>
      </c>
      <c r="AF209" s="1">
        <f ca="1">IFERROR(__xludf.DUMMYFUNCTION("""COMPUTED_VALUE"""),543)</f>
        <v>543</v>
      </c>
    </row>
    <row r="210" spans="1:32" ht="12.5" x14ac:dyDescent="0.25">
      <c r="A210" s="1" t="str">
        <f ca="1">IFERROR(__xludf.DUMMYFUNCTION("""COMPUTED_VALUE"""),"Murray StateNCAA")</f>
        <v>Murray StateNCAA</v>
      </c>
      <c r="B210" s="1">
        <f ca="1">IFERROR(__xludf.DUMMYFUNCTION("""COMPUTED_VALUE"""),36)</f>
        <v>36</v>
      </c>
      <c r="C210" s="1">
        <f ca="1">IFERROR(__xludf.DUMMYFUNCTION("""COMPUTED_VALUE"""),31)</f>
        <v>31</v>
      </c>
      <c r="D210" s="1">
        <f ca="1">IFERROR(__xludf.DUMMYFUNCTION("""COMPUTED_VALUE"""),5)</f>
        <v>5</v>
      </c>
      <c r="E210" s="1">
        <f ca="1">IFERROR(__xludf.DUMMYFUNCTION("""COMPUTED_VALUE"""),0.861)</f>
        <v>0.86099999999999999</v>
      </c>
      <c r="F210" s="1">
        <f ca="1">IFERROR(__xludf.DUMMYFUNCTION("""COMPUTED_VALUE"""),8.69)</f>
        <v>8.69</v>
      </c>
      <c r="G210" s="1">
        <f ca="1">IFERROR(__xludf.DUMMYFUNCTION("""COMPUTED_VALUE"""),-3.89)</f>
        <v>-3.89</v>
      </c>
      <c r="H210" s="1">
        <f ca="1">IFERROR(__xludf.DUMMYFUNCTION("""COMPUTED_VALUE"""),17)</f>
        <v>17</v>
      </c>
      <c r="I210" s="1">
        <f ca="1">IFERROR(__xludf.DUMMYFUNCTION("""COMPUTED_VALUE"""),1)</f>
        <v>1</v>
      </c>
      <c r="J210" s="1">
        <f ca="1">IFERROR(__xludf.DUMMYFUNCTION("""COMPUTED_VALUE"""),15)</f>
        <v>15</v>
      </c>
      <c r="K210" s="1">
        <f ca="1">IFERROR(__xludf.DUMMYFUNCTION("""COMPUTED_VALUE"""),0)</f>
        <v>0</v>
      </c>
      <c r="L210" s="1">
        <f ca="1">IFERROR(__xludf.DUMMYFUNCTION("""COMPUTED_VALUE"""),11)</f>
        <v>11</v>
      </c>
      <c r="M210" s="1">
        <f ca="1">IFERROR(__xludf.DUMMYFUNCTION("""COMPUTED_VALUE"""),4)</f>
        <v>4</v>
      </c>
      <c r="N210" s="1">
        <f ca="1">IFERROR(__xludf.DUMMYFUNCTION("""COMPUTED_VALUE"""),2753)</f>
        <v>2753</v>
      </c>
      <c r="O210" s="1">
        <f ca="1">IFERROR(__xludf.DUMMYFUNCTION("""COMPUTED_VALUE"""),2175)</f>
        <v>2175</v>
      </c>
      <c r="P210" s="1">
        <f ca="1">IFERROR(__xludf.DUMMYFUNCTION("""COMPUTED_VALUE"""),1440)</f>
        <v>1440</v>
      </c>
      <c r="Q210" s="1">
        <f ca="1">IFERROR(__xludf.DUMMYFUNCTION("""COMPUTED_VALUE"""),978)</f>
        <v>978</v>
      </c>
      <c r="R210" s="1">
        <f ca="1">IFERROR(__xludf.DUMMYFUNCTION("""COMPUTED_VALUE"""),1961)</f>
        <v>1961</v>
      </c>
      <c r="S210" s="1">
        <f ca="1">IFERROR(__xludf.DUMMYFUNCTION("""COMPUTED_VALUE"""),0.499)</f>
        <v>0.499</v>
      </c>
      <c r="T210" s="1">
        <f ca="1">IFERROR(__xludf.DUMMYFUNCTION("""COMPUTED_VALUE"""),226)</f>
        <v>226</v>
      </c>
      <c r="U210" s="1">
        <f ca="1">IFERROR(__xludf.DUMMYFUNCTION("""COMPUTED_VALUE"""),599)</f>
        <v>599</v>
      </c>
      <c r="V210" s="1">
        <f ca="1">IFERROR(__xludf.DUMMYFUNCTION("""COMPUTED_VALUE"""),0.377)</f>
        <v>0.377</v>
      </c>
      <c r="W210" s="1">
        <f ca="1">IFERROR(__xludf.DUMMYFUNCTION("""COMPUTED_VALUE"""),571)</f>
        <v>571</v>
      </c>
      <c r="X210" s="1">
        <f ca="1">IFERROR(__xludf.DUMMYFUNCTION("""COMPUTED_VALUE"""),821)</f>
        <v>821</v>
      </c>
      <c r="Y210" s="1">
        <f ca="1">IFERROR(__xludf.DUMMYFUNCTION("""COMPUTED_VALUE"""),0.695)</f>
        <v>0.69499999999999995</v>
      </c>
      <c r="Z210" s="1">
        <f ca="1">IFERROR(__xludf.DUMMYFUNCTION("""COMPUTED_VALUE"""),439)</f>
        <v>439</v>
      </c>
      <c r="AA210" s="1">
        <f ca="1">IFERROR(__xludf.DUMMYFUNCTION("""COMPUTED_VALUE"""),1319)</f>
        <v>1319</v>
      </c>
      <c r="AB210" s="1">
        <f ca="1">IFERROR(__xludf.DUMMYFUNCTION("""COMPUTED_VALUE"""),556)</f>
        <v>556</v>
      </c>
      <c r="AC210" s="1">
        <f ca="1">IFERROR(__xludf.DUMMYFUNCTION("""COMPUTED_VALUE"""),347)</f>
        <v>347</v>
      </c>
      <c r="AD210" s="1">
        <f ca="1">IFERROR(__xludf.DUMMYFUNCTION("""COMPUTED_VALUE"""),196)</f>
        <v>196</v>
      </c>
      <c r="AE210" s="1">
        <f ca="1">IFERROR(__xludf.DUMMYFUNCTION("""COMPUTED_VALUE"""),527)</f>
        <v>527</v>
      </c>
      <c r="AF210" s="1">
        <f ca="1">IFERROR(__xludf.DUMMYFUNCTION("""COMPUTED_VALUE"""),618)</f>
        <v>618</v>
      </c>
    </row>
    <row r="211" spans="1:32" ht="12.5" x14ac:dyDescent="0.25">
      <c r="A211" s="1" t="str">
        <f ca="1">IFERROR(__xludf.DUMMYFUNCTION("""COMPUTED_VALUE"""),"Navy")</f>
        <v>Navy</v>
      </c>
      <c r="B211" s="1">
        <f ca="1">IFERROR(__xludf.DUMMYFUNCTION("""COMPUTED_VALUE"""),30)</f>
        <v>30</v>
      </c>
      <c r="C211" s="1">
        <f ca="1">IFERROR(__xludf.DUMMYFUNCTION("""COMPUTED_VALUE"""),13)</f>
        <v>13</v>
      </c>
      <c r="D211" s="1">
        <f ca="1">IFERROR(__xludf.DUMMYFUNCTION("""COMPUTED_VALUE"""),17)</f>
        <v>17</v>
      </c>
      <c r="E211" s="1">
        <f ca="1">IFERROR(__xludf.DUMMYFUNCTION("""COMPUTED_VALUE"""),0.433)</f>
        <v>0.433</v>
      </c>
      <c r="F211" s="1">
        <f ca="1">IFERROR(__xludf.DUMMYFUNCTION("""COMPUTED_VALUE"""),-12.01)</f>
        <v>-12.01</v>
      </c>
      <c r="G211" s="1">
        <f ca="1">IFERROR(__xludf.DUMMYFUNCTION("""COMPUTED_VALUE"""),-7.91)</f>
        <v>-7.91</v>
      </c>
      <c r="H211" s="1">
        <f ca="1">IFERROR(__xludf.DUMMYFUNCTION("""COMPUTED_VALUE"""),7)</f>
        <v>7</v>
      </c>
      <c r="I211" s="1">
        <f ca="1">IFERROR(__xludf.DUMMYFUNCTION("""COMPUTED_VALUE"""),7)</f>
        <v>7</v>
      </c>
      <c r="J211" s="1">
        <f ca="1">IFERROR(__xludf.DUMMYFUNCTION("""COMPUTED_VALUE"""),10)</f>
        <v>10</v>
      </c>
      <c r="K211" s="1">
        <f ca="1">IFERROR(__xludf.DUMMYFUNCTION("""COMPUTED_VALUE"""),4)</f>
        <v>4</v>
      </c>
      <c r="L211" s="1">
        <f ca="1">IFERROR(__xludf.DUMMYFUNCTION("""COMPUTED_VALUE"""),3)</f>
        <v>3</v>
      </c>
      <c r="M211" s="1">
        <f ca="1">IFERROR(__xludf.DUMMYFUNCTION("""COMPUTED_VALUE"""),12)</f>
        <v>12</v>
      </c>
      <c r="N211" s="1">
        <f ca="1">IFERROR(__xludf.DUMMYFUNCTION("""COMPUTED_VALUE"""),2138)</f>
        <v>2138</v>
      </c>
      <c r="O211" s="1">
        <f ca="1">IFERROR(__xludf.DUMMYFUNCTION("""COMPUTED_VALUE"""),2261)</f>
        <v>2261</v>
      </c>
      <c r="P211" s="1">
        <f ca="1">IFERROR(__xludf.DUMMYFUNCTION("""COMPUTED_VALUE"""),1215)</f>
        <v>1215</v>
      </c>
      <c r="Q211" s="1">
        <f ca="1">IFERROR(__xludf.DUMMYFUNCTION("""COMPUTED_VALUE"""),709)</f>
        <v>709</v>
      </c>
      <c r="R211" s="1">
        <f ca="1">IFERROR(__xludf.DUMMYFUNCTION("""COMPUTED_VALUE"""),1736)</f>
        <v>1736</v>
      </c>
      <c r="S211" s="1">
        <f ca="1">IFERROR(__xludf.DUMMYFUNCTION("""COMPUTED_VALUE"""),0.408)</f>
        <v>0.40799999999999997</v>
      </c>
      <c r="T211" s="1">
        <f ca="1">IFERROR(__xludf.DUMMYFUNCTION("""COMPUTED_VALUE"""),246)</f>
        <v>246</v>
      </c>
      <c r="U211" s="1">
        <f ca="1">IFERROR(__xludf.DUMMYFUNCTION("""COMPUTED_VALUE"""),704)</f>
        <v>704</v>
      </c>
      <c r="V211" s="1">
        <f ca="1">IFERROR(__xludf.DUMMYFUNCTION("""COMPUTED_VALUE"""),0.349)</f>
        <v>0.34899999999999998</v>
      </c>
      <c r="W211" s="1">
        <f ca="1">IFERROR(__xludf.DUMMYFUNCTION("""COMPUTED_VALUE"""),474)</f>
        <v>474</v>
      </c>
      <c r="X211" s="1">
        <f ca="1">IFERROR(__xludf.DUMMYFUNCTION("""COMPUTED_VALUE"""),665)</f>
        <v>665</v>
      </c>
      <c r="Y211" s="1">
        <f ca="1">IFERROR(__xludf.DUMMYFUNCTION("""COMPUTED_VALUE"""),0.713)</f>
        <v>0.71299999999999997</v>
      </c>
      <c r="Z211" s="1">
        <f ca="1">IFERROR(__xludf.DUMMYFUNCTION("""COMPUTED_VALUE"""),311)</f>
        <v>311</v>
      </c>
      <c r="AA211" s="1">
        <f ca="1">IFERROR(__xludf.DUMMYFUNCTION("""COMPUTED_VALUE"""),993)</f>
        <v>993</v>
      </c>
      <c r="AB211" s="1">
        <f ca="1">IFERROR(__xludf.DUMMYFUNCTION("""COMPUTED_VALUE"""),394)</f>
        <v>394</v>
      </c>
      <c r="AC211" s="1">
        <f ca="1">IFERROR(__xludf.DUMMYFUNCTION("""COMPUTED_VALUE"""),209)</f>
        <v>209</v>
      </c>
      <c r="AD211" s="1">
        <f ca="1">IFERROR(__xludf.DUMMYFUNCTION("""COMPUTED_VALUE"""),83)</f>
        <v>83</v>
      </c>
      <c r="AE211" s="1">
        <f ca="1">IFERROR(__xludf.DUMMYFUNCTION("""COMPUTED_VALUE"""),443)</f>
        <v>443</v>
      </c>
      <c r="AF211" s="1">
        <f ca="1">IFERROR(__xludf.DUMMYFUNCTION("""COMPUTED_VALUE"""),650)</f>
        <v>650</v>
      </c>
    </row>
    <row r="212" spans="1:32" ht="12.5" x14ac:dyDescent="0.25">
      <c r="A212" s="1" t="str">
        <f ca="1">IFERROR(__xludf.DUMMYFUNCTION("""COMPUTED_VALUE"""),"Nebraska")</f>
        <v>Nebraska</v>
      </c>
      <c r="B212" s="1">
        <f ca="1">IFERROR(__xludf.DUMMYFUNCTION("""COMPUTED_VALUE"""),33)</f>
        <v>33</v>
      </c>
      <c r="C212" s="1">
        <f ca="1">IFERROR(__xludf.DUMMYFUNCTION("""COMPUTED_VALUE"""),15)</f>
        <v>15</v>
      </c>
      <c r="D212" s="1">
        <f ca="1">IFERROR(__xludf.DUMMYFUNCTION("""COMPUTED_VALUE"""),18)</f>
        <v>18</v>
      </c>
      <c r="E212" s="1">
        <f ca="1">IFERROR(__xludf.DUMMYFUNCTION("""COMPUTED_VALUE"""),0.455)</f>
        <v>0.45500000000000002</v>
      </c>
      <c r="F212" s="1">
        <f ca="1">IFERROR(__xludf.DUMMYFUNCTION("""COMPUTED_VALUE"""),6.6)</f>
        <v>6.6</v>
      </c>
      <c r="G212" s="1">
        <f ca="1">IFERROR(__xludf.DUMMYFUNCTION("""COMPUTED_VALUE"""),6.66)</f>
        <v>6.66</v>
      </c>
      <c r="H212" s="1">
        <f ca="1">IFERROR(__xludf.DUMMYFUNCTION("""COMPUTED_VALUE"""),2)</f>
        <v>2</v>
      </c>
      <c r="I212" s="1">
        <f ca="1">IFERROR(__xludf.DUMMYFUNCTION("""COMPUTED_VALUE"""),14)</f>
        <v>14</v>
      </c>
      <c r="J212" s="1">
        <f ca="1">IFERROR(__xludf.DUMMYFUNCTION("""COMPUTED_VALUE"""),12)</f>
        <v>12</v>
      </c>
      <c r="K212" s="1">
        <f ca="1">IFERROR(__xludf.DUMMYFUNCTION("""COMPUTED_VALUE"""),6)</f>
        <v>6</v>
      </c>
      <c r="L212" s="1">
        <f ca="1">IFERROR(__xludf.DUMMYFUNCTION("""COMPUTED_VALUE"""),1)</f>
        <v>1</v>
      </c>
      <c r="M212" s="1">
        <f ca="1">IFERROR(__xludf.DUMMYFUNCTION("""COMPUTED_VALUE"""),10)</f>
        <v>10</v>
      </c>
      <c r="N212" s="1">
        <f ca="1">IFERROR(__xludf.DUMMYFUNCTION("""COMPUTED_VALUE"""),2194)</f>
        <v>2194</v>
      </c>
      <c r="O212" s="1">
        <f ca="1">IFERROR(__xludf.DUMMYFUNCTION("""COMPUTED_VALUE"""),2169)</f>
        <v>2169</v>
      </c>
      <c r="P212" s="1">
        <f ca="1">IFERROR(__xludf.DUMMYFUNCTION("""COMPUTED_VALUE"""),1330)</f>
        <v>1330</v>
      </c>
      <c r="Q212" s="1">
        <f ca="1">IFERROR(__xludf.DUMMYFUNCTION("""COMPUTED_VALUE"""),768)</f>
        <v>768</v>
      </c>
      <c r="R212" s="1">
        <f ca="1">IFERROR(__xludf.DUMMYFUNCTION("""COMPUTED_VALUE"""),1745)</f>
        <v>1745</v>
      </c>
      <c r="S212" s="1">
        <f ca="1">IFERROR(__xludf.DUMMYFUNCTION("""COMPUTED_VALUE"""),0.44)</f>
        <v>0.44</v>
      </c>
      <c r="T212" s="1">
        <f ca="1">IFERROR(__xludf.DUMMYFUNCTION("""COMPUTED_VALUE"""),217)</f>
        <v>217</v>
      </c>
      <c r="U212" s="1">
        <f ca="1">IFERROR(__xludf.DUMMYFUNCTION("""COMPUTED_VALUE"""),547)</f>
        <v>547</v>
      </c>
      <c r="V212" s="1">
        <f ca="1">IFERROR(__xludf.DUMMYFUNCTION("""COMPUTED_VALUE"""),0.397)</f>
        <v>0.39700000000000002</v>
      </c>
      <c r="W212" s="1">
        <f ca="1">IFERROR(__xludf.DUMMYFUNCTION("""COMPUTED_VALUE"""),441)</f>
        <v>441</v>
      </c>
      <c r="X212" s="1">
        <f ca="1">IFERROR(__xludf.DUMMYFUNCTION("""COMPUTED_VALUE"""),654)</f>
        <v>654</v>
      </c>
      <c r="Y212" s="1">
        <f ca="1">IFERROR(__xludf.DUMMYFUNCTION("""COMPUTED_VALUE"""),0.674)</f>
        <v>0.67400000000000004</v>
      </c>
      <c r="Z212" s="1">
        <f ca="1">IFERROR(__xludf.DUMMYFUNCTION("""COMPUTED_VALUE"""),320)</f>
        <v>320</v>
      </c>
      <c r="AA212" s="1">
        <f ca="1">IFERROR(__xludf.DUMMYFUNCTION("""COMPUTED_VALUE"""),1069)</f>
        <v>1069</v>
      </c>
      <c r="AB212" s="1">
        <f ca="1">IFERROR(__xludf.DUMMYFUNCTION("""COMPUTED_VALUE"""),471)</f>
        <v>471</v>
      </c>
      <c r="AC212" s="1">
        <f ca="1">IFERROR(__xludf.DUMMYFUNCTION("""COMPUTED_VALUE"""),223)</f>
        <v>223</v>
      </c>
      <c r="AD212" s="1">
        <f ca="1">IFERROR(__xludf.DUMMYFUNCTION("""COMPUTED_VALUE"""),94)</f>
        <v>94</v>
      </c>
      <c r="AE212" s="1">
        <f ca="1">IFERROR(__xludf.DUMMYFUNCTION("""COMPUTED_VALUE"""),416)</f>
        <v>416</v>
      </c>
      <c r="AF212" s="1">
        <f ca="1">IFERROR(__xludf.DUMMYFUNCTION("""COMPUTED_VALUE"""),626)</f>
        <v>626</v>
      </c>
    </row>
    <row r="213" spans="1:32" ht="12.5" x14ac:dyDescent="0.25">
      <c r="A213" s="1" t="str">
        <f ca="1">IFERROR(__xludf.DUMMYFUNCTION("""COMPUTED_VALUE"""),"Nevada-Las VegasNCAA")</f>
        <v>Nevada-Las VegasNCAA</v>
      </c>
      <c r="B213" s="1">
        <f ca="1">IFERROR(__xludf.DUMMYFUNCTION("""COMPUTED_VALUE"""),34)</f>
        <v>34</v>
      </c>
      <c r="C213" s="1">
        <f ca="1">IFERROR(__xludf.DUMMYFUNCTION("""COMPUTED_VALUE"""),25)</f>
        <v>25</v>
      </c>
      <c r="D213" s="1">
        <f ca="1">IFERROR(__xludf.DUMMYFUNCTION("""COMPUTED_VALUE"""),9)</f>
        <v>9</v>
      </c>
      <c r="E213" s="1">
        <f ca="1">IFERROR(__xludf.DUMMYFUNCTION("""COMPUTED_VALUE"""),0.735)</f>
        <v>0.73499999999999999</v>
      </c>
      <c r="F213" s="1">
        <f ca="1">IFERROR(__xludf.DUMMYFUNCTION("""COMPUTED_VALUE"""),12.57)</f>
        <v>12.57</v>
      </c>
      <c r="G213" s="1">
        <f ca="1">IFERROR(__xludf.DUMMYFUNCTION("""COMPUTED_VALUE"""),4.82)</f>
        <v>4.82</v>
      </c>
      <c r="H213" s="1">
        <f ca="1">IFERROR(__xludf.DUMMYFUNCTION("""COMPUTED_VALUE"""),11)</f>
        <v>11</v>
      </c>
      <c r="I213" s="1">
        <f ca="1">IFERROR(__xludf.DUMMYFUNCTION("""COMPUTED_VALUE"""),5)</f>
        <v>5</v>
      </c>
      <c r="J213" s="1">
        <f ca="1">IFERROR(__xludf.DUMMYFUNCTION("""COMPUTED_VALUE"""),15)</f>
        <v>15</v>
      </c>
      <c r="K213" s="1">
        <f ca="1">IFERROR(__xludf.DUMMYFUNCTION("""COMPUTED_VALUE"""),4)</f>
        <v>4</v>
      </c>
      <c r="L213" s="1">
        <f ca="1">IFERROR(__xludf.DUMMYFUNCTION("""COMPUTED_VALUE"""),9)</f>
        <v>9</v>
      </c>
      <c r="M213" s="1">
        <f ca="1">IFERROR(__xludf.DUMMYFUNCTION("""COMPUTED_VALUE"""),3)</f>
        <v>3</v>
      </c>
      <c r="N213" s="1">
        <f ca="1">IFERROR(__xludf.DUMMYFUNCTION("""COMPUTED_VALUE"""),2485)</f>
        <v>2485</v>
      </c>
      <c r="O213" s="1">
        <f ca="1">IFERROR(__xludf.DUMMYFUNCTION("""COMPUTED_VALUE"""),2168)</f>
        <v>2168</v>
      </c>
      <c r="P213" s="1">
        <f ca="1">IFERROR(__xludf.DUMMYFUNCTION("""COMPUTED_VALUE"""),1370)</f>
        <v>1370</v>
      </c>
      <c r="Q213" s="1">
        <f ca="1">IFERROR(__xludf.DUMMYFUNCTION("""COMPUTED_VALUE"""),899)</f>
        <v>899</v>
      </c>
      <c r="R213" s="1">
        <f ca="1">IFERROR(__xludf.DUMMYFUNCTION("""COMPUTED_VALUE"""),1950)</f>
        <v>1950</v>
      </c>
      <c r="S213" s="1">
        <f ca="1">IFERROR(__xludf.DUMMYFUNCTION("""COMPUTED_VALUE"""),0.461)</f>
        <v>0.46100000000000002</v>
      </c>
      <c r="T213" s="1">
        <f ca="1">IFERROR(__xludf.DUMMYFUNCTION("""COMPUTED_VALUE"""),231)</f>
        <v>231</v>
      </c>
      <c r="U213" s="1">
        <f ca="1">IFERROR(__xludf.DUMMYFUNCTION("""COMPUTED_VALUE"""),695)</f>
        <v>695</v>
      </c>
      <c r="V213" s="1">
        <f ca="1">IFERROR(__xludf.DUMMYFUNCTION("""COMPUTED_VALUE"""),0.332)</f>
        <v>0.33200000000000002</v>
      </c>
      <c r="W213" s="1">
        <f ca="1">IFERROR(__xludf.DUMMYFUNCTION("""COMPUTED_VALUE"""),456)</f>
        <v>456</v>
      </c>
      <c r="X213" s="1">
        <f ca="1">IFERROR(__xludf.DUMMYFUNCTION("""COMPUTED_VALUE"""),637)</f>
        <v>637</v>
      </c>
      <c r="Y213" s="1">
        <f ca="1">IFERROR(__xludf.DUMMYFUNCTION("""COMPUTED_VALUE"""),0.716)</f>
        <v>0.71599999999999997</v>
      </c>
      <c r="Z213" s="1">
        <f ca="1">IFERROR(__xludf.DUMMYFUNCTION("""COMPUTED_VALUE"""),337)</f>
        <v>337</v>
      </c>
      <c r="AA213" s="1">
        <f ca="1">IFERROR(__xludf.DUMMYFUNCTION("""COMPUTED_VALUE"""),1149)</f>
        <v>1149</v>
      </c>
      <c r="AB213" s="1">
        <f ca="1">IFERROR(__xludf.DUMMYFUNCTION("""COMPUTED_VALUE"""),551)</f>
        <v>551</v>
      </c>
      <c r="AC213" s="1">
        <f ca="1">IFERROR(__xludf.DUMMYFUNCTION("""COMPUTED_VALUE"""),266)</f>
        <v>266</v>
      </c>
      <c r="AD213" s="1">
        <f ca="1">IFERROR(__xludf.DUMMYFUNCTION("""COMPUTED_VALUE"""),117)</f>
        <v>117</v>
      </c>
      <c r="AE213" s="1">
        <f ca="1">IFERROR(__xludf.DUMMYFUNCTION("""COMPUTED_VALUE"""),395)</f>
        <v>395</v>
      </c>
      <c r="AF213" s="1">
        <f ca="1">IFERROR(__xludf.DUMMYFUNCTION("""COMPUTED_VALUE"""),691)</f>
        <v>691</v>
      </c>
    </row>
    <row r="214" spans="1:32" ht="12.5" x14ac:dyDescent="0.25">
      <c r="A214" s="1" t="str">
        <f ca="1">IFERROR(__xludf.DUMMYFUNCTION("""COMPUTED_VALUE"""),"Nevada")</f>
        <v>Nevada</v>
      </c>
      <c r="B214" s="1">
        <f ca="1">IFERROR(__xludf.DUMMYFUNCTION("""COMPUTED_VALUE"""),34)</f>
        <v>34</v>
      </c>
      <c r="C214" s="1">
        <f ca="1">IFERROR(__xludf.DUMMYFUNCTION("""COMPUTED_VALUE"""),21)</f>
        <v>21</v>
      </c>
      <c r="D214" s="1">
        <f ca="1">IFERROR(__xludf.DUMMYFUNCTION("""COMPUTED_VALUE"""),13)</f>
        <v>13</v>
      </c>
      <c r="E214" s="1">
        <f ca="1">IFERROR(__xludf.DUMMYFUNCTION("""COMPUTED_VALUE"""),0.618)</f>
        <v>0.61799999999999999</v>
      </c>
      <c r="F214" s="1">
        <f ca="1">IFERROR(__xludf.DUMMYFUNCTION("""COMPUTED_VALUE"""),6.5)</f>
        <v>6.5</v>
      </c>
      <c r="G214" s="1">
        <f ca="1">IFERROR(__xludf.DUMMYFUNCTION("""COMPUTED_VALUE"""),2.56)</f>
        <v>2.56</v>
      </c>
      <c r="H214" s="1">
        <f ca="1">IFERROR(__xludf.DUMMYFUNCTION("""COMPUTED_VALUE"""),11)</f>
        <v>11</v>
      </c>
      <c r="I214" s="1">
        <f ca="1">IFERROR(__xludf.DUMMYFUNCTION("""COMPUTED_VALUE"""),5)</f>
        <v>5</v>
      </c>
      <c r="J214" s="1">
        <f ca="1">IFERROR(__xludf.DUMMYFUNCTION("""COMPUTED_VALUE"""),15)</f>
        <v>15</v>
      </c>
      <c r="K214" s="1">
        <f ca="1">IFERROR(__xludf.DUMMYFUNCTION("""COMPUTED_VALUE"""),1)</f>
        <v>1</v>
      </c>
      <c r="L214" s="1">
        <f ca="1">IFERROR(__xludf.DUMMYFUNCTION("""COMPUTED_VALUE"""),5)</f>
        <v>5</v>
      </c>
      <c r="M214" s="1">
        <f ca="1">IFERROR(__xludf.DUMMYFUNCTION("""COMPUTED_VALUE"""),10)</f>
        <v>10</v>
      </c>
      <c r="N214" s="1">
        <f ca="1">IFERROR(__xludf.DUMMYFUNCTION("""COMPUTED_VALUE"""),2703)</f>
        <v>2703</v>
      </c>
      <c r="O214" s="1">
        <f ca="1">IFERROR(__xludf.DUMMYFUNCTION("""COMPUTED_VALUE"""),2551)</f>
        <v>2551</v>
      </c>
      <c r="P214" s="1">
        <f ca="1">IFERROR(__xludf.DUMMYFUNCTION("""COMPUTED_VALUE"""),1370)</f>
        <v>1370</v>
      </c>
      <c r="Q214" s="1">
        <f ca="1">IFERROR(__xludf.DUMMYFUNCTION("""COMPUTED_VALUE"""),983)</f>
        <v>983</v>
      </c>
      <c r="R214" s="1">
        <f ca="1">IFERROR(__xludf.DUMMYFUNCTION("""COMPUTED_VALUE"""),2040)</f>
        <v>2040</v>
      </c>
      <c r="S214" s="1">
        <f ca="1">IFERROR(__xludf.DUMMYFUNCTION("""COMPUTED_VALUE"""),0.482)</f>
        <v>0.48199999999999998</v>
      </c>
      <c r="T214" s="1">
        <f ca="1">IFERROR(__xludf.DUMMYFUNCTION("""COMPUTED_VALUE"""),222)</f>
        <v>222</v>
      </c>
      <c r="U214" s="1">
        <f ca="1">IFERROR(__xludf.DUMMYFUNCTION("""COMPUTED_VALUE"""),613)</f>
        <v>613</v>
      </c>
      <c r="V214" s="1">
        <f ca="1">IFERROR(__xludf.DUMMYFUNCTION("""COMPUTED_VALUE"""),0.362)</f>
        <v>0.36199999999999999</v>
      </c>
      <c r="W214" s="1">
        <f ca="1">IFERROR(__xludf.DUMMYFUNCTION("""COMPUTED_VALUE"""),515)</f>
        <v>515</v>
      </c>
      <c r="X214" s="1">
        <f ca="1">IFERROR(__xludf.DUMMYFUNCTION("""COMPUTED_VALUE"""),704)</f>
        <v>704</v>
      </c>
      <c r="Y214" s="1">
        <f ca="1">IFERROR(__xludf.DUMMYFUNCTION("""COMPUTED_VALUE"""),0.732)</f>
        <v>0.73199999999999998</v>
      </c>
      <c r="Z214" s="1">
        <f ca="1">IFERROR(__xludf.DUMMYFUNCTION("""COMPUTED_VALUE"""),374)</f>
        <v>374</v>
      </c>
      <c r="AA214" s="1">
        <f ca="1">IFERROR(__xludf.DUMMYFUNCTION("""COMPUTED_VALUE"""),1263)</f>
        <v>1263</v>
      </c>
      <c r="AB214" s="1">
        <f ca="1">IFERROR(__xludf.DUMMYFUNCTION("""COMPUTED_VALUE"""),480)</f>
        <v>480</v>
      </c>
      <c r="AC214" s="1">
        <f ca="1">IFERROR(__xludf.DUMMYFUNCTION("""COMPUTED_VALUE"""),173)</f>
        <v>173</v>
      </c>
      <c r="AD214" s="1">
        <f ca="1">IFERROR(__xludf.DUMMYFUNCTION("""COMPUTED_VALUE"""),149)</f>
        <v>149</v>
      </c>
      <c r="AE214" s="1">
        <f ca="1">IFERROR(__xludf.DUMMYFUNCTION("""COMPUTED_VALUE"""),405)</f>
        <v>405</v>
      </c>
      <c r="AF214" s="1">
        <f ca="1">IFERROR(__xludf.DUMMYFUNCTION("""COMPUTED_VALUE"""),591)</f>
        <v>591</v>
      </c>
    </row>
    <row r="215" spans="1:32" ht="12.5" x14ac:dyDescent="0.25">
      <c r="A215" s="1" t="str">
        <f ca="1">IFERROR(__xludf.DUMMYFUNCTION("""COMPUTED_VALUE"""),"New Hampshire")</f>
        <v>New Hampshire</v>
      </c>
      <c r="B215" s="1">
        <f ca="1">IFERROR(__xludf.DUMMYFUNCTION("""COMPUTED_VALUE"""),30)</f>
        <v>30</v>
      </c>
      <c r="C215" s="1">
        <f ca="1">IFERROR(__xludf.DUMMYFUNCTION("""COMPUTED_VALUE"""),13)</f>
        <v>13</v>
      </c>
      <c r="D215" s="1">
        <f ca="1">IFERROR(__xludf.DUMMYFUNCTION("""COMPUTED_VALUE"""),17)</f>
        <v>17</v>
      </c>
      <c r="E215" s="1">
        <f ca="1">IFERROR(__xludf.DUMMYFUNCTION("""COMPUTED_VALUE"""),0.433)</f>
        <v>0.433</v>
      </c>
      <c r="F215" s="1">
        <f ca="1">IFERROR(__xludf.DUMMYFUNCTION("""COMPUTED_VALUE"""),-9.54)</f>
        <v>-9.5399999999999991</v>
      </c>
      <c r="G215" s="1">
        <f ca="1">IFERROR(__xludf.DUMMYFUNCTION("""COMPUTED_VALUE"""),-6.29)</f>
        <v>-6.29</v>
      </c>
      <c r="H215" s="1">
        <f ca="1">IFERROR(__xludf.DUMMYFUNCTION("""COMPUTED_VALUE"""),6)</f>
        <v>6</v>
      </c>
      <c r="I215" s="1">
        <f ca="1">IFERROR(__xludf.DUMMYFUNCTION("""COMPUTED_VALUE"""),10)</f>
        <v>10</v>
      </c>
      <c r="J215" s="1">
        <f ca="1">IFERROR(__xludf.DUMMYFUNCTION("""COMPUTED_VALUE"""),9)</f>
        <v>9</v>
      </c>
      <c r="K215" s="1">
        <f ca="1">IFERROR(__xludf.DUMMYFUNCTION("""COMPUTED_VALUE"""),4)</f>
        <v>4</v>
      </c>
      <c r="L215" s="1">
        <f ca="1">IFERROR(__xludf.DUMMYFUNCTION("""COMPUTED_VALUE"""),3)</f>
        <v>3</v>
      </c>
      <c r="M215" s="1">
        <f ca="1">IFERROR(__xludf.DUMMYFUNCTION("""COMPUTED_VALUE"""),12)</f>
        <v>12</v>
      </c>
      <c r="N215" s="1">
        <f ca="1">IFERROR(__xludf.DUMMYFUNCTION("""COMPUTED_VALUE"""),1825)</f>
        <v>1825</v>
      </c>
      <c r="O215" s="1">
        <f ca="1">IFERROR(__xludf.DUMMYFUNCTION("""COMPUTED_VALUE"""),1873)</f>
        <v>1873</v>
      </c>
      <c r="P215" s="1">
        <f ca="1">IFERROR(__xludf.DUMMYFUNCTION("""COMPUTED_VALUE"""),1210)</f>
        <v>1210</v>
      </c>
      <c r="Q215" s="1">
        <f ca="1">IFERROR(__xludf.DUMMYFUNCTION("""COMPUTED_VALUE"""),611)</f>
        <v>611</v>
      </c>
      <c r="R215" s="1">
        <f ca="1">IFERROR(__xludf.DUMMYFUNCTION("""COMPUTED_VALUE"""),1628)</f>
        <v>1628</v>
      </c>
      <c r="S215" s="1">
        <f ca="1">IFERROR(__xludf.DUMMYFUNCTION("""COMPUTED_VALUE"""),0.375)</f>
        <v>0.375</v>
      </c>
      <c r="T215" s="1">
        <f ca="1">IFERROR(__xludf.DUMMYFUNCTION("""COMPUTED_VALUE"""),182)</f>
        <v>182</v>
      </c>
      <c r="U215" s="1">
        <f ca="1">IFERROR(__xludf.DUMMYFUNCTION("""COMPUTED_VALUE"""),613)</f>
        <v>613</v>
      </c>
      <c r="V215" s="1">
        <f ca="1">IFERROR(__xludf.DUMMYFUNCTION("""COMPUTED_VALUE"""),0.297)</f>
        <v>0.29699999999999999</v>
      </c>
      <c r="W215" s="1">
        <f ca="1">IFERROR(__xludf.DUMMYFUNCTION("""COMPUTED_VALUE"""),421)</f>
        <v>421</v>
      </c>
      <c r="X215" s="1">
        <f ca="1">IFERROR(__xludf.DUMMYFUNCTION("""COMPUTED_VALUE"""),653)</f>
        <v>653</v>
      </c>
      <c r="Y215" s="1">
        <f ca="1">IFERROR(__xludf.DUMMYFUNCTION("""COMPUTED_VALUE"""),0.645)</f>
        <v>0.64500000000000002</v>
      </c>
      <c r="Z215" s="1">
        <f ca="1">IFERROR(__xludf.DUMMYFUNCTION("""COMPUTED_VALUE"""),383)</f>
        <v>383</v>
      </c>
      <c r="AA215" s="1">
        <f ca="1">IFERROR(__xludf.DUMMYFUNCTION("""COMPUTED_VALUE"""),1084)</f>
        <v>1084</v>
      </c>
      <c r="AB215" s="1">
        <f ca="1">IFERROR(__xludf.DUMMYFUNCTION("""COMPUTED_VALUE"""),312)</f>
        <v>312</v>
      </c>
      <c r="AC215" s="1">
        <f ca="1">IFERROR(__xludf.DUMMYFUNCTION("""COMPUTED_VALUE"""),142)</f>
        <v>142</v>
      </c>
      <c r="AD215" s="1">
        <f ca="1">IFERROR(__xludf.DUMMYFUNCTION("""COMPUTED_VALUE"""),70)</f>
        <v>70</v>
      </c>
      <c r="AE215" s="1">
        <f ca="1">IFERROR(__xludf.DUMMYFUNCTION("""COMPUTED_VALUE"""),395)</f>
        <v>395</v>
      </c>
      <c r="AF215" s="1">
        <f ca="1">IFERROR(__xludf.DUMMYFUNCTION("""COMPUTED_VALUE"""),601)</f>
        <v>601</v>
      </c>
    </row>
    <row r="216" spans="1:32" ht="12.5" x14ac:dyDescent="0.25">
      <c r="A216" s="1" t="str">
        <f ca="1">IFERROR(__xludf.DUMMYFUNCTION("""COMPUTED_VALUE"""),"New Mexico StateNCAA")</f>
        <v>New Mexico StateNCAA</v>
      </c>
      <c r="B216" s="1">
        <f ca="1">IFERROR(__xludf.DUMMYFUNCTION("""COMPUTED_VALUE"""),34)</f>
        <v>34</v>
      </c>
      <c r="C216" s="1">
        <f ca="1">IFERROR(__xludf.DUMMYFUNCTION("""COMPUTED_VALUE"""),22)</f>
        <v>22</v>
      </c>
      <c r="D216" s="1">
        <f ca="1">IFERROR(__xludf.DUMMYFUNCTION("""COMPUTED_VALUE"""),12)</f>
        <v>12</v>
      </c>
      <c r="E216" s="1">
        <f ca="1">IFERROR(__xludf.DUMMYFUNCTION("""COMPUTED_VALUE"""),0.647)</f>
        <v>0.64700000000000002</v>
      </c>
      <c r="F216" s="1">
        <f ca="1">IFERROR(__xludf.DUMMYFUNCTION("""COMPUTED_VALUE"""),2.06)</f>
        <v>2.06</v>
      </c>
      <c r="G216" s="1">
        <f ca="1">IFERROR(__xludf.DUMMYFUNCTION("""COMPUTED_VALUE"""),1.66)</f>
        <v>1.66</v>
      </c>
      <c r="H216" s="1">
        <f ca="1">IFERROR(__xludf.DUMMYFUNCTION("""COMPUTED_VALUE"""),11)</f>
        <v>11</v>
      </c>
      <c r="I216" s="1">
        <f ca="1">IFERROR(__xludf.DUMMYFUNCTION("""COMPUTED_VALUE"""),5)</f>
        <v>5</v>
      </c>
      <c r="J216" s="1">
        <f ca="1">IFERROR(__xludf.DUMMYFUNCTION("""COMPUTED_VALUE"""),12)</f>
        <v>12</v>
      </c>
      <c r="K216" s="1">
        <f ca="1">IFERROR(__xludf.DUMMYFUNCTION("""COMPUTED_VALUE"""),3)</f>
        <v>3</v>
      </c>
      <c r="L216" s="1">
        <f ca="1">IFERROR(__xludf.DUMMYFUNCTION("""COMPUTED_VALUE"""),7)</f>
        <v>7</v>
      </c>
      <c r="M216" s="1">
        <f ca="1">IFERROR(__xludf.DUMMYFUNCTION("""COMPUTED_VALUE"""),8)</f>
        <v>8</v>
      </c>
      <c r="N216" s="1">
        <f ca="1">IFERROR(__xludf.DUMMYFUNCTION("""COMPUTED_VALUE"""),2662)</f>
        <v>2662</v>
      </c>
      <c r="O216" s="1">
        <f ca="1">IFERROR(__xludf.DUMMYFUNCTION("""COMPUTED_VALUE"""),2639)</f>
        <v>2639</v>
      </c>
      <c r="P216" s="1">
        <f ca="1">IFERROR(__xludf.DUMMYFUNCTION("""COMPUTED_VALUE"""),1360)</f>
        <v>1360</v>
      </c>
      <c r="Q216" s="1">
        <f ca="1">IFERROR(__xludf.DUMMYFUNCTION("""COMPUTED_VALUE"""),919)</f>
        <v>919</v>
      </c>
      <c r="R216" s="1">
        <f ca="1">IFERROR(__xludf.DUMMYFUNCTION("""COMPUTED_VALUE"""),1997)</f>
        <v>1997</v>
      </c>
      <c r="S216" s="1">
        <f ca="1">IFERROR(__xludf.DUMMYFUNCTION("""COMPUTED_VALUE"""),0.46)</f>
        <v>0.46</v>
      </c>
      <c r="T216" s="1">
        <f ca="1">IFERROR(__xludf.DUMMYFUNCTION("""COMPUTED_VALUE"""),287)</f>
        <v>287</v>
      </c>
      <c r="U216" s="1">
        <f ca="1">IFERROR(__xludf.DUMMYFUNCTION("""COMPUTED_VALUE"""),774)</f>
        <v>774</v>
      </c>
      <c r="V216" s="1">
        <f ca="1">IFERROR(__xludf.DUMMYFUNCTION("""COMPUTED_VALUE"""),0.371)</f>
        <v>0.371</v>
      </c>
      <c r="W216" s="1">
        <f ca="1">IFERROR(__xludf.DUMMYFUNCTION("""COMPUTED_VALUE"""),537)</f>
        <v>537</v>
      </c>
      <c r="X216" s="1">
        <f ca="1">IFERROR(__xludf.DUMMYFUNCTION("""COMPUTED_VALUE"""),767)</f>
        <v>767</v>
      </c>
      <c r="Y216" s="1">
        <f ca="1">IFERROR(__xludf.DUMMYFUNCTION("""COMPUTED_VALUE"""),0.7)</f>
        <v>0.7</v>
      </c>
      <c r="Z216" s="1">
        <f ca="1">IFERROR(__xludf.DUMMYFUNCTION("""COMPUTED_VALUE"""),358)</f>
        <v>358</v>
      </c>
      <c r="AA216" s="1">
        <f ca="1">IFERROR(__xludf.DUMMYFUNCTION("""COMPUTED_VALUE"""),1212)</f>
        <v>1212</v>
      </c>
      <c r="AB216" s="1">
        <f ca="1">IFERROR(__xludf.DUMMYFUNCTION("""COMPUTED_VALUE"""),484)</f>
        <v>484</v>
      </c>
      <c r="AC216" s="1">
        <f ca="1">IFERROR(__xludf.DUMMYFUNCTION("""COMPUTED_VALUE"""),203)</f>
        <v>203</v>
      </c>
      <c r="AD216" s="1">
        <f ca="1">IFERROR(__xludf.DUMMYFUNCTION("""COMPUTED_VALUE"""),111)</f>
        <v>111</v>
      </c>
      <c r="AE216" s="1">
        <f ca="1">IFERROR(__xludf.DUMMYFUNCTION("""COMPUTED_VALUE"""),437)</f>
        <v>437</v>
      </c>
      <c r="AF216" s="1">
        <f ca="1">IFERROR(__xludf.DUMMYFUNCTION("""COMPUTED_VALUE"""),595)</f>
        <v>595</v>
      </c>
    </row>
    <row r="217" spans="1:32" ht="12.5" x14ac:dyDescent="0.25">
      <c r="A217" s="1" t="str">
        <f ca="1">IFERROR(__xludf.DUMMYFUNCTION("""COMPUTED_VALUE"""),"New MexicoNCAA")</f>
        <v>New MexicoNCAA</v>
      </c>
      <c r="B217" s="1">
        <f ca="1">IFERROR(__xludf.DUMMYFUNCTION("""COMPUTED_VALUE"""),35)</f>
        <v>35</v>
      </c>
      <c r="C217" s="1">
        <f ca="1">IFERROR(__xludf.DUMMYFUNCTION("""COMPUTED_VALUE"""),30)</f>
        <v>30</v>
      </c>
      <c r="D217" s="1">
        <f ca="1">IFERROR(__xludf.DUMMYFUNCTION("""COMPUTED_VALUE"""),5)</f>
        <v>5</v>
      </c>
      <c r="E217" s="1">
        <f ca="1">IFERROR(__xludf.DUMMYFUNCTION("""COMPUTED_VALUE"""),0.857)</f>
        <v>0.85699999999999998</v>
      </c>
      <c r="F217" s="1">
        <f ca="1">IFERROR(__xludf.DUMMYFUNCTION("""COMPUTED_VALUE"""),12.49)</f>
        <v>12.49</v>
      </c>
      <c r="G217" s="1">
        <f ca="1">IFERROR(__xludf.DUMMYFUNCTION("""COMPUTED_VALUE"""),3.84)</f>
        <v>3.84</v>
      </c>
      <c r="H217" s="1">
        <f ca="1">IFERROR(__xludf.DUMMYFUNCTION("""COMPUTED_VALUE"""),14)</f>
        <v>14</v>
      </c>
      <c r="I217" s="1">
        <f ca="1">IFERROR(__xludf.DUMMYFUNCTION("""COMPUTED_VALUE"""),2)</f>
        <v>2</v>
      </c>
      <c r="J217" s="1">
        <f ca="1">IFERROR(__xludf.DUMMYFUNCTION("""COMPUTED_VALUE"""),17)</f>
        <v>17</v>
      </c>
      <c r="K217" s="1">
        <f ca="1">IFERROR(__xludf.DUMMYFUNCTION("""COMPUTED_VALUE"""),1)</f>
        <v>1</v>
      </c>
      <c r="L217" s="1">
        <f ca="1">IFERROR(__xludf.DUMMYFUNCTION("""COMPUTED_VALUE"""),10)</f>
        <v>10</v>
      </c>
      <c r="M217" s="1">
        <f ca="1">IFERROR(__xludf.DUMMYFUNCTION("""COMPUTED_VALUE"""),2)</f>
        <v>2</v>
      </c>
      <c r="N217" s="1">
        <f ca="1">IFERROR(__xludf.DUMMYFUNCTION("""COMPUTED_VALUE"""),2655)</f>
        <v>2655</v>
      </c>
      <c r="O217" s="1">
        <f ca="1">IFERROR(__xludf.DUMMYFUNCTION("""COMPUTED_VALUE"""),2352)</f>
        <v>2352</v>
      </c>
      <c r="P217" s="1">
        <f ca="1">IFERROR(__xludf.DUMMYFUNCTION("""COMPUTED_VALUE"""),1410)</f>
        <v>1410</v>
      </c>
      <c r="Q217" s="1">
        <f ca="1">IFERROR(__xludf.DUMMYFUNCTION("""COMPUTED_VALUE"""),887)</f>
        <v>887</v>
      </c>
      <c r="R217" s="1">
        <f ca="1">IFERROR(__xludf.DUMMYFUNCTION("""COMPUTED_VALUE"""),2023)</f>
        <v>2023</v>
      </c>
      <c r="S217" s="1">
        <f ca="1">IFERROR(__xludf.DUMMYFUNCTION("""COMPUTED_VALUE"""),0.438)</f>
        <v>0.438</v>
      </c>
      <c r="T217" s="1">
        <f ca="1">IFERROR(__xludf.DUMMYFUNCTION("""COMPUTED_VALUE"""),273)</f>
        <v>273</v>
      </c>
      <c r="U217" s="1">
        <f ca="1">IFERROR(__xludf.DUMMYFUNCTION("""COMPUTED_VALUE"""),739)</f>
        <v>739</v>
      </c>
      <c r="V217" s="1">
        <f ca="1">IFERROR(__xludf.DUMMYFUNCTION("""COMPUTED_VALUE"""),0.369)</f>
        <v>0.36899999999999999</v>
      </c>
      <c r="W217" s="1">
        <f ca="1">IFERROR(__xludf.DUMMYFUNCTION("""COMPUTED_VALUE"""),608)</f>
        <v>608</v>
      </c>
      <c r="X217" s="1">
        <f ca="1">IFERROR(__xludf.DUMMYFUNCTION("""COMPUTED_VALUE"""),909)</f>
        <v>909</v>
      </c>
      <c r="Y217" s="1">
        <f ca="1">IFERROR(__xludf.DUMMYFUNCTION("""COMPUTED_VALUE"""),0.669)</f>
        <v>0.66900000000000004</v>
      </c>
      <c r="Z217" s="1">
        <f ca="1">IFERROR(__xludf.DUMMYFUNCTION("""COMPUTED_VALUE"""),458)</f>
        <v>458</v>
      </c>
      <c r="AA217" s="1">
        <f ca="1">IFERROR(__xludf.DUMMYFUNCTION("""COMPUTED_VALUE"""),1347)</f>
        <v>1347</v>
      </c>
      <c r="AB217" s="1">
        <f ca="1">IFERROR(__xludf.DUMMYFUNCTION("""COMPUTED_VALUE"""),497)</f>
        <v>497</v>
      </c>
      <c r="AC217" s="1">
        <f ca="1">IFERROR(__xludf.DUMMYFUNCTION("""COMPUTED_VALUE"""),232)</f>
        <v>232</v>
      </c>
      <c r="AD217" s="1">
        <f ca="1">IFERROR(__xludf.DUMMYFUNCTION("""COMPUTED_VALUE"""),120)</f>
        <v>120</v>
      </c>
      <c r="AE217" s="1">
        <f ca="1">IFERROR(__xludf.DUMMYFUNCTION("""COMPUTED_VALUE"""),387)</f>
        <v>387</v>
      </c>
      <c r="AF217" s="1">
        <f ca="1">IFERROR(__xludf.DUMMYFUNCTION("""COMPUTED_VALUE"""),615)</f>
        <v>615</v>
      </c>
    </row>
    <row r="218" spans="1:32" ht="12.5" x14ac:dyDescent="0.25">
      <c r="A218" s="1" t="str">
        <f ca="1">IFERROR(__xludf.DUMMYFUNCTION("""COMPUTED_VALUE"""),"New Orleans")</f>
        <v>New Orleans</v>
      </c>
      <c r="B218" s="1">
        <f ca="1">IFERROR(__xludf.DUMMYFUNCTION("""COMPUTED_VALUE"""),30)</f>
        <v>30</v>
      </c>
      <c r="C218" s="1">
        <f ca="1">IFERROR(__xludf.DUMMYFUNCTION("""COMPUTED_VALUE"""),8)</f>
        <v>8</v>
      </c>
      <c r="D218" s="1">
        <f ca="1">IFERROR(__xludf.DUMMYFUNCTION("""COMPUTED_VALUE"""),22)</f>
        <v>22</v>
      </c>
      <c r="E218" s="1">
        <f ca="1">IFERROR(__xludf.DUMMYFUNCTION("""COMPUTED_VALUE"""),0.267)</f>
        <v>0.26700000000000002</v>
      </c>
      <c r="F218" s="1">
        <f ca="1">IFERROR(__xludf.DUMMYFUNCTION("""COMPUTED_VALUE"""),-13.5)</f>
        <v>-13.5</v>
      </c>
      <c r="G218" s="1">
        <f ca="1">IFERROR(__xludf.DUMMYFUNCTION("""COMPUTED_VALUE"""),-4.5)</f>
        <v>-4.5</v>
      </c>
      <c r="H218" s="1">
        <f ca="1">IFERROR(__xludf.DUMMYFUNCTION("""COMPUTED_VALUE"""),3)</f>
        <v>3</v>
      </c>
      <c r="I218" s="1">
        <f ca="1">IFERROR(__xludf.DUMMYFUNCTION("""COMPUTED_VALUE"""),15)</f>
        <v>15</v>
      </c>
      <c r="J218" s="1">
        <f ca="1">IFERROR(__xludf.DUMMYFUNCTION("""COMPUTED_VALUE"""),6)</f>
        <v>6</v>
      </c>
      <c r="K218" s="1">
        <f ca="1">IFERROR(__xludf.DUMMYFUNCTION("""COMPUTED_VALUE"""),7)</f>
        <v>7</v>
      </c>
      <c r="L218" s="1">
        <f ca="1">IFERROR(__xludf.DUMMYFUNCTION("""COMPUTED_VALUE"""),2)</f>
        <v>2</v>
      </c>
      <c r="M218" s="1">
        <f ca="1">IFERROR(__xludf.DUMMYFUNCTION("""COMPUTED_VALUE"""),11)</f>
        <v>11</v>
      </c>
      <c r="N218" s="1">
        <f ca="1">IFERROR(__xludf.DUMMYFUNCTION("""COMPUTED_VALUE"""),1778)</f>
        <v>1778</v>
      </c>
      <c r="O218" s="1">
        <f ca="1">IFERROR(__xludf.DUMMYFUNCTION("""COMPUTED_VALUE"""),1986)</f>
        <v>1986</v>
      </c>
      <c r="P218" s="1">
        <f ca="1">IFERROR(__xludf.DUMMYFUNCTION("""COMPUTED_VALUE"""),1205)</f>
        <v>1205</v>
      </c>
      <c r="Q218" s="1">
        <f ca="1">IFERROR(__xludf.DUMMYFUNCTION("""COMPUTED_VALUE"""),593)</f>
        <v>593</v>
      </c>
      <c r="R218" s="1">
        <f ca="1">IFERROR(__xludf.DUMMYFUNCTION("""COMPUTED_VALUE"""),1471)</f>
        <v>1471</v>
      </c>
      <c r="S218" s="1">
        <f ca="1">IFERROR(__xludf.DUMMYFUNCTION("""COMPUTED_VALUE"""),0.403)</f>
        <v>0.40300000000000002</v>
      </c>
      <c r="T218" s="1">
        <f ca="1">IFERROR(__xludf.DUMMYFUNCTION("""COMPUTED_VALUE"""),168)</f>
        <v>168</v>
      </c>
      <c r="U218" s="1">
        <f ca="1">IFERROR(__xludf.DUMMYFUNCTION("""COMPUTED_VALUE"""),497)</f>
        <v>497</v>
      </c>
      <c r="V218" s="1">
        <f ca="1">IFERROR(__xludf.DUMMYFUNCTION("""COMPUTED_VALUE"""),0.338)</f>
        <v>0.33800000000000002</v>
      </c>
      <c r="W218" s="1">
        <f ca="1">IFERROR(__xludf.DUMMYFUNCTION("""COMPUTED_VALUE"""),424)</f>
        <v>424</v>
      </c>
      <c r="X218" s="1">
        <f ca="1">IFERROR(__xludf.DUMMYFUNCTION("""COMPUTED_VALUE"""),618)</f>
        <v>618</v>
      </c>
      <c r="Y218" s="1">
        <f ca="1">IFERROR(__xludf.DUMMYFUNCTION("""COMPUTED_VALUE"""),0.686)</f>
        <v>0.68600000000000005</v>
      </c>
      <c r="Z218" s="1">
        <f ca="1">IFERROR(__xludf.DUMMYFUNCTION("""COMPUTED_VALUE"""),279)</f>
        <v>279</v>
      </c>
      <c r="AA218" s="1">
        <f ca="1">IFERROR(__xludf.DUMMYFUNCTION("""COMPUTED_VALUE"""),951)</f>
        <v>951</v>
      </c>
      <c r="AB218" s="1">
        <f ca="1">IFERROR(__xludf.DUMMYFUNCTION("""COMPUTED_VALUE"""),321)</f>
        <v>321</v>
      </c>
      <c r="AC218" s="1">
        <f ca="1">IFERROR(__xludf.DUMMYFUNCTION("""COMPUTED_VALUE"""),189)</f>
        <v>189</v>
      </c>
      <c r="AD218" s="1">
        <f ca="1">IFERROR(__xludf.DUMMYFUNCTION("""COMPUTED_VALUE"""),61)</f>
        <v>61</v>
      </c>
      <c r="AE218" s="1">
        <f ca="1">IFERROR(__xludf.DUMMYFUNCTION("""COMPUTED_VALUE"""),478)</f>
        <v>478</v>
      </c>
      <c r="AF218" s="1">
        <f ca="1">IFERROR(__xludf.DUMMYFUNCTION("""COMPUTED_VALUE"""),607)</f>
        <v>607</v>
      </c>
    </row>
    <row r="219" spans="1:32" ht="12.5" x14ac:dyDescent="0.25">
      <c r="A219" s="1" t="str">
        <f ca="1">IFERROR(__xludf.DUMMYFUNCTION("""COMPUTED_VALUE"""),"Niagara")</f>
        <v>Niagara</v>
      </c>
      <c r="B219" s="1">
        <f ca="1">IFERROR(__xludf.DUMMYFUNCTION("""COMPUTED_VALUE"""),33)</f>
        <v>33</v>
      </c>
      <c r="C219" s="1">
        <f ca="1">IFERROR(__xludf.DUMMYFUNCTION("""COMPUTED_VALUE"""),18)</f>
        <v>18</v>
      </c>
      <c r="D219" s="1">
        <f ca="1">IFERROR(__xludf.DUMMYFUNCTION("""COMPUTED_VALUE"""),15)</f>
        <v>15</v>
      </c>
      <c r="E219" s="1">
        <f ca="1">IFERROR(__xludf.DUMMYFUNCTION("""COMPUTED_VALUE"""),0.545)</f>
        <v>0.54500000000000004</v>
      </c>
      <c r="F219" s="1">
        <f ca="1">IFERROR(__xludf.DUMMYFUNCTION("""COMPUTED_VALUE"""),0.32)</f>
        <v>0.32</v>
      </c>
      <c r="G219" s="1">
        <f ca="1">IFERROR(__xludf.DUMMYFUNCTION("""COMPUTED_VALUE"""),-2.5)</f>
        <v>-2.5</v>
      </c>
      <c r="H219" s="1">
        <f ca="1">IFERROR(__xludf.DUMMYFUNCTION("""COMPUTED_VALUE"""),9)</f>
        <v>9</v>
      </c>
      <c r="I219" s="1">
        <f ca="1">IFERROR(__xludf.DUMMYFUNCTION("""COMPUTED_VALUE"""),9)</f>
        <v>9</v>
      </c>
      <c r="J219" s="1">
        <f ca="1">IFERROR(__xludf.DUMMYFUNCTION("""COMPUTED_VALUE"""),8)</f>
        <v>8</v>
      </c>
      <c r="K219" s="1">
        <f ca="1">IFERROR(__xludf.DUMMYFUNCTION("""COMPUTED_VALUE"""),3)</f>
        <v>3</v>
      </c>
      <c r="L219" s="1">
        <f ca="1">IFERROR(__xludf.DUMMYFUNCTION("""COMPUTED_VALUE"""),6)</f>
        <v>6</v>
      </c>
      <c r="M219" s="1">
        <f ca="1">IFERROR(__xludf.DUMMYFUNCTION("""COMPUTED_VALUE"""),8)</f>
        <v>8</v>
      </c>
      <c r="N219" s="1">
        <f ca="1">IFERROR(__xludf.DUMMYFUNCTION("""COMPUTED_VALUE"""),2382)</f>
        <v>2382</v>
      </c>
      <c r="O219" s="1">
        <f ca="1">IFERROR(__xludf.DUMMYFUNCTION("""COMPUTED_VALUE"""),2289)</f>
        <v>2289</v>
      </c>
      <c r="P219" s="1">
        <f ca="1">IFERROR(__xludf.DUMMYFUNCTION("""COMPUTED_VALUE"""),1340)</f>
        <v>1340</v>
      </c>
      <c r="Q219" s="1">
        <f ca="1">IFERROR(__xludf.DUMMYFUNCTION("""COMPUTED_VALUE"""),812)</f>
        <v>812</v>
      </c>
      <c r="R219" s="1">
        <f ca="1">IFERROR(__xludf.DUMMYFUNCTION("""COMPUTED_VALUE"""),1990)</f>
        <v>1990</v>
      </c>
      <c r="S219" s="1">
        <f ca="1">IFERROR(__xludf.DUMMYFUNCTION("""COMPUTED_VALUE"""),0.408)</f>
        <v>0.40799999999999997</v>
      </c>
      <c r="T219" s="1">
        <f ca="1">IFERROR(__xludf.DUMMYFUNCTION("""COMPUTED_VALUE"""),254)</f>
        <v>254</v>
      </c>
      <c r="U219" s="1">
        <f ca="1">IFERROR(__xludf.DUMMYFUNCTION("""COMPUTED_VALUE"""),791)</f>
        <v>791</v>
      </c>
      <c r="V219" s="1">
        <f ca="1">IFERROR(__xludf.DUMMYFUNCTION("""COMPUTED_VALUE"""),0.321)</f>
        <v>0.32100000000000001</v>
      </c>
      <c r="W219" s="1">
        <f ca="1">IFERROR(__xludf.DUMMYFUNCTION("""COMPUTED_VALUE"""),504)</f>
        <v>504</v>
      </c>
      <c r="X219" s="1">
        <f ca="1">IFERROR(__xludf.DUMMYFUNCTION("""COMPUTED_VALUE"""),743)</f>
        <v>743</v>
      </c>
      <c r="Y219" s="1">
        <f ca="1">IFERROR(__xludf.DUMMYFUNCTION("""COMPUTED_VALUE"""),0.678)</f>
        <v>0.67800000000000005</v>
      </c>
      <c r="Z219" s="1">
        <f ca="1">IFERROR(__xludf.DUMMYFUNCTION("""COMPUTED_VALUE"""),429)</f>
        <v>429</v>
      </c>
      <c r="AA219" s="1">
        <f ca="1">IFERROR(__xludf.DUMMYFUNCTION("""COMPUTED_VALUE"""),1226)</f>
        <v>1226</v>
      </c>
      <c r="AB219" s="1">
        <f ca="1">IFERROR(__xludf.DUMMYFUNCTION("""COMPUTED_VALUE"""),440)</f>
        <v>440</v>
      </c>
      <c r="AC219" s="1">
        <f ca="1">IFERROR(__xludf.DUMMYFUNCTION("""COMPUTED_VALUE"""),270)</f>
        <v>270</v>
      </c>
      <c r="AD219" s="1">
        <f ca="1">IFERROR(__xludf.DUMMYFUNCTION("""COMPUTED_VALUE"""),148)</f>
        <v>148</v>
      </c>
      <c r="AE219" s="1">
        <f ca="1">IFERROR(__xludf.DUMMYFUNCTION("""COMPUTED_VALUE"""),406)</f>
        <v>406</v>
      </c>
      <c r="AF219" s="1">
        <f ca="1">IFERROR(__xludf.DUMMYFUNCTION("""COMPUTED_VALUE"""),620)</f>
        <v>620</v>
      </c>
    </row>
    <row r="220" spans="1:32" ht="12.5" x14ac:dyDescent="0.25">
      <c r="A220" s="1" t="str">
        <f ca="1">IFERROR(__xludf.DUMMYFUNCTION("""COMPUTED_VALUE"""),"Overall")</f>
        <v>Overall</v>
      </c>
      <c r="B220" s="1" t="str">
        <f ca="1">IFERROR(__xludf.DUMMYFUNCTION("""COMPUTED_VALUE"""),"Conf.")</f>
        <v>Conf.</v>
      </c>
      <c r="C220" s="1" t="str">
        <f ca="1">IFERROR(__xludf.DUMMYFUNCTION("""COMPUTED_VALUE"""),"Home")</f>
        <v>Home</v>
      </c>
      <c r="D220" s="1" t="str">
        <f ca="1">IFERROR(__xludf.DUMMYFUNCTION("""COMPUTED_VALUE"""),"Away")</f>
        <v>Away</v>
      </c>
      <c r="E220" s="1" t="str">
        <f ca="1">IFERROR(__xludf.DUMMYFUNCTION("""COMPUTED_VALUE"""),"Points")</f>
        <v>Points</v>
      </c>
      <c r="F220" s="1" t="str">
        <f ca="1">IFERROR(__xludf.DUMMYFUNCTION("""COMPUTED_VALUE"""),"")</f>
        <v/>
      </c>
      <c r="G220" s="1" t="str">
        <f ca="1">IFERROR(__xludf.DUMMYFUNCTION("""COMPUTED_VALUE"""),"School Totals")</f>
        <v>School Totals</v>
      </c>
      <c r="H220" s="1" t="str">
        <f ca="1">IFERROR(__xludf.DUMMYFUNCTION("""COMPUTED_VALUE"""),"")</f>
        <v/>
      </c>
      <c r="I220" s="1" t="str">
        <f ca="1">IFERROR(__xludf.DUMMYFUNCTION("""COMPUTED_VALUE"""),"")</f>
        <v/>
      </c>
      <c r="J220" s="1" t="str">
        <f ca="1">IFERROR(__xludf.DUMMYFUNCTION("""COMPUTED_VALUE"""),"")</f>
        <v/>
      </c>
      <c r="K220" s="1" t="str">
        <f ca="1">IFERROR(__xludf.DUMMYFUNCTION("""COMPUTED_VALUE"""),"")</f>
        <v/>
      </c>
      <c r="L220" s="1" t="str">
        <f ca="1">IFERROR(__xludf.DUMMYFUNCTION("""COMPUTED_VALUE"""),"")</f>
        <v/>
      </c>
      <c r="M220" s="1" t="str">
        <f ca="1">IFERROR(__xludf.DUMMYFUNCTION("""COMPUTED_VALUE"""),"")</f>
        <v/>
      </c>
      <c r="N220" s="1" t="str">
        <f ca="1">IFERROR(__xludf.DUMMYFUNCTION("""COMPUTED_VALUE"""),"")</f>
        <v/>
      </c>
      <c r="O220" s="1" t="str">
        <f ca="1">IFERROR(__xludf.DUMMYFUNCTION("""COMPUTED_VALUE"""),"")</f>
        <v/>
      </c>
      <c r="P220" s="1" t="str">
        <f ca="1">IFERROR(__xludf.DUMMYFUNCTION("""COMPUTED_VALUE"""),"")</f>
        <v/>
      </c>
      <c r="Q220" s="1" t="str">
        <f ca="1">IFERROR(__xludf.DUMMYFUNCTION("""COMPUTED_VALUE"""),"")</f>
        <v/>
      </c>
      <c r="R220" s="1" t="str">
        <f ca="1">IFERROR(__xludf.DUMMYFUNCTION("""COMPUTED_VALUE"""),"")</f>
        <v/>
      </c>
      <c r="S220" s="1" t="str">
        <f ca="1">IFERROR(__xludf.DUMMYFUNCTION("""COMPUTED_VALUE"""),"")</f>
        <v/>
      </c>
      <c r="T220" s="1" t="str">
        <f ca="1">IFERROR(__xludf.DUMMYFUNCTION("""COMPUTED_VALUE"""),"")</f>
        <v/>
      </c>
      <c r="U220" s="1" t="str">
        <f ca="1">IFERROR(__xludf.DUMMYFUNCTION("""COMPUTED_VALUE"""),"")</f>
        <v/>
      </c>
      <c r="V220" s="1" t="str">
        <f ca="1">IFERROR(__xludf.DUMMYFUNCTION("""COMPUTED_VALUE"""),"")</f>
        <v/>
      </c>
      <c r="W220" s="1" t="str">
        <f ca="1">IFERROR(__xludf.DUMMYFUNCTION("""COMPUTED_VALUE"""),"")</f>
        <v/>
      </c>
      <c r="X220" s="1" t="str">
        <f ca="1">IFERROR(__xludf.DUMMYFUNCTION("""COMPUTED_VALUE"""),"")</f>
        <v/>
      </c>
      <c r="Y220" s="1" t="str">
        <f ca="1">IFERROR(__xludf.DUMMYFUNCTION("""COMPUTED_VALUE"""),"")</f>
        <v/>
      </c>
      <c r="Z220" s="1" t="str">
        <f ca="1">IFERROR(__xludf.DUMMYFUNCTION("""COMPUTED_VALUE"""),"")</f>
        <v/>
      </c>
      <c r="AA220" s="1" t="str">
        <f ca="1">IFERROR(__xludf.DUMMYFUNCTION("""COMPUTED_VALUE"""),"")</f>
        <v/>
      </c>
      <c r="AB220" s="1" t="str">
        <f ca="1">IFERROR(__xludf.DUMMYFUNCTION("""COMPUTED_VALUE"""),"")</f>
        <v/>
      </c>
      <c r="AC220" s="1" t="str">
        <f ca="1">IFERROR(__xludf.DUMMYFUNCTION("""COMPUTED_VALUE"""),"")</f>
        <v/>
      </c>
      <c r="AD220" s="1" t="str">
        <f ca="1">IFERROR(__xludf.DUMMYFUNCTION("""COMPUTED_VALUE"""),"")</f>
        <v/>
      </c>
      <c r="AE220" s="1" t="str">
        <f ca="1">IFERROR(__xludf.DUMMYFUNCTION("""COMPUTED_VALUE"""),"")</f>
        <v/>
      </c>
      <c r="AF220" s="1" t="str">
        <f ca="1">IFERROR(__xludf.DUMMYFUNCTION("""COMPUTED_VALUE"""),"")</f>
        <v/>
      </c>
    </row>
    <row r="221" spans="1:32" ht="12.5" x14ac:dyDescent="0.25">
      <c r="A221" s="1" t="str">
        <f ca="1">IFERROR(__xludf.DUMMYFUNCTION("""COMPUTED_VALUE"""),"School")</f>
        <v>School</v>
      </c>
      <c r="B221" s="1" t="str">
        <f ca="1">IFERROR(__xludf.DUMMYFUNCTION("""COMPUTED_VALUE"""),"G")</f>
        <v>G</v>
      </c>
      <c r="C221" s="1" t="str">
        <f ca="1">IFERROR(__xludf.DUMMYFUNCTION("""COMPUTED_VALUE"""),"W")</f>
        <v>W</v>
      </c>
      <c r="D221" s="1" t="str">
        <f ca="1">IFERROR(__xludf.DUMMYFUNCTION("""COMPUTED_VALUE"""),"L")</f>
        <v>L</v>
      </c>
      <c r="E221" s="1" t="str">
        <f ca="1">IFERROR(__xludf.DUMMYFUNCTION("""COMPUTED_VALUE"""),"W-L%")</f>
        <v>W-L%</v>
      </c>
      <c r="F221" s="1" t="str">
        <f ca="1">IFERROR(__xludf.DUMMYFUNCTION("""COMPUTED_VALUE"""),"SRS")</f>
        <v>SRS</v>
      </c>
      <c r="G221" s="1" t="str">
        <f ca="1">IFERROR(__xludf.DUMMYFUNCTION("""COMPUTED_VALUE"""),"SOS")</f>
        <v>SOS</v>
      </c>
      <c r="H221" s="1" t="str">
        <f ca="1">IFERROR(__xludf.DUMMYFUNCTION("""COMPUTED_VALUE"""),"W")</f>
        <v>W</v>
      </c>
      <c r="I221" s="1" t="str">
        <f ca="1">IFERROR(__xludf.DUMMYFUNCTION("""COMPUTED_VALUE"""),"L")</f>
        <v>L</v>
      </c>
      <c r="J221" s="1" t="str">
        <f ca="1">IFERROR(__xludf.DUMMYFUNCTION("""COMPUTED_VALUE"""),"W")</f>
        <v>W</v>
      </c>
      <c r="K221" s="1" t="str">
        <f ca="1">IFERROR(__xludf.DUMMYFUNCTION("""COMPUTED_VALUE"""),"L")</f>
        <v>L</v>
      </c>
      <c r="L221" s="1" t="str">
        <f ca="1">IFERROR(__xludf.DUMMYFUNCTION("""COMPUTED_VALUE"""),"W")</f>
        <v>W</v>
      </c>
      <c r="M221" s="1" t="str">
        <f ca="1">IFERROR(__xludf.DUMMYFUNCTION("""COMPUTED_VALUE"""),"L")</f>
        <v>L</v>
      </c>
      <c r="N221" s="1" t="str">
        <f ca="1">IFERROR(__xludf.DUMMYFUNCTION("""COMPUTED_VALUE"""),"Tm.")</f>
        <v>Tm.</v>
      </c>
      <c r="O221" s="1" t="str">
        <f ca="1">IFERROR(__xludf.DUMMYFUNCTION("""COMPUTED_VALUE"""),"Opp.")</f>
        <v>Opp.</v>
      </c>
      <c r="P221" s="1" t="str">
        <f ca="1">IFERROR(__xludf.DUMMYFUNCTION("""COMPUTED_VALUE"""),"MP")</f>
        <v>MP</v>
      </c>
      <c r="Q221" s="1" t="str">
        <f ca="1">IFERROR(__xludf.DUMMYFUNCTION("""COMPUTED_VALUE"""),"FG")</f>
        <v>FG</v>
      </c>
      <c r="R221" s="1" t="str">
        <f ca="1">IFERROR(__xludf.DUMMYFUNCTION("""COMPUTED_VALUE"""),"FGA")</f>
        <v>FGA</v>
      </c>
      <c r="S221" s="1" t="str">
        <f ca="1">IFERROR(__xludf.DUMMYFUNCTION("""COMPUTED_VALUE"""),"FG%")</f>
        <v>FG%</v>
      </c>
      <c r="T221" s="1" t="str">
        <f ca="1">IFERROR(__xludf.DUMMYFUNCTION("""COMPUTED_VALUE"""),"3P")</f>
        <v>3P</v>
      </c>
      <c r="U221" s="1" t="str">
        <f ca="1">IFERROR(__xludf.DUMMYFUNCTION("""COMPUTED_VALUE"""),"3PA")</f>
        <v>3PA</v>
      </c>
      <c r="V221" s="1" t="str">
        <f ca="1">IFERROR(__xludf.DUMMYFUNCTION("""COMPUTED_VALUE"""),"3P%")</f>
        <v>3P%</v>
      </c>
      <c r="W221" s="1" t="str">
        <f ca="1">IFERROR(__xludf.DUMMYFUNCTION("""COMPUTED_VALUE"""),"FT")</f>
        <v>FT</v>
      </c>
      <c r="X221" s="1" t="str">
        <f ca="1">IFERROR(__xludf.DUMMYFUNCTION("""COMPUTED_VALUE"""),"FTA")</f>
        <v>FTA</v>
      </c>
      <c r="Y221" s="1" t="str">
        <f ca="1">IFERROR(__xludf.DUMMYFUNCTION("""COMPUTED_VALUE"""),"FT%")</f>
        <v>FT%</v>
      </c>
      <c r="Z221" s="1" t="str">
        <f ca="1">IFERROR(__xludf.DUMMYFUNCTION("""COMPUTED_VALUE"""),"ORB")</f>
        <v>ORB</v>
      </c>
      <c r="AA221" s="1" t="str">
        <f ca="1">IFERROR(__xludf.DUMMYFUNCTION("""COMPUTED_VALUE"""),"TRB")</f>
        <v>TRB</v>
      </c>
      <c r="AB221" s="1" t="str">
        <f ca="1">IFERROR(__xludf.DUMMYFUNCTION("""COMPUTED_VALUE"""),"AST")</f>
        <v>AST</v>
      </c>
      <c r="AC221" s="1" t="str">
        <f ca="1">IFERROR(__xludf.DUMMYFUNCTION("""COMPUTED_VALUE"""),"STL")</f>
        <v>STL</v>
      </c>
      <c r="AD221" s="1" t="str">
        <f ca="1">IFERROR(__xludf.DUMMYFUNCTION("""COMPUTED_VALUE"""),"BLK")</f>
        <v>BLK</v>
      </c>
      <c r="AE221" s="1" t="str">
        <f ca="1">IFERROR(__xludf.DUMMYFUNCTION("""COMPUTED_VALUE"""),"TOV")</f>
        <v>TOV</v>
      </c>
      <c r="AF221" s="1" t="str">
        <f ca="1">IFERROR(__xludf.DUMMYFUNCTION("""COMPUTED_VALUE"""),"PF")</f>
        <v>PF</v>
      </c>
    </row>
    <row r="222" spans="1:32" ht="12.5" x14ac:dyDescent="0.25">
      <c r="A222" s="1" t="str">
        <f ca="1">IFERROR(__xludf.DUMMYFUNCTION("""COMPUTED_VALUE"""),"Nicholls State")</f>
        <v>Nicholls State</v>
      </c>
      <c r="B222" s="1">
        <f ca="1">IFERROR(__xludf.DUMMYFUNCTION("""COMPUTED_VALUE"""),30)</f>
        <v>30</v>
      </c>
      <c r="C222" s="1">
        <f ca="1">IFERROR(__xludf.DUMMYFUNCTION("""COMPUTED_VALUE"""),11)</f>
        <v>11</v>
      </c>
      <c r="D222" s="1">
        <f ca="1">IFERROR(__xludf.DUMMYFUNCTION("""COMPUTED_VALUE"""),19)</f>
        <v>19</v>
      </c>
      <c r="E222" s="1">
        <f ca="1">IFERROR(__xludf.DUMMYFUNCTION("""COMPUTED_VALUE"""),0.367)</f>
        <v>0.36699999999999999</v>
      </c>
      <c r="F222" s="1">
        <f ca="1">IFERROR(__xludf.DUMMYFUNCTION("""COMPUTED_VALUE"""),-10.99)</f>
        <v>-10.99</v>
      </c>
      <c r="G222" s="1">
        <f ca="1">IFERROR(__xludf.DUMMYFUNCTION("""COMPUTED_VALUE"""),-2.61)</f>
        <v>-2.61</v>
      </c>
      <c r="H222" s="1">
        <f ca="1">IFERROR(__xludf.DUMMYFUNCTION("""COMPUTED_VALUE"""),7)</f>
        <v>7</v>
      </c>
      <c r="I222" s="1">
        <f ca="1">IFERROR(__xludf.DUMMYFUNCTION("""COMPUTED_VALUE"""),9)</f>
        <v>9</v>
      </c>
      <c r="J222" s="1">
        <f ca="1">IFERROR(__xludf.DUMMYFUNCTION("""COMPUTED_VALUE"""),9)</f>
        <v>9</v>
      </c>
      <c r="K222" s="1">
        <f ca="1">IFERROR(__xludf.DUMMYFUNCTION("""COMPUTED_VALUE"""),2)</f>
        <v>2</v>
      </c>
      <c r="L222" s="1">
        <f ca="1">IFERROR(__xludf.DUMMYFUNCTION("""COMPUTED_VALUE"""),2)</f>
        <v>2</v>
      </c>
      <c r="M222" s="1">
        <f ca="1">IFERROR(__xludf.DUMMYFUNCTION("""COMPUTED_VALUE"""),12)</f>
        <v>12</v>
      </c>
      <c r="N222" s="1">
        <f ca="1">IFERROR(__xludf.DUMMYFUNCTION("""COMPUTED_VALUE"""),1967)</f>
        <v>1967</v>
      </c>
      <c r="O222" s="1">
        <f ca="1">IFERROR(__xludf.DUMMYFUNCTION("""COMPUTED_VALUE"""),2114)</f>
        <v>2114</v>
      </c>
      <c r="P222" s="1">
        <f ca="1">IFERROR(__xludf.DUMMYFUNCTION("""COMPUTED_VALUE"""),1215)</f>
        <v>1215</v>
      </c>
      <c r="Q222" s="1">
        <f ca="1">IFERROR(__xludf.DUMMYFUNCTION("""COMPUTED_VALUE"""),667)</f>
        <v>667</v>
      </c>
      <c r="R222" s="1">
        <f ca="1">IFERROR(__xludf.DUMMYFUNCTION("""COMPUTED_VALUE"""),1530)</f>
        <v>1530</v>
      </c>
      <c r="S222" s="1">
        <f ca="1">IFERROR(__xludf.DUMMYFUNCTION("""COMPUTED_VALUE"""),0.436)</f>
        <v>0.436</v>
      </c>
      <c r="T222" s="1">
        <f ca="1">IFERROR(__xludf.DUMMYFUNCTION("""COMPUTED_VALUE"""),202)</f>
        <v>202</v>
      </c>
      <c r="U222" s="1">
        <f ca="1">IFERROR(__xludf.DUMMYFUNCTION("""COMPUTED_VALUE"""),609)</f>
        <v>609</v>
      </c>
      <c r="V222" s="1">
        <f ca="1">IFERROR(__xludf.DUMMYFUNCTION("""COMPUTED_VALUE"""),0.332)</f>
        <v>0.33200000000000002</v>
      </c>
      <c r="W222" s="1">
        <f ca="1">IFERROR(__xludf.DUMMYFUNCTION("""COMPUTED_VALUE"""),431)</f>
        <v>431</v>
      </c>
      <c r="X222" s="1">
        <f ca="1">IFERROR(__xludf.DUMMYFUNCTION("""COMPUTED_VALUE"""),624)</f>
        <v>624</v>
      </c>
      <c r="Y222" s="1">
        <f ca="1">IFERROR(__xludf.DUMMYFUNCTION("""COMPUTED_VALUE"""),0.691)</f>
        <v>0.69099999999999995</v>
      </c>
      <c r="Z222" s="1">
        <f ca="1">IFERROR(__xludf.DUMMYFUNCTION("""COMPUTED_VALUE"""),266)</f>
        <v>266</v>
      </c>
      <c r="AA222" s="1">
        <f ca="1">IFERROR(__xludf.DUMMYFUNCTION("""COMPUTED_VALUE"""),815)</f>
        <v>815</v>
      </c>
      <c r="AB222" s="1">
        <f ca="1">IFERROR(__xludf.DUMMYFUNCTION("""COMPUTED_VALUE"""),404)</f>
        <v>404</v>
      </c>
      <c r="AC222" s="1">
        <f ca="1">IFERROR(__xludf.DUMMYFUNCTION("""COMPUTED_VALUE"""),258)</f>
        <v>258</v>
      </c>
      <c r="AD222" s="1">
        <f ca="1">IFERROR(__xludf.DUMMYFUNCTION("""COMPUTED_VALUE"""),31)</f>
        <v>31</v>
      </c>
      <c r="AE222" s="1">
        <f ca="1">IFERROR(__xludf.DUMMYFUNCTION("""COMPUTED_VALUE"""),398)</f>
        <v>398</v>
      </c>
      <c r="AF222" s="1">
        <f ca="1">IFERROR(__xludf.DUMMYFUNCTION("""COMPUTED_VALUE"""),640)</f>
        <v>640</v>
      </c>
    </row>
    <row r="223" spans="1:32" ht="12.5" x14ac:dyDescent="0.25">
      <c r="A223" s="1" t="str">
        <f ca="1">IFERROR(__xludf.DUMMYFUNCTION("""COMPUTED_VALUE"""),"NJIT")</f>
        <v>NJIT</v>
      </c>
      <c r="B223" s="1">
        <f ca="1">IFERROR(__xludf.DUMMYFUNCTION("""COMPUTED_VALUE"""),31)</f>
        <v>31</v>
      </c>
      <c r="C223" s="1">
        <f ca="1">IFERROR(__xludf.DUMMYFUNCTION("""COMPUTED_VALUE"""),10)</f>
        <v>10</v>
      </c>
      <c r="D223" s="1">
        <f ca="1">IFERROR(__xludf.DUMMYFUNCTION("""COMPUTED_VALUE"""),21)</f>
        <v>21</v>
      </c>
      <c r="E223" s="1">
        <f ca="1">IFERROR(__xludf.DUMMYFUNCTION("""COMPUTED_VALUE"""),0.323)</f>
        <v>0.32300000000000001</v>
      </c>
      <c r="F223" s="1">
        <f ca="1">IFERROR(__xludf.DUMMYFUNCTION("""COMPUTED_VALUE"""),-19.59)</f>
        <v>-19.59</v>
      </c>
      <c r="G223" s="1">
        <f ca="1">IFERROR(__xludf.DUMMYFUNCTION("""COMPUTED_VALUE"""),-8.24)</f>
        <v>-8.24</v>
      </c>
      <c r="H223" s="1">
        <f ca="1">IFERROR(__xludf.DUMMYFUNCTION("""COMPUTED_VALUE"""),4)</f>
        <v>4</v>
      </c>
      <c r="I223" s="1">
        <f ca="1">IFERROR(__xludf.DUMMYFUNCTION("""COMPUTED_VALUE"""),8)</f>
        <v>8</v>
      </c>
      <c r="J223" s="1">
        <f ca="1">IFERROR(__xludf.DUMMYFUNCTION("""COMPUTED_VALUE"""),8)</f>
        <v>8</v>
      </c>
      <c r="K223" s="1">
        <f ca="1">IFERROR(__xludf.DUMMYFUNCTION("""COMPUTED_VALUE"""),5)</f>
        <v>5</v>
      </c>
      <c r="L223" s="1">
        <f ca="1">IFERROR(__xludf.DUMMYFUNCTION("""COMPUTED_VALUE"""),1)</f>
        <v>1</v>
      </c>
      <c r="M223" s="1">
        <f ca="1">IFERROR(__xludf.DUMMYFUNCTION("""COMPUTED_VALUE"""),15)</f>
        <v>15</v>
      </c>
      <c r="N223" s="1">
        <f ca="1">IFERROR(__xludf.DUMMYFUNCTION("""COMPUTED_VALUE"""),1905)</f>
        <v>1905</v>
      </c>
      <c r="O223" s="1">
        <f ca="1">IFERROR(__xludf.DUMMYFUNCTION("""COMPUTED_VALUE"""),2070)</f>
        <v>2070</v>
      </c>
      <c r="P223" s="1">
        <f ca="1">IFERROR(__xludf.DUMMYFUNCTION("""COMPUTED_VALUE"""),1240)</f>
        <v>1240</v>
      </c>
      <c r="Q223" s="1">
        <f ca="1">IFERROR(__xludf.DUMMYFUNCTION("""COMPUTED_VALUE"""),665)</f>
        <v>665</v>
      </c>
      <c r="R223" s="1">
        <f ca="1">IFERROR(__xludf.DUMMYFUNCTION("""COMPUTED_VALUE"""),1757)</f>
        <v>1757</v>
      </c>
      <c r="S223" s="1">
        <f ca="1">IFERROR(__xludf.DUMMYFUNCTION("""COMPUTED_VALUE"""),0.378)</f>
        <v>0.378</v>
      </c>
      <c r="T223" s="1">
        <f ca="1">IFERROR(__xludf.DUMMYFUNCTION("""COMPUTED_VALUE"""),196)</f>
        <v>196</v>
      </c>
      <c r="U223" s="1">
        <f ca="1">IFERROR(__xludf.DUMMYFUNCTION("""COMPUTED_VALUE"""),624)</f>
        <v>624</v>
      </c>
      <c r="V223" s="1">
        <f ca="1">IFERROR(__xludf.DUMMYFUNCTION("""COMPUTED_VALUE"""),0.314)</f>
        <v>0.314</v>
      </c>
      <c r="W223" s="1">
        <f ca="1">IFERROR(__xludf.DUMMYFUNCTION("""COMPUTED_VALUE"""),379)</f>
        <v>379</v>
      </c>
      <c r="X223" s="1">
        <f ca="1">IFERROR(__xludf.DUMMYFUNCTION("""COMPUTED_VALUE"""),584)</f>
        <v>584</v>
      </c>
      <c r="Y223" s="1">
        <f ca="1">IFERROR(__xludf.DUMMYFUNCTION("""COMPUTED_VALUE"""),0.649)</f>
        <v>0.64900000000000002</v>
      </c>
      <c r="Z223" s="1">
        <f ca="1">IFERROR(__xludf.DUMMYFUNCTION("""COMPUTED_VALUE"""),344)</f>
        <v>344</v>
      </c>
      <c r="AA223" s="1">
        <f ca="1">IFERROR(__xludf.DUMMYFUNCTION("""COMPUTED_VALUE"""),1064)</f>
        <v>1064</v>
      </c>
      <c r="AB223" s="1">
        <f ca="1">IFERROR(__xludf.DUMMYFUNCTION("""COMPUTED_VALUE"""),376)</f>
        <v>376</v>
      </c>
      <c r="AC223" s="1">
        <f ca="1">IFERROR(__xludf.DUMMYFUNCTION("""COMPUTED_VALUE"""),229)</f>
        <v>229</v>
      </c>
      <c r="AD223" s="1">
        <f ca="1">IFERROR(__xludf.DUMMYFUNCTION("""COMPUTED_VALUE"""),96)</f>
        <v>96</v>
      </c>
      <c r="AE223" s="1">
        <f ca="1">IFERROR(__xludf.DUMMYFUNCTION("""COMPUTED_VALUE"""),461)</f>
        <v>461</v>
      </c>
      <c r="AF223" s="1">
        <f ca="1">IFERROR(__xludf.DUMMYFUNCTION("""COMPUTED_VALUE"""),615)</f>
        <v>615</v>
      </c>
    </row>
    <row r="224" spans="1:32" ht="12.5" x14ac:dyDescent="0.25">
      <c r="A224" s="1" t="str">
        <f ca="1">IFERROR(__xludf.DUMMYFUNCTION("""COMPUTED_VALUE"""),"Norfolk State")</f>
        <v>Norfolk State</v>
      </c>
      <c r="B224" s="1">
        <f ca="1">IFERROR(__xludf.DUMMYFUNCTION("""COMPUTED_VALUE"""),30)</f>
        <v>30</v>
      </c>
      <c r="C224" s="1">
        <f ca="1">IFERROR(__xludf.DUMMYFUNCTION("""COMPUTED_VALUE"""),11)</f>
        <v>11</v>
      </c>
      <c r="D224" s="1">
        <f ca="1">IFERROR(__xludf.DUMMYFUNCTION("""COMPUTED_VALUE"""),19)</f>
        <v>19</v>
      </c>
      <c r="E224" s="1">
        <f ca="1">IFERROR(__xludf.DUMMYFUNCTION("""COMPUTED_VALUE"""),0.367)</f>
        <v>0.36699999999999999</v>
      </c>
      <c r="F224" s="1">
        <f ca="1">IFERROR(__xludf.DUMMYFUNCTION("""COMPUTED_VALUE"""),-11.89)</f>
        <v>-11.89</v>
      </c>
      <c r="G224" s="1">
        <f ca="1">IFERROR(__xludf.DUMMYFUNCTION("""COMPUTED_VALUE"""),-6.42)</f>
        <v>-6.42</v>
      </c>
      <c r="H224" s="1">
        <f ca="1">IFERROR(__xludf.DUMMYFUNCTION("""COMPUTED_VALUE"""),9)</f>
        <v>9</v>
      </c>
      <c r="I224" s="1">
        <f ca="1">IFERROR(__xludf.DUMMYFUNCTION("""COMPUTED_VALUE"""),7)</f>
        <v>7</v>
      </c>
      <c r="J224" s="1">
        <f ca="1">IFERROR(__xludf.DUMMYFUNCTION("""COMPUTED_VALUE"""),6)</f>
        <v>6</v>
      </c>
      <c r="K224" s="1">
        <f ca="1">IFERROR(__xludf.DUMMYFUNCTION("""COMPUTED_VALUE"""),4)</f>
        <v>4</v>
      </c>
      <c r="L224" s="1">
        <f ca="1">IFERROR(__xludf.DUMMYFUNCTION("""COMPUTED_VALUE"""),5)</f>
        <v>5</v>
      </c>
      <c r="M224" s="1">
        <f ca="1">IFERROR(__xludf.DUMMYFUNCTION("""COMPUTED_VALUE"""),11)</f>
        <v>11</v>
      </c>
      <c r="N224" s="1">
        <f ca="1">IFERROR(__xludf.DUMMYFUNCTION("""COMPUTED_VALUE"""),2119)</f>
        <v>2119</v>
      </c>
      <c r="O224" s="1">
        <f ca="1">IFERROR(__xludf.DUMMYFUNCTION("""COMPUTED_VALUE"""),2260)</f>
        <v>2260</v>
      </c>
      <c r="P224" s="1">
        <f ca="1">IFERROR(__xludf.DUMMYFUNCTION("""COMPUTED_VALUE"""),1220)</f>
        <v>1220</v>
      </c>
      <c r="Q224" s="1">
        <f ca="1">IFERROR(__xludf.DUMMYFUNCTION("""COMPUTED_VALUE"""),778)</f>
        <v>778</v>
      </c>
      <c r="R224" s="1">
        <f ca="1">IFERROR(__xludf.DUMMYFUNCTION("""COMPUTED_VALUE"""),1692)</f>
        <v>1692</v>
      </c>
      <c r="S224" s="1">
        <f ca="1">IFERROR(__xludf.DUMMYFUNCTION("""COMPUTED_VALUE"""),0.46)</f>
        <v>0.46</v>
      </c>
      <c r="T224" s="1">
        <f ca="1">IFERROR(__xludf.DUMMYFUNCTION("""COMPUTED_VALUE"""),128)</f>
        <v>128</v>
      </c>
      <c r="U224" s="1">
        <f ca="1">IFERROR(__xludf.DUMMYFUNCTION("""COMPUTED_VALUE"""),436)</f>
        <v>436</v>
      </c>
      <c r="V224" s="1">
        <f ca="1">IFERROR(__xludf.DUMMYFUNCTION("""COMPUTED_VALUE"""),0.294)</f>
        <v>0.29399999999999998</v>
      </c>
      <c r="W224" s="1">
        <f ca="1">IFERROR(__xludf.DUMMYFUNCTION("""COMPUTED_VALUE"""),435)</f>
        <v>435</v>
      </c>
      <c r="X224" s="1">
        <f ca="1">IFERROR(__xludf.DUMMYFUNCTION("""COMPUTED_VALUE"""),684)</f>
        <v>684</v>
      </c>
      <c r="Y224" s="1">
        <f ca="1">IFERROR(__xludf.DUMMYFUNCTION("""COMPUTED_VALUE"""),0.636)</f>
        <v>0.63600000000000001</v>
      </c>
      <c r="Z224" s="1">
        <f ca="1">IFERROR(__xludf.DUMMYFUNCTION("""COMPUTED_VALUE"""),349)</f>
        <v>349</v>
      </c>
      <c r="AA224" s="1">
        <f ca="1">IFERROR(__xludf.DUMMYFUNCTION("""COMPUTED_VALUE"""),1119)</f>
        <v>1119</v>
      </c>
      <c r="AB224" s="1">
        <f ca="1">IFERROR(__xludf.DUMMYFUNCTION("""COMPUTED_VALUE"""),342)</f>
        <v>342</v>
      </c>
      <c r="AC224" s="1">
        <f ca="1">IFERROR(__xludf.DUMMYFUNCTION("""COMPUTED_VALUE"""),251)</f>
        <v>251</v>
      </c>
      <c r="AD224" s="1">
        <f ca="1">IFERROR(__xludf.DUMMYFUNCTION("""COMPUTED_VALUE"""),96)</f>
        <v>96</v>
      </c>
      <c r="AE224" s="1">
        <f ca="1">IFERROR(__xludf.DUMMYFUNCTION("""COMPUTED_VALUE"""),542)</f>
        <v>542</v>
      </c>
      <c r="AF224" s="1">
        <f ca="1">IFERROR(__xludf.DUMMYFUNCTION("""COMPUTED_VALUE"""),681)</f>
        <v>681</v>
      </c>
    </row>
    <row r="225" spans="1:32" ht="12.5" x14ac:dyDescent="0.25">
      <c r="A225" s="1" t="str">
        <f ca="1">IFERROR(__xludf.DUMMYFUNCTION("""COMPUTED_VALUE"""),"North Carolina-Asheville")</f>
        <v>North Carolina-Asheville</v>
      </c>
      <c r="B225" s="1">
        <f ca="1">IFERROR(__xludf.DUMMYFUNCTION("""COMPUTED_VALUE"""),31)</f>
        <v>31</v>
      </c>
      <c r="C225" s="1">
        <f ca="1">IFERROR(__xludf.DUMMYFUNCTION("""COMPUTED_VALUE"""),15)</f>
        <v>15</v>
      </c>
      <c r="D225" s="1">
        <f ca="1">IFERROR(__xludf.DUMMYFUNCTION("""COMPUTED_VALUE"""),16)</f>
        <v>16</v>
      </c>
      <c r="E225" s="1">
        <f ca="1">IFERROR(__xludf.DUMMYFUNCTION("""COMPUTED_VALUE"""),0.484)</f>
        <v>0.48399999999999999</v>
      </c>
      <c r="F225" s="1">
        <f ca="1">IFERROR(__xludf.DUMMYFUNCTION("""COMPUTED_VALUE"""),-14.36)</f>
        <v>-14.36</v>
      </c>
      <c r="G225" s="1">
        <f ca="1">IFERROR(__xludf.DUMMYFUNCTION("""COMPUTED_VALUE"""),-6.47)</f>
        <v>-6.47</v>
      </c>
      <c r="H225" s="1">
        <f ca="1">IFERROR(__xludf.DUMMYFUNCTION("""COMPUTED_VALUE"""),11)</f>
        <v>11</v>
      </c>
      <c r="I225" s="1">
        <f ca="1">IFERROR(__xludf.DUMMYFUNCTION("""COMPUTED_VALUE"""),7)</f>
        <v>7</v>
      </c>
      <c r="J225" s="1">
        <f ca="1">IFERROR(__xludf.DUMMYFUNCTION("""COMPUTED_VALUE"""),11)</f>
        <v>11</v>
      </c>
      <c r="K225" s="1">
        <f ca="1">IFERROR(__xludf.DUMMYFUNCTION("""COMPUTED_VALUE"""),5)</f>
        <v>5</v>
      </c>
      <c r="L225" s="1">
        <f ca="1">IFERROR(__xludf.DUMMYFUNCTION("""COMPUTED_VALUE"""),4)</f>
        <v>4</v>
      </c>
      <c r="M225" s="1">
        <f ca="1">IFERROR(__xludf.DUMMYFUNCTION("""COMPUTED_VALUE"""),10)</f>
        <v>10</v>
      </c>
      <c r="N225" s="1">
        <f ca="1">IFERROR(__xludf.DUMMYFUNCTION("""COMPUTED_VALUE"""),2296)</f>
        <v>2296</v>
      </c>
      <c r="O225" s="1">
        <f ca="1">IFERROR(__xludf.DUMMYFUNCTION("""COMPUTED_VALUE"""),2401)</f>
        <v>2401</v>
      </c>
      <c r="P225" s="1">
        <f ca="1">IFERROR(__xludf.DUMMYFUNCTION("""COMPUTED_VALUE"""),1255)</f>
        <v>1255</v>
      </c>
      <c r="Q225" s="1">
        <f ca="1">IFERROR(__xludf.DUMMYFUNCTION("""COMPUTED_VALUE"""),822)</f>
        <v>822</v>
      </c>
      <c r="R225" s="1">
        <f ca="1">IFERROR(__xludf.DUMMYFUNCTION("""COMPUTED_VALUE"""),1852)</f>
        <v>1852</v>
      </c>
      <c r="S225" s="1">
        <f ca="1">IFERROR(__xludf.DUMMYFUNCTION("""COMPUTED_VALUE"""),0.444)</f>
        <v>0.44400000000000001</v>
      </c>
      <c r="T225" s="1">
        <f ca="1">IFERROR(__xludf.DUMMYFUNCTION("""COMPUTED_VALUE"""),169)</f>
        <v>169</v>
      </c>
      <c r="U225" s="1">
        <f ca="1">IFERROR(__xludf.DUMMYFUNCTION("""COMPUTED_VALUE"""),557)</f>
        <v>557</v>
      </c>
      <c r="V225" s="1">
        <f ca="1">IFERROR(__xludf.DUMMYFUNCTION("""COMPUTED_VALUE"""),0.303)</f>
        <v>0.30299999999999999</v>
      </c>
      <c r="W225" s="1">
        <f ca="1">IFERROR(__xludf.DUMMYFUNCTION("""COMPUTED_VALUE"""),483)</f>
        <v>483</v>
      </c>
      <c r="X225" s="1">
        <f ca="1">IFERROR(__xludf.DUMMYFUNCTION("""COMPUTED_VALUE"""),717)</f>
        <v>717</v>
      </c>
      <c r="Y225" s="1">
        <f ca="1">IFERROR(__xludf.DUMMYFUNCTION("""COMPUTED_VALUE"""),0.674)</f>
        <v>0.67400000000000004</v>
      </c>
      <c r="Z225" s="1">
        <f ca="1">IFERROR(__xludf.DUMMYFUNCTION("""COMPUTED_VALUE"""),405)</f>
        <v>405</v>
      </c>
      <c r="AA225" s="1">
        <f ca="1">IFERROR(__xludf.DUMMYFUNCTION("""COMPUTED_VALUE"""),1229)</f>
        <v>1229</v>
      </c>
      <c r="AB225" s="1">
        <f ca="1">IFERROR(__xludf.DUMMYFUNCTION("""COMPUTED_VALUE"""),507)</f>
        <v>507</v>
      </c>
      <c r="AC225" s="1">
        <f ca="1">IFERROR(__xludf.DUMMYFUNCTION("""COMPUTED_VALUE"""),232)</f>
        <v>232</v>
      </c>
      <c r="AD225" s="1">
        <f ca="1">IFERROR(__xludf.DUMMYFUNCTION("""COMPUTED_VALUE"""),177)</f>
        <v>177</v>
      </c>
      <c r="AE225" s="1">
        <f ca="1">IFERROR(__xludf.DUMMYFUNCTION("""COMPUTED_VALUE"""),521)</f>
        <v>521</v>
      </c>
      <c r="AF225" s="1">
        <f ca="1">IFERROR(__xludf.DUMMYFUNCTION("""COMPUTED_VALUE"""),603)</f>
        <v>603</v>
      </c>
    </row>
    <row r="226" spans="1:32" ht="12.5" x14ac:dyDescent="0.25">
      <c r="A226" s="1" t="str">
        <f ca="1">IFERROR(__xludf.DUMMYFUNCTION("""COMPUTED_VALUE"""),"North Carolina A&amp;T")</f>
        <v>North Carolina A&amp;T</v>
      </c>
      <c r="B226" s="1">
        <f ca="1">IFERROR(__xludf.DUMMYFUNCTION("""COMPUTED_VALUE"""),33)</f>
        <v>33</v>
      </c>
      <c r="C226" s="1">
        <f ca="1">IFERROR(__xludf.DUMMYFUNCTION("""COMPUTED_VALUE"""),11)</f>
        <v>11</v>
      </c>
      <c r="D226" s="1">
        <f ca="1">IFERROR(__xludf.DUMMYFUNCTION("""COMPUTED_VALUE"""),22)</f>
        <v>22</v>
      </c>
      <c r="E226" s="1">
        <f ca="1">IFERROR(__xludf.DUMMYFUNCTION("""COMPUTED_VALUE"""),0.333)</f>
        <v>0.33300000000000002</v>
      </c>
      <c r="F226" s="1">
        <f ca="1">IFERROR(__xludf.DUMMYFUNCTION("""COMPUTED_VALUE"""),-12.02)</f>
        <v>-12.02</v>
      </c>
      <c r="G226" s="1">
        <f ca="1">IFERROR(__xludf.DUMMYFUNCTION("""COMPUTED_VALUE"""),-5.66)</f>
        <v>-5.66</v>
      </c>
      <c r="H226" s="1">
        <f ca="1">IFERROR(__xludf.DUMMYFUNCTION("""COMPUTED_VALUE"""),6)</f>
        <v>6</v>
      </c>
      <c r="I226" s="1">
        <f ca="1">IFERROR(__xludf.DUMMYFUNCTION("""COMPUTED_VALUE"""),10)</f>
        <v>10</v>
      </c>
      <c r="J226" s="1">
        <f ca="1">IFERROR(__xludf.DUMMYFUNCTION("""COMPUTED_VALUE"""),7)</f>
        <v>7</v>
      </c>
      <c r="K226" s="1">
        <f ca="1">IFERROR(__xludf.DUMMYFUNCTION("""COMPUTED_VALUE"""),6)</f>
        <v>6</v>
      </c>
      <c r="L226" s="1">
        <f ca="1">IFERROR(__xludf.DUMMYFUNCTION("""COMPUTED_VALUE"""),3)</f>
        <v>3</v>
      </c>
      <c r="M226" s="1">
        <f ca="1">IFERROR(__xludf.DUMMYFUNCTION("""COMPUTED_VALUE"""),15)</f>
        <v>15</v>
      </c>
      <c r="N226" s="1">
        <f ca="1">IFERROR(__xludf.DUMMYFUNCTION("""COMPUTED_VALUE"""),2241)</f>
        <v>2241</v>
      </c>
      <c r="O226" s="1">
        <f ca="1">IFERROR(__xludf.DUMMYFUNCTION("""COMPUTED_VALUE"""),2376)</f>
        <v>2376</v>
      </c>
      <c r="P226" s="1">
        <f ca="1">IFERROR(__xludf.DUMMYFUNCTION("""COMPUTED_VALUE"""),1325)</f>
        <v>1325</v>
      </c>
      <c r="Q226" s="1">
        <f ca="1">IFERROR(__xludf.DUMMYFUNCTION("""COMPUTED_VALUE"""),774)</f>
        <v>774</v>
      </c>
      <c r="R226" s="1">
        <f ca="1">IFERROR(__xludf.DUMMYFUNCTION("""COMPUTED_VALUE"""),1931)</f>
        <v>1931</v>
      </c>
      <c r="S226" s="1">
        <f ca="1">IFERROR(__xludf.DUMMYFUNCTION("""COMPUTED_VALUE"""),0.401)</f>
        <v>0.40100000000000002</v>
      </c>
      <c r="T226" s="1">
        <f ca="1">IFERROR(__xludf.DUMMYFUNCTION("""COMPUTED_VALUE"""),265)</f>
        <v>265</v>
      </c>
      <c r="U226" s="1">
        <f ca="1">IFERROR(__xludf.DUMMYFUNCTION("""COMPUTED_VALUE"""),863)</f>
        <v>863</v>
      </c>
      <c r="V226" s="1">
        <f ca="1">IFERROR(__xludf.DUMMYFUNCTION("""COMPUTED_VALUE"""),0.307)</f>
        <v>0.307</v>
      </c>
      <c r="W226" s="1">
        <f ca="1">IFERROR(__xludf.DUMMYFUNCTION("""COMPUTED_VALUE"""),428)</f>
        <v>428</v>
      </c>
      <c r="X226" s="1">
        <f ca="1">IFERROR(__xludf.DUMMYFUNCTION("""COMPUTED_VALUE"""),686)</f>
        <v>686</v>
      </c>
      <c r="Y226" s="1">
        <f ca="1">IFERROR(__xludf.DUMMYFUNCTION("""COMPUTED_VALUE"""),0.624)</f>
        <v>0.624</v>
      </c>
      <c r="Z226" s="1">
        <f ca="1">IFERROR(__xludf.DUMMYFUNCTION("""COMPUTED_VALUE"""),403)</f>
        <v>403</v>
      </c>
      <c r="AA226" s="1">
        <f ca="1">IFERROR(__xludf.DUMMYFUNCTION("""COMPUTED_VALUE"""),1224)</f>
        <v>1224</v>
      </c>
      <c r="AB226" s="1">
        <f ca="1">IFERROR(__xludf.DUMMYFUNCTION("""COMPUTED_VALUE"""),410)</f>
        <v>410</v>
      </c>
      <c r="AC226" s="1">
        <f ca="1">IFERROR(__xludf.DUMMYFUNCTION("""COMPUTED_VALUE"""),219)</f>
        <v>219</v>
      </c>
      <c r="AD226" s="1">
        <f ca="1">IFERROR(__xludf.DUMMYFUNCTION("""COMPUTED_VALUE"""),164)</f>
        <v>164</v>
      </c>
      <c r="AE226" s="1">
        <f ca="1">IFERROR(__xludf.DUMMYFUNCTION("""COMPUTED_VALUE"""),501)</f>
        <v>501</v>
      </c>
      <c r="AF226" s="1">
        <f ca="1">IFERROR(__xludf.DUMMYFUNCTION("""COMPUTED_VALUE"""),570)</f>
        <v>570</v>
      </c>
    </row>
    <row r="227" spans="1:32" ht="12.5" x14ac:dyDescent="0.25">
      <c r="A227" s="1" t="str">
        <f ca="1">IFERROR(__xludf.DUMMYFUNCTION("""COMPUTED_VALUE"""),"North Carolina Central")</f>
        <v>North Carolina Central</v>
      </c>
      <c r="B227" s="1">
        <f ca="1">IFERROR(__xludf.DUMMYFUNCTION("""COMPUTED_VALUE"""),29)</f>
        <v>29</v>
      </c>
      <c r="C227" s="1">
        <f ca="1">IFERROR(__xludf.DUMMYFUNCTION("""COMPUTED_VALUE"""),7)</f>
        <v>7</v>
      </c>
      <c r="D227" s="1">
        <f ca="1">IFERROR(__xludf.DUMMYFUNCTION("""COMPUTED_VALUE"""),22)</f>
        <v>22</v>
      </c>
      <c r="E227" s="1">
        <f ca="1">IFERROR(__xludf.DUMMYFUNCTION("""COMPUTED_VALUE"""),0.241)</f>
        <v>0.24099999999999999</v>
      </c>
      <c r="F227" s="1" t="str">
        <f ca="1">IFERROR(__xludf.DUMMYFUNCTION("""COMPUTED_VALUE"""),"")</f>
        <v/>
      </c>
      <c r="G227" s="1" t="str">
        <f ca="1">IFERROR(__xludf.DUMMYFUNCTION("""COMPUTED_VALUE"""),"")</f>
        <v/>
      </c>
      <c r="H227" s="1" t="str">
        <f ca="1">IFERROR(__xludf.DUMMYFUNCTION("""COMPUTED_VALUE"""),"")</f>
        <v/>
      </c>
      <c r="I227" s="1" t="str">
        <f ca="1">IFERROR(__xludf.DUMMYFUNCTION("""COMPUTED_VALUE"""),"")</f>
        <v/>
      </c>
      <c r="J227" s="1">
        <f ca="1">IFERROR(__xludf.DUMMYFUNCTION("""COMPUTED_VALUE"""),7)</f>
        <v>7</v>
      </c>
      <c r="K227" s="1">
        <f ca="1">IFERROR(__xludf.DUMMYFUNCTION("""COMPUTED_VALUE"""),4)</f>
        <v>4</v>
      </c>
      <c r="L227" s="1">
        <f ca="1">IFERROR(__xludf.DUMMYFUNCTION("""COMPUTED_VALUE"""),0)</f>
        <v>0</v>
      </c>
      <c r="M227" s="1">
        <f ca="1">IFERROR(__xludf.DUMMYFUNCTION("""COMPUTED_VALUE"""),16)</f>
        <v>16</v>
      </c>
      <c r="N227" s="1">
        <f ca="1">IFERROR(__xludf.DUMMYFUNCTION("""COMPUTED_VALUE"""),1748)</f>
        <v>1748</v>
      </c>
      <c r="O227" s="1">
        <f ca="1">IFERROR(__xludf.DUMMYFUNCTION("""COMPUTED_VALUE"""),2043)</f>
        <v>2043</v>
      </c>
      <c r="P227" s="1">
        <f ca="1">IFERROR(__xludf.DUMMYFUNCTION("""COMPUTED_VALUE"""),1166)</f>
        <v>1166</v>
      </c>
      <c r="Q227" s="1">
        <f ca="1">IFERROR(__xludf.DUMMYFUNCTION("""COMPUTED_VALUE"""),638)</f>
        <v>638</v>
      </c>
      <c r="R227" s="1">
        <f ca="1">IFERROR(__xludf.DUMMYFUNCTION("""COMPUTED_VALUE"""),1621)</f>
        <v>1621</v>
      </c>
      <c r="S227" s="1">
        <f ca="1">IFERROR(__xludf.DUMMYFUNCTION("""COMPUTED_VALUE"""),0.394)</f>
        <v>0.39400000000000002</v>
      </c>
      <c r="T227" s="1">
        <f ca="1">IFERROR(__xludf.DUMMYFUNCTION("""COMPUTED_VALUE"""),146)</f>
        <v>146</v>
      </c>
      <c r="U227" s="1">
        <f ca="1">IFERROR(__xludf.DUMMYFUNCTION("""COMPUTED_VALUE"""),450)</f>
        <v>450</v>
      </c>
      <c r="V227" s="1">
        <f ca="1">IFERROR(__xludf.DUMMYFUNCTION("""COMPUTED_VALUE"""),0.324)</f>
        <v>0.32400000000000001</v>
      </c>
      <c r="W227" s="1">
        <f ca="1">IFERROR(__xludf.DUMMYFUNCTION("""COMPUTED_VALUE"""),326)</f>
        <v>326</v>
      </c>
      <c r="X227" s="1">
        <f ca="1">IFERROR(__xludf.DUMMYFUNCTION("""COMPUTED_VALUE"""),485)</f>
        <v>485</v>
      </c>
      <c r="Y227" s="1">
        <f ca="1">IFERROR(__xludf.DUMMYFUNCTION("""COMPUTED_VALUE"""),0.672)</f>
        <v>0.67200000000000004</v>
      </c>
      <c r="Z227" s="1">
        <f ca="1">IFERROR(__xludf.DUMMYFUNCTION("""COMPUTED_VALUE"""),349)</f>
        <v>349</v>
      </c>
      <c r="AA227" s="1">
        <f ca="1">IFERROR(__xludf.DUMMYFUNCTION("""COMPUTED_VALUE"""),913)</f>
        <v>913</v>
      </c>
      <c r="AB227" s="1">
        <f ca="1">IFERROR(__xludf.DUMMYFUNCTION("""COMPUTED_VALUE"""),368)</f>
        <v>368</v>
      </c>
      <c r="AC227" s="1">
        <f ca="1">IFERROR(__xludf.DUMMYFUNCTION("""COMPUTED_VALUE"""),237)</f>
        <v>237</v>
      </c>
      <c r="AD227" s="1">
        <f ca="1">IFERROR(__xludf.DUMMYFUNCTION("""COMPUTED_VALUE"""),90)</f>
        <v>90</v>
      </c>
      <c r="AE227" s="1">
        <f ca="1">IFERROR(__xludf.DUMMYFUNCTION("""COMPUTED_VALUE"""),485)</f>
        <v>485</v>
      </c>
      <c r="AF227" s="1">
        <f ca="1">IFERROR(__xludf.DUMMYFUNCTION("""COMPUTED_VALUE"""),546)</f>
        <v>546</v>
      </c>
    </row>
    <row r="228" spans="1:32" ht="12.5" x14ac:dyDescent="0.25">
      <c r="A228" s="1" t="str">
        <f ca="1">IFERROR(__xludf.DUMMYFUNCTION("""COMPUTED_VALUE"""),"North Carolina-Greensboro")</f>
        <v>North Carolina-Greensboro</v>
      </c>
      <c r="B228" s="1">
        <f ca="1">IFERROR(__xludf.DUMMYFUNCTION("""COMPUTED_VALUE"""),31)</f>
        <v>31</v>
      </c>
      <c r="C228" s="1">
        <f ca="1">IFERROR(__xludf.DUMMYFUNCTION("""COMPUTED_VALUE"""),8)</f>
        <v>8</v>
      </c>
      <c r="D228" s="1">
        <f ca="1">IFERROR(__xludf.DUMMYFUNCTION("""COMPUTED_VALUE"""),23)</f>
        <v>23</v>
      </c>
      <c r="E228" s="1">
        <f ca="1">IFERROR(__xludf.DUMMYFUNCTION("""COMPUTED_VALUE"""),0.258)</f>
        <v>0.25800000000000001</v>
      </c>
      <c r="F228" s="1">
        <f ca="1">IFERROR(__xludf.DUMMYFUNCTION("""COMPUTED_VALUE"""),-8.24)</f>
        <v>-8.24</v>
      </c>
      <c r="G228" s="1">
        <f ca="1">IFERROR(__xludf.DUMMYFUNCTION("""COMPUTED_VALUE"""),0.63)</f>
        <v>0.63</v>
      </c>
      <c r="H228" s="1">
        <f ca="1">IFERROR(__xludf.DUMMYFUNCTION("""COMPUTED_VALUE"""),6)</f>
        <v>6</v>
      </c>
      <c r="I228" s="1">
        <f ca="1">IFERROR(__xludf.DUMMYFUNCTION("""COMPUTED_VALUE"""),12)</f>
        <v>12</v>
      </c>
      <c r="J228" s="1">
        <f ca="1">IFERROR(__xludf.DUMMYFUNCTION("""COMPUTED_VALUE"""),4)</f>
        <v>4</v>
      </c>
      <c r="K228" s="1">
        <f ca="1">IFERROR(__xludf.DUMMYFUNCTION("""COMPUTED_VALUE"""),11)</f>
        <v>11</v>
      </c>
      <c r="L228" s="1">
        <f ca="1">IFERROR(__xludf.DUMMYFUNCTION("""COMPUTED_VALUE"""),3)</f>
        <v>3</v>
      </c>
      <c r="M228" s="1">
        <f ca="1">IFERROR(__xludf.DUMMYFUNCTION("""COMPUTED_VALUE"""),11)</f>
        <v>11</v>
      </c>
      <c r="N228" s="1">
        <f ca="1">IFERROR(__xludf.DUMMYFUNCTION("""COMPUTED_VALUE"""),1966)</f>
        <v>1966</v>
      </c>
      <c r="O228" s="1">
        <f ca="1">IFERROR(__xludf.DUMMYFUNCTION("""COMPUTED_VALUE"""),2226)</f>
        <v>2226</v>
      </c>
      <c r="P228" s="1">
        <f ca="1">IFERROR(__xludf.DUMMYFUNCTION("""COMPUTED_VALUE"""),1240)</f>
        <v>1240</v>
      </c>
      <c r="Q228" s="1">
        <f ca="1">IFERROR(__xludf.DUMMYFUNCTION("""COMPUTED_VALUE"""),696)</f>
        <v>696</v>
      </c>
      <c r="R228" s="1">
        <f ca="1">IFERROR(__xludf.DUMMYFUNCTION("""COMPUTED_VALUE"""),1803)</f>
        <v>1803</v>
      </c>
      <c r="S228" s="1">
        <f ca="1">IFERROR(__xludf.DUMMYFUNCTION("""COMPUTED_VALUE"""),0.386)</f>
        <v>0.38600000000000001</v>
      </c>
      <c r="T228" s="1">
        <f ca="1">IFERROR(__xludf.DUMMYFUNCTION("""COMPUTED_VALUE"""),148)</f>
        <v>148</v>
      </c>
      <c r="U228" s="1">
        <f ca="1">IFERROR(__xludf.DUMMYFUNCTION("""COMPUTED_VALUE"""),515)</f>
        <v>515</v>
      </c>
      <c r="V228" s="1">
        <f ca="1">IFERROR(__xludf.DUMMYFUNCTION("""COMPUTED_VALUE"""),0.287)</f>
        <v>0.28699999999999998</v>
      </c>
      <c r="W228" s="1">
        <f ca="1">IFERROR(__xludf.DUMMYFUNCTION("""COMPUTED_VALUE"""),426)</f>
        <v>426</v>
      </c>
      <c r="X228" s="1">
        <f ca="1">IFERROR(__xludf.DUMMYFUNCTION("""COMPUTED_VALUE"""),610)</f>
        <v>610</v>
      </c>
      <c r="Y228" s="1">
        <f ca="1">IFERROR(__xludf.DUMMYFUNCTION("""COMPUTED_VALUE"""),0.698)</f>
        <v>0.69799999999999995</v>
      </c>
      <c r="Z228" s="1">
        <f ca="1">IFERROR(__xludf.DUMMYFUNCTION("""COMPUTED_VALUE"""),440)</f>
        <v>440</v>
      </c>
      <c r="AA228" s="1">
        <f ca="1">IFERROR(__xludf.DUMMYFUNCTION("""COMPUTED_VALUE"""),1120)</f>
        <v>1120</v>
      </c>
      <c r="AB228" s="1">
        <f ca="1">IFERROR(__xludf.DUMMYFUNCTION("""COMPUTED_VALUE"""),286)</f>
        <v>286</v>
      </c>
      <c r="AC228" s="1">
        <f ca="1">IFERROR(__xludf.DUMMYFUNCTION("""COMPUTED_VALUE"""),186)</f>
        <v>186</v>
      </c>
      <c r="AD228" s="1">
        <f ca="1">IFERROR(__xludf.DUMMYFUNCTION("""COMPUTED_VALUE"""),97)</f>
        <v>97</v>
      </c>
      <c r="AE228" s="1">
        <f ca="1">IFERROR(__xludf.DUMMYFUNCTION("""COMPUTED_VALUE"""),444)</f>
        <v>444</v>
      </c>
      <c r="AF228" s="1">
        <f ca="1">IFERROR(__xludf.DUMMYFUNCTION("""COMPUTED_VALUE"""),593)</f>
        <v>593</v>
      </c>
    </row>
    <row r="229" spans="1:32" ht="12.5" x14ac:dyDescent="0.25">
      <c r="A229" s="1" t="str">
        <f ca="1">IFERROR(__xludf.DUMMYFUNCTION("""COMPUTED_VALUE"""),"North Carolina State")</f>
        <v>North Carolina State</v>
      </c>
      <c r="B229" s="1">
        <f ca="1">IFERROR(__xludf.DUMMYFUNCTION("""COMPUTED_VALUE"""),36)</f>
        <v>36</v>
      </c>
      <c r="C229" s="1">
        <f ca="1">IFERROR(__xludf.DUMMYFUNCTION("""COMPUTED_VALUE"""),20)</f>
        <v>20</v>
      </c>
      <c r="D229" s="1">
        <f ca="1">IFERROR(__xludf.DUMMYFUNCTION("""COMPUTED_VALUE"""),16)</f>
        <v>16</v>
      </c>
      <c r="E229" s="1">
        <f ca="1">IFERROR(__xludf.DUMMYFUNCTION("""COMPUTED_VALUE"""),0.556)</f>
        <v>0.55600000000000005</v>
      </c>
      <c r="F229" s="1">
        <f ca="1">IFERROR(__xludf.DUMMYFUNCTION("""COMPUTED_VALUE"""),8.47)</f>
        <v>8.4700000000000006</v>
      </c>
      <c r="G229" s="1">
        <f ca="1">IFERROR(__xludf.DUMMYFUNCTION("""COMPUTED_VALUE"""),7.3)</f>
        <v>7.3</v>
      </c>
      <c r="H229" s="1">
        <f ca="1">IFERROR(__xludf.DUMMYFUNCTION("""COMPUTED_VALUE"""),5)</f>
        <v>5</v>
      </c>
      <c r="I229" s="1">
        <f ca="1">IFERROR(__xludf.DUMMYFUNCTION("""COMPUTED_VALUE"""),11)</f>
        <v>11</v>
      </c>
      <c r="J229" s="1">
        <f ca="1">IFERROR(__xludf.DUMMYFUNCTION("""COMPUTED_VALUE"""),10)</f>
        <v>10</v>
      </c>
      <c r="K229" s="1">
        <f ca="1">IFERROR(__xludf.DUMMYFUNCTION("""COMPUTED_VALUE"""),7)</f>
        <v>7</v>
      </c>
      <c r="L229" s="1">
        <f ca="1">IFERROR(__xludf.DUMMYFUNCTION("""COMPUTED_VALUE"""),5)</f>
        <v>5</v>
      </c>
      <c r="M229" s="1">
        <f ca="1">IFERROR(__xludf.DUMMYFUNCTION("""COMPUTED_VALUE"""),8)</f>
        <v>8</v>
      </c>
      <c r="N229" s="1">
        <f ca="1">IFERROR(__xludf.DUMMYFUNCTION("""COMPUTED_VALUE"""),2398)</f>
        <v>2398</v>
      </c>
      <c r="O229" s="1">
        <f ca="1">IFERROR(__xludf.DUMMYFUNCTION("""COMPUTED_VALUE"""),2322)</f>
        <v>2322</v>
      </c>
      <c r="P229" s="1">
        <f ca="1">IFERROR(__xludf.DUMMYFUNCTION("""COMPUTED_VALUE"""),1445)</f>
        <v>1445</v>
      </c>
      <c r="Q229" s="1">
        <f ca="1">IFERROR(__xludf.DUMMYFUNCTION("""COMPUTED_VALUE"""),857)</f>
        <v>857</v>
      </c>
      <c r="R229" s="1">
        <f ca="1">IFERROR(__xludf.DUMMYFUNCTION("""COMPUTED_VALUE"""),1975)</f>
        <v>1975</v>
      </c>
      <c r="S229" s="1">
        <f ca="1">IFERROR(__xludf.DUMMYFUNCTION("""COMPUTED_VALUE"""),0.434)</f>
        <v>0.434</v>
      </c>
      <c r="T229" s="1">
        <f ca="1">IFERROR(__xludf.DUMMYFUNCTION("""COMPUTED_VALUE"""),193)</f>
        <v>193</v>
      </c>
      <c r="U229" s="1">
        <f ca="1">IFERROR(__xludf.DUMMYFUNCTION("""COMPUTED_VALUE"""),580)</f>
        <v>580</v>
      </c>
      <c r="V229" s="1">
        <f ca="1">IFERROR(__xludf.DUMMYFUNCTION("""COMPUTED_VALUE"""),0.333)</f>
        <v>0.33300000000000002</v>
      </c>
      <c r="W229" s="1">
        <f ca="1">IFERROR(__xludf.DUMMYFUNCTION("""COMPUTED_VALUE"""),491)</f>
        <v>491</v>
      </c>
      <c r="X229" s="1">
        <f ca="1">IFERROR(__xludf.DUMMYFUNCTION("""COMPUTED_VALUE"""),723)</f>
        <v>723</v>
      </c>
      <c r="Y229" s="1">
        <f ca="1">IFERROR(__xludf.DUMMYFUNCTION("""COMPUTED_VALUE"""),0.679)</f>
        <v>0.67900000000000005</v>
      </c>
      <c r="Z229" s="1">
        <f ca="1">IFERROR(__xludf.DUMMYFUNCTION("""COMPUTED_VALUE"""),411)</f>
        <v>411</v>
      </c>
      <c r="AA229" s="1">
        <f ca="1">IFERROR(__xludf.DUMMYFUNCTION("""COMPUTED_VALUE"""),1257)</f>
        <v>1257</v>
      </c>
      <c r="AB229" s="1">
        <f ca="1">IFERROR(__xludf.DUMMYFUNCTION("""COMPUTED_VALUE"""),483)</f>
        <v>483</v>
      </c>
      <c r="AC229" s="1">
        <f ca="1">IFERROR(__xludf.DUMMYFUNCTION("""COMPUTED_VALUE"""),234)</f>
        <v>234</v>
      </c>
      <c r="AD229" s="1">
        <f ca="1">IFERROR(__xludf.DUMMYFUNCTION("""COMPUTED_VALUE"""),154)</f>
        <v>154</v>
      </c>
      <c r="AE229" s="1">
        <f ca="1">IFERROR(__xludf.DUMMYFUNCTION("""COMPUTED_VALUE"""),472)</f>
        <v>472</v>
      </c>
      <c r="AF229" s="1">
        <f ca="1">IFERROR(__xludf.DUMMYFUNCTION("""COMPUTED_VALUE"""),653)</f>
        <v>653</v>
      </c>
    </row>
    <row r="230" spans="1:32" ht="12.5" x14ac:dyDescent="0.25">
      <c r="A230" s="1" t="str">
        <f ca="1">IFERROR(__xludf.DUMMYFUNCTION("""COMPUTED_VALUE"""),"North Carolina-Wilmington")</f>
        <v>North Carolina-Wilmington</v>
      </c>
      <c r="B230" s="1">
        <f ca="1">IFERROR(__xludf.DUMMYFUNCTION("""COMPUTED_VALUE"""),31)</f>
        <v>31</v>
      </c>
      <c r="C230" s="1">
        <f ca="1">IFERROR(__xludf.DUMMYFUNCTION("""COMPUTED_VALUE"""),9)</f>
        <v>9</v>
      </c>
      <c r="D230" s="1">
        <f ca="1">IFERROR(__xludf.DUMMYFUNCTION("""COMPUTED_VALUE"""),22)</f>
        <v>22</v>
      </c>
      <c r="E230" s="1">
        <f ca="1">IFERROR(__xludf.DUMMYFUNCTION("""COMPUTED_VALUE"""),0.29)</f>
        <v>0.28999999999999998</v>
      </c>
      <c r="F230" s="1">
        <f ca="1">IFERROR(__xludf.DUMMYFUNCTION("""COMPUTED_VALUE"""),-4.35)</f>
        <v>-4.3499999999999996</v>
      </c>
      <c r="G230" s="1">
        <f ca="1">IFERROR(__xludf.DUMMYFUNCTION("""COMPUTED_VALUE"""),0.94)</f>
        <v>0.94</v>
      </c>
      <c r="H230" s="1">
        <f ca="1">IFERROR(__xludf.DUMMYFUNCTION("""COMPUTED_VALUE"""),5)</f>
        <v>5</v>
      </c>
      <c r="I230" s="1">
        <f ca="1">IFERROR(__xludf.DUMMYFUNCTION("""COMPUTED_VALUE"""),13)</f>
        <v>13</v>
      </c>
      <c r="J230" s="1">
        <f ca="1">IFERROR(__xludf.DUMMYFUNCTION("""COMPUTED_VALUE"""),4)</f>
        <v>4</v>
      </c>
      <c r="K230" s="1">
        <f ca="1">IFERROR(__xludf.DUMMYFUNCTION("""COMPUTED_VALUE"""),9)</f>
        <v>9</v>
      </c>
      <c r="L230" s="1">
        <f ca="1">IFERROR(__xludf.DUMMYFUNCTION("""COMPUTED_VALUE"""),4)</f>
        <v>4</v>
      </c>
      <c r="M230" s="1">
        <f ca="1">IFERROR(__xludf.DUMMYFUNCTION("""COMPUTED_VALUE"""),10)</f>
        <v>10</v>
      </c>
      <c r="N230" s="1">
        <f ca="1">IFERROR(__xludf.DUMMYFUNCTION("""COMPUTED_VALUE"""),2051)</f>
        <v>2051</v>
      </c>
      <c r="O230" s="1">
        <f ca="1">IFERROR(__xludf.DUMMYFUNCTION("""COMPUTED_VALUE"""),2215)</f>
        <v>2215</v>
      </c>
      <c r="P230" s="1">
        <f ca="1">IFERROR(__xludf.DUMMYFUNCTION("""COMPUTED_VALUE"""),1240)</f>
        <v>1240</v>
      </c>
      <c r="Q230" s="1">
        <f ca="1">IFERROR(__xludf.DUMMYFUNCTION("""COMPUTED_VALUE"""),722)</f>
        <v>722</v>
      </c>
      <c r="R230" s="1">
        <f ca="1">IFERROR(__xludf.DUMMYFUNCTION("""COMPUTED_VALUE"""),1741)</f>
        <v>1741</v>
      </c>
      <c r="S230" s="1">
        <f ca="1">IFERROR(__xludf.DUMMYFUNCTION("""COMPUTED_VALUE"""),0.415)</f>
        <v>0.41499999999999998</v>
      </c>
      <c r="T230" s="1">
        <f ca="1">IFERROR(__xludf.DUMMYFUNCTION("""COMPUTED_VALUE"""),207)</f>
        <v>207</v>
      </c>
      <c r="U230" s="1">
        <f ca="1">IFERROR(__xludf.DUMMYFUNCTION("""COMPUTED_VALUE"""),620)</f>
        <v>620</v>
      </c>
      <c r="V230" s="1">
        <f ca="1">IFERROR(__xludf.DUMMYFUNCTION("""COMPUTED_VALUE"""),0.334)</f>
        <v>0.33400000000000002</v>
      </c>
      <c r="W230" s="1">
        <f ca="1">IFERROR(__xludf.DUMMYFUNCTION("""COMPUTED_VALUE"""),400)</f>
        <v>400</v>
      </c>
      <c r="X230" s="1">
        <f ca="1">IFERROR(__xludf.DUMMYFUNCTION("""COMPUTED_VALUE"""),620)</f>
        <v>620</v>
      </c>
      <c r="Y230" s="1">
        <f ca="1">IFERROR(__xludf.DUMMYFUNCTION("""COMPUTED_VALUE"""),0.645)</f>
        <v>0.64500000000000002</v>
      </c>
      <c r="Z230" s="1">
        <f ca="1">IFERROR(__xludf.DUMMYFUNCTION("""COMPUTED_VALUE"""),391)</f>
        <v>391</v>
      </c>
      <c r="AA230" s="1">
        <f ca="1">IFERROR(__xludf.DUMMYFUNCTION("""COMPUTED_VALUE"""),1135)</f>
        <v>1135</v>
      </c>
      <c r="AB230" s="1">
        <f ca="1">IFERROR(__xludf.DUMMYFUNCTION("""COMPUTED_VALUE"""),393)</f>
        <v>393</v>
      </c>
      <c r="AC230" s="1">
        <f ca="1">IFERROR(__xludf.DUMMYFUNCTION("""COMPUTED_VALUE"""),159)</f>
        <v>159</v>
      </c>
      <c r="AD230" s="1">
        <f ca="1">IFERROR(__xludf.DUMMYFUNCTION("""COMPUTED_VALUE"""),151)</f>
        <v>151</v>
      </c>
      <c r="AE230" s="1">
        <f ca="1">IFERROR(__xludf.DUMMYFUNCTION("""COMPUTED_VALUE"""),492)</f>
        <v>492</v>
      </c>
      <c r="AF230" s="1">
        <f ca="1">IFERROR(__xludf.DUMMYFUNCTION("""COMPUTED_VALUE"""),633)</f>
        <v>633</v>
      </c>
    </row>
    <row r="231" spans="1:32" ht="12.5" x14ac:dyDescent="0.25">
      <c r="A231" s="1" t="str">
        <f ca="1">IFERROR(__xludf.DUMMYFUNCTION("""COMPUTED_VALUE"""),"North Carolina")</f>
        <v>North Carolina</v>
      </c>
      <c r="B231" s="1">
        <f ca="1">IFERROR(__xludf.DUMMYFUNCTION("""COMPUTED_VALUE"""),37)</f>
        <v>37</v>
      </c>
      <c r="C231" s="1">
        <f ca="1">IFERROR(__xludf.DUMMYFUNCTION("""COMPUTED_VALUE"""),20)</f>
        <v>20</v>
      </c>
      <c r="D231" s="1">
        <f ca="1">IFERROR(__xludf.DUMMYFUNCTION("""COMPUTED_VALUE"""),17)</f>
        <v>17</v>
      </c>
      <c r="E231" s="1">
        <f ca="1">IFERROR(__xludf.DUMMYFUNCTION("""COMPUTED_VALUE"""),0.541)</f>
        <v>0.54100000000000004</v>
      </c>
      <c r="F231" s="1">
        <f ca="1">IFERROR(__xludf.DUMMYFUNCTION("""COMPUTED_VALUE"""),10.14)</f>
        <v>10.14</v>
      </c>
      <c r="G231" s="1">
        <f ca="1">IFERROR(__xludf.DUMMYFUNCTION("""COMPUTED_VALUE"""),9.83)</f>
        <v>9.83</v>
      </c>
      <c r="H231" s="1">
        <f ca="1">IFERROR(__xludf.DUMMYFUNCTION("""COMPUTED_VALUE"""),5)</f>
        <v>5</v>
      </c>
      <c r="I231" s="1">
        <f ca="1">IFERROR(__xludf.DUMMYFUNCTION("""COMPUTED_VALUE"""),11)</f>
        <v>11</v>
      </c>
      <c r="J231" s="1">
        <f ca="1">IFERROR(__xludf.DUMMYFUNCTION("""COMPUTED_VALUE"""),14)</f>
        <v>14</v>
      </c>
      <c r="K231" s="1">
        <f ca="1">IFERROR(__xludf.DUMMYFUNCTION("""COMPUTED_VALUE"""),5)</f>
        <v>5</v>
      </c>
      <c r="L231" s="1">
        <f ca="1">IFERROR(__xludf.DUMMYFUNCTION("""COMPUTED_VALUE"""),4)</f>
        <v>4</v>
      </c>
      <c r="M231" s="1">
        <f ca="1">IFERROR(__xludf.DUMMYFUNCTION("""COMPUTED_VALUE"""),8)</f>
        <v>8</v>
      </c>
      <c r="N231" s="1">
        <f ca="1">IFERROR(__xludf.DUMMYFUNCTION("""COMPUTED_VALUE"""),2758)</f>
        <v>2758</v>
      </c>
      <c r="O231" s="1">
        <f ca="1">IFERROR(__xludf.DUMMYFUNCTION("""COMPUTED_VALUE"""),2661)</f>
        <v>2661</v>
      </c>
      <c r="P231" s="1">
        <f ca="1">IFERROR(__xludf.DUMMYFUNCTION("""COMPUTED_VALUE"""),1491)</f>
        <v>1491</v>
      </c>
      <c r="Q231" s="1">
        <f ca="1">IFERROR(__xludf.DUMMYFUNCTION("""COMPUTED_VALUE"""),1012)</f>
        <v>1012</v>
      </c>
      <c r="R231" s="1">
        <f ca="1">IFERROR(__xludf.DUMMYFUNCTION("""COMPUTED_VALUE"""),2292)</f>
        <v>2292</v>
      </c>
      <c r="S231" s="1">
        <f ca="1">IFERROR(__xludf.DUMMYFUNCTION("""COMPUTED_VALUE"""),0.442)</f>
        <v>0.442</v>
      </c>
      <c r="T231" s="1">
        <f ca="1">IFERROR(__xludf.DUMMYFUNCTION("""COMPUTED_VALUE"""),176)</f>
        <v>176</v>
      </c>
      <c r="U231" s="1">
        <f ca="1">IFERROR(__xludf.DUMMYFUNCTION("""COMPUTED_VALUE"""),536)</f>
        <v>536</v>
      </c>
      <c r="V231" s="1">
        <f ca="1">IFERROR(__xludf.DUMMYFUNCTION("""COMPUTED_VALUE"""),0.328)</f>
        <v>0.32800000000000001</v>
      </c>
      <c r="W231" s="1">
        <f ca="1">IFERROR(__xludf.DUMMYFUNCTION("""COMPUTED_VALUE"""),558)</f>
        <v>558</v>
      </c>
      <c r="X231" s="1">
        <f ca="1">IFERROR(__xludf.DUMMYFUNCTION("""COMPUTED_VALUE"""),854)</f>
        <v>854</v>
      </c>
      <c r="Y231" s="1">
        <f ca="1">IFERROR(__xludf.DUMMYFUNCTION("""COMPUTED_VALUE"""),0.653)</f>
        <v>0.65300000000000002</v>
      </c>
      <c r="Z231" s="1">
        <f ca="1">IFERROR(__xludf.DUMMYFUNCTION("""COMPUTED_VALUE"""),556)</f>
        <v>556</v>
      </c>
      <c r="AA231" s="1">
        <f ca="1">IFERROR(__xludf.DUMMYFUNCTION("""COMPUTED_VALUE"""),1552)</f>
        <v>1552</v>
      </c>
      <c r="AB231" s="1">
        <f ca="1">IFERROR(__xludf.DUMMYFUNCTION("""COMPUTED_VALUE"""),577)</f>
        <v>577</v>
      </c>
      <c r="AC231" s="1">
        <f ca="1">IFERROR(__xludf.DUMMYFUNCTION("""COMPUTED_VALUE"""),250)</f>
        <v>250</v>
      </c>
      <c r="AD231" s="1">
        <f ca="1">IFERROR(__xludf.DUMMYFUNCTION("""COMPUTED_VALUE"""),210)</f>
        <v>210</v>
      </c>
      <c r="AE231" s="1">
        <f ca="1">IFERROR(__xludf.DUMMYFUNCTION("""COMPUTED_VALUE"""),562)</f>
        <v>562</v>
      </c>
      <c r="AF231" s="1">
        <f ca="1">IFERROR(__xludf.DUMMYFUNCTION("""COMPUTED_VALUE"""),564)</f>
        <v>564</v>
      </c>
    </row>
    <row r="232" spans="1:32" ht="12.5" x14ac:dyDescent="0.25">
      <c r="A232" s="1" t="str">
        <f ca="1">IFERROR(__xludf.DUMMYFUNCTION("""COMPUTED_VALUE"""),"North Dakota State")</f>
        <v>North Dakota State</v>
      </c>
      <c r="B232" s="1">
        <f ca="1">IFERROR(__xludf.DUMMYFUNCTION("""COMPUTED_VALUE"""),29)</f>
        <v>29</v>
      </c>
      <c r="C232" s="1">
        <f ca="1">IFERROR(__xludf.DUMMYFUNCTION("""COMPUTED_VALUE"""),11)</f>
        <v>11</v>
      </c>
      <c r="D232" s="1">
        <f ca="1">IFERROR(__xludf.DUMMYFUNCTION("""COMPUTED_VALUE"""),18)</f>
        <v>18</v>
      </c>
      <c r="E232" s="1">
        <f ca="1">IFERROR(__xludf.DUMMYFUNCTION("""COMPUTED_VALUE"""),0.379)</f>
        <v>0.379</v>
      </c>
      <c r="F232" s="1">
        <f ca="1">IFERROR(__xludf.DUMMYFUNCTION("""COMPUTED_VALUE"""),-8.53)</f>
        <v>-8.5299999999999994</v>
      </c>
      <c r="G232" s="1">
        <f ca="1">IFERROR(__xludf.DUMMYFUNCTION("""COMPUTED_VALUE"""),-5.76)</f>
        <v>-5.76</v>
      </c>
      <c r="H232" s="1">
        <f ca="1">IFERROR(__xludf.DUMMYFUNCTION("""COMPUTED_VALUE"""),8)</f>
        <v>8</v>
      </c>
      <c r="I232" s="1">
        <f ca="1">IFERROR(__xludf.DUMMYFUNCTION("""COMPUTED_VALUE"""),10)</f>
        <v>10</v>
      </c>
      <c r="J232" s="1">
        <f ca="1">IFERROR(__xludf.DUMMYFUNCTION("""COMPUTED_VALUE"""),6)</f>
        <v>6</v>
      </c>
      <c r="K232" s="1">
        <f ca="1">IFERROR(__xludf.DUMMYFUNCTION("""COMPUTED_VALUE"""),8)</f>
        <v>8</v>
      </c>
      <c r="L232" s="1">
        <f ca="1">IFERROR(__xludf.DUMMYFUNCTION("""COMPUTED_VALUE"""),5)</f>
        <v>5</v>
      </c>
      <c r="M232" s="1">
        <f ca="1">IFERROR(__xludf.DUMMYFUNCTION("""COMPUTED_VALUE"""),9)</f>
        <v>9</v>
      </c>
      <c r="N232" s="1">
        <f ca="1">IFERROR(__xludf.DUMMYFUNCTION("""COMPUTED_VALUE"""),2047)</f>
        <v>2047</v>
      </c>
      <c r="O232" s="1">
        <f ca="1">IFERROR(__xludf.DUMMYFUNCTION("""COMPUTED_VALUE"""),2087)</f>
        <v>2087</v>
      </c>
      <c r="P232" s="1">
        <f ca="1">IFERROR(__xludf.DUMMYFUNCTION("""COMPUTED_VALUE"""),1185)</f>
        <v>1185</v>
      </c>
      <c r="Q232" s="1">
        <f ca="1">IFERROR(__xludf.DUMMYFUNCTION("""COMPUTED_VALUE"""),734)</f>
        <v>734</v>
      </c>
      <c r="R232" s="1">
        <f ca="1">IFERROR(__xludf.DUMMYFUNCTION("""COMPUTED_VALUE"""),1707)</f>
        <v>1707</v>
      </c>
      <c r="S232" s="1">
        <f ca="1">IFERROR(__xludf.DUMMYFUNCTION("""COMPUTED_VALUE"""),0.43)</f>
        <v>0.43</v>
      </c>
      <c r="T232" s="1">
        <f ca="1">IFERROR(__xludf.DUMMYFUNCTION("""COMPUTED_VALUE"""),144)</f>
        <v>144</v>
      </c>
      <c r="U232" s="1">
        <f ca="1">IFERROR(__xludf.DUMMYFUNCTION("""COMPUTED_VALUE"""),423)</f>
        <v>423</v>
      </c>
      <c r="V232" s="1">
        <f ca="1">IFERROR(__xludf.DUMMYFUNCTION("""COMPUTED_VALUE"""),0.34)</f>
        <v>0.34</v>
      </c>
      <c r="W232" s="1">
        <f ca="1">IFERROR(__xludf.DUMMYFUNCTION("""COMPUTED_VALUE"""),435)</f>
        <v>435</v>
      </c>
      <c r="X232" s="1">
        <f ca="1">IFERROR(__xludf.DUMMYFUNCTION("""COMPUTED_VALUE"""),597)</f>
        <v>597</v>
      </c>
      <c r="Y232" s="1">
        <f ca="1">IFERROR(__xludf.DUMMYFUNCTION("""COMPUTED_VALUE"""),0.729)</f>
        <v>0.72899999999999998</v>
      </c>
      <c r="Z232" s="1">
        <f ca="1">IFERROR(__xludf.DUMMYFUNCTION("""COMPUTED_VALUE"""),320)</f>
        <v>320</v>
      </c>
      <c r="AA232" s="1">
        <f ca="1">IFERROR(__xludf.DUMMYFUNCTION("""COMPUTED_VALUE"""),1073)</f>
        <v>1073</v>
      </c>
      <c r="AB232" s="1">
        <f ca="1">IFERROR(__xludf.DUMMYFUNCTION("""COMPUTED_VALUE"""),410)</f>
        <v>410</v>
      </c>
      <c r="AC232" s="1">
        <f ca="1">IFERROR(__xludf.DUMMYFUNCTION("""COMPUTED_VALUE"""),151)</f>
        <v>151</v>
      </c>
      <c r="AD232" s="1">
        <f ca="1">IFERROR(__xludf.DUMMYFUNCTION("""COMPUTED_VALUE"""),94)</f>
        <v>94</v>
      </c>
      <c r="AE232" s="1">
        <f ca="1">IFERROR(__xludf.DUMMYFUNCTION("""COMPUTED_VALUE"""),382)</f>
        <v>382</v>
      </c>
      <c r="AF232" s="1">
        <f ca="1">IFERROR(__xludf.DUMMYFUNCTION("""COMPUTED_VALUE"""),553)</f>
        <v>553</v>
      </c>
    </row>
    <row r="233" spans="1:32" ht="12.5" x14ac:dyDescent="0.25">
      <c r="A233" s="1" t="str">
        <f ca="1">IFERROR(__xludf.DUMMYFUNCTION("""COMPUTED_VALUE"""),"North Dakota")</f>
        <v>North Dakota</v>
      </c>
      <c r="B233" s="1">
        <f ca="1">IFERROR(__xludf.DUMMYFUNCTION("""COMPUTED_VALUE"""),31)</f>
        <v>31</v>
      </c>
      <c r="C233" s="1">
        <f ca="1">IFERROR(__xludf.DUMMYFUNCTION("""COMPUTED_VALUE"""),8)</f>
        <v>8</v>
      </c>
      <c r="D233" s="1">
        <f ca="1">IFERROR(__xludf.DUMMYFUNCTION("""COMPUTED_VALUE"""),23)</f>
        <v>23</v>
      </c>
      <c r="E233" s="1">
        <f ca="1">IFERROR(__xludf.DUMMYFUNCTION("""COMPUTED_VALUE"""),0.258)</f>
        <v>0.25800000000000001</v>
      </c>
      <c r="F233" s="1" t="str">
        <f ca="1">IFERROR(__xludf.DUMMYFUNCTION("""COMPUTED_VALUE"""),"")</f>
        <v/>
      </c>
      <c r="G233" s="1" t="str">
        <f ca="1">IFERROR(__xludf.DUMMYFUNCTION("""COMPUTED_VALUE"""),"")</f>
        <v/>
      </c>
      <c r="H233" s="1">
        <f ca="1">IFERROR(__xludf.DUMMYFUNCTION("""COMPUTED_VALUE"""),5)</f>
        <v>5</v>
      </c>
      <c r="I233" s="1">
        <f ca="1">IFERROR(__xludf.DUMMYFUNCTION("""COMPUTED_VALUE"""),7)</f>
        <v>7</v>
      </c>
      <c r="J233" s="1">
        <f ca="1">IFERROR(__xludf.DUMMYFUNCTION("""COMPUTED_VALUE"""),5)</f>
        <v>5</v>
      </c>
      <c r="K233" s="1">
        <f ca="1">IFERROR(__xludf.DUMMYFUNCTION("""COMPUTED_VALUE"""),9)</f>
        <v>9</v>
      </c>
      <c r="L233" s="1">
        <f ca="1">IFERROR(__xludf.DUMMYFUNCTION("""COMPUTED_VALUE"""),3)</f>
        <v>3</v>
      </c>
      <c r="M233" s="1">
        <f ca="1">IFERROR(__xludf.DUMMYFUNCTION("""COMPUTED_VALUE"""),10)</f>
        <v>10</v>
      </c>
      <c r="N233" s="1">
        <f ca="1">IFERROR(__xludf.DUMMYFUNCTION("""COMPUTED_VALUE"""),1941)</f>
        <v>1941</v>
      </c>
      <c r="O233" s="1">
        <f ca="1">IFERROR(__xludf.DUMMYFUNCTION("""COMPUTED_VALUE"""),2225)</f>
        <v>2225</v>
      </c>
      <c r="P233" s="1">
        <f ca="1">IFERROR(__xludf.DUMMYFUNCTION("""COMPUTED_VALUE"""),1250)</f>
        <v>1250</v>
      </c>
      <c r="Q233" s="1">
        <f ca="1">IFERROR(__xludf.DUMMYFUNCTION("""COMPUTED_VALUE"""),630)</f>
        <v>630</v>
      </c>
      <c r="R233" s="1">
        <f ca="1">IFERROR(__xludf.DUMMYFUNCTION("""COMPUTED_VALUE"""),1495)</f>
        <v>1495</v>
      </c>
      <c r="S233" s="1">
        <f ca="1">IFERROR(__xludf.DUMMYFUNCTION("""COMPUTED_VALUE"""),0.421)</f>
        <v>0.42099999999999999</v>
      </c>
      <c r="T233" s="1">
        <f ca="1">IFERROR(__xludf.DUMMYFUNCTION("""COMPUTED_VALUE"""),222)</f>
        <v>222</v>
      </c>
      <c r="U233" s="1">
        <f ca="1">IFERROR(__xludf.DUMMYFUNCTION("""COMPUTED_VALUE"""),626)</f>
        <v>626</v>
      </c>
      <c r="V233" s="1">
        <f ca="1">IFERROR(__xludf.DUMMYFUNCTION("""COMPUTED_VALUE"""),0.355)</f>
        <v>0.35499999999999998</v>
      </c>
      <c r="W233" s="1">
        <f ca="1">IFERROR(__xludf.DUMMYFUNCTION("""COMPUTED_VALUE"""),459)</f>
        <v>459</v>
      </c>
      <c r="X233" s="1">
        <f ca="1">IFERROR(__xludf.DUMMYFUNCTION("""COMPUTED_VALUE"""),674)</f>
        <v>674</v>
      </c>
      <c r="Y233" s="1">
        <f ca="1">IFERROR(__xludf.DUMMYFUNCTION("""COMPUTED_VALUE"""),0.681)</f>
        <v>0.68100000000000005</v>
      </c>
      <c r="Z233" s="1">
        <f ca="1">IFERROR(__xludf.DUMMYFUNCTION("""COMPUTED_VALUE"""),265)</f>
        <v>265</v>
      </c>
      <c r="AA233" s="1">
        <f ca="1">IFERROR(__xludf.DUMMYFUNCTION("""COMPUTED_VALUE"""),977)</f>
        <v>977</v>
      </c>
      <c r="AB233" s="1">
        <f ca="1">IFERROR(__xludf.DUMMYFUNCTION("""COMPUTED_VALUE"""),357)</f>
        <v>357</v>
      </c>
      <c r="AC233" s="1">
        <f ca="1">IFERROR(__xludf.DUMMYFUNCTION("""COMPUTED_VALUE"""),173)</f>
        <v>173</v>
      </c>
      <c r="AD233" s="1">
        <f ca="1">IFERROR(__xludf.DUMMYFUNCTION("""COMPUTED_VALUE"""),78)</f>
        <v>78</v>
      </c>
      <c r="AE233" s="1">
        <f ca="1">IFERROR(__xludf.DUMMYFUNCTION("""COMPUTED_VALUE"""),505)</f>
        <v>505</v>
      </c>
      <c r="AF233" s="1">
        <f ca="1">IFERROR(__xludf.DUMMYFUNCTION("""COMPUTED_VALUE"""),638)</f>
        <v>638</v>
      </c>
    </row>
    <row r="234" spans="1:32" ht="12.5" x14ac:dyDescent="0.25">
      <c r="A234" s="1" t="str">
        <f ca="1">IFERROR(__xludf.DUMMYFUNCTION("""COMPUTED_VALUE"""),"North Florida")</f>
        <v>North Florida</v>
      </c>
      <c r="B234" s="1">
        <f ca="1">IFERROR(__xludf.DUMMYFUNCTION("""COMPUTED_VALUE"""),31)</f>
        <v>31</v>
      </c>
      <c r="C234" s="1">
        <f ca="1">IFERROR(__xludf.DUMMYFUNCTION("""COMPUTED_VALUE"""),13)</f>
        <v>13</v>
      </c>
      <c r="D234" s="1">
        <f ca="1">IFERROR(__xludf.DUMMYFUNCTION("""COMPUTED_VALUE"""),18)</f>
        <v>18</v>
      </c>
      <c r="E234" s="1">
        <f ca="1">IFERROR(__xludf.DUMMYFUNCTION("""COMPUTED_VALUE"""),0.419)</f>
        <v>0.41899999999999998</v>
      </c>
      <c r="F234" s="1">
        <f ca="1">IFERROR(__xludf.DUMMYFUNCTION("""COMPUTED_VALUE"""),-9.53)</f>
        <v>-9.5299999999999994</v>
      </c>
      <c r="G234" s="1">
        <f ca="1">IFERROR(__xludf.DUMMYFUNCTION("""COMPUTED_VALUE"""),-2.11)</f>
        <v>-2.11</v>
      </c>
      <c r="H234" s="1">
        <f ca="1">IFERROR(__xludf.DUMMYFUNCTION("""COMPUTED_VALUE"""),8)</f>
        <v>8</v>
      </c>
      <c r="I234" s="1">
        <f ca="1">IFERROR(__xludf.DUMMYFUNCTION("""COMPUTED_VALUE"""),12)</f>
        <v>12</v>
      </c>
      <c r="J234" s="1">
        <f ca="1">IFERROR(__xludf.DUMMYFUNCTION("""COMPUTED_VALUE"""),5)</f>
        <v>5</v>
      </c>
      <c r="K234" s="1">
        <f ca="1">IFERROR(__xludf.DUMMYFUNCTION("""COMPUTED_VALUE"""),7)</f>
        <v>7</v>
      </c>
      <c r="L234" s="1">
        <f ca="1">IFERROR(__xludf.DUMMYFUNCTION("""COMPUTED_VALUE"""),5)</f>
        <v>5</v>
      </c>
      <c r="M234" s="1">
        <f ca="1">IFERROR(__xludf.DUMMYFUNCTION("""COMPUTED_VALUE"""),10)</f>
        <v>10</v>
      </c>
      <c r="N234" s="1">
        <f ca="1">IFERROR(__xludf.DUMMYFUNCTION("""COMPUTED_VALUE"""),1830)</f>
        <v>1830</v>
      </c>
      <c r="O234" s="1">
        <f ca="1">IFERROR(__xludf.DUMMYFUNCTION("""COMPUTED_VALUE"""),2019)</f>
        <v>2019</v>
      </c>
      <c r="P234" s="1">
        <f ca="1">IFERROR(__xludf.DUMMYFUNCTION("""COMPUTED_VALUE"""),1245)</f>
        <v>1245</v>
      </c>
      <c r="Q234" s="1">
        <f ca="1">IFERROR(__xludf.DUMMYFUNCTION("""COMPUTED_VALUE"""),637)</f>
        <v>637</v>
      </c>
      <c r="R234" s="1">
        <f ca="1">IFERROR(__xludf.DUMMYFUNCTION("""COMPUTED_VALUE"""),1530)</f>
        <v>1530</v>
      </c>
      <c r="S234" s="1">
        <f ca="1">IFERROR(__xludf.DUMMYFUNCTION("""COMPUTED_VALUE"""),0.416)</f>
        <v>0.41599999999999998</v>
      </c>
      <c r="T234" s="1">
        <f ca="1">IFERROR(__xludf.DUMMYFUNCTION("""COMPUTED_VALUE"""),177)</f>
        <v>177</v>
      </c>
      <c r="U234" s="1">
        <f ca="1">IFERROR(__xludf.DUMMYFUNCTION("""COMPUTED_VALUE"""),517)</f>
        <v>517</v>
      </c>
      <c r="V234" s="1">
        <f ca="1">IFERROR(__xludf.DUMMYFUNCTION("""COMPUTED_VALUE"""),0.342)</f>
        <v>0.34200000000000003</v>
      </c>
      <c r="W234" s="1">
        <f ca="1">IFERROR(__xludf.DUMMYFUNCTION("""COMPUTED_VALUE"""),379)</f>
        <v>379</v>
      </c>
      <c r="X234" s="1">
        <f ca="1">IFERROR(__xludf.DUMMYFUNCTION("""COMPUTED_VALUE"""),602)</f>
        <v>602</v>
      </c>
      <c r="Y234" s="1">
        <f ca="1">IFERROR(__xludf.DUMMYFUNCTION("""COMPUTED_VALUE"""),0.63)</f>
        <v>0.63</v>
      </c>
      <c r="Z234" s="1">
        <f ca="1">IFERROR(__xludf.DUMMYFUNCTION("""COMPUTED_VALUE"""),300)</f>
        <v>300</v>
      </c>
      <c r="AA234" s="1">
        <f ca="1">IFERROR(__xludf.DUMMYFUNCTION("""COMPUTED_VALUE"""),978)</f>
        <v>978</v>
      </c>
      <c r="AB234" s="1">
        <f ca="1">IFERROR(__xludf.DUMMYFUNCTION("""COMPUTED_VALUE"""),375)</f>
        <v>375</v>
      </c>
      <c r="AC234" s="1">
        <f ca="1">IFERROR(__xludf.DUMMYFUNCTION("""COMPUTED_VALUE"""),184)</f>
        <v>184</v>
      </c>
      <c r="AD234" s="1">
        <f ca="1">IFERROR(__xludf.DUMMYFUNCTION("""COMPUTED_VALUE"""),96)</f>
        <v>96</v>
      </c>
      <c r="AE234" s="1">
        <f ca="1">IFERROR(__xludf.DUMMYFUNCTION("""COMPUTED_VALUE"""),481)</f>
        <v>481</v>
      </c>
      <c r="AF234" s="1">
        <f ca="1">IFERROR(__xludf.DUMMYFUNCTION("""COMPUTED_VALUE"""),624)</f>
        <v>624</v>
      </c>
    </row>
    <row r="235" spans="1:32" ht="12.5" x14ac:dyDescent="0.25">
      <c r="A235" s="1" t="str">
        <f ca="1">IFERROR(__xludf.DUMMYFUNCTION("""COMPUTED_VALUE"""),"North TexasNCAA")</f>
        <v>North TexasNCAA</v>
      </c>
      <c r="B235" s="1">
        <f ca="1">IFERROR(__xludf.DUMMYFUNCTION("""COMPUTED_VALUE"""),33)</f>
        <v>33</v>
      </c>
      <c r="C235" s="1">
        <f ca="1">IFERROR(__xludf.DUMMYFUNCTION("""COMPUTED_VALUE"""),24)</f>
        <v>24</v>
      </c>
      <c r="D235" s="1">
        <f ca="1">IFERROR(__xludf.DUMMYFUNCTION("""COMPUTED_VALUE"""),9)</f>
        <v>9</v>
      </c>
      <c r="E235" s="1">
        <f ca="1">IFERROR(__xludf.DUMMYFUNCTION("""COMPUTED_VALUE"""),0.727)</f>
        <v>0.72699999999999998</v>
      </c>
      <c r="F235" s="1">
        <f ca="1">IFERROR(__xludf.DUMMYFUNCTION("""COMPUTED_VALUE"""),-2.49)</f>
        <v>-2.4900000000000002</v>
      </c>
      <c r="G235" s="1">
        <f ca="1">IFERROR(__xludf.DUMMYFUNCTION("""COMPUTED_VALUE"""),-4.72)</f>
        <v>-4.72</v>
      </c>
      <c r="H235" s="1">
        <f ca="1">IFERROR(__xludf.DUMMYFUNCTION("""COMPUTED_VALUE"""),13)</f>
        <v>13</v>
      </c>
      <c r="I235" s="1">
        <f ca="1">IFERROR(__xludf.DUMMYFUNCTION("""COMPUTED_VALUE"""),5)</f>
        <v>5</v>
      </c>
      <c r="J235" s="1">
        <f ca="1">IFERROR(__xludf.DUMMYFUNCTION("""COMPUTED_VALUE"""),12)</f>
        <v>12</v>
      </c>
      <c r="K235" s="1">
        <f ca="1">IFERROR(__xludf.DUMMYFUNCTION("""COMPUTED_VALUE"""),2)</f>
        <v>2</v>
      </c>
      <c r="L235" s="1">
        <f ca="1">IFERROR(__xludf.DUMMYFUNCTION("""COMPUTED_VALUE"""),9)</f>
        <v>9</v>
      </c>
      <c r="M235" s="1">
        <f ca="1">IFERROR(__xludf.DUMMYFUNCTION("""COMPUTED_VALUE"""),6)</f>
        <v>6</v>
      </c>
      <c r="N235" s="1">
        <f ca="1">IFERROR(__xludf.DUMMYFUNCTION("""COMPUTED_VALUE"""),2437)</f>
        <v>2437</v>
      </c>
      <c r="O235" s="1">
        <f ca="1">IFERROR(__xludf.DUMMYFUNCTION("""COMPUTED_VALUE"""),2303)</f>
        <v>2303</v>
      </c>
      <c r="P235" s="1">
        <f ca="1">IFERROR(__xludf.DUMMYFUNCTION("""COMPUTED_VALUE"""),1340)</f>
        <v>1340</v>
      </c>
      <c r="Q235" s="1">
        <f ca="1">IFERROR(__xludf.DUMMYFUNCTION("""COMPUTED_VALUE"""),798)</f>
        <v>798</v>
      </c>
      <c r="R235" s="1">
        <f ca="1">IFERROR(__xludf.DUMMYFUNCTION("""COMPUTED_VALUE"""),1748)</f>
        <v>1748</v>
      </c>
      <c r="S235" s="1">
        <f ca="1">IFERROR(__xludf.DUMMYFUNCTION("""COMPUTED_VALUE"""),0.457)</f>
        <v>0.45700000000000002</v>
      </c>
      <c r="T235" s="1">
        <f ca="1">IFERROR(__xludf.DUMMYFUNCTION("""COMPUTED_VALUE"""),179)</f>
        <v>179</v>
      </c>
      <c r="U235" s="1">
        <f ca="1">IFERROR(__xludf.DUMMYFUNCTION("""COMPUTED_VALUE"""),538)</f>
        <v>538</v>
      </c>
      <c r="V235" s="1">
        <f ca="1">IFERROR(__xludf.DUMMYFUNCTION("""COMPUTED_VALUE"""),0.333)</f>
        <v>0.33300000000000002</v>
      </c>
      <c r="W235" s="1">
        <f ca="1">IFERROR(__xludf.DUMMYFUNCTION("""COMPUTED_VALUE"""),662)</f>
        <v>662</v>
      </c>
      <c r="X235" s="1">
        <f ca="1">IFERROR(__xludf.DUMMYFUNCTION("""COMPUTED_VALUE"""),921)</f>
        <v>921</v>
      </c>
      <c r="Y235" s="1">
        <f ca="1">IFERROR(__xludf.DUMMYFUNCTION("""COMPUTED_VALUE"""),0.719)</f>
        <v>0.71899999999999997</v>
      </c>
      <c r="Z235" s="1">
        <f ca="1">IFERROR(__xludf.DUMMYFUNCTION("""COMPUTED_VALUE"""),364)</f>
        <v>364</v>
      </c>
      <c r="AA235" s="1">
        <f ca="1">IFERROR(__xludf.DUMMYFUNCTION("""COMPUTED_VALUE"""),1220)</f>
        <v>1220</v>
      </c>
      <c r="AB235" s="1">
        <f ca="1">IFERROR(__xludf.DUMMYFUNCTION("""COMPUTED_VALUE"""),394)</f>
        <v>394</v>
      </c>
      <c r="AC235" s="1">
        <f ca="1">IFERROR(__xludf.DUMMYFUNCTION("""COMPUTED_VALUE"""),144)</f>
        <v>144</v>
      </c>
      <c r="AD235" s="1">
        <f ca="1">IFERROR(__xludf.DUMMYFUNCTION("""COMPUTED_VALUE"""),94)</f>
        <v>94</v>
      </c>
      <c r="AE235" s="1">
        <f ca="1">IFERROR(__xludf.DUMMYFUNCTION("""COMPUTED_VALUE"""),485)</f>
        <v>485</v>
      </c>
      <c r="AF235" s="1">
        <f ca="1">IFERROR(__xludf.DUMMYFUNCTION("""COMPUTED_VALUE"""),590)</f>
        <v>590</v>
      </c>
    </row>
    <row r="236" spans="1:32" ht="12.5" x14ac:dyDescent="0.25">
      <c r="A236" s="1" t="str">
        <f ca="1">IFERROR(__xludf.DUMMYFUNCTION("""COMPUTED_VALUE"""),"Northeastern")</f>
        <v>Northeastern</v>
      </c>
      <c r="B236" s="1">
        <f ca="1">IFERROR(__xludf.DUMMYFUNCTION("""COMPUTED_VALUE"""),33)</f>
        <v>33</v>
      </c>
      <c r="C236" s="1">
        <f ca="1">IFERROR(__xludf.DUMMYFUNCTION("""COMPUTED_VALUE"""),20)</f>
        <v>20</v>
      </c>
      <c r="D236" s="1">
        <f ca="1">IFERROR(__xludf.DUMMYFUNCTION("""COMPUTED_VALUE"""),13)</f>
        <v>13</v>
      </c>
      <c r="E236" s="1">
        <f ca="1">IFERROR(__xludf.DUMMYFUNCTION("""COMPUTED_VALUE"""),0.606)</f>
        <v>0.60599999999999998</v>
      </c>
      <c r="F236" s="1">
        <f ca="1">IFERROR(__xludf.DUMMYFUNCTION("""COMPUTED_VALUE"""),6.48)</f>
        <v>6.48</v>
      </c>
      <c r="G236" s="1">
        <f ca="1">IFERROR(__xludf.DUMMYFUNCTION("""COMPUTED_VALUE"""),2.21)</f>
        <v>2.21</v>
      </c>
      <c r="H236" s="1">
        <f ca="1">IFERROR(__xludf.DUMMYFUNCTION("""COMPUTED_VALUE"""),14)</f>
        <v>14</v>
      </c>
      <c r="I236" s="1">
        <f ca="1">IFERROR(__xludf.DUMMYFUNCTION("""COMPUTED_VALUE"""),4)</f>
        <v>4</v>
      </c>
      <c r="J236" s="1">
        <f ca="1">IFERROR(__xludf.DUMMYFUNCTION("""COMPUTED_VALUE"""),9)</f>
        <v>9</v>
      </c>
      <c r="K236" s="1">
        <f ca="1">IFERROR(__xludf.DUMMYFUNCTION("""COMPUTED_VALUE"""),4)</f>
        <v>4</v>
      </c>
      <c r="L236" s="1">
        <f ca="1">IFERROR(__xludf.DUMMYFUNCTION("""COMPUTED_VALUE"""),8)</f>
        <v>8</v>
      </c>
      <c r="M236" s="1">
        <f ca="1">IFERROR(__xludf.DUMMYFUNCTION("""COMPUTED_VALUE"""),6)</f>
        <v>6</v>
      </c>
      <c r="N236" s="1">
        <f ca="1">IFERROR(__xludf.DUMMYFUNCTION("""COMPUTED_VALUE"""),2124)</f>
        <v>2124</v>
      </c>
      <c r="O236" s="1">
        <f ca="1">IFERROR(__xludf.DUMMYFUNCTION("""COMPUTED_VALUE"""),1983)</f>
        <v>1983</v>
      </c>
      <c r="P236" s="1">
        <f ca="1">IFERROR(__xludf.DUMMYFUNCTION("""COMPUTED_VALUE"""),1335)</f>
        <v>1335</v>
      </c>
      <c r="Q236" s="1">
        <f ca="1">IFERROR(__xludf.DUMMYFUNCTION("""COMPUTED_VALUE"""),763)</f>
        <v>763</v>
      </c>
      <c r="R236" s="1">
        <f ca="1">IFERROR(__xludf.DUMMYFUNCTION("""COMPUTED_VALUE"""),1699)</f>
        <v>1699</v>
      </c>
      <c r="S236" s="1">
        <f ca="1">IFERROR(__xludf.DUMMYFUNCTION("""COMPUTED_VALUE"""),0.449)</f>
        <v>0.44900000000000001</v>
      </c>
      <c r="T236" s="1">
        <f ca="1">IFERROR(__xludf.DUMMYFUNCTION("""COMPUTED_VALUE"""),174)</f>
        <v>174</v>
      </c>
      <c r="U236" s="1">
        <f ca="1">IFERROR(__xludf.DUMMYFUNCTION("""COMPUTED_VALUE"""),510)</f>
        <v>510</v>
      </c>
      <c r="V236" s="1">
        <f ca="1">IFERROR(__xludf.DUMMYFUNCTION("""COMPUTED_VALUE"""),0.341)</f>
        <v>0.34100000000000003</v>
      </c>
      <c r="W236" s="1">
        <f ca="1">IFERROR(__xludf.DUMMYFUNCTION("""COMPUTED_VALUE"""),424)</f>
        <v>424</v>
      </c>
      <c r="X236" s="1">
        <f ca="1">IFERROR(__xludf.DUMMYFUNCTION("""COMPUTED_VALUE"""),589)</f>
        <v>589</v>
      </c>
      <c r="Y236" s="1">
        <f ca="1">IFERROR(__xludf.DUMMYFUNCTION("""COMPUTED_VALUE"""),0.72)</f>
        <v>0.72</v>
      </c>
      <c r="Z236" s="1">
        <f ca="1">IFERROR(__xludf.DUMMYFUNCTION("""COMPUTED_VALUE"""),312)</f>
        <v>312</v>
      </c>
      <c r="AA236" s="1">
        <f ca="1">IFERROR(__xludf.DUMMYFUNCTION("""COMPUTED_VALUE"""),1008)</f>
        <v>1008</v>
      </c>
      <c r="AB236" s="1">
        <f ca="1">IFERROR(__xludf.DUMMYFUNCTION("""COMPUTED_VALUE"""),389)</f>
        <v>389</v>
      </c>
      <c r="AC236" s="1">
        <f ca="1">IFERROR(__xludf.DUMMYFUNCTION("""COMPUTED_VALUE"""),236)</f>
        <v>236</v>
      </c>
      <c r="AD236" s="1">
        <f ca="1">IFERROR(__xludf.DUMMYFUNCTION("""COMPUTED_VALUE"""),118)</f>
        <v>118</v>
      </c>
      <c r="AE236" s="1">
        <f ca="1">IFERROR(__xludf.DUMMYFUNCTION("""COMPUTED_VALUE"""),386)</f>
        <v>386</v>
      </c>
      <c r="AF236" s="1">
        <f ca="1">IFERROR(__xludf.DUMMYFUNCTION("""COMPUTED_VALUE"""),520)</f>
        <v>520</v>
      </c>
    </row>
    <row r="237" spans="1:32" ht="12.5" x14ac:dyDescent="0.25">
      <c r="A237" s="1" t="str">
        <f ca="1">IFERROR(__xludf.DUMMYFUNCTION("""COMPUTED_VALUE"""),"Northern Arizona")</f>
        <v>Northern Arizona</v>
      </c>
      <c r="B237" s="1">
        <f ca="1">IFERROR(__xludf.DUMMYFUNCTION("""COMPUTED_VALUE"""),28)</f>
        <v>28</v>
      </c>
      <c r="C237" s="1">
        <f ca="1">IFERROR(__xludf.DUMMYFUNCTION("""COMPUTED_VALUE"""),14)</f>
        <v>14</v>
      </c>
      <c r="D237" s="1">
        <f ca="1">IFERROR(__xludf.DUMMYFUNCTION("""COMPUTED_VALUE"""),14)</f>
        <v>14</v>
      </c>
      <c r="E237" s="1">
        <f ca="1">IFERROR(__xludf.DUMMYFUNCTION("""COMPUTED_VALUE"""),0.5)</f>
        <v>0.5</v>
      </c>
      <c r="F237" s="1">
        <f ca="1">IFERROR(__xludf.DUMMYFUNCTION("""COMPUTED_VALUE"""),-7.54)</f>
        <v>-7.54</v>
      </c>
      <c r="G237" s="1">
        <f ca="1">IFERROR(__xludf.DUMMYFUNCTION("""COMPUTED_VALUE"""),-2.35)</f>
        <v>-2.35</v>
      </c>
      <c r="H237" s="1">
        <f ca="1">IFERROR(__xludf.DUMMYFUNCTION("""COMPUTED_VALUE"""),8)</f>
        <v>8</v>
      </c>
      <c r="I237" s="1">
        <f ca="1">IFERROR(__xludf.DUMMYFUNCTION("""COMPUTED_VALUE"""),8)</f>
        <v>8</v>
      </c>
      <c r="J237" s="1">
        <f ca="1">IFERROR(__xludf.DUMMYFUNCTION("""COMPUTED_VALUE"""),8)</f>
        <v>8</v>
      </c>
      <c r="K237" s="1">
        <f ca="1">IFERROR(__xludf.DUMMYFUNCTION("""COMPUTED_VALUE"""),4)</f>
        <v>4</v>
      </c>
      <c r="L237" s="1">
        <f ca="1">IFERROR(__xludf.DUMMYFUNCTION("""COMPUTED_VALUE"""),6)</f>
        <v>6</v>
      </c>
      <c r="M237" s="1">
        <f ca="1">IFERROR(__xludf.DUMMYFUNCTION("""COMPUTED_VALUE"""),10)</f>
        <v>10</v>
      </c>
      <c r="N237" s="1">
        <f ca="1">IFERROR(__xludf.DUMMYFUNCTION("""COMPUTED_VALUE"""),1965)</f>
        <v>1965</v>
      </c>
      <c r="O237" s="1">
        <f ca="1">IFERROR(__xludf.DUMMYFUNCTION("""COMPUTED_VALUE"""),2003)</f>
        <v>2003</v>
      </c>
      <c r="P237" s="1">
        <f ca="1">IFERROR(__xludf.DUMMYFUNCTION("""COMPUTED_VALUE"""),1145)</f>
        <v>1145</v>
      </c>
      <c r="Q237" s="1">
        <f ca="1">IFERROR(__xludf.DUMMYFUNCTION("""COMPUTED_VALUE"""),704)</f>
        <v>704</v>
      </c>
      <c r="R237" s="1">
        <f ca="1">IFERROR(__xludf.DUMMYFUNCTION("""COMPUTED_VALUE"""),1494)</f>
        <v>1494</v>
      </c>
      <c r="S237" s="1">
        <f ca="1">IFERROR(__xludf.DUMMYFUNCTION("""COMPUTED_VALUE"""),0.471)</f>
        <v>0.47099999999999997</v>
      </c>
      <c r="T237" s="1">
        <f ca="1">IFERROR(__xludf.DUMMYFUNCTION("""COMPUTED_VALUE"""),171)</f>
        <v>171</v>
      </c>
      <c r="U237" s="1">
        <f ca="1">IFERROR(__xludf.DUMMYFUNCTION("""COMPUTED_VALUE"""),464)</f>
        <v>464</v>
      </c>
      <c r="V237" s="1">
        <f ca="1">IFERROR(__xludf.DUMMYFUNCTION("""COMPUTED_VALUE"""),0.369)</f>
        <v>0.36899999999999999</v>
      </c>
      <c r="W237" s="1">
        <f ca="1">IFERROR(__xludf.DUMMYFUNCTION("""COMPUTED_VALUE"""),386)</f>
        <v>386</v>
      </c>
      <c r="X237" s="1">
        <f ca="1">IFERROR(__xludf.DUMMYFUNCTION("""COMPUTED_VALUE"""),573)</f>
        <v>573</v>
      </c>
      <c r="Y237" s="1">
        <f ca="1">IFERROR(__xludf.DUMMYFUNCTION("""COMPUTED_VALUE"""),0.674)</f>
        <v>0.67400000000000004</v>
      </c>
      <c r="Z237" s="1">
        <f ca="1">IFERROR(__xludf.DUMMYFUNCTION("""COMPUTED_VALUE"""),257)</f>
        <v>257</v>
      </c>
      <c r="AA237" s="1">
        <f ca="1">IFERROR(__xludf.DUMMYFUNCTION("""COMPUTED_VALUE"""),944)</f>
        <v>944</v>
      </c>
      <c r="AB237" s="1">
        <f ca="1">IFERROR(__xludf.DUMMYFUNCTION("""COMPUTED_VALUE"""),454)</f>
        <v>454</v>
      </c>
      <c r="AC237" s="1">
        <f ca="1">IFERROR(__xludf.DUMMYFUNCTION("""COMPUTED_VALUE"""),190)</f>
        <v>190</v>
      </c>
      <c r="AD237" s="1">
        <f ca="1">IFERROR(__xludf.DUMMYFUNCTION("""COMPUTED_VALUE"""),95)</f>
        <v>95</v>
      </c>
      <c r="AE237" s="1">
        <f ca="1">IFERROR(__xludf.DUMMYFUNCTION("""COMPUTED_VALUE"""),430)</f>
        <v>430</v>
      </c>
      <c r="AF237" s="1">
        <f ca="1">IFERROR(__xludf.DUMMYFUNCTION("""COMPUTED_VALUE"""),550)</f>
        <v>550</v>
      </c>
    </row>
    <row r="238" spans="1:32" ht="12.5" x14ac:dyDescent="0.25">
      <c r="A238" s="1" t="str">
        <f ca="1">IFERROR(__xludf.DUMMYFUNCTION("""COMPUTED_VALUE"""),"Northern Colorado")</f>
        <v>Northern Colorado</v>
      </c>
      <c r="B238" s="1">
        <f ca="1">IFERROR(__xludf.DUMMYFUNCTION("""COMPUTED_VALUE"""),33)</f>
        <v>33</v>
      </c>
      <c r="C238" s="1">
        <f ca="1">IFERROR(__xludf.DUMMYFUNCTION("""COMPUTED_VALUE"""),25)</f>
        <v>25</v>
      </c>
      <c r="D238" s="1">
        <f ca="1">IFERROR(__xludf.DUMMYFUNCTION("""COMPUTED_VALUE"""),8)</f>
        <v>8</v>
      </c>
      <c r="E238" s="1">
        <f ca="1">IFERROR(__xludf.DUMMYFUNCTION("""COMPUTED_VALUE"""),0.758)</f>
        <v>0.75800000000000001</v>
      </c>
      <c r="F238" s="1">
        <f ca="1">IFERROR(__xludf.DUMMYFUNCTION("""COMPUTED_VALUE"""),2.06)</f>
        <v>2.06</v>
      </c>
      <c r="G238" s="1">
        <f ca="1">IFERROR(__xludf.DUMMYFUNCTION("""COMPUTED_VALUE"""),-4.26)</f>
        <v>-4.26</v>
      </c>
      <c r="H238" s="1">
        <f ca="1">IFERROR(__xludf.DUMMYFUNCTION("""COMPUTED_VALUE"""),12)</f>
        <v>12</v>
      </c>
      <c r="I238" s="1">
        <f ca="1">IFERROR(__xludf.DUMMYFUNCTION("""COMPUTED_VALUE"""),4)</f>
        <v>4</v>
      </c>
      <c r="J238" s="1">
        <f ca="1">IFERROR(__xludf.DUMMYFUNCTION("""COMPUTED_VALUE"""),13)</f>
        <v>13</v>
      </c>
      <c r="K238" s="1">
        <f ca="1">IFERROR(__xludf.DUMMYFUNCTION("""COMPUTED_VALUE"""),2)</f>
        <v>2</v>
      </c>
      <c r="L238" s="1">
        <f ca="1">IFERROR(__xludf.DUMMYFUNCTION("""COMPUTED_VALUE"""),9)</f>
        <v>9</v>
      </c>
      <c r="M238" s="1">
        <f ca="1">IFERROR(__xludf.DUMMYFUNCTION("""COMPUTED_VALUE"""),4)</f>
        <v>4</v>
      </c>
      <c r="N238" s="1">
        <f ca="1">IFERROR(__xludf.DUMMYFUNCTION("""COMPUTED_VALUE"""),2426)</f>
        <v>2426</v>
      </c>
      <c r="O238" s="1">
        <f ca="1">IFERROR(__xludf.DUMMYFUNCTION("""COMPUTED_VALUE"""),2202)</f>
        <v>2202</v>
      </c>
      <c r="P238" s="1">
        <f ca="1">IFERROR(__xludf.DUMMYFUNCTION("""COMPUTED_VALUE"""),1325)</f>
        <v>1325</v>
      </c>
      <c r="Q238" s="1">
        <f ca="1">IFERROR(__xludf.DUMMYFUNCTION("""COMPUTED_VALUE"""),780)</f>
        <v>780</v>
      </c>
      <c r="R238" s="1">
        <f ca="1">IFERROR(__xludf.DUMMYFUNCTION("""COMPUTED_VALUE"""),1751)</f>
        <v>1751</v>
      </c>
      <c r="S238" s="1">
        <f ca="1">IFERROR(__xludf.DUMMYFUNCTION("""COMPUTED_VALUE"""),0.445)</f>
        <v>0.44500000000000001</v>
      </c>
      <c r="T238" s="1">
        <f ca="1">IFERROR(__xludf.DUMMYFUNCTION("""COMPUTED_VALUE"""),252)</f>
        <v>252</v>
      </c>
      <c r="U238" s="1">
        <f ca="1">IFERROR(__xludf.DUMMYFUNCTION("""COMPUTED_VALUE"""),651)</f>
        <v>651</v>
      </c>
      <c r="V238" s="1">
        <f ca="1">IFERROR(__xludf.DUMMYFUNCTION("""COMPUTED_VALUE"""),0.387)</f>
        <v>0.38700000000000001</v>
      </c>
      <c r="W238" s="1">
        <f ca="1">IFERROR(__xludf.DUMMYFUNCTION("""COMPUTED_VALUE"""),614)</f>
        <v>614</v>
      </c>
      <c r="X238" s="1">
        <f ca="1">IFERROR(__xludf.DUMMYFUNCTION("""COMPUTED_VALUE"""),824)</f>
        <v>824</v>
      </c>
      <c r="Y238" s="1">
        <f ca="1">IFERROR(__xludf.DUMMYFUNCTION("""COMPUTED_VALUE"""),0.745)</f>
        <v>0.745</v>
      </c>
      <c r="Z238" s="1">
        <f ca="1">IFERROR(__xludf.DUMMYFUNCTION("""COMPUTED_VALUE"""),331)</f>
        <v>331</v>
      </c>
      <c r="AA238" s="1">
        <f ca="1">IFERROR(__xludf.DUMMYFUNCTION("""COMPUTED_VALUE"""),1096)</f>
        <v>1096</v>
      </c>
      <c r="AB238" s="1">
        <f ca="1">IFERROR(__xludf.DUMMYFUNCTION("""COMPUTED_VALUE"""),383)</f>
        <v>383</v>
      </c>
      <c r="AC238" s="1">
        <f ca="1">IFERROR(__xludf.DUMMYFUNCTION("""COMPUTED_VALUE"""),239)</f>
        <v>239</v>
      </c>
      <c r="AD238" s="1">
        <f ca="1">IFERROR(__xludf.DUMMYFUNCTION("""COMPUTED_VALUE"""),78)</f>
        <v>78</v>
      </c>
      <c r="AE238" s="1">
        <f ca="1">IFERROR(__xludf.DUMMYFUNCTION("""COMPUTED_VALUE"""),416)</f>
        <v>416</v>
      </c>
      <c r="AF238" s="1">
        <f ca="1">IFERROR(__xludf.DUMMYFUNCTION("""COMPUTED_VALUE"""),658)</f>
        <v>658</v>
      </c>
    </row>
    <row r="239" spans="1:32" ht="12.5" x14ac:dyDescent="0.25">
      <c r="A239" s="1" t="str">
        <f ca="1">IFERROR(__xludf.DUMMYFUNCTION("""COMPUTED_VALUE"""),"Northern Illinois")</f>
        <v>Northern Illinois</v>
      </c>
      <c r="B239" s="1">
        <f ca="1">IFERROR(__xludf.DUMMYFUNCTION("""COMPUTED_VALUE"""),30)</f>
        <v>30</v>
      </c>
      <c r="C239" s="1">
        <f ca="1">IFERROR(__xludf.DUMMYFUNCTION("""COMPUTED_VALUE"""),10)</f>
        <v>10</v>
      </c>
      <c r="D239" s="1">
        <f ca="1">IFERROR(__xludf.DUMMYFUNCTION("""COMPUTED_VALUE"""),20)</f>
        <v>20</v>
      </c>
      <c r="E239" s="1">
        <f ca="1">IFERROR(__xludf.DUMMYFUNCTION("""COMPUTED_VALUE"""),0.333)</f>
        <v>0.33300000000000002</v>
      </c>
      <c r="F239" s="1">
        <f ca="1">IFERROR(__xludf.DUMMYFUNCTION("""COMPUTED_VALUE"""),-7.64)</f>
        <v>-7.64</v>
      </c>
      <c r="G239" s="1">
        <f ca="1">IFERROR(__xludf.DUMMYFUNCTION("""COMPUTED_VALUE"""),-2.05)</f>
        <v>-2.0499999999999998</v>
      </c>
      <c r="H239" s="1">
        <f ca="1">IFERROR(__xludf.DUMMYFUNCTION("""COMPUTED_VALUE"""),6)</f>
        <v>6</v>
      </c>
      <c r="I239" s="1">
        <f ca="1">IFERROR(__xludf.DUMMYFUNCTION("""COMPUTED_VALUE"""),10)</f>
        <v>10</v>
      </c>
      <c r="J239" s="1">
        <f ca="1">IFERROR(__xludf.DUMMYFUNCTION("""COMPUTED_VALUE"""),7)</f>
        <v>7</v>
      </c>
      <c r="K239" s="1">
        <f ca="1">IFERROR(__xludf.DUMMYFUNCTION("""COMPUTED_VALUE"""),7)</f>
        <v>7</v>
      </c>
      <c r="L239" s="1">
        <f ca="1">IFERROR(__xludf.DUMMYFUNCTION("""COMPUTED_VALUE"""),3)</f>
        <v>3</v>
      </c>
      <c r="M239" s="1">
        <f ca="1">IFERROR(__xludf.DUMMYFUNCTION("""COMPUTED_VALUE"""),13)</f>
        <v>13</v>
      </c>
      <c r="N239" s="1">
        <f ca="1">IFERROR(__xludf.DUMMYFUNCTION("""COMPUTED_VALUE"""),2017)</f>
        <v>2017</v>
      </c>
      <c r="O239" s="1">
        <f ca="1">IFERROR(__xludf.DUMMYFUNCTION("""COMPUTED_VALUE"""),2158)</f>
        <v>2158</v>
      </c>
      <c r="P239" s="1">
        <f ca="1">IFERROR(__xludf.DUMMYFUNCTION("""COMPUTED_VALUE"""),1211)</f>
        <v>1211</v>
      </c>
      <c r="Q239" s="1">
        <f ca="1">IFERROR(__xludf.DUMMYFUNCTION("""COMPUTED_VALUE"""),698)</f>
        <v>698</v>
      </c>
      <c r="R239" s="1">
        <f ca="1">IFERROR(__xludf.DUMMYFUNCTION("""COMPUTED_VALUE"""),1739)</f>
        <v>1739</v>
      </c>
      <c r="S239" s="1">
        <f ca="1">IFERROR(__xludf.DUMMYFUNCTION("""COMPUTED_VALUE"""),0.401)</f>
        <v>0.40100000000000002</v>
      </c>
      <c r="T239" s="1">
        <f ca="1">IFERROR(__xludf.DUMMYFUNCTION("""COMPUTED_VALUE"""),176)</f>
        <v>176</v>
      </c>
      <c r="U239" s="1">
        <f ca="1">IFERROR(__xludf.DUMMYFUNCTION("""COMPUTED_VALUE"""),587)</f>
        <v>587</v>
      </c>
      <c r="V239" s="1">
        <f ca="1">IFERROR(__xludf.DUMMYFUNCTION("""COMPUTED_VALUE"""),0.3)</f>
        <v>0.3</v>
      </c>
      <c r="W239" s="1">
        <f ca="1">IFERROR(__xludf.DUMMYFUNCTION("""COMPUTED_VALUE"""),445)</f>
        <v>445</v>
      </c>
      <c r="X239" s="1">
        <f ca="1">IFERROR(__xludf.DUMMYFUNCTION("""COMPUTED_VALUE"""),689)</f>
        <v>689</v>
      </c>
      <c r="Y239" s="1">
        <f ca="1">IFERROR(__xludf.DUMMYFUNCTION("""COMPUTED_VALUE"""),0.646)</f>
        <v>0.64600000000000002</v>
      </c>
      <c r="Z239" s="1">
        <f ca="1">IFERROR(__xludf.DUMMYFUNCTION("""COMPUTED_VALUE"""),423)</f>
        <v>423</v>
      </c>
      <c r="AA239" s="1">
        <f ca="1">IFERROR(__xludf.DUMMYFUNCTION("""COMPUTED_VALUE"""),1150)</f>
        <v>1150</v>
      </c>
      <c r="AB239" s="1">
        <f ca="1">IFERROR(__xludf.DUMMYFUNCTION("""COMPUTED_VALUE"""),399)</f>
        <v>399</v>
      </c>
      <c r="AC239" s="1">
        <f ca="1">IFERROR(__xludf.DUMMYFUNCTION("""COMPUTED_VALUE"""),198)</f>
        <v>198</v>
      </c>
      <c r="AD239" s="1">
        <f ca="1">IFERROR(__xludf.DUMMYFUNCTION("""COMPUTED_VALUE"""),105)</f>
        <v>105</v>
      </c>
      <c r="AE239" s="1">
        <f ca="1">IFERROR(__xludf.DUMMYFUNCTION("""COMPUTED_VALUE"""),459)</f>
        <v>459</v>
      </c>
      <c r="AF239" s="1">
        <f ca="1">IFERROR(__xludf.DUMMYFUNCTION("""COMPUTED_VALUE"""),650)</f>
        <v>650</v>
      </c>
    </row>
    <row r="240" spans="1:32" ht="12.5" x14ac:dyDescent="0.25">
      <c r="A240" s="1" t="str">
        <f ca="1">IFERROR(__xludf.DUMMYFUNCTION("""COMPUTED_VALUE"""),"Northern IowaNCAA")</f>
        <v>Northern IowaNCAA</v>
      </c>
      <c r="B240" s="1">
        <f ca="1">IFERROR(__xludf.DUMMYFUNCTION("""COMPUTED_VALUE"""),35)</f>
        <v>35</v>
      </c>
      <c r="C240" s="1">
        <f ca="1">IFERROR(__xludf.DUMMYFUNCTION("""COMPUTED_VALUE"""),30)</f>
        <v>30</v>
      </c>
      <c r="D240" s="1">
        <f ca="1">IFERROR(__xludf.DUMMYFUNCTION("""COMPUTED_VALUE"""),5)</f>
        <v>5</v>
      </c>
      <c r="E240" s="1">
        <f ca="1">IFERROR(__xludf.DUMMYFUNCTION("""COMPUTED_VALUE"""),0.857)</f>
        <v>0.85699999999999998</v>
      </c>
      <c r="F240" s="1">
        <f ca="1">IFERROR(__xludf.DUMMYFUNCTION("""COMPUTED_VALUE"""),12.03)</f>
        <v>12.03</v>
      </c>
      <c r="G240" s="1">
        <f ca="1">IFERROR(__xludf.DUMMYFUNCTION("""COMPUTED_VALUE"""),4.27)</f>
        <v>4.2699999999999996</v>
      </c>
      <c r="H240" s="1">
        <f ca="1">IFERROR(__xludf.DUMMYFUNCTION("""COMPUTED_VALUE"""),15)</f>
        <v>15</v>
      </c>
      <c r="I240" s="1">
        <f ca="1">IFERROR(__xludf.DUMMYFUNCTION("""COMPUTED_VALUE"""),3)</f>
        <v>3</v>
      </c>
      <c r="J240" s="1">
        <f ca="1">IFERROR(__xludf.DUMMYFUNCTION("""COMPUTED_VALUE"""),14)</f>
        <v>14</v>
      </c>
      <c r="K240" s="1">
        <f ca="1">IFERROR(__xludf.DUMMYFUNCTION("""COMPUTED_VALUE"""),0)</f>
        <v>0</v>
      </c>
      <c r="L240" s="1">
        <f ca="1">IFERROR(__xludf.DUMMYFUNCTION("""COMPUTED_VALUE"""),9)</f>
        <v>9</v>
      </c>
      <c r="M240" s="1">
        <f ca="1">IFERROR(__xludf.DUMMYFUNCTION("""COMPUTED_VALUE"""),3)</f>
        <v>3</v>
      </c>
      <c r="N240" s="1">
        <f ca="1">IFERROR(__xludf.DUMMYFUNCTION("""COMPUTED_VALUE"""),2216)</f>
        <v>2216</v>
      </c>
      <c r="O240" s="1">
        <f ca="1">IFERROR(__xludf.DUMMYFUNCTION("""COMPUTED_VALUE"""),1929)</f>
        <v>1929</v>
      </c>
      <c r="P240" s="1">
        <f ca="1">IFERROR(__xludf.DUMMYFUNCTION("""COMPUTED_VALUE"""),1400)</f>
        <v>1400</v>
      </c>
      <c r="Q240" s="1">
        <f ca="1">IFERROR(__xludf.DUMMYFUNCTION("""COMPUTED_VALUE"""),747)</f>
        <v>747</v>
      </c>
      <c r="R240" s="1">
        <f ca="1">IFERROR(__xludf.DUMMYFUNCTION("""COMPUTED_VALUE"""),1741)</f>
        <v>1741</v>
      </c>
      <c r="S240" s="1">
        <f ca="1">IFERROR(__xludf.DUMMYFUNCTION("""COMPUTED_VALUE"""),0.429)</f>
        <v>0.42899999999999999</v>
      </c>
      <c r="T240" s="1">
        <f ca="1">IFERROR(__xludf.DUMMYFUNCTION("""COMPUTED_VALUE"""),233)</f>
        <v>233</v>
      </c>
      <c r="U240" s="1">
        <f ca="1">IFERROR(__xludf.DUMMYFUNCTION("""COMPUTED_VALUE"""),659)</f>
        <v>659</v>
      </c>
      <c r="V240" s="1">
        <f ca="1">IFERROR(__xludf.DUMMYFUNCTION("""COMPUTED_VALUE"""),0.354)</f>
        <v>0.35399999999999998</v>
      </c>
      <c r="W240" s="1">
        <f ca="1">IFERROR(__xludf.DUMMYFUNCTION("""COMPUTED_VALUE"""),489)</f>
        <v>489</v>
      </c>
      <c r="X240" s="1">
        <f ca="1">IFERROR(__xludf.DUMMYFUNCTION("""COMPUTED_VALUE"""),645)</f>
        <v>645</v>
      </c>
      <c r="Y240" s="1">
        <f ca="1">IFERROR(__xludf.DUMMYFUNCTION("""COMPUTED_VALUE"""),0.758)</f>
        <v>0.75800000000000001</v>
      </c>
      <c r="Z240" s="1">
        <f ca="1">IFERROR(__xludf.DUMMYFUNCTION("""COMPUTED_VALUE"""),333)</f>
        <v>333</v>
      </c>
      <c r="AA240" s="1">
        <f ca="1">IFERROR(__xludf.DUMMYFUNCTION("""COMPUTED_VALUE"""),1130)</f>
        <v>1130</v>
      </c>
      <c r="AB240" s="1">
        <f ca="1">IFERROR(__xludf.DUMMYFUNCTION("""COMPUTED_VALUE"""),367)</f>
        <v>367</v>
      </c>
      <c r="AC240" s="1">
        <f ca="1">IFERROR(__xludf.DUMMYFUNCTION("""COMPUTED_VALUE"""),198)</f>
        <v>198</v>
      </c>
      <c r="AD240" s="1">
        <f ca="1">IFERROR(__xludf.DUMMYFUNCTION("""COMPUTED_VALUE"""),70)</f>
        <v>70</v>
      </c>
      <c r="AE240" s="1">
        <f ca="1">IFERROR(__xludf.DUMMYFUNCTION("""COMPUTED_VALUE"""),372)</f>
        <v>372</v>
      </c>
      <c r="AF240" s="1">
        <f ca="1">IFERROR(__xludf.DUMMYFUNCTION("""COMPUTED_VALUE"""),556)</f>
        <v>556</v>
      </c>
    </row>
    <row r="241" spans="1:32" ht="12.5" x14ac:dyDescent="0.25">
      <c r="A241" s="1" t="str">
        <f ca="1">IFERROR(__xludf.DUMMYFUNCTION("""COMPUTED_VALUE"""),"Northwestern State")</f>
        <v>Northwestern State</v>
      </c>
      <c r="B241" s="1">
        <f ca="1">IFERROR(__xludf.DUMMYFUNCTION("""COMPUTED_VALUE"""),29)</f>
        <v>29</v>
      </c>
      <c r="C241" s="1">
        <f ca="1">IFERROR(__xludf.DUMMYFUNCTION("""COMPUTED_VALUE"""),10)</f>
        <v>10</v>
      </c>
      <c r="D241" s="1">
        <f ca="1">IFERROR(__xludf.DUMMYFUNCTION("""COMPUTED_VALUE"""),19)</f>
        <v>19</v>
      </c>
      <c r="E241" s="1">
        <f ca="1">IFERROR(__xludf.DUMMYFUNCTION("""COMPUTED_VALUE"""),0.345)</f>
        <v>0.34499999999999997</v>
      </c>
      <c r="F241" s="1">
        <f ca="1">IFERROR(__xludf.DUMMYFUNCTION("""COMPUTED_VALUE"""),-14.98)</f>
        <v>-14.98</v>
      </c>
      <c r="G241" s="1">
        <f ca="1">IFERROR(__xludf.DUMMYFUNCTION("""COMPUTED_VALUE"""),-4.7)</f>
        <v>-4.7</v>
      </c>
      <c r="H241" s="1">
        <f ca="1">IFERROR(__xludf.DUMMYFUNCTION("""COMPUTED_VALUE"""),5)</f>
        <v>5</v>
      </c>
      <c r="I241" s="1">
        <f ca="1">IFERROR(__xludf.DUMMYFUNCTION("""COMPUTED_VALUE"""),11)</f>
        <v>11</v>
      </c>
      <c r="J241" s="1">
        <f ca="1">IFERROR(__xludf.DUMMYFUNCTION("""COMPUTED_VALUE"""),7)</f>
        <v>7</v>
      </c>
      <c r="K241" s="1">
        <f ca="1">IFERROR(__xludf.DUMMYFUNCTION("""COMPUTED_VALUE"""),7)</f>
        <v>7</v>
      </c>
      <c r="L241" s="1">
        <f ca="1">IFERROR(__xludf.DUMMYFUNCTION("""COMPUTED_VALUE"""),3)</f>
        <v>3</v>
      </c>
      <c r="M241" s="1">
        <f ca="1">IFERROR(__xludf.DUMMYFUNCTION("""COMPUTED_VALUE"""),12)</f>
        <v>12</v>
      </c>
      <c r="N241" s="1">
        <f ca="1">IFERROR(__xludf.DUMMYFUNCTION("""COMPUTED_VALUE"""),2186)</f>
        <v>2186</v>
      </c>
      <c r="O241" s="1">
        <f ca="1">IFERROR(__xludf.DUMMYFUNCTION("""COMPUTED_VALUE"""),2333)</f>
        <v>2333</v>
      </c>
      <c r="P241" s="1">
        <f ca="1">IFERROR(__xludf.DUMMYFUNCTION("""COMPUTED_VALUE"""),1175)</f>
        <v>1175</v>
      </c>
      <c r="Q241" s="1">
        <f ca="1">IFERROR(__xludf.DUMMYFUNCTION("""COMPUTED_VALUE"""),747)</f>
        <v>747</v>
      </c>
      <c r="R241" s="1">
        <f ca="1">IFERROR(__xludf.DUMMYFUNCTION("""COMPUTED_VALUE"""),1720)</f>
        <v>1720</v>
      </c>
      <c r="S241" s="1">
        <f ca="1">IFERROR(__xludf.DUMMYFUNCTION("""COMPUTED_VALUE"""),0.434)</f>
        <v>0.434</v>
      </c>
      <c r="T241" s="1">
        <f ca="1">IFERROR(__xludf.DUMMYFUNCTION("""COMPUTED_VALUE"""),182)</f>
        <v>182</v>
      </c>
      <c r="U241" s="1">
        <f ca="1">IFERROR(__xludf.DUMMYFUNCTION("""COMPUTED_VALUE"""),524)</f>
        <v>524</v>
      </c>
      <c r="V241" s="1">
        <f ca="1">IFERROR(__xludf.DUMMYFUNCTION("""COMPUTED_VALUE"""),0.347)</f>
        <v>0.34699999999999998</v>
      </c>
      <c r="W241" s="1">
        <f ca="1">IFERROR(__xludf.DUMMYFUNCTION("""COMPUTED_VALUE"""),510)</f>
        <v>510</v>
      </c>
      <c r="X241" s="1">
        <f ca="1">IFERROR(__xludf.DUMMYFUNCTION("""COMPUTED_VALUE"""),838)</f>
        <v>838</v>
      </c>
      <c r="Y241" s="1">
        <f ca="1">IFERROR(__xludf.DUMMYFUNCTION("""COMPUTED_VALUE"""),0.609)</f>
        <v>0.60899999999999999</v>
      </c>
      <c r="Z241" s="1">
        <f ca="1">IFERROR(__xludf.DUMMYFUNCTION("""COMPUTED_VALUE"""),384)</f>
        <v>384</v>
      </c>
      <c r="AA241" s="1">
        <f ca="1">IFERROR(__xludf.DUMMYFUNCTION("""COMPUTED_VALUE"""),1093)</f>
        <v>1093</v>
      </c>
      <c r="AB241" s="1">
        <f ca="1">IFERROR(__xludf.DUMMYFUNCTION("""COMPUTED_VALUE"""),363)</f>
        <v>363</v>
      </c>
      <c r="AC241" s="1">
        <f ca="1">IFERROR(__xludf.DUMMYFUNCTION("""COMPUTED_VALUE"""),229)</f>
        <v>229</v>
      </c>
      <c r="AD241" s="1">
        <f ca="1">IFERROR(__xludf.DUMMYFUNCTION("""COMPUTED_VALUE"""),143)</f>
        <v>143</v>
      </c>
      <c r="AE241" s="1">
        <f ca="1">IFERROR(__xludf.DUMMYFUNCTION("""COMPUTED_VALUE"""),487)</f>
        <v>487</v>
      </c>
      <c r="AF241" s="1">
        <f ca="1">IFERROR(__xludf.DUMMYFUNCTION("""COMPUTED_VALUE"""),678)</f>
        <v>678</v>
      </c>
    </row>
    <row r="242" spans="1:32" ht="12.5" x14ac:dyDescent="0.25">
      <c r="A242" s="1" t="str">
        <f ca="1">IFERROR(__xludf.DUMMYFUNCTION("""COMPUTED_VALUE"""),"Overall")</f>
        <v>Overall</v>
      </c>
      <c r="B242" s="1" t="str">
        <f ca="1">IFERROR(__xludf.DUMMYFUNCTION("""COMPUTED_VALUE"""),"Conf.")</f>
        <v>Conf.</v>
      </c>
      <c r="C242" s="1" t="str">
        <f ca="1">IFERROR(__xludf.DUMMYFUNCTION("""COMPUTED_VALUE"""),"Home")</f>
        <v>Home</v>
      </c>
      <c r="D242" s="1" t="str">
        <f ca="1">IFERROR(__xludf.DUMMYFUNCTION("""COMPUTED_VALUE"""),"Away")</f>
        <v>Away</v>
      </c>
      <c r="E242" s="1" t="str">
        <f ca="1">IFERROR(__xludf.DUMMYFUNCTION("""COMPUTED_VALUE"""),"Points")</f>
        <v>Points</v>
      </c>
      <c r="F242" s="1" t="str">
        <f ca="1">IFERROR(__xludf.DUMMYFUNCTION("""COMPUTED_VALUE"""),"")</f>
        <v/>
      </c>
      <c r="G242" s="1" t="str">
        <f ca="1">IFERROR(__xludf.DUMMYFUNCTION("""COMPUTED_VALUE"""),"School Totals")</f>
        <v>School Totals</v>
      </c>
      <c r="H242" s="1" t="str">
        <f ca="1">IFERROR(__xludf.DUMMYFUNCTION("""COMPUTED_VALUE"""),"")</f>
        <v/>
      </c>
      <c r="I242" s="1" t="str">
        <f ca="1">IFERROR(__xludf.DUMMYFUNCTION("""COMPUTED_VALUE"""),"")</f>
        <v/>
      </c>
      <c r="J242" s="1" t="str">
        <f ca="1">IFERROR(__xludf.DUMMYFUNCTION("""COMPUTED_VALUE"""),"")</f>
        <v/>
      </c>
      <c r="K242" s="1" t="str">
        <f ca="1">IFERROR(__xludf.DUMMYFUNCTION("""COMPUTED_VALUE"""),"")</f>
        <v/>
      </c>
      <c r="L242" s="1" t="str">
        <f ca="1">IFERROR(__xludf.DUMMYFUNCTION("""COMPUTED_VALUE"""),"")</f>
        <v/>
      </c>
      <c r="M242" s="1" t="str">
        <f ca="1">IFERROR(__xludf.DUMMYFUNCTION("""COMPUTED_VALUE"""),"")</f>
        <v/>
      </c>
      <c r="N242" s="1" t="str">
        <f ca="1">IFERROR(__xludf.DUMMYFUNCTION("""COMPUTED_VALUE"""),"")</f>
        <v/>
      </c>
      <c r="O242" s="1" t="str">
        <f ca="1">IFERROR(__xludf.DUMMYFUNCTION("""COMPUTED_VALUE"""),"")</f>
        <v/>
      </c>
      <c r="P242" s="1" t="str">
        <f ca="1">IFERROR(__xludf.DUMMYFUNCTION("""COMPUTED_VALUE"""),"")</f>
        <v/>
      </c>
      <c r="Q242" s="1" t="str">
        <f ca="1">IFERROR(__xludf.DUMMYFUNCTION("""COMPUTED_VALUE"""),"")</f>
        <v/>
      </c>
      <c r="R242" s="1" t="str">
        <f ca="1">IFERROR(__xludf.DUMMYFUNCTION("""COMPUTED_VALUE"""),"")</f>
        <v/>
      </c>
      <c r="S242" s="1" t="str">
        <f ca="1">IFERROR(__xludf.DUMMYFUNCTION("""COMPUTED_VALUE"""),"")</f>
        <v/>
      </c>
      <c r="T242" s="1" t="str">
        <f ca="1">IFERROR(__xludf.DUMMYFUNCTION("""COMPUTED_VALUE"""),"")</f>
        <v/>
      </c>
      <c r="U242" s="1" t="str">
        <f ca="1">IFERROR(__xludf.DUMMYFUNCTION("""COMPUTED_VALUE"""),"")</f>
        <v/>
      </c>
      <c r="V242" s="1" t="str">
        <f ca="1">IFERROR(__xludf.DUMMYFUNCTION("""COMPUTED_VALUE"""),"")</f>
        <v/>
      </c>
      <c r="W242" s="1" t="str">
        <f ca="1">IFERROR(__xludf.DUMMYFUNCTION("""COMPUTED_VALUE"""),"")</f>
        <v/>
      </c>
      <c r="X242" s="1" t="str">
        <f ca="1">IFERROR(__xludf.DUMMYFUNCTION("""COMPUTED_VALUE"""),"")</f>
        <v/>
      </c>
      <c r="Y242" s="1" t="str">
        <f ca="1">IFERROR(__xludf.DUMMYFUNCTION("""COMPUTED_VALUE"""),"")</f>
        <v/>
      </c>
      <c r="Z242" s="1" t="str">
        <f ca="1">IFERROR(__xludf.DUMMYFUNCTION("""COMPUTED_VALUE"""),"")</f>
        <v/>
      </c>
      <c r="AA242" s="1" t="str">
        <f ca="1">IFERROR(__xludf.DUMMYFUNCTION("""COMPUTED_VALUE"""),"")</f>
        <v/>
      </c>
      <c r="AB242" s="1" t="str">
        <f ca="1">IFERROR(__xludf.DUMMYFUNCTION("""COMPUTED_VALUE"""),"")</f>
        <v/>
      </c>
      <c r="AC242" s="1" t="str">
        <f ca="1">IFERROR(__xludf.DUMMYFUNCTION("""COMPUTED_VALUE"""),"")</f>
        <v/>
      </c>
      <c r="AD242" s="1" t="str">
        <f ca="1">IFERROR(__xludf.DUMMYFUNCTION("""COMPUTED_VALUE"""),"")</f>
        <v/>
      </c>
      <c r="AE242" s="1" t="str">
        <f ca="1">IFERROR(__xludf.DUMMYFUNCTION("""COMPUTED_VALUE"""),"")</f>
        <v/>
      </c>
      <c r="AF242" s="1" t="str">
        <f ca="1">IFERROR(__xludf.DUMMYFUNCTION("""COMPUTED_VALUE"""),"")</f>
        <v/>
      </c>
    </row>
    <row r="243" spans="1:32" ht="12.5" x14ac:dyDescent="0.25">
      <c r="A243" s="1" t="str">
        <f ca="1">IFERROR(__xludf.DUMMYFUNCTION("""COMPUTED_VALUE"""),"School")</f>
        <v>School</v>
      </c>
      <c r="B243" s="1" t="str">
        <f ca="1">IFERROR(__xludf.DUMMYFUNCTION("""COMPUTED_VALUE"""),"G")</f>
        <v>G</v>
      </c>
      <c r="C243" s="1" t="str">
        <f ca="1">IFERROR(__xludf.DUMMYFUNCTION("""COMPUTED_VALUE"""),"W")</f>
        <v>W</v>
      </c>
      <c r="D243" s="1" t="str">
        <f ca="1">IFERROR(__xludf.DUMMYFUNCTION("""COMPUTED_VALUE"""),"L")</f>
        <v>L</v>
      </c>
      <c r="E243" s="1" t="str">
        <f ca="1">IFERROR(__xludf.DUMMYFUNCTION("""COMPUTED_VALUE"""),"W-L%")</f>
        <v>W-L%</v>
      </c>
      <c r="F243" s="1" t="str">
        <f ca="1">IFERROR(__xludf.DUMMYFUNCTION("""COMPUTED_VALUE"""),"SRS")</f>
        <v>SRS</v>
      </c>
      <c r="G243" s="1" t="str">
        <f ca="1">IFERROR(__xludf.DUMMYFUNCTION("""COMPUTED_VALUE"""),"SOS")</f>
        <v>SOS</v>
      </c>
      <c r="H243" s="1" t="str">
        <f ca="1">IFERROR(__xludf.DUMMYFUNCTION("""COMPUTED_VALUE"""),"W")</f>
        <v>W</v>
      </c>
      <c r="I243" s="1" t="str">
        <f ca="1">IFERROR(__xludf.DUMMYFUNCTION("""COMPUTED_VALUE"""),"L")</f>
        <v>L</v>
      </c>
      <c r="J243" s="1" t="str">
        <f ca="1">IFERROR(__xludf.DUMMYFUNCTION("""COMPUTED_VALUE"""),"W")</f>
        <v>W</v>
      </c>
      <c r="K243" s="1" t="str">
        <f ca="1">IFERROR(__xludf.DUMMYFUNCTION("""COMPUTED_VALUE"""),"L")</f>
        <v>L</v>
      </c>
      <c r="L243" s="1" t="str">
        <f ca="1">IFERROR(__xludf.DUMMYFUNCTION("""COMPUTED_VALUE"""),"W")</f>
        <v>W</v>
      </c>
      <c r="M243" s="1" t="str">
        <f ca="1">IFERROR(__xludf.DUMMYFUNCTION("""COMPUTED_VALUE"""),"L")</f>
        <v>L</v>
      </c>
      <c r="N243" s="1" t="str">
        <f ca="1">IFERROR(__xludf.DUMMYFUNCTION("""COMPUTED_VALUE"""),"Tm.")</f>
        <v>Tm.</v>
      </c>
      <c r="O243" s="1" t="str">
        <f ca="1">IFERROR(__xludf.DUMMYFUNCTION("""COMPUTED_VALUE"""),"Opp.")</f>
        <v>Opp.</v>
      </c>
      <c r="P243" s="1" t="str">
        <f ca="1">IFERROR(__xludf.DUMMYFUNCTION("""COMPUTED_VALUE"""),"MP")</f>
        <v>MP</v>
      </c>
      <c r="Q243" s="1" t="str">
        <f ca="1">IFERROR(__xludf.DUMMYFUNCTION("""COMPUTED_VALUE"""),"FG")</f>
        <v>FG</v>
      </c>
      <c r="R243" s="1" t="str">
        <f ca="1">IFERROR(__xludf.DUMMYFUNCTION("""COMPUTED_VALUE"""),"FGA")</f>
        <v>FGA</v>
      </c>
      <c r="S243" s="1" t="str">
        <f ca="1">IFERROR(__xludf.DUMMYFUNCTION("""COMPUTED_VALUE"""),"FG%")</f>
        <v>FG%</v>
      </c>
      <c r="T243" s="1" t="str">
        <f ca="1">IFERROR(__xludf.DUMMYFUNCTION("""COMPUTED_VALUE"""),"3P")</f>
        <v>3P</v>
      </c>
      <c r="U243" s="1" t="str">
        <f ca="1">IFERROR(__xludf.DUMMYFUNCTION("""COMPUTED_VALUE"""),"3PA")</f>
        <v>3PA</v>
      </c>
      <c r="V243" s="1" t="str">
        <f ca="1">IFERROR(__xludf.DUMMYFUNCTION("""COMPUTED_VALUE"""),"3P%")</f>
        <v>3P%</v>
      </c>
      <c r="W243" s="1" t="str">
        <f ca="1">IFERROR(__xludf.DUMMYFUNCTION("""COMPUTED_VALUE"""),"FT")</f>
        <v>FT</v>
      </c>
      <c r="X243" s="1" t="str">
        <f ca="1">IFERROR(__xludf.DUMMYFUNCTION("""COMPUTED_VALUE"""),"FTA")</f>
        <v>FTA</v>
      </c>
      <c r="Y243" s="1" t="str">
        <f ca="1">IFERROR(__xludf.DUMMYFUNCTION("""COMPUTED_VALUE"""),"FT%")</f>
        <v>FT%</v>
      </c>
      <c r="Z243" s="1" t="str">
        <f ca="1">IFERROR(__xludf.DUMMYFUNCTION("""COMPUTED_VALUE"""),"ORB")</f>
        <v>ORB</v>
      </c>
      <c r="AA243" s="1" t="str">
        <f ca="1">IFERROR(__xludf.DUMMYFUNCTION("""COMPUTED_VALUE"""),"TRB")</f>
        <v>TRB</v>
      </c>
      <c r="AB243" s="1" t="str">
        <f ca="1">IFERROR(__xludf.DUMMYFUNCTION("""COMPUTED_VALUE"""),"AST")</f>
        <v>AST</v>
      </c>
      <c r="AC243" s="1" t="str">
        <f ca="1">IFERROR(__xludf.DUMMYFUNCTION("""COMPUTED_VALUE"""),"STL")</f>
        <v>STL</v>
      </c>
      <c r="AD243" s="1" t="str">
        <f ca="1">IFERROR(__xludf.DUMMYFUNCTION("""COMPUTED_VALUE"""),"BLK")</f>
        <v>BLK</v>
      </c>
      <c r="AE243" s="1" t="str">
        <f ca="1">IFERROR(__xludf.DUMMYFUNCTION("""COMPUTED_VALUE"""),"TOV")</f>
        <v>TOV</v>
      </c>
      <c r="AF243" s="1" t="str">
        <f ca="1">IFERROR(__xludf.DUMMYFUNCTION("""COMPUTED_VALUE"""),"PF")</f>
        <v>PF</v>
      </c>
    </row>
    <row r="244" spans="1:32" ht="12.5" x14ac:dyDescent="0.25">
      <c r="A244" s="1" t="str">
        <f ca="1">IFERROR(__xludf.DUMMYFUNCTION("""COMPUTED_VALUE"""),"Northwestern")</f>
        <v>Northwestern</v>
      </c>
      <c r="B244" s="1">
        <f ca="1">IFERROR(__xludf.DUMMYFUNCTION("""COMPUTED_VALUE"""),34)</f>
        <v>34</v>
      </c>
      <c r="C244" s="1">
        <f ca="1">IFERROR(__xludf.DUMMYFUNCTION("""COMPUTED_VALUE"""),20)</f>
        <v>20</v>
      </c>
      <c r="D244" s="1">
        <f ca="1">IFERROR(__xludf.DUMMYFUNCTION("""COMPUTED_VALUE"""),14)</f>
        <v>14</v>
      </c>
      <c r="E244" s="1">
        <f ca="1">IFERROR(__xludf.DUMMYFUNCTION("""COMPUTED_VALUE"""),0.588)</f>
        <v>0.58799999999999997</v>
      </c>
      <c r="F244" s="1">
        <f ca="1">IFERROR(__xludf.DUMMYFUNCTION("""COMPUTED_VALUE"""),8.32)</f>
        <v>8.32</v>
      </c>
      <c r="G244" s="1">
        <f ca="1">IFERROR(__xludf.DUMMYFUNCTION("""COMPUTED_VALUE"""),4.99)</f>
        <v>4.99</v>
      </c>
      <c r="H244" s="1">
        <f ca="1">IFERROR(__xludf.DUMMYFUNCTION("""COMPUTED_VALUE"""),7)</f>
        <v>7</v>
      </c>
      <c r="I244" s="1">
        <f ca="1">IFERROR(__xludf.DUMMYFUNCTION("""COMPUTED_VALUE"""),11)</f>
        <v>11</v>
      </c>
      <c r="J244" s="1">
        <f ca="1">IFERROR(__xludf.DUMMYFUNCTION("""COMPUTED_VALUE"""),15)</f>
        <v>15</v>
      </c>
      <c r="K244" s="1">
        <f ca="1">IFERROR(__xludf.DUMMYFUNCTION("""COMPUTED_VALUE"""),4)</f>
        <v>4</v>
      </c>
      <c r="L244" s="1">
        <f ca="1">IFERROR(__xludf.DUMMYFUNCTION("""COMPUTED_VALUE"""),2)</f>
        <v>2</v>
      </c>
      <c r="M244" s="1">
        <f ca="1">IFERROR(__xludf.DUMMYFUNCTION("""COMPUTED_VALUE"""),10)</f>
        <v>10</v>
      </c>
      <c r="N244" s="1">
        <f ca="1">IFERROR(__xludf.DUMMYFUNCTION("""COMPUTED_VALUE"""),2351)</f>
        <v>2351</v>
      </c>
      <c r="O244" s="1">
        <f ca="1">IFERROR(__xludf.DUMMYFUNCTION("""COMPUTED_VALUE"""),2238)</f>
        <v>2238</v>
      </c>
      <c r="P244" s="1">
        <f ca="1">IFERROR(__xludf.DUMMYFUNCTION("""COMPUTED_VALUE"""),1375)</f>
        <v>1375</v>
      </c>
      <c r="Q244" s="1">
        <f ca="1">IFERROR(__xludf.DUMMYFUNCTION("""COMPUTED_VALUE"""),789)</f>
        <v>789</v>
      </c>
      <c r="R244" s="1">
        <f ca="1">IFERROR(__xludf.DUMMYFUNCTION("""COMPUTED_VALUE"""),1820)</f>
        <v>1820</v>
      </c>
      <c r="S244" s="1">
        <f ca="1">IFERROR(__xludf.DUMMYFUNCTION("""COMPUTED_VALUE"""),0.434)</f>
        <v>0.434</v>
      </c>
      <c r="T244" s="1">
        <f ca="1">IFERROR(__xludf.DUMMYFUNCTION("""COMPUTED_VALUE"""),317)</f>
        <v>317</v>
      </c>
      <c r="U244" s="1">
        <f ca="1">IFERROR(__xludf.DUMMYFUNCTION("""COMPUTED_VALUE"""),887)</f>
        <v>887</v>
      </c>
      <c r="V244" s="1">
        <f ca="1">IFERROR(__xludf.DUMMYFUNCTION("""COMPUTED_VALUE"""),0.357)</f>
        <v>0.35699999999999998</v>
      </c>
      <c r="W244" s="1">
        <f ca="1">IFERROR(__xludf.DUMMYFUNCTION("""COMPUTED_VALUE"""),456)</f>
        <v>456</v>
      </c>
      <c r="X244" s="1">
        <f ca="1">IFERROR(__xludf.DUMMYFUNCTION("""COMPUTED_VALUE"""),639)</f>
        <v>639</v>
      </c>
      <c r="Y244" s="1">
        <f ca="1">IFERROR(__xludf.DUMMYFUNCTION("""COMPUTED_VALUE"""),0.714)</f>
        <v>0.71399999999999997</v>
      </c>
      <c r="Z244" s="1">
        <f ca="1">IFERROR(__xludf.DUMMYFUNCTION("""COMPUTED_VALUE"""),350)</f>
        <v>350</v>
      </c>
      <c r="AA244" s="1">
        <f ca="1">IFERROR(__xludf.DUMMYFUNCTION("""COMPUTED_VALUE"""),1091)</f>
        <v>1091</v>
      </c>
      <c r="AB244" s="1">
        <f ca="1">IFERROR(__xludf.DUMMYFUNCTION("""COMPUTED_VALUE"""),565)</f>
        <v>565</v>
      </c>
      <c r="AC244" s="1">
        <f ca="1">IFERROR(__xludf.DUMMYFUNCTION("""COMPUTED_VALUE"""),221)</f>
        <v>221</v>
      </c>
      <c r="AD244" s="1">
        <f ca="1">IFERROR(__xludf.DUMMYFUNCTION("""COMPUTED_VALUE"""),133)</f>
        <v>133</v>
      </c>
      <c r="AE244" s="1">
        <f ca="1">IFERROR(__xludf.DUMMYFUNCTION("""COMPUTED_VALUE"""),374)</f>
        <v>374</v>
      </c>
      <c r="AF244" s="1">
        <f ca="1">IFERROR(__xludf.DUMMYFUNCTION("""COMPUTED_VALUE"""),651)</f>
        <v>651</v>
      </c>
    </row>
    <row r="245" spans="1:32" ht="12.5" x14ac:dyDescent="0.25">
      <c r="A245" s="1" t="str">
        <f ca="1">IFERROR(__xludf.DUMMYFUNCTION("""COMPUTED_VALUE"""),"Notre DameNCAA")</f>
        <v>Notre DameNCAA</v>
      </c>
      <c r="B245" s="1">
        <f ca="1">IFERROR(__xludf.DUMMYFUNCTION("""COMPUTED_VALUE"""),35)</f>
        <v>35</v>
      </c>
      <c r="C245" s="1">
        <f ca="1">IFERROR(__xludf.DUMMYFUNCTION("""COMPUTED_VALUE"""),23)</f>
        <v>23</v>
      </c>
      <c r="D245" s="1">
        <f ca="1">IFERROR(__xludf.DUMMYFUNCTION("""COMPUTED_VALUE"""),12)</f>
        <v>12</v>
      </c>
      <c r="E245" s="1">
        <f ca="1">IFERROR(__xludf.DUMMYFUNCTION("""COMPUTED_VALUE"""),0.657)</f>
        <v>0.65700000000000003</v>
      </c>
      <c r="F245" s="1">
        <f ca="1">IFERROR(__xludf.DUMMYFUNCTION("""COMPUTED_VALUE"""),13.14)</f>
        <v>13.14</v>
      </c>
      <c r="G245" s="1">
        <f ca="1">IFERROR(__xludf.DUMMYFUNCTION("""COMPUTED_VALUE"""),6.22)</f>
        <v>6.22</v>
      </c>
      <c r="H245" s="1">
        <f ca="1">IFERROR(__xludf.DUMMYFUNCTION("""COMPUTED_VALUE"""),10)</f>
        <v>10</v>
      </c>
      <c r="I245" s="1">
        <f ca="1">IFERROR(__xludf.DUMMYFUNCTION("""COMPUTED_VALUE"""),8)</f>
        <v>8</v>
      </c>
      <c r="J245" s="1">
        <f ca="1">IFERROR(__xludf.DUMMYFUNCTION("""COMPUTED_VALUE"""),17)</f>
        <v>17</v>
      </c>
      <c r="K245" s="1">
        <f ca="1">IFERROR(__xludf.DUMMYFUNCTION("""COMPUTED_VALUE"""),3)</f>
        <v>3</v>
      </c>
      <c r="L245" s="1">
        <f ca="1">IFERROR(__xludf.DUMMYFUNCTION("""COMPUTED_VALUE"""),3)</f>
        <v>3</v>
      </c>
      <c r="M245" s="1">
        <f ca="1">IFERROR(__xludf.DUMMYFUNCTION("""COMPUTED_VALUE"""),6)</f>
        <v>6</v>
      </c>
      <c r="N245" s="1">
        <f ca="1">IFERROR(__xludf.DUMMYFUNCTION("""COMPUTED_VALUE"""),2635)</f>
        <v>2635</v>
      </c>
      <c r="O245" s="1">
        <f ca="1">IFERROR(__xludf.DUMMYFUNCTION("""COMPUTED_VALUE"""),2393)</f>
        <v>2393</v>
      </c>
      <c r="P245" s="1">
        <f ca="1">IFERROR(__xludf.DUMMYFUNCTION("""COMPUTED_VALUE"""),1415)</f>
        <v>1415</v>
      </c>
      <c r="Q245" s="1">
        <f ca="1">IFERROR(__xludf.DUMMYFUNCTION("""COMPUTED_VALUE"""),918)</f>
        <v>918</v>
      </c>
      <c r="R245" s="1">
        <f ca="1">IFERROR(__xludf.DUMMYFUNCTION("""COMPUTED_VALUE"""),1953)</f>
        <v>1953</v>
      </c>
      <c r="S245" s="1">
        <f ca="1">IFERROR(__xludf.DUMMYFUNCTION("""COMPUTED_VALUE"""),0.47)</f>
        <v>0.47</v>
      </c>
      <c r="T245" s="1">
        <f ca="1">IFERROR(__xludf.DUMMYFUNCTION("""COMPUTED_VALUE"""),261)</f>
        <v>261</v>
      </c>
      <c r="U245" s="1">
        <f ca="1">IFERROR(__xludf.DUMMYFUNCTION("""COMPUTED_VALUE"""),673)</f>
        <v>673</v>
      </c>
      <c r="V245" s="1">
        <f ca="1">IFERROR(__xludf.DUMMYFUNCTION("""COMPUTED_VALUE"""),0.388)</f>
        <v>0.38800000000000001</v>
      </c>
      <c r="W245" s="1">
        <f ca="1">IFERROR(__xludf.DUMMYFUNCTION("""COMPUTED_VALUE"""),538)</f>
        <v>538</v>
      </c>
      <c r="X245" s="1">
        <f ca="1">IFERROR(__xludf.DUMMYFUNCTION("""COMPUTED_VALUE"""),744)</f>
        <v>744</v>
      </c>
      <c r="Y245" s="1">
        <f ca="1">IFERROR(__xludf.DUMMYFUNCTION("""COMPUTED_VALUE"""),0.723)</f>
        <v>0.72299999999999998</v>
      </c>
      <c r="Z245" s="1">
        <f ca="1">IFERROR(__xludf.DUMMYFUNCTION("""COMPUTED_VALUE"""),402)</f>
        <v>402</v>
      </c>
      <c r="AA245" s="1">
        <f ca="1">IFERROR(__xludf.DUMMYFUNCTION("""COMPUTED_VALUE"""),1250)</f>
        <v>1250</v>
      </c>
      <c r="AB245" s="1">
        <f ca="1">IFERROR(__xludf.DUMMYFUNCTION("""COMPUTED_VALUE"""),585)</f>
        <v>585</v>
      </c>
      <c r="AC245" s="1">
        <f ca="1">IFERROR(__xludf.DUMMYFUNCTION("""COMPUTED_VALUE"""),194)</f>
        <v>194</v>
      </c>
      <c r="AD245" s="1">
        <f ca="1">IFERROR(__xludf.DUMMYFUNCTION("""COMPUTED_VALUE"""),104)</f>
        <v>104</v>
      </c>
      <c r="AE245" s="1">
        <f ca="1">IFERROR(__xludf.DUMMYFUNCTION("""COMPUTED_VALUE"""),362)</f>
        <v>362</v>
      </c>
      <c r="AF245" s="1">
        <f ca="1">IFERROR(__xludf.DUMMYFUNCTION("""COMPUTED_VALUE"""),530)</f>
        <v>530</v>
      </c>
    </row>
    <row r="246" spans="1:32" ht="12.5" x14ac:dyDescent="0.25">
      <c r="A246" s="1" t="str">
        <f ca="1">IFERROR(__xludf.DUMMYFUNCTION("""COMPUTED_VALUE"""),"OaklandNCAA")</f>
        <v>OaklandNCAA</v>
      </c>
      <c r="B246" s="1">
        <f ca="1">IFERROR(__xludf.DUMMYFUNCTION("""COMPUTED_VALUE"""),35)</f>
        <v>35</v>
      </c>
      <c r="C246" s="1">
        <f ca="1">IFERROR(__xludf.DUMMYFUNCTION("""COMPUTED_VALUE"""),26)</f>
        <v>26</v>
      </c>
      <c r="D246" s="1">
        <f ca="1">IFERROR(__xludf.DUMMYFUNCTION("""COMPUTED_VALUE"""),9)</f>
        <v>9</v>
      </c>
      <c r="E246" s="1">
        <f ca="1">IFERROR(__xludf.DUMMYFUNCTION("""COMPUTED_VALUE"""),0.743)</f>
        <v>0.74299999999999999</v>
      </c>
      <c r="F246" s="1">
        <f ca="1">IFERROR(__xludf.DUMMYFUNCTION("""COMPUTED_VALUE"""),-0.64)</f>
        <v>-0.64</v>
      </c>
      <c r="G246" s="1">
        <f ca="1">IFERROR(__xludf.DUMMYFUNCTION("""COMPUTED_VALUE"""),-2.96)</f>
        <v>-2.96</v>
      </c>
      <c r="H246" s="1">
        <f ca="1">IFERROR(__xludf.DUMMYFUNCTION("""COMPUTED_VALUE"""),17)</f>
        <v>17</v>
      </c>
      <c r="I246" s="1">
        <f ca="1">IFERROR(__xludf.DUMMYFUNCTION("""COMPUTED_VALUE"""),1)</f>
        <v>1</v>
      </c>
      <c r="J246" s="1">
        <f ca="1">IFERROR(__xludf.DUMMYFUNCTION("""COMPUTED_VALUE"""),13)</f>
        <v>13</v>
      </c>
      <c r="K246" s="1">
        <f ca="1">IFERROR(__xludf.DUMMYFUNCTION("""COMPUTED_VALUE"""),1)</f>
        <v>1</v>
      </c>
      <c r="L246" s="1">
        <f ca="1">IFERROR(__xludf.DUMMYFUNCTION("""COMPUTED_VALUE"""),10)</f>
        <v>10</v>
      </c>
      <c r="M246" s="1">
        <f ca="1">IFERROR(__xludf.DUMMYFUNCTION("""COMPUTED_VALUE"""),7)</f>
        <v>7</v>
      </c>
      <c r="N246" s="1">
        <f ca="1">IFERROR(__xludf.DUMMYFUNCTION("""COMPUTED_VALUE"""),2676)</f>
        <v>2676</v>
      </c>
      <c r="O246" s="1">
        <f ca="1">IFERROR(__xludf.DUMMYFUNCTION("""COMPUTED_VALUE"""),2504)</f>
        <v>2504</v>
      </c>
      <c r="P246" s="1">
        <f ca="1">IFERROR(__xludf.DUMMYFUNCTION("""COMPUTED_VALUE"""),1400)</f>
        <v>1400</v>
      </c>
      <c r="Q246" s="1">
        <f ca="1">IFERROR(__xludf.DUMMYFUNCTION("""COMPUTED_VALUE"""),920)</f>
        <v>920</v>
      </c>
      <c r="R246" s="1">
        <f ca="1">IFERROR(__xludf.DUMMYFUNCTION("""COMPUTED_VALUE"""),2053)</f>
        <v>2053</v>
      </c>
      <c r="S246" s="1">
        <f ca="1">IFERROR(__xludf.DUMMYFUNCTION("""COMPUTED_VALUE"""),0.448)</f>
        <v>0.44800000000000001</v>
      </c>
      <c r="T246" s="1">
        <f ca="1">IFERROR(__xludf.DUMMYFUNCTION("""COMPUTED_VALUE"""),206)</f>
        <v>206</v>
      </c>
      <c r="U246" s="1">
        <f ca="1">IFERROR(__xludf.DUMMYFUNCTION("""COMPUTED_VALUE"""),640)</f>
        <v>640</v>
      </c>
      <c r="V246" s="1">
        <f ca="1">IFERROR(__xludf.DUMMYFUNCTION("""COMPUTED_VALUE"""),0.322)</f>
        <v>0.32200000000000001</v>
      </c>
      <c r="W246" s="1">
        <f ca="1">IFERROR(__xludf.DUMMYFUNCTION("""COMPUTED_VALUE"""),630)</f>
        <v>630</v>
      </c>
      <c r="X246" s="1">
        <f ca="1">IFERROR(__xludf.DUMMYFUNCTION("""COMPUTED_VALUE"""),876)</f>
        <v>876</v>
      </c>
      <c r="Y246" s="1">
        <f ca="1">IFERROR(__xludf.DUMMYFUNCTION("""COMPUTED_VALUE"""),0.719)</f>
        <v>0.71899999999999997</v>
      </c>
      <c r="Z246" s="1">
        <f ca="1">IFERROR(__xludf.DUMMYFUNCTION("""COMPUTED_VALUE"""),477)</f>
        <v>477</v>
      </c>
      <c r="AA246" s="1">
        <f ca="1">IFERROR(__xludf.DUMMYFUNCTION("""COMPUTED_VALUE"""),1344)</f>
        <v>1344</v>
      </c>
      <c r="AB246" s="1">
        <f ca="1">IFERROR(__xludf.DUMMYFUNCTION("""COMPUTED_VALUE"""),461)</f>
        <v>461</v>
      </c>
      <c r="AC246" s="1">
        <f ca="1">IFERROR(__xludf.DUMMYFUNCTION("""COMPUTED_VALUE"""),236)</f>
        <v>236</v>
      </c>
      <c r="AD246" s="1">
        <f ca="1">IFERROR(__xludf.DUMMYFUNCTION("""COMPUTED_VALUE"""),169)</f>
        <v>169</v>
      </c>
      <c r="AE246" s="1">
        <f ca="1">IFERROR(__xludf.DUMMYFUNCTION("""COMPUTED_VALUE"""),485)</f>
        <v>485</v>
      </c>
      <c r="AF246" s="1">
        <f ca="1">IFERROR(__xludf.DUMMYFUNCTION("""COMPUTED_VALUE"""),632)</f>
        <v>632</v>
      </c>
    </row>
    <row r="247" spans="1:32" ht="12.5" x14ac:dyDescent="0.25">
      <c r="A247" s="1" t="str">
        <f ca="1">IFERROR(__xludf.DUMMYFUNCTION("""COMPUTED_VALUE"""),"Ohio StateNCAA")</f>
        <v>Ohio StateNCAA</v>
      </c>
      <c r="B247" s="1">
        <f ca="1">IFERROR(__xludf.DUMMYFUNCTION("""COMPUTED_VALUE"""),37)</f>
        <v>37</v>
      </c>
      <c r="C247" s="1">
        <f ca="1">IFERROR(__xludf.DUMMYFUNCTION("""COMPUTED_VALUE"""),29)</f>
        <v>29</v>
      </c>
      <c r="D247" s="1">
        <f ca="1">IFERROR(__xludf.DUMMYFUNCTION("""COMPUTED_VALUE"""),8)</f>
        <v>8</v>
      </c>
      <c r="E247" s="1">
        <f ca="1">IFERROR(__xludf.DUMMYFUNCTION("""COMPUTED_VALUE"""),0.784)</f>
        <v>0.78400000000000003</v>
      </c>
      <c r="F247" s="1">
        <f ca="1">IFERROR(__xludf.DUMMYFUNCTION("""COMPUTED_VALUE"""),19.49)</f>
        <v>19.489999999999998</v>
      </c>
      <c r="G247" s="1">
        <f ca="1">IFERROR(__xludf.DUMMYFUNCTION("""COMPUTED_VALUE"""),7.37)</f>
        <v>7.37</v>
      </c>
      <c r="H247" s="1">
        <f ca="1">IFERROR(__xludf.DUMMYFUNCTION("""COMPUTED_VALUE"""),14)</f>
        <v>14</v>
      </c>
      <c r="I247" s="1">
        <f ca="1">IFERROR(__xludf.DUMMYFUNCTION("""COMPUTED_VALUE"""),4)</f>
        <v>4</v>
      </c>
      <c r="J247" s="1">
        <f ca="1">IFERROR(__xludf.DUMMYFUNCTION("""COMPUTED_VALUE"""),17)</f>
        <v>17</v>
      </c>
      <c r="K247" s="1">
        <f ca="1">IFERROR(__xludf.DUMMYFUNCTION("""COMPUTED_VALUE"""),1)</f>
        <v>1</v>
      </c>
      <c r="L247" s="1">
        <f ca="1">IFERROR(__xludf.DUMMYFUNCTION("""COMPUTED_VALUE"""),6)</f>
        <v>6</v>
      </c>
      <c r="M247" s="1">
        <f ca="1">IFERROR(__xludf.DUMMYFUNCTION("""COMPUTED_VALUE"""),5)</f>
        <v>5</v>
      </c>
      <c r="N247" s="1">
        <f ca="1">IFERROR(__xludf.DUMMYFUNCTION("""COMPUTED_VALUE"""),2740)</f>
        <v>2740</v>
      </c>
      <c r="O247" s="1">
        <f ca="1">IFERROR(__xludf.DUMMYFUNCTION("""COMPUTED_VALUE"""),2274)</f>
        <v>2274</v>
      </c>
      <c r="P247" s="1">
        <f ca="1">IFERROR(__xludf.DUMMYFUNCTION("""COMPUTED_VALUE"""),1490)</f>
        <v>1490</v>
      </c>
      <c r="Q247" s="1">
        <f ca="1">IFERROR(__xludf.DUMMYFUNCTION("""COMPUTED_VALUE"""),983)</f>
        <v>983</v>
      </c>
      <c r="R247" s="1">
        <f ca="1">IFERROR(__xludf.DUMMYFUNCTION("""COMPUTED_VALUE"""),1999)</f>
        <v>1999</v>
      </c>
      <c r="S247" s="1">
        <f ca="1">IFERROR(__xludf.DUMMYFUNCTION("""COMPUTED_VALUE"""),0.492)</f>
        <v>0.49199999999999999</v>
      </c>
      <c r="T247" s="1">
        <f ca="1">IFERROR(__xludf.DUMMYFUNCTION("""COMPUTED_VALUE"""),276)</f>
        <v>276</v>
      </c>
      <c r="U247" s="1">
        <f ca="1">IFERROR(__xludf.DUMMYFUNCTION("""COMPUTED_VALUE"""),708)</f>
        <v>708</v>
      </c>
      <c r="V247" s="1">
        <f ca="1">IFERROR(__xludf.DUMMYFUNCTION("""COMPUTED_VALUE"""),0.39)</f>
        <v>0.39</v>
      </c>
      <c r="W247" s="1">
        <f ca="1">IFERROR(__xludf.DUMMYFUNCTION("""COMPUTED_VALUE"""),498)</f>
        <v>498</v>
      </c>
      <c r="X247" s="1">
        <f ca="1">IFERROR(__xludf.DUMMYFUNCTION("""COMPUTED_VALUE"""),716)</f>
        <v>716</v>
      </c>
      <c r="Y247" s="1">
        <f ca="1">IFERROR(__xludf.DUMMYFUNCTION("""COMPUTED_VALUE"""),0.696)</f>
        <v>0.69599999999999995</v>
      </c>
      <c r="Z247" s="1">
        <f ca="1">IFERROR(__xludf.DUMMYFUNCTION("""COMPUTED_VALUE"""),325)</f>
        <v>325</v>
      </c>
      <c r="AA247" s="1">
        <f ca="1">IFERROR(__xludf.DUMMYFUNCTION("""COMPUTED_VALUE"""),1234)</f>
        <v>1234</v>
      </c>
      <c r="AB247" s="1">
        <f ca="1">IFERROR(__xludf.DUMMYFUNCTION("""COMPUTED_VALUE"""),545)</f>
        <v>545</v>
      </c>
      <c r="AC247" s="1">
        <f ca="1">IFERROR(__xludf.DUMMYFUNCTION("""COMPUTED_VALUE"""),262)</f>
        <v>262</v>
      </c>
      <c r="AD247" s="1">
        <f ca="1">IFERROR(__xludf.DUMMYFUNCTION("""COMPUTED_VALUE"""),157)</f>
        <v>157</v>
      </c>
      <c r="AE247" s="1">
        <f ca="1">IFERROR(__xludf.DUMMYFUNCTION("""COMPUTED_VALUE"""),413)</f>
        <v>413</v>
      </c>
      <c r="AF247" s="1">
        <f ca="1">IFERROR(__xludf.DUMMYFUNCTION("""COMPUTED_VALUE"""),565)</f>
        <v>565</v>
      </c>
    </row>
    <row r="248" spans="1:32" ht="12.5" x14ac:dyDescent="0.25">
      <c r="A248" s="1" t="str">
        <f ca="1">IFERROR(__xludf.DUMMYFUNCTION("""COMPUTED_VALUE"""),"OhioNCAA")</f>
        <v>OhioNCAA</v>
      </c>
      <c r="B248" s="1">
        <f ca="1">IFERROR(__xludf.DUMMYFUNCTION("""COMPUTED_VALUE"""),37)</f>
        <v>37</v>
      </c>
      <c r="C248" s="1">
        <f ca="1">IFERROR(__xludf.DUMMYFUNCTION("""COMPUTED_VALUE"""),22)</f>
        <v>22</v>
      </c>
      <c r="D248" s="1">
        <f ca="1">IFERROR(__xludf.DUMMYFUNCTION("""COMPUTED_VALUE"""),15)</f>
        <v>15</v>
      </c>
      <c r="E248" s="1">
        <f ca="1">IFERROR(__xludf.DUMMYFUNCTION("""COMPUTED_VALUE"""),0.595)</f>
        <v>0.59499999999999997</v>
      </c>
      <c r="F248" s="1">
        <f ca="1">IFERROR(__xludf.DUMMYFUNCTION("""COMPUTED_VALUE"""),4.56)</f>
        <v>4.5599999999999996</v>
      </c>
      <c r="G248" s="1">
        <f ca="1">IFERROR(__xludf.DUMMYFUNCTION("""COMPUTED_VALUE"""),-0.03)</f>
        <v>-0.03</v>
      </c>
      <c r="H248" s="1">
        <f ca="1">IFERROR(__xludf.DUMMYFUNCTION("""COMPUTED_VALUE"""),7)</f>
        <v>7</v>
      </c>
      <c r="I248" s="1">
        <f ca="1">IFERROR(__xludf.DUMMYFUNCTION("""COMPUTED_VALUE"""),9)</f>
        <v>9</v>
      </c>
      <c r="J248" s="1">
        <f ca="1">IFERROR(__xludf.DUMMYFUNCTION("""COMPUTED_VALUE"""),13)</f>
        <v>13</v>
      </c>
      <c r="K248" s="1">
        <f ca="1">IFERROR(__xludf.DUMMYFUNCTION("""COMPUTED_VALUE"""),4)</f>
        <v>4</v>
      </c>
      <c r="L248" s="1">
        <f ca="1">IFERROR(__xludf.DUMMYFUNCTION("""COMPUTED_VALUE"""),5)</f>
        <v>5</v>
      </c>
      <c r="M248" s="1">
        <f ca="1">IFERROR(__xludf.DUMMYFUNCTION("""COMPUTED_VALUE"""),9)</f>
        <v>9</v>
      </c>
      <c r="N248" s="1">
        <f ca="1">IFERROR(__xludf.DUMMYFUNCTION("""COMPUTED_VALUE"""),2763)</f>
        <v>2763</v>
      </c>
      <c r="O248" s="1">
        <f ca="1">IFERROR(__xludf.DUMMYFUNCTION("""COMPUTED_VALUE"""),2569)</f>
        <v>2569</v>
      </c>
      <c r="P248" s="1">
        <f ca="1">IFERROR(__xludf.DUMMYFUNCTION("""COMPUTED_VALUE"""),1510)</f>
        <v>1510</v>
      </c>
      <c r="Q248" s="1">
        <f ca="1">IFERROR(__xludf.DUMMYFUNCTION("""COMPUTED_VALUE"""),925)</f>
        <v>925</v>
      </c>
      <c r="R248" s="1">
        <f ca="1">IFERROR(__xludf.DUMMYFUNCTION("""COMPUTED_VALUE"""),2153)</f>
        <v>2153</v>
      </c>
      <c r="S248" s="1">
        <f ca="1">IFERROR(__xludf.DUMMYFUNCTION("""COMPUTED_VALUE"""),0.43)</f>
        <v>0.43</v>
      </c>
      <c r="T248" s="1">
        <f ca="1">IFERROR(__xludf.DUMMYFUNCTION("""COMPUTED_VALUE"""),278)</f>
        <v>278</v>
      </c>
      <c r="U248" s="1">
        <f ca="1">IFERROR(__xludf.DUMMYFUNCTION("""COMPUTED_VALUE"""),759)</f>
        <v>759</v>
      </c>
      <c r="V248" s="1">
        <f ca="1">IFERROR(__xludf.DUMMYFUNCTION("""COMPUTED_VALUE"""),0.366)</f>
        <v>0.36599999999999999</v>
      </c>
      <c r="W248" s="1">
        <f ca="1">IFERROR(__xludf.DUMMYFUNCTION("""COMPUTED_VALUE"""),635)</f>
        <v>635</v>
      </c>
      <c r="X248" s="1">
        <f ca="1">IFERROR(__xludf.DUMMYFUNCTION("""COMPUTED_VALUE"""),883)</f>
        <v>883</v>
      </c>
      <c r="Y248" s="1">
        <f ca="1">IFERROR(__xludf.DUMMYFUNCTION("""COMPUTED_VALUE"""),0.719)</f>
        <v>0.71899999999999997</v>
      </c>
      <c r="Z248" s="1">
        <f ca="1">IFERROR(__xludf.DUMMYFUNCTION("""COMPUTED_VALUE"""),443)</f>
        <v>443</v>
      </c>
      <c r="AA248" s="1">
        <f ca="1">IFERROR(__xludf.DUMMYFUNCTION("""COMPUTED_VALUE"""),1371)</f>
        <v>1371</v>
      </c>
      <c r="AB248" s="1">
        <f ca="1">IFERROR(__xludf.DUMMYFUNCTION("""COMPUTED_VALUE"""),524)</f>
        <v>524</v>
      </c>
      <c r="AC248" s="1">
        <f ca="1">IFERROR(__xludf.DUMMYFUNCTION("""COMPUTED_VALUE"""),278)</f>
        <v>278</v>
      </c>
      <c r="AD248" s="1">
        <f ca="1">IFERROR(__xludf.DUMMYFUNCTION("""COMPUTED_VALUE"""),97)</f>
        <v>97</v>
      </c>
      <c r="AE248" s="1">
        <f ca="1">IFERROR(__xludf.DUMMYFUNCTION("""COMPUTED_VALUE"""),473)</f>
        <v>473</v>
      </c>
      <c r="AF248" s="1">
        <f ca="1">IFERROR(__xludf.DUMMYFUNCTION("""COMPUTED_VALUE"""),696)</f>
        <v>696</v>
      </c>
    </row>
    <row r="249" spans="1:32" ht="12.5" x14ac:dyDescent="0.25">
      <c r="A249" s="1" t="str">
        <f ca="1">IFERROR(__xludf.DUMMYFUNCTION("""COMPUTED_VALUE"""),"Oklahoma StateNCAA")</f>
        <v>Oklahoma StateNCAA</v>
      </c>
      <c r="B249" s="1">
        <f ca="1">IFERROR(__xludf.DUMMYFUNCTION("""COMPUTED_VALUE"""),33)</f>
        <v>33</v>
      </c>
      <c r="C249" s="1">
        <f ca="1">IFERROR(__xludf.DUMMYFUNCTION("""COMPUTED_VALUE"""),22)</f>
        <v>22</v>
      </c>
      <c r="D249" s="1">
        <f ca="1">IFERROR(__xludf.DUMMYFUNCTION("""COMPUTED_VALUE"""),11)</f>
        <v>11</v>
      </c>
      <c r="E249" s="1">
        <f ca="1">IFERROR(__xludf.DUMMYFUNCTION("""COMPUTED_VALUE"""),0.667)</f>
        <v>0.66700000000000004</v>
      </c>
      <c r="F249" s="1">
        <f ca="1">IFERROR(__xludf.DUMMYFUNCTION("""COMPUTED_VALUE"""),12.34)</f>
        <v>12.34</v>
      </c>
      <c r="G249" s="1">
        <f ca="1">IFERROR(__xludf.DUMMYFUNCTION("""COMPUTED_VALUE"""),6.97)</f>
        <v>6.97</v>
      </c>
      <c r="H249" s="1">
        <f ca="1">IFERROR(__xludf.DUMMYFUNCTION("""COMPUTED_VALUE"""),9)</f>
        <v>9</v>
      </c>
      <c r="I249" s="1">
        <f ca="1">IFERROR(__xludf.DUMMYFUNCTION("""COMPUTED_VALUE"""),7)</f>
        <v>7</v>
      </c>
      <c r="J249" s="1">
        <f ca="1">IFERROR(__xludf.DUMMYFUNCTION("""COMPUTED_VALUE"""),15)</f>
        <v>15</v>
      </c>
      <c r="K249" s="1">
        <f ca="1">IFERROR(__xludf.DUMMYFUNCTION("""COMPUTED_VALUE"""),1)</f>
        <v>1</v>
      </c>
      <c r="L249" s="1">
        <f ca="1">IFERROR(__xludf.DUMMYFUNCTION("""COMPUTED_VALUE"""),3)</f>
        <v>3</v>
      </c>
      <c r="M249" s="1">
        <f ca="1">IFERROR(__xludf.DUMMYFUNCTION("""COMPUTED_VALUE"""),7)</f>
        <v>7</v>
      </c>
      <c r="N249" s="1">
        <f ca="1">IFERROR(__xludf.DUMMYFUNCTION("""COMPUTED_VALUE"""),2437)</f>
        <v>2437</v>
      </c>
      <c r="O249" s="1">
        <f ca="1">IFERROR(__xludf.DUMMYFUNCTION("""COMPUTED_VALUE"""),2243)</f>
        <v>2243</v>
      </c>
      <c r="P249" s="1">
        <f ca="1">IFERROR(__xludf.DUMMYFUNCTION("""COMPUTED_VALUE"""),1325)</f>
        <v>1325</v>
      </c>
      <c r="Q249" s="1">
        <f ca="1">IFERROR(__xludf.DUMMYFUNCTION("""COMPUTED_VALUE"""),839)</f>
        <v>839</v>
      </c>
      <c r="R249" s="1">
        <f ca="1">IFERROR(__xludf.DUMMYFUNCTION("""COMPUTED_VALUE"""),1861)</f>
        <v>1861</v>
      </c>
      <c r="S249" s="1">
        <f ca="1">IFERROR(__xludf.DUMMYFUNCTION("""COMPUTED_VALUE"""),0.451)</f>
        <v>0.45100000000000001</v>
      </c>
      <c r="T249" s="1">
        <f ca="1">IFERROR(__xludf.DUMMYFUNCTION("""COMPUTED_VALUE"""),274)</f>
        <v>274</v>
      </c>
      <c r="U249" s="1">
        <f ca="1">IFERROR(__xludf.DUMMYFUNCTION("""COMPUTED_VALUE"""),784)</f>
        <v>784</v>
      </c>
      <c r="V249" s="1">
        <f ca="1">IFERROR(__xludf.DUMMYFUNCTION("""COMPUTED_VALUE"""),0.349)</f>
        <v>0.34899999999999998</v>
      </c>
      <c r="W249" s="1">
        <f ca="1">IFERROR(__xludf.DUMMYFUNCTION("""COMPUTED_VALUE"""),485)</f>
        <v>485</v>
      </c>
      <c r="X249" s="1">
        <f ca="1">IFERROR(__xludf.DUMMYFUNCTION("""COMPUTED_VALUE"""),679)</f>
        <v>679</v>
      </c>
      <c r="Y249" s="1">
        <f ca="1">IFERROR(__xludf.DUMMYFUNCTION("""COMPUTED_VALUE"""),0.714)</f>
        <v>0.71399999999999997</v>
      </c>
      <c r="Z249" s="1">
        <f ca="1">IFERROR(__xludf.DUMMYFUNCTION("""COMPUTED_VALUE"""),327)</f>
        <v>327</v>
      </c>
      <c r="AA249" s="1">
        <f ca="1">IFERROR(__xludf.DUMMYFUNCTION("""COMPUTED_VALUE"""),1169)</f>
        <v>1169</v>
      </c>
      <c r="AB249" s="1">
        <f ca="1">IFERROR(__xludf.DUMMYFUNCTION("""COMPUTED_VALUE"""),413)</f>
        <v>413</v>
      </c>
      <c r="AC249" s="1">
        <f ca="1">IFERROR(__xludf.DUMMYFUNCTION("""COMPUTED_VALUE"""),214)</f>
        <v>214</v>
      </c>
      <c r="AD249" s="1">
        <f ca="1">IFERROR(__xludf.DUMMYFUNCTION("""COMPUTED_VALUE"""),84)</f>
        <v>84</v>
      </c>
      <c r="AE249" s="1">
        <f ca="1">IFERROR(__xludf.DUMMYFUNCTION("""COMPUTED_VALUE"""),418)</f>
        <v>418</v>
      </c>
      <c r="AF249" s="1">
        <f ca="1">IFERROR(__xludf.DUMMYFUNCTION("""COMPUTED_VALUE"""),664)</f>
        <v>664</v>
      </c>
    </row>
    <row r="250" spans="1:32" ht="12.5" x14ac:dyDescent="0.25">
      <c r="A250" s="1" t="str">
        <f ca="1">IFERROR(__xludf.DUMMYFUNCTION("""COMPUTED_VALUE"""),"Oklahoma")</f>
        <v>Oklahoma</v>
      </c>
      <c r="B250" s="1">
        <f ca="1">IFERROR(__xludf.DUMMYFUNCTION("""COMPUTED_VALUE"""),31)</f>
        <v>31</v>
      </c>
      <c r="C250" s="1">
        <f ca="1">IFERROR(__xludf.DUMMYFUNCTION("""COMPUTED_VALUE"""),13)</f>
        <v>13</v>
      </c>
      <c r="D250" s="1">
        <f ca="1">IFERROR(__xludf.DUMMYFUNCTION("""COMPUTED_VALUE"""),18)</f>
        <v>18</v>
      </c>
      <c r="E250" s="1">
        <f ca="1">IFERROR(__xludf.DUMMYFUNCTION("""COMPUTED_VALUE"""),0.419)</f>
        <v>0.41899999999999998</v>
      </c>
      <c r="F250" s="1">
        <f ca="1">IFERROR(__xludf.DUMMYFUNCTION("""COMPUTED_VALUE"""),6.24)</f>
        <v>6.24</v>
      </c>
      <c r="G250" s="1">
        <f ca="1">IFERROR(__xludf.DUMMYFUNCTION("""COMPUTED_VALUE"""),7.79)</f>
        <v>7.79</v>
      </c>
      <c r="H250" s="1">
        <f ca="1">IFERROR(__xludf.DUMMYFUNCTION("""COMPUTED_VALUE"""),4)</f>
        <v>4</v>
      </c>
      <c r="I250" s="1">
        <f ca="1">IFERROR(__xludf.DUMMYFUNCTION("""COMPUTED_VALUE"""),12)</f>
        <v>12</v>
      </c>
      <c r="J250" s="1">
        <f ca="1">IFERROR(__xludf.DUMMYFUNCTION("""COMPUTED_VALUE"""),11)</f>
        <v>11</v>
      </c>
      <c r="K250" s="1">
        <f ca="1">IFERROR(__xludf.DUMMYFUNCTION("""COMPUTED_VALUE"""),4)</f>
        <v>4</v>
      </c>
      <c r="L250" s="1">
        <f ca="1">IFERROR(__xludf.DUMMYFUNCTION("""COMPUTED_VALUE"""),1)</f>
        <v>1</v>
      </c>
      <c r="M250" s="1">
        <f ca="1">IFERROR(__xludf.DUMMYFUNCTION("""COMPUTED_VALUE"""),10)</f>
        <v>10</v>
      </c>
      <c r="N250" s="1">
        <f ca="1">IFERROR(__xludf.DUMMYFUNCTION("""COMPUTED_VALUE"""),2235)</f>
        <v>2235</v>
      </c>
      <c r="O250" s="1">
        <f ca="1">IFERROR(__xludf.DUMMYFUNCTION("""COMPUTED_VALUE"""),2283)</f>
        <v>2283</v>
      </c>
      <c r="P250" s="1">
        <f ca="1">IFERROR(__xludf.DUMMYFUNCTION("""COMPUTED_VALUE"""),1250)</f>
        <v>1250</v>
      </c>
      <c r="Q250" s="1">
        <f ca="1">IFERROR(__xludf.DUMMYFUNCTION("""COMPUTED_VALUE"""),766)</f>
        <v>766</v>
      </c>
      <c r="R250" s="1">
        <f ca="1">IFERROR(__xludf.DUMMYFUNCTION("""COMPUTED_VALUE"""),1782)</f>
        <v>1782</v>
      </c>
      <c r="S250" s="1">
        <f ca="1">IFERROR(__xludf.DUMMYFUNCTION("""COMPUTED_VALUE"""),0.43)</f>
        <v>0.43</v>
      </c>
      <c r="T250" s="1">
        <f ca="1">IFERROR(__xludf.DUMMYFUNCTION("""COMPUTED_VALUE"""),252)</f>
        <v>252</v>
      </c>
      <c r="U250" s="1">
        <f ca="1">IFERROR(__xludf.DUMMYFUNCTION("""COMPUTED_VALUE"""),721)</f>
        <v>721</v>
      </c>
      <c r="V250" s="1">
        <f ca="1">IFERROR(__xludf.DUMMYFUNCTION("""COMPUTED_VALUE"""),0.35)</f>
        <v>0.35</v>
      </c>
      <c r="W250" s="1">
        <f ca="1">IFERROR(__xludf.DUMMYFUNCTION("""COMPUTED_VALUE"""),451)</f>
        <v>451</v>
      </c>
      <c r="X250" s="1">
        <f ca="1">IFERROR(__xludf.DUMMYFUNCTION("""COMPUTED_VALUE"""),606)</f>
        <v>606</v>
      </c>
      <c r="Y250" s="1">
        <f ca="1">IFERROR(__xludf.DUMMYFUNCTION("""COMPUTED_VALUE"""),0.744)</f>
        <v>0.74399999999999999</v>
      </c>
      <c r="Z250" s="1">
        <f ca="1">IFERROR(__xludf.DUMMYFUNCTION("""COMPUTED_VALUE"""),324)</f>
        <v>324</v>
      </c>
      <c r="AA250" s="1">
        <f ca="1">IFERROR(__xludf.DUMMYFUNCTION("""COMPUTED_VALUE"""),1066)</f>
        <v>1066</v>
      </c>
      <c r="AB250" s="1">
        <f ca="1">IFERROR(__xludf.DUMMYFUNCTION("""COMPUTED_VALUE"""),391)</f>
        <v>391</v>
      </c>
      <c r="AC250" s="1">
        <f ca="1">IFERROR(__xludf.DUMMYFUNCTION("""COMPUTED_VALUE"""),180)</f>
        <v>180</v>
      </c>
      <c r="AD250" s="1">
        <f ca="1">IFERROR(__xludf.DUMMYFUNCTION("""COMPUTED_VALUE"""),84)</f>
        <v>84</v>
      </c>
      <c r="AE250" s="1">
        <f ca="1">IFERROR(__xludf.DUMMYFUNCTION("""COMPUTED_VALUE"""),382)</f>
        <v>382</v>
      </c>
      <c r="AF250" s="1">
        <f ca="1">IFERROR(__xludf.DUMMYFUNCTION("""COMPUTED_VALUE"""),505)</f>
        <v>505</v>
      </c>
    </row>
    <row r="251" spans="1:32" ht="12.5" x14ac:dyDescent="0.25">
      <c r="A251" s="1" t="str">
        <f ca="1">IFERROR(__xludf.DUMMYFUNCTION("""COMPUTED_VALUE"""),"Old DominionNCAA")</f>
        <v>Old DominionNCAA</v>
      </c>
      <c r="B251" s="1">
        <f ca="1">IFERROR(__xludf.DUMMYFUNCTION("""COMPUTED_VALUE"""),36)</f>
        <v>36</v>
      </c>
      <c r="C251" s="1">
        <f ca="1">IFERROR(__xludf.DUMMYFUNCTION("""COMPUTED_VALUE"""),27)</f>
        <v>27</v>
      </c>
      <c r="D251" s="1">
        <f ca="1">IFERROR(__xludf.DUMMYFUNCTION("""COMPUTED_VALUE"""),9)</f>
        <v>9</v>
      </c>
      <c r="E251" s="1">
        <f ca="1">IFERROR(__xludf.DUMMYFUNCTION("""COMPUTED_VALUE"""),0.75)</f>
        <v>0.75</v>
      </c>
      <c r="F251" s="1">
        <f ca="1">IFERROR(__xludf.DUMMYFUNCTION("""COMPUTED_VALUE"""),11.39)</f>
        <v>11.39</v>
      </c>
      <c r="G251" s="1">
        <f ca="1">IFERROR(__xludf.DUMMYFUNCTION("""COMPUTED_VALUE"""),1.78)</f>
        <v>1.78</v>
      </c>
      <c r="H251" s="1">
        <f ca="1">IFERROR(__xludf.DUMMYFUNCTION("""COMPUTED_VALUE"""),15)</f>
        <v>15</v>
      </c>
      <c r="I251" s="1">
        <f ca="1">IFERROR(__xludf.DUMMYFUNCTION("""COMPUTED_VALUE"""),3)</f>
        <v>3</v>
      </c>
      <c r="J251" s="1">
        <f ca="1">IFERROR(__xludf.DUMMYFUNCTION("""COMPUTED_VALUE"""),15)</f>
        <v>15</v>
      </c>
      <c r="K251" s="1">
        <f ca="1">IFERROR(__xludf.DUMMYFUNCTION("""COMPUTED_VALUE"""),0)</f>
        <v>0</v>
      </c>
      <c r="L251" s="1">
        <f ca="1">IFERROR(__xludf.DUMMYFUNCTION("""COMPUTED_VALUE"""),9)</f>
        <v>9</v>
      </c>
      <c r="M251" s="1">
        <f ca="1">IFERROR(__xludf.DUMMYFUNCTION("""COMPUTED_VALUE"""),6)</f>
        <v>6</v>
      </c>
      <c r="N251" s="1">
        <f ca="1">IFERROR(__xludf.DUMMYFUNCTION("""COMPUTED_VALUE"""),2415)</f>
        <v>2415</v>
      </c>
      <c r="O251" s="1">
        <f ca="1">IFERROR(__xludf.DUMMYFUNCTION("""COMPUTED_VALUE"""),2069)</f>
        <v>2069</v>
      </c>
      <c r="P251" s="1">
        <f ca="1">IFERROR(__xludf.DUMMYFUNCTION("""COMPUTED_VALUE"""),1445)</f>
        <v>1445</v>
      </c>
      <c r="Q251" s="1">
        <f ca="1">IFERROR(__xludf.DUMMYFUNCTION("""COMPUTED_VALUE"""),922)</f>
        <v>922</v>
      </c>
      <c r="R251" s="1">
        <f ca="1">IFERROR(__xludf.DUMMYFUNCTION("""COMPUTED_VALUE"""),2061)</f>
        <v>2061</v>
      </c>
      <c r="S251" s="1">
        <f ca="1">IFERROR(__xludf.DUMMYFUNCTION("""COMPUTED_VALUE"""),0.447)</f>
        <v>0.44700000000000001</v>
      </c>
      <c r="T251" s="1">
        <f ca="1">IFERROR(__xludf.DUMMYFUNCTION("""COMPUTED_VALUE"""),166)</f>
        <v>166</v>
      </c>
      <c r="U251" s="1">
        <f ca="1">IFERROR(__xludf.DUMMYFUNCTION("""COMPUTED_VALUE"""),523)</f>
        <v>523</v>
      </c>
      <c r="V251" s="1">
        <f ca="1">IFERROR(__xludf.DUMMYFUNCTION("""COMPUTED_VALUE"""),0.317)</f>
        <v>0.317</v>
      </c>
      <c r="W251" s="1">
        <f ca="1">IFERROR(__xludf.DUMMYFUNCTION("""COMPUTED_VALUE"""),405)</f>
        <v>405</v>
      </c>
      <c r="X251" s="1">
        <f ca="1">IFERROR(__xludf.DUMMYFUNCTION("""COMPUTED_VALUE"""),625)</f>
        <v>625</v>
      </c>
      <c r="Y251" s="1">
        <f ca="1">IFERROR(__xludf.DUMMYFUNCTION("""COMPUTED_VALUE"""),0.648)</f>
        <v>0.64800000000000002</v>
      </c>
      <c r="Z251" s="1">
        <f ca="1">IFERROR(__xludf.DUMMYFUNCTION("""COMPUTED_VALUE"""),540)</f>
        <v>540</v>
      </c>
      <c r="AA251" s="1">
        <f ca="1">IFERROR(__xludf.DUMMYFUNCTION("""COMPUTED_VALUE"""),1394)</f>
        <v>1394</v>
      </c>
      <c r="AB251" s="1">
        <f ca="1">IFERROR(__xludf.DUMMYFUNCTION("""COMPUTED_VALUE"""),554)</f>
        <v>554</v>
      </c>
      <c r="AC251" s="1">
        <f ca="1">IFERROR(__xludf.DUMMYFUNCTION("""COMPUTED_VALUE"""),282)</f>
        <v>282</v>
      </c>
      <c r="AD251" s="1">
        <f ca="1">IFERROR(__xludf.DUMMYFUNCTION("""COMPUTED_VALUE"""),105)</f>
        <v>105</v>
      </c>
      <c r="AE251" s="1">
        <f ca="1">IFERROR(__xludf.DUMMYFUNCTION("""COMPUTED_VALUE"""),457)</f>
        <v>457</v>
      </c>
      <c r="AF251" s="1">
        <f ca="1">IFERROR(__xludf.DUMMYFUNCTION("""COMPUTED_VALUE"""),560)</f>
        <v>560</v>
      </c>
    </row>
    <row r="252" spans="1:32" ht="12.5" x14ac:dyDescent="0.25">
      <c r="A252" s="1" t="str">
        <f ca="1">IFERROR(__xludf.DUMMYFUNCTION("""COMPUTED_VALUE"""),"Oral Roberts")</f>
        <v>Oral Roberts</v>
      </c>
      <c r="B252" s="1">
        <f ca="1">IFERROR(__xludf.DUMMYFUNCTION("""COMPUTED_VALUE"""),33)</f>
        <v>33</v>
      </c>
      <c r="C252" s="1">
        <f ca="1">IFERROR(__xludf.DUMMYFUNCTION("""COMPUTED_VALUE"""),20)</f>
        <v>20</v>
      </c>
      <c r="D252" s="1">
        <f ca="1">IFERROR(__xludf.DUMMYFUNCTION("""COMPUTED_VALUE"""),13)</f>
        <v>13</v>
      </c>
      <c r="E252" s="1">
        <f ca="1">IFERROR(__xludf.DUMMYFUNCTION("""COMPUTED_VALUE"""),0.606)</f>
        <v>0.60599999999999998</v>
      </c>
      <c r="F252" s="1">
        <f ca="1">IFERROR(__xludf.DUMMYFUNCTION("""COMPUTED_VALUE"""),-0.88)</f>
        <v>-0.88</v>
      </c>
      <c r="G252" s="1">
        <f ca="1">IFERROR(__xludf.DUMMYFUNCTION("""COMPUTED_VALUE"""),-3.85)</f>
        <v>-3.85</v>
      </c>
      <c r="H252" s="1">
        <f ca="1">IFERROR(__xludf.DUMMYFUNCTION("""COMPUTED_VALUE"""),13)</f>
        <v>13</v>
      </c>
      <c r="I252" s="1">
        <f ca="1">IFERROR(__xludf.DUMMYFUNCTION("""COMPUTED_VALUE"""),5)</f>
        <v>5</v>
      </c>
      <c r="J252" s="1">
        <f ca="1">IFERROR(__xludf.DUMMYFUNCTION("""COMPUTED_VALUE"""),10)</f>
        <v>10</v>
      </c>
      <c r="K252" s="1">
        <f ca="1">IFERROR(__xludf.DUMMYFUNCTION("""COMPUTED_VALUE"""),3)</f>
        <v>3</v>
      </c>
      <c r="L252" s="1">
        <f ca="1">IFERROR(__xludf.DUMMYFUNCTION("""COMPUTED_VALUE"""),8)</f>
        <v>8</v>
      </c>
      <c r="M252" s="1">
        <f ca="1">IFERROR(__xludf.DUMMYFUNCTION("""COMPUTED_VALUE"""),8)</f>
        <v>8</v>
      </c>
      <c r="N252" s="1">
        <f ca="1">IFERROR(__xludf.DUMMYFUNCTION("""COMPUTED_VALUE"""),2313)</f>
        <v>2313</v>
      </c>
      <c r="O252" s="1">
        <f ca="1">IFERROR(__xludf.DUMMYFUNCTION("""COMPUTED_VALUE"""),2182)</f>
        <v>2182</v>
      </c>
      <c r="P252" s="1">
        <f ca="1">IFERROR(__xludf.DUMMYFUNCTION("""COMPUTED_VALUE"""),1335)</f>
        <v>1335</v>
      </c>
      <c r="Q252" s="1">
        <f ca="1">IFERROR(__xludf.DUMMYFUNCTION("""COMPUTED_VALUE"""),826)</f>
        <v>826</v>
      </c>
      <c r="R252" s="1">
        <f ca="1">IFERROR(__xludf.DUMMYFUNCTION("""COMPUTED_VALUE"""),1865)</f>
        <v>1865</v>
      </c>
      <c r="S252" s="1">
        <f ca="1">IFERROR(__xludf.DUMMYFUNCTION("""COMPUTED_VALUE"""),0.443)</f>
        <v>0.443</v>
      </c>
      <c r="T252" s="1">
        <f ca="1">IFERROR(__xludf.DUMMYFUNCTION("""COMPUTED_VALUE"""),153)</f>
        <v>153</v>
      </c>
      <c r="U252" s="1">
        <f ca="1">IFERROR(__xludf.DUMMYFUNCTION("""COMPUTED_VALUE"""),484)</f>
        <v>484</v>
      </c>
      <c r="V252" s="1">
        <f ca="1">IFERROR(__xludf.DUMMYFUNCTION("""COMPUTED_VALUE"""),0.316)</f>
        <v>0.316</v>
      </c>
      <c r="W252" s="1">
        <f ca="1">IFERROR(__xludf.DUMMYFUNCTION("""COMPUTED_VALUE"""),508)</f>
        <v>508</v>
      </c>
      <c r="X252" s="1">
        <f ca="1">IFERROR(__xludf.DUMMYFUNCTION("""COMPUTED_VALUE"""),745)</f>
        <v>745</v>
      </c>
      <c r="Y252" s="1">
        <f ca="1">IFERROR(__xludf.DUMMYFUNCTION("""COMPUTED_VALUE"""),0.682)</f>
        <v>0.68200000000000005</v>
      </c>
      <c r="Z252" s="1">
        <f ca="1">IFERROR(__xludf.DUMMYFUNCTION("""COMPUTED_VALUE"""),406)</f>
        <v>406</v>
      </c>
      <c r="AA252" s="1">
        <f ca="1">IFERROR(__xludf.DUMMYFUNCTION("""COMPUTED_VALUE"""),1272)</f>
        <v>1272</v>
      </c>
      <c r="AB252" s="1">
        <f ca="1">IFERROR(__xludf.DUMMYFUNCTION("""COMPUTED_VALUE"""),396)</f>
        <v>396</v>
      </c>
      <c r="AC252" s="1">
        <f ca="1">IFERROR(__xludf.DUMMYFUNCTION("""COMPUTED_VALUE"""),205)</f>
        <v>205</v>
      </c>
      <c r="AD252" s="1">
        <f ca="1">IFERROR(__xludf.DUMMYFUNCTION("""COMPUTED_VALUE"""),149)</f>
        <v>149</v>
      </c>
      <c r="AE252" s="1">
        <f ca="1">IFERROR(__xludf.DUMMYFUNCTION("""COMPUTED_VALUE"""),450)</f>
        <v>450</v>
      </c>
      <c r="AF252" s="1">
        <f ca="1">IFERROR(__xludf.DUMMYFUNCTION("""COMPUTED_VALUE"""),595)</f>
        <v>595</v>
      </c>
    </row>
    <row r="253" spans="1:32" ht="12.5" x14ac:dyDescent="0.25">
      <c r="A253" s="1" t="str">
        <f ca="1">IFERROR(__xludf.DUMMYFUNCTION("""COMPUTED_VALUE"""),"Oregon State")</f>
        <v>Oregon State</v>
      </c>
      <c r="B253" s="1">
        <f ca="1">IFERROR(__xludf.DUMMYFUNCTION("""COMPUTED_VALUE"""),32)</f>
        <v>32</v>
      </c>
      <c r="C253" s="1">
        <f ca="1">IFERROR(__xludf.DUMMYFUNCTION("""COMPUTED_VALUE"""),14)</f>
        <v>14</v>
      </c>
      <c r="D253" s="1">
        <f ca="1">IFERROR(__xludf.DUMMYFUNCTION("""COMPUTED_VALUE"""),18)</f>
        <v>18</v>
      </c>
      <c r="E253" s="1">
        <f ca="1">IFERROR(__xludf.DUMMYFUNCTION("""COMPUTED_VALUE"""),0.438)</f>
        <v>0.438</v>
      </c>
      <c r="F253" s="1">
        <f ca="1">IFERROR(__xludf.DUMMYFUNCTION("""COMPUTED_VALUE"""),3.76)</f>
        <v>3.76</v>
      </c>
      <c r="G253" s="1">
        <f ca="1">IFERROR(__xludf.DUMMYFUNCTION("""COMPUTED_VALUE"""),5.79)</f>
        <v>5.79</v>
      </c>
      <c r="H253" s="1">
        <f ca="1">IFERROR(__xludf.DUMMYFUNCTION("""COMPUTED_VALUE"""),8)</f>
        <v>8</v>
      </c>
      <c r="I253" s="1">
        <f ca="1">IFERROR(__xludf.DUMMYFUNCTION("""COMPUTED_VALUE"""),10)</f>
        <v>10</v>
      </c>
      <c r="J253" s="1">
        <f ca="1">IFERROR(__xludf.DUMMYFUNCTION("""COMPUTED_VALUE"""),9)</f>
        <v>9</v>
      </c>
      <c r="K253" s="1">
        <f ca="1">IFERROR(__xludf.DUMMYFUNCTION("""COMPUTED_VALUE"""),7)</f>
        <v>7</v>
      </c>
      <c r="L253" s="1">
        <f ca="1">IFERROR(__xludf.DUMMYFUNCTION("""COMPUTED_VALUE"""),4)</f>
        <v>4</v>
      </c>
      <c r="M253" s="1">
        <f ca="1">IFERROR(__xludf.DUMMYFUNCTION("""COMPUTED_VALUE"""),9)</f>
        <v>9</v>
      </c>
      <c r="N253" s="1">
        <f ca="1">IFERROR(__xludf.DUMMYFUNCTION("""COMPUTED_VALUE"""),1929)</f>
        <v>1929</v>
      </c>
      <c r="O253" s="1">
        <f ca="1">IFERROR(__xludf.DUMMYFUNCTION("""COMPUTED_VALUE"""),1989)</f>
        <v>1989</v>
      </c>
      <c r="P253" s="1">
        <f ca="1">IFERROR(__xludf.DUMMYFUNCTION("""COMPUTED_VALUE"""),1280)</f>
        <v>1280</v>
      </c>
      <c r="Q253" s="1">
        <f ca="1">IFERROR(__xludf.DUMMYFUNCTION("""COMPUTED_VALUE"""),670)</f>
        <v>670</v>
      </c>
      <c r="R253" s="1">
        <f ca="1">IFERROR(__xludf.DUMMYFUNCTION("""COMPUTED_VALUE"""),1556)</f>
        <v>1556</v>
      </c>
      <c r="S253" s="1">
        <f ca="1">IFERROR(__xludf.DUMMYFUNCTION("""COMPUTED_VALUE"""),0.431)</f>
        <v>0.43099999999999999</v>
      </c>
      <c r="T253" s="1">
        <f ca="1">IFERROR(__xludf.DUMMYFUNCTION("""COMPUTED_VALUE"""),140)</f>
        <v>140</v>
      </c>
      <c r="U253" s="1">
        <f ca="1">IFERROR(__xludf.DUMMYFUNCTION("""COMPUTED_VALUE"""),475)</f>
        <v>475</v>
      </c>
      <c r="V253" s="1">
        <f ca="1">IFERROR(__xludf.DUMMYFUNCTION("""COMPUTED_VALUE"""),0.295)</f>
        <v>0.29499999999999998</v>
      </c>
      <c r="W253" s="1">
        <f ca="1">IFERROR(__xludf.DUMMYFUNCTION("""COMPUTED_VALUE"""),449)</f>
        <v>449</v>
      </c>
      <c r="X253" s="1">
        <f ca="1">IFERROR(__xludf.DUMMYFUNCTION("""COMPUTED_VALUE"""),665)</f>
        <v>665</v>
      </c>
      <c r="Y253" s="1">
        <f ca="1">IFERROR(__xludf.DUMMYFUNCTION("""COMPUTED_VALUE"""),0.675)</f>
        <v>0.67500000000000004</v>
      </c>
      <c r="Z253" s="1">
        <f ca="1">IFERROR(__xludf.DUMMYFUNCTION("""COMPUTED_VALUE"""),321)</f>
        <v>321</v>
      </c>
      <c r="AA253" s="1">
        <f ca="1">IFERROR(__xludf.DUMMYFUNCTION("""COMPUTED_VALUE"""),1019)</f>
        <v>1019</v>
      </c>
      <c r="AB253" s="1">
        <f ca="1">IFERROR(__xludf.DUMMYFUNCTION("""COMPUTED_VALUE"""),365)</f>
        <v>365</v>
      </c>
      <c r="AC253" s="1">
        <f ca="1">IFERROR(__xludf.DUMMYFUNCTION("""COMPUTED_VALUE"""),261)</f>
        <v>261</v>
      </c>
      <c r="AD253" s="1">
        <f ca="1">IFERROR(__xludf.DUMMYFUNCTION("""COMPUTED_VALUE"""),63)</f>
        <v>63</v>
      </c>
      <c r="AE253" s="1">
        <f ca="1">IFERROR(__xludf.DUMMYFUNCTION("""COMPUTED_VALUE"""),479)</f>
        <v>479</v>
      </c>
      <c r="AF253" s="1">
        <f ca="1">IFERROR(__xludf.DUMMYFUNCTION("""COMPUTED_VALUE"""),528)</f>
        <v>528</v>
      </c>
    </row>
    <row r="254" spans="1:32" ht="12.5" x14ac:dyDescent="0.25">
      <c r="A254" s="1" t="str">
        <f ca="1">IFERROR(__xludf.DUMMYFUNCTION("""COMPUTED_VALUE"""),"Oregon")</f>
        <v>Oregon</v>
      </c>
      <c r="B254" s="1">
        <f ca="1">IFERROR(__xludf.DUMMYFUNCTION("""COMPUTED_VALUE"""),32)</f>
        <v>32</v>
      </c>
      <c r="C254" s="1">
        <f ca="1">IFERROR(__xludf.DUMMYFUNCTION("""COMPUTED_VALUE"""),16)</f>
        <v>16</v>
      </c>
      <c r="D254" s="1">
        <f ca="1">IFERROR(__xludf.DUMMYFUNCTION("""COMPUTED_VALUE"""),16)</f>
        <v>16</v>
      </c>
      <c r="E254" s="1">
        <f ca="1">IFERROR(__xludf.DUMMYFUNCTION("""COMPUTED_VALUE"""),0.5)</f>
        <v>0.5</v>
      </c>
      <c r="F254" s="1">
        <f ca="1">IFERROR(__xludf.DUMMYFUNCTION("""COMPUTED_VALUE"""),4)</f>
        <v>4</v>
      </c>
      <c r="G254" s="1">
        <f ca="1">IFERROR(__xludf.DUMMYFUNCTION("""COMPUTED_VALUE"""),5.96)</f>
        <v>5.96</v>
      </c>
      <c r="H254" s="1">
        <f ca="1">IFERROR(__xludf.DUMMYFUNCTION("""COMPUTED_VALUE"""),7)</f>
        <v>7</v>
      </c>
      <c r="I254" s="1">
        <f ca="1">IFERROR(__xludf.DUMMYFUNCTION("""COMPUTED_VALUE"""),11)</f>
        <v>11</v>
      </c>
      <c r="J254" s="1">
        <f ca="1">IFERROR(__xludf.DUMMYFUNCTION("""COMPUTED_VALUE"""),11)</f>
        <v>11</v>
      </c>
      <c r="K254" s="1">
        <f ca="1">IFERROR(__xludf.DUMMYFUNCTION("""COMPUTED_VALUE"""),8)</f>
        <v>8</v>
      </c>
      <c r="L254" s="1">
        <f ca="1">IFERROR(__xludf.DUMMYFUNCTION("""COMPUTED_VALUE"""),4)</f>
        <v>4</v>
      </c>
      <c r="M254" s="1">
        <f ca="1">IFERROR(__xludf.DUMMYFUNCTION("""COMPUTED_VALUE"""),7)</f>
        <v>7</v>
      </c>
      <c r="N254" s="1">
        <f ca="1">IFERROR(__xludf.DUMMYFUNCTION("""COMPUTED_VALUE"""),2237)</f>
        <v>2237</v>
      </c>
      <c r="O254" s="1">
        <f ca="1">IFERROR(__xludf.DUMMYFUNCTION("""COMPUTED_VALUE"""),2247)</f>
        <v>2247</v>
      </c>
      <c r="P254" s="1">
        <f ca="1">IFERROR(__xludf.DUMMYFUNCTION("""COMPUTED_VALUE"""),1300)</f>
        <v>1300</v>
      </c>
      <c r="Q254" s="1">
        <f ca="1">IFERROR(__xludf.DUMMYFUNCTION("""COMPUTED_VALUE"""),803)</f>
        <v>803</v>
      </c>
      <c r="R254" s="1">
        <f ca="1">IFERROR(__xludf.DUMMYFUNCTION("""COMPUTED_VALUE"""),1869)</f>
        <v>1869</v>
      </c>
      <c r="S254" s="1">
        <f ca="1">IFERROR(__xludf.DUMMYFUNCTION("""COMPUTED_VALUE"""),0.43)</f>
        <v>0.43</v>
      </c>
      <c r="T254" s="1">
        <f ca="1">IFERROR(__xludf.DUMMYFUNCTION("""COMPUTED_VALUE"""),185)</f>
        <v>185</v>
      </c>
      <c r="U254" s="1">
        <f ca="1">IFERROR(__xludf.DUMMYFUNCTION("""COMPUTED_VALUE"""),545)</f>
        <v>545</v>
      </c>
      <c r="V254" s="1">
        <f ca="1">IFERROR(__xludf.DUMMYFUNCTION("""COMPUTED_VALUE"""),0.339)</f>
        <v>0.33900000000000002</v>
      </c>
      <c r="W254" s="1">
        <f ca="1">IFERROR(__xludf.DUMMYFUNCTION("""COMPUTED_VALUE"""),446)</f>
        <v>446</v>
      </c>
      <c r="X254" s="1">
        <f ca="1">IFERROR(__xludf.DUMMYFUNCTION("""COMPUTED_VALUE"""),624)</f>
        <v>624</v>
      </c>
      <c r="Y254" s="1">
        <f ca="1">IFERROR(__xludf.DUMMYFUNCTION("""COMPUTED_VALUE"""),0.715)</f>
        <v>0.71499999999999997</v>
      </c>
      <c r="Z254" s="1">
        <f ca="1">IFERROR(__xludf.DUMMYFUNCTION("""COMPUTED_VALUE"""),395)</f>
        <v>395</v>
      </c>
      <c r="AA254" s="1">
        <f ca="1">IFERROR(__xludf.DUMMYFUNCTION("""COMPUTED_VALUE"""),1094)</f>
        <v>1094</v>
      </c>
      <c r="AB254" s="1">
        <f ca="1">IFERROR(__xludf.DUMMYFUNCTION("""COMPUTED_VALUE"""),355)</f>
        <v>355</v>
      </c>
      <c r="AC254" s="1">
        <f ca="1">IFERROR(__xludf.DUMMYFUNCTION("""COMPUTED_VALUE"""),220)</f>
        <v>220</v>
      </c>
      <c r="AD254" s="1">
        <f ca="1">IFERROR(__xludf.DUMMYFUNCTION("""COMPUTED_VALUE"""),94)</f>
        <v>94</v>
      </c>
      <c r="AE254" s="1">
        <f ca="1">IFERROR(__xludf.DUMMYFUNCTION("""COMPUTED_VALUE"""),408)</f>
        <v>408</v>
      </c>
      <c r="AF254" s="1">
        <f ca="1">IFERROR(__xludf.DUMMYFUNCTION("""COMPUTED_VALUE"""),606)</f>
        <v>606</v>
      </c>
    </row>
    <row r="255" spans="1:32" ht="12.5" x14ac:dyDescent="0.25">
      <c r="A255" s="1" t="str">
        <f ca="1">IFERROR(__xludf.DUMMYFUNCTION("""COMPUTED_VALUE"""),"Pacific")</f>
        <v>Pacific</v>
      </c>
      <c r="B255" s="1">
        <f ca="1">IFERROR(__xludf.DUMMYFUNCTION("""COMPUTED_VALUE"""),35)</f>
        <v>35</v>
      </c>
      <c r="C255" s="1">
        <f ca="1">IFERROR(__xludf.DUMMYFUNCTION("""COMPUTED_VALUE"""),23)</f>
        <v>23</v>
      </c>
      <c r="D255" s="1">
        <f ca="1">IFERROR(__xludf.DUMMYFUNCTION("""COMPUTED_VALUE"""),12)</f>
        <v>12</v>
      </c>
      <c r="E255" s="1">
        <f ca="1">IFERROR(__xludf.DUMMYFUNCTION("""COMPUTED_VALUE"""),0.657)</f>
        <v>0.65700000000000003</v>
      </c>
      <c r="F255" s="1">
        <f ca="1">IFERROR(__xludf.DUMMYFUNCTION("""COMPUTED_VALUE"""),2.9)</f>
        <v>2.9</v>
      </c>
      <c r="G255" s="1">
        <f ca="1">IFERROR(__xludf.DUMMYFUNCTION("""COMPUTED_VALUE"""),-1.19)</f>
        <v>-1.19</v>
      </c>
      <c r="H255" s="1">
        <f ca="1">IFERROR(__xludf.DUMMYFUNCTION("""COMPUTED_VALUE"""),12)</f>
        <v>12</v>
      </c>
      <c r="I255" s="1">
        <f ca="1">IFERROR(__xludf.DUMMYFUNCTION("""COMPUTED_VALUE"""),4)</f>
        <v>4</v>
      </c>
      <c r="J255" s="1">
        <f ca="1">IFERROR(__xludf.DUMMYFUNCTION("""COMPUTED_VALUE"""),11)</f>
        <v>11</v>
      </c>
      <c r="K255" s="1">
        <f ca="1">IFERROR(__xludf.DUMMYFUNCTION("""COMPUTED_VALUE"""),4)</f>
        <v>4</v>
      </c>
      <c r="L255" s="1">
        <f ca="1">IFERROR(__xludf.DUMMYFUNCTION("""COMPUTED_VALUE"""),12)</f>
        <v>12</v>
      </c>
      <c r="M255" s="1">
        <f ca="1">IFERROR(__xludf.DUMMYFUNCTION("""COMPUTED_VALUE"""),7)</f>
        <v>7</v>
      </c>
      <c r="N255" s="1">
        <f ca="1">IFERROR(__xludf.DUMMYFUNCTION("""COMPUTED_VALUE"""),2297)</f>
        <v>2297</v>
      </c>
      <c r="O255" s="1">
        <f ca="1">IFERROR(__xludf.DUMMYFUNCTION("""COMPUTED_VALUE"""),2133)</f>
        <v>2133</v>
      </c>
      <c r="P255" s="1">
        <f ca="1">IFERROR(__xludf.DUMMYFUNCTION("""COMPUTED_VALUE"""),1410)</f>
        <v>1410</v>
      </c>
      <c r="Q255" s="1">
        <f ca="1">IFERROR(__xludf.DUMMYFUNCTION("""COMPUTED_VALUE"""),820)</f>
        <v>820</v>
      </c>
      <c r="R255" s="1">
        <f ca="1">IFERROR(__xludf.DUMMYFUNCTION("""COMPUTED_VALUE"""),1862)</f>
        <v>1862</v>
      </c>
      <c r="S255" s="1">
        <f ca="1">IFERROR(__xludf.DUMMYFUNCTION("""COMPUTED_VALUE"""),0.44)</f>
        <v>0.44</v>
      </c>
      <c r="T255" s="1">
        <f ca="1">IFERROR(__xludf.DUMMYFUNCTION("""COMPUTED_VALUE"""),226)</f>
        <v>226</v>
      </c>
      <c r="U255" s="1">
        <f ca="1">IFERROR(__xludf.DUMMYFUNCTION("""COMPUTED_VALUE"""),657)</f>
        <v>657</v>
      </c>
      <c r="V255" s="1">
        <f ca="1">IFERROR(__xludf.DUMMYFUNCTION("""COMPUTED_VALUE"""),0.344)</f>
        <v>0.34399999999999997</v>
      </c>
      <c r="W255" s="1">
        <f ca="1">IFERROR(__xludf.DUMMYFUNCTION("""COMPUTED_VALUE"""),431)</f>
        <v>431</v>
      </c>
      <c r="X255" s="1">
        <f ca="1">IFERROR(__xludf.DUMMYFUNCTION("""COMPUTED_VALUE"""),662)</f>
        <v>662</v>
      </c>
      <c r="Y255" s="1">
        <f ca="1">IFERROR(__xludf.DUMMYFUNCTION("""COMPUTED_VALUE"""),0.651)</f>
        <v>0.65100000000000002</v>
      </c>
      <c r="Z255" s="1">
        <f ca="1">IFERROR(__xludf.DUMMYFUNCTION("""COMPUTED_VALUE"""),381)</f>
        <v>381</v>
      </c>
      <c r="AA255" s="1">
        <f ca="1">IFERROR(__xludf.DUMMYFUNCTION("""COMPUTED_VALUE"""),1215)</f>
        <v>1215</v>
      </c>
      <c r="AB255" s="1">
        <f ca="1">IFERROR(__xludf.DUMMYFUNCTION("""COMPUTED_VALUE"""),435)</f>
        <v>435</v>
      </c>
      <c r="AC255" s="1">
        <f ca="1">IFERROR(__xludf.DUMMYFUNCTION("""COMPUTED_VALUE"""),192)</f>
        <v>192</v>
      </c>
      <c r="AD255" s="1">
        <f ca="1">IFERROR(__xludf.DUMMYFUNCTION("""COMPUTED_VALUE"""),87)</f>
        <v>87</v>
      </c>
      <c r="AE255" s="1">
        <f ca="1">IFERROR(__xludf.DUMMYFUNCTION("""COMPUTED_VALUE"""),393)</f>
        <v>393</v>
      </c>
      <c r="AF255" s="1">
        <f ca="1">IFERROR(__xludf.DUMMYFUNCTION("""COMPUTED_VALUE"""),605)</f>
        <v>605</v>
      </c>
    </row>
    <row r="256" spans="1:32" ht="12.5" x14ac:dyDescent="0.25">
      <c r="A256" s="1" t="str">
        <f ca="1">IFERROR(__xludf.DUMMYFUNCTION("""COMPUTED_VALUE"""),"Penn State")</f>
        <v>Penn State</v>
      </c>
      <c r="B256" s="1">
        <f ca="1">IFERROR(__xludf.DUMMYFUNCTION("""COMPUTED_VALUE"""),31)</f>
        <v>31</v>
      </c>
      <c r="C256" s="1">
        <f ca="1">IFERROR(__xludf.DUMMYFUNCTION("""COMPUTED_VALUE"""),11)</f>
        <v>11</v>
      </c>
      <c r="D256" s="1">
        <f ca="1">IFERROR(__xludf.DUMMYFUNCTION("""COMPUTED_VALUE"""),20)</f>
        <v>20</v>
      </c>
      <c r="E256" s="1">
        <f ca="1">IFERROR(__xludf.DUMMYFUNCTION("""COMPUTED_VALUE"""),0.355)</f>
        <v>0.35499999999999998</v>
      </c>
      <c r="F256" s="1">
        <f ca="1">IFERROR(__xludf.DUMMYFUNCTION("""COMPUTED_VALUE"""),6.58)</f>
        <v>6.58</v>
      </c>
      <c r="G256" s="1">
        <f ca="1">IFERROR(__xludf.DUMMYFUNCTION("""COMPUTED_VALUE"""),6.32)</f>
        <v>6.32</v>
      </c>
      <c r="H256" s="1">
        <f ca="1">IFERROR(__xludf.DUMMYFUNCTION("""COMPUTED_VALUE"""),3)</f>
        <v>3</v>
      </c>
      <c r="I256" s="1">
        <f ca="1">IFERROR(__xludf.DUMMYFUNCTION("""COMPUTED_VALUE"""),15)</f>
        <v>15</v>
      </c>
      <c r="J256" s="1">
        <f ca="1">IFERROR(__xludf.DUMMYFUNCTION("""COMPUTED_VALUE"""),7)</f>
        <v>7</v>
      </c>
      <c r="K256" s="1">
        <f ca="1">IFERROR(__xludf.DUMMYFUNCTION("""COMPUTED_VALUE"""),9)</f>
        <v>9</v>
      </c>
      <c r="L256" s="1">
        <f ca="1">IFERROR(__xludf.DUMMYFUNCTION("""COMPUTED_VALUE"""),3)</f>
        <v>3</v>
      </c>
      <c r="M256" s="1">
        <f ca="1">IFERROR(__xludf.DUMMYFUNCTION("""COMPUTED_VALUE"""),8)</f>
        <v>8</v>
      </c>
      <c r="N256" s="1">
        <f ca="1">IFERROR(__xludf.DUMMYFUNCTION("""COMPUTED_VALUE"""),2013)</f>
        <v>2013</v>
      </c>
      <c r="O256" s="1">
        <f ca="1">IFERROR(__xludf.DUMMYFUNCTION("""COMPUTED_VALUE"""),2005)</f>
        <v>2005</v>
      </c>
      <c r="P256" s="1">
        <f ca="1">IFERROR(__xludf.DUMMYFUNCTION("""COMPUTED_VALUE"""),1245)</f>
        <v>1245</v>
      </c>
      <c r="Q256" s="1">
        <f ca="1">IFERROR(__xludf.DUMMYFUNCTION("""COMPUTED_VALUE"""),711)</f>
        <v>711</v>
      </c>
      <c r="R256" s="1">
        <f ca="1">IFERROR(__xludf.DUMMYFUNCTION("""COMPUTED_VALUE"""),1632)</f>
        <v>1632</v>
      </c>
      <c r="S256" s="1">
        <f ca="1">IFERROR(__xludf.DUMMYFUNCTION("""COMPUTED_VALUE"""),0.436)</f>
        <v>0.436</v>
      </c>
      <c r="T256" s="1">
        <f ca="1">IFERROR(__xludf.DUMMYFUNCTION("""COMPUTED_VALUE"""),208)</f>
        <v>208</v>
      </c>
      <c r="U256" s="1">
        <f ca="1">IFERROR(__xludf.DUMMYFUNCTION("""COMPUTED_VALUE"""),607)</f>
        <v>607</v>
      </c>
      <c r="V256" s="1">
        <f ca="1">IFERROR(__xludf.DUMMYFUNCTION("""COMPUTED_VALUE"""),0.343)</f>
        <v>0.34300000000000003</v>
      </c>
      <c r="W256" s="1">
        <f ca="1">IFERROR(__xludf.DUMMYFUNCTION("""COMPUTED_VALUE"""),383)</f>
        <v>383</v>
      </c>
      <c r="X256" s="1">
        <f ca="1">IFERROR(__xludf.DUMMYFUNCTION("""COMPUTED_VALUE"""),542)</f>
        <v>542</v>
      </c>
      <c r="Y256" s="1">
        <f ca="1">IFERROR(__xludf.DUMMYFUNCTION("""COMPUTED_VALUE"""),0.707)</f>
        <v>0.70699999999999996</v>
      </c>
      <c r="Z256" s="1">
        <f ca="1">IFERROR(__xludf.DUMMYFUNCTION("""COMPUTED_VALUE"""),301)</f>
        <v>301</v>
      </c>
      <c r="AA256" s="1">
        <f ca="1">IFERROR(__xludf.DUMMYFUNCTION("""COMPUTED_VALUE"""),1055)</f>
        <v>1055</v>
      </c>
      <c r="AB256" s="1">
        <f ca="1">IFERROR(__xludf.DUMMYFUNCTION("""COMPUTED_VALUE"""),410)</f>
        <v>410</v>
      </c>
      <c r="AC256" s="1">
        <f ca="1">IFERROR(__xludf.DUMMYFUNCTION("""COMPUTED_VALUE"""),143)</f>
        <v>143</v>
      </c>
      <c r="AD256" s="1">
        <f ca="1">IFERROR(__xludf.DUMMYFUNCTION("""COMPUTED_VALUE"""),54)</f>
        <v>54</v>
      </c>
      <c r="AE256" s="1">
        <f ca="1">IFERROR(__xludf.DUMMYFUNCTION("""COMPUTED_VALUE"""),360)</f>
        <v>360</v>
      </c>
      <c r="AF256" s="1">
        <f ca="1">IFERROR(__xludf.DUMMYFUNCTION("""COMPUTED_VALUE"""),503)</f>
        <v>503</v>
      </c>
    </row>
    <row r="257" spans="1:32" ht="12.5" x14ac:dyDescent="0.25">
      <c r="A257" s="1" t="str">
        <f ca="1">IFERROR(__xludf.DUMMYFUNCTION("""COMPUTED_VALUE"""),"Pennsylvania")</f>
        <v>Pennsylvania</v>
      </c>
      <c r="B257" s="1">
        <f ca="1">IFERROR(__xludf.DUMMYFUNCTION("""COMPUTED_VALUE"""),28)</f>
        <v>28</v>
      </c>
      <c r="C257" s="1">
        <f ca="1">IFERROR(__xludf.DUMMYFUNCTION("""COMPUTED_VALUE"""),6)</f>
        <v>6</v>
      </c>
      <c r="D257" s="1">
        <f ca="1">IFERROR(__xludf.DUMMYFUNCTION("""COMPUTED_VALUE"""),22)</f>
        <v>22</v>
      </c>
      <c r="E257" s="1">
        <f ca="1">IFERROR(__xludf.DUMMYFUNCTION("""COMPUTED_VALUE"""),0.214)</f>
        <v>0.214</v>
      </c>
      <c r="F257" s="1">
        <f ca="1">IFERROR(__xludf.DUMMYFUNCTION("""COMPUTED_VALUE"""),-13.31)</f>
        <v>-13.31</v>
      </c>
      <c r="G257" s="1">
        <f ca="1">IFERROR(__xludf.DUMMYFUNCTION("""COMPUTED_VALUE"""),-3.31)</f>
        <v>-3.31</v>
      </c>
      <c r="H257" s="1">
        <f ca="1">IFERROR(__xludf.DUMMYFUNCTION("""COMPUTED_VALUE"""),5)</f>
        <v>5</v>
      </c>
      <c r="I257" s="1">
        <f ca="1">IFERROR(__xludf.DUMMYFUNCTION("""COMPUTED_VALUE"""),9)</f>
        <v>9</v>
      </c>
      <c r="J257" s="1">
        <f ca="1">IFERROR(__xludf.DUMMYFUNCTION("""COMPUTED_VALUE"""),3)</f>
        <v>3</v>
      </c>
      <c r="K257" s="1">
        <f ca="1">IFERROR(__xludf.DUMMYFUNCTION("""COMPUTED_VALUE"""),10)</f>
        <v>10</v>
      </c>
      <c r="L257" s="1">
        <f ca="1">IFERROR(__xludf.DUMMYFUNCTION("""COMPUTED_VALUE"""),3)</f>
        <v>3</v>
      </c>
      <c r="M257" s="1">
        <f ca="1">IFERROR(__xludf.DUMMYFUNCTION("""COMPUTED_VALUE"""),12)</f>
        <v>12</v>
      </c>
      <c r="N257" s="1">
        <f ca="1">IFERROR(__xludf.DUMMYFUNCTION("""COMPUTED_VALUE"""),1751)</f>
        <v>1751</v>
      </c>
      <c r="O257" s="1">
        <f ca="1">IFERROR(__xludf.DUMMYFUNCTION("""COMPUTED_VALUE"""),2031)</f>
        <v>2031</v>
      </c>
      <c r="P257" s="1">
        <f ca="1">IFERROR(__xludf.DUMMYFUNCTION("""COMPUTED_VALUE"""),1130)</f>
        <v>1130</v>
      </c>
      <c r="Q257" s="1">
        <f ca="1">IFERROR(__xludf.DUMMYFUNCTION("""COMPUTED_VALUE"""),596)</f>
        <v>596</v>
      </c>
      <c r="R257" s="1">
        <f ca="1">IFERROR(__xludf.DUMMYFUNCTION("""COMPUTED_VALUE"""),1440)</f>
        <v>1440</v>
      </c>
      <c r="S257" s="1">
        <f ca="1">IFERROR(__xludf.DUMMYFUNCTION("""COMPUTED_VALUE"""),0.414)</f>
        <v>0.41399999999999998</v>
      </c>
      <c r="T257" s="1">
        <f ca="1">IFERROR(__xludf.DUMMYFUNCTION("""COMPUTED_VALUE"""),183)</f>
        <v>183</v>
      </c>
      <c r="U257" s="1">
        <f ca="1">IFERROR(__xludf.DUMMYFUNCTION("""COMPUTED_VALUE"""),577)</f>
        <v>577</v>
      </c>
      <c r="V257" s="1">
        <f ca="1">IFERROR(__xludf.DUMMYFUNCTION("""COMPUTED_VALUE"""),0.317)</f>
        <v>0.317</v>
      </c>
      <c r="W257" s="1">
        <f ca="1">IFERROR(__xludf.DUMMYFUNCTION("""COMPUTED_VALUE"""),376)</f>
        <v>376</v>
      </c>
      <c r="X257" s="1">
        <f ca="1">IFERROR(__xludf.DUMMYFUNCTION("""COMPUTED_VALUE"""),502)</f>
        <v>502</v>
      </c>
      <c r="Y257" s="1">
        <f ca="1">IFERROR(__xludf.DUMMYFUNCTION("""COMPUTED_VALUE"""),0.749)</f>
        <v>0.749</v>
      </c>
      <c r="Z257" s="1">
        <f ca="1">IFERROR(__xludf.DUMMYFUNCTION("""COMPUTED_VALUE"""),263)</f>
        <v>263</v>
      </c>
      <c r="AA257" s="1">
        <f ca="1">IFERROR(__xludf.DUMMYFUNCTION("""COMPUTED_VALUE"""),853)</f>
        <v>853</v>
      </c>
      <c r="AB257" s="1">
        <f ca="1">IFERROR(__xludf.DUMMYFUNCTION("""COMPUTED_VALUE"""),376)</f>
        <v>376</v>
      </c>
      <c r="AC257" s="1">
        <f ca="1">IFERROR(__xludf.DUMMYFUNCTION("""COMPUTED_VALUE"""),147)</f>
        <v>147</v>
      </c>
      <c r="AD257" s="1">
        <f ca="1">IFERROR(__xludf.DUMMYFUNCTION("""COMPUTED_VALUE"""),54)</f>
        <v>54</v>
      </c>
      <c r="AE257" s="1">
        <f ca="1">IFERROR(__xludf.DUMMYFUNCTION("""COMPUTED_VALUE"""),420)</f>
        <v>420</v>
      </c>
      <c r="AF257" s="1">
        <f ca="1">IFERROR(__xludf.DUMMYFUNCTION("""COMPUTED_VALUE"""),535)</f>
        <v>535</v>
      </c>
    </row>
    <row r="258" spans="1:32" ht="12.5" x14ac:dyDescent="0.25">
      <c r="A258" s="1" t="str">
        <f ca="1">IFERROR(__xludf.DUMMYFUNCTION("""COMPUTED_VALUE"""),"Pepperdine")</f>
        <v>Pepperdine</v>
      </c>
      <c r="B258" s="1">
        <f ca="1">IFERROR(__xludf.DUMMYFUNCTION("""COMPUTED_VALUE"""),31)</f>
        <v>31</v>
      </c>
      <c r="C258" s="1">
        <f ca="1">IFERROR(__xludf.DUMMYFUNCTION("""COMPUTED_VALUE"""),7)</f>
        <v>7</v>
      </c>
      <c r="D258" s="1">
        <f ca="1">IFERROR(__xludf.DUMMYFUNCTION("""COMPUTED_VALUE"""),24)</f>
        <v>24</v>
      </c>
      <c r="E258" s="1">
        <f ca="1">IFERROR(__xludf.DUMMYFUNCTION("""COMPUTED_VALUE"""),0.226)</f>
        <v>0.22600000000000001</v>
      </c>
      <c r="F258" s="1">
        <f ca="1">IFERROR(__xludf.DUMMYFUNCTION("""COMPUTED_VALUE"""),-8.44)</f>
        <v>-8.44</v>
      </c>
      <c r="G258" s="1">
        <f ca="1">IFERROR(__xludf.DUMMYFUNCTION("""COMPUTED_VALUE"""),0.94)</f>
        <v>0.94</v>
      </c>
      <c r="H258" s="1">
        <f ca="1">IFERROR(__xludf.DUMMYFUNCTION("""COMPUTED_VALUE"""),3)</f>
        <v>3</v>
      </c>
      <c r="I258" s="1">
        <f ca="1">IFERROR(__xludf.DUMMYFUNCTION("""COMPUTED_VALUE"""),11)</f>
        <v>11</v>
      </c>
      <c r="J258" s="1">
        <f ca="1">IFERROR(__xludf.DUMMYFUNCTION("""COMPUTED_VALUE"""),5)</f>
        <v>5</v>
      </c>
      <c r="K258" s="1">
        <f ca="1">IFERROR(__xludf.DUMMYFUNCTION("""COMPUTED_VALUE"""),11)</f>
        <v>11</v>
      </c>
      <c r="L258" s="1">
        <f ca="1">IFERROR(__xludf.DUMMYFUNCTION("""COMPUTED_VALUE"""),0)</f>
        <v>0</v>
      </c>
      <c r="M258" s="1">
        <f ca="1">IFERROR(__xludf.DUMMYFUNCTION("""COMPUTED_VALUE"""),12)</f>
        <v>12</v>
      </c>
      <c r="N258" s="1">
        <f ca="1">IFERROR(__xludf.DUMMYFUNCTION("""COMPUTED_VALUE"""),2044)</f>
        <v>2044</v>
      </c>
      <c r="O258" s="1">
        <f ca="1">IFERROR(__xludf.DUMMYFUNCTION("""COMPUTED_VALUE"""),2316)</f>
        <v>2316</v>
      </c>
      <c r="P258" s="1">
        <f ca="1">IFERROR(__xludf.DUMMYFUNCTION("""COMPUTED_VALUE"""),1255)</f>
        <v>1255</v>
      </c>
      <c r="Q258" s="1">
        <f ca="1">IFERROR(__xludf.DUMMYFUNCTION("""COMPUTED_VALUE"""),693)</f>
        <v>693</v>
      </c>
      <c r="R258" s="1">
        <f ca="1">IFERROR(__xludf.DUMMYFUNCTION("""COMPUTED_VALUE"""),1760)</f>
        <v>1760</v>
      </c>
      <c r="S258" s="1">
        <f ca="1">IFERROR(__xludf.DUMMYFUNCTION("""COMPUTED_VALUE"""),0.394)</f>
        <v>0.39400000000000002</v>
      </c>
      <c r="T258" s="1">
        <f ca="1">IFERROR(__xludf.DUMMYFUNCTION("""COMPUTED_VALUE"""),194)</f>
        <v>194</v>
      </c>
      <c r="U258" s="1">
        <f ca="1">IFERROR(__xludf.DUMMYFUNCTION("""COMPUTED_VALUE"""),569)</f>
        <v>569</v>
      </c>
      <c r="V258" s="1">
        <f ca="1">IFERROR(__xludf.DUMMYFUNCTION("""COMPUTED_VALUE"""),0.341)</f>
        <v>0.34100000000000003</v>
      </c>
      <c r="W258" s="1">
        <f ca="1">IFERROR(__xludf.DUMMYFUNCTION("""COMPUTED_VALUE"""),464)</f>
        <v>464</v>
      </c>
      <c r="X258" s="1">
        <f ca="1">IFERROR(__xludf.DUMMYFUNCTION("""COMPUTED_VALUE"""),659)</f>
        <v>659</v>
      </c>
      <c r="Y258" s="1">
        <f ca="1">IFERROR(__xludf.DUMMYFUNCTION("""COMPUTED_VALUE"""),0.704)</f>
        <v>0.70399999999999996</v>
      </c>
      <c r="Z258" s="1">
        <f ca="1">IFERROR(__xludf.DUMMYFUNCTION("""COMPUTED_VALUE"""),394)</f>
        <v>394</v>
      </c>
      <c r="AA258" s="1">
        <f ca="1">IFERROR(__xludf.DUMMYFUNCTION("""COMPUTED_VALUE"""),1122)</f>
        <v>1122</v>
      </c>
      <c r="AB258" s="1">
        <f ca="1">IFERROR(__xludf.DUMMYFUNCTION("""COMPUTED_VALUE"""),342)</f>
        <v>342</v>
      </c>
      <c r="AC258" s="1">
        <f ca="1">IFERROR(__xludf.DUMMYFUNCTION("""COMPUTED_VALUE"""),152)</f>
        <v>152</v>
      </c>
      <c r="AD258" s="1">
        <f ca="1">IFERROR(__xludf.DUMMYFUNCTION("""COMPUTED_VALUE"""),75)</f>
        <v>75</v>
      </c>
      <c r="AE258" s="1">
        <f ca="1">IFERROR(__xludf.DUMMYFUNCTION("""COMPUTED_VALUE"""),423)</f>
        <v>423</v>
      </c>
      <c r="AF258" s="1">
        <f ca="1">IFERROR(__xludf.DUMMYFUNCTION("""COMPUTED_VALUE"""),599)</f>
        <v>599</v>
      </c>
    </row>
    <row r="259" spans="1:32" ht="12.5" x14ac:dyDescent="0.25">
      <c r="A259" s="1" t="str">
        <f ca="1">IFERROR(__xludf.DUMMYFUNCTION("""COMPUTED_VALUE"""),"PittsburghNCAA")</f>
        <v>PittsburghNCAA</v>
      </c>
      <c r="B259" s="1">
        <f ca="1">IFERROR(__xludf.DUMMYFUNCTION("""COMPUTED_VALUE"""),34)</f>
        <v>34</v>
      </c>
      <c r="C259" s="1">
        <f ca="1">IFERROR(__xludf.DUMMYFUNCTION("""COMPUTED_VALUE"""),25)</f>
        <v>25</v>
      </c>
      <c r="D259" s="1">
        <f ca="1">IFERROR(__xludf.DUMMYFUNCTION("""COMPUTED_VALUE"""),9)</f>
        <v>9</v>
      </c>
      <c r="E259" s="1">
        <f ca="1">IFERROR(__xludf.DUMMYFUNCTION("""COMPUTED_VALUE"""),0.735)</f>
        <v>0.73499999999999999</v>
      </c>
      <c r="F259" s="1">
        <f ca="1">IFERROR(__xludf.DUMMYFUNCTION("""COMPUTED_VALUE"""),14.3)</f>
        <v>14.3</v>
      </c>
      <c r="G259" s="1">
        <f ca="1">IFERROR(__xludf.DUMMYFUNCTION("""COMPUTED_VALUE"""),7.39)</f>
        <v>7.39</v>
      </c>
      <c r="H259" s="1">
        <f ca="1">IFERROR(__xludf.DUMMYFUNCTION("""COMPUTED_VALUE"""),13)</f>
        <v>13</v>
      </c>
      <c r="I259" s="1">
        <f ca="1">IFERROR(__xludf.DUMMYFUNCTION("""COMPUTED_VALUE"""),5)</f>
        <v>5</v>
      </c>
      <c r="J259" s="1">
        <f ca="1">IFERROR(__xludf.DUMMYFUNCTION("""COMPUTED_VALUE"""),17)</f>
        <v>17</v>
      </c>
      <c r="K259" s="1">
        <f ca="1">IFERROR(__xludf.DUMMYFUNCTION("""COMPUTED_VALUE"""),1)</f>
        <v>1</v>
      </c>
      <c r="L259" s="1">
        <f ca="1">IFERROR(__xludf.DUMMYFUNCTION("""COMPUTED_VALUE"""),5)</f>
        <v>5</v>
      </c>
      <c r="M259" s="1">
        <f ca="1">IFERROR(__xludf.DUMMYFUNCTION("""COMPUTED_VALUE"""),4)</f>
        <v>4</v>
      </c>
      <c r="N259" s="1">
        <f ca="1">IFERROR(__xludf.DUMMYFUNCTION("""COMPUTED_VALUE"""),2336)</f>
        <v>2336</v>
      </c>
      <c r="O259" s="1">
        <f ca="1">IFERROR(__xludf.DUMMYFUNCTION("""COMPUTED_VALUE"""),2101)</f>
        <v>2101</v>
      </c>
      <c r="P259" s="1">
        <f ca="1">IFERROR(__xludf.DUMMYFUNCTION("""COMPUTED_VALUE"""),1390)</f>
        <v>1390</v>
      </c>
      <c r="Q259" s="1">
        <f ca="1">IFERROR(__xludf.DUMMYFUNCTION("""COMPUTED_VALUE"""),809)</f>
        <v>809</v>
      </c>
      <c r="R259" s="1">
        <f ca="1">IFERROR(__xludf.DUMMYFUNCTION("""COMPUTED_VALUE"""),1811)</f>
        <v>1811</v>
      </c>
      <c r="S259" s="1">
        <f ca="1">IFERROR(__xludf.DUMMYFUNCTION("""COMPUTED_VALUE"""),0.447)</f>
        <v>0.44700000000000001</v>
      </c>
      <c r="T259" s="1">
        <f ca="1">IFERROR(__xludf.DUMMYFUNCTION("""COMPUTED_VALUE"""),181)</f>
        <v>181</v>
      </c>
      <c r="U259" s="1">
        <f ca="1">IFERROR(__xludf.DUMMYFUNCTION("""COMPUTED_VALUE"""),526)</f>
        <v>526</v>
      </c>
      <c r="V259" s="1">
        <f ca="1">IFERROR(__xludf.DUMMYFUNCTION("""COMPUTED_VALUE"""),0.344)</f>
        <v>0.34399999999999997</v>
      </c>
      <c r="W259" s="1">
        <f ca="1">IFERROR(__xludf.DUMMYFUNCTION("""COMPUTED_VALUE"""),537)</f>
        <v>537</v>
      </c>
      <c r="X259" s="1">
        <f ca="1">IFERROR(__xludf.DUMMYFUNCTION("""COMPUTED_VALUE"""),775)</f>
        <v>775</v>
      </c>
      <c r="Y259" s="1">
        <f ca="1">IFERROR(__xludf.DUMMYFUNCTION("""COMPUTED_VALUE"""),0.693)</f>
        <v>0.69299999999999995</v>
      </c>
      <c r="Z259" s="1">
        <f ca="1">IFERROR(__xludf.DUMMYFUNCTION("""COMPUTED_VALUE"""),420)</f>
        <v>420</v>
      </c>
      <c r="AA259" s="1">
        <f ca="1">IFERROR(__xludf.DUMMYFUNCTION("""COMPUTED_VALUE"""),1269)</f>
        <v>1269</v>
      </c>
      <c r="AB259" s="1">
        <f ca="1">IFERROR(__xludf.DUMMYFUNCTION("""COMPUTED_VALUE"""),536)</f>
        <v>536</v>
      </c>
      <c r="AC259" s="1">
        <f ca="1">IFERROR(__xludf.DUMMYFUNCTION("""COMPUTED_VALUE"""),177)</f>
        <v>177</v>
      </c>
      <c r="AD259" s="1">
        <f ca="1">IFERROR(__xludf.DUMMYFUNCTION("""COMPUTED_VALUE"""),139)</f>
        <v>139</v>
      </c>
      <c r="AE259" s="1">
        <f ca="1">IFERROR(__xludf.DUMMYFUNCTION("""COMPUTED_VALUE"""),421)</f>
        <v>421</v>
      </c>
      <c r="AF259" s="1">
        <f ca="1">IFERROR(__xludf.DUMMYFUNCTION("""COMPUTED_VALUE"""),594)</f>
        <v>594</v>
      </c>
    </row>
    <row r="260" spans="1:32" ht="12.5" x14ac:dyDescent="0.25">
      <c r="A260" s="1" t="str">
        <f ca="1">IFERROR(__xludf.DUMMYFUNCTION("""COMPUTED_VALUE"""),"Portland State")</f>
        <v>Portland State</v>
      </c>
      <c r="B260" s="1">
        <f ca="1">IFERROR(__xludf.DUMMYFUNCTION("""COMPUTED_VALUE"""),32)</f>
        <v>32</v>
      </c>
      <c r="C260" s="1">
        <f ca="1">IFERROR(__xludf.DUMMYFUNCTION("""COMPUTED_VALUE"""),13)</f>
        <v>13</v>
      </c>
      <c r="D260" s="1">
        <f ca="1">IFERROR(__xludf.DUMMYFUNCTION("""COMPUTED_VALUE"""),19)</f>
        <v>19</v>
      </c>
      <c r="E260" s="1">
        <f ca="1">IFERROR(__xludf.DUMMYFUNCTION("""COMPUTED_VALUE"""),0.406)</f>
        <v>0.40600000000000003</v>
      </c>
      <c r="F260" s="1">
        <f ca="1">IFERROR(__xludf.DUMMYFUNCTION("""COMPUTED_VALUE"""),-3.49)</f>
        <v>-3.49</v>
      </c>
      <c r="G260" s="1">
        <f ca="1">IFERROR(__xludf.DUMMYFUNCTION("""COMPUTED_VALUE"""),-1.21)</f>
        <v>-1.21</v>
      </c>
      <c r="H260" s="1">
        <f ca="1">IFERROR(__xludf.DUMMYFUNCTION("""COMPUTED_VALUE"""),7)</f>
        <v>7</v>
      </c>
      <c r="I260" s="1">
        <f ca="1">IFERROR(__xludf.DUMMYFUNCTION("""COMPUTED_VALUE"""),9)</f>
        <v>9</v>
      </c>
      <c r="J260" s="1">
        <f ca="1">IFERROR(__xludf.DUMMYFUNCTION("""COMPUTED_VALUE"""),8)</f>
        <v>8</v>
      </c>
      <c r="K260" s="1">
        <f ca="1">IFERROR(__xludf.DUMMYFUNCTION("""COMPUTED_VALUE"""),4)</f>
        <v>4</v>
      </c>
      <c r="L260" s="1">
        <f ca="1">IFERROR(__xludf.DUMMYFUNCTION("""COMPUTED_VALUE"""),5)</f>
        <v>5</v>
      </c>
      <c r="M260" s="1">
        <f ca="1">IFERROR(__xludf.DUMMYFUNCTION("""COMPUTED_VALUE"""),12)</f>
        <v>12</v>
      </c>
      <c r="N260" s="1">
        <f ca="1">IFERROR(__xludf.DUMMYFUNCTION("""COMPUTED_VALUE"""),2496)</f>
        <v>2496</v>
      </c>
      <c r="O260" s="1">
        <f ca="1">IFERROR(__xludf.DUMMYFUNCTION("""COMPUTED_VALUE"""),2536)</f>
        <v>2536</v>
      </c>
      <c r="P260" s="1">
        <f ca="1">IFERROR(__xludf.DUMMYFUNCTION("""COMPUTED_VALUE"""),1295)</f>
        <v>1295</v>
      </c>
      <c r="Q260" s="1">
        <f ca="1">IFERROR(__xludf.DUMMYFUNCTION("""COMPUTED_VALUE"""),888)</f>
        <v>888</v>
      </c>
      <c r="R260" s="1">
        <f ca="1">IFERROR(__xludf.DUMMYFUNCTION("""COMPUTED_VALUE"""),1862)</f>
        <v>1862</v>
      </c>
      <c r="S260" s="1">
        <f ca="1">IFERROR(__xludf.DUMMYFUNCTION("""COMPUTED_VALUE"""),0.477)</f>
        <v>0.47699999999999998</v>
      </c>
      <c r="T260" s="1">
        <f ca="1">IFERROR(__xludf.DUMMYFUNCTION("""COMPUTED_VALUE"""),258)</f>
        <v>258</v>
      </c>
      <c r="U260" s="1">
        <f ca="1">IFERROR(__xludf.DUMMYFUNCTION("""COMPUTED_VALUE"""),690)</f>
        <v>690</v>
      </c>
      <c r="V260" s="1">
        <f ca="1">IFERROR(__xludf.DUMMYFUNCTION("""COMPUTED_VALUE"""),0.374)</f>
        <v>0.374</v>
      </c>
      <c r="W260" s="1">
        <f ca="1">IFERROR(__xludf.DUMMYFUNCTION("""COMPUTED_VALUE"""),462)</f>
        <v>462</v>
      </c>
      <c r="X260" s="1">
        <f ca="1">IFERROR(__xludf.DUMMYFUNCTION("""COMPUTED_VALUE"""),644)</f>
        <v>644</v>
      </c>
      <c r="Y260" s="1">
        <f ca="1">IFERROR(__xludf.DUMMYFUNCTION("""COMPUTED_VALUE"""),0.717)</f>
        <v>0.71699999999999997</v>
      </c>
      <c r="Z260" s="1">
        <f ca="1">IFERROR(__xludf.DUMMYFUNCTION("""COMPUTED_VALUE"""),356)</f>
        <v>356</v>
      </c>
      <c r="AA260" s="1">
        <f ca="1">IFERROR(__xludf.DUMMYFUNCTION("""COMPUTED_VALUE"""),1019)</f>
        <v>1019</v>
      </c>
      <c r="AB260" s="1">
        <f ca="1">IFERROR(__xludf.DUMMYFUNCTION("""COMPUTED_VALUE"""),424)</f>
        <v>424</v>
      </c>
      <c r="AC260" s="1">
        <f ca="1">IFERROR(__xludf.DUMMYFUNCTION("""COMPUTED_VALUE"""),201)</f>
        <v>201</v>
      </c>
      <c r="AD260" s="1">
        <f ca="1">IFERROR(__xludf.DUMMYFUNCTION("""COMPUTED_VALUE"""),127)</f>
        <v>127</v>
      </c>
      <c r="AE260" s="1">
        <f ca="1">IFERROR(__xludf.DUMMYFUNCTION("""COMPUTED_VALUE"""),431)</f>
        <v>431</v>
      </c>
      <c r="AF260" s="1">
        <f ca="1">IFERROR(__xludf.DUMMYFUNCTION("""COMPUTED_VALUE"""),596)</f>
        <v>596</v>
      </c>
    </row>
    <row r="261" spans="1:32" ht="12.5" x14ac:dyDescent="0.25">
      <c r="A261" s="1" t="str">
        <f ca="1">IFERROR(__xludf.DUMMYFUNCTION("""COMPUTED_VALUE"""),"Portland")</f>
        <v>Portland</v>
      </c>
      <c r="B261" s="1">
        <f ca="1">IFERROR(__xludf.DUMMYFUNCTION("""COMPUTED_VALUE"""),32)</f>
        <v>32</v>
      </c>
      <c r="C261" s="1">
        <f ca="1">IFERROR(__xludf.DUMMYFUNCTION("""COMPUTED_VALUE"""),21)</f>
        <v>21</v>
      </c>
      <c r="D261" s="1">
        <f ca="1">IFERROR(__xludf.DUMMYFUNCTION("""COMPUTED_VALUE"""),11)</f>
        <v>11</v>
      </c>
      <c r="E261" s="1">
        <f ca="1">IFERROR(__xludf.DUMMYFUNCTION("""COMPUTED_VALUE"""),0.656)</f>
        <v>0.65600000000000003</v>
      </c>
      <c r="F261" s="1">
        <f ca="1">IFERROR(__xludf.DUMMYFUNCTION("""COMPUTED_VALUE"""),6.35)</f>
        <v>6.35</v>
      </c>
      <c r="G261" s="1">
        <f ca="1">IFERROR(__xludf.DUMMYFUNCTION("""COMPUTED_VALUE"""),2.04)</f>
        <v>2.04</v>
      </c>
      <c r="H261" s="1">
        <f ca="1">IFERROR(__xludf.DUMMYFUNCTION("""COMPUTED_VALUE"""),10)</f>
        <v>10</v>
      </c>
      <c r="I261" s="1">
        <f ca="1">IFERROR(__xludf.DUMMYFUNCTION("""COMPUTED_VALUE"""),4)</f>
        <v>4</v>
      </c>
      <c r="J261" s="1">
        <f ca="1">IFERROR(__xludf.DUMMYFUNCTION("""COMPUTED_VALUE"""),13)</f>
        <v>13</v>
      </c>
      <c r="K261" s="1">
        <f ca="1">IFERROR(__xludf.DUMMYFUNCTION("""COMPUTED_VALUE"""),2)</f>
        <v>2</v>
      </c>
      <c r="L261" s="1">
        <f ca="1">IFERROR(__xludf.DUMMYFUNCTION("""COMPUTED_VALUE"""),5)</f>
        <v>5</v>
      </c>
      <c r="M261" s="1">
        <f ca="1">IFERROR(__xludf.DUMMYFUNCTION("""COMPUTED_VALUE"""),7)</f>
        <v>7</v>
      </c>
      <c r="N261" s="1">
        <f ca="1">IFERROR(__xludf.DUMMYFUNCTION("""COMPUTED_VALUE"""),2306)</f>
        <v>2306</v>
      </c>
      <c r="O261" s="1">
        <f ca="1">IFERROR(__xludf.DUMMYFUNCTION("""COMPUTED_VALUE"""),2117)</f>
        <v>2117</v>
      </c>
      <c r="P261" s="1">
        <f ca="1">IFERROR(__xludf.DUMMYFUNCTION("""COMPUTED_VALUE"""),1290)</f>
        <v>1290</v>
      </c>
      <c r="Q261" s="1">
        <f ca="1">IFERROR(__xludf.DUMMYFUNCTION("""COMPUTED_VALUE"""),798)</f>
        <v>798</v>
      </c>
      <c r="R261" s="1">
        <f ca="1">IFERROR(__xludf.DUMMYFUNCTION("""COMPUTED_VALUE"""),1720)</f>
        <v>1720</v>
      </c>
      <c r="S261" s="1">
        <f ca="1">IFERROR(__xludf.DUMMYFUNCTION("""COMPUTED_VALUE"""),0.464)</f>
        <v>0.46400000000000002</v>
      </c>
      <c r="T261" s="1">
        <f ca="1">IFERROR(__xludf.DUMMYFUNCTION("""COMPUTED_VALUE"""),253)</f>
        <v>253</v>
      </c>
      <c r="U261" s="1">
        <f ca="1">IFERROR(__xludf.DUMMYFUNCTION("""COMPUTED_VALUE"""),622)</f>
        <v>622</v>
      </c>
      <c r="V261" s="1">
        <f ca="1">IFERROR(__xludf.DUMMYFUNCTION("""COMPUTED_VALUE"""),0.407)</f>
        <v>0.40699999999999997</v>
      </c>
      <c r="W261" s="1">
        <f ca="1">IFERROR(__xludf.DUMMYFUNCTION("""COMPUTED_VALUE"""),457)</f>
        <v>457</v>
      </c>
      <c r="X261" s="1">
        <f ca="1">IFERROR(__xludf.DUMMYFUNCTION("""COMPUTED_VALUE"""),622)</f>
        <v>622</v>
      </c>
      <c r="Y261" s="1">
        <f ca="1">IFERROR(__xludf.DUMMYFUNCTION("""COMPUTED_VALUE"""),0.735)</f>
        <v>0.73499999999999999</v>
      </c>
      <c r="Z261" s="1">
        <f ca="1">IFERROR(__xludf.DUMMYFUNCTION("""COMPUTED_VALUE"""),340)</f>
        <v>340</v>
      </c>
      <c r="AA261" s="1">
        <f ca="1">IFERROR(__xludf.DUMMYFUNCTION("""COMPUTED_VALUE"""),1068)</f>
        <v>1068</v>
      </c>
      <c r="AB261" s="1">
        <f ca="1">IFERROR(__xludf.DUMMYFUNCTION("""COMPUTED_VALUE"""),472)</f>
        <v>472</v>
      </c>
      <c r="AC261" s="1">
        <f ca="1">IFERROR(__xludf.DUMMYFUNCTION("""COMPUTED_VALUE"""),207)</f>
        <v>207</v>
      </c>
      <c r="AD261" s="1">
        <f ca="1">IFERROR(__xludf.DUMMYFUNCTION("""COMPUTED_VALUE"""),53)</f>
        <v>53</v>
      </c>
      <c r="AE261" s="1">
        <f ca="1">IFERROR(__xludf.DUMMYFUNCTION("""COMPUTED_VALUE"""),420)</f>
        <v>420</v>
      </c>
      <c r="AF261" s="1">
        <f ca="1">IFERROR(__xludf.DUMMYFUNCTION("""COMPUTED_VALUE"""),504)</f>
        <v>504</v>
      </c>
    </row>
    <row r="262" spans="1:32" ht="12.5" x14ac:dyDescent="0.25">
      <c r="A262" s="1" t="str">
        <f ca="1">IFERROR(__xludf.DUMMYFUNCTION("""COMPUTED_VALUE"""),"Prairie View")</f>
        <v>Prairie View</v>
      </c>
      <c r="B262" s="1">
        <f ca="1">IFERROR(__xludf.DUMMYFUNCTION("""COMPUTED_VALUE"""),30)</f>
        <v>30</v>
      </c>
      <c r="C262" s="1">
        <f ca="1">IFERROR(__xludf.DUMMYFUNCTION("""COMPUTED_VALUE"""),16)</f>
        <v>16</v>
      </c>
      <c r="D262" s="1">
        <f ca="1">IFERROR(__xludf.DUMMYFUNCTION("""COMPUTED_VALUE"""),14)</f>
        <v>14</v>
      </c>
      <c r="E262" s="1">
        <f ca="1">IFERROR(__xludf.DUMMYFUNCTION("""COMPUTED_VALUE"""),0.533)</f>
        <v>0.53300000000000003</v>
      </c>
      <c r="F262" s="1">
        <f ca="1">IFERROR(__xludf.DUMMYFUNCTION("""COMPUTED_VALUE"""),-15.79)</f>
        <v>-15.79</v>
      </c>
      <c r="G262" s="1">
        <f ca="1">IFERROR(__xludf.DUMMYFUNCTION("""COMPUTED_VALUE"""),-12.11)</f>
        <v>-12.11</v>
      </c>
      <c r="H262" s="1">
        <f ca="1">IFERROR(__xludf.DUMMYFUNCTION("""COMPUTED_VALUE"""),11)</f>
        <v>11</v>
      </c>
      <c r="I262" s="1">
        <f ca="1">IFERROR(__xludf.DUMMYFUNCTION("""COMPUTED_VALUE"""),7)</f>
        <v>7</v>
      </c>
      <c r="J262" s="1">
        <f ca="1">IFERROR(__xludf.DUMMYFUNCTION("""COMPUTED_VALUE"""),11)</f>
        <v>11</v>
      </c>
      <c r="K262" s="1">
        <f ca="1">IFERROR(__xludf.DUMMYFUNCTION("""COMPUTED_VALUE"""),3)</f>
        <v>3</v>
      </c>
      <c r="L262" s="1">
        <f ca="1">IFERROR(__xludf.DUMMYFUNCTION("""COMPUTED_VALUE"""),5)</f>
        <v>5</v>
      </c>
      <c r="M262" s="1">
        <f ca="1">IFERROR(__xludf.DUMMYFUNCTION("""COMPUTED_VALUE"""),10)</f>
        <v>10</v>
      </c>
      <c r="N262" s="1">
        <f ca="1">IFERROR(__xludf.DUMMYFUNCTION("""COMPUTED_VALUE"""),1930)</f>
        <v>1930</v>
      </c>
      <c r="O262" s="1">
        <f ca="1">IFERROR(__xludf.DUMMYFUNCTION("""COMPUTED_VALUE"""),1865)</f>
        <v>1865</v>
      </c>
      <c r="P262" s="1">
        <f ca="1">IFERROR(__xludf.DUMMYFUNCTION("""COMPUTED_VALUE"""),1210)</f>
        <v>1210</v>
      </c>
      <c r="Q262" s="1">
        <f ca="1">IFERROR(__xludf.DUMMYFUNCTION("""COMPUTED_VALUE"""),682)</f>
        <v>682</v>
      </c>
      <c r="R262" s="1">
        <f ca="1">IFERROR(__xludf.DUMMYFUNCTION("""COMPUTED_VALUE"""),1723)</f>
        <v>1723</v>
      </c>
      <c r="S262" s="1">
        <f ca="1">IFERROR(__xludf.DUMMYFUNCTION("""COMPUTED_VALUE"""),0.396)</f>
        <v>0.39600000000000002</v>
      </c>
      <c r="T262" s="1">
        <f ca="1">IFERROR(__xludf.DUMMYFUNCTION("""COMPUTED_VALUE"""),180)</f>
        <v>180</v>
      </c>
      <c r="U262" s="1">
        <f ca="1">IFERROR(__xludf.DUMMYFUNCTION("""COMPUTED_VALUE"""),605)</f>
        <v>605</v>
      </c>
      <c r="V262" s="1">
        <f ca="1">IFERROR(__xludf.DUMMYFUNCTION("""COMPUTED_VALUE"""),0.298)</f>
        <v>0.29799999999999999</v>
      </c>
      <c r="W262" s="1">
        <f ca="1">IFERROR(__xludf.DUMMYFUNCTION("""COMPUTED_VALUE"""),386)</f>
        <v>386</v>
      </c>
      <c r="X262" s="1">
        <f ca="1">IFERROR(__xludf.DUMMYFUNCTION("""COMPUTED_VALUE"""),629)</f>
        <v>629</v>
      </c>
      <c r="Y262" s="1">
        <f ca="1">IFERROR(__xludf.DUMMYFUNCTION("""COMPUTED_VALUE"""),0.614)</f>
        <v>0.61399999999999999</v>
      </c>
      <c r="Z262" s="1">
        <f ca="1">IFERROR(__xludf.DUMMYFUNCTION("""COMPUTED_VALUE"""),364)</f>
        <v>364</v>
      </c>
      <c r="AA262" s="1">
        <f ca="1">IFERROR(__xludf.DUMMYFUNCTION("""COMPUTED_VALUE"""),1128)</f>
        <v>1128</v>
      </c>
      <c r="AB262" s="1">
        <f ca="1">IFERROR(__xludf.DUMMYFUNCTION("""COMPUTED_VALUE"""),392)</f>
        <v>392</v>
      </c>
      <c r="AC262" s="1">
        <f ca="1">IFERROR(__xludf.DUMMYFUNCTION("""COMPUTED_VALUE"""),240)</f>
        <v>240</v>
      </c>
      <c r="AD262" s="1">
        <f ca="1">IFERROR(__xludf.DUMMYFUNCTION("""COMPUTED_VALUE"""),124)</f>
        <v>124</v>
      </c>
      <c r="AE262" s="1">
        <f ca="1">IFERROR(__xludf.DUMMYFUNCTION("""COMPUTED_VALUE"""),427)</f>
        <v>427</v>
      </c>
      <c r="AF262" s="1">
        <f ca="1">IFERROR(__xludf.DUMMYFUNCTION("""COMPUTED_VALUE"""),527)</f>
        <v>527</v>
      </c>
    </row>
    <row r="263" spans="1:32" ht="12.5" x14ac:dyDescent="0.25">
      <c r="A263" s="1" t="str">
        <f ca="1">IFERROR(__xludf.DUMMYFUNCTION("""COMPUTED_VALUE"""),"Presbyterian")</f>
        <v>Presbyterian</v>
      </c>
      <c r="B263" s="1">
        <f ca="1">IFERROR(__xludf.DUMMYFUNCTION("""COMPUTED_VALUE"""),31)</f>
        <v>31</v>
      </c>
      <c r="C263" s="1">
        <f ca="1">IFERROR(__xludf.DUMMYFUNCTION("""COMPUTED_VALUE"""),5)</f>
        <v>5</v>
      </c>
      <c r="D263" s="1">
        <f ca="1">IFERROR(__xludf.DUMMYFUNCTION("""COMPUTED_VALUE"""),26)</f>
        <v>26</v>
      </c>
      <c r="E263" s="1">
        <f ca="1">IFERROR(__xludf.DUMMYFUNCTION("""COMPUTED_VALUE"""),0.161)</f>
        <v>0.161</v>
      </c>
      <c r="F263" s="1" t="str">
        <f ca="1">IFERROR(__xludf.DUMMYFUNCTION("""COMPUTED_VALUE"""),"")</f>
        <v/>
      </c>
      <c r="G263" s="1" t="str">
        <f ca="1">IFERROR(__xludf.DUMMYFUNCTION("""COMPUTED_VALUE"""),"")</f>
        <v/>
      </c>
      <c r="H263" s="1">
        <f ca="1">IFERROR(__xludf.DUMMYFUNCTION("""COMPUTED_VALUE"""),2)</f>
        <v>2</v>
      </c>
      <c r="I263" s="1">
        <f ca="1">IFERROR(__xludf.DUMMYFUNCTION("""COMPUTED_VALUE"""),16)</f>
        <v>16</v>
      </c>
      <c r="J263" s="1">
        <f ca="1">IFERROR(__xludf.DUMMYFUNCTION("""COMPUTED_VALUE"""),3)</f>
        <v>3</v>
      </c>
      <c r="K263" s="1">
        <f ca="1">IFERROR(__xludf.DUMMYFUNCTION("""COMPUTED_VALUE"""),7)</f>
        <v>7</v>
      </c>
      <c r="L263" s="1">
        <f ca="1">IFERROR(__xludf.DUMMYFUNCTION("""COMPUTED_VALUE"""),1)</f>
        <v>1</v>
      </c>
      <c r="M263" s="1">
        <f ca="1">IFERROR(__xludf.DUMMYFUNCTION("""COMPUTED_VALUE"""),18)</f>
        <v>18</v>
      </c>
      <c r="N263" s="1">
        <f ca="1">IFERROR(__xludf.DUMMYFUNCTION("""COMPUTED_VALUE"""),1873)</f>
        <v>1873</v>
      </c>
      <c r="O263" s="1">
        <f ca="1">IFERROR(__xludf.DUMMYFUNCTION("""COMPUTED_VALUE"""),2267)</f>
        <v>2267</v>
      </c>
      <c r="P263" s="1">
        <f ca="1">IFERROR(__xludf.DUMMYFUNCTION("""COMPUTED_VALUE"""),1265)</f>
        <v>1265</v>
      </c>
      <c r="Q263" s="1">
        <f ca="1">IFERROR(__xludf.DUMMYFUNCTION("""COMPUTED_VALUE"""),694)</f>
        <v>694</v>
      </c>
      <c r="R263" s="1">
        <f ca="1">IFERROR(__xludf.DUMMYFUNCTION("""COMPUTED_VALUE"""),1631)</f>
        <v>1631</v>
      </c>
      <c r="S263" s="1">
        <f ca="1">IFERROR(__xludf.DUMMYFUNCTION("""COMPUTED_VALUE"""),0.426)</f>
        <v>0.42599999999999999</v>
      </c>
      <c r="T263" s="1">
        <f ca="1">IFERROR(__xludf.DUMMYFUNCTION("""COMPUTED_VALUE"""),172)</f>
        <v>172</v>
      </c>
      <c r="U263" s="1">
        <f ca="1">IFERROR(__xludf.DUMMYFUNCTION("""COMPUTED_VALUE"""),522)</f>
        <v>522</v>
      </c>
      <c r="V263" s="1">
        <f ca="1">IFERROR(__xludf.DUMMYFUNCTION("""COMPUTED_VALUE"""),0.33)</f>
        <v>0.33</v>
      </c>
      <c r="W263" s="1">
        <f ca="1">IFERROR(__xludf.DUMMYFUNCTION("""COMPUTED_VALUE"""),313)</f>
        <v>313</v>
      </c>
      <c r="X263" s="1">
        <f ca="1">IFERROR(__xludf.DUMMYFUNCTION("""COMPUTED_VALUE"""),450)</f>
        <v>450</v>
      </c>
      <c r="Y263" s="1">
        <f ca="1">IFERROR(__xludf.DUMMYFUNCTION("""COMPUTED_VALUE"""),0.696)</f>
        <v>0.69599999999999995</v>
      </c>
      <c r="Z263" s="1">
        <f ca="1">IFERROR(__xludf.DUMMYFUNCTION("""COMPUTED_VALUE"""),239)</f>
        <v>239</v>
      </c>
      <c r="AA263" s="1">
        <f ca="1">IFERROR(__xludf.DUMMYFUNCTION("""COMPUTED_VALUE"""),926)</f>
        <v>926</v>
      </c>
      <c r="AB263" s="1">
        <f ca="1">IFERROR(__xludf.DUMMYFUNCTION("""COMPUTED_VALUE"""),345)</f>
        <v>345</v>
      </c>
      <c r="AC263" s="1">
        <f ca="1">IFERROR(__xludf.DUMMYFUNCTION("""COMPUTED_VALUE"""),178)</f>
        <v>178</v>
      </c>
      <c r="AD263" s="1">
        <f ca="1">IFERROR(__xludf.DUMMYFUNCTION("""COMPUTED_VALUE"""),70)</f>
        <v>70</v>
      </c>
      <c r="AE263" s="1">
        <f ca="1">IFERROR(__xludf.DUMMYFUNCTION("""COMPUTED_VALUE"""),482)</f>
        <v>482</v>
      </c>
      <c r="AF263" s="1">
        <f ca="1">IFERROR(__xludf.DUMMYFUNCTION("""COMPUTED_VALUE"""),504)</f>
        <v>504</v>
      </c>
    </row>
    <row r="264" spans="1:32" ht="12.5" x14ac:dyDescent="0.25">
      <c r="A264" s="1" t="str">
        <f ca="1">IFERROR(__xludf.DUMMYFUNCTION("""COMPUTED_VALUE"""),"Overall")</f>
        <v>Overall</v>
      </c>
      <c r="B264" s="1" t="str">
        <f ca="1">IFERROR(__xludf.DUMMYFUNCTION("""COMPUTED_VALUE"""),"Conf.")</f>
        <v>Conf.</v>
      </c>
      <c r="C264" s="1" t="str">
        <f ca="1">IFERROR(__xludf.DUMMYFUNCTION("""COMPUTED_VALUE"""),"Home")</f>
        <v>Home</v>
      </c>
      <c r="D264" s="1" t="str">
        <f ca="1">IFERROR(__xludf.DUMMYFUNCTION("""COMPUTED_VALUE"""),"Away")</f>
        <v>Away</v>
      </c>
      <c r="E264" s="1" t="str">
        <f ca="1">IFERROR(__xludf.DUMMYFUNCTION("""COMPUTED_VALUE"""),"Points")</f>
        <v>Points</v>
      </c>
      <c r="F264" s="1" t="str">
        <f ca="1">IFERROR(__xludf.DUMMYFUNCTION("""COMPUTED_VALUE"""),"")</f>
        <v/>
      </c>
      <c r="G264" s="1" t="str">
        <f ca="1">IFERROR(__xludf.DUMMYFUNCTION("""COMPUTED_VALUE"""),"School Totals")</f>
        <v>School Totals</v>
      </c>
      <c r="H264" s="1" t="str">
        <f ca="1">IFERROR(__xludf.DUMMYFUNCTION("""COMPUTED_VALUE"""),"")</f>
        <v/>
      </c>
      <c r="I264" s="1" t="str">
        <f ca="1">IFERROR(__xludf.DUMMYFUNCTION("""COMPUTED_VALUE"""),"")</f>
        <v/>
      </c>
      <c r="J264" s="1" t="str">
        <f ca="1">IFERROR(__xludf.DUMMYFUNCTION("""COMPUTED_VALUE"""),"")</f>
        <v/>
      </c>
      <c r="K264" s="1" t="str">
        <f ca="1">IFERROR(__xludf.DUMMYFUNCTION("""COMPUTED_VALUE"""),"")</f>
        <v/>
      </c>
      <c r="L264" s="1" t="str">
        <f ca="1">IFERROR(__xludf.DUMMYFUNCTION("""COMPUTED_VALUE"""),"")</f>
        <v/>
      </c>
      <c r="M264" s="1" t="str">
        <f ca="1">IFERROR(__xludf.DUMMYFUNCTION("""COMPUTED_VALUE"""),"")</f>
        <v/>
      </c>
      <c r="N264" s="1" t="str">
        <f ca="1">IFERROR(__xludf.DUMMYFUNCTION("""COMPUTED_VALUE"""),"")</f>
        <v/>
      </c>
      <c r="O264" s="1" t="str">
        <f ca="1">IFERROR(__xludf.DUMMYFUNCTION("""COMPUTED_VALUE"""),"")</f>
        <v/>
      </c>
      <c r="P264" s="1" t="str">
        <f ca="1">IFERROR(__xludf.DUMMYFUNCTION("""COMPUTED_VALUE"""),"")</f>
        <v/>
      </c>
      <c r="Q264" s="1" t="str">
        <f ca="1">IFERROR(__xludf.DUMMYFUNCTION("""COMPUTED_VALUE"""),"")</f>
        <v/>
      </c>
      <c r="R264" s="1" t="str">
        <f ca="1">IFERROR(__xludf.DUMMYFUNCTION("""COMPUTED_VALUE"""),"")</f>
        <v/>
      </c>
      <c r="S264" s="1" t="str">
        <f ca="1">IFERROR(__xludf.DUMMYFUNCTION("""COMPUTED_VALUE"""),"")</f>
        <v/>
      </c>
      <c r="T264" s="1" t="str">
        <f ca="1">IFERROR(__xludf.DUMMYFUNCTION("""COMPUTED_VALUE"""),"")</f>
        <v/>
      </c>
      <c r="U264" s="1" t="str">
        <f ca="1">IFERROR(__xludf.DUMMYFUNCTION("""COMPUTED_VALUE"""),"")</f>
        <v/>
      </c>
      <c r="V264" s="1" t="str">
        <f ca="1">IFERROR(__xludf.DUMMYFUNCTION("""COMPUTED_VALUE"""),"")</f>
        <v/>
      </c>
      <c r="W264" s="1" t="str">
        <f ca="1">IFERROR(__xludf.DUMMYFUNCTION("""COMPUTED_VALUE"""),"")</f>
        <v/>
      </c>
      <c r="X264" s="1" t="str">
        <f ca="1">IFERROR(__xludf.DUMMYFUNCTION("""COMPUTED_VALUE"""),"")</f>
        <v/>
      </c>
      <c r="Y264" s="1" t="str">
        <f ca="1">IFERROR(__xludf.DUMMYFUNCTION("""COMPUTED_VALUE"""),"")</f>
        <v/>
      </c>
      <c r="Z264" s="1" t="str">
        <f ca="1">IFERROR(__xludf.DUMMYFUNCTION("""COMPUTED_VALUE"""),"")</f>
        <v/>
      </c>
      <c r="AA264" s="1" t="str">
        <f ca="1">IFERROR(__xludf.DUMMYFUNCTION("""COMPUTED_VALUE"""),"")</f>
        <v/>
      </c>
      <c r="AB264" s="1" t="str">
        <f ca="1">IFERROR(__xludf.DUMMYFUNCTION("""COMPUTED_VALUE"""),"")</f>
        <v/>
      </c>
      <c r="AC264" s="1" t="str">
        <f ca="1">IFERROR(__xludf.DUMMYFUNCTION("""COMPUTED_VALUE"""),"")</f>
        <v/>
      </c>
      <c r="AD264" s="1" t="str">
        <f ca="1">IFERROR(__xludf.DUMMYFUNCTION("""COMPUTED_VALUE"""),"")</f>
        <v/>
      </c>
      <c r="AE264" s="1" t="str">
        <f ca="1">IFERROR(__xludf.DUMMYFUNCTION("""COMPUTED_VALUE"""),"")</f>
        <v/>
      </c>
      <c r="AF264" s="1" t="str">
        <f ca="1">IFERROR(__xludf.DUMMYFUNCTION("""COMPUTED_VALUE"""),"")</f>
        <v/>
      </c>
    </row>
    <row r="265" spans="1:32" ht="12.5" x14ac:dyDescent="0.25">
      <c r="A265" s="1" t="str">
        <f ca="1">IFERROR(__xludf.DUMMYFUNCTION("""COMPUTED_VALUE"""),"School")</f>
        <v>School</v>
      </c>
      <c r="B265" s="1" t="str">
        <f ca="1">IFERROR(__xludf.DUMMYFUNCTION("""COMPUTED_VALUE"""),"G")</f>
        <v>G</v>
      </c>
      <c r="C265" s="1" t="str">
        <f ca="1">IFERROR(__xludf.DUMMYFUNCTION("""COMPUTED_VALUE"""),"W")</f>
        <v>W</v>
      </c>
      <c r="D265" s="1" t="str">
        <f ca="1">IFERROR(__xludf.DUMMYFUNCTION("""COMPUTED_VALUE"""),"L")</f>
        <v>L</v>
      </c>
      <c r="E265" s="1" t="str">
        <f ca="1">IFERROR(__xludf.DUMMYFUNCTION("""COMPUTED_VALUE"""),"W-L%")</f>
        <v>W-L%</v>
      </c>
      <c r="F265" s="1" t="str">
        <f ca="1">IFERROR(__xludf.DUMMYFUNCTION("""COMPUTED_VALUE"""),"SRS")</f>
        <v>SRS</v>
      </c>
      <c r="G265" s="1" t="str">
        <f ca="1">IFERROR(__xludf.DUMMYFUNCTION("""COMPUTED_VALUE"""),"SOS")</f>
        <v>SOS</v>
      </c>
      <c r="H265" s="1" t="str">
        <f ca="1">IFERROR(__xludf.DUMMYFUNCTION("""COMPUTED_VALUE"""),"W")</f>
        <v>W</v>
      </c>
      <c r="I265" s="1" t="str">
        <f ca="1">IFERROR(__xludf.DUMMYFUNCTION("""COMPUTED_VALUE"""),"L")</f>
        <v>L</v>
      </c>
      <c r="J265" s="1" t="str">
        <f ca="1">IFERROR(__xludf.DUMMYFUNCTION("""COMPUTED_VALUE"""),"W")</f>
        <v>W</v>
      </c>
      <c r="K265" s="1" t="str">
        <f ca="1">IFERROR(__xludf.DUMMYFUNCTION("""COMPUTED_VALUE"""),"L")</f>
        <v>L</v>
      </c>
      <c r="L265" s="1" t="str">
        <f ca="1">IFERROR(__xludf.DUMMYFUNCTION("""COMPUTED_VALUE"""),"W")</f>
        <v>W</v>
      </c>
      <c r="M265" s="1" t="str">
        <f ca="1">IFERROR(__xludf.DUMMYFUNCTION("""COMPUTED_VALUE"""),"L")</f>
        <v>L</v>
      </c>
      <c r="N265" s="1" t="str">
        <f ca="1">IFERROR(__xludf.DUMMYFUNCTION("""COMPUTED_VALUE"""),"Tm.")</f>
        <v>Tm.</v>
      </c>
      <c r="O265" s="1" t="str">
        <f ca="1">IFERROR(__xludf.DUMMYFUNCTION("""COMPUTED_VALUE"""),"Opp.")</f>
        <v>Opp.</v>
      </c>
      <c r="P265" s="1" t="str">
        <f ca="1">IFERROR(__xludf.DUMMYFUNCTION("""COMPUTED_VALUE"""),"MP")</f>
        <v>MP</v>
      </c>
      <c r="Q265" s="1" t="str">
        <f ca="1">IFERROR(__xludf.DUMMYFUNCTION("""COMPUTED_VALUE"""),"FG")</f>
        <v>FG</v>
      </c>
      <c r="R265" s="1" t="str">
        <f ca="1">IFERROR(__xludf.DUMMYFUNCTION("""COMPUTED_VALUE"""),"FGA")</f>
        <v>FGA</v>
      </c>
      <c r="S265" s="1" t="str">
        <f ca="1">IFERROR(__xludf.DUMMYFUNCTION("""COMPUTED_VALUE"""),"FG%")</f>
        <v>FG%</v>
      </c>
      <c r="T265" s="1" t="str">
        <f ca="1">IFERROR(__xludf.DUMMYFUNCTION("""COMPUTED_VALUE"""),"3P")</f>
        <v>3P</v>
      </c>
      <c r="U265" s="1" t="str">
        <f ca="1">IFERROR(__xludf.DUMMYFUNCTION("""COMPUTED_VALUE"""),"3PA")</f>
        <v>3PA</v>
      </c>
      <c r="V265" s="1" t="str">
        <f ca="1">IFERROR(__xludf.DUMMYFUNCTION("""COMPUTED_VALUE"""),"3P%")</f>
        <v>3P%</v>
      </c>
      <c r="W265" s="1" t="str">
        <f ca="1">IFERROR(__xludf.DUMMYFUNCTION("""COMPUTED_VALUE"""),"FT")</f>
        <v>FT</v>
      </c>
      <c r="X265" s="1" t="str">
        <f ca="1">IFERROR(__xludf.DUMMYFUNCTION("""COMPUTED_VALUE"""),"FTA")</f>
        <v>FTA</v>
      </c>
      <c r="Y265" s="1" t="str">
        <f ca="1">IFERROR(__xludf.DUMMYFUNCTION("""COMPUTED_VALUE"""),"FT%")</f>
        <v>FT%</v>
      </c>
      <c r="Z265" s="1" t="str">
        <f ca="1">IFERROR(__xludf.DUMMYFUNCTION("""COMPUTED_VALUE"""),"ORB")</f>
        <v>ORB</v>
      </c>
      <c r="AA265" s="1" t="str">
        <f ca="1">IFERROR(__xludf.DUMMYFUNCTION("""COMPUTED_VALUE"""),"TRB")</f>
        <v>TRB</v>
      </c>
      <c r="AB265" s="1" t="str">
        <f ca="1">IFERROR(__xludf.DUMMYFUNCTION("""COMPUTED_VALUE"""),"AST")</f>
        <v>AST</v>
      </c>
      <c r="AC265" s="1" t="str">
        <f ca="1">IFERROR(__xludf.DUMMYFUNCTION("""COMPUTED_VALUE"""),"STL")</f>
        <v>STL</v>
      </c>
      <c r="AD265" s="1" t="str">
        <f ca="1">IFERROR(__xludf.DUMMYFUNCTION("""COMPUTED_VALUE"""),"BLK")</f>
        <v>BLK</v>
      </c>
      <c r="AE265" s="1" t="str">
        <f ca="1">IFERROR(__xludf.DUMMYFUNCTION("""COMPUTED_VALUE"""),"TOV")</f>
        <v>TOV</v>
      </c>
      <c r="AF265" s="1" t="str">
        <f ca="1">IFERROR(__xludf.DUMMYFUNCTION("""COMPUTED_VALUE"""),"PF")</f>
        <v>PF</v>
      </c>
    </row>
    <row r="266" spans="1:32" ht="12.5" x14ac:dyDescent="0.25">
      <c r="A266" s="1" t="str">
        <f ca="1">IFERROR(__xludf.DUMMYFUNCTION("""COMPUTED_VALUE"""),"Princeton")</f>
        <v>Princeton</v>
      </c>
      <c r="B266" s="1">
        <f ca="1">IFERROR(__xludf.DUMMYFUNCTION("""COMPUTED_VALUE"""),31)</f>
        <v>31</v>
      </c>
      <c r="C266" s="1">
        <f ca="1">IFERROR(__xludf.DUMMYFUNCTION("""COMPUTED_VALUE"""),22)</f>
        <v>22</v>
      </c>
      <c r="D266" s="1">
        <f ca="1">IFERROR(__xludf.DUMMYFUNCTION("""COMPUTED_VALUE"""),9)</f>
        <v>9</v>
      </c>
      <c r="E266" s="1">
        <f ca="1">IFERROR(__xludf.DUMMYFUNCTION("""COMPUTED_VALUE"""),0.71)</f>
        <v>0.71</v>
      </c>
      <c r="F266" s="1">
        <f ca="1">IFERROR(__xludf.DUMMYFUNCTION("""COMPUTED_VALUE"""),-0.02)</f>
        <v>-0.02</v>
      </c>
      <c r="G266" s="1">
        <f ca="1">IFERROR(__xludf.DUMMYFUNCTION("""COMPUTED_VALUE"""),-5.56)</f>
        <v>-5.56</v>
      </c>
      <c r="H266" s="1">
        <f ca="1">IFERROR(__xludf.DUMMYFUNCTION("""COMPUTED_VALUE"""),11)</f>
        <v>11</v>
      </c>
      <c r="I266" s="1">
        <f ca="1">IFERROR(__xludf.DUMMYFUNCTION("""COMPUTED_VALUE"""),3)</f>
        <v>3</v>
      </c>
      <c r="J266" s="1">
        <f ca="1">IFERROR(__xludf.DUMMYFUNCTION("""COMPUTED_VALUE"""),11)</f>
        <v>11</v>
      </c>
      <c r="K266" s="1">
        <f ca="1">IFERROR(__xludf.DUMMYFUNCTION("""COMPUTED_VALUE"""),3)</f>
        <v>3</v>
      </c>
      <c r="L266" s="1">
        <f ca="1">IFERROR(__xludf.DUMMYFUNCTION("""COMPUTED_VALUE"""),11)</f>
        <v>11</v>
      </c>
      <c r="M266" s="1">
        <f ca="1">IFERROR(__xludf.DUMMYFUNCTION("""COMPUTED_VALUE"""),6)</f>
        <v>6</v>
      </c>
      <c r="N266" s="1">
        <f ca="1">IFERROR(__xludf.DUMMYFUNCTION("""COMPUTED_VALUE"""),1871)</f>
        <v>1871</v>
      </c>
      <c r="O266" s="1">
        <f ca="1">IFERROR(__xludf.DUMMYFUNCTION("""COMPUTED_VALUE"""),1652)</f>
        <v>1652</v>
      </c>
      <c r="P266" s="1">
        <f ca="1">IFERROR(__xludf.DUMMYFUNCTION("""COMPUTED_VALUE"""),1250)</f>
        <v>1250</v>
      </c>
      <c r="Q266" s="1">
        <f ca="1">IFERROR(__xludf.DUMMYFUNCTION("""COMPUTED_VALUE"""),660)</f>
        <v>660</v>
      </c>
      <c r="R266" s="1">
        <f ca="1">IFERROR(__xludf.DUMMYFUNCTION("""COMPUTED_VALUE"""),1497)</f>
        <v>1497</v>
      </c>
      <c r="S266" s="1">
        <f ca="1">IFERROR(__xludf.DUMMYFUNCTION("""COMPUTED_VALUE"""),0.441)</f>
        <v>0.441</v>
      </c>
      <c r="T266" s="1">
        <f ca="1">IFERROR(__xludf.DUMMYFUNCTION("""COMPUTED_VALUE"""),204)</f>
        <v>204</v>
      </c>
      <c r="U266" s="1">
        <f ca="1">IFERROR(__xludf.DUMMYFUNCTION("""COMPUTED_VALUE"""),568)</f>
        <v>568</v>
      </c>
      <c r="V266" s="1">
        <f ca="1">IFERROR(__xludf.DUMMYFUNCTION("""COMPUTED_VALUE"""),0.359)</f>
        <v>0.35899999999999999</v>
      </c>
      <c r="W266" s="1">
        <f ca="1">IFERROR(__xludf.DUMMYFUNCTION("""COMPUTED_VALUE"""),347)</f>
        <v>347</v>
      </c>
      <c r="X266" s="1">
        <f ca="1">IFERROR(__xludf.DUMMYFUNCTION("""COMPUTED_VALUE"""),483)</f>
        <v>483</v>
      </c>
      <c r="Y266" s="1">
        <f ca="1">IFERROR(__xludf.DUMMYFUNCTION("""COMPUTED_VALUE"""),0.718)</f>
        <v>0.71799999999999997</v>
      </c>
      <c r="Z266" s="1">
        <f ca="1">IFERROR(__xludf.DUMMYFUNCTION("""COMPUTED_VALUE"""),275)</f>
        <v>275</v>
      </c>
      <c r="AA266" s="1">
        <f ca="1">IFERROR(__xludf.DUMMYFUNCTION("""COMPUTED_VALUE"""),951)</f>
        <v>951</v>
      </c>
      <c r="AB266" s="1">
        <f ca="1">IFERROR(__xludf.DUMMYFUNCTION("""COMPUTED_VALUE"""),363)</f>
        <v>363</v>
      </c>
      <c r="AC266" s="1">
        <f ca="1">IFERROR(__xludf.DUMMYFUNCTION("""COMPUTED_VALUE"""),238)</f>
        <v>238</v>
      </c>
      <c r="AD266" s="1">
        <f ca="1">IFERROR(__xludf.DUMMYFUNCTION("""COMPUTED_VALUE"""),101)</f>
        <v>101</v>
      </c>
      <c r="AE266" s="1">
        <f ca="1">IFERROR(__xludf.DUMMYFUNCTION("""COMPUTED_VALUE"""),407)</f>
        <v>407</v>
      </c>
      <c r="AF266" s="1">
        <f ca="1">IFERROR(__xludf.DUMMYFUNCTION("""COMPUTED_VALUE"""),523)</f>
        <v>523</v>
      </c>
    </row>
    <row r="267" spans="1:32" ht="12.5" x14ac:dyDescent="0.25">
      <c r="A267" s="1" t="str">
        <f ca="1">IFERROR(__xludf.DUMMYFUNCTION("""COMPUTED_VALUE"""),"Providence")</f>
        <v>Providence</v>
      </c>
      <c r="B267" s="1">
        <f ca="1">IFERROR(__xludf.DUMMYFUNCTION("""COMPUTED_VALUE"""),31)</f>
        <v>31</v>
      </c>
      <c r="C267" s="1">
        <f ca="1">IFERROR(__xludf.DUMMYFUNCTION("""COMPUTED_VALUE"""),12)</f>
        <v>12</v>
      </c>
      <c r="D267" s="1">
        <f ca="1">IFERROR(__xludf.DUMMYFUNCTION("""COMPUTED_VALUE"""),19)</f>
        <v>19</v>
      </c>
      <c r="E267" s="1">
        <f ca="1">IFERROR(__xludf.DUMMYFUNCTION("""COMPUTED_VALUE"""),0.387)</f>
        <v>0.38700000000000001</v>
      </c>
      <c r="F267" s="1">
        <f ca="1">IFERROR(__xludf.DUMMYFUNCTION("""COMPUTED_VALUE"""),7.04)</f>
        <v>7.04</v>
      </c>
      <c r="G267" s="1">
        <f ca="1">IFERROR(__xludf.DUMMYFUNCTION("""COMPUTED_VALUE"""),8.24)</f>
        <v>8.24</v>
      </c>
      <c r="H267" s="1">
        <f ca="1">IFERROR(__xludf.DUMMYFUNCTION("""COMPUTED_VALUE"""),4)</f>
        <v>4</v>
      </c>
      <c r="I267" s="1">
        <f ca="1">IFERROR(__xludf.DUMMYFUNCTION("""COMPUTED_VALUE"""),14)</f>
        <v>14</v>
      </c>
      <c r="J267" s="1">
        <f ca="1">IFERROR(__xludf.DUMMYFUNCTION("""COMPUTED_VALUE"""),8)</f>
        <v>8</v>
      </c>
      <c r="K267" s="1">
        <f ca="1">IFERROR(__xludf.DUMMYFUNCTION("""COMPUTED_VALUE"""),9)</f>
        <v>9</v>
      </c>
      <c r="L267" s="1">
        <f ca="1">IFERROR(__xludf.DUMMYFUNCTION("""COMPUTED_VALUE"""),4)</f>
        <v>4</v>
      </c>
      <c r="M267" s="1">
        <f ca="1">IFERROR(__xludf.DUMMYFUNCTION("""COMPUTED_VALUE"""),9)</f>
        <v>9</v>
      </c>
      <c r="N267" s="1">
        <f ca="1">IFERROR(__xludf.DUMMYFUNCTION("""COMPUTED_VALUE"""),2554)</f>
        <v>2554</v>
      </c>
      <c r="O267" s="1">
        <f ca="1">IFERROR(__xludf.DUMMYFUNCTION("""COMPUTED_VALUE"""),2547)</f>
        <v>2547</v>
      </c>
      <c r="P267" s="1">
        <f ca="1">IFERROR(__xludf.DUMMYFUNCTION("""COMPUTED_VALUE"""),1245)</f>
        <v>1245</v>
      </c>
      <c r="Q267" s="1">
        <f ca="1">IFERROR(__xludf.DUMMYFUNCTION("""COMPUTED_VALUE"""),913)</f>
        <v>913</v>
      </c>
      <c r="R267" s="1">
        <f ca="1">IFERROR(__xludf.DUMMYFUNCTION("""COMPUTED_VALUE"""),2104)</f>
        <v>2104</v>
      </c>
      <c r="S267" s="1">
        <f ca="1">IFERROR(__xludf.DUMMYFUNCTION("""COMPUTED_VALUE"""),0.434)</f>
        <v>0.434</v>
      </c>
      <c r="T267" s="1">
        <f ca="1">IFERROR(__xludf.DUMMYFUNCTION("""COMPUTED_VALUE"""),249)</f>
        <v>249</v>
      </c>
      <c r="U267" s="1">
        <f ca="1">IFERROR(__xludf.DUMMYFUNCTION("""COMPUTED_VALUE"""),754)</f>
        <v>754</v>
      </c>
      <c r="V267" s="1">
        <f ca="1">IFERROR(__xludf.DUMMYFUNCTION("""COMPUTED_VALUE"""),0.33)</f>
        <v>0.33</v>
      </c>
      <c r="W267" s="1">
        <f ca="1">IFERROR(__xludf.DUMMYFUNCTION("""COMPUTED_VALUE"""),479)</f>
        <v>479</v>
      </c>
      <c r="X267" s="1">
        <f ca="1">IFERROR(__xludf.DUMMYFUNCTION("""COMPUTED_VALUE"""),714)</f>
        <v>714</v>
      </c>
      <c r="Y267" s="1">
        <f ca="1">IFERROR(__xludf.DUMMYFUNCTION("""COMPUTED_VALUE"""),0.671)</f>
        <v>0.67100000000000004</v>
      </c>
      <c r="Z267" s="1">
        <f ca="1">IFERROR(__xludf.DUMMYFUNCTION("""COMPUTED_VALUE"""),535)</f>
        <v>535</v>
      </c>
      <c r="AA267" s="1">
        <f ca="1">IFERROR(__xludf.DUMMYFUNCTION("""COMPUTED_VALUE"""),1253)</f>
        <v>1253</v>
      </c>
      <c r="AB267" s="1">
        <f ca="1">IFERROR(__xludf.DUMMYFUNCTION("""COMPUTED_VALUE"""),443)</f>
        <v>443</v>
      </c>
      <c r="AC267" s="1">
        <f ca="1">IFERROR(__xludf.DUMMYFUNCTION("""COMPUTED_VALUE"""),248)</f>
        <v>248</v>
      </c>
      <c r="AD267" s="1">
        <f ca="1">IFERROR(__xludf.DUMMYFUNCTION("""COMPUTED_VALUE"""),136)</f>
        <v>136</v>
      </c>
      <c r="AE267" s="1">
        <f ca="1">IFERROR(__xludf.DUMMYFUNCTION("""COMPUTED_VALUE"""),394)</f>
        <v>394</v>
      </c>
      <c r="AF267" s="1">
        <f ca="1">IFERROR(__xludf.DUMMYFUNCTION("""COMPUTED_VALUE"""),615)</f>
        <v>615</v>
      </c>
    </row>
    <row r="268" spans="1:32" ht="12.5" x14ac:dyDescent="0.25">
      <c r="A268" s="1" t="str">
        <f ca="1">IFERROR(__xludf.DUMMYFUNCTION("""COMPUTED_VALUE"""),"PurdueNCAA")</f>
        <v>PurdueNCAA</v>
      </c>
      <c r="B268" s="1">
        <f ca="1">IFERROR(__xludf.DUMMYFUNCTION("""COMPUTED_VALUE"""),35)</f>
        <v>35</v>
      </c>
      <c r="C268" s="1">
        <f ca="1">IFERROR(__xludf.DUMMYFUNCTION("""COMPUTED_VALUE"""),29)</f>
        <v>29</v>
      </c>
      <c r="D268" s="1">
        <f ca="1">IFERROR(__xludf.DUMMYFUNCTION("""COMPUTED_VALUE"""),6)</f>
        <v>6</v>
      </c>
      <c r="E268" s="1">
        <f ca="1">IFERROR(__xludf.DUMMYFUNCTION("""COMPUTED_VALUE"""),0.829)</f>
        <v>0.82899999999999996</v>
      </c>
      <c r="F268" s="1">
        <f ca="1">IFERROR(__xludf.DUMMYFUNCTION("""COMPUTED_VALUE"""),17.52)</f>
        <v>17.52</v>
      </c>
      <c r="G268" s="1">
        <f ca="1">IFERROR(__xludf.DUMMYFUNCTION("""COMPUTED_VALUE"""),8.81)</f>
        <v>8.81</v>
      </c>
      <c r="H268" s="1">
        <f ca="1">IFERROR(__xludf.DUMMYFUNCTION("""COMPUTED_VALUE"""),14)</f>
        <v>14</v>
      </c>
      <c r="I268" s="1">
        <f ca="1">IFERROR(__xludf.DUMMYFUNCTION("""COMPUTED_VALUE"""),4)</f>
        <v>4</v>
      </c>
      <c r="J268" s="1">
        <f ca="1">IFERROR(__xludf.DUMMYFUNCTION("""COMPUTED_VALUE"""),15)</f>
        <v>15</v>
      </c>
      <c r="K268" s="1">
        <f ca="1">IFERROR(__xludf.DUMMYFUNCTION("""COMPUTED_VALUE"""),3)</f>
        <v>3</v>
      </c>
      <c r="L268" s="1">
        <f ca="1">IFERROR(__xludf.DUMMYFUNCTION("""COMPUTED_VALUE"""),8)</f>
        <v>8</v>
      </c>
      <c r="M268" s="1">
        <f ca="1">IFERROR(__xludf.DUMMYFUNCTION("""COMPUTED_VALUE"""),2)</f>
        <v>2</v>
      </c>
      <c r="N268" s="1">
        <f ca="1">IFERROR(__xludf.DUMMYFUNCTION("""COMPUTED_VALUE"""),2467)</f>
        <v>2467</v>
      </c>
      <c r="O268" s="1">
        <f ca="1">IFERROR(__xludf.DUMMYFUNCTION("""COMPUTED_VALUE"""),2144)</f>
        <v>2144</v>
      </c>
      <c r="P268" s="1">
        <f ca="1">IFERROR(__xludf.DUMMYFUNCTION("""COMPUTED_VALUE"""),1405)</f>
        <v>1405</v>
      </c>
      <c r="Q268" s="1">
        <f ca="1">IFERROR(__xludf.DUMMYFUNCTION("""COMPUTED_VALUE"""),867)</f>
        <v>867</v>
      </c>
      <c r="R268" s="1">
        <f ca="1">IFERROR(__xludf.DUMMYFUNCTION("""COMPUTED_VALUE"""),1957)</f>
        <v>1957</v>
      </c>
      <c r="S268" s="1">
        <f ca="1">IFERROR(__xludf.DUMMYFUNCTION("""COMPUTED_VALUE"""),0.443)</f>
        <v>0.443</v>
      </c>
      <c r="T268" s="1">
        <f ca="1">IFERROR(__xludf.DUMMYFUNCTION("""COMPUTED_VALUE"""),187)</f>
        <v>187</v>
      </c>
      <c r="U268" s="1">
        <f ca="1">IFERROR(__xludf.DUMMYFUNCTION("""COMPUTED_VALUE"""),588)</f>
        <v>588</v>
      </c>
      <c r="V268" s="1">
        <f ca="1">IFERROR(__xludf.DUMMYFUNCTION("""COMPUTED_VALUE"""),0.318)</f>
        <v>0.318</v>
      </c>
      <c r="W268" s="1">
        <f ca="1">IFERROR(__xludf.DUMMYFUNCTION("""COMPUTED_VALUE"""),546)</f>
        <v>546</v>
      </c>
      <c r="X268" s="1">
        <f ca="1">IFERROR(__xludf.DUMMYFUNCTION("""COMPUTED_VALUE"""),755)</f>
        <v>755</v>
      </c>
      <c r="Y268" s="1">
        <f ca="1">IFERROR(__xludf.DUMMYFUNCTION("""COMPUTED_VALUE"""),0.723)</f>
        <v>0.72299999999999998</v>
      </c>
      <c r="Z268" s="1">
        <f ca="1">IFERROR(__xludf.DUMMYFUNCTION("""COMPUTED_VALUE"""),351)</f>
        <v>351</v>
      </c>
      <c r="AA268" s="1">
        <f ca="1">IFERROR(__xludf.DUMMYFUNCTION("""COMPUTED_VALUE"""),1170)</f>
        <v>1170</v>
      </c>
      <c r="AB268" s="1">
        <f ca="1">IFERROR(__xludf.DUMMYFUNCTION("""COMPUTED_VALUE"""),493)</f>
        <v>493</v>
      </c>
      <c r="AC268" s="1">
        <f ca="1">IFERROR(__xludf.DUMMYFUNCTION("""COMPUTED_VALUE"""),248)</f>
        <v>248</v>
      </c>
      <c r="AD268" s="1">
        <f ca="1">IFERROR(__xludf.DUMMYFUNCTION("""COMPUTED_VALUE"""),162)</f>
        <v>162</v>
      </c>
      <c r="AE268" s="1">
        <f ca="1">IFERROR(__xludf.DUMMYFUNCTION("""COMPUTED_VALUE"""),381)</f>
        <v>381</v>
      </c>
      <c r="AF268" s="1">
        <f ca="1">IFERROR(__xludf.DUMMYFUNCTION("""COMPUTED_VALUE"""),651)</f>
        <v>651</v>
      </c>
    </row>
    <row r="269" spans="1:32" ht="12.5" x14ac:dyDescent="0.25">
      <c r="A269" s="1" t="str">
        <f ca="1">IFERROR(__xludf.DUMMYFUNCTION("""COMPUTED_VALUE"""),"Quinnipiac")</f>
        <v>Quinnipiac</v>
      </c>
      <c r="B269" s="1">
        <f ca="1">IFERROR(__xludf.DUMMYFUNCTION("""COMPUTED_VALUE"""),33)</f>
        <v>33</v>
      </c>
      <c r="C269" s="1">
        <f ca="1">IFERROR(__xludf.DUMMYFUNCTION("""COMPUTED_VALUE"""),23)</f>
        <v>23</v>
      </c>
      <c r="D269" s="1">
        <f ca="1">IFERROR(__xludf.DUMMYFUNCTION("""COMPUTED_VALUE"""),10)</f>
        <v>10</v>
      </c>
      <c r="E269" s="1">
        <f ca="1">IFERROR(__xludf.DUMMYFUNCTION("""COMPUTED_VALUE"""),0.697)</f>
        <v>0.69699999999999995</v>
      </c>
      <c r="F269" s="1">
        <f ca="1">IFERROR(__xludf.DUMMYFUNCTION("""COMPUTED_VALUE"""),-3.5)</f>
        <v>-3.5</v>
      </c>
      <c r="G269" s="1">
        <f ca="1">IFERROR(__xludf.DUMMYFUNCTION("""COMPUTED_VALUE"""),-9.37)</f>
        <v>-9.3699999999999992</v>
      </c>
      <c r="H269" s="1">
        <f ca="1">IFERROR(__xludf.DUMMYFUNCTION("""COMPUTED_VALUE"""),15)</f>
        <v>15</v>
      </c>
      <c r="I269" s="1">
        <f ca="1">IFERROR(__xludf.DUMMYFUNCTION("""COMPUTED_VALUE"""),3)</f>
        <v>3</v>
      </c>
      <c r="J269" s="1">
        <f ca="1">IFERROR(__xludf.DUMMYFUNCTION("""COMPUTED_VALUE"""),14)</f>
        <v>14</v>
      </c>
      <c r="K269" s="1">
        <f ca="1">IFERROR(__xludf.DUMMYFUNCTION("""COMPUTED_VALUE"""),1)</f>
        <v>1</v>
      </c>
      <c r="L269" s="1">
        <f ca="1">IFERROR(__xludf.DUMMYFUNCTION("""COMPUTED_VALUE"""),8)</f>
        <v>8</v>
      </c>
      <c r="M269" s="1">
        <f ca="1">IFERROR(__xludf.DUMMYFUNCTION("""COMPUTED_VALUE"""),9)</f>
        <v>9</v>
      </c>
      <c r="N269" s="1">
        <f ca="1">IFERROR(__xludf.DUMMYFUNCTION("""COMPUTED_VALUE"""),2415)</f>
        <v>2415</v>
      </c>
      <c r="O269" s="1">
        <f ca="1">IFERROR(__xludf.DUMMYFUNCTION("""COMPUTED_VALUE"""),2194)</f>
        <v>2194</v>
      </c>
      <c r="P269" s="1">
        <f ca="1">IFERROR(__xludf.DUMMYFUNCTION("""COMPUTED_VALUE"""),1320)</f>
        <v>1320</v>
      </c>
      <c r="Q269" s="1">
        <f ca="1">IFERROR(__xludf.DUMMYFUNCTION("""COMPUTED_VALUE"""),862)</f>
        <v>862</v>
      </c>
      <c r="R269" s="1">
        <f ca="1">IFERROR(__xludf.DUMMYFUNCTION("""COMPUTED_VALUE"""),1926)</f>
        <v>1926</v>
      </c>
      <c r="S269" s="1">
        <f ca="1">IFERROR(__xludf.DUMMYFUNCTION("""COMPUTED_VALUE"""),0.448)</f>
        <v>0.44800000000000001</v>
      </c>
      <c r="T269" s="1">
        <f ca="1">IFERROR(__xludf.DUMMYFUNCTION("""COMPUTED_VALUE"""),133)</f>
        <v>133</v>
      </c>
      <c r="U269" s="1">
        <f ca="1">IFERROR(__xludf.DUMMYFUNCTION("""COMPUTED_VALUE"""),392)</f>
        <v>392</v>
      </c>
      <c r="V269" s="1">
        <f ca="1">IFERROR(__xludf.DUMMYFUNCTION("""COMPUTED_VALUE"""),0.339)</f>
        <v>0.33900000000000002</v>
      </c>
      <c r="W269" s="1">
        <f ca="1">IFERROR(__xludf.DUMMYFUNCTION("""COMPUTED_VALUE"""),558)</f>
        <v>558</v>
      </c>
      <c r="X269" s="1">
        <f ca="1">IFERROR(__xludf.DUMMYFUNCTION("""COMPUTED_VALUE"""),774)</f>
        <v>774</v>
      </c>
      <c r="Y269" s="1">
        <f ca="1">IFERROR(__xludf.DUMMYFUNCTION("""COMPUTED_VALUE"""),0.721)</f>
        <v>0.72099999999999997</v>
      </c>
      <c r="Z269" s="1">
        <f ca="1">IFERROR(__xludf.DUMMYFUNCTION("""COMPUTED_VALUE"""),482)</f>
        <v>482</v>
      </c>
      <c r="AA269" s="1">
        <f ca="1">IFERROR(__xludf.DUMMYFUNCTION("""COMPUTED_VALUE"""),1333)</f>
        <v>1333</v>
      </c>
      <c r="AB269" s="1">
        <f ca="1">IFERROR(__xludf.DUMMYFUNCTION("""COMPUTED_VALUE"""),443)</f>
        <v>443</v>
      </c>
      <c r="AC269" s="1">
        <f ca="1">IFERROR(__xludf.DUMMYFUNCTION("""COMPUTED_VALUE"""),232)</f>
        <v>232</v>
      </c>
      <c r="AD269" s="1">
        <f ca="1">IFERROR(__xludf.DUMMYFUNCTION("""COMPUTED_VALUE"""),71)</f>
        <v>71</v>
      </c>
      <c r="AE269" s="1">
        <f ca="1">IFERROR(__xludf.DUMMYFUNCTION("""COMPUTED_VALUE"""),452)</f>
        <v>452</v>
      </c>
      <c r="AF269" s="1">
        <f ca="1">IFERROR(__xludf.DUMMYFUNCTION("""COMPUTED_VALUE"""),627)</f>
        <v>627</v>
      </c>
    </row>
    <row r="270" spans="1:32" ht="12.5" x14ac:dyDescent="0.25">
      <c r="A270" s="1" t="str">
        <f ca="1">IFERROR(__xludf.DUMMYFUNCTION("""COMPUTED_VALUE"""),"Radford")</f>
        <v>Radford</v>
      </c>
      <c r="B270" s="1">
        <f ca="1">IFERROR(__xludf.DUMMYFUNCTION("""COMPUTED_VALUE"""),31)</f>
        <v>31</v>
      </c>
      <c r="C270" s="1">
        <f ca="1">IFERROR(__xludf.DUMMYFUNCTION("""COMPUTED_VALUE"""),19)</f>
        <v>19</v>
      </c>
      <c r="D270" s="1">
        <f ca="1">IFERROR(__xludf.DUMMYFUNCTION("""COMPUTED_VALUE"""),12)</f>
        <v>12</v>
      </c>
      <c r="E270" s="1">
        <f ca="1">IFERROR(__xludf.DUMMYFUNCTION("""COMPUTED_VALUE"""),0.613)</f>
        <v>0.61299999999999999</v>
      </c>
      <c r="F270" s="1">
        <f ca="1">IFERROR(__xludf.DUMMYFUNCTION("""COMPUTED_VALUE"""),-6.42)</f>
        <v>-6.42</v>
      </c>
      <c r="G270" s="1">
        <f ca="1">IFERROR(__xludf.DUMMYFUNCTION("""COMPUTED_VALUE"""),-6.9)</f>
        <v>-6.9</v>
      </c>
      <c r="H270" s="1">
        <f ca="1">IFERROR(__xludf.DUMMYFUNCTION("""COMPUTED_VALUE"""),13)</f>
        <v>13</v>
      </c>
      <c r="I270" s="1">
        <f ca="1">IFERROR(__xludf.DUMMYFUNCTION("""COMPUTED_VALUE"""),5)</f>
        <v>5</v>
      </c>
      <c r="J270" s="1">
        <f ca="1">IFERROR(__xludf.DUMMYFUNCTION("""COMPUTED_VALUE"""),13)</f>
        <v>13</v>
      </c>
      <c r="K270" s="1">
        <f ca="1">IFERROR(__xludf.DUMMYFUNCTION("""COMPUTED_VALUE"""),3)</f>
        <v>3</v>
      </c>
      <c r="L270" s="1">
        <f ca="1">IFERROR(__xludf.DUMMYFUNCTION("""COMPUTED_VALUE"""),6)</f>
        <v>6</v>
      </c>
      <c r="M270" s="1">
        <f ca="1">IFERROR(__xludf.DUMMYFUNCTION("""COMPUTED_VALUE"""),8)</f>
        <v>8</v>
      </c>
      <c r="N270" s="1">
        <f ca="1">IFERROR(__xludf.DUMMYFUNCTION("""COMPUTED_VALUE"""),2217)</f>
        <v>2217</v>
      </c>
      <c r="O270" s="1">
        <f ca="1">IFERROR(__xludf.DUMMYFUNCTION("""COMPUTED_VALUE"""),2127)</f>
        <v>2127</v>
      </c>
      <c r="P270" s="1">
        <f ca="1">IFERROR(__xludf.DUMMYFUNCTION("""COMPUTED_VALUE"""),1255)</f>
        <v>1255</v>
      </c>
      <c r="Q270" s="1">
        <f ca="1">IFERROR(__xludf.DUMMYFUNCTION("""COMPUTED_VALUE"""),819)</f>
        <v>819</v>
      </c>
      <c r="R270" s="1">
        <f ca="1">IFERROR(__xludf.DUMMYFUNCTION("""COMPUTED_VALUE"""),1847)</f>
        <v>1847</v>
      </c>
      <c r="S270" s="1">
        <f ca="1">IFERROR(__xludf.DUMMYFUNCTION("""COMPUTED_VALUE"""),0.443)</f>
        <v>0.443</v>
      </c>
      <c r="T270" s="1">
        <f ca="1">IFERROR(__xludf.DUMMYFUNCTION("""COMPUTED_VALUE"""),138)</f>
        <v>138</v>
      </c>
      <c r="U270" s="1">
        <f ca="1">IFERROR(__xludf.DUMMYFUNCTION("""COMPUTED_VALUE"""),460)</f>
        <v>460</v>
      </c>
      <c r="V270" s="1">
        <f ca="1">IFERROR(__xludf.DUMMYFUNCTION("""COMPUTED_VALUE"""),0.3)</f>
        <v>0.3</v>
      </c>
      <c r="W270" s="1">
        <f ca="1">IFERROR(__xludf.DUMMYFUNCTION("""COMPUTED_VALUE"""),441)</f>
        <v>441</v>
      </c>
      <c r="X270" s="1">
        <f ca="1">IFERROR(__xludf.DUMMYFUNCTION("""COMPUTED_VALUE"""),744)</f>
        <v>744</v>
      </c>
      <c r="Y270" s="1">
        <f ca="1">IFERROR(__xludf.DUMMYFUNCTION("""COMPUTED_VALUE"""),0.593)</f>
        <v>0.59299999999999997</v>
      </c>
      <c r="Z270" s="1">
        <f ca="1">IFERROR(__xludf.DUMMYFUNCTION("""COMPUTED_VALUE"""),442)</f>
        <v>442</v>
      </c>
      <c r="AA270" s="1">
        <f ca="1">IFERROR(__xludf.DUMMYFUNCTION("""COMPUTED_VALUE"""),1340)</f>
        <v>1340</v>
      </c>
      <c r="AB270" s="1">
        <f ca="1">IFERROR(__xludf.DUMMYFUNCTION("""COMPUTED_VALUE"""),503)</f>
        <v>503</v>
      </c>
      <c r="AC270" s="1">
        <f ca="1">IFERROR(__xludf.DUMMYFUNCTION("""COMPUTED_VALUE"""),182)</f>
        <v>182</v>
      </c>
      <c r="AD270" s="1">
        <f ca="1">IFERROR(__xludf.DUMMYFUNCTION("""COMPUTED_VALUE"""),115)</f>
        <v>115</v>
      </c>
      <c r="AE270" s="1">
        <f ca="1">IFERROR(__xludf.DUMMYFUNCTION("""COMPUTED_VALUE"""),467)</f>
        <v>467</v>
      </c>
      <c r="AF270" s="1">
        <f ca="1">IFERROR(__xludf.DUMMYFUNCTION("""COMPUTED_VALUE"""),495)</f>
        <v>495</v>
      </c>
    </row>
    <row r="271" spans="1:32" ht="12.5" x14ac:dyDescent="0.25">
      <c r="A271" s="1" t="str">
        <f ca="1">IFERROR(__xludf.DUMMYFUNCTION("""COMPUTED_VALUE"""),"Rhode Island")</f>
        <v>Rhode Island</v>
      </c>
      <c r="B271" s="1">
        <f ca="1">IFERROR(__xludf.DUMMYFUNCTION("""COMPUTED_VALUE"""),36)</f>
        <v>36</v>
      </c>
      <c r="C271" s="1">
        <f ca="1">IFERROR(__xludf.DUMMYFUNCTION("""COMPUTED_VALUE"""),26)</f>
        <v>26</v>
      </c>
      <c r="D271" s="1">
        <f ca="1">IFERROR(__xludf.DUMMYFUNCTION("""COMPUTED_VALUE"""),10)</f>
        <v>10</v>
      </c>
      <c r="E271" s="1">
        <f ca="1">IFERROR(__xludf.DUMMYFUNCTION("""COMPUTED_VALUE"""),0.722)</f>
        <v>0.72199999999999998</v>
      </c>
      <c r="F271" s="1">
        <f ca="1">IFERROR(__xludf.DUMMYFUNCTION("""COMPUTED_VALUE"""),9.16)</f>
        <v>9.16</v>
      </c>
      <c r="G271" s="1">
        <f ca="1">IFERROR(__xludf.DUMMYFUNCTION("""COMPUTED_VALUE"""),3.33)</f>
        <v>3.33</v>
      </c>
      <c r="H271" s="1">
        <f ca="1">IFERROR(__xludf.DUMMYFUNCTION("""COMPUTED_VALUE"""),9)</f>
        <v>9</v>
      </c>
      <c r="I271" s="1">
        <f ca="1">IFERROR(__xludf.DUMMYFUNCTION("""COMPUTED_VALUE"""),7)</f>
        <v>7</v>
      </c>
      <c r="J271" s="1">
        <f ca="1">IFERROR(__xludf.DUMMYFUNCTION("""COMPUTED_VALUE"""),15)</f>
        <v>15</v>
      </c>
      <c r="K271" s="1">
        <f ca="1">IFERROR(__xludf.DUMMYFUNCTION("""COMPUTED_VALUE"""),2)</f>
        <v>2</v>
      </c>
      <c r="L271" s="1">
        <f ca="1">IFERROR(__xludf.DUMMYFUNCTION("""COMPUTED_VALUE"""),9)</f>
        <v>9</v>
      </c>
      <c r="M271" s="1">
        <f ca="1">IFERROR(__xludf.DUMMYFUNCTION("""COMPUTED_VALUE"""),6)</f>
        <v>6</v>
      </c>
      <c r="N271" s="1">
        <f ca="1">IFERROR(__xludf.DUMMYFUNCTION("""COMPUTED_VALUE"""),2737)</f>
        <v>2737</v>
      </c>
      <c r="O271" s="1">
        <f ca="1">IFERROR(__xludf.DUMMYFUNCTION("""COMPUTED_VALUE"""),2528)</f>
        <v>2528</v>
      </c>
      <c r="P271" s="1">
        <f ca="1">IFERROR(__xludf.DUMMYFUNCTION("""COMPUTED_VALUE"""),1450)</f>
        <v>1450</v>
      </c>
      <c r="Q271" s="1">
        <f ca="1">IFERROR(__xludf.DUMMYFUNCTION("""COMPUTED_VALUE"""),991)</f>
        <v>991</v>
      </c>
      <c r="R271" s="1">
        <f ca="1">IFERROR(__xludf.DUMMYFUNCTION("""COMPUTED_VALUE"""),2227)</f>
        <v>2227</v>
      </c>
      <c r="S271" s="1">
        <f ca="1">IFERROR(__xludf.DUMMYFUNCTION("""COMPUTED_VALUE"""),0.445)</f>
        <v>0.44500000000000001</v>
      </c>
      <c r="T271" s="1">
        <f ca="1">IFERROR(__xludf.DUMMYFUNCTION("""COMPUTED_VALUE"""),235)</f>
        <v>235</v>
      </c>
      <c r="U271" s="1">
        <f ca="1">IFERROR(__xludf.DUMMYFUNCTION("""COMPUTED_VALUE"""),705)</f>
        <v>705</v>
      </c>
      <c r="V271" s="1">
        <f ca="1">IFERROR(__xludf.DUMMYFUNCTION("""COMPUTED_VALUE"""),0.333)</f>
        <v>0.33300000000000002</v>
      </c>
      <c r="W271" s="1">
        <f ca="1">IFERROR(__xludf.DUMMYFUNCTION("""COMPUTED_VALUE"""),520)</f>
        <v>520</v>
      </c>
      <c r="X271" s="1">
        <f ca="1">IFERROR(__xludf.DUMMYFUNCTION("""COMPUTED_VALUE"""),745)</f>
        <v>745</v>
      </c>
      <c r="Y271" s="1">
        <f ca="1">IFERROR(__xludf.DUMMYFUNCTION("""COMPUTED_VALUE"""),0.698)</f>
        <v>0.69799999999999995</v>
      </c>
      <c r="Z271" s="1">
        <f ca="1">IFERROR(__xludf.DUMMYFUNCTION("""COMPUTED_VALUE"""),477)</f>
        <v>477</v>
      </c>
      <c r="AA271" s="1">
        <f ca="1">IFERROR(__xludf.DUMMYFUNCTION("""COMPUTED_VALUE"""),1258)</f>
        <v>1258</v>
      </c>
      <c r="AB271" s="1">
        <f ca="1">IFERROR(__xludf.DUMMYFUNCTION("""COMPUTED_VALUE"""),533)</f>
        <v>533</v>
      </c>
      <c r="AC271" s="1">
        <f ca="1">IFERROR(__xludf.DUMMYFUNCTION("""COMPUTED_VALUE"""),294)</f>
        <v>294</v>
      </c>
      <c r="AD271" s="1">
        <f ca="1">IFERROR(__xludf.DUMMYFUNCTION("""COMPUTED_VALUE"""),182)</f>
        <v>182</v>
      </c>
      <c r="AE271" s="1">
        <f ca="1">IFERROR(__xludf.DUMMYFUNCTION("""COMPUTED_VALUE"""),394)</f>
        <v>394</v>
      </c>
      <c r="AF271" s="1">
        <f ca="1">IFERROR(__xludf.DUMMYFUNCTION("""COMPUTED_VALUE"""),595)</f>
        <v>595</v>
      </c>
    </row>
    <row r="272" spans="1:32" ht="12.5" x14ac:dyDescent="0.25">
      <c r="A272" s="1" t="str">
        <f ca="1">IFERROR(__xludf.DUMMYFUNCTION("""COMPUTED_VALUE"""),"Rice")</f>
        <v>Rice</v>
      </c>
      <c r="B272" s="1">
        <f ca="1">IFERROR(__xludf.DUMMYFUNCTION("""COMPUTED_VALUE"""),31)</f>
        <v>31</v>
      </c>
      <c r="C272" s="1">
        <f ca="1">IFERROR(__xludf.DUMMYFUNCTION("""COMPUTED_VALUE"""),8)</f>
        <v>8</v>
      </c>
      <c r="D272" s="1">
        <f ca="1">IFERROR(__xludf.DUMMYFUNCTION("""COMPUTED_VALUE"""),23)</f>
        <v>23</v>
      </c>
      <c r="E272" s="1">
        <f ca="1">IFERROR(__xludf.DUMMYFUNCTION("""COMPUTED_VALUE"""),0.258)</f>
        <v>0.25800000000000001</v>
      </c>
      <c r="F272" s="1">
        <f ca="1">IFERROR(__xludf.DUMMYFUNCTION("""COMPUTED_VALUE"""),-5.72)</f>
        <v>-5.72</v>
      </c>
      <c r="G272" s="1">
        <f ca="1">IFERROR(__xludf.DUMMYFUNCTION("""COMPUTED_VALUE"""),1.15)</f>
        <v>1.1499999999999999</v>
      </c>
      <c r="H272" s="1">
        <f ca="1">IFERROR(__xludf.DUMMYFUNCTION("""COMPUTED_VALUE"""),1)</f>
        <v>1</v>
      </c>
      <c r="I272" s="1">
        <f ca="1">IFERROR(__xludf.DUMMYFUNCTION("""COMPUTED_VALUE"""),15)</f>
        <v>15</v>
      </c>
      <c r="J272" s="1">
        <f ca="1">IFERROR(__xludf.DUMMYFUNCTION("""COMPUTED_VALUE"""),7)</f>
        <v>7</v>
      </c>
      <c r="K272" s="1">
        <f ca="1">IFERROR(__xludf.DUMMYFUNCTION("""COMPUTED_VALUE"""),10)</f>
        <v>10</v>
      </c>
      <c r="L272" s="1">
        <f ca="1">IFERROR(__xludf.DUMMYFUNCTION("""COMPUTED_VALUE"""),1)</f>
        <v>1</v>
      </c>
      <c r="M272" s="1">
        <f ca="1">IFERROR(__xludf.DUMMYFUNCTION("""COMPUTED_VALUE"""),13)</f>
        <v>13</v>
      </c>
      <c r="N272" s="1">
        <f ca="1">IFERROR(__xludf.DUMMYFUNCTION("""COMPUTED_VALUE"""),1983)</f>
        <v>1983</v>
      </c>
      <c r="O272" s="1">
        <f ca="1">IFERROR(__xludf.DUMMYFUNCTION("""COMPUTED_VALUE"""),2161)</f>
        <v>2161</v>
      </c>
      <c r="P272" s="1">
        <f ca="1">IFERROR(__xludf.DUMMYFUNCTION("""COMPUTED_VALUE"""),1245)</f>
        <v>1245</v>
      </c>
      <c r="Q272" s="1">
        <f ca="1">IFERROR(__xludf.DUMMYFUNCTION("""COMPUTED_VALUE"""),703)</f>
        <v>703</v>
      </c>
      <c r="R272" s="1">
        <f ca="1">IFERROR(__xludf.DUMMYFUNCTION("""COMPUTED_VALUE"""),1739)</f>
        <v>1739</v>
      </c>
      <c r="S272" s="1">
        <f ca="1">IFERROR(__xludf.DUMMYFUNCTION("""COMPUTED_VALUE"""),0.404)</f>
        <v>0.40400000000000003</v>
      </c>
      <c r="T272" s="1">
        <f ca="1">IFERROR(__xludf.DUMMYFUNCTION("""COMPUTED_VALUE"""),164)</f>
        <v>164</v>
      </c>
      <c r="U272" s="1">
        <f ca="1">IFERROR(__xludf.DUMMYFUNCTION("""COMPUTED_VALUE"""),532)</f>
        <v>532</v>
      </c>
      <c r="V272" s="1">
        <f ca="1">IFERROR(__xludf.DUMMYFUNCTION("""COMPUTED_VALUE"""),0.308)</f>
        <v>0.308</v>
      </c>
      <c r="W272" s="1">
        <f ca="1">IFERROR(__xludf.DUMMYFUNCTION("""COMPUTED_VALUE"""),413)</f>
        <v>413</v>
      </c>
      <c r="X272" s="1">
        <f ca="1">IFERROR(__xludf.DUMMYFUNCTION("""COMPUTED_VALUE"""),638)</f>
        <v>638</v>
      </c>
      <c r="Y272" s="1">
        <f ca="1">IFERROR(__xludf.DUMMYFUNCTION("""COMPUTED_VALUE"""),0.647)</f>
        <v>0.64700000000000002</v>
      </c>
      <c r="Z272" s="1">
        <f ca="1">IFERROR(__xludf.DUMMYFUNCTION("""COMPUTED_VALUE"""),382)</f>
        <v>382</v>
      </c>
      <c r="AA272" s="1">
        <f ca="1">IFERROR(__xludf.DUMMYFUNCTION("""COMPUTED_VALUE"""),1097)</f>
        <v>1097</v>
      </c>
      <c r="AB272" s="1">
        <f ca="1">IFERROR(__xludf.DUMMYFUNCTION("""COMPUTED_VALUE"""),369)</f>
        <v>369</v>
      </c>
      <c r="AC272" s="1">
        <f ca="1">IFERROR(__xludf.DUMMYFUNCTION("""COMPUTED_VALUE"""),229)</f>
        <v>229</v>
      </c>
      <c r="AD272" s="1">
        <f ca="1">IFERROR(__xludf.DUMMYFUNCTION("""COMPUTED_VALUE"""),82)</f>
        <v>82</v>
      </c>
      <c r="AE272" s="1">
        <f ca="1">IFERROR(__xludf.DUMMYFUNCTION("""COMPUTED_VALUE"""),436)</f>
        <v>436</v>
      </c>
      <c r="AF272" s="1">
        <f ca="1">IFERROR(__xludf.DUMMYFUNCTION("""COMPUTED_VALUE"""),615)</f>
        <v>615</v>
      </c>
    </row>
    <row r="273" spans="1:32" ht="12.5" x14ac:dyDescent="0.25">
      <c r="A273" s="1" t="str">
        <f ca="1">IFERROR(__xludf.DUMMYFUNCTION("""COMPUTED_VALUE"""),"RichmondNCAA")</f>
        <v>RichmondNCAA</v>
      </c>
      <c r="B273" s="1">
        <f ca="1">IFERROR(__xludf.DUMMYFUNCTION("""COMPUTED_VALUE"""),35)</f>
        <v>35</v>
      </c>
      <c r="C273" s="1">
        <f ca="1">IFERROR(__xludf.DUMMYFUNCTION("""COMPUTED_VALUE"""),26)</f>
        <v>26</v>
      </c>
      <c r="D273" s="1">
        <f ca="1">IFERROR(__xludf.DUMMYFUNCTION("""COMPUTED_VALUE"""),9)</f>
        <v>9</v>
      </c>
      <c r="E273" s="1">
        <f ca="1">IFERROR(__xludf.DUMMYFUNCTION("""COMPUTED_VALUE"""),0.743)</f>
        <v>0.74299999999999999</v>
      </c>
      <c r="F273" s="1">
        <f ca="1">IFERROR(__xludf.DUMMYFUNCTION("""COMPUTED_VALUE"""),10.03)</f>
        <v>10.029999999999999</v>
      </c>
      <c r="G273" s="1">
        <f ca="1">IFERROR(__xludf.DUMMYFUNCTION("""COMPUTED_VALUE"""),3.43)</f>
        <v>3.43</v>
      </c>
      <c r="H273" s="1">
        <f ca="1">IFERROR(__xludf.DUMMYFUNCTION("""COMPUTED_VALUE"""),13)</f>
        <v>13</v>
      </c>
      <c r="I273" s="1">
        <f ca="1">IFERROR(__xludf.DUMMYFUNCTION("""COMPUTED_VALUE"""),3)</f>
        <v>3</v>
      </c>
      <c r="J273" s="1">
        <f ca="1">IFERROR(__xludf.DUMMYFUNCTION("""COMPUTED_VALUE"""),14)</f>
        <v>14</v>
      </c>
      <c r="K273" s="1">
        <f ca="1">IFERROR(__xludf.DUMMYFUNCTION("""COMPUTED_VALUE"""),1)</f>
        <v>1</v>
      </c>
      <c r="L273" s="1">
        <f ca="1">IFERROR(__xludf.DUMMYFUNCTION("""COMPUTED_VALUE"""),7)</f>
        <v>7</v>
      </c>
      <c r="M273" s="1">
        <f ca="1">IFERROR(__xludf.DUMMYFUNCTION("""COMPUTED_VALUE"""),6)</f>
        <v>6</v>
      </c>
      <c r="N273" s="1">
        <f ca="1">IFERROR(__xludf.DUMMYFUNCTION("""COMPUTED_VALUE"""),2427)</f>
        <v>2427</v>
      </c>
      <c r="O273" s="1">
        <f ca="1">IFERROR(__xludf.DUMMYFUNCTION("""COMPUTED_VALUE"""),2196)</f>
        <v>2196</v>
      </c>
      <c r="P273" s="1">
        <f ca="1">IFERROR(__xludf.DUMMYFUNCTION("""COMPUTED_VALUE"""),1430)</f>
        <v>1430</v>
      </c>
      <c r="Q273" s="1">
        <f ca="1">IFERROR(__xludf.DUMMYFUNCTION("""COMPUTED_VALUE"""),868)</f>
        <v>868</v>
      </c>
      <c r="R273" s="1">
        <f ca="1">IFERROR(__xludf.DUMMYFUNCTION("""COMPUTED_VALUE"""),1943)</f>
        <v>1943</v>
      </c>
      <c r="S273" s="1">
        <f ca="1">IFERROR(__xludf.DUMMYFUNCTION("""COMPUTED_VALUE"""),0.447)</f>
        <v>0.44700000000000001</v>
      </c>
      <c r="T273" s="1">
        <f ca="1">IFERROR(__xludf.DUMMYFUNCTION("""COMPUTED_VALUE"""),250)</f>
        <v>250</v>
      </c>
      <c r="U273" s="1">
        <f ca="1">IFERROR(__xludf.DUMMYFUNCTION("""COMPUTED_VALUE"""),704)</f>
        <v>704</v>
      </c>
      <c r="V273" s="1">
        <f ca="1">IFERROR(__xludf.DUMMYFUNCTION("""COMPUTED_VALUE"""),0.355)</f>
        <v>0.35499999999999998</v>
      </c>
      <c r="W273" s="1">
        <f ca="1">IFERROR(__xludf.DUMMYFUNCTION("""COMPUTED_VALUE"""),441)</f>
        <v>441</v>
      </c>
      <c r="X273" s="1">
        <f ca="1">IFERROR(__xludf.DUMMYFUNCTION("""COMPUTED_VALUE"""),630)</f>
        <v>630</v>
      </c>
      <c r="Y273" s="1">
        <f ca="1">IFERROR(__xludf.DUMMYFUNCTION("""COMPUTED_VALUE"""),0.7)</f>
        <v>0.7</v>
      </c>
      <c r="Z273" s="1">
        <f ca="1">IFERROR(__xludf.DUMMYFUNCTION("""COMPUTED_VALUE"""),304)</f>
        <v>304</v>
      </c>
      <c r="AA273" s="1">
        <f ca="1">IFERROR(__xludf.DUMMYFUNCTION("""COMPUTED_VALUE"""),1139)</f>
        <v>1139</v>
      </c>
      <c r="AB273" s="1">
        <f ca="1">IFERROR(__xludf.DUMMYFUNCTION("""COMPUTED_VALUE"""),442)</f>
        <v>442</v>
      </c>
      <c r="AC273" s="1">
        <f ca="1">IFERROR(__xludf.DUMMYFUNCTION("""COMPUTED_VALUE"""),289)</f>
        <v>289</v>
      </c>
      <c r="AD273" s="1">
        <f ca="1">IFERROR(__xludf.DUMMYFUNCTION("""COMPUTED_VALUE"""),158)</f>
        <v>158</v>
      </c>
      <c r="AE273" s="1">
        <f ca="1">IFERROR(__xludf.DUMMYFUNCTION("""COMPUTED_VALUE"""),384)</f>
        <v>384</v>
      </c>
      <c r="AF273" s="1">
        <f ca="1">IFERROR(__xludf.DUMMYFUNCTION("""COMPUTED_VALUE"""),634)</f>
        <v>634</v>
      </c>
    </row>
    <row r="274" spans="1:32" ht="12.5" x14ac:dyDescent="0.25">
      <c r="A274" s="1" t="str">
        <f ca="1">IFERROR(__xludf.DUMMYFUNCTION("""COMPUTED_VALUE"""),"Rider")</f>
        <v>Rider</v>
      </c>
      <c r="B274" s="1">
        <f ca="1">IFERROR(__xludf.DUMMYFUNCTION("""COMPUTED_VALUE"""),33)</f>
        <v>33</v>
      </c>
      <c r="C274" s="1">
        <f ca="1">IFERROR(__xludf.DUMMYFUNCTION("""COMPUTED_VALUE"""),17)</f>
        <v>17</v>
      </c>
      <c r="D274" s="1">
        <f ca="1">IFERROR(__xludf.DUMMYFUNCTION("""COMPUTED_VALUE"""),16)</f>
        <v>16</v>
      </c>
      <c r="E274" s="1">
        <f ca="1">IFERROR(__xludf.DUMMYFUNCTION("""COMPUTED_VALUE"""),0.515)</f>
        <v>0.51500000000000001</v>
      </c>
      <c r="F274" s="1">
        <f ca="1">IFERROR(__xludf.DUMMYFUNCTION("""COMPUTED_VALUE"""),-3.71)</f>
        <v>-3.71</v>
      </c>
      <c r="G274" s="1">
        <f ca="1">IFERROR(__xludf.DUMMYFUNCTION("""COMPUTED_VALUE"""),-1.68)</f>
        <v>-1.68</v>
      </c>
      <c r="H274" s="1">
        <f ca="1">IFERROR(__xludf.DUMMYFUNCTION("""COMPUTED_VALUE"""),9)</f>
        <v>9</v>
      </c>
      <c r="I274" s="1">
        <f ca="1">IFERROR(__xludf.DUMMYFUNCTION("""COMPUTED_VALUE"""),9)</f>
        <v>9</v>
      </c>
      <c r="J274" s="1">
        <f ca="1">IFERROR(__xludf.DUMMYFUNCTION("""COMPUTED_VALUE"""),7)</f>
        <v>7</v>
      </c>
      <c r="K274" s="1">
        <f ca="1">IFERROR(__xludf.DUMMYFUNCTION("""COMPUTED_VALUE"""),6)</f>
        <v>6</v>
      </c>
      <c r="L274" s="1">
        <f ca="1">IFERROR(__xludf.DUMMYFUNCTION("""COMPUTED_VALUE"""),8)</f>
        <v>8</v>
      </c>
      <c r="M274" s="1">
        <f ca="1">IFERROR(__xludf.DUMMYFUNCTION("""COMPUTED_VALUE"""),9)</f>
        <v>9</v>
      </c>
      <c r="N274" s="1">
        <f ca="1">IFERROR(__xludf.DUMMYFUNCTION("""COMPUTED_VALUE"""),2295)</f>
        <v>2295</v>
      </c>
      <c r="O274" s="1">
        <f ca="1">IFERROR(__xludf.DUMMYFUNCTION("""COMPUTED_VALUE"""),2362)</f>
        <v>2362</v>
      </c>
      <c r="P274" s="1">
        <f ca="1">IFERROR(__xludf.DUMMYFUNCTION("""COMPUTED_VALUE"""),1335)</f>
        <v>1335</v>
      </c>
      <c r="Q274" s="1">
        <f ca="1">IFERROR(__xludf.DUMMYFUNCTION("""COMPUTED_VALUE"""),811)</f>
        <v>811</v>
      </c>
      <c r="R274" s="1">
        <f ca="1">IFERROR(__xludf.DUMMYFUNCTION("""COMPUTED_VALUE"""),1914)</f>
        <v>1914</v>
      </c>
      <c r="S274" s="1">
        <f ca="1">IFERROR(__xludf.DUMMYFUNCTION("""COMPUTED_VALUE"""),0.424)</f>
        <v>0.42399999999999999</v>
      </c>
      <c r="T274" s="1">
        <f ca="1">IFERROR(__xludf.DUMMYFUNCTION("""COMPUTED_VALUE"""),218)</f>
        <v>218</v>
      </c>
      <c r="U274" s="1">
        <f ca="1">IFERROR(__xludf.DUMMYFUNCTION("""COMPUTED_VALUE"""),646)</f>
        <v>646</v>
      </c>
      <c r="V274" s="1">
        <f ca="1">IFERROR(__xludf.DUMMYFUNCTION("""COMPUTED_VALUE"""),0.337)</f>
        <v>0.33700000000000002</v>
      </c>
      <c r="W274" s="1">
        <f ca="1">IFERROR(__xludf.DUMMYFUNCTION("""COMPUTED_VALUE"""),455)</f>
        <v>455</v>
      </c>
      <c r="X274" s="1">
        <f ca="1">IFERROR(__xludf.DUMMYFUNCTION("""COMPUTED_VALUE"""),661)</f>
        <v>661</v>
      </c>
      <c r="Y274" s="1">
        <f ca="1">IFERROR(__xludf.DUMMYFUNCTION("""COMPUTED_VALUE"""),0.688)</f>
        <v>0.68799999999999994</v>
      </c>
      <c r="Z274" s="1">
        <f ca="1">IFERROR(__xludf.DUMMYFUNCTION("""COMPUTED_VALUE"""),345)</f>
        <v>345</v>
      </c>
      <c r="AA274" s="1">
        <f ca="1">IFERROR(__xludf.DUMMYFUNCTION("""COMPUTED_VALUE"""),1150)</f>
        <v>1150</v>
      </c>
      <c r="AB274" s="1">
        <f ca="1">IFERROR(__xludf.DUMMYFUNCTION("""COMPUTED_VALUE"""),411)</f>
        <v>411</v>
      </c>
      <c r="AC274" s="1">
        <f ca="1">IFERROR(__xludf.DUMMYFUNCTION("""COMPUTED_VALUE"""),225)</f>
        <v>225</v>
      </c>
      <c r="AD274" s="1">
        <f ca="1">IFERROR(__xludf.DUMMYFUNCTION("""COMPUTED_VALUE"""),101)</f>
        <v>101</v>
      </c>
      <c r="AE274" s="1">
        <f ca="1">IFERROR(__xludf.DUMMYFUNCTION("""COMPUTED_VALUE"""),425)</f>
        <v>425</v>
      </c>
      <c r="AF274" s="1">
        <f ca="1">IFERROR(__xludf.DUMMYFUNCTION("""COMPUTED_VALUE"""),582)</f>
        <v>582</v>
      </c>
    </row>
    <row r="275" spans="1:32" ht="12.5" x14ac:dyDescent="0.25">
      <c r="A275" s="1" t="str">
        <f ca="1">IFERROR(__xludf.DUMMYFUNCTION("""COMPUTED_VALUE"""),"Robert MorrisNCAA")</f>
        <v>Robert MorrisNCAA</v>
      </c>
      <c r="B275" s="1">
        <f ca="1">IFERROR(__xludf.DUMMYFUNCTION("""COMPUTED_VALUE"""),35)</f>
        <v>35</v>
      </c>
      <c r="C275" s="1">
        <f ca="1">IFERROR(__xludf.DUMMYFUNCTION("""COMPUTED_VALUE"""),23)</f>
        <v>23</v>
      </c>
      <c r="D275" s="1">
        <f ca="1">IFERROR(__xludf.DUMMYFUNCTION("""COMPUTED_VALUE"""),12)</f>
        <v>12</v>
      </c>
      <c r="E275" s="1">
        <f ca="1">IFERROR(__xludf.DUMMYFUNCTION("""COMPUTED_VALUE"""),0.657)</f>
        <v>0.65700000000000003</v>
      </c>
      <c r="F275" s="1">
        <f ca="1">IFERROR(__xludf.DUMMYFUNCTION("""COMPUTED_VALUE"""),-3.71)</f>
        <v>-3.71</v>
      </c>
      <c r="G275" s="1">
        <f ca="1">IFERROR(__xludf.DUMMYFUNCTION("""COMPUTED_VALUE"""),-6.15)</f>
        <v>-6.15</v>
      </c>
      <c r="H275" s="1">
        <f ca="1">IFERROR(__xludf.DUMMYFUNCTION("""COMPUTED_VALUE"""),15)</f>
        <v>15</v>
      </c>
      <c r="I275" s="1">
        <f ca="1">IFERROR(__xludf.DUMMYFUNCTION("""COMPUTED_VALUE"""),3)</f>
        <v>3</v>
      </c>
      <c r="J275" s="1">
        <f ca="1">IFERROR(__xludf.DUMMYFUNCTION("""COMPUTED_VALUE"""),12)</f>
        <v>12</v>
      </c>
      <c r="K275" s="1">
        <f ca="1">IFERROR(__xludf.DUMMYFUNCTION("""COMPUTED_VALUE"""),3)</f>
        <v>3</v>
      </c>
      <c r="L275" s="1">
        <f ca="1">IFERROR(__xludf.DUMMYFUNCTION("""COMPUTED_VALUE"""),10)</f>
        <v>10</v>
      </c>
      <c r="M275" s="1">
        <f ca="1">IFERROR(__xludf.DUMMYFUNCTION("""COMPUTED_VALUE"""),7)</f>
        <v>7</v>
      </c>
      <c r="N275" s="1">
        <f ca="1">IFERROR(__xludf.DUMMYFUNCTION("""COMPUTED_VALUE"""),2399)</f>
        <v>2399</v>
      </c>
      <c r="O275" s="1">
        <f ca="1">IFERROR(__xludf.DUMMYFUNCTION("""COMPUTED_VALUE"""),2306)</f>
        <v>2306</v>
      </c>
      <c r="P275" s="1">
        <f ca="1">IFERROR(__xludf.DUMMYFUNCTION("""COMPUTED_VALUE"""),1405)</f>
        <v>1405</v>
      </c>
      <c r="Q275" s="1">
        <f ca="1">IFERROR(__xludf.DUMMYFUNCTION("""COMPUTED_VALUE"""),815)</f>
        <v>815</v>
      </c>
      <c r="R275" s="1">
        <f ca="1">IFERROR(__xludf.DUMMYFUNCTION("""COMPUTED_VALUE"""),1868)</f>
        <v>1868</v>
      </c>
      <c r="S275" s="1">
        <f ca="1">IFERROR(__xludf.DUMMYFUNCTION("""COMPUTED_VALUE"""),0.436)</f>
        <v>0.436</v>
      </c>
      <c r="T275" s="1">
        <f ca="1">IFERROR(__xludf.DUMMYFUNCTION("""COMPUTED_VALUE"""),197)</f>
        <v>197</v>
      </c>
      <c r="U275" s="1">
        <f ca="1">IFERROR(__xludf.DUMMYFUNCTION("""COMPUTED_VALUE"""),546)</f>
        <v>546</v>
      </c>
      <c r="V275" s="1">
        <f ca="1">IFERROR(__xludf.DUMMYFUNCTION("""COMPUTED_VALUE"""),0.361)</f>
        <v>0.36099999999999999</v>
      </c>
      <c r="W275" s="1">
        <f ca="1">IFERROR(__xludf.DUMMYFUNCTION("""COMPUTED_VALUE"""),572)</f>
        <v>572</v>
      </c>
      <c r="X275" s="1">
        <f ca="1">IFERROR(__xludf.DUMMYFUNCTION("""COMPUTED_VALUE"""),859)</f>
        <v>859</v>
      </c>
      <c r="Y275" s="1">
        <f ca="1">IFERROR(__xludf.DUMMYFUNCTION("""COMPUTED_VALUE"""),0.666)</f>
        <v>0.66600000000000004</v>
      </c>
      <c r="Z275" s="1">
        <f ca="1">IFERROR(__xludf.DUMMYFUNCTION("""COMPUTED_VALUE"""),412)</f>
        <v>412</v>
      </c>
      <c r="AA275" s="1">
        <f ca="1">IFERROR(__xludf.DUMMYFUNCTION("""COMPUTED_VALUE"""),1227)</f>
        <v>1227</v>
      </c>
      <c r="AB275" s="1">
        <f ca="1">IFERROR(__xludf.DUMMYFUNCTION("""COMPUTED_VALUE"""),433)</f>
        <v>433</v>
      </c>
      <c r="AC275" s="1">
        <f ca="1">IFERROR(__xludf.DUMMYFUNCTION("""COMPUTED_VALUE"""),267)</f>
        <v>267</v>
      </c>
      <c r="AD275" s="1">
        <f ca="1">IFERROR(__xludf.DUMMYFUNCTION("""COMPUTED_VALUE"""),80)</f>
        <v>80</v>
      </c>
      <c r="AE275" s="1">
        <f ca="1">IFERROR(__xludf.DUMMYFUNCTION("""COMPUTED_VALUE"""),520)</f>
        <v>520</v>
      </c>
      <c r="AF275" s="1">
        <f ca="1">IFERROR(__xludf.DUMMYFUNCTION("""COMPUTED_VALUE"""),757)</f>
        <v>757</v>
      </c>
    </row>
    <row r="276" spans="1:32" ht="12.5" x14ac:dyDescent="0.25">
      <c r="A276" s="1" t="str">
        <f ca="1">IFERROR(__xludf.DUMMYFUNCTION("""COMPUTED_VALUE"""),"Rutgers")</f>
        <v>Rutgers</v>
      </c>
      <c r="B276" s="1">
        <f ca="1">IFERROR(__xludf.DUMMYFUNCTION("""COMPUTED_VALUE"""),32)</f>
        <v>32</v>
      </c>
      <c r="C276" s="1">
        <f ca="1">IFERROR(__xludf.DUMMYFUNCTION("""COMPUTED_VALUE"""),15)</f>
        <v>15</v>
      </c>
      <c r="D276" s="1">
        <f ca="1">IFERROR(__xludf.DUMMYFUNCTION("""COMPUTED_VALUE"""),17)</f>
        <v>17</v>
      </c>
      <c r="E276" s="1">
        <f ca="1">IFERROR(__xludf.DUMMYFUNCTION("""COMPUTED_VALUE"""),0.469)</f>
        <v>0.46899999999999997</v>
      </c>
      <c r="F276" s="1">
        <f ca="1">IFERROR(__xludf.DUMMYFUNCTION("""COMPUTED_VALUE"""),1.29)</f>
        <v>1.29</v>
      </c>
      <c r="G276" s="1">
        <f ca="1">IFERROR(__xludf.DUMMYFUNCTION("""COMPUTED_VALUE"""),5.91)</f>
        <v>5.91</v>
      </c>
      <c r="H276" s="1">
        <f ca="1">IFERROR(__xludf.DUMMYFUNCTION("""COMPUTED_VALUE"""),5)</f>
        <v>5</v>
      </c>
      <c r="I276" s="1">
        <f ca="1">IFERROR(__xludf.DUMMYFUNCTION("""COMPUTED_VALUE"""),13)</f>
        <v>13</v>
      </c>
      <c r="J276" s="1">
        <f ca="1">IFERROR(__xludf.DUMMYFUNCTION("""COMPUTED_VALUE"""),13)</f>
        <v>13</v>
      </c>
      <c r="K276" s="1">
        <f ca="1">IFERROR(__xludf.DUMMYFUNCTION("""COMPUTED_VALUE"""),6)</f>
        <v>6</v>
      </c>
      <c r="L276" s="1">
        <f ca="1">IFERROR(__xludf.DUMMYFUNCTION("""COMPUTED_VALUE"""),1)</f>
        <v>1</v>
      </c>
      <c r="M276" s="1">
        <f ca="1">IFERROR(__xludf.DUMMYFUNCTION("""COMPUTED_VALUE"""),9)</f>
        <v>9</v>
      </c>
      <c r="N276" s="1">
        <f ca="1">IFERROR(__xludf.DUMMYFUNCTION("""COMPUTED_VALUE"""),2160)</f>
        <v>2160</v>
      </c>
      <c r="O276" s="1">
        <f ca="1">IFERROR(__xludf.DUMMYFUNCTION("""COMPUTED_VALUE"""),2295)</f>
        <v>2295</v>
      </c>
      <c r="P276" s="1">
        <f ca="1">IFERROR(__xludf.DUMMYFUNCTION("""COMPUTED_VALUE"""),1285)</f>
        <v>1285</v>
      </c>
      <c r="Q276" s="1">
        <f ca="1">IFERROR(__xludf.DUMMYFUNCTION("""COMPUTED_VALUE"""),767)</f>
        <v>767</v>
      </c>
      <c r="R276" s="1">
        <f ca="1">IFERROR(__xludf.DUMMYFUNCTION("""COMPUTED_VALUE"""),1810)</f>
        <v>1810</v>
      </c>
      <c r="S276" s="1">
        <f ca="1">IFERROR(__xludf.DUMMYFUNCTION("""COMPUTED_VALUE"""),0.424)</f>
        <v>0.42399999999999999</v>
      </c>
      <c r="T276" s="1">
        <f ca="1">IFERROR(__xludf.DUMMYFUNCTION("""COMPUTED_VALUE"""),211)</f>
        <v>211</v>
      </c>
      <c r="U276" s="1">
        <f ca="1">IFERROR(__xludf.DUMMYFUNCTION("""COMPUTED_VALUE"""),635)</f>
        <v>635</v>
      </c>
      <c r="V276" s="1">
        <f ca="1">IFERROR(__xludf.DUMMYFUNCTION("""COMPUTED_VALUE"""),0.332)</f>
        <v>0.33200000000000002</v>
      </c>
      <c r="W276" s="1">
        <f ca="1">IFERROR(__xludf.DUMMYFUNCTION("""COMPUTED_VALUE"""),415)</f>
        <v>415</v>
      </c>
      <c r="X276" s="1">
        <f ca="1">IFERROR(__xludf.DUMMYFUNCTION("""COMPUTED_VALUE"""),623)</f>
        <v>623</v>
      </c>
      <c r="Y276" s="1">
        <f ca="1">IFERROR(__xludf.DUMMYFUNCTION("""COMPUTED_VALUE"""),0.666)</f>
        <v>0.66600000000000004</v>
      </c>
      <c r="Z276" s="1">
        <f ca="1">IFERROR(__xludf.DUMMYFUNCTION("""COMPUTED_VALUE"""),381)</f>
        <v>381</v>
      </c>
      <c r="AA276" s="1">
        <f ca="1">IFERROR(__xludf.DUMMYFUNCTION("""COMPUTED_VALUE"""),1146)</f>
        <v>1146</v>
      </c>
      <c r="AB276" s="1">
        <f ca="1">IFERROR(__xludf.DUMMYFUNCTION("""COMPUTED_VALUE"""),438)</f>
        <v>438</v>
      </c>
      <c r="AC276" s="1">
        <f ca="1">IFERROR(__xludf.DUMMYFUNCTION("""COMPUTED_VALUE"""),186)</f>
        <v>186</v>
      </c>
      <c r="AD276" s="1">
        <f ca="1">IFERROR(__xludf.DUMMYFUNCTION("""COMPUTED_VALUE"""),227)</f>
        <v>227</v>
      </c>
      <c r="AE276" s="1">
        <f ca="1">IFERROR(__xludf.DUMMYFUNCTION("""COMPUTED_VALUE"""),466)</f>
        <v>466</v>
      </c>
      <c r="AF276" s="1">
        <f ca="1">IFERROR(__xludf.DUMMYFUNCTION("""COMPUTED_VALUE"""),517)</f>
        <v>517</v>
      </c>
    </row>
    <row r="277" spans="1:32" ht="12.5" x14ac:dyDescent="0.25">
      <c r="A277" s="1" t="str">
        <f ca="1">IFERROR(__xludf.DUMMYFUNCTION("""COMPUTED_VALUE"""),"Sacramento State")</f>
        <v>Sacramento State</v>
      </c>
      <c r="B277" s="1">
        <f ca="1">IFERROR(__xludf.DUMMYFUNCTION("""COMPUTED_VALUE"""),30)</f>
        <v>30</v>
      </c>
      <c r="C277" s="1">
        <f ca="1">IFERROR(__xludf.DUMMYFUNCTION("""COMPUTED_VALUE"""),9)</f>
        <v>9</v>
      </c>
      <c r="D277" s="1">
        <f ca="1">IFERROR(__xludf.DUMMYFUNCTION("""COMPUTED_VALUE"""),21)</f>
        <v>21</v>
      </c>
      <c r="E277" s="1">
        <f ca="1">IFERROR(__xludf.DUMMYFUNCTION("""COMPUTED_VALUE"""),0.3)</f>
        <v>0.3</v>
      </c>
      <c r="F277" s="1">
        <f ca="1">IFERROR(__xludf.DUMMYFUNCTION("""COMPUTED_VALUE"""),-12.41)</f>
        <v>-12.41</v>
      </c>
      <c r="G277" s="1">
        <f ca="1">IFERROR(__xludf.DUMMYFUNCTION("""COMPUTED_VALUE"""),-2.65)</f>
        <v>-2.65</v>
      </c>
      <c r="H277" s="1">
        <f ca="1">IFERROR(__xludf.DUMMYFUNCTION("""COMPUTED_VALUE"""),3)</f>
        <v>3</v>
      </c>
      <c r="I277" s="1">
        <f ca="1">IFERROR(__xludf.DUMMYFUNCTION("""COMPUTED_VALUE"""),13)</f>
        <v>13</v>
      </c>
      <c r="J277" s="1">
        <f ca="1">IFERROR(__xludf.DUMMYFUNCTION("""COMPUTED_VALUE"""),5)</f>
        <v>5</v>
      </c>
      <c r="K277" s="1">
        <f ca="1">IFERROR(__xludf.DUMMYFUNCTION("""COMPUTED_VALUE"""),8)</f>
        <v>8</v>
      </c>
      <c r="L277" s="1">
        <f ca="1">IFERROR(__xludf.DUMMYFUNCTION("""COMPUTED_VALUE"""),4)</f>
        <v>4</v>
      </c>
      <c r="M277" s="1">
        <f ca="1">IFERROR(__xludf.DUMMYFUNCTION("""COMPUTED_VALUE"""),12)</f>
        <v>12</v>
      </c>
      <c r="N277" s="1">
        <f ca="1">IFERROR(__xludf.DUMMYFUNCTION("""COMPUTED_VALUE"""),1935)</f>
        <v>1935</v>
      </c>
      <c r="O277" s="1">
        <f ca="1">IFERROR(__xludf.DUMMYFUNCTION("""COMPUTED_VALUE"""),2140)</f>
        <v>2140</v>
      </c>
      <c r="P277" s="1">
        <f ca="1">IFERROR(__xludf.DUMMYFUNCTION("""COMPUTED_VALUE"""),1200)</f>
        <v>1200</v>
      </c>
      <c r="Q277" s="1">
        <f ca="1">IFERROR(__xludf.DUMMYFUNCTION("""COMPUTED_VALUE"""),671)</f>
        <v>671</v>
      </c>
      <c r="R277" s="1">
        <f ca="1">IFERROR(__xludf.DUMMYFUNCTION("""COMPUTED_VALUE"""),1632)</f>
        <v>1632</v>
      </c>
      <c r="S277" s="1">
        <f ca="1">IFERROR(__xludf.DUMMYFUNCTION("""COMPUTED_VALUE"""),0.411)</f>
        <v>0.41099999999999998</v>
      </c>
      <c r="T277" s="1">
        <f ca="1">IFERROR(__xludf.DUMMYFUNCTION("""COMPUTED_VALUE"""),176)</f>
        <v>176</v>
      </c>
      <c r="U277" s="1">
        <f ca="1">IFERROR(__xludf.DUMMYFUNCTION("""COMPUTED_VALUE"""),507)</f>
        <v>507</v>
      </c>
      <c r="V277" s="1">
        <f ca="1">IFERROR(__xludf.DUMMYFUNCTION("""COMPUTED_VALUE"""),0.347)</f>
        <v>0.34699999999999998</v>
      </c>
      <c r="W277" s="1">
        <f ca="1">IFERROR(__xludf.DUMMYFUNCTION("""COMPUTED_VALUE"""),417)</f>
        <v>417</v>
      </c>
      <c r="X277" s="1">
        <f ca="1">IFERROR(__xludf.DUMMYFUNCTION("""COMPUTED_VALUE"""),583)</f>
        <v>583</v>
      </c>
      <c r="Y277" s="1">
        <f ca="1">IFERROR(__xludf.DUMMYFUNCTION("""COMPUTED_VALUE"""),0.715)</f>
        <v>0.71499999999999997</v>
      </c>
      <c r="Z277" s="1">
        <f ca="1">IFERROR(__xludf.DUMMYFUNCTION("""COMPUTED_VALUE"""),266)</f>
        <v>266</v>
      </c>
      <c r="AA277" s="1">
        <f ca="1">IFERROR(__xludf.DUMMYFUNCTION("""COMPUTED_VALUE"""),970)</f>
        <v>970</v>
      </c>
      <c r="AB277" s="1">
        <f ca="1">IFERROR(__xludf.DUMMYFUNCTION("""COMPUTED_VALUE"""),385)</f>
        <v>385</v>
      </c>
      <c r="AC277" s="1">
        <f ca="1">IFERROR(__xludf.DUMMYFUNCTION("""COMPUTED_VALUE"""),216)</f>
        <v>216</v>
      </c>
      <c r="AD277" s="1">
        <f ca="1">IFERROR(__xludf.DUMMYFUNCTION("""COMPUTED_VALUE"""),85)</f>
        <v>85</v>
      </c>
      <c r="AE277" s="1">
        <f ca="1">IFERROR(__xludf.DUMMYFUNCTION("""COMPUTED_VALUE"""),412)</f>
        <v>412</v>
      </c>
      <c r="AF277" s="1">
        <f ca="1">IFERROR(__xludf.DUMMYFUNCTION("""COMPUTED_VALUE"""),563)</f>
        <v>563</v>
      </c>
    </row>
    <row r="278" spans="1:32" ht="12.5" x14ac:dyDescent="0.25">
      <c r="A278" s="1" t="str">
        <f ca="1">IFERROR(__xludf.DUMMYFUNCTION("""COMPUTED_VALUE"""),"Sacred Heart")</f>
        <v>Sacred Heart</v>
      </c>
      <c r="B278" s="1">
        <f ca="1">IFERROR(__xludf.DUMMYFUNCTION("""COMPUTED_VALUE"""),29)</f>
        <v>29</v>
      </c>
      <c r="C278" s="1">
        <f ca="1">IFERROR(__xludf.DUMMYFUNCTION("""COMPUTED_VALUE"""),14)</f>
        <v>14</v>
      </c>
      <c r="D278" s="1">
        <f ca="1">IFERROR(__xludf.DUMMYFUNCTION("""COMPUTED_VALUE"""),15)</f>
        <v>15</v>
      </c>
      <c r="E278" s="1">
        <f ca="1">IFERROR(__xludf.DUMMYFUNCTION("""COMPUTED_VALUE"""),0.483)</f>
        <v>0.48299999999999998</v>
      </c>
      <c r="F278" s="1">
        <f ca="1">IFERROR(__xludf.DUMMYFUNCTION("""COMPUTED_VALUE"""),-11.39)</f>
        <v>-11.39</v>
      </c>
      <c r="G278" s="1">
        <f ca="1">IFERROR(__xludf.DUMMYFUNCTION("""COMPUTED_VALUE"""),-8.72)</f>
        <v>-8.7200000000000006</v>
      </c>
      <c r="H278" s="1">
        <f ca="1">IFERROR(__xludf.DUMMYFUNCTION("""COMPUTED_VALUE"""),7)</f>
        <v>7</v>
      </c>
      <c r="I278" s="1">
        <f ca="1">IFERROR(__xludf.DUMMYFUNCTION("""COMPUTED_VALUE"""),11)</f>
        <v>11</v>
      </c>
      <c r="J278" s="1">
        <f ca="1">IFERROR(__xludf.DUMMYFUNCTION("""COMPUTED_VALUE"""),9)</f>
        <v>9</v>
      </c>
      <c r="K278" s="1">
        <f ca="1">IFERROR(__xludf.DUMMYFUNCTION("""COMPUTED_VALUE"""),4)</f>
        <v>4</v>
      </c>
      <c r="L278" s="1">
        <f ca="1">IFERROR(__xludf.DUMMYFUNCTION("""COMPUTED_VALUE"""),4)</f>
        <v>4</v>
      </c>
      <c r="M278" s="1">
        <f ca="1">IFERROR(__xludf.DUMMYFUNCTION("""COMPUTED_VALUE"""),11)</f>
        <v>11</v>
      </c>
      <c r="N278" s="1">
        <f ca="1">IFERROR(__xludf.DUMMYFUNCTION("""COMPUTED_VALUE"""),2087)</f>
        <v>2087</v>
      </c>
      <c r="O278" s="1">
        <f ca="1">IFERROR(__xludf.DUMMYFUNCTION("""COMPUTED_VALUE"""),2123)</f>
        <v>2123</v>
      </c>
      <c r="P278" s="1">
        <f ca="1">IFERROR(__xludf.DUMMYFUNCTION("""COMPUTED_VALUE"""),1165)</f>
        <v>1165</v>
      </c>
      <c r="Q278" s="1">
        <f ca="1">IFERROR(__xludf.DUMMYFUNCTION("""COMPUTED_VALUE"""),770)</f>
        <v>770</v>
      </c>
      <c r="R278" s="1">
        <f ca="1">IFERROR(__xludf.DUMMYFUNCTION("""COMPUTED_VALUE"""),1743)</f>
        <v>1743</v>
      </c>
      <c r="S278" s="1">
        <f ca="1">IFERROR(__xludf.DUMMYFUNCTION("""COMPUTED_VALUE"""),0.442)</f>
        <v>0.442</v>
      </c>
      <c r="T278" s="1">
        <f ca="1">IFERROR(__xludf.DUMMYFUNCTION("""COMPUTED_VALUE"""),252)</f>
        <v>252</v>
      </c>
      <c r="U278" s="1">
        <f ca="1">IFERROR(__xludf.DUMMYFUNCTION("""COMPUTED_VALUE"""),635)</f>
        <v>635</v>
      </c>
      <c r="V278" s="1">
        <f ca="1">IFERROR(__xludf.DUMMYFUNCTION("""COMPUTED_VALUE"""),0.397)</f>
        <v>0.39700000000000002</v>
      </c>
      <c r="W278" s="1">
        <f ca="1">IFERROR(__xludf.DUMMYFUNCTION("""COMPUTED_VALUE"""),295)</f>
        <v>295</v>
      </c>
      <c r="X278" s="1">
        <f ca="1">IFERROR(__xludf.DUMMYFUNCTION("""COMPUTED_VALUE"""),477)</f>
        <v>477</v>
      </c>
      <c r="Y278" s="1">
        <f ca="1">IFERROR(__xludf.DUMMYFUNCTION("""COMPUTED_VALUE"""),0.618)</f>
        <v>0.61799999999999999</v>
      </c>
      <c r="Z278" s="1">
        <f ca="1">IFERROR(__xludf.DUMMYFUNCTION("""COMPUTED_VALUE"""),389)</f>
        <v>389</v>
      </c>
      <c r="AA278" s="1">
        <f ca="1">IFERROR(__xludf.DUMMYFUNCTION("""COMPUTED_VALUE"""),1077)</f>
        <v>1077</v>
      </c>
      <c r="AB278" s="1">
        <f ca="1">IFERROR(__xludf.DUMMYFUNCTION("""COMPUTED_VALUE"""),426)</f>
        <v>426</v>
      </c>
      <c r="AC278" s="1">
        <f ca="1">IFERROR(__xludf.DUMMYFUNCTION("""COMPUTED_VALUE"""),201)</f>
        <v>201</v>
      </c>
      <c r="AD278" s="1">
        <f ca="1">IFERROR(__xludf.DUMMYFUNCTION("""COMPUTED_VALUE"""),101)</f>
        <v>101</v>
      </c>
      <c r="AE278" s="1">
        <f ca="1">IFERROR(__xludf.DUMMYFUNCTION("""COMPUTED_VALUE"""),462)</f>
        <v>462</v>
      </c>
      <c r="AF278" s="1">
        <f ca="1">IFERROR(__xludf.DUMMYFUNCTION("""COMPUTED_VALUE"""),550)</f>
        <v>550</v>
      </c>
    </row>
    <row r="279" spans="1:32" ht="12.5" x14ac:dyDescent="0.25">
      <c r="A279" s="1" t="str">
        <f ca="1">IFERROR(__xludf.DUMMYFUNCTION("""COMPUTED_VALUE"""),"Saint Francis (PA)")</f>
        <v>Saint Francis (PA)</v>
      </c>
      <c r="B279" s="1">
        <f ca="1">IFERROR(__xludf.DUMMYFUNCTION("""COMPUTED_VALUE"""),30)</f>
        <v>30</v>
      </c>
      <c r="C279" s="1">
        <f ca="1">IFERROR(__xludf.DUMMYFUNCTION("""COMPUTED_VALUE"""),11)</f>
        <v>11</v>
      </c>
      <c r="D279" s="1">
        <f ca="1">IFERROR(__xludf.DUMMYFUNCTION("""COMPUTED_VALUE"""),19)</f>
        <v>19</v>
      </c>
      <c r="E279" s="1">
        <f ca="1">IFERROR(__xludf.DUMMYFUNCTION("""COMPUTED_VALUE"""),0.367)</f>
        <v>0.36699999999999999</v>
      </c>
      <c r="F279" s="1">
        <f ca="1">IFERROR(__xludf.DUMMYFUNCTION("""COMPUTED_VALUE"""),-15.87)</f>
        <v>-15.87</v>
      </c>
      <c r="G279" s="1">
        <f ca="1">IFERROR(__xludf.DUMMYFUNCTION("""COMPUTED_VALUE"""),-7.08)</f>
        <v>-7.08</v>
      </c>
      <c r="H279" s="1">
        <f ca="1">IFERROR(__xludf.DUMMYFUNCTION("""COMPUTED_VALUE"""),9)</f>
        <v>9</v>
      </c>
      <c r="I279" s="1">
        <f ca="1">IFERROR(__xludf.DUMMYFUNCTION("""COMPUTED_VALUE"""),9)</f>
        <v>9</v>
      </c>
      <c r="J279" s="1">
        <f ca="1">IFERROR(__xludf.DUMMYFUNCTION("""COMPUTED_VALUE"""),9)</f>
        <v>9</v>
      </c>
      <c r="K279" s="1">
        <f ca="1">IFERROR(__xludf.DUMMYFUNCTION("""COMPUTED_VALUE"""),5)</f>
        <v>5</v>
      </c>
      <c r="L279" s="1">
        <f ca="1">IFERROR(__xludf.DUMMYFUNCTION("""COMPUTED_VALUE"""),2)</f>
        <v>2</v>
      </c>
      <c r="M279" s="1">
        <f ca="1">IFERROR(__xludf.DUMMYFUNCTION("""COMPUTED_VALUE"""),14)</f>
        <v>14</v>
      </c>
      <c r="N279" s="1">
        <f ca="1">IFERROR(__xludf.DUMMYFUNCTION("""COMPUTED_VALUE"""),1875)</f>
        <v>1875</v>
      </c>
      <c r="O279" s="1">
        <f ca="1">IFERROR(__xludf.DUMMYFUNCTION("""COMPUTED_VALUE"""),2104)</f>
        <v>2104</v>
      </c>
      <c r="P279" s="1">
        <f ca="1">IFERROR(__xludf.DUMMYFUNCTION("""COMPUTED_VALUE"""),1205)</f>
        <v>1205</v>
      </c>
      <c r="Q279" s="1">
        <f ca="1">IFERROR(__xludf.DUMMYFUNCTION("""COMPUTED_VALUE"""),633)</f>
        <v>633</v>
      </c>
      <c r="R279" s="1">
        <f ca="1">IFERROR(__xludf.DUMMYFUNCTION("""COMPUTED_VALUE"""),1523)</f>
        <v>1523</v>
      </c>
      <c r="S279" s="1">
        <f ca="1">IFERROR(__xludf.DUMMYFUNCTION("""COMPUTED_VALUE"""),0.416)</f>
        <v>0.41599999999999998</v>
      </c>
      <c r="T279" s="1">
        <f ca="1">IFERROR(__xludf.DUMMYFUNCTION("""COMPUTED_VALUE"""),203)</f>
        <v>203</v>
      </c>
      <c r="U279" s="1">
        <f ca="1">IFERROR(__xludf.DUMMYFUNCTION("""COMPUTED_VALUE"""),551)</f>
        <v>551</v>
      </c>
      <c r="V279" s="1">
        <f ca="1">IFERROR(__xludf.DUMMYFUNCTION("""COMPUTED_VALUE"""),0.368)</f>
        <v>0.36799999999999999</v>
      </c>
      <c r="W279" s="1">
        <f ca="1">IFERROR(__xludf.DUMMYFUNCTION("""COMPUTED_VALUE"""),406)</f>
        <v>406</v>
      </c>
      <c r="X279" s="1">
        <f ca="1">IFERROR(__xludf.DUMMYFUNCTION("""COMPUTED_VALUE"""),555)</f>
        <v>555</v>
      </c>
      <c r="Y279" s="1">
        <f ca="1">IFERROR(__xludf.DUMMYFUNCTION("""COMPUTED_VALUE"""),0.732)</f>
        <v>0.73199999999999998</v>
      </c>
      <c r="Z279" s="1">
        <f ca="1">IFERROR(__xludf.DUMMYFUNCTION("""COMPUTED_VALUE"""),299)</f>
        <v>299</v>
      </c>
      <c r="AA279" s="1">
        <f ca="1">IFERROR(__xludf.DUMMYFUNCTION("""COMPUTED_VALUE"""),922)</f>
        <v>922</v>
      </c>
      <c r="AB279" s="1">
        <f ca="1">IFERROR(__xludf.DUMMYFUNCTION("""COMPUTED_VALUE"""),386)</f>
        <v>386</v>
      </c>
      <c r="AC279" s="1">
        <f ca="1">IFERROR(__xludf.DUMMYFUNCTION("""COMPUTED_VALUE"""),174)</f>
        <v>174</v>
      </c>
      <c r="AD279" s="1">
        <f ca="1">IFERROR(__xludf.DUMMYFUNCTION("""COMPUTED_VALUE"""),76)</f>
        <v>76</v>
      </c>
      <c r="AE279" s="1">
        <f ca="1">IFERROR(__xludf.DUMMYFUNCTION("""COMPUTED_VALUE"""),476)</f>
        <v>476</v>
      </c>
      <c r="AF279" s="1">
        <f ca="1">IFERROR(__xludf.DUMMYFUNCTION("""COMPUTED_VALUE"""),603)</f>
        <v>603</v>
      </c>
    </row>
    <row r="280" spans="1:32" ht="12.5" x14ac:dyDescent="0.25">
      <c r="A280" s="1" t="str">
        <f ca="1">IFERROR(__xludf.DUMMYFUNCTION("""COMPUTED_VALUE"""),"Saint Joseph's")</f>
        <v>Saint Joseph's</v>
      </c>
      <c r="B280" s="1">
        <f ca="1">IFERROR(__xludf.DUMMYFUNCTION("""COMPUTED_VALUE"""),31)</f>
        <v>31</v>
      </c>
      <c r="C280" s="1">
        <f ca="1">IFERROR(__xludf.DUMMYFUNCTION("""COMPUTED_VALUE"""),11)</f>
        <v>11</v>
      </c>
      <c r="D280" s="1">
        <f ca="1">IFERROR(__xludf.DUMMYFUNCTION("""COMPUTED_VALUE"""),20)</f>
        <v>20</v>
      </c>
      <c r="E280" s="1">
        <f ca="1">IFERROR(__xludf.DUMMYFUNCTION("""COMPUTED_VALUE"""),0.355)</f>
        <v>0.35499999999999998</v>
      </c>
      <c r="F280" s="1">
        <f ca="1">IFERROR(__xludf.DUMMYFUNCTION("""COMPUTED_VALUE"""),-2.13)</f>
        <v>-2.13</v>
      </c>
      <c r="G280" s="1">
        <f ca="1">IFERROR(__xludf.DUMMYFUNCTION("""COMPUTED_VALUE"""),3.97)</f>
        <v>3.97</v>
      </c>
      <c r="H280" s="1">
        <f ca="1">IFERROR(__xludf.DUMMYFUNCTION("""COMPUTED_VALUE"""),5)</f>
        <v>5</v>
      </c>
      <c r="I280" s="1">
        <f ca="1">IFERROR(__xludf.DUMMYFUNCTION("""COMPUTED_VALUE"""),11)</f>
        <v>11</v>
      </c>
      <c r="J280" s="1">
        <f ca="1">IFERROR(__xludf.DUMMYFUNCTION("""COMPUTED_VALUE"""),8)</f>
        <v>8</v>
      </c>
      <c r="K280" s="1">
        <f ca="1">IFERROR(__xludf.DUMMYFUNCTION("""COMPUTED_VALUE"""),5)</f>
        <v>5</v>
      </c>
      <c r="L280" s="1">
        <f ca="1">IFERROR(__xludf.DUMMYFUNCTION("""COMPUTED_VALUE"""),2)</f>
        <v>2</v>
      </c>
      <c r="M280" s="1">
        <f ca="1">IFERROR(__xludf.DUMMYFUNCTION("""COMPUTED_VALUE"""),12)</f>
        <v>12</v>
      </c>
      <c r="N280" s="1">
        <f ca="1">IFERROR(__xludf.DUMMYFUNCTION("""COMPUTED_VALUE"""),2141)</f>
        <v>2141</v>
      </c>
      <c r="O280" s="1">
        <f ca="1">IFERROR(__xludf.DUMMYFUNCTION("""COMPUTED_VALUE"""),2330)</f>
        <v>2330</v>
      </c>
      <c r="P280" s="1">
        <f ca="1">IFERROR(__xludf.DUMMYFUNCTION("""COMPUTED_VALUE"""),1250)</f>
        <v>1250</v>
      </c>
      <c r="Q280" s="1">
        <f ca="1">IFERROR(__xludf.DUMMYFUNCTION("""COMPUTED_VALUE"""),731)</f>
        <v>731</v>
      </c>
      <c r="R280" s="1">
        <f ca="1">IFERROR(__xludf.DUMMYFUNCTION("""COMPUTED_VALUE"""),1775)</f>
        <v>1775</v>
      </c>
      <c r="S280" s="1">
        <f ca="1">IFERROR(__xludf.DUMMYFUNCTION("""COMPUTED_VALUE"""),0.412)</f>
        <v>0.41199999999999998</v>
      </c>
      <c r="T280" s="1">
        <f ca="1">IFERROR(__xludf.DUMMYFUNCTION("""COMPUTED_VALUE"""),191)</f>
        <v>191</v>
      </c>
      <c r="U280" s="1">
        <f ca="1">IFERROR(__xludf.DUMMYFUNCTION("""COMPUTED_VALUE"""),637)</f>
        <v>637</v>
      </c>
      <c r="V280" s="1">
        <f ca="1">IFERROR(__xludf.DUMMYFUNCTION("""COMPUTED_VALUE"""),0.3)</f>
        <v>0.3</v>
      </c>
      <c r="W280" s="1">
        <f ca="1">IFERROR(__xludf.DUMMYFUNCTION("""COMPUTED_VALUE"""),488)</f>
        <v>488</v>
      </c>
      <c r="X280" s="1">
        <f ca="1">IFERROR(__xludf.DUMMYFUNCTION("""COMPUTED_VALUE"""),687)</f>
        <v>687</v>
      </c>
      <c r="Y280" s="1">
        <f ca="1">IFERROR(__xludf.DUMMYFUNCTION("""COMPUTED_VALUE"""),0.71)</f>
        <v>0.71</v>
      </c>
      <c r="Z280" s="1">
        <f ca="1">IFERROR(__xludf.DUMMYFUNCTION("""COMPUTED_VALUE"""),299)</f>
        <v>299</v>
      </c>
      <c r="AA280" s="1">
        <f ca="1">IFERROR(__xludf.DUMMYFUNCTION("""COMPUTED_VALUE"""),1001)</f>
        <v>1001</v>
      </c>
      <c r="AB280" s="1">
        <f ca="1">IFERROR(__xludf.DUMMYFUNCTION("""COMPUTED_VALUE"""),406)</f>
        <v>406</v>
      </c>
      <c r="AC280" s="1">
        <f ca="1">IFERROR(__xludf.DUMMYFUNCTION("""COMPUTED_VALUE"""),226)</f>
        <v>226</v>
      </c>
      <c r="AD280" s="1">
        <f ca="1">IFERROR(__xludf.DUMMYFUNCTION("""COMPUTED_VALUE"""),108)</f>
        <v>108</v>
      </c>
      <c r="AE280" s="1">
        <f ca="1">IFERROR(__xludf.DUMMYFUNCTION("""COMPUTED_VALUE"""),407)</f>
        <v>407</v>
      </c>
      <c r="AF280" s="1">
        <f ca="1">IFERROR(__xludf.DUMMYFUNCTION("""COMPUTED_VALUE"""),553)</f>
        <v>553</v>
      </c>
    </row>
    <row r="281" spans="1:32" ht="12.5" x14ac:dyDescent="0.25">
      <c r="A281" s="1" t="str">
        <f ca="1">IFERROR(__xludf.DUMMYFUNCTION("""COMPUTED_VALUE"""),"Saint Louis")</f>
        <v>Saint Louis</v>
      </c>
      <c r="B281" s="1">
        <f ca="1">IFERROR(__xludf.DUMMYFUNCTION("""COMPUTED_VALUE"""),36)</f>
        <v>36</v>
      </c>
      <c r="C281" s="1">
        <f ca="1">IFERROR(__xludf.DUMMYFUNCTION("""COMPUTED_VALUE"""),23)</f>
        <v>23</v>
      </c>
      <c r="D281" s="1">
        <f ca="1">IFERROR(__xludf.DUMMYFUNCTION("""COMPUTED_VALUE"""),13)</f>
        <v>13</v>
      </c>
      <c r="E281" s="1">
        <f ca="1">IFERROR(__xludf.DUMMYFUNCTION("""COMPUTED_VALUE"""),0.639)</f>
        <v>0.63900000000000001</v>
      </c>
      <c r="F281" s="1">
        <f ca="1">IFERROR(__xludf.DUMMYFUNCTION("""COMPUTED_VALUE"""),5.46)</f>
        <v>5.46</v>
      </c>
      <c r="G281" s="1">
        <f ca="1">IFERROR(__xludf.DUMMYFUNCTION("""COMPUTED_VALUE"""),2.55)</f>
        <v>2.5499999999999998</v>
      </c>
      <c r="H281" s="1">
        <f ca="1">IFERROR(__xludf.DUMMYFUNCTION("""COMPUTED_VALUE"""),11)</f>
        <v>11</v>
      </c>
      <c r="I281" s="1">
        <f ca="1">IFERROR(__xludf.DUMMYFUNCTION("""COMPUTED_VALUE"""),5)</f>
        <v>5</v>
      </c>
      <c r="J281" s="1">
        <f ca="1">IFERROR(__xludf.DUMMYFUNCTION("""COMPUTED_VALUE"""),18)</f>
        <v>18</v>
      </c>
      <c r="K281" s="1">
        <f ca="1">IFERROR(__xludf.DUMMYFUNCTION("""COMPUTED_VALUE"""),4)</f>
        <v>4</v>
      </c>
      <c r="L281" s="1">
        <f ca="1">IFERROR(__xludf.DUMMYFUNCTION("""COMPUTED_VALUE"""),5)</f>
        <v>5</v>
      </c>
      <c r="M281" s="1">
        <f ca="1">IFERROR(__xludf.DUMMYFUNCTION("""COMPUTED_VALUE"""),6)</f>
        <v>6</v>
      </c>
      <c r="N281" s="1">
        <f ca="1">IFERROR(__xludf.DUMMYFUNCTION("""COMPUTED_VALUE"""),2283)</f>
        <v>2283</v>
      </c>
      <c r="O281" s="1">
        <f ca="1">IFERROR(__xludf.DUMMYFUNCTION("""COMPUTED_VALUE"""),2168)</f>
        <v>2168</v>
      </c>
      <c r="P281" s="1">
        <f ca="1">IFERROR(__xludf.DUMMYFUNCTION("""COMPUTED_VALUE"""),1480)</f>
        <v>1480</v>
      </c>
      <c r="Q281" s="1">
        <f ca="1">IFERROR(__xludf.DUMMYFUNCTION("""COMPUTED_VALUE"""),826)</f>
        <v>826</v>
      </c>
      <c r="R281" s="1">
        <f ca="1">IFERROR(__xludf.DUMMYFUNCTION("""COMPUTED_VALUE"""),1882)</f>
        <v>1882</v>
      </c>
      <c r="S281" s="1">
        <f ca="1">IFERROR(__xludf.DUMMYFUNCTION("""COMPUTED_VALUE"""),0.439)</f>
        <v>0.439</v>
      </c>
      <c r="T281" s="1">
        <f ca="1">IFERROR(__xludf.DUMMYFUNCTION("""COMPUTED_VALUE"""),215)</f>
        <v>215</v>
      </c>
      <c r="U281" s="1">
        <f ca="1">IFERROR(__xludf.DUMMYFUNCTION("""COMPUTED_VALUE"""),674)</f>
        <v>674</v>
      </c>
      <c r="V281" s="1">
        <f ca="1">IFERROR(__xludf.DUMMYFUNCTION("""COMPUTED_VALUE"""),0.319)</f>
        <v>0.31900000000000001</v>
      </c>
      <c r="W281" s="1">
        <f ca="1">IFERROR(__xludf.DUMMYFUNCTION("""COMPUTED_VALUE"""),416)</f>
        <v>416</v>
      </c>
      <c r="X281" s="1">
        <f ca="1">IFERROR(__xludf.DUMMYFUNCTION("""COMPUTED_VALUE"""),672)</f>
        <v>672</v>
      </c>
      <c r="Y281" s="1">
        <f ca="1">IFERROR(__xludf.DUMMYFUNCTION("""COMPUTED_VALUE"""),0.619)</f>
        <v>0.61899999999999999</v>
      </c>
      <c r="Z281" s="1">
        <f ca="1">IFERROR(__xludf.DUMMYFUNCTION("""COMPUTED_VALUE"""),333)</f>
        <v>333</v>
      </c>
      <c r="AA281" s="1">
        <f ca="1">IFERROR(__xludf.DUMMYFUNCTION("""COMPUTED_VALUE"""),1206)</f>
        <v>1206</v>
      </c>
      <c r="AB281" s="1">
        <f ca="1">IFERROR(__xludf.DUMMYFUNCTION("""COMPUTED_VALUE"""),454)</f>
        <v>454</v>
      </c>
      <c r="AC281" s="1">
        <f ca="1">IFERROR(__xludf.DUMMYFUNCTION("""COMPUTED_VALUE"""),204)</f>
        <v>204</v>
      </c>
      <c r="AD281" s="1">
        <f ca="1">IFERROR(__xludf.DUMMYFUNCTION("""COMPUTED_VALUE"""),169)</f>
        <v>169</v>
      </c>
      <c r="AE281" s="1">
        <f ca="1">IFERROR(__xludf.DUMMYFUNCTION("""COMPUTED_VALUE"""),478)</f>
        <v>478</v>
      </c>
      <c r="AF281" s="1">
        <f ca="1">IFERROR(__xludf.DUMMYFUNCTION("""COMPUTED_VALUE"""),615)</f>
        <v>615</v>
      </c>
    </row>
    <row r="282" spans="1:32" ht="12.5" x14ac:dyDescent="0.25">
      <c r="A282" s="1" t="str">
        <f ca="1">IFERROR(__xludf.DUMMYFUNCTION("""COMPUTED_VALUE"""),"Saint Mary's (CA)NCAA")</f>
        <v>Saint Mary's (CA)NCAA</v>
      </c>
      <c r="B282" s="1">
        <f ca="1">IFERROR(__xludf.DUMMYFUNCTION("""COMPUTED_VALUE"""),34)</f>
        <v>34</v>
      </c>
      <c r="C282" s="1">
        <f ca="1">IFERROR(__xludf.DUMMYFUNCTION("""COMPUTED_VALUE"""),28)</f>
        <v>28</v>
      </c>
      <c r="D282" s="1">
        <f ca="1">IFERROR(__xludf.DUMMYFUNCTION("""COMPUTED_VALUE"""),6)</f>
        <v>6</v>
      </c>
      <c r="E282" s="1">
        <f ca="1">IFERROR(__xludf.DUMMYFUNCTION("""COMPUTED_VALUE"""),0.824)</f>
        <v>0.82399999999999995</v>
      </c>
      <c r="F282" s="1">
        <f ca="1">IFERROR(__xludf.DUMMYFUNCTION("""COMPUTED_VALUE"""),13.38)</f>
        <v>13.38</v>
      </c>
      <c r="G282" s="1">
        <f ca="1">IFERROR(__xludf.DUMMYFUNCTION("""COMPUTED_VALUE"""),2.2)</f>
        <v>2.2000000000000002</v>
      </c>
      <c r="H282" s="1">
        <f ca="1">IFERROR(__xludf.DUMMYFUNCTION("""COMPUTED_VALUE"""),11)</f>
        <v>11</v>
      </c>
      <c r="I282" s="1">
        <f ca="1">IFERROR(__xludf.DUMMYFUNCTION("""COMPUTED_VALUE"""),3)</f>
        <v>3</v>
      </c>
      <c r="J282" s="1">
        <f ca="1">IFERROR(__xludf.DUMMYFUNCTION("""COMPUTED_VALUE"""),14)</f>
        <v>14</v>
      </c>
      <c r="K282" s="1">
        <f ca="1">IFERROR(__xludf.DUMMYFUNCTION("""COMPUTED_VALUE"""),2)</f>
        <v>2</v>
      </c>
      <c r="L282" s="1">
        <f ca="1">IFERROR(__xludf.DUMMYFUNCTION("""COMPUTED_VALUE"""),9)</f>
        <v>9</v>
      </c>
      <c r="M282" s="1">
        <f ca="1">IFERROR(__xludf.DUMMYFUNCTION("""COMPUTED_VALUE"""),2)</f>
        <v>2</v>
      </c>
      <c r="N282" s="1">
        <f ca="1">IFERROR(__xludf.DUMMYFUNCTION("""COMPUTED_VALUE"""),2668)</f>
        <v>2668</v>
      </c>
      <c r="O282" s="1">
        <f ca="1">IFERROR(__xludf.DUMMYFUNCTION("""COMPUTED_VALUE"""),2258)</f>
        <v>2258</v>
      </c>
      <c r="P282" s="1">
        <f ca="1">IFERROR(__xludf.DUMMYFUNCTION("""COMPUTED_VALUE"""),1365)</f>
        <v>1365</v>
      </c>
      <c r="Q282" s="1">
        <f ca="1">IFERROR(__xludf.DUMMYFUNCTION("""COMPUTED_VALUE"""),944)</f>
        <v>944</v>
      </c>
      <c r="R282" s="1">
        <f ca="1">IFERROR(__xludf.DUMMYFUNCTION("""COMPUTED_VALUE"""),1950)</f>
        <v>1950</v>
      </c>
      <c r="S282" s="1">
        <f ca="1">IFERROR(__xludf.DUMMYFUNCTION("""COMPUTED_VALUE"""),0.484)</f>
        <v>0.48399999999999999</v>
      </c>
      <c r="T282" s="1">
        <f ca="1">IFERROR(__xludf.DUMMYFUNCTION("""COMPUTED_VALUE"""),284)</f>
        <v>284</v>
      </c>
      <c r="U282" s="1">
        <f ca="1">IFERROR(__xludf.DUMMYFUNCTION("""COMPUTED_VALUE"""),699)</f>
        <v>699</v>
      </c>
      <c r="V282" s="1">
        <f ca="1">IFERROR(__xludf.DUMMYFUNCTION("""COMPUTED_VALUE"""),0.406)</f>
        <v>0.40600000000000003</v>
      </c>
      <c r="W282" s="1">
        <f ca="1">IFERROR(__xludf.DUMMYFUNCTION("""COMPUTED_VALUE"""),496)</f>
        <v>496</v>
      </c>
      <c r="X282" s="1">
        <f ca="1">IFERROR(__xludf.DUMMYFUNCTION("""COMPUTED_VALUE"""),652)</f>
        <v>652</v>
      </c>
      <c r="Y282" s="1">
        <f ca="1">IFERROR(__xludf.DUMMYFUNCTION("""COMPUTED_VALUE"""),0.761)</f>
        <v>0.76100000000000001</v>
      </c>
      <c r="Z282" s="1">
        <f ca="1">IFERROR(__xludf.DUMMYFUNCTION("""COMPUTED_VALUE"""),370)</f>
        <v>370</v>
      </c>
      <c r="AA282" s="1">
        <f ca="1">IFERROR(__xludf.DUMMYFUNCTION("""COMPUTED_VALUE"""),1244)</f>
        <v>1244</v>
      </c>
      <c r="AB282" s="1">
        <f ca="1">IFERROR(__xludf.DUMMYFUNCTION("""COMPUTED_VALUE"""),543)</f>
        <v>543</v>
      </c>
      <c r="AC282" s="1">
        <f ca="1">IFERROR(__xludf.DUMMYFUNCTION("""COMPUTED_VALUE"""),168)</f>
        <v>168</v>
      </c>
      <c r="AD282" s="1">
        <f ca="1">IFERROR(__xludf.DUMMYFUNCTION("""COMPUTED_VALUE"""),176)</f>
        <v>176</v>
      </c>
      <c r="AE282" s="1">
        <f ca="1">IFERROR(__xludf.DUMMYFUNCTION("""COMPUTED_VALUE"""),394)</f>
        <v>394</v>
      </c>
      <c r="AF282" s="1">
        <f ca="1">IFERROR(__xludf.DUMMYFUNCTION("""COMPUTED_VALUE"""),560)</f>
        <v>560</v>
      </c>
    </row>
    <row r="283" spans="1:32" ht="12.5" x14ac:dyDescent="0.25">
      <c r="A283" s="1" t="str">
        <f ca="1">IFERROR(__xludf.DUMMYFUNCTION("""COMPUTED_VALUE"""),"Saint Peter's")</f>
        <v>Saint Peter's</v>
      </c>
      <c r="B283" s="1">
        <f ca="1">IFERROR(__xludf.DUMMYFUNCTION("""COMPUTED_VALUE"""),30)</f>
        <v>30</v>
      </c>
      <c r="C283" s="1">
        <f ca="1">IFERROR(__xludf.DUMMYFUNCTION("""COMPUTED_VALUE"""),16)</f>
        <v>16</v>
      </c>
      <c r="D283" s="1">
        <f ca="1">IFERROR(__xludf.DUMMYFUNCTION("""COMPUTED_VALUE"""),14)</f>
        <v>14</v>
      </c>
      <c r="E283" s="1">
        <f ca="1">IFERROR(__xludf.DUMMYFUNCTION("""COMPUTED_VALUE"""),0.533)</f>
        <v>0.53300000000000003</v>
      </c>
      <c r="F283" s="1">
        <f ca="1">IFERROR(__xludf.DUMMYFUNCTION("""COMPUTED_VALUE"""),-2.73)</f>
        <v>-2.73</v>
      </c>
      <c r="G283" s="1">
        <f ca="1">IFERROR(__xludf.DUMMYFUNCTION("""COMPUTED_VALUE"""),-4.57)</f>
        <v>-4.57</v>
      </c>
      <c r="H283" s="1">
        <f ca="1">IFERROR(__xludf.DUMMYFUNCTION("""COMPUTED_VALUE"""),11)</f>
        <v>11</v>
      </c>
      <c r="I283" s="1">
        <f ca="1">IFERROR(__xludf.DUMMYFUNCTION("""COMPUTED_VALUE"""),7)</f>
        <v>7</v>
      </c>
      <c r="J283" s="1">
        <f ca="1">IFERROR(__xludf.DUMMYFUNCTION("""COMPUTED_VALUE"""),7)</f>
        <v>7</v>
      </c>
      <c r="K283" s="1">
        <f ca="1">IFERROR(__xludf.DUMMYFUNCTION("""COMPUTED_VALUE"""),7)</f>
        <v>7</v>
      </c>
      <c r="L283" s="1">
        <f ca="1">IFERROR(__xludf.DUMMYFUNCTION("""COMPUTED_VALUE"""),9)</f>
        <v>9</v>
      </c>
      <c r="M283" s="1">
        <f ca="1">IFERROR(__xludf.DUMMYFUNCTION("""COMPUTED_VALUE"""),6)</f>
        <v>6</v>
      </c>
      <c r="N283" s="1">
        <f ca="1">IFERROR(__xludf.DUMMYFUNCTION("""COMPUTED_VALUE"""),1863)</f>
        <v>1863</v>
      </c>
      <c r="O283" s="1">
        <f ca="1">IFERROR(__xludf.DUMMYFUNCTION("""COMPUTED_VALUE"""),1808)</f>
        <v>1808</v>
      </c>
      <c r="P283" s="1">
        <f ca="1">IFERROR(__xludf.DUMMYFUNCTION("""COMPUTED_VALUE"""),1220)</f>
        <v>1220</v>
      </c>
      <c r="Q283" s="1">
        <f ca="1">IFERROR(__xludf.DUMMYFUNCTION("""COMPUTED_VALUE"""),661)</f>
        <v>661</v>
      </c>
      <c r="R283" s="1">
        <f ca="1">IFERROR(__xludf.DUMMYFUNCTION("""COMPUTED_VALUE"""),1660)</f>
        <v>1660</v>
      </c>
      <c r="S283" s="1">
        <f ca="1">IFERROR(__xludf.DUMMYFUNCTION("""COMPUTED_VALUE"""),0.398)</f>
        <v>0.39800000000000002</v>
      </c>
      <c r="T283" s="1">
        <f ca="1">IFERROR(__xludf.DUMMYFUNCTION("""COMPUTED_VALUE"""),152)</f>
        <v>152</v>
      </c>
      <c r="U283" s="1">
        <f ca="1">IFERROR(__xludf.DUMMYFUNCTION("""COMPUTED_VALUE"""),479)</f>
        <v>479</v>
      </c>
      <c r="V283" s="1">
        <f ca="1">IFERROR(__xludf.DUMMYFUNCTION("""COMPUTED_VALUE"""),0.317)</f>
        <v>0.317</v>
      </c>
      <c r="W283" s="1">
        <f ca="1">IFERROR(__xludf.DUMMYFUNCTION("""COMPUTED_VALUE"""),389)</f>
        <v>389</v>
      </c>
      <c r="X283" s="1">
        <f ca="1">IFERROR(__xludf.DUMMYFUNCTION("""COMPUTED_VALUE"""),586)</f>
        <v>586</v>
      </c>
      <c r="Y283" s="1">
        <f ca="1">IFERROR(__xludf.DUMMYFUNCTION("""COMPUTED_VALUE"""),0.664)</f>
        <v>0.66400000000000003</v>
      </c>
      <c r="Z283" s="1">
        <f ca="1">IFERROR(__xludf.DUMMYFUNCTION("""COMPUTED_VALUE"""),428)</f>
        <v>428</v>
      </c>
      <c r="AA283" s="1">
        <f ca="1">IFERROR(__xludf.DUMMYFUNCTION("""COMPUTED_VALUE"""),1169)</f>
        <v>1169</v>
      </c>
      <c r="AB283" s="1">
        <f ca="1">IFERROR(__xludf.DUMMYFUNCTION("""COMPUTED_VALUE"""),311)</f>
        <v>311</v>
      </c>
      <c r="AC283" s="1">
        <f ca="1">IFERROR(__xludf.DUMMYFUNCTION("""COMPUTED_VALUE"""),227)</f>
        <v>227</v>
      </c>
      <c r="AD283" s="1">
        <f ca="1">IFERROR(__xludf.DUMMYFUNCTION("""COMPUTED_VALUE"""),132)</f>
        <v>132</v>
      </c>
      <c r="AE283" s="1">
        <f ca="1">IFERROR(__xludf.DUMMYFUNCTION("""COMPUTED_VALUE"""),489)</f>
        <v>489</v>
      </c>
      <c r="AF283" s="1">
        <f ca="1">IFERROR(__xludf.DUMMYFUNCTION("""COMPUTED_VALUE"""),591)</f>
        <v>591</v>
      </c>
    </row>
    <row r="284" spans="1:32" ht="12.5" x14ac:dyDescent="0.25">
      <c r="A284" s="1" t="str">
        <f ca="1">IFERROR(__xludf.DUMMYFUNCTION("""COMPUTED_VALUE"""),"Sam Houston StateNCAA")</f>
        <v>Sam Houston StateNCAA</v>
      </c>
      <c r="B284" s="1">
        <f ca="1">IFERROR(__xludf.DUMMYFUNCTION("""COMPUTED_VALUE"""),33)</f>
        <v>33</v>
      </c>
      <c r="C284" s="1">
        <f ca="1">IFERROR(__xludf.DUMMYFUNCTION("""COMPUTED_VALUE"""),25)</f>
        <v>25</v>
      </c>
      <c r="D284" s="1">
        <f ca="1">IFERROR(__xludf.DUMMYFUNCTION("""COMPUTED_VALUE"""),8)</f>
        <v>8</v>
      </c>
      <c r="E284" s="1">
        <f ca="1">IFERROR(__xludf.DUMMYFUNCTION("""COMPUTED_VALUE"""),0.758)</f>
        <v>0.75800000000000001</v>
      </c>
      <c r="F284" s="1">
        <f ca="1">IFERROR(__xludf.DUMMYFUNCTION("""COMPUTED_VALUE"""),3.71)</f>
        <v>3.71</v>
      </c>
      <c r="G284" s="1">
        <f ca="1">IFERROR(__xludf.DUMMYFUNCTION("""COMPUTED_VALUE"""),-3.37)</f>
        <v>-3.37</v>
      </c>
      <c r="H284" s="1">
        <f ca="1">IFERROR(__xludf.DUMMYFUNCTION("""COMPUTED_VALUE"""),14)</f>
        <v>14</v>
      </c>
      <c r="I284" s="1">
        <f ca="1">IFERROR(__xludf.DUMMYFUNCTION("""COMPUTED_VALUE"""),2)</f>
        <v>2</v>
      </c>
      <c r="J284" s="1">
        <f ca="1">IFERROR(__xludf.DUMMYFUNCTION("""COMPUTED_VALUE"""),13)</f>
        <v>13</v>
      </c>
      <c r="K284" s="1">
        <f ca="1">IFERROR(__xludf.DUMMYFUNCTION("""COMPUTED_VALUE"""),1)</f>
        <v>1</v>
      </c>
      <c r="L284" s="1">
        <f ca="1">IFERROR(__xludf.DUMMYFUNCTION("""COMPUTED_VALUE"""),7)</f>
        <v>7</v>
      </c>
      <c r="M284" s="1">
        <f ca="1">IFERROR(__xludf.DUMMYFUNCTION("""COMPUTED_VALUE"""),6)</f>
        <v>6</v>
      </c>
      <c r="N284" s="1">
        <f ca="1">IFERROR(__xludf.DUMMYFUNCTION("""COMPUTED_VALUE"""),2616)</f>
        <v>2616</v>
      </c>
      <c r="O284" s="1">
        <f ca="1">IFERROR(__xludf.DUMMYFUNCTION("""COMPUTED_VALUE"""),2284)</f>
        <v>2284</v>
      </c>
      <c r="P284" s="1">
        <f ca="1">IFERROR(__xludf.DUMMYFUNCTION("""COMPUTED_VALUE"""),1330)</f>
        <v>1330</v>
      </c>
      <c r="Q284" s="1">
        <f ca="1">IFERROR(__xludf.DUMMYFUNCTION("""COMPUTED_VALUE"""),909)</f>
        <v>909</v>
      </c>
      <c r="R284" s="1">
        <f ca="1">IFERROR(__xludf.DUMMYFUNCTION("""COMPUTED_VALUE"""),1963)</f>
        <v>1963</v>
      </c>
      <c r="S284" s="1">
        <f ca="1">IFERROR(__xludf.DUMMYFUNCTION("""COMPUTED_VALUE"""),0.463)</f>
        <v>0.46300000000000002</v>
      </c>
      <c r="T284" s="1">
        <f ca="1">IFERROR(__xludf.DUMMYFUNCTION("""COMPUTED_VALUE"""),287)</f>
        <v>287</v>
      </c>
      <c r="U284" s="1">
        <f ca="1">IFERROR(__xludf.DUMMYFUNCTION("""COMPUTED_VALUE"""),775)</f>
        <v>775</v>
      </c>
      <c r="V284" s="1">
        <f ca="1">IFERROR(__xludf.DUMMYFUNCTION("""COMPUTED_VALUE"""),0.37)</f>
        <v>0.37</v>
      </c>
      <c r="W284" s="1">
        <f ca="1">IFERROR(__xludf.DUMMYFUNCTION("""COMPUTED_VALUE"""),511)</f>
        <v>511</v>
      </c>
      <c r="X284" s="1">
        <f ca="1">IFERROR(__xludf.DUMMYFUNCTION("""COMPUTED_VALUE"""),727)</f>
        <v>727</v>
      </c>
      <c r="Y284" s="1">
        <f ca="1">IFERROR(__xludf.DUMMYFUNCTION("""COMPUTED_VALUE"""),0.703)</f>
        <v>0.70299999999999996</v>
      </c>
      <c r="Z284" s="1">
        <f ca="1">IFERROR(__xludf.DUMMYFUNCTION("""COMPUTED_VALUE"""),410)</f>
        <v>410</v>
      </c>
      <c r="AA284" s="1">
        <f ca="1">IFERROR(__xludf.DUMMYFUNCTION("""COMPUTED_VALUE"""),1247)</f>
        <v>1247</v>
      </c>
      <c r="AB284" s="1">
        <f ca="1">IFERROR(__xludf.DUMMYFUNCTION("""COMPUTED_VALUE"""),673)</f>
        <v>673</v>
      </c>
      <c r="AC284" s="1">
        <f ca="1">IFERROR(__xludf.DUMMYFUNCTION("""COMPUTED_VALUE"""),257)</f>
        <v>257</v>
      </c>
      <c r="AD284" s="1">
        <f ca="1">IFERROR(__xludf.DUMMYFUNCTION("""COMPUTED_VALUE"""),85)</f>
        <v>85</v>
      </c>
      <c r="AE284" s="1">
        <f ca="1">IFERROR(__xludf.DUMMYFUNCTION("""COMPUTED_VALUE"""),442)</f>
        <v>442</v>
      </c>
      <c r="AF284" s="1">
        <f ca="1">IFERROR(__xludf.DUMMYFUNCTION("""COMPUTED_VALUE"""),661)</f>
        <v>661</v>
      </c>
    </row>
    <row r="285" spans="1:32" ht="12.5" x14ac:dyDescent="0.25">
      <c r="A285" s="1" t="str">
        <f ca="1">IFERROR(__xludf.DUMMYFUNCTION("""COMPUTED_VALUE"""),"Samford")</f>
        <v>Samford</v>
      </c>
      <c r="B285" s="1">
        <f ca="1">IFERROR(__xludf.DUMMYFUNCTION("""COMPUTED_VALUE"""),31)</f>
        <v>31</v>
      </c>
      <c r="C285" s="1">
        <f ca="1">IFERROR(__xludf.DUMMYFUNCTION("""COMPUTED_VALUE"""),11)</f>
        <v>11</v>
      </c>
      <c r="D285" s="1">
        <f ca="1">IFERROR(__xludf.DUMMYFUNCTION("""COMPUTED_VALUE"""),20)</f>
        <v>20</v>
      </c>
      <c r="E285" s="1">
        <f ca="1">IFERROR(__xludf.DUMMYFUNCTION("""COMPUTED_VALUE"""),0.355)</f>
        <v>0.35499999999999998</v>
      </c>
      <c r="F285" s="1">
        <f ca="1">IFERROR(__xludf.DUMMYFUNCTION("""COMPUTED_VALUE"""),-7.32)</f>
        <v>-7.32</v>
      </c>
      <c r="G285" s="1">
        <f ca="1">IFERROR(__xludf.DUMMYFUNCTION("""COMPUTED_VALUE"""),-2.54)</f>
        <v>-2.54</v>
      </c>
      <c r="H285" s="1">
        <f ca="1">IFERROR(__xludf.DUMMYFUNCTION("""COMPUTED_VALUE"""),5)</f>
        <v>5</v>
      </c>
      <c r="I285" s="1">
        <f ca="1">IFERROR(__xludf.DUMMYFUNCTION("""COMPUTED_VALUE"""),13)</f>
        <v>13</v>
      </c>
      <c r="J285" s="1">
        <f ca="1">IFERROR(__xludf.DUMMYFUNCTION("""COMPUTED_VALUE"""),7)</f>
        <v>7</v>
      </c>
      <c r="K285" s="1">
        <f ca="1">IFERROR(__xludf.DUMMYFUNCTION("""COMPUTED_VALUE"""),7)</f>
        <v>7</v>
      </c>
      <c r="L285" s="1">
        <f ca="1">IFERROR(__xludf.DUMMYFUNCTION("""COMPUTED_VALUE"""),4)</f>
        <v>4</v>
      </c>
      <c r="M285" s="1">
        <f ca="1">IFERROR(__xludf.DUMMYFUNCTION("""COMPUTED_VALUE"""),10)</f>
        <v>10</v>
      </c>
      <c r="N285" s="1">
        <f ca="1">IFERROR(__xludf.DUMMYFUNCTION("""COMPUTED_VALUE"""),1789)</f>
        <v>1789</v>
      </c>
      <c r="O285" s="1">
        <f ca="1">IFERROR(__xludf.DUMMYFUNCTION("""COMPUTED_VALUE"""),1881)</f>
        <v>1881</v>
      </c>
      <c r="P285" s="1">
        <f ca="1">IFERROR(__xludf.DUMMYFUNCTION("""COMPUTED_VALUE"""),1240)</f>
        <v>1240</v>
      </c>
      <c r="Q285" s="1">
        <f ca="1">IFERROR(__xludf.DUMMYFUNCTION("""COMPUTED_VALUE"""),620)</f>
        <v>620</v>
      </c>
      <c r="R285" s="1">
        <f ca="1">IFERROR(__xludf.DUMMYFUNCTION("""COMPUTED_VALUE"""),1365)</f>
        <v>1365</v>
      </c>
      <c r="S285" s="1">
        <f ca="1">IFERROR(__xludf.DUMMYFUNCTION("""COMPUTED_VALUE"""),0.454)</f>
        <v>0.45400000000000001</v>
      </c>
      <c r="T285" s="1">
        <f ca="1">IFERROR(__xludf.DUMMYFUNCTION("""COMPUTED_VALUE"""),247)</f>
        <v>247</v>
      </c>
      <c r="U285" s="1">
        <f ca="1">IFERROR(__xludf.DUMMYFUNCTION("""COMPUTED_VALUE"""),696)</f>
        <v>696</v>
      </c>
      <c r="V285" s="1">
        <f ca="1">IFERROR(__xludf.DUMMYFUNCTION("""COMPUTED_VALUE"""),0.355)</f>
        <v>0.35499999999999998</v>
      </c>
      <c r="W285" s="1">
        <f ca="1">IFERROR(__xludf.DUMMYFUNCTION("""COMPUTED_VALUE"""),302)</f>
        <v>302</v>
      </c>
      <c r="X285" s="1">
        <f ca="1">IFERROR(__xludf.DUMMYFUNCTION("""COMPUTED_VALUE"""),453)</f>
        <v>453</v>
      </c>
      <c r="Y285" s="1">
        <f ca="1">IFERROR(__xludf.DUMMYFUNCTION("""COMPUTED_VALUE"""),0.667)</f>
        <v>0.66700000000000004</v>
      </c>
      <c r="Z285" s="1">
        <f ca="1">IFERROR(__xludf.DUMMYFUNCTION("""COMPUTED_VALUE"""),192)</f>
        <v>192</v>
      </c>
      <c r="AA285" s="1">
        <f ca="1">IFERROR(__xludf.DUMMYFUNCTION("""COMPUTED_VALUE"""),867)</f>
        <v>867</v>
      </c>
      <c r="AB285" s="1">
        <f ca="1">IFERROR(__xludf.DUMMYFUNCTION("""COMPUTED_VALUE"""),405)</f>
        <v>405</v>
      </c>
      <c r="AC285" s="1">
        <f ca="1">IFERROR(__xludf.DUMMYFUNCTION("""COMPUTED_VALUE"""),162)</f>
        <v>162</v>
      </c>
      <c r="AD285" s="1">
        <f ca="1">IFERROR(__xludf.DUMMYFUNCTION("""COMPUTED_VALUE"""),53)</f>
        <v>53</v>
      </c>
      <c r="AE285" s="1">
        <f ca="1">IFERROR(__xludf.DUMMYFUNCTION("""COMPUTED_VALUE"""),399)</f>
        <v>399</v>
      </c>
      <c r="AF285" s="1">
        <f ca="1">IFERROR(__xludf.DUMMYFUNCTION("""COMPUTED_VALUE"""),443)</f>
        <v>443</v>
      </c>
    </row>
    <row r="286" spans="1:32" ht="12.5" x14ac:dyDescent="0.25">
      <c r="A286" s="1" t="str">
        <f ca="1">IFERROR(__xludf.DUMMYFUNCTION("""COMPUTED_VALUE"""),"Overall")</f>
        <v>Overall</v>
      </c>
      <c r="B286" s="1" t="str">
        <f ca="1">IFERROR(__xludf.DUMMYFUNCTION("""COMPUTED_VALUE"""),"Conf.")</f>
        <v>Conf.</v>
      </c>
      <c r="C286" s="1" t="str">
        <f ca="1">IFERROR(__xludf.DUMMYFUNCTION("""COMPUTED_VALUE"""),"Home")</f>
        <v>Home</v>
      </c>
      <c r="D286" s="1" t="str">
        <f ca="1">IFERROR(__xludf.DUMMYFUNCTION("""COMPUTED_VALUE"""),"Away")</f>
        <v>Away</v>
      </c>
      <c r="E286" s="1" t="str">
        <f ca="1">IFERROR(__xludf.DUMMYFUNCTION("""COMPUTED_VALUE"""),"Points")</f>
        <v>Points</v>
      </c>
      <c r="F286" s="1" t="str">
        <f ca="1">IFERROR(__xludf.DUMMYFUNCTION("""COMPUTED_VALUE"""),"")</f>
        <v/>
      </c>
      <c r="G286" s="1" t="str">
        <f ca="1">IFERROR(__xludf.DUMMYFUNCTION("""COMPUTED_VALUE"""),"School Totals")</f>
        <v>School Totals</v>
      </c>
      <c r="H286" s="1" t="str">
        <f ca="1">IFERROR(__xludf.DUMMYFUNCTION("""COMPUTED_VALUE"""),"")</f>
        <v/>
      </c>
      <c r="I286" s="1" t="str">
        <f ca="1">IFERROR(__xludf.DUMMYFUNCTION("""COMPUTED_VALUE"""),"")</f>
        <v/>
      </c>
      <c r="J286" s="1" t="str">
        <f ca="1">IFERROR(__xludf.DUMMYFUNCTION("""COMPUTED_VALUE"""),"")</f>
        <v/>
      </c>
      <c r="K286" s="1" t="str">
        <f ca="1">IFERROR(__xludf.DUMMYFUNCTION("""COMPUTED_VALUE"""),"")</f>
        <v/>
      </c>
      <c r="L286" s="1" t="str">
        <f ca="1">IFERROR(__xludf.DUMMYFUNCTION("""COMPUTED_VALUE"""),"")</f>
        <v/>
      </c>
      <c r="M286" s="1" t="str">
        <f ca="1">IFERROR(__xludf.DUMMYFUNCTION("""COMPUTED_VALUE"""),"")</f>
        <v/>
      </c>
      <c r="N286" s="1" t="str">
        <f ca="1">IFERROR(__xludf.DUMMYFUNCTION("""COMPUTED_VALUE"""),"")</f>
        <v/>
      </c>
      <c r="O286" s="1" t="str">
        <f ca="1">IFERROR(__xludf.DUMMYFUNCTION("""COMPUTED_VALUE"""),"")</f>
        <v/>
      </c>
      <c r="P286" s="1" t="str">
        <f ca="1">IFERROR(__xludf.DUMMYFUNCTION("""COMPUTED_VALUE"""),"")</f>
        <v/>
      </c>
      <c r="Q286" s="1" t="str">
        <f ca="1">IFERROR(__xludf.DUMMYFUNCTION("""COMPUTED_VALUE"""),"")</f>
        <v/>
      </c>
      <c r="R286" s="1" t="str">
        <f ca="1">IFERROR(__xludf.DUMMYFUNCTION("""COMPUTED_VALUE"""),"")</f>
        <v/>
      </c>
      <c r="S286" s="1" t="str">
        <f ca="1">IFERROR(__xludf.DUMMYFUNCTION("""COMPUTED_VALUE"""),"")</f>
        <v/>
      </c>
      <c r="T286" s="1" t="str">
        <f ca="1">IFERROR(__xludf.DUMMYFUNCTION("""COMPUTED_VALUE"""),"")</f>
        <v/>
      </c>
      <c r="U286" s="1" t="str">
        <f ca="1">IFERROR(__xludf.DUMMYFUNCTION("""COMPUTED_VALUE"""),"")</f>
        <v/>
      </c>
      <c r="V286" s="1" t="str">
        <f ca="1">IFERROR(__xludf.DUMMYFUNCTION("""COMPUTED_VALUE"""),"")</f>
        <v/>
      </c>
      <c r="W286" s="1" t="str">
        <f ca="1">IFERROR(__xludf.DUMMYFUNCTION("""COMPUTED_VALUE"""),"")</f>
        <v/>
      </c>
      <c r="X286" s="1" t="str">
        <f ca="1">IFERROR(__xludf.DUMMYFUNCTION("""COMPUTED_VALUE"""),"")</f>
        <v/>
      </c>
      <c r="Y286" s="1" t="str">
        <f ca="1">IFERROR(__xludf.DUMMYFUNCTION("""COMPUTED_VALUE"""),"")</f>
        <v/>
      </c>
      <c r="Z286" s="1" t="str">
        <f ca="1">IFERROR(__xludf.DUMMYFUNCTION("""COMPUTED_VALUE"""),"")</f>
        <v/>
      </c>
      <c r="AA286" s="1" t="str">
        <f ca="1">IFERROR(__xludf.DUMMYFUNCTION("""COMPUTED_VALUE"""),"")</f>
        <v/>
      </c>
      <c r="AB286" s="1" t="str">
        <f ca="1">IFERROR(__xludf.DUMMYFUNCTION("""COMPUTED_VALUE"""),"")</f>
        <v/>
      </c>
      <c r="AC286" s="1" t="str">
        <f ca="1">IFERROR(__xludf.DUMMYFUNCTION("""COMPUTED_VALUE"""),"")</f>
        <v/>
      </c>
      <c r="AD286" s="1" t="str">
        <f ca="1">IFERROR(__xludf.DUMMYFUNCTION("""COMPUTED_VALUE"""),"")</f>
        <v/>
      </c>
      <c r="AE286" s="1" t="str">
        <f ca="1">IFERROR(__xludf.DUMMYFUNCTION("""COMPUTED_VALUE"""),"")</f>
        <v/>
      </c>
      <c r="AF286" s="1" t="str">
        <f ca="1">IFERROR(__xludf.DUMMYFUNCTION("""COMPUTED_VALUE"""),"")</f>
        <v/>
      </c>
    </row>
    <row r="287" spans="1:32" ht="12.5" x14ac:dyDescent="0.25">
      <c r="A287" s="1" t="str">
        <f ca="1">IFERROR(__xludf.DUMMYFUNCTION("""COMPUTED_VALUE"""),"School")</f>
        <v>School</v>
      </c>
      <c r="B287" s="1" t="str">
        <f ca="1">IFERROR(__xludf.DUMMYFUNCTION("""COMPUTED_VALUE"""),"G")</f>
        <v>G</v>
      </c>
      <c r="C287" s="1" t="str">
        <f ca="1">IFERROR(__xludf.DUMMYFUNCTION("""COMPUTED_VALUE"""),"W")</f>
        <v>W</v>
      </c>
      <c r="D287" s="1" t="str">
        <f ca="1">IFERROR(__xludf.DUMMYFUNCTION("""COMPUTED_VALUE"""),"L")</f>
        <v>L</v>
      </c>
      <c r="E287" s="1" t="str">
        <f ca="1">IFERROR(__xludf.DUMMYFUNCTION("""COMPUTED_VALUE"""),"W-L%")</f>
        <v>W-L%</v>
      </c>
      <c r="F287" s="1" t="str">
        <f ca="1">IFERROR(__xludf.DUMMYFUNCTION("""COMPUTED_VALUE"""),"SRS")</f>
        <v>SRS</v>
      </c>
      <c r="G287" s="1" t="str">
        <f ca="1">IFERROR(__xludf.DUMMYFUNCTION("""COMPUTED_VALUE"""),"SOS")</f>
        <v>SOS</v>
      </c>
      <c r="H287" s="1" t="str">
        <f ca="1">IFERROR(__xludf.DUMMYFUNCTION("""COMPUTED_VALUE"""),"W")</f>
        <v>W</v>
      </c>
      <c r="I287" s="1" t="str">
        <f ca="1">IFERROR(__xludf.DUMMYFUNCTION("""COMPUTED_VALUE"""),"L")</f>
        <v>L</v>
      </c>
      <c r="J287" s="1" t="str">
        <f ca="1">IFERROR(__xludf.DUMMYFUNCTION("""COMPUTED_VALUE"""),"W")</f>
        <v>W</v>
      </c>
      <c r="K287" s="1" t="str">
        <f ca="1">IFERROR(__xludf.DUMMYFUNCTION("""COMPUTED_VALUE"""),"L")</f>
        <v>L</v>
      </c>
      <c r="L287" s="1" t="str">
        <f ca="1">IFERROR(__xludf.DUMMYFUNCTION("""COMPUTED_VALUE"""),"W")</f>
        <v>W</v>
      </c>
      <c r="M287" s="1" t="str">
        <f ca="1">IFERROR(__xludf.DUMMYFUNCTION("""COMPUTED_VALUE"""),"L")</f>
        <v>L</v>
      </c>
      <c r="N287" s="1" t="str">
        <f ca="1">IFERROR(__xludf.DUMMYFUNCTION("""COMPUTED_VALUE"""),"Tm.")</f>
        <v>Tm.</v>
      </c>
      <c r="O287" s="1" t="str">
        <f ca="1">IFERROR(__xludf.DUMMYFUNCTION("""COMPUTED_VALUE"""),"Opp.")</f>
        <v>Opp.</v>
      </c>
      <c r="P287" s="1" t="str">
        <f ca="1">IFERROR(__xludf.DUMMYFUNCTION("""COMPUTED_VALUE"""),"MP")</f>
        <v>MP</v>
      </c>
      <c r="Q287" s="1" t="str">
        <f ca="1">IFERROR(__xludf.DUMMYFUNCTION("""COMPUTED_VALUE"""),"FG")</f>
        <v>FG</v>
      </c>
      <c r="R287" s="1" t="str">
        <f ca="1">IFERROR(__xludf.DUMMYFUNCTION("""COMPUTED_VALUE"""),"FGA")</f>
        <v>FGA</v>
      </c>
      <c r="S287" s="1" t="str">
        <f ca="1">IFERROR(__xludf.DUMMYFUNCTION("""COMPUTED_VALUE"""),"FG%")</f>
        <v>FG%</v>
      </c>
      <c r="T287" s="1" t="str">
        <f ca="1">IFERROR(__xludf.DUMMYFUNCTION("""COMPUTED_VALUE"""),"3P")</f>
        <v>3P</v>
      </c>
      <c r="U287" s="1" t="str">
        <f ca="1">IFERROR(__xludf.DUMMYFUNCTION("""COMPUTED_VALUE"""),"3PA")</f>
        <v>3PA</v>
      </c>
      <c r="V287" s="1" t="str">
        <f ca="1">IFERROR(__xludf.DUMMYFUNCTION("""COMPUTED_VALUE"""),"3P%")</f>
        <v>3P%</v>
      </c>
      <c r="W287" s="1" t="str">
        <f ca="1">IFERROR(__xludf.DUMMYFUNCTION("""COMPUTED_VALUE"""),"FT")</f>
        <v>FT</v>
      </c>
      <c r="X287" s="1" t="str">
        <f ca="1">IFERROR(__xludf.DUMMYFUNCTION("""COMPUTED_VALUE"""),"FTA")</f>
        <v>FTA</v>
      </c>
      <c r="Y287" s="1" t="str">
        <f ca="1">IFERROR(__xludf.DUMMYFUNCTION("""COMPUTED_VALUE"""),"FT%")</f>
        <v>FT%</v>
      </c>
      <c r="Z287" s="1" t="str">
        <f ca="1">IFERROR(__xludf.DUMMYFUNCTION("""COMPUTED_VALUE"""),"ORB")</f>
        <v>ORB</v>
      </c>
      <c r="AA287" s="1" t="str">
        <f ca="1">IFERROR(__xludf.DUMMYFUNCTION("""COMPUTED_VALUE"""),"TRB")</f>
        <v>TRB</v>
      </c>
      <c r="AB287" s="1" t="str">
        <f ca="1">IFERROR(__xludf.DUMMYFUNCTION("""COMPUTED_VALUE"""),"AST")</f>
        <v>AST</v>
      </c>
      <c r="AC287" s="1" t="str">
        <f ca="1">IFERROR(__xludf.DUMMYFUNCTION("""COMPUTED_VALUE"""),"STL")</f>
        <v>STL</v>
      </c>
      <c r="AD287" s="1" t="str">
        <f ca="1">IFERROR(__xludf.DUMMYFUNCTION("""COMPUTED_VALUE"""),"BLK")</f>
        <v>BLK</v>
      </c>
      <c r="AE287" s="1" t="str">
        <f ca="1">IFERROR(__xludf.DUMMYFUNCTION("""COMPUTED_VALUE"""),"TOV")</f>
        <v>TOV</v>
      </c>
      <c r="AF287" s="1" t="str">
        <f ca="1">IFERROR(__xludf.DUMMYFUNCTION("""COMPUTED_VALUE"""),"PF")</f>
        <v>PF</v>
      </c>
    </row>
    <row r="288" spans="1:32" ht="12.5" x14ac:dyDescent="0.25">
      <c r="A288" s="1" t="str">
        <f ca="1">IFERROR(__xludf.DUMMYFUNCTION("""COMPUTED_VALUE"""),"San Diego StateNCAA")</f>
        <v>San Diego StateNCAA</v>
      </c>
      <c r="B288" s="1">
        <f ca="1">IFERROR(__xludf.DUMMYFUNCTION("""COMPUTED_VALUE"""),34)</f>
        <v>34</v>
      </c>
      <c r="C288" s="1">
        <f ca="1">IFERROR(__xludf.DUMMYFUNCTION("""COMPUTED_VALUE"""),25)</f>
        <v>25</v>
      </c>
      <c r="D288" s="1">
        <f ca="1">IFERROR(__xludf.DUMMYFUNCTION("""COMPUTED_VALUE"""),9)</f>
        <v>9</v>
      </c>
      <c r="E288" s="1">
        <f ca="1">IFERROR(__xludf.DUMMYFUNCTION("""COMPUTED_VALUE"""),0.735)</f>
        <v>0.73499999999999999</v>
      </c>
      <c r="F288" s="1">
        <f ca="1">IFERROR(__xludf.DUMMYFUNCTION("""COMPUTED_VALUE"""),11.34)</f>
        <v>11.34</v>
      </c>
      <c r="G288" s="1">
        <f ca="1">IFERROR(__xludf.DUMMYFUNCTION("""COMPUTED_VALUE"""),4.21)</f>
        <v>4.21</v>
      </c>
      <c r="H288" s="1">
        <f ca="1">IFERROR(__xludf.DUMMYFUNCTION("""COMPUTED_VALUE"""),11)</f>
        <v>11</v>
      </c>
      <c r="I288" s="1">
        <f ca="1">IFERROR(__xludf.DUMMYFUNCTION("""COMPUTED_VALUE"""),5)</f>
        <v>5</v>
      </c>
      <c r="J288" s="1">
        <f ca="1">IFERROR(__xludf.DUMMYFUNCTION("""COMPUTED_VALUE"""),14)</f>
        <v>14</v>
      </c>
      <c r="K288" s="1">
        <f ca="1">IFERROR(__xludf.DUMMYFUNCTION("""COMPUTED_VALUE"""),1)</f>
        <v>1</v>
      </c>
      <c r="L288" s="1">
        <f ca="1">IFERROR(__xludf.DUMMYFUNCTION("""COMPUTED_VALUE"""),9)</f>
        <v>9</v>
      </c>
      <c r="M288" s="1">
        <f ca="1">IFERROR(__xludf.DUMMYFUNCTION("""COMPUTED_VALUE"""),7)</f>
        <v>7</v>
      </c>
      <c r="N288" s="1">
        <f ca="1">IFERROR(__xludf.DUMMYFUNCTION("""COMPUTED_VALUE"""),2389)</f>
        <v>2389</v>
      </c>
      <c r="O288" s="1">
        <f ca="1">IFERROR(__xludf.DUMMYFUNCTION("""COMPUTED_VALUE"""),2101)</f>
        <v>2101</v>
      </c>
      <c r="P288" s="1">
        <f ca="1">IFERROR(__xludf.DUMMYFUNCTION("""COMPUTED_VALUE"""),1375)</f>
        <v>1375</v>
      </c>
      <c r="Q288" s="1">
        <f ca="1">IFERROR(__xludf.DUMMYFUNCTION("""COMPUTED_VALUE"""),875)</f>
        <v>875</v>
      </c>
      <c r="R288" s="1">
        <f ca="1">IFERROR(__xludf.DUMMYFUNCTION("""COMPUTED_VALUE"""),1846)</f>
        <v>1846</v>
      </c>
      <c r="S288" s="1">
        <f ca="1">IFERROR(__xludf.DUMMYFUNCTION("""COMPUTED_VALUE"""),0.474)</f>
        <v>0.47399999999999998</v>
      </c>
      <c r="T288" s="1">
        <f ca="1">IFERROR(__xludf.DUMMYFUNCTION("""COMPUTED_VALUE"""),179)</f>
        <v>179</v>
      </c>
      <c r="U288" s="1">
        <f ca="1">IFERROR(__xludf.DUMMYFUNCTION("""COMPUTED_VALUE"""),564)</f>
        <v>564</v>
      </c>
      <c r="V288" s="1">
        <f ca="1">IFERROR(__xludf.DUMMYFUNCTION("""COMPUTED_VALUE"""),0.317)</f>
        <v>0.317</v>
      </c>
      <c r="W288" s="1">
        <f ca="1">IFERROR(__xludf.DUMMYFUNCTION("""COMPUTED_VALUE"""),460)</f>
        <v>460</v>
      </c>
      <c r="X288" s="1">
        <f ca="1">IFERROR(__xludf.DUMMYFUNCTION("""COMPUTED_VALUE"""),741)</f>
        <v>741</v>
      </c>
      <c r="Y288" s="1">
        <f ca="1">IFERROR(__xludf.DUMMYFUNCTION("""COMPUTED_VALUE"""),0.621)</f>
        <v>0.621</v>
      </c>
      <c r="Z288" s="1">
        <f ca="1">IFERROR(__xludf.DUMMYFUNCTION("""COMPUTED_VALUE"""),444)</f>
        <v>444</v>
      </c>
      <c r="AA288" s="1">
        <f ca="1">IFERROR(__xludf.DUMMYFUNCTION("""COMPUTED_VALUE"""),1257)</f>
        <v>1257</v>
      </c>
      <c r="AB288" s="1">
        <f ca="1">IFERROR(__xludf.DUMMYFUNCTION("""COMPUTED_VALUE"""),458)</f>
        <v>458</v>
      </c>
      <c r="AC288" s="1">
        <f ca="1">IFERROR(__xludf.DUMMYFUNCTION("""COMPUTED_VALUE"""),251)</f>
        <v>251</v>
      </c>
      <c r="AD288" s="1">
        <f ca="1">IFERROR(__xludf.DUMMYFUNCTION("""COMPUTED_VALUE"""),156)</f>
        <v>156</v>
      </c>
      <c r="AE288" s="1">
        <f ca="1">IFERROR(__xludf.DUMMYFUNCTION("""COMPUTED_VALUE"""),453)</f>
        <v>453</v>
      </c>
      <c r="AF288" s="1">
        <f ca="1">IFERROR(__xludf.DUMMYFUNCTION("""COMPUTED_VALUE"""),552)</f>
        <v>552</v>
      </c>
    </row>
    <row r="289" spans="1:32" ht="12.5" x14ac:dyDescent="0.25">
      <c r="A289" s="1" t="str">
        <f ca="1">IFERROR(__xludf.DUMMYFUNCTION("""COMPUTED_VALUE"""),"San Diego")</f>
        <v>San Diego</v>
      </c>
      <c r="B289" s="1">
        <f ca="1">IFERROR(__xludf.DUMMYFUNCTION("""COMPUTED_VALUE"""),32)</f>
        <v>32</v>
      </c>
      <c r="C289" s="1">
        <f ca="1">IFERROR(__xludf.DUMMYFUNCTION("""COMPUTED_VALUE"""),11)</f>
        <v>11</v>
      </c>
      <c r="D289" s="1">
        <f ca="1">IFERROR(__xludf.DUMMYFUNCTION("""COMPUTED_VALUE"""),21)</f>
        <v>21</v>
      </c>
      <c r="E289" s="1">
        <f ca="1">IFERROR(__xludf.DUMMYFUNCTION("""COMPUTED_VALUE"""),0.344)</f>
        <v>0.34399999999999997</v>
      </c>
      <c r="F289" s="1">
        <f ca="1">IFERROR(__xludf.DUMMYFUNCTION("""COMPUTED_VALUE"""),-2.6)</f>
        <v>-2.6</v>
      </c>
      <c r="G289" s="1">
        <f ca="1">IFERROR(__xludf.DUMMYFUNCTION("""COMPUTED_VALUE"""),1.98)</f>
        <v>1.98</v>
      </c>
      <c r="H289" s="1">
        <f ca="1">IFERROR(__xludf.DUMMYFUNCTION("""COMPUTED_VALUE"""),3)</f>
        <v>3</v>
      </c>
      <c r="I289" s="1">
        <f ca="1">IFERROR(__xludf.DUMMYFUNCTION("""COMPUTED_VALUE"""),11)</f>
        <v>11</v>
      </c>
      <c r="J289" s="1">
        <f ca="1">IFERROR(__xludf.DUMMYFUNCTION("""COMPUTED_VALUE"""),5)</f>
        <v>5</v>
      </c>
      <c r="K289" s="1">
        <f ca="1">IFERROR(__xludf.DUMMYFUNCTION("""COMPUTED_VALUE"""),9)</f>
        <v>9</v>
      </c>
      <c r="L289" s="1">
        <f ca="1">IFERROR(__xludf.DUMMYFUNCTION("""COMPUTED_VALUE"""),3)</f>
        <v>3</v>
      </c>
      <c r="M289" s="1">
        <f ca="1">IFERROR(__xludf.DUMMYFUNCTION("""COMPUTED_VALUE"""),8)</f>
        <v>8</v>
      </c>
      <c r="N289" s="1">
        <f ca="1">IFERROR(__xludf.DUMMYFUNCTION("""COMPUTED_VALUE"""),1996)</f>
        <v>1996</v>
      </c>
      <c r="O289" s="1">
        <f ca="1">IFERROR(__xludf.DUMMYFUNCTION("""COMPUTED_VALUE"""),2119)</f>
        <v>2119</v>
      </c>
      <c r="P289" s="1">
        <f ca="1">IFERROR(__xludf.DUMMYFUNCTION("""COMPUTED_VALUE"""),1290)</f>
        <v>1290</v>
      </c>
      <c r="Q289" s="1">
        <f ca="1">IFERROR(__xludf.DUMMYFUNCTION("""COMPUTED_VALUE"""),680)</f>
        <v>680</v>
      </c>
      <c r="R289" s="1">
        <f ca="1">IFERROR(__xludf.DUMMYFUNCTION("""COMPUTED_VALUE"""),1652)</f>
        <v>1652</v>
      </c>
      <c r="S289" s="1">
        <f ca="1">IFERROR(__xludf.DUMMYFUNCTION("""COMPUTED_VALUE"""),0.412)</f>
        <v>0.41199999999999998</v>
      </c>
      <c r="T289" s="1">
        <f ca="1">IFERROR(__xludf.DUMMYFUNCTION("""COMPUTED_VALUE"""),220)</f>
        <v>220</v>
      </c>
      <c r="U289" s="1">
        <f ca="1">IFERROR(__xludf.DUMMYFUNCTION("""COMPUTED_VALUE"""),616)</f>
        <v>616</v>
      </c>
      <c r="V289" s="1">
        <f ca="1">IFERROR(__xludf.DUMMYFUNCTION("""COMPUTED_VALUE"""),0.357)</f>
        <v>0.35699999999999998</v>
      </c>
      <c r="W289" s="1">
        <f ca="1">IFERROR(__xludf.DUMMYFUNCTION("""COMPUTED_VALUE"""),416)</f>
        <v>416</v>
      </c>
      <c r="X289" s="1">
        <f ca="1">IFERROR(__xludf.DUMMYFUNCTION("""COMPUTED_VALUE"""),584)</f>
        <v>584</v>
      </c>
      <c r="Y289" s="1">
        <f ca="1">IFERROR(__xludf.DUMMYFUNCTION("""COMPUTED_VALUE"""),0.712)</f>
        <v>0.71199999999999997</v>
      </c>
      <c r="Z289" s="1">
        <f ca="1">IFERROR(__xludf.DUMMYFUNCTION("""COMPUTED_VALUE"""),298)</f>
        <v>298</v>
      </c>
      <c r="AA289" s="1">
        <f ca="1">IFERROR(__xludf.DUMMYFUNCTION("""COMPUTED_VALUE"""),972)</f>
        <v>972</v>
      </c>
      <c r="AB289" s="1">
        <f ca="1">IFERROR(__xludf.DUMMYFUNCTION("""COMPUTED_VALUE"""),367)</f>
        <v>367</v>
      </c>
      <c r="AC289" s="1">
        <f ca="1">IFERROR(__xludf.DUMMYFUNCTION("""COMPUTED_VALUE"""),213)</f>
        <v>213</v>
      </c>
      <c r="AD289" s="1">
        <f ca="1">IFERROR(__xludf.DUMMYFUNCTION("""COMPUTED_VALUE"""),96)</f>
        <v>96</v>
      </c>
      <c r="AE289" s="1">
        <f ca="1">IFERROR(__xludf.DUMMYFUNCTION("""COMPUTED_VALUE"""),429)</f>
        <v>429</v>
      </c>
      <c r="AF289" s="1">
        <f ca="1">IFERROR(__xludf.DUMMYFUNCTION("""COMPUTED_VALUE"""),585)</f>
        <v>585</v>
      </c>
    </row>
    <row r="290" spans="1:32" ht="12.5" x14ac:dyDescent="0.25">
      <c r="A290" s="1" t="str">
        <f ca="1">IFERROR(__xludf.DUMMYFUNCTION("""COMPUTED_VALUE"""),"San Francisco")</f>
        <v>San Francisco</v>
      </c>
      <c r="B290" s="1">
        <f ca="1">IFERROR(__xludf.DUMMYFUNCTION("""COMPUTED_VALUE"""),30)</f>
        <v>30</v>
      </c>
      <c r="C290" s="1">
        <f ca="1">IFERROR(__xludf.DUMMYFUNCTION("""COMPUTED_VALUE"""),12)</f>
        <v>12</v>
      </c>
      <c r="D290" s="1">
        <f ca="1">IFERROR(__xludf.DUMMYFUNCTION("""COMPUTED_VALUE"""),18)</f>
        <v>18</v>
      </c>
      <c r="E290" s="1">
        <f ca="1">IFERROR(__xludf.DUMMYFUNCTION("""COMPUTED_VALUE"""),0.4)</f>
        <v>0.4</v>
      </c>
      <c r="F290" s="1">
        <f ca="1">IFERROR(__xludf.DUMMYFUNCTION("""COMPUTED_VALUE"""),-3.48)</f>
        <v>-3.48</v>
      </c>
      <c r="G290" s="1">
        <f ca="1">IFERROR(__xludf.DUMMYFUNCTION("""COMPUTED_VALUE"""),2.82)</f>
        <v>2.82</v>
      </c>
      <c r="H290" s="1">
        <f ca="1">IFERROR(__xludf.DUMMYFUNCTION("""COMPUTED_VALUE"""),7)</f>
        <v>7</v>
      </c>
      <c r="I290" s="1">
        <f ca="1">IFERROR(__xludf.DUMMYFUNCTION("""COMPUTED_VALUE"""),7)</f>
        <v>7</v>
      </c>
      <c r="J290" s="1">
        <f ca="1">IFERROR(__xludf.DUMMYFUNCTION("""COMPUTED_VALUE"""),9)</f>
        <v>9</v>
      </c>
      <c r="K290" s="1">
        <f ca="1">IFERROR(__xludf.DUMMYFUNCTION("""COMPUTED_VALUE"""),4)</f>
        <v>4</v>
      </c>
      <c r="L290" s="1">
        <f ca="1">IFERROR(__xludf.DUMMYFUNCTION("""COMPUTED_VALUE"""),3)</f>
        <v>3</v>
      </c>
      <c r="M290" s="1">
        <f ca="1">IFERROR(__xludf.DUMMYFUNCTION("""COMPUTED_VALUE"""),10)</f>
        <v>10</v>
      </c>
      <c r="N290" s="1">
        <f ca="1">IFERROR(__xludf.DUMMYFUNCTION("""COMPUTED_VALUE"""),2116)</f>
        <v>2116</v>
      </c>
      <c r="O290" s="1">
        <f ca="1">IFERROR(__xludf.DUMMYFUNCTION("""COMPUTED_VALUE"""),2186)</f>
        <v>2186</v>
      </c>
      <c r="P290" s="1">
        <f ca="1">IFERROR(__xludf.DUMMYFUNCTION("""COMPUTED_VALUE"""),1225)</f>
        <v>1225</v>
      </c>
      <c r="Q290" s="1">
        <f ca="1">IFERROR(__xludf.DUMMYFUNCTION("""COMPUTED_VALUE"""),723)</f>
        <v>723</v>
      </c>
      <c r="R290" s="1">
        <f ca="1">IFERROR(__xludf.DUMMYFUNCTION("""COMPUTED_VALUE"""),1618)</f>
        <v>1618</v>
      </c>
      <c r="S290" s="1">
        <f ca="1">IFERROR(__xludf.DUMMYFUNCTION("""COMPUTED_VALUE"""),0.447)</f>
        <v>0.44700000000000001</v>
      </c>
      <c r="T290" s="1">
        <f ca="1">IFERROR(__xludf.DUMMYFUNCTION("""COMPUTED_VALUE"""),171)</f>
        <v>171</v>
      </c>
      <c r="U290" s="1">
        <f ca="1">IFERROR(__xludf.DUMMYFUNCTION("""COMPUTED_VALUE"""),483)</f>
        <v>483</v>
      </c>
      <c r="V290" s="1">
        <f ca="1">IFERROR(__xludf.DUMMYFUNCTION("""COMPUTED_VALUE"""),0.354)</f>
        <v>0.35399999999999998</v>
      </c>
      <c r="W290" s="1">
        <f ca="1">IFERROR(__xludf.DUMMYFUNCTION("""COMPUTED_VALUE"""),499)</f>
        <v>499</v>
      </c>
      <c r="X290" s="1">
        <f ca="1">IFERROR(__xludf.DUMMYFUNCTION("""COMPUTED_VALUE"""),727)</f>
        <v>727</v>
      </c>
      <c r="Y290" s="1">
        <f ca="1">IFERROR(__xludf.DUMMYFUNCTION("""COMPUTED_VALUE"""),0.686)</f>
        <v>0.68600000000000005</v>
      </c>
      <c r="Z290" s="1">
        <f ca="1">IFERROR(__xludf.DUMMYFUNCTION("""COMPUTED_VALUE"""),329)</f>
        <v>329</v>
      </c>
      <c r="AA290" s="1">
        <f ca="1">IFERROR(__xludf.DUMMYFUNCTION("""COMPUTED_VALUE"""),1076)</f>
        <v>1076</v>
      </c>
      <c r="AB290" s="1">
        <f ca="1">IFERROR(__xludf.DUMMYFUNCTION("""COMPUTED_VALUE"""),369)</f>
        <v>369</v>
      </c>
      <c r="AC290" s="1">
        <f ca="1">IFERROR(__xludf.DUMMYFUNCTION("""COMPUTED_VALUE"""),161)</f>
        <v>161</v>
      </c>
      <c r="AD290" s="1">
        <f ca="1">IFERROR(__xludf.DUMMYFUNCTION("""COMPUTED_VALUE"""),59)</f>
        <v>59</v>
      </c>
      <c r="AE290" s="1">
        <f ca="1">IFERROR(__xludf.DUMMYFUNCTION("""COMPUTED_VALUE"""),441)</f>
        <v>441</v>
      </c>
      <c r="AF290" s="1">
        <f ca="1">IFERROR(__xludf.DUMMYFUNCTION("""COMPUTED_VALUE"""),544)</f>
        <v>544</v>
      </c>
    </row>
    <row r="291" spans="1:32" ht="12.5" x14ac:dyDescent="0.25">
      <c r="A291" s="1" t="str">
        <f ca="1">IFERROR(__xludf.DUMMYFUNCTION("""COMPUTED_VALUE"""),"San Jose State")</f>
        <v>San Jose State</v>
      </c>
      <c r="B291" s="1">
        <f ca="1">IFERROR(__xludf.DUMMYFUNCTION("""COMPUTED_VALUE"""),31)</f>
        <v>31</v>
      </c>
      <c r="C291" s="1">
        <f ca="1">IFERROR(__xludf.DUMMYFUNCTION("""COMPUTED_VALUE"""),14)</f>
        <v>14</v>
      </c>
      <c r="D291" s="1">
        <f ca="1">IFERROR(__xludf.DUMMYFUNCTION("""COMPUTED_VALUE"""),17)</f>
        <v>17</v>
      </c>
      <c r="E291" s="1">
        <f ca="1">IFERROR(__xludf.DUMMYFUNCTION("""COMPUTED_VALUE"""),0.452)</f>
        <v>0.45200000000000001</v>
      </c>
      <c r="F291" s="1">
        <f ca="1">IFERROR(__xludf.DUMMYFUNCTION("""COMPUTED_VALUE"""),-2.06)</f>
        <v>-2.06</v>
      </c>
      <c r="G291" s="1">
        <f ca="1">IFERROR(__xludf.DUMMYFUNCTION("""COMPUTED_VALUE"""),0.83)</f>
        <v>0.83</v>
      </c>
      <c r="H291" s="1">
        <f ca="1">IFERROR(__xludf.DUMMYFUNCTION("""COMPUTED_VALUE"""),6)</f>
        <v>6</v>
      </c>
      <c r="I291" s="1">
        <f ca="1">IFERROR(__xludf.DUMMYFUNCTION("""COMPUTED_VALUE"""),10)</f>
        <v>10</v>
      </c>
      <c r="J291" s="1">
        <f ca="1">IFERROR(__xludf.DUMMYFUNCTION("""COMPUTED_VALUE"""),10)</f>
        <v>10</v>
      </c>
      <c r="K291" s="1">
        <f ca="1">IFERROR(__xludf.DUMMYFUNCTION("""COMPUTED_VALUE"""),4)</f>
        <v>4</v>
      </c>
      <c r="L291" s="1">
        <f ca="1">IFERROR(__xludf.DUMMYFUNCTION("""COMPUTED_VALUE"""),4)</f>
        <v>4</v>
      </c>
      <c r="M291" s="1">
        <f ca="1">IFERROR(__xludf.DUMMYFUNCTION("""COMPUTED_VALUE"""),12)</f>
        <v>12</v>
      </c>
      <c r="N291" s="1">
        <f ca="1">IFERROR(__xludf.DUMMYFUNCTION("""COMPUTED_VALUE"""),2289)</f>
        <v>2289</v>
      </c>
      <c r="O291" s="1">
        <f ca="1">IFERROR(__xludf.DUMMYFUNCTION("""COMPUTED_VALUE"""),2342)</f>
        <v>2342</v>
      </c>
      <c r="P291" s="1">
        <f ca="1">IFERROR(__xludf.DUMMYFUNCTION("""COMPUTED_VALUE"""),1245)</f>
        <v>1245</v>
      </c>
      <c r="Q291" s="1">
        <f ca="1">IFERROR(__xludf.DUMMYFUNCTION("""COMPUTED_VALUE"""),796)</f>
        <v>796</v>
      </c>
      <c r="R291" s="1">
        <f ca="1">IFERROR(__xludf.DUMMYFUNCTION("""COMPUTED_VALUE"""),1748)</f>
        <v>1748</v>
      </c>
      <c r="S291" s="1">
        <f ca="1">IFERROR(__xludf.DUMMYFUNCTION("""COMPUTED_VALUE"""),0.455)</f>
        <v>0.45500000000000002</v>
      </c>
      <c r="T291" s="1">
        <f ca="1">IFERROR(__xludf.DUMMYFUNCTION("""COMPUTED_VALUE"""),202)</f>
        <v>202</v>
      </c>
      <c r="U291" s="1">
        <f ca="1">IFERROR(__xludf.DUMMYFUNCTION("""COMPUTED_VALUE"""),509)</f>
        <v>509</v>
      </c>
      <c r="V291" s="1">
        <f ca="1">IFERROR(__xludf.DUMMYFUNCTION("""COMPUTED_VALUE"""),0.397)</f>
        <v>0.39700000000000002</v>
      </c>
      <c r="W291" s="1">
        <f ca="1">IFERROR(__xludf.DUMMYFUNCTION("""COMPUTED_VALUE"""),495)</f>
        <v>495</v>
      </c>
      <c r="X291" s="1">
        <f ca="1">IFERROR(__xludf.DUMMYFUNCTION("""COMPUTED_VALUE"""),680)</f>
        <v>680</v>
      </c>
      <c r="Y291" s="1">
        <f ca="1">IFERROR(__xludf.DUMMYFUNCTION("""COMPUTED_VALUE"""),0.728)</f>
        <v>0.72799999999999998</v>
      </c>
      <c r="Z291" s="1">
        <f ca="1">IFERROR(__xludf.DUMMYFUNCTION("""COMPUTED_VALUE"""),358)</f>
        <v>358</v>
      </c>
      <c r="AA291" s="1">
        <f ca="1">IFERROR(__xludf.DUMMYFUNCTION("""COMPUTED_VALUE"""),1090)</f>
        <v>1090</v>
      </c>
      <c r="AB291" s="1">
        <f ca="1">IFERROR(__xludf.DUMMYFUNCTION("""COMPUTED_VALUE"""),416)</f>
        <v>416</v>
      </c>
      <c r="AC291" s="1">
        <f ca="1">IFERROR(__xludf.DUMMYFUNCTION("""COMPUTED_VALUE"""),145)</f>
        <v>145</v>
      </c>
      <c r="AD291" s="1">
        <f ca="1">IFERROR(__xludf.DUMMYFUNCTION("""COMPUTED_VALUE"""),81)</f>
        <v>81</v>
      </c>
      <c r="AE291" s="1">
        <f ca="1">IFERROR(__xludf.DUMMYFUNCTION("""COMPUTED_VALUE"""),392)</f>
        <v>392</v>
      </c>
      <c r="AF291" s="1">
        <f ca="1">IFERROR(__xludf.DUMMYFUNCTION("""COMPUTED_VALUE"""),521)</f>
        <v>521</v>
      </c>
    </row>
    <row r="292" spans="1:32" ht="12.5" x14ac:dyDescent="0.25">
      <c r="A292" s="1" t="str">
        <f ca="1">IFERROR(__xludf.DUMMYFUNCTION("""COMPUTED_VALUE"""),"Santa Clara")</f>
        <v>Santa Clara</v>
      </c>
      <c r="B292" s="1">
        <f ca="1">IFERROR(__xludf.DUMMYFUNCTION("""COMPUTED_VALUE"""),32)</f>
        <v>32</v>
      </c>
      <c r="C292" s="1">
        <f ca="1">IFERROR(__xludf.DUMMYFUNCTION("""COMPUTED_VALUE"""),11)</f>
        <v>11</v>
      </c>
      <c r="D292" s="1">
        <f ca="1">IFERROR(__xludf.DUMMYFUNCTION("""COMPUTED_VALUE"""),21)</f>
        <v>21</v>
      </c>
      <c r="E292" s="1">
        <f ca="1">IFERROR(__xludf.DUMMYFUNCTION("""COMPUTED_VALUE"""),0.344)</f>
        <v>0.34399999999999997</v>
      </c>
      <c r="F292" s="1">
        <f ca="1">IFERROR(__xludf.DUMMYFUNCTION("""COMPUTED_VALUE"""),-5.84)</f>
        <v>-5.84</v>
      </c>
      <c r="G292" s="1">
        <f ca="1">IFERROR(__xludf.DUMMYFUNCTION("""COMPUTED_VALUE"""),1.66)</f>
        <v>1.66</v>
      </c>
      <c r="H292" s="1">
        <f ca="1">IFERROR(__xludf.DUMMYFUNCTION("""COMPUTED_VALUE"""),3)</f>
        <v>3</v>
      </c>
      <c r="I292" s="1">
        <f ca="1">IFERROR(__xludf.DUMMYFUNCTION("""COMPUTED_VALUE"""),11)</f>
        <v>11</v>
      </c>
      <c r="J292" s="1">
        <f ca="1">IFERROR(__xludf.DUMMYFUNCTION("""COMPUTED_VALUE"""),6)</f>
        <v>6</v>
      </c>
      <c r="K292" s="1">
        <f ca="1">IFERROR(__xludf.DUMMYFUNCTION("""COMPUTED_VALUE"""),12)</f>
        <v>12</v>
      </c>
      <c r="L292" s="1">
        <f ca="1">IFERROR(__xludf.DUMMYFUNCTION("""COMPUTED_VALUE"""),5)</f>
        <v>5</v>
      </c>
      <c r="M292" s="1">
        <f ca="1">IFERROR(__xludf.DUMMYFUNCTION("""COMPUTED_VALUE"""),8)</f>
        <v>8</v>
      </c>
      <c r="N292" s="1">
        <f ca="1">IFERROR(__xludf.DUMMYFUNCTION("""COMPUTED_VALUE"""),2049)</f>
        <v>2049</v>
      </c>
      <c r="O292" s="1">
        <f ca="1">IFERROR(__xludf.DUMMYFUNCTION("""COMPUTED_VALUE"""),2225)</f>
        <v>2225</v>
      </c>
      <c r="P292" s="1">
        <f ca="1">IFERROR(__xludf.DUMMYFUNCTION("""COMPUTED_VALUE"""),1285)</f>
        <v>1285</v>
      </c>
      <c r="Q292" s="1">
        <f ca="1">IFERROR(__xludf.DUMMYFUNCTION("""COMPUTED_VALUE"""),696)</f>
        <v>696</v>
      </c>
      <c r="R292" s="1">
        <f ca="1">IFERROR(__xludf.DUMMYFUNCTION("""COMPUTED_VALUE"""),1692)</f>
        <v>1692</v>
      </c>
      <c r="S292" s="1">
        <f ca="1">IFERROR(__xludf.DUMMYFUNCTION("""COMPUTED_VALUE"""),0.411)</f>
        <v>0.41099999999999998</v>
      </c>
      <c r="T292" s="1">
        <f ca="1">IFERROR(__xludf.DUMMYFUNCTION("""COMPUTED_VALUE"""),149)</f>
        <v>149</v>
      </c>
      <c r="U292" s="1">
        <f ca="1">IFERROR(__xludf.DUMMYFUNCTION("""COMPUTED_VALUE"""),498)</f>
        <v>498</v>
      </c>
      <c r="V292" s="1">
        <f ca="1">IFERROR(__xludf.DUMMYFUNCTION("""COMPUTED_VALUE"""),0.299)</f>
        <v>0.29899999999999999</v>
      </c>
      <c r="W292" s="1">
        <f ca="1">IFERROR(__xludf.DUMMYFUNCTION("""COMPUTED_VALUE"""),508)</f>
        <v>508</v>
      </c>
      <c r="X292" s="1">
        <f ca="1">IFERROR(__xludf.DUMMYFUNCTION("""COMPUTED_VALUE"""),743)</f>
        <v>743</v>
      </c>
      <c r="Y292" s="1">
        <f ca="1">IFERROR(__xludf.DUMMYFUNCTION("""COMPUTED_VALUE"""),0.684)</f>
        <v>0.68400000000000005</v>
      </c>
      <c r="Z292" s="1">
        <f ca="1">IFERROR(__xludf.DUMMYFUNCTION("""COMPUTED_VALUE"""),376)</f>
        <v>376</v>
      </c>
      <c r="AA292" s="1">
        <f ca="1">IFERROR(__xludf.DUMMYFUNCTION("""COMPUTED_VALUE"""),1091)</f>
        <v>1091</v>
      </c>
      <c r="AB292" s="1">
        <f ca="1">IFERROR(__xludf.DUMMYFUNCTION("""COMPUTED_VALUE"""),316)</f>
        <v>316</v>
      </c>
      <c r="AC292" s="1">
        <f ca="1">IFERROR(__xludf.DUMMYFUNCTION("""COMPUTED_VALUE"""),232)</f>
        <v>232</v>
      </c>
      <c r="AD292" s="1">
        <f ca="1">IFERROR(__xludf.DUMMYFUNCTION("""COMPUTED_VALUE"""),121)</f>
        <v>121</v>
      </c>
      <c r="AE292" s="1">
        <f ca="1">IFERROR(__xludf.DUMMYFUNCTION("""COMPUTED_VALUE"""),493)</f>
        <v>493</v>
      </c>
      <c r="AF292" s="1">
        <f ca="1">IFERROR(__xludf.DUMMYFUNCTION("""COMPUTED_VALUE"""),634)</f>
        <v>634</v>
      </c>
    </row>
    <row r="293" spans="1:32" ht="12.5" x14ac:dyDescent="0.25">
      <c r="A293" s="1" t="str">
        <f ca="1">IFERROR(__xludf.DUMMYFUNCTION("""COMPUTED_VALUE"""),"Savannah State")</f>
        <v>Savannah State</v>
      </c>
      <c r="B293" s="1">
        <f ca="1">IFERROR(__xludf.DUMMYFUNCTION("""COMPUTED_VALUE"""),26)</f>
        <v>26</v>
      </c>
      <c r="C293" s="1">
        <f ca="1">IFERROR(__xludf.DUMMYFUNCTION("""COMPUTED_VALUE"""),11)</f>
        <v>11</v>
      </c>
      <c r="D293" s="1">
        <f ca="1">IFERROR(__xludf.DUMMYFUNCTION("""COMPUTED_VALUE"""),15)</f>
        <v>15</v>
      </c>
      <c r="E293" s="1">
        <f ca="1">IFERROR(__xludf.DUMMYFUNCTION("""COMPUTED_VALUE"""),0.423)</f>
        <v>0.42299999999999999</v>
      </c>
      <c r="F293" s="1">
        <f ca="1">IFERROR(__xludf.DUMMYFUNCTION("""COMPUTED_VALUE"""),-12.9)</f>
        <v>-12.9</v>
      </c>
      <c r="G293" s="1">
        <f ca="1">IFERROR(__xludf.DUMMYFUNCTION("""COMPUTED_VALUE"""),-5.75)</f>
        <v>-5.75</v>
      </c>
      <c r="H293" s="1" t="str">
        <f ca="1">IFERROR(__xludf.DUMMYFUNCTION("""COMPUTED_VALUE"""),"")</f>
        <v/>
      </c>
      <c r="I293" s="1" t="str">
        <f ca="1">IFERROR(__xludf.DUMMYFUNCTION("""COMPUTED_VALUE"""),"")</f>
        <v/>
      </c>
      <c r="J293" s="1">
        <f ca="1">IFERROR(__xludf.DUMMYFUNCTION("""COMPUTED_VALUE"""),8)</f>
        <v>8</v>
      </c>
      <c r="K293" s="1">
        <f ca="1">IFERROR(__xludf.DUMMYFUNCTION("""COMPUTED_VALUE"""),3)</f>
        <v>3</v>
      </c>
      <c r="L293" s="1">
        <f ca="1">IFERROR(__xludf.DUMMYFUNCTION("""COMPUTED_VALUE"""),2)</f>
        <v>2</v>
      </c>
      <c r="M293" s="1">
        <f ca="1">IFERROR(__xludf.DUMMYFUNCTION("""COMPUTED_VALUE"""),11)</f>
        <v>11</v>
      </c>
      <c r="N293" s="1">
        <f ca="1">IFERROR(__xludf.DUMMYFUNCTION("""COMPUTED_VALUE"""),1528)</f>
        <v>1528</v>
      </c>
      <c r="O293" s="1">
        <f ca="1">IFERROR(__xludf.DUMMYFUNCTION("""COMPUTED_VALUE"""),1604)</f>
        <v>1604</v>
      </c>
      <c r="P293" s="1">
        <f ca="1">IFERROR(__xludf.DUMMYFUNCTION("""COMPUTED_VALUE"""),1045)</f>
        <v>1045</v>
      </c>
      <c r="Q293" s="1">
        <f ca="1">IFERROR(__xludf.DUMMYFUNCTION("""COMPUTED_VALUE"""),564)</f>
        <v>564</v>
      </c>
      <c r="R293" s="1">
        <f ca="1">IFERROR(__xludf.DUMMYFUNCTION("""COMPUTED_VALUE"""),1329)</f>
        <v>1329</v>
      </c>
      <c r="S293" s="1">
        <f ca="1">IFERROR(__xludf.DUMMYFUNCTION("""COMPUTED_VALUE"""),0.424)</f>
        <v>0.42399999999999999</v>
      </c>
      <c r="T293" s="1">
        <f ca="1">IFERROR(__xludf.DUMMYFUNCTION("""COMPUTED_VALUE"""),112)</f>
        <v>112</v>
      </c>
      <c r="U293" s="1">
        <f ca="1">IFERROR(__xludf.DUMMYFUNCTION("""COMPUTED_VALUE"""),370)</f>
        <v>370</v>
      </c>
      <c r="V293" s="1">
        <f ca="1">IFERROR(__xludf.DUMMYFUNCTION("""COMPUTED_VALUE"""),0.303)</f>
        <v>0.30299999999999999</v>
      </c>
      <c r="W293" s="1">
        <f ca="1">IFERROR(__xludf.DUMMYFUNCTION("""COMPUTED_VALUE"""),288)</f>
        <v>288</v>
      </c>
      <c r="X293" s="1">
        <f ca="1">IFERROR(__xludf.DUMMYFUNCTION("""COMPUTED_VALUE"""),443)</f>
        <v>443</v>
      </c>
      <c r="Y293" s="1">
        <f ca="1">IFERROR(__xludf.DUMMYFUNCTION("""COMPUTED_VALUE"""),0.65)</f>
        <v>0.65</v>
      </c>
      <c r="Z293" s="1">
        <f ca="1">IFERROR(__xludf.DUMMYFUNCTION("""COMPUTED_VALUE"""),292)</f>
        <v>292</v>
      </c>
      <c r="AA293" s="1">
        <f ca="1">IFERROR(__xludf.DUMMYFUNCTION("""COMPUTED_VALUE"""),852)</f>
        <v>852</v>
      </c>
      <c r="AB293" s="1">
        <f ca="1">IFERROR(__xludf.DUMMYFUNCTION("""COMPUTED_VALUE"""),303)</f>
        <v>303</v>
      </c>
      <c r="AC293" s="1">
        <f ca="1">IFERROR(__xludf.DUMMYFUNCTION("""COMPUTED_VALUE"""),194)</f>
        <v>194</v>
      </c>
      <c r="AD293" s="1">
        <f ca="1">IFERROR(__xludf.DUMMYFUNCTION("""COMPUTED_VALUE"""),74)</f>
        <v>74</v>
      </c>
      <c r="AE293" s="1">
        <f ca="1">IFERROR(__xludf.DUMMYFUNCTION("""COMPUTED_VALUE"""),418)</f>
        <v>418</v>
      </c>
      <c r="AF293" s="1">
        <f ca="1">IFERROR(__xludf.DUMMYFUNCTION("""COMPUTED_VALUE"""),476)</f>
        <v>476</v>
      </c>
    </row>
    <row r="294" spans="1:32" ht="12.5" x14ac:dyDescent="0.25">
      <c r="A294" s="1" t="str">
        <f ca="1">IFERROR(__xludf.DUMMYFUNCTION("""COMPUTED_VALUE"""),"Seattle")</f>
        <v>Seattle</v>
      </c>
      <c r="B294" s="1">
        <f ca="1">IFERROR(__xludf.DUMMYFUNCTION("""COMPUTED_VALUE"""),31)</f>
        <v>31</v>
      </c>
      <c r="C294" s="1">
        <f ca="1">IFERROR(__xludf.DUMMYFUNCTION("""COMPUTED_VALUE"""),17)</f>
        <v>17</v>
      </c>
      <c r="D294" s="1">
        <f ca="1">IFERROR(__xludf.DUMMYFUNCTION("""COMPUTED_VALUE"""),14)</f>
        <v>14</v>
      </c>
      <c r="E294" s="1">
        <f ca="1">IFERROR(__xludf.DUMMYFUNCTION("""COMPUTED_VALUE"""),0.548)</f>
        <v>0.54800000000000004</v>
      </c>
      <c r="F294" s="1" t="str">
        <f ca="1">IFERROR(__xludf.DUMMYFUNCTION("""COMPUTED_VALUE"""),"")</f>
        <v/>
      </c>
      <c r="G294" s="1" t="str">
        <f ca="1">IFERROR(__xludf.DUMMYFUNCTION("""COMPUTED_VALUE"""),"")</f>
        <v/>
      </c>
      <c r="H294" s="1" t="str">
        <f ca="1">IFERROR(__xludf.DUMMYFUNCTION("""COMPUTED_VALUE"""),"")</f>
        <v/>
      </c>
      <c r="I294" s="1" t="str">
        <f ca="1">IFERROR(__xludf.DUMMYFUNCTION("""COMPUTED_VALUE"""),"")</f>
        <v/>
      </c>
      <c r="J294" s="1">
        <f ca="1">IFERROR(__xludf.DUMMYFUNCTION("""COMPUTED_VALUE"""),10)</f>
        <v>10</v>
      </c>
      <c r="K294" s="1">
        <f ca="1">IFERROR(__xludf.DUMMYFUNCTION("""COMPUTED_VALUE"""),3)</f>
        <v>3</v>
      </c>
      <c r="L294" s="1">
        <f ca="1">IFERROR(__xludf.DUMMYFUNCTION("""COMPUTED_VALUE"""),6)</f>
        <v>6</v>
      </c>
      <c r="M294" s="1">
        <f ca="1">IFERROR(__xludf.DUMMYFUNCTION("""COMPUTED_VALUE"""),10)</f>
        <v>10</v>
      </c>
      <c r="N294" s="1">
        <f ca="1">IFERROR(__xludf.DUMMYFUNCTION("""COMPUTED_VALUE"""),2489)</f>
        <v>2489</v>
      </c>
      <c r="O294" s="1">
        <f ca="1">IFERROR(__xludf.DUMMYFUNCTION("""COMPUTED_VALUE"""),2488)</f>
        <v>2488</v>
      </c>
      <c r="P294" s="1">
        <f ca="1">IFERROR(__xludf.DUMMYFUNCTION("""COMPUTED_VALUE"""),1245)</f>
        <v>1245</v>
      </c>
      <c r="Q294" s="1">
        <f ca="1">IFERROR(__xludf.DUMMYFUNCTION("""COMPUTED_VALUE"""),881)</f>
        <v>881</v>
      </c>
      <c r="R294" s="1">
        <f ca="1">IFERROR(__xludf.DUMMYFUNCTION("""COMPUTED_VALUE"""),1987)</f>
        <v>1987</v>
      </c>
      <c r="S294" s="1">
        <f ca="1">IFERROR(__xludf.DUMMYFUNCTION("""COMPUTED_VALUE"""),0.443)</f>
        <v>0.443</v>
      </c>
      <c r="T294" s="1">
        <f ca="1">IFERROR(__xludf.DUMMYFUNCTION("""COMPUTED_VALUE"""),164)</f>
        <v>164</v>
      </c>
      <c r="U294" s="1">
        <f ca="1">IFERROR(__xludf.DUMMYFUNCTION("""COMPUTED_VALUE"""),492)</f>
        <v>492</v>
      </c>
      <c r="V294" s="1">
        <f ca="1">IFERROR(__xludf.DUMMYFUNCTION("""COMPUTED_VALUE"""),0.333)</f>
        <v>0.33300000000000002</v>
      </c>
      <c r="W294" s="1">
        <f ca="1">IFERROR(__xludf.DUMMYFUNCTION("""COMPUTED_VALUE"""),563)</f>
        <v>563</v>
      </c>
      <c r="X294" s="1">
        <f ca="1">IFERROR(__xludf.DUMMYFUNCTION("""COMPUTED_VALUE"""),872)</f>
        <v>872</v>
      </c>
      <c r="Y294" s="1">
        <f ca="1">IFERROR(__xludf.DUMMYFUNCTION("""COMPUTED_VALUE"""),0.646)</f>
        <v>0.64600000000000002</v>
      </c>
      <c r="Z294" s="1">
        <f ca="1">IFERROR(__xludf.DUMMYFUNCTION("""COMPUTED_VALUE"""),465)</f>
        <v>465</v>
      </c>
      <c r="AA294" s="1">
        <f ca="1">IFERROR(__xludf.DUMMYFUNCTION("""COMPUTED_VALUE"""),1244)</f>
        <v>1244</v>
      </c>
      <c r="AB294" s="1">
        <f ca="1">IFERROR(__xludf.DUMMYFUNCTION("""COMPUTED_VALUE"""),376)</f>
        <v>376</v>
      </c>
      <c r="AC294" s="1">
        <f ca="1">IFERROR(__xludf.DUMMYFUNCTION("""COMPUTED_VALUE"""),288)</f>
        <v>288</v>
      </c>
      <c r="AD294" s="1">
        <f ca="1">IFERROR(__xludf.DUMMYFUNCTION("""COMPUTED_VALUE"""),59)</f>
        <v>59</v>
      </c>
      <c r="AE294" s="1">
        <f ca="1">IFERROR(__xludf.DUMMYFUNCTION("""COMPUTED_VALUE"""),549)</f>
        <v>549</v>
      </c>
      <c r="AF294" s="1">
        <f ca="1">IFERROR(__xludf.DUMMYFUNCTION("""COMPUTED_VALUE"""),727)</f>
        <v>727</v>
      </c>
    </row>
    <row r="295" spans="1:32" ht="12.5" x14ac:dyDescent="0.25">
      <c r="A295" s="1" t="str">
        <f ca="1">IFERROR(__xludf.DUMMYFUNCTION("""COMPUTED_VALUE"""),"Seton Hall")</f>
        <v>Seton Hall</v>
      </c>
      <c r="B295" s="1">
        <f ca="1">IFERROR(__xludf.DUMMYFUNCTION("""COMPUTED_VALUE"""),32)</f>
        <v>32</v>
      </c>
      <c r="C295" s="1">
        <f ca="1">IFERROR(__xludf.DUMMYFUNCTION("""COMPUTED_VALUE"""),19)</f>
        <v>19</v>
      </c>
      <c r="D295" s="1">
        <f ca="1">IFERROR(__xludf.DUMMYFUNCTION("""COMPUTED_VALUE"""),13)</f>
        <v>13</v>
      </c>
      <c r="E295" s="1">
        <f ca="1">IFERROR(__xludf.DUMMYFUNCTION("""COMPUTED_VALUE"""),0.594)</f>
        <v>0.59399999999999997</v>
      </c>
      <c r="F295" s="1">
        <f ca="1">IFERROR(__xludf.DUMMYFUNCTION("""COMPUTED_VALUE"""),10.43)</f>
        <v>10.43</v>
      </c>
      <c r="G295" s="1">
        <f ca="1">IFERROR(__xludf.DUMMYFUNCTION("""COMPUTED_VALUE"""),5.78)</f>
        <v>5.78</v>
      </c>
      <c r="H295" s="1">
        <f ca="1">IFERROR(__xludf.DUMMYFUNCTION("""COMPUTED_VALUE"""),9)</f>
        <v>9</v>
      </c>
      <c r="I295" s="1">
        <f ca="1">IFERROR(__xludf.DUMMYFUNCTION("""COMPUTED_VALUE"""),9)</f>
        <v>9</v>
      </c>
      <c r="J295" s="1">
        <f ca="1">IFERROR(__xludf.DUMMYFUNCTION("""COMPUTED_VALUE"""),13)</f>
        <v>13</v>
      </c>
      <c r="K295" s="1">
        <f ca="1">IFERROR(__xludf.DUMMYFUNCTION("""COMPUTED_VALUE"""),5)</f>
        <v>5</v>
      </c>
      <c r="L295" s="1">
        <f ca="1">IFERROR(__xludf.DUMMYFUNCTION("""COMPUTED_VALUE"""),5)</f>
        <v>5</v>
      </c>
      <c r="M295" s="1">
        <f ca="1">IFERROR(__xludf.DUMMYFUNCTION("""COMPUTED_VALUE"""),6)</f>
        <v>6</v>
      </c>
      <c r="N295" s="1">
        <f ca="1">IFERROR(__xludf.DUMMYFUNCTION("""COMPUTED_VALUE"""),2563)</f>
        <v>2563</v>
      </c>
      <c r="O295" s="1">
        <f ca="1">IFERROR(__xludf.DUMMYFUNCTION("""COMPUTED_VALUE"""),2414)</f>
        <v>2414</v>
      </c>
      <c r="P295" s="1">
        <f ca="1">IFERROR(__xludf.DUMMYFUNCTION("""COMPUTED_VALUE"""),1300)</f>
        <v>1300</v>
      </c>
      <c r="Q295" s="1">
        <f ca="1">IFERROR(__xludf.DUMMYFUNCTION("""COMPUTED_VALUE"""),938)</f>
        <v>938</v>
      </c>
      <c r="R295" s="1">
        <f ca="1">IFERROR(__xludf.DUMMYFUNCTION("""COMPUTED_VALUE"""),2107)</f>
        <v>2107</v>
      </c>
      <c r="S295" s="1">
        <f ca="1">IFERROR(__xludf.DUMMYFUNCTION("""COMPUTED_VALUE"""),0.445)</f>
        <v>0.44500000000000001</v>
      </c>
      <c r="T295" s="1">
        <f ca="1">IFERROR(__xludf.DUMMYFUNCTION("""COMPUTED_VALUE"""),209)</f>
        <v>209</v>
      </c>
      <c r="U295" s="1">
        <f ca="1">IFERROR(__xludf.DUMMYFUNCTION("""COMPUTED_VALUE"""),627)</f>
        <v>627</v>
      </c>
      <c r="V295" s="1">
        <f ca="1">IFERROR(__xludf.DUMMYFUNCTION("""COMPUTED_VALUE"""),0.333)</f>
        <v>0.33300000000000002</v>
      </c>
      <c r="W295" s="1">
        <f ca="1">IFERROR(__xludf.DUMMYFUNCTION("""COMPUTED_VALUE"""),478)</f>
        <v>478</v>
      </c>
      <c r="X295" s="1">
        <f ca="1">IFERROR(__xludf.DUMMYFUNCTION("""COMPUTED_VALUE"""),701)</f>
        <v>701</v>
      </c>
      <c r="Y295" s="1">
        <f ca="1">IFERROR(__xludf.DUMMYFUNCTION("""COMPUTED_VALUE"""),0.682)</f>
        <v>0.68200000000000005</v>
      </c>
      <c r="Z295" s="1">
        <f ca="1">IFERROR(__xludf.DUMMYFUNCTION("""COMPUTED_VALUE"""),456)</f>
        <v>456</v>
      </c>
      <c r="AA295" s="1">
        <f ca="1">IFERROR(__xludf.DUMMYFUNCTION("""COMPUTED_VALUE"""),1240)</f>
        <v>1240</v>
      </c>
      <c r="AB295" s="1">
        <f ca="1">IFERROR(__xludf.DUMMYFUNCTION("""COMPUTED_VALUE"""),487)</f>
        <v>487</v>
      </c>
      <c r="AC295" s="1">
        <f ca="1">IFERROR(__xludf.DUMMYFUNCTION("""COMPUTED_VALUE"""),236)</f>
        <v>236</v>
      </c>
      <c r="AD295" s="1">
        <f ca="1">IFERROR(__xludf.DUMMYFUNCTION("""COMPUTED_VALUE"""),168)</f>
        <v>168</v>
      </c>
      <c r="AE295" s="1">
        <f ca="1">IFERROR(__xludf.DUMMYFUNCTION("""COMPUTED_VALUE"""),342)</f>
        <v>342</v>
      </c>
      <c r="AF295" s="1">
        <f ca="1">IFERROR(__xludf.DUMMYFUNCTION("""COMPUTED_VALUE"""),602)</f>
        <v>602</v>
      </c>
    </row>
    <row r="296" spans="1:32" ht="12.5" x14ac:dyDescent="0.25">
      <c r="A296" s="1" t="str">
        <f ca="1">IFERROR(__xludf.DUMMYFUNCTION("""COMPUTED_VALUE"""),"SienaNCAA")</f>
        <v>SienaNCAA</v>
      </c>
      <c r="B296" s="1">
        <f ca="1">IFERROR(__xludf.DUMMYFUNCTION("""COMPUTED_VALUE"""),34)</f>
        <v>34</v>
      </c>
      <c r="C296" s="1">
        <f ca="1">IFERROR(__xludf.DUMMYFUNCTION("""COMPUTED_VALUE"""),27)</f>
        <v>27</v>
      </c>
      <c r="D296" s="1">
        <f ca="1">IFERROR(__xludf.DUMMYFUNCTION("""COMPUTED_VALUE"""),7)</f>
        <v>7</v>
      </c>
      <c r="E296" s="1">
        <f ca="1">IFERROR(__xludf.DUMMYFUNCTION("""COMPUTED_VALUE"""),0.794)</f>
        <v>0.79400000000000004</v>
      </c>
      <c r="F296" s="1">
        <f ca="1">IFERROR(__xludf.DUMMYFUNCTION("""COMPUTED_VALUE"""),8.48)</f>
        <v>8.48</v>
      </c>
      <c r="G296" s="1">
        <f ca="1">IFERROR(__xludf.DUMMYFUNCTION("""COMPUTED_VALUE"""),-1.17)</f>
        <v>-1.17</v>
      </c>
      <c r="H296" s="1">
        <f ca="1">IFERROR(__xludf.DUMMYFUNCTION("""COMPUTED_VALUE"""),17)</f>
        <v>17</v>
      </c>
      <c r="I296" s="1">
        <f ca="1">IFERROR(__xludf.DUMMYFUNCTION("""COMPUTED_VALUE"""),1)</f>
        <v>1</v>
      </c>
      <c r="J296" s="1">
        <f ca="1">IFERROR(__xludf.DUMMYFUNCTION("""COMPUTED_VALUE"""),17)</f>
        <v>17</v>
      </c>
      <c r="K296" s="1">
        <f ca="1">IFERROR(__xludf.DUMMYFUNCTION("""COMPUTED_VALUE"""),0)</f>
        <v>0</v>
      </c>
      <c r="L296" s="1">
        <f ca="1">IFERROR(__xludf.DUMMYFUNCTION("""COMPUTED_VALUE"""),9)</f>
        <v>9</v>
      </c>
      <c r="M296" s="1">
        <f ca="1">IFERROR(__xludf.DUMMYFUNCTION("""COMPUTED_VALUE"""),5)</f>
        <v>5</v>
      </c>
      <c r="N296" s="1">
        <f ca="1">IFERROR(__xludf.DUMMYFUNCTION("""COMPUTED_VALUE"""),2554)</f>
        <v>2554</v>
      </c>
      <c r="O296" s="1">
        <f ca="1">IFERROR(__xludf.DUMMYFUNCTION("""COMPUTED_VALUE"""),2226)</f>
        <v>2226</v>
      </c>
      <c r="P296" s="1">
        <f ca="1">IFERROR(__xludf.DUMMYFUNCTION("""COMPUTED_VALUE"""),1370)</f>
        <v>1370</v>
      </c>
      <c r="Q296" s="1">
        <f ca="1">IFERROR(__xludf.DUMMYFUNCTION("""COMPUTED_VALUE"""),930)</f>
        <v>930</v>
      </c>
      <c r="R296" s="1">
        <f ca="1">IFERROR(__xludf.DUMMYFUNCTION("""COMPUTED_VALUE"""),2048)</f>
        <v>2048</v>
      </c>
      <c r="S296" s="1">
        <f ca="1">IFERROR(__xludf.DUMMYFUNCTION("""COMPUTED_VALUE"""),0.454)</f>
        <v>0.45400000000000001</v>
      </c>
      <c r="T296" s="1">
        <f ca="1">IFERROR(__xludf.DUMMYFUNCTION("""COMPUTED_VALUE"""),160)</f>
        <v>160</v>
      </c>
      <c r="U296" s="1">
        <f ca="1">IFERROR(__xludf.DUMMYFUNCTION("""COMPUTED_VALUE"""),498)</f>
        <v>498</v>
      </c>
      <c r="V296" s="1">
        <f ca="1">IFERROR(__xludf.DUMMYFUNCTION("""COMPUTED_VALUE"""),0.321)</f>
        <v>0.32100000000000001</v>
      </c>
      <c r="W296" s="1">
        <f ca="1">IFERROR(__xludf.DUMMYFUNCTION("""COMPUTED_VALUE"""),534)</f>
        <v>534</v>
      </c>
      <c r="X296" s="1">
        <f ca="1">IFERROR(__xludf.DUMMYFUNCTION("""COMPUTED_VALUE"""),793)</f>
        <v>793</v>
      </c>
      <c r="Y296" s="1">
        <f ca="1">IFERROR(__xludf.DUMMYFUNCTION("""COMPUTED_VALUE"""),0.673)</f>
        <v>0.67300000000000004</v>
      </c>
      <c r="Z296" s="1">
        <f ca="1">IFERROR(__xludf.DUMMYFUNCTION("""COMPUTED_VALUE"""),442)</f>
        <v>442</v>
      </c>
      <c r="AA296" s="1">
        <f ca="1">IFERROR(__xludf.DUMMYFUNCTION("""COMPUTED_VALUE"""),1310)</f>
        <v>1310</v>
      </c>
      <c r="AB296" s="1">
        <f ca="1">IFERROR(__xludf.DUMMYFUNCTION("""COMPUTED_VALUE"""),486)</f>
        <v>486</v>
      </c>
      <c r="AC296" s="1">
        <f ca="1">IFERROR(__xludf.DUMMYFUNCTION("""COMPUTED_VALUE"""),298)</f>
        <v>298</v>
      </c>
      <c r="AD296" s="1">
        <f ca="1">IFERROR(__xludf.DUMMYFUNCTION("""COMPUTED_VALUE"""),119)</f>
        <v>119</v>
      </c>
      <c r="AE296" s="1">
        <f ca="1">IFERROR(__xludf.DUMMYFUNCTION("""COMPUTED_VALUE"""),418)</f>
        <v>418</v>
      </c>
      <c r="AF296" s="1">
        <f ca="1">IFERROR(__xludf.DUMMYFUNCTION("""COMPUTED_VALUE"""),471)</f>
        <v>471</v>
      </c>
    </row>
    <row r="297" spans="1:32" ht="12.5" x14ac:dyDescent="0.25">
      <c r="A297" s="1" t="str">
        <f ca="1">IFERROR(__xludf.DUMMYFUNCTION("""COMPUTED_VALUE"""),"South Alabama")</f>
        <v>South Alabama</v>
      </c>
      <c r="B297" s="1">
        <f ca="1">IFERROR(__xludf.DUMMYFUNCTION("""COMPUTED_VALUE"""),32)</f>
        <v>32</v>
      </c>
      <c r="C297" s="1">
        <f ca="1">IFERROR(__xludf.DUMMYFUNCTION("""COMPUTED_VALUE"""),17)</f>
        <v>17</v>
      </c>
      <c r="D297" s="1">
        <f ca="1">IFERROR(__xludf.DUMMYFUNCTION("""COMPUTED_VALUE"""),15)</f>
        <v>15</v>
      </c>
      <c r="E297" s="1">
        <f ca="1">IFERROR(__xludf.DUMMYFUNCTION("""COMPUTED_VALUE"""),0.531)</f>
        <v>0.53100000000000003</v>
      </c>
      <c r="F297" s="1">
        <f ca="1">IFERROR(__xludf.DUMMYFUNCTION("""COMPUTED_VALUE"""),-7.72)</f>
        <v>-7.72</v>
      </c>
      <c r="G297" s="1">
        <f ca="1">IFERROR(__xludf.DUMMYFUNCTION("""COMPUTED_VALUE"""),-3.82)</f>
        <v>-3.82</v>
      </c>
      <c r="H297" s="1">
        <f ca="1">IFERROR(__xludf.DUMMYFUNCTION("""COMPUTED_VALUE"""),8)</f>
        <v>8</v>
      </c>
      <c r="I297" s="1">
        <f ca="1">IFERROR(__xludf.DUMMYFUNCTION("""COMPUTED_VALUE"""),10)</f>
        <v>10</v>
      </c>
      <c r="J297" s="1">
        <f ca="1">IFERROR(__xludf.DUMMYFUNCTION("""COMPUTED_VALUE"""),9)</f>
        <v>9</v>
      </c>
      <c r="K297" s="1">
        <f ca="1">IFERROR(__xludf.DUMMYFUNCTION("""COMPUTED_VALUE"""),6)</f>
        <v>6</v>
      </c>
      <c r="L297" s="1">
        <f ca="1">IFERROR(__xludf.DUMMYFUNCTION("""COMPUTED_VALUE"""),6)</f>
        <v>6</v>
      </c>
      <c r="M297" s="1">
        <f ca="1">IFERROR(__xludf.DUMMYFUNCTION("""COMPUTED_VALUE"""),8)</f>
        <v>8</v>
      </c>
      <c r="N297" s="1">
        <f ca="1">IFERROR(__xludf.DUMMYFUNCTION("""COMPUTED_VALUE"""),2124)</f>
        <v>2124</v>
      </c>
      <c r="O297" s="1">
        <f ca="1">IFERROR(__xludf.DUMMYFUNCTION("""COMPUTED_VALUE"""),2177)</f>
        <v>2177</v>
      </c>
      <c r="P297" s="1">
        <f ca="1">IFERROR(__xludf.DUMMYFUNCTION("""COMPUTED_VALUE"""),1300)</f>
        <v>1300</v>
      </c>
      <c r="Q297" s="1">
        <f ca="1">IFERROR(__xludf.DUMMYFUNCTION("""COMPUTED_VALUE"""),739)</f>
        <v>739</v>
      </c>
      <c r="R297" s="1">
        <f ca="1">IFERROR(__xludf.DUMMYFUNCTION("""COMPUTED_VALUE"""),1771)</f>
        <v>1771</v>
      </c>
      <c r="S297" s="1">
        <f ca="1">IFERROR(__xludf.DUMMYFUNCTION("""COMPUTED_VALUE"""),0.417)</f>
        <v>0.41699999999999998</v>
      </c>
      <c r="T297" s="1">
        <f ca="1">IFERROR(__xludf.DUMMYFUNCTION("""COMPUTED_VALUE"""),160)</f>
        <v>160</v>
      </c>
      <c r="U297" s="1">
        <f ca="1">IFERROR(__xludf.DUMMYFUNCTION("""COMPUTED_VALUE"""),464)</f>
        <v>464</v>
      </c>
      <c r="V297" s="1">
        <f ca="1">IFERROR(__xludf.DUMMYFUNCTION("""COMPUTED_VALUE"""),0.345)</f>
        <v>0.34499999999999997</v>
      </c>
      <c r="W297" s="1">
        <f ca="1">IFERROR(__xludf.DUMMYFUNCTION("""COMPUTED_VALUE"""),486)</f>
        <v>486</v>
      </c>
      <c r="X297" s="1">
        <f ca="1">IFERROR(__xludf.DUMMYFUNCTION("""COMPUTED_VALUE"""),685)</f>
        <v>685</v>
      </c>
      <c r="Y297" s="1">
        <f ca="1">IFERROR(__xludf.DUMMYFUNCTION("""COMPUTED_VALUE"""),0.709)</f>
        <v>0.70899999999999996</v>
      </c>
      <c r="Z297" s="1">
        <f ca="1">IFERROR(__xludf.DUMMYFUNCTION("""COMPUTED_VALUE"""),395)</f>
        <v>395</v>
      </c>
      <c r="AA297" s="1">
        <f ca="1">IFERROR(__xludf.DUMMYFUNCTION("""COMPUTED_VALUE"""),1163)</f>
        <v>1163</v>
      </c>
      <c r="AB297" s="1">
        <f ca="1">IFERROR(__xludf.DUMMYFUNCTION("""COMPUTED_VALUE"""),374)</f>
        <v>374</v>
      </c>
      <c r="AC297" s="1">
        <f ca="1">IFERROR(__xludf.DUMMYFUNCTION("""COMPUTED_VALUE"""),193)</f>
        <v>193</v>
      </c>
      <c r="AD297" s="1">
        <f ca="1">IFERROR(__xludf.DUMMYFUNCTION("""COMPUTED_VALUE"""),114)</f>
        <v>114</v>
      </c>
      <c r="AE297" s="1">
        <f ca="1">IFERROR(__xludf.DUMMYFUNCTION("""COMPUTED_VALUE"""),462)</f>
        <v>462</v>
      </c>
      <c r="AF297" s="1">
        <f ca="1">IFERROR(__xludf.DUMMYFUNCTION("""COMPUTED_VALUE"""),588)</f>
        <v>588</v>
      </c>
    </row>
    <row r="298" spans="1:32" ht="12.5" x14ac:dyDescent="0.25">
      <c r="A298" s="1" t="str">
        <f ca="1">IFERROR(__xludf.DUMMYFUNCTION("""COMPUTED_VALUE"""),"South Carolina State")</f>
        <v>South Carolina State</v>
      </c>
      <c r="B298" s="1">
        <f ca="1">IFERROR(__xludf.DUMMYFUNCTION("""COMPUTED_VALUE"""),32)</f>
        <v>32</v>
      </c>
      <c r="C298" s="1">
        <f ca="1">IFERROR(__xludf.DUMMYFUNCTION("""COMPUTED_VALUE"""),18)</f>
        <v>18</v>
      </c>
      <c r="D298" s="1">
        <f ca="1">IFERROR(__xludf.DUMMYFUNCTION("""COMPUTED_VALUE"""),14)</f>
        <v>14</v>
      </c>
      <c r="E298" s="1">
        <f ca="1">IFERROR(__xludf.DUMMYFUNCTION("""COMPUTED_VALUE"""),0.563)</f>
        <v>0.56299999999999994</v>
      </c>
      <c r="F298" s="1">
        <f ca="1">IFERROR(__xludf.DUMMYFUNCTION("""COMPUTED_VALUE"""),-9.31)</f>
        <v>-9.31</v>
      </c>
      <c r="G298" s="1">
        <f ca="1">IFERROR(__xludf.DUMMYFUNCTION("""COMPUTED_VALUE"""),-8.65)</f>
        <v>-8.65</v>
      </c>
      <c r="H298" s="1">
        <f ca="1">IFERROR(__xludf.DUMMYFUNCTION("""COMPUTED_VALUE"""),10)</f>
        <v>10</v>
      </c>
      <c r="I298" s="1">
        <f ca="1">IFERROR(__xludf.DUMMYFUNCTION("""COMPUTED_VALUE"""),6)</f>
        <v>6</v>
      </c>
      <c r="J298" s="1">
        <f ca="1">IFERROR(__xludf.DUMMYFUNCTION("""COMPUTED_VALUE"""),10)</f>
        <v>10</v>
      </c>
      <c r="K298" s="1">
        <f ca="1">IFERROR(__xludf.DUMMYFUNCTION("""COMPUTED_VALUE"""),3)</f>
        <v>3</v>
      </c>
      <c r="L298" s="1">
        <f ca="1">IFERROR(__xludf.DUMMYFUNCTION("""COMPUTED_VALUE"""),6)</f>
        <v>6</v>
      </c>
      <c r="M298" s="1">
        <f ca="1">IFERROR(__xludf.DUMMYFUNCTION("""COMPUTED_VALUE"""),10)</f>
        <v>10</v>
      </c>
      <c r="N298" s="1">
        <f ca="1">IFERROR(__xludf.DUMMYFUNCTION("""COMPUTED_VALUE"""),2224)</f>
        <v>2224</v>
      </c>
      <c r="O298" s="1">
        <f ca="1">IFERROR(__xludf.DUMMYFUNCTION("""COMPUTED_VALUE"""),2225)</f>
        <v>2225</v>
      </c>
      <c r="P298" s="1">
        <f ca="1">IFERROR(__xludf.DUMMYFUNCTION("""COMPUTED_VALUE"""),1290)</f>
        <v>1290</v>
      </c>
      <c r="Q298" s="1">
        <f ca="1">IFERROR(__xludf.DUMMYFUNCTION("""COMPUTED_VALUE"""),784)</f>
        <v>784</v>
      </c>
      <c r="R298" s="1">
        <f ca="1">IFERROR(__xludf.DUMMYFUNCTION("""COMPUTED_VALUE"""),1766)</f>
        <v>1766</v>
      </c>
      <c r="S298" s="1">
        <f ca="1">IFERROR(__xludf.DUMMYFUNCTION("""COMPUTED_VALUE"""),0.444)</f>
        <v>0.44400000000000001</v>
      </c>
      <c r="T298" s="1">
        <f ca="1">IFERROR(__xludf.DUMMYFUNCTION("""COMPUTED_VALUE"""),162)</f>
        <v>162</v>
      </c>
      <c r="U298" s="1">
        <f ca="1">IFERROR(__xludf.DUMMYFUNCTION("""COMPUTED_VALUE"""),529)</f>
        <v>529</v>
      </c>
      <c r="V298" s="1">
        <f ca="1">IFERROR(__xludf.DUMMYFUNCTION("""COMPUTED_VALUE"""),0.306)</f>
        <v>0.30599999999999999</v>
      </c>
      <c r="W298" s="1">
        <f ca="1">IFERROR(__xludf.DUMMYFUNCTION("""COMPUTED_VALUE"""),494)</f>
        <v>494</v>
      </c>
      <c r="X298" s="1">
        <f ca="1">IFERROR(__xludf.DUMMYFUNCTION("""COMPUTED_VALUE"""),675)</f>
        <v>675</v>
      </c>
      <c r="Y298" s="1">
        <f ca="1">IFERROR(__xludf.DUMMYFUNCTION("""COMPUTED_VALUE"""),0.732)</f>
        <v>0.73199999999999998</v>
      </c>
      <c r="Z298" s="1">
        <f ca="1">IFERROR(__xludf.DUMMYFUNCTION("""COMPUTED_VALUE"""),367)</f>
        <v>367</v>
      </c>
      <c r="AA298" s="1">
        <f ca="1">IFERROR(__xludf.DUMMYFUNCTION("""COMPUTED_VALUE"""),1110)</f>
        <v>1110</v>
      </c>
      <c r="AB298" s="1">
        <f ca="1">IFERROR(__xludf.DUMMYFUNCTION("""COMPUTED_VALUE"""),423)</f>
        <v>423</v>
      </c>
      <c r="AC298" s="1">
        <f ca="1">IFERROR(__xludf.DUMMYFUNCTION("""COMPUTED_VALUE"""),224)</f>
        <v>224</v>
      </c>
      <c r="AD298" s="1">
        <f ca="1">IFERROR(__xludf.DUMMYFUNCTION("""COMPUTED_VALUE"""),92)</f>
        <v>92</v>
      </c>
      <c r="AE298" s="1">
        <f ca="1">IFERROR(__xludf.DUMMYFUNCTION("""COMPUTED_VALUE"""),497)</f>
        <v>497</v>
      </c>
      <c r="AF298" s="1">
        <f ca="1">IFERROR(__xludf.DUMMYFUNCTION("""COMPUTED_VALUE"""),602)</f>
        <v>602</v>
      </c>
    </row>
    <row r="299" spans="1:32" ht="12.5" x14ac:dyDescent="0.25">
      <c r="A299" s="1" t="str">
        <f ca="1">IFERROR(__xludf.DUMMYFUNCTION("""COMPUTED_VALUE"""),"South Carolina Upstate")</f>
        <v>South Carolina Upstate</v>
      </c>
      <c r="B299" s="1">
        <f ca="1">IFERROR(__xludf.DUMMYFUNCTION("""COMPUTED_VALUE"""),29)</f>
        <v>29</v>
      </c>
      <c r="C299" s="1">
        <f ca="1">IFERROR(__xludf.DUMMYFUNCTION("""COMPUTED_VALUE"""),6)</f>
        <v>6</v>
      </c>
      <c r="D299" s="1">
        <f ca="1">IFERROR(__xludf.DUMMYFUNCTION("""COMPUTED_VALUE"""),23)</f>
        <v>23</v>
      </c>
      <c r="E299" s="1">
        <f ca="1">IFERROR(__xludf.DUMMYFUNCTION("""COMPUTED_VALUE"""),0.207)</f>
        <v>0.20699999999999999</v>
      </c>
      <c r="F299" s="1" t="str">
        <f ca="1">IFERROR(__xludf.DUMMYFUNCTION("""COMPUTED_VALUE"""),"")</f>
        <v/>
      </c>
      <c r="G299" s="1" t="str">
        <f ca="1">IFERROR(__xludf.DUMMYFUNCTION("""COMPUTED_VALUE"""),"")</f>
        <v/>
      </c>
      <c r="H299" s="1">
        <f ca="1">IFERROR(__xludf.DUMMYFUNCTION("""COMPUTED_VALUE"""),6)</f>
        <v>6</v>
      </c>
      <c r="I299" s="1">
        <f ca="1">IFERROR(__xludf.DUMMYFUNCTION("""COMPUTED_VALUE"""),14)</f>
        <v>14</v>
      </c>
      <c r="J299" s="1">
        <f ca="1">IFERROR(__xludf.DUMMYFUNCTION("""COMPUTED_VALUE"""),3)</f>
        <v>3</v>
      </c>
      <c r="K299" s="1">
        <f ca="1">IFERROR(__xludf.DUMMYFUNCTION("""COMPUTED_VALUE"""),9)</f>
        <v>9</v>
      </c>
      <c r="L299" s="1">
        <f ca="1">IFERROR(__xludf.DUMMYFUNCTION("""COMPUTED_VALUE"""),3)</f>
        <v>3</v>
      </c>
      <c r="M299" s="1">
        <f ca="1">IFERROR(__xludf.DUMMYFUNCTION("""COMPUTED_VALUE"""),14)</f>
        <v>14</v>
      </c>
      <c r="N299" s="1">
        <f ca="1">IFERROR(__xludf.DUMMYFUNCTION("""COMPUTED_VALUE"""),1741)</f>
        <v>1741</v>
      </c>
      <c r="O299" s="1">
        <f ca="1">IFERROR(__xludf.DUMMYFUNCTION("""COMPUTED_VALUE"""),1966)</f>
        <v>1966</v>
      </c>
      <c r="P299" s="1">
        <f ca="1">IFERROR(__xludf.DUMMYFUNCTION("""COMPUTED_VALUE"""),1165)</f>
        <v>1165</v>
      </c>
      <c r="Q299" s="1">
        <f ca="1">IFERROR(__xludf.DUMMYFUNCTION("""COMPUTED_VALUE"""),616)</f>
        <v>616</v>
      </c>
      <c r="R299" s="1">
        <f ca="1">IFERROR(__xludf.DUMMYFUNCTION("""COMPUTED_VALUE"""),1519)</f>
        <v>1519</v>
      </c>
      <c r="S299" s="1">
        <f ca="1">IFERROR(__xludf.DUMMYFUNCTION("""COMPUTED_VALUE"""),0.406)</f>
        <v>0.40600000000000003</v>
      </c>
      <c r="T299" s="1">
        <f ca="1">IFERROR(__xludf.DUMMYFUNCTION("""COMPUTED_VALUE"""),158)</f>
        <v>158</v>
      </c>
      <c r="U299" s="1">
        <f ca="1">IFERROR(__xludf.DUMMYFUNCTION("""COMPUTED_VALUE"""),472)</f>
        <v>472</v>
      </c>
      <c r="V299" s="1">
        <f ca="1">IFERROR(__xludf.DUMMYFUNCTION("""COMPUTED_VALUE"""),0.335)</f>
        <v>0.33500000000000002</v>
      </c>
      <c r="W299" s="1">
        <f ca="1">IFERROR(__xludf.DUMMYFUNCTION("""COMPUTED_VALUE"""),351)</f>
        <v>351</v>
      </c>
      <c r="X299" s="1">
        <f ca="1">IFERROR(__xludf.DUMMYFUNCTION("""COMPUTED_VALUE"""),539)</f>
        <v>539</v>
      </c>
      <c r="Y299" s="1">
        <f ca="1">IFERROR(__xludf.DUMMYFUNCTION("""COMPUTED_VALUE"""),0.651)</f>
        <v>0.65100000000000002</v>
      </c>
      <c r="Z299" s="1">
        <f ca="1">IFERROR(__xludf.DUMMYFUNCTION("""COMPUTED_VALUE"""),331)</f>
        <v>331</v>
      </c>
      <c r="AA299" s="1">
        <f ca="1">IFERROR(__xludf.DUMMYFUNCTION("""COMPUTED_VALUE"""),1011)</f>
        <v>1011</v>
      </c>
      <c r="AB299" s="1">
        <f ca="1">IFERROR(__xludf.DUMMYFUNCTION("""COMPUTED_VALUE"""),365)</f>
        <v>365</v>
      </c>
      <c r="AC299" s="1">
        <f ca="1">IFERROR(__xludf.DUMMYFUNCTION("""COMPUTED_VALUE"""),202)</f>
        <v>202</v>
      </c>
      <c r="AD299" s="1">
        <f ca="1">IFERROR(__xludf.DUMMYFUNCTION("""COMPUTED_VALUE"""),141)</f>
        <v>141</v>
      </c>
      <c r="AE299" s="1">
        <f ca="1">IFERROR(__xludf.DUMMYFUNCTION("""COMPUTED_VALUE"""),481)</f>
        <v>481</v>
      </c>
      <c r="AF299" s="1">
        <f ca="1">IFERROR(__xludf.DUMMYFUNCTION("""COMPUTED_VALUE"""),528)</f>
        <v>528</v>
      </c>
    </row>
    <row r="300" spans="1:32" ht="12.5" x14ac:dyDescent="0.25">
      <c r="A300" s="1" t="str">
        <f ca="1">IFERROR(__xludf.DUMMYFUNCTION("""COMPUTED_VALUE"""),"South Carolina")</f>
        <v>South Carolina</v>
      </c>
      <c r="B300" s="1">
        <f ca="1">IFERROR(__xludf.DUMMYFUNCTION("""COMPUTED_VALUE"""),31)</f>
        <v>31</v>
      </c>
      <c r="C300" s="1">
        <f ca="1">IFERROR(__xludf.DUMMYFUNCTION("""COMPUTED_VALUE"""),15)</f>
        <v>15</v>
      </c>
      <c r="D300" s="1">
        <f ca="1">IFERROR(__xludf.DUMMYFUNCTION("""COMPUTED_VALUE"""),16)</f>
        <v>16</v>
      </c>
      <c r="E300" s="1">
        <f ca="1">IFERROR(__xludf.DUMMYFUNCTION("""COMPUTED_VALUE"""),0.484)</f>
        <v>0.48399999999999999</v>
      </c>
      <c r="F300" s="1">
        <f ca="1">IFERROR(__xludf.DUMMYFUNCTION("""COMPUTED_VALUE"""),8.26)</f>
        <v>8.26</v>
      </c>
      <c r="G300" s="1">
        <f ca="1">IFERROR(__xludf.DUMMYFUNCTION("""COMPUTED_VALUE"""),7.29)</f>
        <v>7.29</v>
      </c>
      <c r="H300" s="1">
        <f ca="1">IFERROR(__xludf.DUMMYFUNCTION("""COMPUTED_VALUE"""),6)</f>
        <v>6</v>
      </c>
      <c r="I300" s="1">
        <f ca="1">IFERROR(__xludf.DUMMYFUNCTION("""COMPUTED_VALUE"""),10)</f>
        <v>10</v>
      </c>
      <c r="J300" s="1">
        <f ca="1">IFERROR(__xludf.DUMMYFUNCTION("""COMPUTED_VALUE"""),11)</f>
        <v>11</v>
      </c>
      <c r="K300" s="1">
        <f ca="1">IFERROR(__xludf.DUMMYFUNCTION("""COMPUTED_VALUE"""),5)</f>
        <v>5</v>
      </c>
      <c r="L300" s="1">
        <f ca="1">IFERROR(__xludf.DUMMYFUNCTION("""COMPUTED_VALUE"""),2)</f>
        <v>2</v>
      </c>
      <c r="M300" s="1">
        <f ca="1">IFERROR(__xludf.DUMMYFUNCTION("""COMPUTED_VALUE"""),9)</f>
        <v>9</v>
      </c>
      <c r="N300" s="1">
        <f ca="1">IFERROR(__xludf.DUMMYFUNCTION("""COMPUTED_VALUE"""),2227)</f>
        <v>2227</v>
      </c>
      <c r="O300" s="1">
        <f ca="1">IFERROR(__xludf.DUMMYFUNCTION("""COMPUTED_VALUE"""),2197)</f>
        <v>2197</v>
      </c>
      <c r="P300" s="1">
        <f ca="1">IFERROR(__xludf.DUMMYFUNCTION("""COMPUTED_VALUE"""),1240)</f>
        <v>1240</v>
      </c>
      <c r="Q300" s="1">
        <f ca="1">IFERROR(__xludf.DUMMYFUNCTION("""COMPUTED_VALUE"""),820)</f>
        <v>820</v>
      </c>
      <c r="R300" s="1">
        <f ca="1">IFERROR(__xludf.DUMMYFUNCTION("""COMPUTED_VALUE"""),1961)</f>
        <v>1961</v>
      </c>
      <c r="S300" s="1">
        <f ca="1">IFERROR(__xludf.DUMMYFUNCTION("""COMPUTED_VALUE"""),0.418)</f>
        <v>0.41799999999999998</v>
      </c>
      <c r="T300" s="1">
        <f ca="1">IFERROR(__xludf.DUMMYFUNCTION("""COMPUTED_VALUE"""),216)</f>
        <v>216</v>
      </c>
      <c r="U300" s="1">
        <f ca="1">IFERROR(__xludf.DUMMYFUNCTION("""COMPUTED_VALUE"""),675)</f>
        <v>675</v>
      </c>
      <c r="V300" s="1">
        <f ca="1">IFERROR(__xludf.DUMMYFUNCTION("""COMPUTED_VALUE"""),0.32)</f>
        <v>0.32</v>
      </c>
      <c r="W300" s="1">
        <f ca="1">IFERROR(__xludf.DUMMYFUNCTION("""COMPUTED_VALUE"""),371)</f>
        <v>371</v>
      </c>
      <c r="X300" s="1">
        <f ca="1">IFERROR(__xludf.DUMMYFUNCTION("""COMPUTED_VALUE"""),571)</f>
        <v>571</v>
      </c>
      <c r="Y300" s="1">
        <f ca="1">IFERROR(__xludf.DUMMYFUNCTION("""COMPUTED_VALUE"""),0.65)</f>
        <v>0.65</v>
      </c>
      <c r="Z300" s="1">
        <f ca="1">IFERROR(__xludf.DUMMYFUNCTION("""COMPUTED_VALUE"""),411)</f>
        <v>411</v>
      </c>
      <c r="AA300" s="1">
        <f ca="1">IFERROR(__xludf.DUMMYFUNCTION("""COMPUTED_VALUE"""),1078)</f>
        <v>1078</v>
      </c>
      <c r="AB300" s="1">
        <f ca="1">IFERROR(__xludf.DUMMYFUNCTION("""COMPUTED_VALUE"""),306)</f>
        <v>306</v>
      </c>
      <c r="AC300" s="1">
        <f ca="1">IFERROR(__xludf.DUMMYFUNCTION("""COMPUTED_VALUE"""),269)</f>
        <v>269</v>
      </c>
      <c r="AD300" s="1">
        <f ca="1">IFERROR(__xludf.DUMMYFUNCTION("""COMPUTED_VALUE"""),188)</f>
        <v>188</v>
      </c>
      <c r="AE300" s="1">
        <f ca="1">IFERROR(__xludf.DUMMYFUNCTION("""COMPUTED_VALUE"""),382)</f>
        <v>382</v>
      </c>
      <c r="AF300" s="1">
        <f ca="1">IFERROR(__xludf.DUMMYFUNCTION("""COMPUTED_VALUE"""),549)</f>
        <v>549</v>
      </c>
    </row>
    <row r="301" spans="1:32" ht="12.5" x14ac:dyDescent="0.25">
      <c r="A301" s="1" t="str">
        <f ca="1">IFERROR(__xludf.DUMMYFUNCTION("""COMPUTED_VALUE"""),"South Dakota State")</f>
        <v>South Dakota State</v>
      </c>
      <c r="B301" s="1">
        <f ca="1">IFERROR(__xludf.DUMMYFUNCTION("""COMPUTED_VALUE"""),30)</f>
        <v>30</v>
      </c>
      <c r="C301" s="1">
        <f ca="1">IFERROR(__xludf.DUMMYFUNCTION("""COMPUTED_VALUE"""),14)</f>
        <v>14</v>
      </c>
      <c r="D301" s="1">
        <f ca="1">IFERROR(__xludf.DUMMYFUNCTION("""COMPUTED_VALUE"""),16)</f>
        <v>16</v>
      </c>
      <c r="E301" s="1">
        <f ca="1">IFERROR(__xludf.DUMMYFUNCTION("""COMPUTED_VALUE"""),0.467)</f>
        <v>0.46700000000000003</v>
      </c>
      <c r="F301" s="1">
        <f ca="1">IFERROR(__xludf.DUMMYFUNCTION("""COMPUTED_VALUE"""),-6.05)</f>
        <v>-6.05</v>
      </c>
      <c r="G301" s="1">
        <f ca="1">IFERROR(__xludf.DUMMYFUNCTION("""COMPUTED_VALUE"""),-5.05)</f>
        <v>-5.05</v>
      </c>
      <c r="H301" s="1">
        <f ca="1">IFERROR(__xludf.DUMMYFUNCTION("""COMPUTED_VALUE"""),10)</f>
        <v>10</v>
      </c>
      <c r="I301" s="1">
        <f ca="1">IFERROR(__xludf.DUMMYFUNCTION("""COMPUTED_VALUE"""),8)</f>
        <v>8</v>
      </c>
      <c r="J301" s="1">
        <f ca="1">IFERROR(__xludf.DUMMYFUNCTION("""COMPUTED_VALUE"""),9)</f>
        <v>9</v>
      </c>
      <c r="K301" s="1">
        <f ca="1">IFERROR(__xludf.DUMMYFUNCTION("""COMPUTED_VALUE"""),5)</f>
        <v>5</v>
      </c>
      <c r="L301" s="1">
        <f ca="1">IFERROR(__xludf.DUMMYFUNCTION("""COMPUTED_VALUE"""),5)</f>
        <v>5</v>
      </c>
      <c r="M301" s="1">
        <f ca="1">IFERROR(__xludf.DUMMYFUNCTION("""COMPUTED_VALUE"""),7)</f>
        <v>7</v>
      </c>
      <c r="N301" s="1">
        <f ca="1">IFERROR(__xludf.DUMMYFUNCTION("""COMPUTED_VALUE"""),2227)</f>
        <v>2227</v>
      </c>
      <c r="O301" s="1">
        <f ca="1">IFERROR(__xludf.DUMMYFUNCTION("""COMPUTED_VALUE"""),2197)</f>
        <v>2197</v>
      </c>
      <c r="P301" s="1">
        <f ca="1">IFERROR(__xludf.DUMMYFUNCTION("""COMPUTED_VALUE"""),1210)</f>
        <v>1210</v>
      </c>
      <c r="Q301" s="1">
        <f ca="1">IFERROR(__xludf.DUMMYFUNCTION("""COMPUTED_VALUE"""),721)</f>
        <v>721</v>
      </c>
      <c r="R301" s="1">
        <f ca="1">IFERROR(__xludf.DUMMYFUNCTION("""COMPUTED_VALUE"""),1710)</f>
        <v>1710</v>
      </c>
      <c r="S301" s="1">
        <f ca="1">IFERROR(__xludf.DUMMYFUNCTION("""COMPUTED_VALUE"""),0.422)</f>
        <v>0.42199999999999999</v>
      </c>
      <c r="T301" s="1">
        <f ca="1">IFERROR(__xludf.DUMMYFUNCTION("""COMPUTED_VALUE"""),212)</f>
        <v>212</v>
      </c>
      <c r="U301" s="1">
        <f ca="1">IFERROR(__xludf.DUMMYFUNCTION("""COMPUTED_VALUE"""),574)</f>
        <v>574</v>
      </c>
      <c r="V301" s="1">
        <f ca="1">IFERROR(__xludf.DUMMYFUNCTION("""COMPUTED_VALUE"""),0.369)</f>
        <v>0.36899999999999999</v>
      </c>
      <c r="W301" s="1">
        <f ca="1">IFERROR(__xludf.DUMMYFUNCTION("""COMPUTED_VALUE"""),573)</f>
        <v>573</v>
      </c>
      <c r="X301" s="1">
        <f ca="1">IFERROR(__xludf.DUMMYFUNCTION("""COMPUTED_VALUE"""),769)</f>
        <v>769</v>
      </c>
      <c r="Y301" s="1">
        <f ca="1">IFERROR(__xludf.DUMMYFUNCTION("""COMPUTED_VALUE"""),0.745)</f>
        <v>0.745</v>
      </c>
      <c r="Z301" s="1">
        <f ca="1">IFERROR(__xludf.DUMMYFUNCTION("""COMPUTED_VALUE"""),363)</f>
        <v>363</v>
      </c>
      <c r="AA301" s="1">
        <f ca="1">IFERROR(__xludf.DUMMYFUNCTION("""COMPUTED_VALUE"""),1061)</f>
        <v>1061</v>
      </c>
      <c r="AB301" s="1">
        <f ca="1">IFERROR(__xludf.DUMMYFUNCTION("""COMPUTED_VALUE"""),351)</f>
        <v>351</v>
      </c>
      <c r="AC301" s="1">
        <f ca="1">IFERROR(__xludf.DUMMYFUNCTION("""COMPUTED_VALUE"""),166)</f>
        <v>166</v>
      </c>
      <c r="AD301" s="1">
        <f ca="1">IFERROR(__xludf.DUMMYFUNCTION("""COMPUTED_VALUE"""),67)</f>
        <v>67</v>
      </c>
      <c r="AE301" s="1">
        <f ca="1">IFERROR(__xludf.DUMMYFUNCTION("""COMPUTED_VALUE"""),364)</f>
        <v>364</v>
      </c>
      <c r="AF301" s="1">
        <f ca="1">IFERROR(__xludf.DUMMYFUNCTION("""COMPUTED_VALUE"""),554)</f>
        <v>554</v>
      </c>
    </row>
    <row r="302" spans="1:32" ht="12.5" x14ac:dyDescent="0.25">
      <c r="A302" s="1" t="str">
        <f ca="1">IFERROR(__xludf.DUMMYFUNCTION("""COMPUTED_VALUE"""),"South Dakota")</f>
        <v>South Dakota</v>
      </c>
      <c r="B302" s="1">
        <f ca="1">IFERROR(__xludf.DUMMYFUNCTION("""COMPUTED_VALUE"""),32)</f>
        <v>32</v>
      </c>
      <c r="C302" s="1">
        <f ca="1">IFERROR(__xludf.DUMMYFUNCTION("""COMPUTED_VALUE"""),22)</f>
        <v>22</v>
      </c>
      <c r="D302" s="1">
        <f ca="1">IFERROR(__xludf.DUMMYFUNCTION("""COMPUTED_VALUE"""),10)</f>
        <v>10</v>
      </c>
      <c r="E302" s="1">
        <f ca="1">IFERROR(__xludf.DUMMYFUNCTION("""COMPUTED_VALUE"""),0.688)</f>
        <v>0.68799999999999994</v>
      </c>
      <c r="F302" s="1" t="str">
        <f ca="1">IFERROR(__xludf.DUMMYFUNCTION("""COMPUTED_VALUE"""),"")</f>
        <v/>
      </c>
      <c r="G302" s="1" t="str">
        <f ca="1">IFERROR(__xludf.DUMMYFUNCTION("""COMPUTED_VALUE"""),"")</f>
        <v/>
      </c>
      <c r="H302" s="1">
        <f ca="1">IFERROR(__xludf.DUMMYFUNCTION("""COMPUTED_VALUE"""),11)</f>
        <v>11</v>
      </c>
      <c r="I302" s="1">
        <f ca="1">IFERROR(__xludf.DUMMYFUNCTION("""COMPUTED_VALUE"""),1)</f>
        <v>1</v>
      </c>
      <c r="J302" s="1">
        <f ca="1">IFERROR(__xludf.DUMMYFUNCTION("""COMPUTED_VALUE"""),12)</f>
        <v>12</v>
      </c>
      <c r="K302" s="1">
        <f ca="1">IFERROR(__xludf.DUMMYFUNCTION("""COMPUTED_VALUE"""),2)</f>
        <v>2</v>
      </c>
      <c r="L302" s="1">
        <f ca="1">IFERROR(__xludf.DUMMYFUNCTION("""COMPUTED_VALUE"""),6)</f>
        <v>6</v>
      </c>
      <c r="M302" s="1">
        <f ca="1">IFERROR(__xludf.DUMMYFUNCTION("""COMPUTED_VALUE"""),7)</f>
        <v>7</v>
      </c>
      <c r="N302" s="1">
        <f ca="1">IFERROR(__xludf.DUMMYFUNCTION("""COMPUTED_VALUE"""),2543)</f>
        <v>2543</v>
      </c>
      <c r="O302" s="1">
        <f ca="1">IFERROR(__xludf.DUMMYFUNCTION("""COMPUTED_VALUE"""),2346)</f>
        <v>2346</v>
      </c>
      <c r="P302" s="1">
        <f ca="1">IFERROR(__xludf.DUMMYFUNCTION("""COMPUTED_VALUE"""),1285)</f>
        <v>1285</v>
      </c>
      <c r="Q302" s="1">
        <f ca="1">IFERROR(__xludf.DUMMYFUNCTION("""COMPUTED_VALUE"""),886)</f>
        <v>886</v>
      </c>
      <c r="R302" s="1">
        <f ca="1">IFERROR(__xludf.DUMMYFUNCTION("""COMPUTED_VALUE"""),1865)</f>
        <v>1865</v>
      </c>
      <c r="S302" s="1">
        <f ca="1">IFERROR(__xludf.DUMMYFUNCTION("""COMPUTED_VALUE"""),0.475)</f>
        <v>0.47499999999999998</v>
      </c>
      <c r="T302" s="1">
        <f ca="1">IFERROR(__xludf.DUMMYFUNCTION("""COMPUTED_VALUE"""),244)</f>
        <v>244</v>
      </c>
      <c r="U302" s="1">
        <f ca="1">IFERROR(__xludf.DUMMYFUNCTION("""COMPUTED_VALUE"""),652)</f>
        <v>652</v>
      </c>
      <c r="V302" s="1">
        <f ca="1">IFERROR(__xludf.DUMMYFUNCTION("""COMPUTED_VALUE"""),0.374)</f>
        <v>0.374</v>
      </c>
      <c r="W302" s="1">
        <f ca="1">IFERROR(__xludf.DUMMYFUNCTION("""COMPUTED_VALUE"""),527)</f>
        <v>527</v>
      </c>
      <c r="X302" s="1">
        <f ca="1">IFERROR(__xludf.DUMMYFUNCTION("""COMPUTED_VALUE"""),794)</f>
        <v>794</v>
      </c>
      <c r="Y302" s="1">
        <f ca="1">IFERROR(__xludf.DUMMYFUNCTION("""COMPUTED_VALUE"""),0.664)</f>
        <v>0.66400000000000003</v>
      </c>
      <c r="Z302" s="1">
        <f ca="1">IFERROR(__xludf.DUMMYFUNCTION("""COMPUTED_VALUE"""),297)</f>
        <v>297</v>
      </c>
      <c r="AA302" s="1">
        <f ca="1">IFERROR(__xludf.DUMMYFUNCTION("""COMPUTED_VALUE"""),1210)</f>
        <v>1210</v>
      </c>
      <c r="AB302" s="1">
        <f ca="1">IFERROR(__xludf.DUMMYFUNCTION("""COMPUTED_VALUE"""),536)</f>
        <v>536</v>
      </c>
      <c r="AC302" s="1">
        <f ca="1">IFERROR(__xludf.DUMMYFUNCTION("""COMPUTED_VALUE"""),222)</f>
        <v>222</v>
      </c>
      <c r="AD302" s="1">
        <f ca="1">IFERROR(__xludf.DUMMYFUNCTION("""COMPUTED_VALUE"""),163)</f>
        <v>163</v>
      </c>
      <c r="AE302" s="1">
        <f ca="1">IFERROR(__xludf.DUMMYFUNCTION("""COMPUTED_VALUE"""),463)</f>
        <v>463</v>
      </c>
      <c r="AF302" s="1">
        <f ca="1">IFERROR(__xludf.DUMMYFUNCTION("""COMPUTED_VALUE"""),447)</f>
        <v>447</v>
      </c>
    </row>
    <row r="303" spans="1:32" ht="12.5" x14ac:dyDescent="0.25">
      <c r="A303" s="1" t="str">
        <f ca="1">IFERROR(__xludf.DUMMYFUNCTION("""COMPUTED_VALUE"""),"South Florida")</f>
        <v>South Florida</v>
      </c>
      <c r="B303" s="1">
        <f ca="1">IFERROR(__xludf.DUMMYFUNCTION("""COMPUTED_VALUE"""),33)</f>
        <v>33</v>
      </c>
      <c r="C303" s="1">
        <f ca="1">IFERROR(__xludf.DUMMYFUNCTION("""COMPUTED_VALUE"""),20)</f>
        <v>20</v>
      </c>
      <c r="D303" s="1">
        <f ca="1">IFERROR(__xludf.DUMMYFUNCTION("""COMPUTED_VALUE"""),13)</f>
        <v>13</v>
      </c>
      <c r="E303" s="1">
        <f ca="1">IFERROR(__xludf.DUMMYFUNCTION("""COMPUTED_VALUE"""),0.606)</f>
        <v>0.60599999999999998</v>
      </c>
      <c r="F303" s="1">
        <f ca="1">IFERROR(__xludf.DUMMYFUNCTION("""COMPUTED_VALUE"""),8.72)</f>
        <v>8.7200000000000006</v>
      </c>
      <c r="G303" s="1">
        <f ca="1">IFERROR(__xludf.DUMMYFUNCTION("""COMPUTED_VALUE"""),7.21)</f>
        <v>7.21</v>
      </c>
      <c r="H303" s="1">
        <f ca="1">IFERROR(__xludf.DUMMYFUNCTION("""COMPUTED_VALUE"""),9)</f>
        <v>9</v>
      </c>
      <c r="I303" s="1">
        <f ca="1">IFERROR(__xludf.DUMMYFUNCTION("""COMPUTED_VALUE"""),9)</f>
        <v>9</v>
      </c>
      <c r="J303" s="1">
        <f ca="1">IFERROR(__xludf.DUMMYFUNCTION("""COMPUTED_VALUE"""),11)</f>
        <v>11</v>
      </c>
      <c r="K303" s="1">
        <f ca="1">IFERROR(__xludf.DUMMYFUNCTION("""COMPUTED_VALUE"""),5)</f>
        <v>5</v>
      </c>
      <c r="L303" s="1">
        <f ca="1">IFERROR(__xludf.DUMMYFUNCTION("""COMPUTED_VALUE"""),4)</f>
        <v>4</v>
      </c>
      <c r="M303" s="1">
        <f ca="1">IFERROR(__xludf.DUMMYFUNCTION("""COMPUTED_VALUE"""),6)</f>
        <v>6</v>
      </c>
      <c r="N303" s="1">
        <f ca="1">IFERROR(__xludf.DUMMYFUNCTION("""COMPUTED_VALUE"""),2226)</f>
        <v>2226</v>
      </c>
      <c r="O303" s="1">
        <f ca="1">IFERROR(__xludf.DUMMYFUNCTION("""COMPUTED_VALUE"""),2176)</f>
        <v>2176</v>
      </c>
      <c r="P303" s="1">
        <f ca="1">IFERROR(__xludf.DUMMYFUNCTION("""COMPUTED_VALUE"""),1330)</f>
        <v>1330</v>
      </c>
      <c r="Q303" s="1">
        <f ca="1">IFERROR(__xludf.DUMMYFUNCTION("""COMPUTED_VALUE"""),775)</f>
        <v>775</v>
      </c>
      <c r="R303" s="1">
        <f ca="1">IFERROR(__xludf.DUMMYFUNCTION("""COMPUTED_VALUE"""),1757)</f>
        <v>1757</v>
      </c>
      <c r="S303" s="1">
        <f ca="1">IFERROR(__xludf.DUMMYFUNCTION("""COMPUTED_VALUE"""),0.441)</f>
        <v>0.441</v>
      </c>
      <c r="T303" s="1">
        <f ca="1">IFERROR(__xludf.DUMMYFUNCTION("""COMPUTED_VALUE"""),133)</f>
        <v>133</v>
      </c>
      <c r="U303" s="1">
        <f ca="1">IFERROR(__xludf.DUMMYFUNCTION("""COMPUTED_VALUE"""),470)</f>
        <v>470</v>
      </c>
      <c r="V303" s="1">
        <f ca="1">IFERROR(__xludf.DUMMYFUNCTION("""COMPUTED_VALUE"""),0.283)</f>
        <v>0.28299999999999997</v>
      </c>
      <c r="W303" s="1">
        <f ca="1">IFERROR(__xludf.DUMMYFUNCTION("""COMPUTED_VALUE"""),543)</f>
        <v>543</v>
      </c>
      <c r="X303" s="1">
        <f ca="1">IFERROR(__xludf.DUMMYFUNCTION("""COMPUTED_VALUE"""),796)</f>
        <v>796</v>
      </c>
      <c r="Y303" s="1">
        <f ca="1">IFERROR(__xludf.DUMMYFUNCTION("""COMPUTED_VALUE"""),0.682)</f>
        <v>0.68200000000000005</v>
      </c>
      <c r="Z303" s="1">
        <f ca="1">IFERROR(__xludf.DUMMYFUNCTION("""COMPUTED_VALUE"""),384)</f>
        <v>384</v>
      </c>
      <c r="AA303" s="1">
        <f ca="1">IFERROR(__xludf.DUMMYFUNCTION("""COMPUTED_VALUE"""),1170)</f>
        <v>1170</v>
      </c>
      <c r="AB303" s="1">
        <f ca="1">IFERROR(__xludf.DUMMYFUNCTION("""COMPUTED_VALUE"""),392)</f>
        <v>392</v>
      </c>
      <c r="AC303" s="1">
        <f ca="1">IFERROR(__xludf.DUMMYFUNCTION("""COMPUTED_VALUE"""),205)</f>
        <v>205</v>
      </c>
      <c r="AD303" s="1">
        <f ca="1">IFERROR(__xludf.DUMMYFUNCTION("""COMPUTED_VALUE"""),117)</f>
        <v>117</v>
      </c>
      <c r="AE303" s="1">
        <f ca="1">IFERROR(__xludf.DUMMYFUNCTION("""COMPUTED_VALUE"""),415)</f>
        <v>415</v>
      </c>
      <c r="AF303" s="1">
        <f ca="1">IFERROR(__xludf.DUMMYFUNCTION("""COMPUTED_VALUE"""),563)</f>
        <v>563</v>
      </c>
    </row>
    <row r="304" spans="1:32" ht="12.5" x14ac:dyDescent="0.25">
      <c r="A304" s="1" t="str">
        <f ca="1">IFERROR(__xludf.DUMMYFUNCTION("""COMPUTED_VALUE"""),"Southeast Missouri State")</f>
        <v>Southeast Missouri State</v>
      </c>
      <c r="B304" s="1">
        <f ca="1">IFERROR(__xludf.DUMMYFUNCTION("""COMPUTED_VALUE"""),30)</f>
        <v>30</v>
      </c>
      <c r="C304" s="1">
        <f ca="1">IFERROR(__xludf.DUMMYFUNCTION("""COMPUTED_VALUE"""),7)</f>
        <v>7</v>
      </c>
      <c r="D304" s="1">
        <f ca="1">IFERROR(__xludf.DUMMYFUNCTION("""COMPUTED_VALUE"""),23)</f>
        <v>23</v>
      </c>
      <c r="E304" s="1">
        <f ca="1">IFERROR(__xludf.DUMMYFUNCTION("""COMPUTED_VALUE"""),0.233)</f>
        <v>0.23300000000000001</v>
      </c>
      <c r="F304" s="1">
        <f ca="1">IFERROR(__xludf.DUMMYFUNCTION("""COMPUTED_VALUE"""),-14.49)</f>
        <v>-14.49</v>
      </c>
      <c r="G304" s="1">
        <f ca="1">IFERROR(__xludf.DUMMYFUNCTION("""COMPUTED_VALUE"""),-3.06)</f>
        <v>-3.06</v>
      </c>
      <c r="H304" s="1">
        <f ca="1">IFERROR(__xludf.DUMMYFUNCTION("""COMPUTED_VALUE"""),3)</f>
        <v>3</v>
      </c>
      <c r="I304" s="1">
        <f ca="1">IFERROR(__xludf.DUMMYFUNCTION("""COMPUTED_VALUE"""),15)</f>
        <v>15</v>
      </c>
      <c r="J304" s="1">
        <f ca="1">IFERROR(__xludf.DUMMYFUNCTION("""COMPUTED_VALUE"""),4)</f>
        <v>4</v>
      </c>
      <c r="K304" s="1">
        <f ca="1">IFERROR(__xludf.DUMMYFUNCTION("""COMPUTED_VALUE"""),10)</f>
        <v>10</v>
      </c>
      <c r="L304" s="1">
        <f ca="1">IFERROR(__xludf.DUMMYFUNCTION("""COMPUTED_VALUE"""),2)</f>
        <v>2</v>
      </c>
      <c r="M304" s="1">
        <f ca="1">IFERROR(__xludf.DUMMYFUNCTION("""COMPUTED_VALUE"""),12)</f>
        <v>12</v>
      </c>
      <c r="N304" s="1">
        <f ca="1">IFERROR(__xludf.DUMMYFUNCTION("""COMPUTED_VALUE"""),1927)</f>
        <v>1927</v>
      </c>
      <c r="O304" s="1">
        <f ca="1">IFERROR(__xludf.DUMMYFUNCTION("""COMPUTED_VALUE"""),2172)</f>
        <v>2172</v>
      </c>
      <c r="P304" s="1">
        <f ca="1">IFERROR(__xludf.DUMMYFUNCTION("""COMPUTED_VALUE"""),1221)</f>
        <v>1221</v>
      </c>
      <c r="Q304" s="1">
        <f ca="1">IFERROR(__xludf.DUMMYFUNCTION("""COMPUTED_VALUE"""),662)</f>
        <v>662</v>
      </c>
      <c r="R304" s="1">
        <f ca="1">IFERROR(__xludf.DUMMYFUNCTION("""COMPUTED_VALUE"""),1621)</f>
        <v>1621</v>
      </c>
      <c r="S304" s="1">
        <f ca="1">IFERROR(__xludf.DUMMYFUNCTION("""COMPUTED_VALUE"""),0.408)</f>
        <v>0.40799999999999997</v>
      </c>
      <c r="T304" s="1">
        <f ca="1">IFERROR(__xludf.DUMMYFUNCTION("""COMPUTED_VALUE"""),175)</f>
        <v>175</v>
      </c>
      <c r="U304" s="1">
        <f ca="1">IFERROR(__xludf.DUMMYFUNCTION("""COMPUTED_VALUE"""),498)</f>
        <v>498</v>
      </c>
      <c r="V304" s="1">
        <f ca="1">IFERROR(__xludf.DUMMYFUNCTION("""COMPUTED_VALUE"""),0.351)</f>
        <v>0.35099999999999998</v>
      </c>
      <c r="W304" s="1">
        <f ca="1">IFERROR(__xludf.DUMMYFUNCTION("""COMPUTED_VALUE"""),428)</f>
        <v>428</v>
      </c>
      <c r="X304" s="1">
        <f ca="1">IFERROR(__xludf.DUMMYFUNCTION("""COMPUTED_VALUE"""),656)</f>
        <v>656</v>
      </c>
      <c r="Y304" s="1">
        <f ca="1">IFERROR(__xludf.DUMMYFUNCTION("""COMPUTED_VALUE"""),0.652)</f>
        <v>0.65200000000000002</v>
      </c>
      <c r="Z304" s="1">
        <f ca="1">IFERROR(__xludf.DUMMYFUNCTION("""COMPUTED_VALUE"""),334)</f>
        <v>334</v>
      </c>
      <c r="AA304" s="1">
        <f ca="1">IFERROR(__xludf.DUMMYFUNCTION("""COMPUTED_VALUE"""),1026)</f>
        <v>1026</v>
      </c>
      <c r="AB304" s="1">
        <f ca="1">IFERROR(__xludf.DUMMYFUNCTION("""COMPUTED_VALUE"""),335)</f>
        <v>335</v>
      </c>
      <c r="AC304" s="1">
        <f ca="1">IFERROR(__xludf.DUMMYFUNCTION("""COMPUTED_VALUE"""),178)</f>
        <v>178</v>
      </c>
      <c r="AD304" s="1">
        <f ca="1">IFERROR(__xludf.DUMMYFUNCTION("""COMPUTED_VALUE"""),73)</f>
        <v>73</v>
      </c>
      <c r="AE304" s="1">
        <f ca="1">IFERROR(__xludf.DUMMYFUNCTION("""COMPUTED_VALUE"""),465)</f>
        <v>465</v>
      </c>
      <c r="AF304" s="1">
        <f ca="1">IFERROR(__xludf.DUMMYFUNCTION("""COMPUTED_VALUE"""),654)</f>
        <v>654</v>
      </c>
    </row>
    <row r="305" spans="1:32" ht="12.5" x14ac:dyDescent="0.25">
      <c r="A305" s="1" t="str">
        <f ca="1">IFERROR(__xludf.DUMMYFUNCTION("""COMPUTED_VALUE"""),"Southeastern Louisiana")</f>
        <v>Southeastern Louisiana</v>
      </c>
      <c r="B305" s="1">
        <f ca="1">IFERROR(__xludf.DUMMYFUNCTION("""COMPUTED_VALUE"""),31)</f>
        <v>31</v>
      </c>
      <c r="C305" s="1">
        <f ca="1">IFERROR(__xludf.DUMMYFUNCTION("""COMPUTED_VALUE"""),19)</f>
        <v>19</v>
      </c>
      <c r="D305" s="1">
        <f ca="1">IFERROR(__xludf.DUMMYFUNCTION("""COMPUTED_VALUE"""),12)</f>
        <v>12</v>
      </c>
      <c r="E305" s="1">
        <f ca="1">IFERROR(__xludf.DUMMYFUNCTION("""COMPUTED_VALUE"""),0.613)</f>
        <v>0.61299999999999999</v>
      </c>
      <c r="F305" s="1">
        <f ca="1">IFERROR(__xludf.DUMMYFUNCTION("""COMPUTED_VALUE"""),-3.97)</f>
        <v>-3.97</v>
      </c>
      <c r="G305" s="1">
        <f ca="1">IFERROR(__xludf.DUMMYFUNCTION("""COMPUTED_VALUE"""),-6.21)</f>
        <v>-6.21</v>
      </c>
      <c r="H305" s="1">
        <f ca="1">IFERROR(__xludf.DUMMYFUNCTION("""COMPUTED_VALUE"""),10)</f>
        <v>10</v>
      </c>
      <c r="I305" s="1">
        <f ca="1">IFERROR(__xludf.DUMMYFUNCTION("""COMPUTED_VALUE"""),6)</f>
        <v>6</v>
      </c>
      <c r="J305" s="1">
        <f ca="1">IFERROR(__xludf.DUMMYFUNCTION("""COMPUTED_VALUE"""),14)</f>
        <v>14</v>
      </c>
      <c r="K305" s="1">
        <f ca="1">IFERROR(__xludf.DUMMYFUNCTION("""COMPUTED_VALUE"""),1)</f>
        <v>1</v>
      </c>
      <c r="L305" s="1">
        <f ca="1">IFERROR(__xludf.DUMMYFUNCTION("""COMPUTED_VALUE"""),4)</f>
        <v>4</v>
      </c>
      <c r="M305" s="1">
        <f ca="1">IFERROR(__xludf.DUMMYFUNCTION("""COMPUTED_VALUE"""),9)</f>
        <v>9</v>
      </c>
      <c r="N305" s="1">
        <f ca="1">IFERROR(__xludf.DUMMYFUNCTION("""COMPUTED_VALUE"""),2255)</f>
        <v>2255</v>
      </c>
      <c r="O305" s="1">
        <f ca="1">IFERROR(__xludf.DUMMYFUNCTION("""COMPUTED_VALUE"""),2074)</f>
        <v>2074</v>
      </c>
      <c r="P305" s="1">
        <f ca="1">IFERROR(__xludf.DUMMYFUNCTION("""COMPUTED_VALUE"""),1250)</f>
        <v>1250</v>
      </c>
      <c r="Q305" s="1">
        <f ca="1">IFERROR(__xludf.DUMMYFUNCTION("""COMPUTED_VALUE"""),795)</f>
        <v>795</v>
      </c>
      <c r="R305" s="1">
        <f ca="1">IFERROR(__xludf.DUMMYFUNCTION("""COMPUTED_VALUE"""),1667)</f>
        <v>1667</v>
      </c>
      <c r="S305" s="1">
        <f ca="1">IFERROR(__xludf.DUMMYFUNCTION("""COMPUTED_VALUE"""),0.477)</f>
        <v>0.47699999999999998</v>
      </c>
      <c r="T305" s="1">
        <f ca="1">IFERROR(__xludf.DUMMYFUNCTION("""COMPUTED_VALUE"""),209)</f>
        <v>209</v>
      </c>
      <c r="U305" s="1">
        <f ca="1">IFERROR(__xludf.DUMMYFUNCTION("""COMPUTED_VALUE"""),539)</f>
        <v>539</v>
      </c>
      <c r="V305" s="1">
        <f ca="1">IFERROR(__xludf.DUMMYFUNCTION("""COMPUTED_VALUE"""),0.388)</f>
        <v>0.38800000000000001</v>
      </c>
      <c r="W305" s="1">
        <f ca="1">IFERROR(__xludf.DUMMYFUNCTION("""COMPUTED_VALUE"""),456)</f>
        <v>456</v>
      </c>
      <c r="X305" s="1">
        <f ca="1">IFERROR(__xludf.DUMMYFUNCTION("""COMPUTED_VALUE"""),648)</f>
        <v>648</v>
      </c>
      <c r="Y305" s="1">
        <f ca="1">IFERROR(__xludf.DUMMYFUNCTION("""COMPUTED_VALUE"""),0.704)</f>
        <v>0.70399999999999996</v>
      </c>
      <c r="Z305" s="1">
        <f ca="1">IFERROR(__xludf.DUMMYFUNCTION("""COMPUTED_VALUE"""),288)</f>
        <v>288</v>
      </c>
      <c r="AA305" s="1">
        <f ca="1">IFERROR(__xludf.DUMMYFUNCTION("""COMPUTED_VALUE"""),1042)</f>
        <v>1042</v>
      </c>
      <c r="AB305" s="1">
        <f ca="1">IFERROR(__xludf.DUMMYFUNCTION("""COMPUTED_VALUE"""),442)</f>
        <v>442</v>
      </c>
      <c r="AC305" s="1">
        <f ca="1">IFERROR(__xludf.DUMMYFUNCTION("""COMPUTED_VALUE"""),231)</f>
        <v>231</v>
      </c>
      <c r="AD305" s="1">
        <f ca="1">IFERROR(__xludf.DUMMYFUNCTION("""COMPUTED_VALUE"""),178)</f>
        <v>178</v>
      </c>
      <c r="AE305" s="1">
        <f ca="1">IFERROR(__xludf.DUMMYFUNCTION("""COMPUTED_VALUE"""),460)</f>
        <v>460</v>
      </c>
      <c r="AF305" s="1">
        <f ca="1">IFERROR(__xludf.DUMMYFUNCTION("""COMPUTED_VALUE"""),614)</f>
        <v>614</v>
      </c>
    </row>
    <row r="306" spans="1:32" ht="12.5" x14ac:dyDescent="0.25">
      <c r="A306" s="1" t="str">
        <f ca="1">IFERROR(__xludf.DUMMYFUNCTION("""COMPUTED_VALUE"""),"Southern California")</f>
        <v>Southern California</v>
      </c>
      <c r="B306" s="1">
        <f ca="1">IFERROR(__xludf.DUMMYFUNCTION("""COMPUTED_VALUE"""),30)</f>
        <v>30</v>
      </c>
      <c r="C306" s="1">
        <f ca="1">IFERROR(__xludf.DUMMYFUNCTION("""COMPUTED_VALUE"""),16)</f>
        <v>16</v>
      </c>
      <c r="D306" s="1">
        <f ca="1">IFERROR(__xludf.DUMMYFUNCTION("""COMPUTED_VALUE"""),14)</f>
        <v>14</v>
      </c>
      <c r="E306" s="1">
        <f ca="1">IFERROR(__xludf.DUMMYFUNCTION("""COMPUTED_VALUE"""),0.533)</f>
        <v>0.53300000000000003</v>
      </c>
      <c r="F306" s="1">
        <f ca="1">IFERROR(__xludf.DUMMYFUNCTION("""COMPUTED_VALUE"""),8.93)</f>
        <v>8.93</v>
      </c>
      <c r="G306" s="1">
        <f ca="1">IFERROR(__xludf.DUMMYFUNCTION("""COMPUTED_VALUE"""),6.47)</f>
        <v>6.47</v>
      </c>
      <c r="H306" s="1">
        <f ca="1">IFERROR(__xludf.DUMMYFUNCTION("""COMPUTED_VALUE"""),8)</f>
        <v>8</v>
      </c>
      <c r="I306" s="1">
        <f ca="1">IFERROR(__xludf.DUMMYFUNCTION("""COMPUTED_VALUE"""),10)</f>
        <v>10</v>
      </c>
      <c r="J306" s="1">
        <f ca="1">IFERROR(__xludf.DUMMYFUNCTION("""COMPUTED_VALUE"""),11)</f>
        <v>11</v>
      </c>
      <c r="K306" s="1">
        <f ca="1">IFERROR(__xludf.DUMMYFUNCTION("""COMPUTED_VALUE"""),5)</f>
        <v>5</v>
      </c>
      <c r="L306" s="1">
        <f ca="1">IFERROR(__xludf.DUMMYFUNCTION("""COMPUTED_VALUE"""),2)</f>
        <v>2</v>
      </c>
      <c r="M306" s="1">
        <f ca="1">IFERROR(__xludf.DUMMYFUNCTION("""COMPUTED_VALUE"""),9)</f>
        <v>9</v>
      </c>
      <c r="N306" s="1">
        <f ca="1">IFERROR(__xludf.DUMMYFUNCTION("""COMPUTED_VALUE"""),1789)</f>
        <v>1789</v>
      </c>
      <c r="O306" s="1">
        <f ca="1">IFERROR(__xludf.DUMMYFUNCTION("""COMPUTED_VALUE"""),1715)</f>
        <v>1715</v>
      </c>
      <c r="P306" s="1">
        <f ca="1">IFERROR(__xludf.DUMMYFUNCTION("""COMPUTED_VALUE"""),1210)</f>
        <v>1210</v>
      </c>
      <c r="Q306" s="1">
        <f ca="1">IFERROR(__xludf.DUMMYFUNCTION("""COMPUTED_VALUE"""),662)</f>
        <v>662</v>
      </c>
      <c r="R306" s="1">
        <f ca="1">IFERROR(__xludf.DUMMYFUNCTION("""COMPUTED_VALUE"""),1551)</f>
        <v>1551</v>
      </c>
      <c r="S306" s="1">
        <f ca="1">IFERROR(__xludf.DUMMYFUNCTION("""COMPUTED_VALUE"""),0.427)</f>
        <v>0.42699999999999999</v>
      </c>
      <c r="T306" s="1">
        <f ca="1">IFERROR(__xludf.DUMMYFUNCTION("""COMPUTED_VALUE"""),107)</f>
        <v>107</v>
      </c>
      <c r="U306" s="1">
        <f ca="1">IFERROR(__xludf.DUMMYFUNCTION("""COMPUTED_VALUE"""),360)</f>
        <v>360</v>
      </c>
      <c r="V306" s="1">
        <f ca="1">IFERROR(__xludf.DUMMYFUNCTION("""COMPUTED_VALUE"""),0.297)</f>
        <v>0.29699999999999999</v>
      </c>
      <c r="W306" s="1">
        <f ca="1">IFERROR(__xludf.DUMMYFUNCTION("""COMPUTED_VALUE"""),358)</f>
        <v>358</v>
      </c>
      <c r="X306" s="1">
        <f ca="1">IFERROR(__xludf.DUMMYFUNCTION("""COMPUTED_VALUE"""),550)</f>
        <v>550</v>
      </c>
      <c r="Y306" s="1">
        <f ca="1">IFERROR(__xludf.DUMMYFUNCTION("""COMPUTED_VALUE"""),0.651)</f>
        <v>0.65100000000000002</v>
      </c>
      <c r="Z306" s="1">
        <f ca="1">IFERROR(__xludf.DUMMYFUNCTION("""COMPUTED_VALUE"""),331)</f>
        <v>331</v>
      </c>
      <c r="AA306" s="1">
        <f ca="1">IFERROR(__xludf.DUMMYFUNCTION("""COMPUTED_VALUE"""),1047)</f>
        <v>1047</v>
      </c>
      <c r="AB306" s="1">
        <f ca="1">IFERROR(__xludf.DUMMYFUNCTION("""COMPUTED_VALUE"""),282)</f>
        <v>282</v>
      </c>
      <c r="AC306" s="1">
        <f ca="1">IFERROR(__xludf.DUMMYFUNCTION("""COMPUTED_VALUE"""),171)</f>
        <v>171</v>
      </c>
      <c r="AD306" s="1">
        <f ca="1">IFERROR(__xludf.DUMMYFUNCTION("""COMPUTED_VALUE"""),132)</f>
        <v>132</v>
      </c>
      <c r="AE306" s="1">
        <f ca="1">IFERROR(__xludf.DUMMYFUNCTION("""COMPUTED_VALUE"""),434)</f>
        <v>434</v>
      </c>
      <c r="AF306" s="1">
        <f ca="1">IFERROR(__xludf.DUMMYFUNCTION("""COMPUTED_VALUE"""),531)</f>
        <v>531</v>
      </c>
    </row>
    <row r="307" spans="1:32" ht="12.5" x14ac:dyDescent="0.25">
      <c r="A307" s="1" t="str">
        <f ca="1">IFERROR(__xludf.DUMMYFUNCTION("""COMPUTED_VALUE"""),"SIU Edwardsville")</f>
        <v>SIU Edwardsville</v>
      </c>
      <c r="B307" s="1">
        <f ca="1">IFERROR(__xludf.DUMMYFUNCTION("""COMPUTED_VALUE"""),28)</f>
        <v>28</v>
      </c>
      <c r="C307" s="1">
        <f ca="1">IFERROR(__xludf.DUMMYFUNCTION("""COMPUTED_VALUE"""),5)</f>
        <v>5</v>
      </c>
      <c r="D307" s="1">
        <f ca="1">IFERROR(__xludf.DUMMYFUNCTION("""COMPUTED_VALUE"""),23)</f>
        <v>23</v>
      </c>
      <c r="E307" s="1">
        <f ca="1">IFERROR(__xludf.DUMMYFUNCTION("""COMPUTED_VALUE"""),0.179)</f>
        <v>0.17899999999999999</v>
      </c>
      <c r="F307" s="1" t="str">
        <f ca="1">IFERROR(__xludf.DUMMYFUNCTION("""COMPUTED_VALUE"""),"")</f>
        <v/>
      </c>
      <c r="G307" s="1" t="str">
        <f ca="1">IFERROR(__xludf.DUMMYFUNCTION("""COMPUTED_VALUE"""),"")</f>
        <v/>
      </c>
      <c r="H307" s="1" t="str">
        <f ca="1">IFERROR(__xludf.DUMMYFUNCTION("""COMPUTED_VALUE"""),"")</f>
        <v/>
      </c>
      <c r="I307" s="1" t="str">
        <f ca="1">IFERROR(__xludf.DUMMYFUNCTION("""COMPUTED_VALUE"""),"")</f>
        <v/>
      </c>
      <c r="J307" s="1">
        <f ca="1">IFERROR(__xludf.DUMMYFUNCTION("""COMPUTED_VALUE"""),2)</f>
        <v>2</v>
      </c>
      <c r="K307" s="1">
        <f ca="1">IFERROR(__xludf.DUMMYFUNCTION("""COMPUTED_VALUE"""),9)</f>
        <v>9</v>
      </c>
      <c r="L307" s="1">
        <f ca="1">IFERROR(__xludf.DUMMYFUNCTION("""COMPUTED_VALUE"""),2)</f>
        <v>2</v>
      </c>
      <c r="M307" s="1">
        <f ca="1">IFERROR(__xludf.DUMMYFUNCTION("""COMPUTED_VALUE"""),14)</f>
        <v>14</v>
      </c>
      <c r="N307" s="1">
        <f ca="1">IFERROR(__xludf.DUMMYFUNCTION("""COMPUTED_VALUE"""),1739)</f>
        <v>1739</v>
      </c>
      <c r="O307" s="1">
        <f ca="1">IFERROR(__xludf.DUMMYFUNCTION("""COMPUTED_VALUE"""),2122)</f>
        <v>2122</v>
      </c>
      <c r="P307" s="1">
        <f ca="1">IFERROR(__xludf.DUMMYFUNCTION("""COMPUTED_VALUE"""),1120)</f>
        <v>1120</v>
      </c>
      <c r="Q307" s="1">
        <f ca="1">IFERROR(__xludf.DUMMYFUNCTION("""COMPUTED_VALUE"""),612)</f>
        <v>612</v>
      </c>
      <c r="R307" s="1">
        <f ca="1">IFERROR(__xludf.DUMMYFUNCTION("""COMPUTED_VALUE"""),1565)</f>
        <v>1565</v>
      </c>
      <c r="S307" s="1">
        <f ca="1">IFERROR(__xludf.DUMMYFUNCTION("""COMPUTED_VALUE"""),0.391)</f>
        <v>0.39100000000000001</v>
      </c>
      <c r="T307" s="1">
        <f ca="1">IFERROR(__xludf.DUMMYFUNCTION("""COMPUTED_VALUE"""),168)</f>
        <v>168</v>
      </c>
      <c r="U307" s="1">
        <f ca="1">IFERROR(__xludf.DUMMYFUNCTION("""COMPUTED_VALUE"""),534)</f>
        <v>534</v>
      </c>
      <c r="V307" s="1">
        <f ca="1">IFERROR(__xludf.DUMMYFUNCTION("""COMPUTED_VALUE"""),0.315)</f>
        <v>0.315</v>
      </c>
      <c r="W307" s="1">
        <f ca="1">IFERROR(__xludf.DUMMYFUNCTION("""COMPUTED_VALUE"""),347)</f>
        <v>347</v>
      </c>
      <c r="X307" s="1">
        <f ca="1">IFERROR(__xludf.DUMMYFUNCTION("""COMPUTED_VALUE"""),494)</f>
        <v>494</v>
      </c>
      <c r="Y307" s="1">
        <f ca="1">IFERROR(__xludf.DUMMYFUNCTION("""COMPUTED_VALUE"""),0.702)</f>
        <v>0.70199999999999996</v>
      </c>
      <c r="Z307" s="1">
        <f ca="1">IFERROR(__xludf.DUMMYFUNCTION("""COMPUTED_VALUE"""),258)</f>
        <v>258</v>
      </c>
      <c r="AA307" s="1">
        <f ca="1">IFERROR(__xludf.DUMMYFUNCTION("""COMPUTED_VALUE"""),914)</f>
        <v>914</v>
      </c>
      <c r="AB307" s="1">
        <f ca="1">IFERROR(__xludf.DUMMYFUNCTION("""COMPUTED_VALUE"""),337)</f>
        <v>337</v>
      </c>
      <c r="AC307" s="1">
        <f ca="1">IFERROR(__xludf.DUMMYFUNCTION("""COMPUTED_VALUE"""),146)</f>
        <v>146</v>
      </c>
      <c r="AD307" s="1">
        <f ca="1">IFERROR(__xludf.DUMMYFUNCTION("""COMPUTED_VALUE"""),69)</f>
        <v>69</v>
      </c>
      <c r="AE307" s="1">
        <f ca="1">IFERROR(__xludf.DUMMYFUNCTION("""COMPUTED_VALUE"""),409)</f>
        <v>409</v>
      </c>
      <c r="AF307" s="1">
        <f ca="1">IFERROR(__xludf.DUMMYFUNCTION("""COMPUTED_VALUE"""),555)</f>
        <v>555</v>
      </c>
    </row>
    <row r="308" spans="1:32" ht="12.5" x14ac:dyDescent="0.25">
      <c r="A308" s="1" t="str">
        <f ca="1">IFERROR(__xludf.DUMMYFUNCTION("""COMPUTED_VALUE"""),"Overall")</f>
        <v>Overall</v>
      </c>
      <c r="B308" s="1" t="str">
        <f ca="1">IFERROR(__xludf.DUMMYFUNCTION("""COMPUTED_VALUE"""),"Conf.")</f>
        <v>Conf.</v>
      </c>
      <c r="C308" s="1" t="str">
        <f ca="1">IFERROR(__xludf.DUMMYFUNCTION("""COMPUTED_VALUE"""),"Home")</f>
        <v>Home</v>
      </c>
      <c r="D308" s="1" t="str">
        <f ca="1">IFERROR(__xludf.DUMMYFUNCTION("""COMPUTED_VALUE"""),"Away")</f>
        <v>Away</v>
      </c>
      <c r="E308" s="1" t="str">
        <f ca="1">IFERROR(__xludf.DUMMYFUNCTION("""COMPUTED_VALUE"""),"Points")</f>
        <v>Points</v>
      </c>
      <c r="F308" s="1" t="str">
        <f ca="1">IFERROR(__xludf.DUMMYFUNCTION("""COMPUTED_VALUE"""),"")</f>
        <v/>
      </c>
      <c r="G308" s="1" t="str">
        <f ca="1">IFERROR(__xludf.DUMMYFUNCTION("""COMPUTED_VALUE"""),"School Totals")</f>
        <v>School Totals</v>
      </c>
      <c r="H308" s="1" t="str">
        <f ca="1">IFERROR(__xludf.DUMMYFUNCTION("""COMPUTED_VALUE"""),"")</f>
        <v/>
      </c>
      <c r="I308" s="1" t="str">
        <f ca="1">IFERROR(__xludf.DUMMYFUNCTION("""COMPUTED_VALUE"""),"")</f>
        <v/>
      </c>
      <c r="J308" s="1" t="str">
        <f ca="1">IFERROR(__xludf.DUMMYFUNCTION("""COMPUTED_VALUE"""),"")</f>
        <v/>
      </c>
      <c r="K308" s="1" t="str">
        <f ca="1">IFERROR(__xludf.DUMMYFUNCTION("""COMPUTED_VALUE"""),"")</f>
        <v/>
      </c>
      <c r="L308" s="1" t="str">
        <f ca="1">IFERROR(__xludf.DUMMYFUNCTION("""COMPUTED_VALUE"""),"")</f>
        <v/>
      </c>
      <c r="M308" s="1" t="str">
        <f ca="1">IFERROR(__xludf.DUMMYFUNCTION("""COMPUTED_VALUE"""),"")</f>
        <v/>
      </c>
      <c r="N308" s="1" t="str">
        <f ca="1">IFERROR(__xludf.DUMMYFUNCTION("""COMPUTED_VALUE"""),"")</f>
        <v/>
      </c>
      <c r="O308" s="1" t="str">
        <f ca="1">IFERROR(__xludf.DUMMYFUNCTION("""COMPUTED_VALUE"""),"")</f>
        <v/>
      </c>
      <c r="P308" s="1" t="str">
        <f ca="1">IFERROR(__xludf.DUMMYFUNCTION("""COMPUTED_VALUE"""),"")</f>
        <v/>
      </c>
      <c r="Q308" s="1" t="str">
        <f ca="1">IFERROR(__xludf.DUMMYFUNCTION("""COMPUTED_VALUE"""),"")</f>
        <v/>
      </c>
      <c r="R308" s="1" t="str">
        <f ca="1">IFERROR(__xludf.DUMMYFUNCTION("""COMPUTED_VALUE"""),"")</f>
        <v/>
      </c>
      <c r="S308" s="1" t="str">
        <f ca="1">IFERROR(__xludf.DUMMYFUNCTION("""COMPUTED_VALUE"""),"")</f>
        <v/>
      </c>
      <c r="T308" s="1" t="str">
        <f ca="1">IFERROR(__xludf.DUMMYFUNCTION("""COMPUTED_VALUE"""),"")</f>
        <v/>
      </c>
      <c r="U308" s="1" t="str">
        <f ca="1">IFERROR(__xludf.DUMMYFUNCTION("""COMPUTED_VALUE"""),"")</f>
        <v/>
      </c>
      <c r="V308" s="1" t="str">
        <f ca="1">IFERROR(__xludf.DUMMYFUNCTION("""COMPUTED_VALUE"""),"")</f>
        <v/>
      </c>
      <c r="W308" s="1" t="str">
        <f ca="1">IFERROR(__xludf.DUMMYFUNCTION("""COMPUTED_VALUE"""),"")</f>
        <v/>
      </c>
      <c r="X308" s="1" t="str">
        <f ca="1">IFERROR(__xludf.DUMMYFUNCTION("""COMPUTED_VALUE"""),"")</f>
        <v/>
      </c>
      <c r="Y308" s="1" t="str">
        <f ca="1">IFERROR(__xludf.DUMMYFUNCTION("""COMPUTED_VALUE"""),"")</f>
        <v/>
      </c>
      <c r="Z308" s="1" t="str">
        <f ca="1">IFERROR(__xludf.DUMMYFUNCTION("""COMPUTED_VALUE"""),"")</f>
        <v/>
      </c>
      <c r="AA308" s="1" t="str">
        <f ca="1">IFERROR(__xludf.DUMMYFUNCTION("""COMPUTED_VALUE"""),"")</f>
        <v/>
      </c>
      <c r="AB308" s="1" t="str">
        <f ca="1">IFERROR(__xludf.DUMMYFUNCTION("""COMPUTED_VALUE"""),"")</f>
        <v/>
      </c>
      <c r="AC308" s="1" t="str">
        <f ca="1">IFERROR(__xludf.DUMMYFUNCTION("""COMPUTED_VALUE"""),"")</f>
        <v/>
      </c>
      <c r="AD308" s="1" t="str">
        <f ca="1">IFERROR(__xludf.DUMMYFUNCTION("""COMPUTED_VALUE"""),"")</f>
        <v/>
      </c>
      <c r="AE308" s="1" t="str">
        <f ca="1">IFERROR(__xludf.DUMMYFUNCTION("""COMPUTED_VALUE"""),"")</f>
        <v/>
      </c>
      <c r="AF308" s="1" t="str">
        <f ca="1">IFERROR(__xludf.DUMMYFUNCTION("""COMPUTED_VALUE"""),"")</f>
        <v/>
      </c>
    </row>
    <row r="309" spans="1:32" ht="12.5" x14ac:dyDescent="0.25">
      <c r="A309" s="1" t="str">
        <f ca="1">IFERROR(__xludf.DUMMYFUNCTION("""COMPUTED_VALUE"""),"School")</f>
        <v>School</v>
      </c>
      <c r="B309" s="1" t="str">
        <f ca="1">IFERROR(__xludf.DUMMYFUNCTION("""COMPUTED_VALUE"""),"G")</f>
        <v>G</v>
      </c>
      <c r="C309" s="1" t="str">
        <f ca="1">IFERROR(__xludf.DUMMYFUNCTION("""COMPUTED_VALUE"""),"W")</f>
        <v>W</v>
      </c>
      <c r="D309" s="1" t="str">
        <f ca="1">IFERROR(__xludf.DUMMYFUNCTION("""COMPUTED_VALUE"""),"L")</f>
        <v>L</v>
      </c>
      <c r="E309" s="1" t="str">
        <f ca="1">IFERROR(__xludf.DUMMYFUNCTION("""COMPUTED_VALUE"""),"W-L%")</f>
        <v>W-L%</v>
      </c>
      <c r="F309" s="1" t="str">
        <f ca="1">IFERROR(__xludf.DUMMYFUNCTION("""COMPUTED_VALUE"""),"SRS")</f>
        <v>SRS</v>
      </c>
      <c r="G309" s="1" t="str">
        <f ca="1">IFERROR(__xludf.DUMMYFUNCTION("""COMPUTED_VALUE"""),"SOS")</f>
        <v>SOS</v>
      </c>
      <c r="H309" s="1" t="str">
        <f ca="1">IFERROR(__xludf.DUMMYFUNCTION("""COMPUTED_VALUE"""),"W")</f>
        <v>W</v>
      </c>
      <c r="I309" s="1" t="str">
        <f ca="1">IFERROR(__xludf.DUMMYFUNCTION("""COMPUTED_VALUE"""),"L")</f>
        <v>L</v>
      </c>
      <c r="J309" s="1" t="str">
        <f ca="1">IFERROR(__xludf.DUMMYFUNCTION("""COMPUTED_VALUE"""),"W")</f>
        <v>W</v>
      </c>
      <c r="K309" s="1" t="str">
        <f ca="1">IFERROR(__xludf.DUMMYFUNCTION("""COMPUTED_VALUE"""),"L")</f>
        <v>L</v>
      </c>
      <c r="L309" s="1" t="str">
        <f ca="1">IFERROR(__xludf.DUMMYFUNCTION("""COMPUTED_VALUE"""),"W")</f>
        <v>W</v>
      </c>
      <c r="M309" s="1" t="str">
        <f ca="1">IFERROR(__xludf.DUMMYFUNCTION("""COMPUTED_VALUE"""),"L")</f>
        <v>L</v>
      </c>
      <c r="N309" s="1" t="str">
        <f ca="1">IFERROR(__xludf.DUMMYFUNCTION("""COMPUTED_VALUE"""),"Tm.")</f>
        <v>Tm.</v>
      </c>
      <c r="O309" s="1" t="str">
        <f ca="1">IFERROR(__xludf.DUMMYFUNCTION("""COMPUTED_VALUE"""),"Opp.")</f>
        <v>Opp.</v>
      </c>
      <c r="P309" s="1" t="str">
        <f ca="1">IFERROR(__xludf.DUMMYFUNCTION("""COMPUTED_VALUE"""),"MP")</f>
        <v>MP</v>
      </c>
      <c r="Q309" s="1" t="str">
        <f ca="1">IFERROR(__xludf.DUMMYFUNCTION("""COMPUTED_VALUE"""),"FG")</f>
        <v>FG</v>
      </c>
      <c r="R309" s="1" t="str">
        <f ca="1">IFERROR(__xludf.DUMMYFUNCTION("""COMPUTED_VALUE"""),"FGA")</f>
        <v>FGA</v>
      </c>
      <c r="S309" s="1" t="str">
        <f ca="1">IFERROR(__xludf.DUMMYFUNCTION("""COMPUTED_VALUE"""),"FG%")</f>
        <v>FG%</v>
      </c>
      <c r="T309" s="1" t="str">
        <f ca="1">IFERROR(__xludf.DUMMYFUNCTION("""COMPUTED_VALUE"""),"3P")</f>
        <v>3P</v>
      </c>
      <c r="U309" s="1" t="str">
        <f ca="1">IFERROR(__xludf.DUMMYFUNCTION("""COMPUTED_VALUE"""),"3PA")</f>
        <v>3PA</v>
      </c>
      <c r="V309" s="1" t="str">
        <f ca="1">IFERROR(__xludf.DUMMYFUNCTION("""COMPUTED_VALUE"""),"3P%")</f>
        <v>3P%</v>
      </c>
      <c r="W309" s="1" t="str">
        <f ca="1">IFERROR(__xludf.DUMMYFUNCTION("""COMPUTED_VALUE"""),"FT")</f>
        <v>FT</v>
      </c>
      <c r="X309" s="1" t="str">
        <f ca="1">IFERROR(__xludf.DUMMYFUNCTION("""COMPUTED_VALUE"""),"FTA")</f>
        <v>FTA</v>
      </c>
      <c r="Y309" s="1" t="str">
        <f ca="1">IFERROR(__xludf.DUMMYFUNCTION("""COMPUTED_VALUE"""),"FT%")</f>
        <v>FT%</v>
      </c>
      <c r="Z309" s="1" t="str">
        <f ca="1">IFERROR(__xludf.DUMMYFUNCTION("""COMPUTED_VALUE"""),"ORB")</f>
        <v>ORB</v>
      </c>
      <c r="AA309" s="1" t="str">
        <f ca="1">IFERROR(__xludf.DUMMYFUNCTION("""COMPUTED_VALUE"""),"TRB")</f>
        <v>TRB</v>
      </c>
      <c r="AB309" s="1" t="str">
        <f ca="1">IFERROR(__xludf.DUMMYFUNCTION("""COMPUTED_VALUE"""),"AST")</f>
        <v>AST</v>
      </c>
      <c r="AC309" s="1" t="str">
        <f ca="1">IFERROR(__xludf.DUMMYFUNCTION("""COMPUTED_VALUE"""),"STL")</f>
        <v>STL</v>
      </c>
      <c r="AD309" s="1" t="str">
        <f ca="1">IFERROR(__xludf.DUMMYFUNCTION("""COMPUTED_VALUE"""),"BLK")</f>
        <v>BLK</v>
      </c>
      <c r="AE309" s="1" t="str">
        <f ca="1">IFERROR(__xludf.DUMMYFUNCTION("""COMPUTED_VALUE"""),"TOV")</f>
        <v>TOV</v>
      </c>
      <c r="AF309" s="1" t="str">
        <f ca="1">IFERROR(__xludf.DUMMYFUNCTION("""COMPUTED_VALUE"""),"PF")</f>
        <v>PF</v>
      </c>
    </row>
    <row r="310" spans="1:32" ht="12.5" x14ac:dyDescent="0.25">
      <c r="A310" s="1" t="str">
        <f ca="1">IFERROR(__xludf.DUMMYFUNCTION("""COMPUTED_VALUE"""),"Southern Illinois")</f>
        <v>Southern Illinois</v>
      </c>
      <c r="B310" s="1">
        <f ca="1">IFERROR(__xludf.DUMMYFUNCTION("""COMPUTED_VALUE"""),30)</f>
        <v>30</v>
      </c>
      <c r="C310" s="1">
        <f ca="1">IFERROR(__xludf.DUMMYFUNCTION("""COMPUTED_VALUE"""),15)</f>
        <v>15</v>
      </c>
      <c r="D310" s="1">
        <f ca="1">IFERROR(__xludf.DUMMYFUNCTION("""COMPUTED_VALUE"""),15)</f>
        <v>15</v>
      </c>
      <c r="E310" s="1">
        <f ca="1">IFERROR(__xludf.DUMMYFUNCTION("""COMPUTED_VALUE"""),0.5)</f>
        <v>0.5</v>
      </c>
      <c r="F310" s="1">
        <f ca="1">IFERROR(__xludf.DUMMYFUNCTION("""COMPUTED_VALUE"""),3.44)</f>
        <v>3.44</v>
      </c>
      <c r="G310" s="1">
        <f ca="1">IFERROR(__xludf.DUMMYFUNCTION("""COMPUTED_VALUE"""),1.27)</f>
        <v>1.27</v>
      </c>
      <c r="H310" s="1">
        <f ca="1">IFERROR(__xludf.DUMMYFUNCTION("""COMPUTED_VALUE"""),6)</f>
        <v>6</v>
      </c>
      <c r="I310" s="1">
        <f ca="1">IFERROR(__xludf.DUMMYFUNCTION("""COMPUTED_VALUE"""),12)</f>
        <v>12</v>
      </c>
      <c r="J310" s="1">
        <f ca="1">IFERROR(__xludf.DUMMYFUNCTION("""COMPUTED_VALUE"""),10)</f>
        <v>10</v>
      </c>
      <c r="K310" s="1">
        <f ca="1">IFERROR(__xludf.DUMMYFUNCTION("""COMPUTED_VALUE"""),5)</f>
        <v>5</v>
      </c>
      <c r="L310" s="1">
        <f ca="1">IFERROR(__xludf.DUMMYFUNCTION("""COMPUTED_VALUE"""),3)</f>
        <v>3</v>
      </c>
      <c r="M310" s="1">
        <f ca="1">IFERROR(__xludf.DUMMYFUNCTION("""COMPUTED_VALUE"""),9)</f>
        <v>9</v>
      </c>
      <c r="N310" s="1">
        <f ca="1">IFERROR(__xludf.DUMMYFUNCTION("""COMPUTED_VALUE"""),2104)</f>
        <v>2104</v>
      </c>
      <c r="O310" s="1">
        <f ca="1">IFERROR(__xludf.DUMMYFUNCTION("""COMPUTED_VALUE"""),2026)</f>
        <v>2026</v>
      </c>
      <c r="P310" s="1">
        <f ca="1">IFERROR(__xludf.DUMMYFUNCTION("""COMPUTED_VALUE"""),1210)</f>
        <v>1210</v>
      </c>
      <c r="Q310" s="1">
        <f ca="1">IFERROR(__xludf.DUMMYFUNCTION("""COMPUTED_VALUE"""),740)</f>
        <v>740</v>
      </c>
      <c r="R310" s="1">
        <f ca="1">IFERROR(__xludf.DUMMYFUNCTION("""COMPUTED_VALUE"""),1614)</f>
        <v>1614</v>
      </c>
      <c r="S310" s="1">
        <f ca="1">IFERROR(__xludf.DUMMYFUNCTION("""COMPUTED_VALUE"""),0.458)</f>
        <v>0.45800000000000002</v>
      </c>
      <c r="T310" s="1">
        <f ca="1">IFERROR(__xludf.DUMMYFUNCTION("""COMPUTED_VALUE"""),204)</f>
        <v>204</v>
      </c>
      <c r="U310" s="1">
        <f ca="1">IFERROR(__xludf.DUMMYFUNCTION("""COMPUTED_VALUE"""),563)</f>
        <v>563</v>
      </c>
      <c r="V310" s="1">
        <f ca="1">IFERROR(__xludf.DUMMYFUNCTION("""COMPUTED_VALUE"""),0.362)</f>
        <v>0.36199999999999999</v>
      </c>
      <c r="W310" s="1">
        <f ca="1">IFERROR(__xludf.DUMMYFUNCTION("""COMPUTED_VALUE"""),420)</f>
        <v>420</v>
      </c>
      <c r="X310" s="1">
        <f ca="1">IFERROR(__xludf.DUMMYFUNCTION("""COMPUTED_VALUE"""),608)</f>
        <v>608</v>
      </c>
      <c r="Y310" s="1">
        <f ca="1">IFERROR(__xludf.DUMMYFUNCTION("""COMPUTED_VALUE"""),0.691)</f>
        <v>0.69099999999999995</v>
      </c>
      <c r="Z310" s="1">
        <f ca="1">IFERROR(__xludf.DUMMYFUNCTION("""COMPUTED_VALUE"""),300)</f>
        <v>300</v>
      </c>
      <c r="AA310" s="1">
        <f ca="1">IFERROR(__xludf.DUMMYFUNCTION("""COMPUTED_VALUE"""),978)</f>
        <v>978</v>
      </c>
      <c r="AB310" s="1">
        <f ca="1">IFERROR(__xludf.DUMMYFUNCTION("""COMPUTED_VALUE"""),411)</f>
        <v>411</v>
      </c>
      <c r="AC310" s="1">
        <f ca="1">IFERROR(__xludf.DUMMYFUNCTION("""COMPUTED_VALUE"""),192)</f>
        <v>192</v>
      </c>
      <c r="AD310" s="1">
        <f ca="1">IFERROR(__xludf.DUMMYFUNCTION("""COMPUTED_VALUE"""),83)</f>
        <v>83</v>
      </c>
      <c r="AE310" s="1">
        <f ca="1">IFERROR(__xludf.DUMMYFUNCTION("""COMPUTED_VALUE"""),405)</f>
        <v>405</v>
      </c>
      <c r="AF310" s="1">
        <f ca="1">IFERROR(__xludf.DUMMYFUNCTION("""COMPUTED_VALUE"""),629)</f>
        <v>629</v>
      </c>
    </row>
    <row r="311" spans="1:32" ht="12.5" x14ac:dyDescent="0.25">
      <c r="A311" s="1" t="str">
        <f ca="1">IFERROR(__xludf.DUMMYFUNCTION("""COMPUTED_VALUE"""),"Southern Methodist")</f>
        <v>Southern Methodist</v>
      </c>
      <c r="B311" s="1">
        <f ca="1">IFERROR(__xludf.DUMMYFUNCTION("""COMPUTED_VALUE"""),31)</f>
        <v>31</v>
      </c>
      <c r="C311" s="1">
        <f ca="1">IFERROR(__xludf.DUMMYFUNCTION("""COMPUTED_VALUE"""),14)</f>
        <v>14</v>
      </c>
      <c r="D311" s="1">
        <f ca="1">IFERROR(__xludf.DUMMYFUNCTION("""COMPUTED_VALUE"""),17)</f>
        <v>17</v>
      </c>
      <c r="E311" s="1">
        <f ca="1">IFERROR(__xludf.DUMMYFUNCTION("""COMPUTED_VALUE"""),0.452)</f>
        <v>0.45200000000000001</v>
      </c>
      <c r="F311" s="1">
        <f ca="1">IFERROR(__xludf.DUMMYFUNCTION("""COMPUTED_VALUE"""),2.39)</f>
        <v>2.39</v>
      </c>
      <c r="G311" s="1">
        <f ca="1">IFERROR(__xludf.DUMMYFUNCTION("""COMPUTED_VALUE"""),3.78)</f>
        <v>3.78</v>
      </c>
      <c r="H311" s="1">
        <f ca="1">IFERROR(__xludf.DUMMYFUNCTION("""COMPUTED_VALUE"""),7)</f>
        <v>7</v>
      </c>
      <c r="I311" s="1">
        <f ca="1">IFERROR(__xludf.DUMMYFUNCTION("""COMPUTED_VALUE"""),9)</f>
        <v>9</v>
      </c>
      <c r="J311" s="1">
        <f ca="1">IFERROR(__xludf.DUMMYFUNCTION("""COMPUTED_VALUE"""),10)</f>
        <v>10</v>
      </c>
      <c r="K311" s="1">
        <f ca="1">IFERROR(__xludf.DUMMYFUNCTION("""COMPUTED_VALUE"""),7)</f>
        <v>7</v>
      </c>
      <c r="L311" s="1">
        <f ca="1">IFERROR(__xludf.DUMMYFUNCTION("""COMPUTED_VALUE"""),4)</f>
        <v>4</v>
      </c>
      <c r="M311" s="1">
        <f ca="1">IFERROR(__xludf.DUMMYFUNCTION("""COMPUTED_VALUE"""),6)</f>
        <v>6</v>
      </c>
      <c r="N311" s="1">
        <f ca="1">IFERROR(__xludf.DUMMYFUNCTION("""COMPUTED_VALUE"""),2053)</f>
        <v>2053</v>
      </c>
      <c r="O311" s="1">
        <f ca="1">IFERROR(__xludf.DUMMYFUNCTION("""COMPUTED_VALUE"""),1998)</f>
        <v>1998</v>
      </c>
      <c r="P311" s="1">
        <f ca="1">IFERROR(__xludf.DUMMYFUNCTION("""COMPUTED_VALUE"""),1240)</f>
        <v>1240</v>
      </c>
      <c r="Q311" s="1">
        <f ca="1">IFERROR(__xludf.DUMMYFUNCTION("""COMPUTED_VALUE"""),710)</f>
        <v>710</v>
      </c>
      <c r="R311" s="1">
        <f ca="1">IFERROR(__xludf.DUMMYFUNCTION("""COMPUTED_VALUE"""),1554)</f>
        <v>1554</v>
      </c>
      <c r="S311" s="1">
        <f ca="1">IFERROR(__xludf.DUMMYFUNCTION("""COMPUTED_VALUE"""),0.457)</f>
        <v>0.45700000000000002</v>
      </c>
      <c r="T311" s="1">
        <f ca="1">IFERROR(__xludf.DUMMYFUNCTION("""COMPUTED_VALUE"""),183)</f>
        <v>183</v>
      </c>
      <c r="U311" s="1">
        <f ca="1">IFERROR(__xludf.DUMMYFUNCTION("""COMPUTED_VALUE"""),521)</f>
        <v>521</v>
      </c>
      <c r="V311" s="1">
        <f ca="1">IFERROR(__xludf.DUMMYFUNCTION("""COMPUTED_VALUE"""),0.351)</f>
        <v>0.35099999999999998</v>
      </c>
      <c r="W311" s="1">
        <f ca="1">IFERROR(__xludf.DUMMYFUNCTION("""COMPUTED_VALUE"""),450)</f>
        <v>450</v>
      </c>
      <c r="X311" s="1">
        <f ca="1">IFERROR(__xludf.DUMMYFUNCTION("""COMPUTED_VALUE"""),643)</f>
        <v>643</v>
      </c>
      <c r="Y311" s="1">
        <f ca="1">IFERROR(__xludf.DUMMYFUNCTION("""COMPUTED_VALUE"""),0.7)</f>
        <v>0.7</v>
      </c>
      <c r="Z311" s="1">
        <f ca="1">IFERROR(__xludf.DUMMYFUNCTION("""COMPUTED_VALUE"""),315)</f>
        <v>315</v>
      </c>
      <c r="AA311" s="1">
        <f ca="1">IFERROR(__xludf.DUMMYFUNCTION("""COMPUTED_VALUE"""),1032)</f>
        <v>1032</v>
      </c>
      <c r="AB311" s="1">
        <f ca="1">IFERROR(__xludf.DUMMYFUNCTION("""COMPUTED_VALUE"""),333)</f>
        <v>333</v>
      </c>
      <c r="AC311" s="1">
        <f ca="1">IFERROR(__xludf.DUMMYFUNCTION("""COMPUTED_VALUE"""),176)</f>
        <v>176</v>
      </c>
      <c r="AD311" s="1">
        <f ca="1">IFERROR(__xludf.DUMMYFUNCTION("""COMPUTED_VALUE"""),76)</f>
        <v>76</v>
      </c>
      <c r="AE311" s="1">
        <f ca="1">IFERROR(__xludf.DUMMYFUNCTION("""COMPUTED_VALUE"""),425)</f>
        <v>425</v>
      </c>
      <c r="AF311" s="1">
        <f ca="1">IFERROR(__xludf.DUMMYFUNCTION("""COMPUTED_VALUE"""),518)</f>
        <v>518</v>
      </c>
    </row>
    <row r="312" spans="1:32" ht="12.5" x14ac:dyDescent="0.25">
      <c r="A312" s="1" t="str">
        <f ca="1">IFERROR(__xludf.DUMMYFUNCTION("""COMPUTED_VALUE"""),"Southern Mississippi")</f>
        <v>Southern Mississippi</v>
      </c>
      <c r="B312" s="1">
        <f ca="1">IFERROR(__xludf.DUMMYFUNCTION("""COMPUTED_VALUE"""),34)</f>
        <v>34</v>
      </c>
      <c r="C312" s="1">
        <f ca="1">IFERROR(__xludf.DUMMYFUNCTION("""COMPUTED_VALUE"""),20)</f>
        <v>20</v>
      </c>
      <c r="D312" s="1">
        <f ca="1">IFERROR(__xludf.DUMMYFUNCTION("""COMPUTED_VALUE"""),14)</f>
        <v>14</v>
      </c>
      <c r="E312" s="1">
        <f ca="1">IFERROR(__xludf.DUMMYFUNCTION("""COMPUTED_VALUE"""),0.588)</f>
        <v>0.58799999999999997</v>
      </c>
      <c r="F312" s="1">
        <f ca="1">IFERROR(__xludf.DUMMYFUNCTION("""COMPUTED_VALUE"""),4.21)</f>
        <v>4.21</v>
      </c>
      <c r="G312" s="1">
        <f ca="1">IFERROR(__xludf.DUMMYFUNCTION("""COMPUTED_VALUE"""),2.25)</f>
        <v>2.25</v>
      </c>
      <c r="H312" s="1">
        <f ca="1">IFERROR(__xludf.DUMMYFUNCTION("""COMPUTED_VALUE"""),8)</f>
        <v>8</v>
      </c>
      <c r="I312" s="1">
        <f ca="1">IFERROR(__xludf.DUMMYFUNCTION("""COMPUTED_VALUE"""),8)</f>
        <v>8</v>
      </c>
      <c r="J312" s="1">
        <f ca="1">IFERROR(__xludf.DUMMYFUNCTION("""COMPUTED_VALUE"""),11)</f>
        <v>11</v>
      </c>
      <c r="K312" s="1">
        <f ca="1">IFERROR(__xludf.DUMMYFUNCTION("""COMPUTED_VALUE"""),3)</f>
        <v>3</v>
      </c>
      <c r="L312" s="1">
        <f ca="1">IFERROR(__xludf.DUMMYFUNCTION("""COMPUTED_VALUE"""),6)</f>
        <v>6</v>
      </c>
      <c r="M312" s="1">
        <f ca="1">IFERROR(__xludf.DUMMYFUNCTION("""COMPUTED_VALUE"""),8)</f>
        <v>8</v>
      </c>
      <c r="N312" s="1">
        <f ca="1">IFERROR(__xludf.DUMMYFUNCTION("""COMPUTED_VALUE"""),2200)</f>
        <v>2200</v>
      </c>
      <c r="O312" s="1">
        <f ca="1">IFERROR(__xludf.DUMMYFUNCTION("""COMPUTED_VALUE"""),2034)</f>
        <v>2034</v>
      </c>
      <c r="P312" s="1">
        <f ca="1">IFERROR(__xludf.DUMMYFUNCTION("""COMPUTED_VALUE"""),1360)</f>
        <v>1360</v>
      </c>
      <c r="Q312" s="1">
        <f ca="1">IFERROR(__xludf.DUMMYFUNCTION("""COMPUTED_VALUE"""),758)</f>
        <v>758</v>
      </c>
      <c r="R312" s="1">
        <f ca="1">IFERROR(__xludf.DUMMYFUNCTION("""COMPUTED_VALUE"""),1821)</f>
        <v>1821</v>
      </c>
      <c r="S312" s="1">
        <f ca="1">IFERROR(__xludf.DUMMYFUNCTION("""COMPUTED_VALUE"""),0.416)</f>
        <v>0.41599999999999998</v>
      </c>
      <c r="T312" s="1">
        <f ca="1">IFERROR(__xludf.DUMMYFUNCTION("""COMPUTED_VALUE"""),155)</f>
        <v>155</v>
      </c>
      <c r="U312" s="1">
        <f ca="1">IFERROR(__xludf.DUMMYFUNCTION("""COMPUTED_VALUE"""),478)</f>
        <v>478</v>
      </c>
      <c r="V312" s="1">
        <f ca="1">IFERROR(__xludf.DUMMYFUNCTION("""COMPUTED_VALUE"""),0.324)</f>
        <v>0.32400000000000001</v>
      </c>
      <c r="W312" s="1">
        <f ca="1">IFERROR(__xludf.DUMMYFUNCTION("""COMPUTED_VALUE"""),529)</f>
        <v>529</v>
      </c>
      <c r="X312" s="1">
        <f ca="1">IFERROR(__xludf.DUMMYFUNCTION("""COMPUTED_VALUE"""),733)</f>
        <v>733</v>
      </c>
      <c r="Y312" s="1">
        <f ca="1">IFERROR(__xludf.DUMMYFUNCTION("""COMPUTED_VALUE"""),0.722)</f>
        <v>0.72199999999999998</v>
      </c>
      <c r="Z312" s="1">
        <f ca="1">IFERROR(__xludf.DUMMYFUNCTION("""COMPUTED_VALUE"""),444)</f>
        <v>444</v>
      </c>
      <c r="AA312" s="1">
        <f ca="1">IFERROR(__xludf.DUMMYFUNCTION("""COMPUTED_VALUE"""),1285)</f>
        <v>1285</v>
      </c>
      <c r="AB312" s="1">
        <f ca="1">IFERROR(__xludf.DUMMYFUNCTION("""COMPUTED_VALUE"""),326)</f>
        <v>326</v>
      </c>
      <c r="AC312" s="1">
        <f ca="1">IFERROR(__xludf.DUMMYFUNCTION("""COMPUTED_VALUE"""),179)</f>
        <v>179</v>
      </c>
      <c r="AD312" s="1">
        <f ca="1">IFERROR(__xludf.DUMMYFUNCTION("""COMPUTED_VALUE"""),121)</f>
        <v>121</v>
      </c>
      <c r="AE312" s="1">
        <f ca="1">IFERROR(__xludf.DUMMYFUNCTION("""COMPUTED_VALUE"""),432)</f>
        <v>432</v>
      </c>
      <c r="AF312" s="1">
        <f ca="1">IFERROR(__xludf.DUMMYFUNCTION("""COMPUTED_VALUE"""),614)</f>
        <v>614</v>
      </c>
    </row>
    <row r="313" spans="1:32" ht="12.5" x14ac:dyDescent="0.25">
      <c r="A313" s="1" t="str">
        <f ca="1">IFERROR(__xludf.DUMMYFUNCTION("""COMPUTED_VALUE"""),"Southern Utah")</f>
        <v>Southern Utah</v>
      </c>
      <c r="B313" s="1">
        <f ca="1">IFERROR(__xludf.DUMMYFUNCTION("""COMPUTED_VALUE"""),29)</f>
        <v>29</v>
      </c>
      <c r="C313" s="1">
        <f ca="1">IFERROR(__xludf.DUMMYFUNCTION("""COMPUTED_VALUE"""),7)</f>
        <v>7</v>
      </c>
      <c r="D313" s="1">
        <f ca="1">IFERROR(__xludf.DUMMYFUNCTION("""COMPUTED_VALUE"""),22)</f>
        <v>22</v>
      </c>
      <c r="E313" s="1">
        <f ca="1">IFERROR(__xludf.DUMMYFUNCTION("""COMPUTED_VALUE"""),0.241)</f>
        <v>0.24099999999999999</v>
      </c>
      <c r="F313" s="1">
        <f ca="1">IFERROR(__xludf.DUMMYFUNCTION("""COMPUTED_VALUE"""),-17.42)</f>
        <v>-17.420000000000002</v>
      </c>
      <c r="G313" s="1">
        <f ca="1">IFERROR(__xludf.DUMMYFUNCTION("""COMPUTED_VALUE"""),-4.75)</f>
        <v>-4.75</v>
      </c>
      <c r="H313" s="1">
        <f ca="1">IFERROR(__xludf.DUMMYFUNCTION("""COMPUTED_VALUE"""),3)</f>
        <v>3</v>
      </c>
      <c r="I313" s="1">
        <f ca="1">IFERROR(__xludf.DUMMYFUNCTION("""COMPUTED_VALUE"""),15)</f>
        <v>15</v>
      </c>
      <c r="J313" s="1">
        <f ca="1">IFERROR(__xludf.DUMMYFUNCTION("""COMPUTED_VALUE"""),6)</f>
        <v>6</v>
      </c>
      <c r="K313" s="1">
        <f ca="1">IFERROR(__xludf.DUMMYFUNCTION("""COMPUTED_VALUE"""),8)</f>
        <v>8</v>
      </c>
      <c r="L313" s="1">
        <f ca="1">IFERROR(__xludf.DUMMYFUNCTION("""COMPUTED_VALUE"""),0)</f>
        <v>0</v>
      </c>
      <c r="M313" s="1">
        <f ca="1">IFERROR(__xludf.DUMMYFUNCTION("""COMPUTED_VALUE"""),13)</f>
        <v>13</v>
      </c>
      <c r="N313" s="1">
        <f ca="1">IFERROR(__xludf.DUMMYFUNCTION("""COMPUTED_VALUE"""),1861)</f>
        <v>1861</v>
      </c>
      <c r="O313" s="1">
        <f ca="1">IFERROR(__xludf.DUMMYFUNCTION("""COMPUTED_VALUE"""),2125)</f>
        <v>2125</v>
      </c>
      <c r="P313" s="1">
        <f ca="1">IFERROR(__xludf.DUMMYFUNCTION("""COMPUTED_VALUE"""),1175)</f>
        <v>1175</v>
      </c>
      <c r="Q313" s="1">
        <f ca="1">IFERROR(__xludf.DUMMYFUNCTION("""COMPUTED_VALUE"""),660)</f>
        <v>660</v>
      </c>
      <c r="R313" s="1">
        <f ca="1">IFERROR(__xludf.DUMMYFUNCTION("""COMPUTED_VALUE"""),1498)</f>
        <v>1498</v>
      </c>
      <c r="S313" s="1">
        <f ca="1">IFERROR(__xludf.DUMMYFUNCTION("""COMPUTED_VALUE"""),0.441)</f>
        <v>0.441</v>
      </c>
      <c r="T313" s="1">
        <f ca="1">IFERROR(__xludf.DUMMYFUNCTION("""COMPUTED_VALUE"""),130)</f>
        <v>130</v>
      </c>
      <c r="U313" s="1">
        <f ca="1">IFERROR(__xludf.DUMMYFUNCTION("""COMPUTED_VALUE"""),368)</f>
        <v>368</v>
      </c>
      <c r="V313" s="1">
        <f ca="1">IFERROR(__xludf.DUMMYFUNCTION("""COMPUTED_VALUE"""),0.353)</f>
        <v>0.35299999999999998</v>
      </c>
      <c r="W313" s="1">
        <f ca="1">IFERROR(__xludf.DUMMYFUNCTION("""COMPUTED_VALUE"""),411)</f>
        <v>411</v>
      </c>
      <c r="X313" s="1">
        <f ca="1">IFERROR(__xludf.DUMMYFUNCTION("""COMPUTED_VALUE"""),566)</f>
        <v>566</v>
      </c>
      <c r="Y313" s="1">
        <f ca="1">IFERROR(__xludf.DUMMYFUNCTION("""COMPUTED_VALUE"""),0.726)</f>
        <v>0.72599999999999998</v>
      </c>
      <c r="Z313" s="1">
        <f ca="1">IFERROR(__xludf.DUMMYFUNCTION("""COMPUTED_VALUE"""),294)</f>
        <v>294</v>
      </c>
      <c r="AA313" s="1">
        <f ca="1">IFERROR(__xludf.DUMMYFUNCTION("""COMPUTED_VALUE"""),1012)</f>
        <v>1012</v>
      </c>
      <c r="AB313" s="1">
        <f ca="1">IFERROR(__xludf.DUMMYFUNCTION("""COMPUTED_VALUE"""),340)</f>
        <v>340</v>
      </c>
      <c r="AC313" s="1">
        <f ca="1">IFERROR(__xludf.DUMMYFUNCTION("""COMPUTED_VALUE"""),165)</f>
        <v>165</v>
      </c>
      <c r="AD313" s="1">
        <f ca="1">IFERROR(__xludf.DUMMYFUNCTION("""COMPUTED_VALUE"""),112)</f>
        <v>112</v>
      </c>
      <c r="AE313" s="1">
        <f ca="1">IFERROR(__xludf.DUMMYFUNCTION("""COMPUTED_VALUE"""),528)</f>
        <v>528</v>
      </c>
      <c r="AF313" s="1">
        <f ca="1">IFERROR(__xludf.DUMMYFUNCTION("""COMPUTED_VALUE"""),585)</f>
        <v>585</v>
      </c>
    </row>
    <row r="314" spans="1:32" ht="12.5" x14ac:dyDescent="0.25">
      <c r="A314" s="1" t="str">
        <f ca="1">IFERROR(__xludf.DUMMYFUNCTION("""COMPUTED_VALUE"""),"Southern")</f>
        <v>Southern</v>
      </c>
      <c r="B314" s="1">
        <f ca="1">IFERROR(__xludf.DUMMYFUNCTION("""COMPUTED_VALUE"""),30)</f>
        <v>30</v>
      </c>
      <c r="C314" s="1">
        <f ca="1">IFERROR(__xludf.DUMMYFUNCTION("""COMPUTED_VALUE"""),5)</f>
        <v>5</v>
      </c>
      <c r="D314" s="1">
        <f ca="1">IFERROR(__xludf.DUMMYFUNCTION("""COMPUTED_VALUE"""),25)</f>
        <v>25</v>
      </c>
      <c r="E314" s="1">
        <f ca="1">IFERROR(__xludf.DUMMYFUNCTION("""COMPUTED_VALUE"""),0.167)</f>
        <v>0.16700000000000001</v>
      </c>
      <c r="F314" s="1">
        <f ca="1">IFERROR(__xludf.DUMMYFUNCTION("""COMPUTED_VALUE"""),-23.96)</f>
        <v>-23.96</v>
      </c>
      <c r="G314" s="1">
        <f ca="1">IFERROR(__xludf.DUMMYFUNCTION("""COMPUTED_VALUE"""),-10.96)</f>
        <v>-10.96</v>
      </c>
      <c r="H314" s="1">
        <f ca="1">IFERROR(__xludf.DUMMYFUNCTION("""COMPUTED_VALUE"""),3)</f>
        <v>3</v>
      </c>
      <c r="I314" s="1">
        <f ca="1">IFERROR(__xludf.DUMMYFUNCTION("""COMPUTED_VALUE"""),15)</f>
        <v>15</v>
      </c>
      <c r="J314" s="1">
        <f ca="1">IFERROR(__xludf.DUMMYFUNCTION("""COMPUTED_VALUE"""),4)</f>
        <v>4</v>
      </c>
      <c r="K314" s="1">
        <f ca="1">IFERROR(__xludf.DUMMYFUNCTION("""COMPUTED_VALUE"""),8)</f>
        <v>8</v>
      </c>
      <c r="L314" s="1">
        <f ca="1">IFERROR(__xludf.DUMMYFUNCTION("""COMPUTED_VALUE"""),1)</f>
        <v>1</v>
      </c>
      <c r="M314" s="1">
        <f ca="1">IFERROR(__xludf.DUMMYFUNCTION("""COMPUTED_VALUE"""),14)</f>
        <v>14</v>
      </c>
      <c r="N314" s="1">
        <f ca="1">IFERROR(__xludf.DUMMYFUNCTION("""COMPUTED_VALUE"""),1802)</f>
        <v>1802</v>
      </c>
      <c r="O314" s="1">
        <f ca="1">IFERROR(__xludf.DUMMYFUNCTION("""COMPUTED_VALUE"""),2173)</f>
        <v>2173</v>
      </c>
      <c r="P314" s="1">
        <f ca="1">IFERROR(__xludf.DUMMYFUNCTION("""COMPUTED_VALUE"""),1200)</f>
        <v>1200</v>
      </c>
      <c r="Q314" s="1">
        <f ca="1">IFERROR(__xludf.DUMMYFUNCTION("""COMPUTED_VALUE"""),647)</f>
        <v>647</v>
      </c>
      <c r="R314" s="1">
        <f ca="1">IFERROR(__xludf.DUMMYFUNCTION("""COMPUTED_VALUE"""),1675)</f>
        <v>1675</v>
      </c>
      <c r="S314" s="1">
        <f ca="1">IFERROR(__xludf.DUMMYFUNCTION("""COMPUTED_VALUE"""),0.386)</f>
        <v>0.38600000000000001</v>
      </c>
      <c r="T314" s="1">
        <f ca="1">IFERROR(__xludf.DUMMYFUNCTION("""COMPUTED_VALUE"""),140)</f>
        <v>140</v>
      </c>
      <c r="U314" s="1">
        <f ca="1">IFERROR(__xludf.DUMMYFUNCTION("""COMPUTED_VALUE"""),512)</f>
        <v>512</v>
      </c>
      <c r="V314" s="1">
        <f ca="1">IFERROR(__xludf.DUMMYFUNCTION("""COMPUTED_VALUE"""),0.273)</f>
        <v>0.27300000000000002</v>
      </c>
      <c r="W314" s="1">
        <f ca="1">IFERROR(__xludf.DUMMYFUNCTION("""COMPUTED_VALUE"""),368)</f>
        <v>368</v>
      </c>
      <c r="X314" s="1">
        <f ca="1">IFERROR(__xludf.DUMMYFUNCTION("""COMPUTED_VALUE"""),616)</f>
        <v>616</v>
      </c>
      <c r="Y314" s="1">
        <f ca="1">IFERROR(__xludf.DUMMYFUNCTION("""COMPUTED_VALUE"""),0.597)</f>
        <v>0.59699999999999998</v>
      </c>
      <c r="Z314" s="1">
        <f ca="1">IFERROR(__xludf.DUMMYFUNCTION("""COMPUTED_VALUE"""),330)</f>
        <v>330</v>
      </c>
      <c r="AA314" s="1">
        <f ca="1">IFERROR(__xludf.DUMMYFUNCTION("""COMPUTED_VALUE"""),1025)</f>
        <v>1025</v>
      </c>
      <c r="AB314" s="1">
        <f ca="1">IFERROR(__xludf.DUMMYFUNCTION("""COMPUTED_VALUE"""),363)</f>
        <v>363</v>
      </c>
      <c r="AC314" s="1">
        <f ca="1">IFERROR(__xludf.DUMMYFUNCTION("""COMPUTED_VALUE"""),177)</f>
        <v>177</v>
      </c>
      <c r="AD314" s="1">
        <f ca="1">IFERROR(__xludf.DUMMYFUNCTION("""COMPUTED_VALUE"""),114)</f>
        <v>114</v>
      </c>
      <c r="AE314" s="1">
        <f ca="1">IFERROR(__xludf.DUMMYFUNCTION("""COMPUTED_VALUE"""),489)</f>
        <v>489</v>
      </c>
      <c r="AF314" s="1">
        <f ca="1">IFERROR(__xludf.DUMMYFUNCTION("""COMPUTED_VALUE"""),502)</f>
        <v>502</v>
      </c>
    </row>
    <row r="315" spans="1:32" ht="12.5" x14ac:dyDescent="0.25">
      <c r="A315" s="1" t="str">
        <f ca="1">IFERROR(__xludf.DUMMYFUNCTION("""COMPUTED_VALUE"""),"St. Bonaventure")</f>
        <v>St. Bonaventure</v>
      </c>
      <c r="B315" s="1">
        <f ca="1">IFERROR(__xludf.DUMMYFUNCTION("""COMPUTED_VALUE"""),31)</f>
        <v>31</v>
      </c>
      <c r="C315" s="1">
        <f ca="1">IFERROR(__xludf.DUMMYFUNCTION("""COMPUTED_VALUE"""),15)</f>
        <v>15</v>
      </c>
      <c r="D315" s="1">
        <f ca="1">IFERROR(__xludf.DUMMYFUNCTION("""COMPUTED_VALUE"""),16)</f>
        <v>16</v>
      </c>
      <c r="E315" s="1">
        <f ca="1">IFERROR(__xludf.DUMMYFUNCTION("""COMPUTED_VALUE"""),0.484)</f>
        <v>0.48399999999999999</v>
      </c>
      <c r="F315" s="1">
        <f ca="1">IFERROR(__xludf.DUMMYFUNCTION("""COMPUTED_VALUE"""),1.29)</f>
        <v>1.29</v>
      </c>
      <c r="G315" s="1">
        <f ca="1">IFERROR(__xludf.DUMMYFUNCTION("""COMPUTED_VALUE"""),1.96)</f>
        <v>1.96</v>
      </c>
      <c r="H315" s="1">
        <f ca="1">IFERROR(__xludf.DUMMYFUNCTION("""COMPUTED_VALUE"""),7)</f>
        <v>7</v>
      </c>
      <c r="I315" s="1">
        <f ca="1">IFERROR(__xludf.DUMMYFUNCTION("""COMPUTED_VALUE"""),9)</f>
        <v>9</v>
      </c>
      <c r="J315" s="1">
        <f ca="1">IFERROR(__xludf.DUMMYFUNCTION("""COMPUTED_VALUE"""),10)</f>
        <v>10</v>
      </c>
      <c r="K315" s="1">
        <f ca="1">IFERROR(__xludf.DUMMYFUNCTION("""COMPUTED_VALUE"""),4)</f>
        <v>4</v>
      </c>
      <c r="L315" s="1">
        <f ca="1">IFERROR(__xludf.DUMMYFUNCTION("""COMPUTED_VALUE"""),3)</f>
        <v>3</v>
      </c>
      <c r="M315" s="1">
        <f ca="1">IFERROR(__xludf.DUMMYFUNCTION("""COMPUTED_VALUE"""),10)</f>
        <v>10</v>
      </c>
      <c r="N315" s="1">
        <f ca="1">IFERROR(__xludf.DUMMYFUNCTION("""COMPUTED_VALUE"""),2173)</f>
        <v>2173</v>
      </c>
      <c r="O315" s="1">
        <f ca="1">IFERROR(__xludf.DUMMYFUNCTION("""COMPUTED_VALUE"""),2182)</f>
        <v>2182</v>
      </c>
      <c r="P315" s="1">
        <f ca="1">IFERROR(__xludf.DUMMYFUNCTION("""COMPUTED_VALUE"""),1240)</f>
        <v>1240</v>
      </c>
      <c r="Q315" s="1">
        <f ca="1">IFERROR(__xludf.DUMMYFUNCTION("""COMPUTED_VALUE"""),803)</f>
        <v>803</v>
      </c>
      <c r="R315" s="1">
        <f ca="1">IFERROR(__xludf.DUMMYFUNCTION("""COMPUTED_VALUE"""),1734)</f>
        <v>1734</v>
      </c>
      <c r="S315" s="1">
        <f ca="1">IFERROR(__xludf.DUMMYFUNCTION("""COMPUTED_VALUE"""),0.463)</f>
        <v>0.46300000000000002</v>
      </c>
      <c r="T315" s="1">
        <f ca="1">IFERROR(__xludf.DUMMYFUNCTION("""COMPUTED_VALUE"""),161)</f>
        <v>161</v>
      </c>
      <c r="U315" s="1">
        <f ca="1">IFERROR(__xludf.DUMMYFUNCTION("""COMPUTED_VALUE"""),474)</f>
        <v>474</v>
      </c>
      <c r="V315" s="1">
        <f ca="1">IFERROR(__xludf.DUMMYFUNCTION("""COMPUTED_VALUE"""),0.34)</f>
        <v>0.34</v>
      </c>
      <c r="W315" s="1">
        <f ca="1">IFERROR(__xludf.DUMMYFUNCTION("""COMPUTED_VALUE"""),406)</f>
        <v>406</v>
      </c>
      <c r="X315" s="1">
        <f ca="1">IFERROR(__xludf.DUMMYFUNCTION("""COMPUTED_VALUE"""),614)</f>
        <v>614</v>
      </c>
      <c r="Y315" s="1">
        <f ca="1">IFERROR(__xludf.DUMMYFUNCTION("""COMPUTED_VALUE"""),0.661)</f>
        <v>0.66100000000000003</v>
      </c>
      <c r="Z315" s="1">
        <f ca="1">IFERROR(__xludf.DUMMYFUNCTION("""COMPUTED_VALUE"""),349)</f>
        <v>349</v>
      </c>
      <c r="AA315" s="1">
        <f ca="1">IFERROR(__xludf.DUMMYFUNCTION("""COMPUTED_VALUE"""),1099)</f>
        <v>1099</v>
      </c>
      <c r="AB315" s="1">
        <f ca="1">IFERROR(__xludf.DUMMYFUNCTION("""COMPUTED_VALUE"""),458)</f>
        <v>458</v>
      </c>
      <c r="AC315" s="1">
        <f ca="1">IFERROR(__xludf.DUMMYFUNCTION("""COMPUTED_VALUE"""),180)</f>
        <v>180</v>
      </c>
      <c r="AD315" s="1">
        <f ca="1">IFERROR(__xludf.DUMMYFUNCTION("""COMPUTED_VALUE"""),119)</f>
        <v>119</v>
      </c>
      <c r="AE315" s="1">
        <f ca="1">IFERROR(__xludf.DUMMYFUNCTION("""COMPUTED_VALUE"""),446)</f>
        <v>446</v>
      </c>
      <c r="AF315" s="1">
        <f ca="1">IFERROR(__xludf.DUMMYFUNCTION("""COMPUTED_VALUE"""),598)</f>
        <v>598</v>
      </c>
    </row>
    <row r="316" spans="1:32" ht="12.5" x14ac:dyDescent="0.25">
      <c r="A316" s="1" t="str">
        <f ca="1">IFERROR(__xludf.DUMMYFUNCTION("""COMPUTED_VALUE"""),"St. Francis (NY)")</f>
        <v>St. Francis (NY)</v>
      </c>
      <c r="B316" s="1">
        <f ca="1">IFERROR(__xludf.DUMMYFUNCTION("""COMPUTED_VALUE"""),29)</f>
        <v>29</v>
      </c>
      <c r="C316" s="1">
        <f ca="1">IFERROR(__xludf.DUMMYFUNCTION("""COMPUTED_VALUE"""),11)</f>
        <v>11</v>
      </c>
      <c r="D316" s="1">
        <f ca="1">IFERROR(__xludf.DUMMYFUNCTION("""COMPUTED_VALUE"""),18)</f>
        <v>18</v>
      </c>
      <c r="E316" s="1">
        <f ca="1">IFERROR(__xludf.DUMMYFUNCTION("""COMPUTED_VALUE"""),0.379)</f>
        <v>0.379</v>
      </c>
      <c r="F316" s="1">
        <f ca="1">IFERROR(__xludf.DUMMYFUNCTION("""COMPUTED_VALUE"""),-13.83)</f>
        <v>-13.83</v>
      </c>
      <c r="G316" s="1">
        <f ca="1">IFERROR(__xludf.DUMMYFUNCTION("""COMPUTED_VALUE"""),-8.42)</f>
        <v>-8.42</v>
      </c>
      <c r="H316" s="1">
        <f ca="1">IFERROR(__xludf.DUMMYFUNCTION("""COMPUTED_VALUE"""),8)</f>
        <v>8</v>
      </c>
      <c r="I316" s="1">
        <f ca="1">IFERROR(__xludf.DUMMYFUNCTION("""COMPUTED_VALUE"""),10)</f>
        <v>10</v>
      </c>
      <c r="J316" s="1">
        <f ca="1">IFERROR(__xludf.DUMMYFUNCTION("""COMPUTED_VALUE"""),5)</f>
        <v>5</v>
      </c>
      <c r="K316" s="1">
        <f ca="1">IFERROR(__xludf.DUMMYFUNCTION("""COMPUTED_VALUE"""),8)</f>
        <v>8</v>
      </c>
      <c r="L316" s="1">
        <f ca="1">IFERROR(__xludf.DUMMYFUNCTION("""COMPUTED_VALUE"""),6)</f>
        <v>6</v>
      </c>
      <c r="M316" s="1">
        <f ca="1">IFERROR(__xludf.DUMMYFUNCTION("""COMPUTED_VALUE"""),10)</f>
        <v>10</v>
      </c>
      <c r="N316" s="1">
        <f ca="1">IFERROR(__xludf.DUMMYFUNCTION("""COMPUTED_VALUE"""),1753)</f>
        <v>1753</v>
      </c>
      <c r="O316" s="1">
        <f ca="1">IFERROR(__xludf.DUMMYFUNCTION("""COMPUTED_VALUE"""),1884)</f>
        <v>1884</v>
      </c>
      <c r="P316" s="1">
        <f ca="1">IFERROR(__xludf.DUMMYFUNCTION("""COMPUTED_VALUE"""),1180)</f>
        <v>1180</v>
      </c>
      <c r="Q316" s="1">
        <f ca="1">IFERROR(__xludf.DUMMYFUNCTION("""COMPUTED_VALUE"""),610)</f>
        <v>610</v>
      </c>
      <c r="R316" s="1">
        <f ca="1">IFERROR(__xludf.DUMMYFUNCTION("""COMPUTED_VALUE"""),1525)</f>
        <v>1525</v>
      </c>
      <c r="S316" s="1">
        <f ca="1">IFERROR(__xludf.DUMMYFUNCTION("""COMPUTED_VALUE"""),0.4)</f>
        <v>0.4</v>
      </c>
      <c r="T316" s="1">
        <f ca="1">IFERROR(__xludf.DUMMYFUNCTION("""COMPUTED_VALUE"""),190)</f>
        <v>190</v>
      </c>
      <c r="U316" s="1">
        <f ca="1">IFERROR(__xludf.DUMMYFUNCTION("""COMPUTED_VALUE"""),609)</f>
        <v>609</v>
      </c>
      <c r="V316" s="1">
        <f ca="1">IFERROR(__xludf.DUMMYFUNCTION("""COMPUTED_VALUE"""),0.312)</f>
        <v>0.312</v>
      </c>
      <c r="W316" s="1">
        <f ca="1">IFERROR(__xludf.DUMMYFUNCTION("""COMPUTED_VALUE"""),343)</f>
        <v>343</v>
      </c>
      <c r="X316" s="1">
        <f ca="1">IFERROR(__xludf.DUMMYFUNCTION("""COMPUTED_VALUE"""),558)</f>
        <v>558</v>
      </c>
      <c r="Y316" s="1">
        <f ca="1">IFERROR(__xludf.DUMMYFUNCTION("""COMPUTED_VALUE"""),0.615)</f>
        <v>0.61499999999999999</v>
      </c>
      <c r="Z316" s="1">
        <f ca="1">IFERROR(__xludf.DUMMYFUNCTION("""COMPUTED_VALUE"""),324)</f>
        <v>324</v>
      </c>
      <c r="AA316" s="1">
        <f ca="1">IFERROR(__xludf.DUMMYFUNCTION("""COMPUTED_VALUE"""),944)</f>
        <v>944</v>
      </c>
      <c r="AB316" s="1">
        <f ca="1">IFERROR(__xludf.DUMMYFUNCTION("""COMPUTED_VALUE"""),344)</f>
        <v>344</v>
      </c>
      <c r="AC316" s="1">
        <f ca="1">IFERROR(__xludf.DUMMYFUNCTION("""COMPUTED_VALUE"""),232)</f>
        <v>232</v>
      </c>
      <c r="AD316" s="1">
        <f ca="1">IFERROR(__xludf.DUMMYFUNCTION("""COMPUTED_VALUE"""),87)</f>
        <v>87</v>
      </c>
      <c r="AE316" s="1">
        <f ca="1">IFERROR(__xludf.DUMMYFUNCTION("""COMPUTED_VALUE"""),449)</f>
        <v>449</v>
      </c>
      <c r="AF316" s="1">
        <f ca="1">IFERROR(__xludf.DUMMYFUNCTION("""COMPUTED_VALUE"""),545)</f>
        <v>545</v>
      </c>
    </row>
    <row r="317" spans="1:32" ht="12.5" x14ac:dyDescent="0.25">
      <c r="A317" s="1" t="str">
        <f ca="1">IFERROR(__xludf.DUMMYFUNCTION("""COMPUTED_VALUE"""),"St. John's (NY)")</f>
        <v>St. John's (NY)</v>
      </c>
      <c r="B317" s="1">
        <f ca="1">IFERROR(__xludf.DUMMYFUNCTION("""COMPUTED_VALUE"""),33)</f>
        <v>33</v>
      </c>
      <c r="C317" s="1">
        <f ca="1">IFERROR(__xludf.DUMMYFUNCTION("""COMPUTED_VALUE"""),17)</f>
        <v>17</v>
      </c>
      <c r="D317" s="1">
        <f ca="1">IFERROR(__xludf.DUMMYFUNCTION("""COMPUTED_VALUE"""),16)</f>
        <v>16</v>
      </c>
      <c r="E317" s="1">
        <f ca="1">IFERROR(__xludf.DUMMYFUNCTION("""COMPUTED_VALUE"""),0.515)</f>
        <v>0.51500000000000001</v>
      </c>
      <c r="F317" s="1">
        <f ca="1">IFERROR(__xludf.DUMMYFUNCTION("""COMPUTED_VALUE"""),9.23)</f>
        <v>9.23</v>
      </c>
      <c r="G317" s="1">
        <f ca="1">IFERROR(__xludf.DUMMYFUNCTION("""COMPUTED_VALUE"""),8.7)</f>
        <v>8.6999999999999993</v>
      </c>
      <c r="H317" s="1">
        <f ca="1">IFERROR(__xludf.DUMMYFUNCTION("""COMPUTED_VALUE"""),6)</f>
        <v>6</v>
      </c>
      <c r="I317" s="1">
        <f ca="1">IFERROR(__xludf.DUMMYFUNCTION("""COMPUTED_VALUE"""),12)</f>
        <v>12</v>
      </c>
      <c r="J317" s="1">
        <f ca="1">IFERROR(__xludf.DUMMYFUNCTION("""COMPUTED_VALUE"""),10)</f>
        <v>10</v>
      </c>
      <c r="K317" s="1">
        <f ca="1">IFERROR(__xludf.DUMMYFUNCTION("""COMPUTED_VALUE"""),8)</f>
        <v>8</v>
      </c>
      <c r="L317" s="1">
        <f ca="1">IFERROR(__xludf.DUMMYFUNCTION("""COMPUTED_VALUE"""),4)</f>
        <v>4</v>
      </c>
      <c r="M317" s="1">
        <f ca="1">IFERROR(__xludf.DUMMYFUNCTION("""COMPUTED_VALUE"""),8)</f>
        <v>8</v>
      </c>
      <c r="N317" s="1">
        <f ca="1">IFERROR(__xludf.DUMMYFUNCTION("""COMPUTED_VALUE"""),2251)</f>
        <v>2251</v>
      </c>
      <c r="O317" s="1">
        <f ca="1">IFERROR(__xludf.DUMMYFUNCTION("""COMPUTED_VALUE"""),2190)</f>
        <v>2190</v>
      </c>
      <c r="P317" s="1">
        <f ca="1">IFERROR(__xludf.DUMMYFUNCTION("""COMPUTED_VALUE"""),1340)</f>
        <v>1340</v>
      </c>
      <c r="Q317" s="1">
        <f ca="1">IFERROR(__xludf.DUMMYFUNCTION("""COMPUTED_VALUE"""),817)</f>
        <v>817</v>
      </c>
      <c r="R317" s="1">
        <f ca="1">IFERROR(__xludf.DUMMYFUNCTION("""COMPUTED_VALUE"""),1927)</f>
        <v>1927</v>
      </c>
      <c r="S317" s="1">
        <f ca="1">IFERROR(__xludf.DUMMYFUNCTION("""COMPUTED_VALUE"""),0.424)</f>
        <v>0.42399999999999999</v>
      </c>
      <c r="T317" s="1">
        <f ca="1">IFERROR(__xludf.DUMMYFUNCTION("""COMPUTED_VALUE"""),190)</f>
        <v>190</v>
      </c>
      <c r="U317" s="1">
        <f ca="1">IFERROR(__xludf.DUMMYFUNCTION("""COMPUTED_VALUE"""),568)</f>
        <v>568</v>
      </c>
      <c r="V317" s="1">
        <f ca="1">IFERROR(__xludf.DUMMYFUNCTION("""COMPUTED_VALUE"""),0.335)</f>
        <v>0.33500000000000002</v>
      </c>
      <c r="W317" s="1">
        <f ca="1">IFERROR(__xludf.DUMMYFUNCTION("""COMPUTED_VALUE"""),397)</f>
        <v>397</v>
      </c>
      <c r="X317" s="1">
        <f ca="1">IFERROR(__xludf.DUMMYFUNCTION("""COMPUTED_VALUE"""),609)</f>
        <v>609</v>
      </c>
      <c r="Y317" s="1">
        <f ca="1">IFERROR(__xludf.DUMMYFUNCTION("""COMPUTED_VALUE"""),0.652)</f>
        <v>0.65200000000000002</v>
      </c>
      <c r="Z317" s="1">
        <f ca="1">IFERROR(__xludf.DUMMYFUNCTION("""COMPUTED_VALUE"""),432)</f>
        <v>432</v>
      </c>
      <c r="AA317" s="1">
        <f ca="1">IFERROR(__xludf.DUMMYFUNCTION("""COMPUTED_VALUE"""),1219)</f>
        <v>1219</v>
      </c>
      <c r="AB317" s="1">
        <f ca="1">IFERROR(__xludf.DUMMYFUNCTION("""COMPUTED_VALUE"""),432)</f>
        <v>432</v>
      </c>
      <c r="AC317" s="1">
        <f ca="1">IFERROR(__xludf.DUMMYFUNCTION("""COMPUTED_VALUE"""),222)</f>
        <v>222</v>
      </c>
      <c r="AD317" s="1">
        <f ca="1">IFERROR(__xludf.DUMMYFUNCTION("""COMPUTED_VALUE"""),124)</f>
        <v>124</v>
      </c>
      <c r="AE317" s="1">
        <f ca="1">IFERROR(__xludf.DUMMYFUNCTION("""COMPUTED_VALUE"""),409)</f>
        <v>409</v>
      </c>
      <c r="AF317" s="1">
        <f ca="1">IFERROR(__xludf.DUMMYFUNCTION("""COMPUTED_VALUE"""),607)</f>
        <v>607</v>
      </c>
    </row>
    <row r="318" spans="1:32" ht="12.5" x14ac:dyDescent="0.25">
      <c r="A318" s="1" t="str">
        <f ca="1">IFERROR(__xludf.DUMMYFUNCTION("""COMPUTED_VALUE"""),"Stanford")</f>
        <v>Stanford</v>
      </c>
      <c r="B318" s="1">
        <f ca="1">IFERROR(__xludf.DUMMYFUNCTION("""COMPUTED_VALUE"""),32)</f>
        <v>32</v>
      </c>
      <c r="C318" s="1">
        <f ca="1">IFERROR(__xludf.DUMMYFUNCTION("""COMPUTED_VALUE"""),14)</f>
        <v>14</v>
      </c>
      <c r="D318" s="1">
        <f ca="1">IFERROR(__xludf.DUMMYFUNCTION("""COMPUTED_VALUE"""),18)</f>
        <v>18</v>
      </c>
      <c r="E318" s="1">
        <f ca="1">IFERROR(__xludf.DUMMYFUNCTION("""COMPUTED_VALUE"""),0.438)</f>
        <v>0.438</v>
      </c>
      <c r="F318" s="1">
        <f ca="1">IFERROR(__xludf.DUMMYFUNCTION("""COMPUTED_VALUE"""),5.71)</f>
        <v>5.71</v>
      </c>
      <c r="G318" s="1">
        <f ca="1">IFERROR(__xludf.DUMMYFUNCTION("""COMPUTED_VALUE"""),6.5)</f>
        <v>6.5</v>
      </c>
      <c r="H318" s="1">
        <f ca="1">IFERROR(__xludf.DUMMYFUNCTION("""COMPUTED_VALUE"""),7)</f>
        <v>7</v>
      </c>
      <c r="I318" s="1">
        <f ca="1">IFERROR(__xludf.DUMMYFUNCTION("""COMPUTED_VALUE"""),11)</f>
        <v>11</v>
      </c>
      <c r="J318" s="1">
        <f ca="1">IFERROR(__xludf.DUMMYFUNCTION("""COMPUTED_VALUE"""),10)</f>
        <v>10</v>
      </c>
      <c r="K318" s="1">
        <f ca="1">IFERROR(__xludf.DUMMYFUNCTION("""COMPUTED_VALUE"""),6)</f>
        <v>6</v>
      </c>
      <c r="L318" s="1">
        <f ca="1">IFERROR(__xludf.DUMMYFUNCTION("""COMPUTED_VALUE"""),2)</f>
        <v>2</v>
      </c>
      <c r="M318" s="1">
        <f ca="1">IFERROR(__xludf.DUMMYFUNCTION("""COMPUTED_VALUE"""),10)</f>
        <v>10</v>
      </c>
      <c r="N318" s="1">
        <f ca="1">IFERROR(__xludf.DUMMYFUNCTION("""COMPUTED_VALUE"""),2212)</f>
        <v>2212</v>
      </c>
      <c r="O318" s="1">
        <f ca="1">IFERROR(__xludf.DUMMYFUNCTION("""COMPUTED_VALUE"""),2237)</f>
        <v>2237</v>
      </c>
      <c r="P318" s="1">
        <f ca="1">IFERROR(__xludf.DUMMYFUNCTION("""COMPUTED_VALUE"""),1285)</f>
        <v>1285</v>
      </c>
      <c r="Q318" s="1">
        <f ca="1">IFERROR(__xludf.DUMMYFUNCTION("""COMPUTED_VALUE"""),779)</f>
        <v>779</v>
      </c>
      <c r="R318" s="1">
        <f ca="1">IFERROR(__xludf.DUMMYFUNCTION("""COMPUTED_VALUE"""),1796)</f>
        <v>1796</v>
      </c>
      <c r="S318" s="1">
        <f ca="1">IFERROR(__xludf.DUMMYFUNCTION("""COMPUTED_VALUE"""),0.434)</f>
        <v>0.434</v>
      </c>
      <c r="T318" s="1">
        <f ca="1">IFERROR(__xludf.DUMMYFUNCTION("""COMPUTED_VALUE"""),210)</f>
        <v>210</v>
      </c>
      <c r="U318" s="1">
        <f ca="1">IFERROR(__xludf.DUMMYFUNCTION("""COMPUTED_VALUE"""),594)</f>
        <v>594</v>
      </c>
      <c r="V318" s="1">
        <f ca="1">IFERROR(__xludf.DUMMYFUNCTION("""COMPUTED_VALUE"""),0.354)</f>
        <v>0.35399999999999998</v>
      </c>
      <c r="W318" s="1">
        <f ca="1">IFERROR(__xludf.DUMMYFUNCTION("""COMPUTED_VALUE"""),444)</f>
        <v>444</v>
      </c>
      <c r="X318" s="1">
        <f ca="1">IFERROR(__xludf.DUMMYFUNCTION("""COMPUTED_VALUE"""),669)</f>
        <v>669</v>
      </c>
      <c r="Y318" s="1">
        <f ca="1">IFERROR(__xludf.DUMMYFUNCTION("""COMPUTED_VALUE"""),0.664)</f>
        <v>0.66400000000000003</v>
      </c>
      <c r="Z318" s="1">
        <f ca="1">IFERROR(__xludf.DUMMYFUNCTION("""COMPUTED_VALUE"""),337)</f>
        <v>337</v>
      </c>
      <c r="AA318" s="1">
        <f ca="1">IFERROR(__xludf.DUMMYFUNCTION("""COMPUTED_VALUE"""),1081)</f>
        <v>1081</v>
      </c>
      <c r="AB318" s="1">
        <f ca="1">IFERROR(__xludf.DUMMYFUNCTION("""COMPUTED_VALUE"""),419)</f>
        <v>419</v>
      </c>
      <c r="AC318" s="1">
        <f ca="1">IFERROR(__xludf.DUMMYFUNCTION("""COMPUTED_VALUE"""),172)</f>
        <v>172</v>
      </c>
      <c r="AD318" s="1">
        <f ca="1">IFERROR(__xludf.DUMMYFUNCTION("""COMPUTED_VALUE"""),54)</f>
        <v>54</v>
      </c>
      <c r="AE318" s="1">
        <f ca="1">IFERROR(__xludf.DUMMYFUNCTION("""COMPUTED_VALUE"""),388)</f>
        <v>388</v>
      </c>
      <c r="AF318" s="1">
        <f ca="1">IFERROR(__xludf.DUMMYFUNCTION("""COMPUTED_VALUE"""),561)</f>
        <v>561</v>
      </c>
    </row>
    <row r="319" spans="1:32" ht="12.5" x14ac:dyDescent="0.25">
      <c r="A319" s="1" t="str">
        <f ca="1">IFERROR(__xludf.DUMMYFUNCTION("""COMPUTED_VALUE"""),"Stephen F. Austin")</f>
        <v>Stephen F. Austin</v>
      </c>
      <c r="B319" s="1">
        <f ca="1">IFERROR(__xludf.DUMMYFUNCTION("""COMPUTED_VALUE"""),32)</f>
        <v>32</v>
      </c>
      <c r="C319" s="1">
        <f ca="1">IFERROR(__xludf.DUMMYFUNCTION("""COMPUTED_VALUE"""),23)</f>
        <v>23</v>
      </c>
      <c r="D319" s="1">
        <f ca="1">IFERROR(__xludf.DUMMYFUNCTION("""COMPUTED_VALUE"""),9)</f>
        <v>9</v>
      </c>
      <c r="E319" s="1">
        <f ca="1">IFERROR(__xludf.DUMMYFUNCTION("""COMPUTED_VALUE"""),0.719)</f>
        <v>0.71899999999999997</v>
      </c>
      <c r="F319" s="1">
        <f ca="1">IFERROR(__xludf.DUMMYFUNCTION("""COMPUTED_VALUE"""),-2.42)</f>
        <v>-2.42</v>
      </c>
      <c r="G319" s="1">
        <f ca="1">IFERROR(__xludf.DUMMYFUNCTION("""COMPUTED_VALUE"""),-6.9)</f>
        <v>-6.9</v>
      </c>
      <c r="H319" s="1">
        <f ca="1">IFERROR(__xludf.DUMMYFUNCTION("""COMPUTED_VALUE"""),11)</f>
        <v>11</v>
      </c>
      <c r="I319" s="1">
        <f ca="1">IFERROR(__xludf.DUMMYFUNCTION("""COMPUTED_VALUE"""),5)</f>
        <v>5</v>
      </c>
      <c r="J319" s="1">
        <f ca="1">IFERROR(__xludf.DUMMYFUNCTION("""COMPUTED_VALUE"""),13)</f>
        <v>13</v>
      </c>
      <c r="K319" s="1">
        <f ca="1">IFERROR(__xludf.DUMMYFUNCTION("""COMPUTED_VALUE"""),2)</f>
        <v>2</v>
      </c>
      <c r="L319" s="1">
        <f ca="1">IFERROR(__xludf.DUMMYFUNCTION("""COMPUTED_VALUE"""),6)</f>
        <v>6</v>
      </c>
      <c r="M319" s="1">
        <f ca="1">IFERROR(__xludf.DUMMYFUNCTION("""COMPUTED_VALUE"""),6)</f>
        <v>6</v>
      </c>
      <c r="N319" s="1">
        <f ca="1">IFERROR(__xludf.DUMMYFUNCTION("""COMPUTED_VALUE"""),2126)</f>
        <v>2126</v>
      </c>
      <c r="O319" s="1">
        <f ca="1">IFERROR(__xludf.DUMMYFUNCTION("""COMPUTED_VALUE"""),1914)</f>
        <v>1914</v>
      </c>
      <c r="P319" s="1">
        <f ca="1">IFERROR(__xludf.DUMMYFUNCTION("""COMPUTED_VALUE"""),1285)</f>
        <v>1285</v>
      </c>
      <c r="Q319" s="1">
        <f ca="1">IFERROR(__xludf.DUMMYFUNCTION("""COMPUTED_VALUE"""),779)</f>
        <v>779</v>
      </c>
      <c r="R319" s="1">
        <f ca="1">IFERROR(__xludf.DUMMYFUNCTION("""COMPUTED_VALUE"""),1703)</f>
        <v>1703</v>
      </c>
      <c r="S319" s="1">
        <f ca="1">IFERROR(__xludf.DUMMYFUNCTION("""COMPUTED_VALUE"""),0.457)</f>
        <v>0.45700000000000002</v>
      </c>
      <c r="T319" s="1">
        <f ca="1">IFERROR(__xludf.DUMMYFUNCTION("""COMPUTED_VALUE"""),135)</f>
        <v>135</v>
      </c>
      <c r="U319" s="1">
        <f ca="1">IFERROR(__xludf.DUMMYFUNCTION("""COMPUTED_VALUE"""),383)</f>
        <v>383</v>
      </c>
      <c r="V319" s="1">
        <f ca="1">IFERROR(__xludf.DUMMYFUNCTION("""COMPUTED_VALUE"""),0.352)</f>
        <v>0.35199999999999998</v>
      </c>
      <c r="W319" s="1">
        <f ca="1">IFERROR(__xludf.DUMMYFUNCTION("""COMPUTED_VALUE"""),433)</f>
        <v>433</v>
      </c>
      <c r="X319" s="1">
        <f ca="1">IFERROR(__xludf.DUMMYFUNCTION("""COMPUTED_VALUE"""),611)</f>
        <v>611</v>
      </c>
      <c r="Y319" s="1">
        <f ca="1">IFERROR(__xludf.DUMMYFUNCTION("""COMPUTED_VALUE"""),0.709)</f>
        <v>0.70899999999999996</v>
      </c>
      <c r="Z319" s="1">
        <f ca="1">IFERROR(__xludf.DUMMYFUNCTION("""COMPUTED_VALUE"""),378)</f>
        <v>378</v>
      </c>
      <c r="AA319" s="1">
        <f ca="1">IFERROR(__xludf.DUMMYFUNCTION("""COMPUTED_VALUE"""),1085)</f>
        <v>1085</v>
      </c>
      <c r="AB319" s="1">
        <f ca="1">IFERROR(__xludf.DUMMYFUNCTION("""COMPUTED_VALUE"""),429)</f>
        <v>429</v>
      </c>
      <c r="AC319" s="1">
        <f ca="1">IFERROR(__xludf.DUMMYFUNCTION("""COMPUTED_VALUE"""),216)</f>
        <v>216</v>
      </c>
      <c r="AD319" s="1">
        <f ca="1">IFERROR(__xludf.DUMMYFUNCTION("""COMPUTED_VALUE"""),69)</f>
        <v>69</v>
      </c>
      <c r="AE319" s="1">
        <f ca="1">IFERROR(__xludf.DUMMYFUNCTION("""COMPUTED_VALUE"""),413)</f>
        <v>413</v>
      </c>
      <c r="AF319" s="1">
        <f ca="1">IFERROR(__xludf.DUMMYFUNCTION("""COMPUTED_VALUE"""),565)</f>
        <v>565</v>
      </c>
    </row>
    <row r="320" spans="1:32" ht="12.5" x14ac:dyDescent="0.25">
      <c r="A320" s="1" t="str">
        <f ca="1">IFERROR(__xludf.DUMMYFUNCTION("""COMPUTED_VALUE"""),"Stetson")</f>
        <v>Stetson</v>
      </c>
      <c r="B320" s="1">
        <f ca="1">IFERROR(__xludf.DUMMYFUNCTION("""COMPUTED_VALUE"""),29)</f>
        <v>29</v>
      </c>
      <c r="C320" s="1">
        <f ca="1">IFERROR(__xludf.DUMMYFUNCTION("""COMPUTED_VALUE"""),7)</f>
        <v>7</v>
      </c>
      <c r="D320" s="1">
        <f ca="1">IFERROR(__xludf.DUMMYFUNCTION("""COMPUTED_VALUE"""),22)</f>
        <v>22</v>
      </c>
      <c r="E320" s="1">
        <f ca="1">IFERROR(__xludf.DUMMYFUNCTION("""COMPUTED_VALUE"""),0.241)</f>
        <v>0.24099999999999999</v>
      </c>
      <c r="F320" s="1">
        <f ca="1">IFERROR(__xludf.DUMMYFUNCTION("""COMPUTED_VALUE"""),-17.62)</f>
        <v>-17.62</v>
      </c>
      <c r="G320" s="1">
        <f ca="1">IFERROR(__xludf.DUMMYFUNCTION("""COMPUTED_VALUE"""),-2.14)</f>
        <v>-2.14</v>
      </c>
      <c r="H320" s="1">
        <f ca="1">IFERROR(__xludf.DUMMYFUNCTION("""COMPUTED_VALUE"""),5)</f>
        <v>5</v>
      </c>
      <c r="I320" s="1">
        <f ca="1">IFERROR(__xludf.DUMMYFUNCTION("""COMPUTED_VALUE"""),15)</f>
        <v>15</v>
      </c>
      <c r="J320" s="1">
        <f ca="1">IFERROR(__xludf.DUMMYFUNCTION("""COMPUTED_VALUE"""),5)</f>
        <v>5</v>
      </c>
      <c r="K320" s="1">
        <f ca="1">IFERROR(__xludf.DUMMYFUNCTION("""COMPUTED_VALUE"""),9)</f>
        <v>9</v>
      </c>
      <c r="L320" s="1">
        <f ca="1">IFERROR(__xludf.DUMMYFUNCTION("""COMPUTED_VALUE"""),2)</f>
        <v>2</v>
      </c>
      <c r="M320" s="1">
        <f ca="1">IFERROR(__xludf.DUMMYFUNCTION("""COMPUTED_VALUE"""),13)</f>
        <v>13</v>
      </c>
      <c r="N320" s="1">
        <f ca="1">IFERROR(__xludf.DUMMYFUNCTION("""COMPUTED_VALUE"""),1744)</f>
        <v>1744</v>
      </c>
      <c r="O320" s="1">
        <f ca="1">IFERROR(__xludf.DUMMYFUNCTION("""COMPUTED_VALUE"""),2097)</f>
        <v>2097</v>
      </c>
      <c r="P320" s="1">
        <f ca="1">IFERROR(__xludf.DUMMYFUNCTION("""COMPUTED_VALUE"""),1160)</f>
        <v>1160</v>
      </c>
      <c r="Q320" s="1">
        <f ca="1">IFERROR(__xludf.DUMMYFUNCTION("""COMPUTED_VALUE"""),614)</f>
        <v>614</v>
      </c>
      <c r="R320" s="1">
        <f ca="1">IFERROR(__xludf.DUMMYFUNCTION("""COMPUTED_VALUE"""),1581)</f>
        <v>1581</v>
      </c>
      <c r="S320" s="1">
        <f ca="1">IFERROR(__xludf.DUMMYFUNCTION("""COMPUTED_VALUE"""),0.388)</f>
        <v>0.38800000000000001</v>
      </c>
      <c r="T320" s="1">
        <f ca="1">IFERROR(__xludf.DUMMYFUNCTION("""COMPUTED_VALUE"""),200)</f>
        <v>200</v>
      </c>
      <c r="U320" s="1">
        <f ca="1">IFERROR(__xludf.DUMMYFUNCTION("""COMPUTED_VALUE"""),648)</f>
        <v>648</v>
      </c>
      <c r="V320" s="1">
        <f ca="1">IFERROR(__xludf.DUMMYFUNCTION("""COMPUTED_VALUE"""),0.309)</f>
        <v>0.309</v>
      </c>
      <c r="W320" s="1">
        <f ca="1">IFERROR(__xludf.DUMMYFUNCTION("""COMPUTED_VALUE"""),316)</f>
        <v>316</v>
      </c>
      <c r="X320" s="1">
        <f ca="1">IFERROR(__xludf.DUMMYFUNCTION("""COMPUTED_VALUE"""),517)</f>
        <v>517</v>
      </c>
      <c r="Y320" s="1">
        <f ca="1">IFERROR(__xludf.DUMMYFUNCTION("""COMPUTED_VALUE"""),0.611)</f>
        <v>0.61099999999999999</v>
      </c>
      <c r="Z320" s="1">
        <f ca="1">IFERROR(__xludf.DUMMYFUNCTION("""COMPUTED_VALUE"""),294)</f>
        <v>294</v>
      </c>
      <c r="AA320" s="1">
        <f ca="1">IFERROR(__xludf.DUMMYFUNCTION("""COMPUTED_VALUE"""),898)</f>
        <v>898</v>
      </c>
      <c r="AB320" s="1">
        <f ca="1">IFERROR(__xludf.DUMMYFUNCTION("""COMPUTED_VALUE"""),323)</f>
        <v>323</v>
      </c>
      <c r="AC320" s="1">
        <f ca="1">IFERROR(__xludf.DUMMYFUNCTION("""COMPUTED_VALUE"""),186)</f>
        <v>186</v>
      </c>
      <c r="AD320" s="1">
        <f ca="1">IFERROR(__xludf.DUMMYFUNCTION("""COMPUTED_VALUE"""),74)</f>
        <v>74</v>
      </c>
      <c r="AE320" s="1">
        <f ca="1">IFERROR(__xludf.DUMMYFUNCTION("""COMPUTED_VALUE"""),423)</f>
        <v>423</v>
      </c>
      <c r="AF320" s="1">
        <f ca="1">IFERROR(__xludf.DUMMYFUNCTION("""COMPUTED_VALUE"""),566)</f>
        <v>566</v>
      </c>
    </row>
    <row r="321" spans="1:32" ht="12.5" x14ac:dyDescent="0.25">
      <c r="A321" s="1" t="str">
        <f ca="1">IFERROR(__xludf.DUMMYFUNCTION("""COMPUTED_VALUE"""),"Stony Brook")</f>
        <v>Stony Brook</v>
      </c>
      <c r="B321" s="1">
        <f ca="1">IFERROR(__xludf.DUMMYFUNCTION("""COMPUTED_VALUE"""),32)</f>
        <v>32</v>
      </c>
      <c r="C321" s="1">
        <f ca="1">IFERROR(__xludf.DUMMYFUNCTION("""COMPUTED_VALUE"""),22)</f>
        <v>22</v>
      </c>
      <c r="D321" s="1">
        <f ca="1">IFERROR(__xludf.DUMMYFUNCTION("""COMPUTED_VALUE"""),10)</f>
        <v>10</v>
      </c>
      <c r="E321" s="1">
        <f ca="1">IFERROR(__xludf.DUMMYFUNCTION("""COMPUTED_VALUE"""),0.688)</f>
        <v>0.68799999999999994</v>
      </c>
      <c r="F321" s="1">
        <f ca="1">IFERROR(__xludf.DUMMYFUNCTION("""COMPUTED_VALUE"""),-3.64)</f>
        <v>-3.64</v>
      </c>
      <c r="G321" s="1">
        <f ca="1">IFERROR(__xludf.DUMMYFUNCTION("""COMPUTED_VALUE"""),-7.64)</f>
        <v>-7.64</v>
      </c>
      <c r="H321" s="1">
        <f ca="1">IFERROR(__xludf.DUMMYFUNCTION("""COMPUTED_VALUE"""),13)</f>
        <v>13</v>
      </c>
      <c r="I321" s="1">
        <f ca="1">IFERROR(__xludf.DUMMYFUNCTION("""COMPUTED_VALUE"""),3)</f>
        <v>3</v>
      </c>
      <c r="J321" s="1">
        <f ca="1">IFERROR(__xludf.DUMMYFUNCTION("""COMPUTED_VALUE"""),12)</f>
        <v>12</v>
      </c>
      <c r="K321" s="1">
        <f ca="1">IFERROR(__xludf.DUMMYFUNCTION("""COMPUTED_VALUE"""),2)</f>
        <v>2</v>
      </c>
      <c r="L321" s="1">
        <f ca="1">IFERROR(__xludf.DUMMYFUNCTION("""COMPUTED_VALUE"""),9)</f>
        <v>9</v>
      </c>
      <c r="M321" s="1">
        <f ca="1">IFERROR(__xludf.DUMMYFUNCTION("""COMPUTED_VALUE"""),7)</f>
        <v>7</v>
      </c>
      <c r="N321" s="1">
        <f ca="1">IFERROR(__xludf.DUMMYFUNCTION("""COMPUTED_VALUE"""),2205)</f>
        <v>2205</v>
      </c>
      <c r="O321" s="1">
        <f ca="1">IFERROR(__xludf.DUMMYFUNCTION("""COMPUTED_VALUE"""),2047)</f>
        <v>2047</v>
      </c>
      <c r="P321" s="1">
        <f ca="1">IFERROR(__xludf.DUMMYFUNCTION("""COMPUTED_VALUE"""),1280)</f>
        <v>1280</v>
      </c>
      <c r="Q321" s="1">
        <f ca="1">IFERROR(__xludf.DUMMYFUNCTION("""COMPUTED_VALUE"""),776)</f>
        <v>776</v>
      </c>
      <c r="R321" s="1">
        <f ca="1">IFERROR(__xludf.DUMMYFUNCTION("""COMPUTED_VALUE"""),1804)</f>
        <v>1804</v>
      </c>
      <c r="S321" s="1">
        <f ca="1">IFERROR(__xludf.DUMMYFUNCTION("""COMPUTED_VALUE"""),0.43)</f>
        <v>0.43</v>
      </c>
      <c r="T321" s="1">
        <f ca="1">IFERROR(__xludf.DUMMYFUNCTION("""COMPUTED_VALUE"""),194)</f>
        <v>194</v>
      </c>
      <c r="U321" s="1">
        <f ca="1">IFERROR(__xludf.DUMMYFUNCTION("""COMPUTED_VALUE"""),550)</f>
        <v>550</v>
      </c>
      <c r="V321" s="1">
        <f ca="1">IFERROR(__xludf.DUMMYFUNCTION("""COMPUTED_VALUE"""),0.353)</f>
        <v>0.35299999999999998</v>
      </c>
      <c r="W321" s="1">
        <f ca="1">IFERROR(__xludf.DUMMYFUNCTION("""COMPUTED_VALUE"""),459)</f>
        <v>459</v>
      </c>
      <c r="X321" s="1">
        <f ca="1">IFERROR(__xludf.DUMMYFUNCTION("""COMPUTED_VALUE"""),663)</f>
        <v>663</v>
      </c>
      <c r="Y321" s="1">
        <f ca="1">IFERROR(__xludf.DUMMYFUNCTION("""COMPUTED_VALUE"""),0.692)</f>
        <v>0.69199999999999995</v>
      </c>
      <c r="Z321" s="1">
        <f ca="1">IFERROR(__xludf.DUMMYFUNCTION("""COMPUTED_VALUE"""),373)</f>
        <v>373</v>
      </c>
      <c r="AA321" s="1">
        <f ca="1">IFERROR(__xludf.DUMMYFUNCTION("""COMPUTED_VALUE"""),1164)</f>
        <v>1164</v>
      </c>
      <c r="AB321" s="1">
        <f ca="1">IFERROR(__xludf.DUMMYFUNCTION("""COMPUTED_VALUE"""),371)</f>
        <v>371</v>
      </c>
      <c r="AC321" s="1">
        <f ca="1">IFERROR(__xludf.DUMMYFUNCTION("""COMPUTED_VALUE"""),229)</f>
        <v>229</v>
      </c>
      <c r="AD321" s="1">
        <f ca="1">IFERROR(__xludf.DUMMYFUNCTION("""COMPUTED_VALUE"""),62)</f>
        <v>62</v>
      </c>
      <c r="AE321" s="1">
        <f ca="1">IFERROR(__xludf.DUMMYFUNCTION("""COMPUTED_VALUE"""),404)</f>
        <v>404</v>
      </c>
      <c r="AF321" s="1">
        <f ca="1">IFERROR(__xludf.DUMMYFUNCTION("""COMPUTED_VALUE"""),571)</f>
        <v>571</v>
      </c>
    </row>
    <row r="322" spans="1:32" ht="12.5" x14ac:dyDescent="0.25">
      <c r="A322" s="1" t="str">
        <f ca="1">IFERROR(__xludf.DUMMYFUNCTION("""COMPUTED_VALUE"""),"SyracuseNCAA")</f>
        <v>SyracuseNCAA</v>
      </c>
      <c r="B322" s="1">
        <f ca="1">IFERROR(__xludf.DUMMYFUNCTION("""COMPUTED_VALUE"""),35)</f>
        <v>35</v>
      </c>
      <c r="C322" s="1">
        <f ca="1">IFERROR(__xludf.DUMMYFUNCTION("""COMPUTED_VALUE"""),30)</f>
        <v>30</v>
      </c>
      <c r="D322" s="1">
        <f ca="1">IFERROR(__xludf.DUMMYFUNCTION("""COMPUTED_VALUE"""),5)</f>
        <v>5</v>
      </c>
      <c r="E322" s="1">
        <f ca="1">IFERROR(__xludf.DUMMYFUNCTION("""COMPUTED_VALUE"""),0.857)</f>
        <v>0.85699999999999998</v>
      </c>
      <c r="F322" s="1">
        <f ca="1">IFERROR(__xludf.DUMMYFUNCTION("""COMPUTED_VALUE"""),21.72)</f>
        <v>21.72</v>
      </c>
      <c r="G322" s="1">
        <f ca="1">IFERROR(__xludf.DUMMYFUNCTION("""COMPUTED_VALUE"""),7.21)</f>
        <v>7.21</v>
      </c>
      <c r="H322" s="1">
        <f ca="1">IFERROR(__xludf.DUMMYFUNCTION("""COMPUTED_VALUE"""),15)</f>
        <v>15</v>
      </c>
      <c r="I322" s="1">
        <f ca="1">IFERROR(__xludf.DUMMYFUNCTION("""COMPUTED_VALUE"""),3)</f>
        <v>3</v>
      </c>
      <c r="J322" s="1">
        <f ca="1">IFERROR(__xludf.DUMMYFUNCTION("""COMPUTED_VALUE"""),17)</f>
        <v>17</v>
      </c>
      <c r="K322" s="1">
        <f ca="1">IFERROR(__xludf.DUMMYFUNCTION("""COMPUTED_VALUE"""),2)</f>
        <v>2</v>
      </c>
      <c r="L322" s="1">
        <f ca="1">IFERROR(__xludf.DUMMYFUNCTION("""COMPUTED_VALUE"""),8)</f>
        <v>8</v>
      </c>
      <c r="M322" s="1">
        <f ca="1">IFERROR(__xludf.DUMMYFUNCTION("""COMPUTED_VALUE"""),1)</f>
        <v>1</v>
      </c>
      <c r="N322" s="1">
        <f ca="1">IFERROR(__xludf.DUMMYFUNCTION("""COMPUTED_VALUE"""),2832)</f>
        <v>2832</v>
      </c>
      <c r="O322" s="1">
        <f ca="1">IFERROR(__xludf.DUMMYFUNCTION("""COMPUTED_VALUE"""),2324)</f>
        <v>2324</v>
      </c>
      <c r="P322" s="1">
        <f ca="1">IFERROR(__xludf.DUMMYFUNCTION("""COMPUTED_VALUE"""),1400)</f>
        <v>1400</v>
      </c>
      <c r="Q322" s="1">
        <f ca="1">IFERROR(__xludf.DUMMYFUNCTION("""COMPUTED_VALUE"""),1042)</f>
        <v>1042</v>
      </c>
      <c r="R322" s="1">
        <f ca="1">IFERROR(__xludf.DUMMYFUNCTION("""COMPUTED_VALUE"""),2021)</f>
        <v>2021</v>
      </c>
      <c r="S322" s="1">
        <f ca="1">IFERROR(__xludf.DUMMYFUNCTION("""COMPUTED_VALUE"""),0.516)</f>
        <v>0.51600000000000001</v>
      </c>
      <c r="T322" s="1">
        <f ca="1">IFERROR(__xludf.DUMMYFUNCTION("""COMPUTED_VALUE"""),244)</f>
        <v>244</v>
      </c>
      <c r="U322" s="1">
        <f ca="1">IFERROR(__xludf.DUMMYFUNCTION("""COMPUTED_VALUE"""),624)</f>
        <v>624</v>
      </c>
      <c r="V322" s="1">
        <f ca="1">IFERROR(__xludf.DUMMYFUNCTION("""COMPUTED_VALUE"""),0.391)</f>
        <v>0.39100000000000001</v>
      </c>
      <c r="W322" s="1">
        <f ca="1">IFERROR(__xludf.DUMMYFUNCTION("""COMPUTED_VALUE"""),504)</f>
        <v>504</v>
      </c>
      <c r="X322" s="1">
        <f ca="1">IFERROR(__xludf.DUMMYFUNCTION("""COMPUTED_VALUE"""),745)</f>
        <v>745</v>
      </c>
      <c r="Y322" s="1">
        <f ca="1">IFERROR(__xludf.DUMMYFUNCTION("""COMPUTED_VALUE"""),0.677)</f>
        <v>0.67700000000000005</v>
      </c>
      <c r="Z322" s="1">
        <f ca="1">IFERROR(__xludf.DUMMYFUNCTION("""COMPUTED_VALUE"""),417)</f>
        <v>417</v>
      </c>
      <c r="AA322" s="1">
        <f ca="1">IFERROR(__xludf.DUMMYFUNCTION("""COMPUTED_VALUE"""),1337)</f>
        <v>1337</v>
      </c>
      <c r="AB322" s="1">
        <f ca="1">IFERROR(__xludf.DUMMYFUNCTION("""COMPUTED_VALUE"""),673)</f>
        <v>673</v>
      </c>
      <c r="AC322" s="1">
        <f ca="1">IFERROR(__xludf.DUMMYFUNCTION("""COMPUTED_VALUE"""),336)</f>
        <v>336</v>
      </c>
      <c r="AD322" s="1">
        <f ca="1">IFERROR(__xludf.DUMMYFUNCTION("""COMPUTED_VALUE"""),221)</f>
        <v>221</v>
      </c>
      <c r="AE322" s="1">
        <f ca="1">IFERROR(__xludf.DUMMYFUNCTION("""COMPUTED_VALUE"""),532)</f>
        <v>532</v>
      </c>
      <c r="AF322" s="1">
        <f ca="1">IFERROR(__xludf.DUMMYFUNCTION("""COMPUTED_VALUE"""),515)</f>
        <v>515</v>
      </c>
    </row>
    <row r="323" spans="1:32" ht="12.5" x14ac:dyDescent="0.25">
      <c r="A323" s="1" t="str">
        <f ca="1">IFERROR(__xludf.DUMMYFUNCTION("""COMPUTED_VALUE"""),"TempleNCAA")</f>
        <v>TempleNCAA</v>
      </c>
      <c r="B323" s="1">
        <f ca="1">IFERROR(__xludf.DUMMYFUNCTION("""COMPUTED_VALUE"""),35)</f>
        <v>35</v>
      </c>
      <c r="C323" s="1">
        <f ca="1">IFERROR(__xludf.DUMMYFUNCTION("""COMPUTED_VALUE"""),29)</f>
        <v>29</v>
      </c>
      <c r="D323" s="1">
        <f ca="1">IFERROR(__xludf.DUMMYFUNCTION("""COMPUTED_VALUE"""),6)</f>
        <v>6</v>
      </c>
      <c r="E323" s="1">
        <f ca="1">IFERROR(__xludf.DUMMYFUNCTION("""COMPUTED_VALUE"""),0.829)</f>
        <v>0.82899999999999996</v>
      </c>
      <c r="F323" s="1">
        <f ca="1">IFERROR(__xludf.DUMMYFUNCTION("""COMPUTED_VALUE"""),12.44)</f>
        <v>12.44</v>
      </c>
      <c r="G323" s="1">
        <f ca="1">IFERROR(__xludf.DUMMYFUNCTION("""COMPUTED_VALUE"""),4.27)</f>
        <v>4.2699999999999996</v>
      </c>
      <c r="H323" s="1">
        <f ca="1">IFERROR(__xludf.DUMMYFUNCTION("""COMPUTED_VALUE"""),14)</f>
        <v>14</v>
      </c>
      <c r="I323" s="1">
        <f ca="1">IFERROR(__xludf.DUMMYFUNCTION("""COMPUTED_VALUE"""),2)</f>
        <v>2</v>
      </c>
      <c r="J323" s="1">
        <f ca="1">IFERROR(__xludf.DUMMYFUNCTION("""COMPUTED_VALUE"""),14)</f>
        <v>14</v>
      </c>
      <c r="K323" s="1">
        <f ca="1">IFERROR(__xludf.DUMMYFUNCTION("""COMPUTED_VALUE"""),2)</f>
        <v>2</v>
      </c>
      <c r="L323" s="1">
        <f ca="1">IFERROR(__xludf.DUMMYFUNCTION("""COMPUTED_VALUE"""),12)</f>
        <v>12</v>
      </c>
      <c r="M323" s="1">
        <f ca="1">IFERROR(__xludf.DUMMYFUNCTION("""COMPUTED_VALUE"""),3)</f>
        <v>3</v>
      </c>
      <c r="N323" s="1">
        <f ca="1">IFERROR(__xludf.DUMMYFUNCTION("""COMPUTED_VALUE"""),2273)</f>
        <v>2273</v>
      </c>
      <c r="O323" s="1">
        <f ca="1">IFERROR(__xludf.DUMMYFUNCTION("""COMPUTED_VALUE"""),1987)</f>
        <v>1987</v>
      </c>
      <c r="P323" s="1">
        <f ca="1">IFERROR(__xludf.DUMMYFUNCTION("""COMPUTED_VALUE"""),1410)</f>
        <v>1410</v>
      </c>
      <c r="Q323" s="1">
        <f ca="1">IFERROR(__xludf.DUMMYFUNCTION("""COMPUTED_VALUE"""),851)</f>
        <v>851</v>
      </c>
      <c r="R323" s="1">
        <f ca="1">IFERROR(__xludf.DUMMYFUNCTION("""COMPUTED_VALUE"""),1942)</f>
        <v>1942</v>
      </c>
      <c r="S323" s="1">
        <f ca="1">IFERROR(__xludf.DUMMYFUNCTION("""COMPUTED_VALUE"""),0.438)</f>
        <v>0.438</v>
      </c>
      <c r="T323" s="1">
        <f ca="1">IFERROR(__xludf.DUMMYFUNCTION("""COMPUTED_VALUE"""),204)</f>
        <v>204</v>
      </c>
      <c r="U323" s="1">
        <f ca="1">IFERROR(__xludf.DUMMYFUNCTION("""COMPUTED_VALUE"""),605)</f>
        <v>605</v>
      </c>
      <c r="V323" s="1">
        <f ca="1">IFERROR(__xludf.DUMMYFUNCTION("""COMPUTED_VALUE"""),0.337)</f>
        <v>0.33700000000000002</v>
      </c>
      <c r="W323" s="1">
        <f ca="1">IFERROR(__xludf.DUMMYFUNCTION("""COMPUTED_VALUE"""),367)</f>
        <v>367</v>
      </c>
      <c r="X323" s="1">
        <f ca="1">IFERROR(__xludf.DUMMYFUNCTION("""COMPUTED_VALUE"""),533)</f>
        <v>533</v>
      </c>
      <c r="Y323" s="1">
        <f ca="1">IFERROR(__xludf.DUMMYFUNCTION("""COMPUTED_VALUE"""),0.689)</f>
        <v>0.68899999999999995</v>
      </c>
      <c r="Z323" s="1">
        <f ca="1">IFERROR(__xludf.DUMMYFUNCTION("""COMPUTED_VALUE"""),377)</f>
        <v>377</v>
      </c>
      <c r="AA323" s="1">
        <f ca="1">IFERROR(__xludf.DUMMYFUNCTION("""COMPUTED_VALUE"""),1281)</f>
        <v>1281</v>
      </c>
      <c r="AB323" s="1">
        <f ca="1">IFERROR(__xludf.DUMMYFUNCTION("""COMPUTED_VALUE"""),515)</f>
        <v>515</v>
      </c>
      <c r="AC323" s="1">
        <f ca="1">IFERROR(__xludf.DUMMYFUNCTION("""COMPUTED_VALUE"""),163)</f>
        <v>163</v>
      </c>
      <c r="AD323" s="1">
        <f ca="1">IFERROR(__xludf.DUMMYFUNCTION("""COMPUTED_VALUE"""),104)</f>
        <v>104</v>
      </c>
      <c r="AE323" s="1">
        <f ca="1">IFERROR(__xludf.DUMMYFUNCTION("""COMPUTED_VALUE"""),358)</f>
        <v>358</v>
      </c>
      <c r="AF323" s="1">
        <f ca="1">IFERROR(__xludf.DUMMYFUNCTION("""COMPUTED_VALUE"""),521)</f>
        <v>521</v>
      </c>
    </row>
    <row r="324" spans="1:32" ht="12.5" x14ac:dyDescent="0.25">
      <c r="A324" s="1" t="str">
        <f ca="1">IFERROR(__xludf.DUMMYFUNCTION("""COMPUTED_VALUE"""),"Tennessee-Martin")</f>
        <v>Tennessee-Martin</v>
      </c>
      <c r="B324" s="1">
        <f ca="1">IFERROR(__xludf.DUMMYFUNCTION("""COMPUTED_VALUE"""),29)</f>
        <v>29</v>
      </c>
      <c r="C324" s="1">
        <f ca="1">IFERROR(__xludf.DUMMYFUNCTION("""COMPUTED_VALUE"""),4)</f>
        <v>4</v>
      </c>
      <c r="D324" s="1">
        <f ca="1">IFERROR(__xludf.DUMMYFUNCTION("""COMPUTED_VALUE"""),25)</f>
        <v>25</v>
      </c>
      <c r="E324" s="1">
        <f ca="1">IFERROR(__xludf.DUMMYFUNCTION("""COMPUTED_VALUE"""),0.138)</f>
        <v>0.13800000000000001</v>
      </c>
      <c r="F324" s="1">
        <f ca="1">IFERROR(__xludf.DUMMYFUNCTION("""COMPUTED_VALUE"""),-17.46)</f>
        <v>-17.46</v>
      </c>
      <c r="G324" s="1">
        <f ca="1">IFERROR(__xludf.DUMMYFUNCTION("""COMPUTED_VALUE"""),-2.06)</f>
        <v>-2.06</v>
      </c>
      <c r="H324" s="1">
        <f ca="1">IFERROR(__xludf.DUMMYFUNCTION("""COMPUTED_VALUE"""),1)</f>
        <v>1</v>
      </c>
      <c r="I324" s="1">
        <f ca="1">IFERROR(__xludf.DUMMYFUNCTION("""COMPUTED_VALUE"""),17)</f>
        <v>17</v>
      </c>
      <c r="J324" s="1">
        <f ca="1">IFERROR(__xludf.DUMMYFUNCTION("""COMPUTED_VALUE"""),4)</f>
        <v>4</v>
      </c>
      <c r="K324" s="1">
        <f ca="1">IFERROR(__xludf.DUMMYFUNCTION("""COMPUTED_VALUE"""),9)</f>
        <v>9</v>
      </c>
      <c r="L324" s="1">
        <f ca="1">IFERROR(__xludf.DUMMYFUNCTION("""COMPUTED_VALUE"""),0)</f>
        <v>0</v>
      </c>
      <c r="M324" s="1">
        <f ca="1">IFERROR(__xludf.DUMMYFUNCTION("""COMPUTED_VALUE"""),16)</f>
        <v>16</v>
      </c>
      <c r="N324" s="1">
        <f ca="1">IFERROR(__xludf.DUMMYFUNCTION("""COMPUTED_VALUE"""),1860)</f>
        <v>1860</v>
      </c>
      <c r="O324" s="1">
        <f ca="1">IFERROR(__xludf.DUMMYFUNCTION("""COMPUTED_VALUE"""),2215)</f>
        <v>2215</v>
      </c>
      <c r="P324" s="1">
        <f ca="1">IFERROR(__xludf.DUMMYFUNCTION("""COMPUTED_VALUE"""),1160)</f>
        <v>1160</v>
      </c>
      <c r="Q324" s="1">
        <f ca="1">IFERROR(__xludf.DUMMYFUNCTION("""COMPUTED_VALUE"""),639)</f>
        <v>639</v>
      </c>
      <c r="R324" s="1">
        <f ca="1">IFERROR(__xludf.DUMMYFUNCTION("""COMPUTED_VALUE"""),1677)</f>
        <v>1677</v>
      </c>
      <c r="S324" s="1">
        <f ca="1">IFERROR(__xludf.DUMMYFUNCTION("""COMPUTED_VALUE"""),0.381)</f>
        <v>0.38100000000000001</v>
      </c>
      <c r="T324" s="1">
        <f ca="1">IFERROR(__xludf.DUMMYFUNCTION("""COMPUTED_VALUE"""),151)</f>
        <v>151</v>
      </c>
      <c r="U324" s="1">
        <f ca="1">IFERROR(__xludf.DUMMYFUNCTION("""COMPUTED_VALUE"""),485)</f>
        <v>485</v>
      </c>
      <c r="V324" s="1">
        <f ca="1">IFERROR(__xludf.DUMMYFUNCTION("""COMPUTED_VALUE"""),0.311)</f>
        <v>0.311</v>
      </c>
      <c r="W324" s="1">
        <f ca="1">IFERROR(__xludf.DUMMYFUNCTION("""COMPUTED_VALUE"""),431)</f>
        <v>431</v>
      </c>
      <c r="X324" s="1">
        <f ca="1">IFERROR(__xludf.DUMMYFUNCTION("""COMPUTED_VALUE"""),642)</f>
        <v>642</v>
      </c>
      <c r="Y324" s="1">
        <f ca="1">IFERROR(__xludf.DUMMYFUNCTION("""COMPUTED_VALUE"""),0.671)</f>
        <v>0.67100000000000004</v>
      </c>
      <c r="Z324" s="1">
        <f ca="1">IFERROR(__xludf.DUMMYFUNCTION("""COMPUTED_VALUE"""),381)</f>
        <v>381</v>
      </c>
      <c r="AA324" s="1">
        <f ca="1">IFERROR(__xludf.DUMMYFUNCTION("""COMPUTED_VALUE"""),1041)</f>
        <v>1041</v>
      </c>
      <c r="AB324" s="1">
        <f ca="1">IFERROR(__xludf.DUMMYFUNCTION("""COMPUTED_VALUE"""),313)</f>
        <v>313</v>
      </c>
      <c r="AC324" s="1">
        <f ca="1">IFERROR(__xludf.DUMMYFUNCTION("""COMPUTED_VALUE"""),205)</f>
        <v>205</v>
      </c>
      <c r="AD324" s="1">
        <f ca="1">IFERROR(__xludf.DUMMYFUNCTION("""COMPUTED_VALUE"""),97)</f>
        <v>97</v>
      </c>
      <c r="AE324" s="1">
        <f ca="1">IFERROR(__xludf.DUMMYFUNCTION("""COMPUTED_VALUE"""),454)</f>
        <v>454</v>
      </c>
      <c r="AF324" s="1">
        <f ca="1">IFERROR(__xludf.DUMMYFUNCTION("""COMPUTED_VALUE"""),558)</f>
        <v>558</v>
      </c>
    </row>
    <row r="325" spans="1:32" ht="12.5" x14ac:dyDescent="0.25">
      <c r="A325" s="1" t="str">
        <f ca="1">IFERROR(__xludf.DUMMYFUNCTION("""COMPUTED_VALUE"""),"Tennessee State")</f>
        <v>Tennessee State</v>
      </c>
      <c r="B325" s="1">
        <f ca="1">IFERROR(__xludf.DUMMYFUNCTION("""COMPUTED_VALUE"""),32)</f>
        <v>32</v>
      </c>
      <c r="C325" s="1">
        <f ca="1">IFERROR(__xludf.DUMMYFUNCTION("""COMPUTED_VALUE"""),9)</f>
        <v>9</v>
      </c>
      <c r="D325" s="1">
        <f ca="1">IFERROR(__xludf.DUMMYFUNCTION("""COMPUTED_VALUE"""),23)</f>
        <v>23</v>
      </c>
      <c r="E325" s="1">
        <f ca="1">IFERROR(__xludf.DUMMYFUNCTION("""COMPUTED_VALUE"""),0.281)</f>
        <v>0.28100000000000003</v>
      </c>
      <c r="F325" s="1">
        <f ca="1">IFERROR(__xludf.DUMMYFUNCTION("""COMPUTED_VALUE"""),-9.57)</f>
        <v>-9.57</v>
      </c>
      <c r="G325" s="1">
        <f ca="1">IFERROR(__xludf.DUMMYFUNCTION("""COMPUTED_VALUE"""),-2.69)</f>
        <v>-2.69</v>
      </c>
      <c r="H325" s="1">
        <f ca="1">IFERROR(__xludf.DUMMYFUNCTION("""COMPUTED_VALUE"""),6)</f>
        <v>6</v>
      </c>
      <c r="I325" s="1">
        <f ca="1">IFERROR(__xludf.DUMMYFUNCTION("""COMPUTED_VALUE"""),12)</f>
        <v>12</v>
      </c>
      <c r="J325" s="1">
        <f ca="1">IFERROR(__xludf.DUMMYFUNCTION("""COMPUTED_VALUE"""),5)</f>
        <v>5</v>
      </c>
      <c r="K325" s="1">
        <f ca="1">IFERROR(__xludf.DUMMYFUNCTION("""COMPUTED_VALUE"""),6)</f>
        <v>6</v>
      </c>
      <c r="L325" s="1">
        <f ca="1">IFERROR(__xludf.DUMMYFUNCTION("""COMPUTED_VALUE"""),3)</f>
        <v>3</v>
      </c>
      <c r="M325" s="1">
        <f ca="1">IFERROR(__xludf.DUMMYFUNCTION("""COMPUTED_VALUE"""),16)</f>
        <v>16</v>
      </c>
      <c r="N325" s="1">
        <f ca="1">IFERROR(__xludf.DUMMYFUNCTION("""COMPUTED_VALUE"""),2154)</f>
        <v>2154</v>
      </c>
      <c r="O325" s="1">
        <f ca="1">IFERROR(__xludf.DUMMYFUNCTION("""COMPUTED_VALUE"""),2374)</f>
        <v>2374</v>
      </c>
      <c r="P325" s="1">
        <f ca="1">IFERROR(__xludf.DUMMYFUNCTION("""COMPUTED_VALUE"""),1305)</f>
        <v>1305</v>
      </c>
      <c r="Q325" s="1">
        <f ca="1">IFERROR(__xludf.DUMMYFUNCTION("""COMPUTED_VALUE"""),750)</f>
        <v>750</v>
      </c>
      <c r="R325" s="1">
        <f ca="1">IFERROR(__xludf.DUMMYFUNCTION("""COMPUTED_VALUE"""),1844)</f>
        <v>1844</v>
      </c>
      <c r="S325" s="1">
        <f ca="1">IFERROR(__xludf.DUMMYFUNCTION("""COMPUTED_VALUE"""),0.407)</f>
        <v>0.40699999999999997</v>
      </c>
      <c r="T325" s="1">
        <f ca="1">IFERROR(__xludf.DUMMYFUNCTION("""COMPUTED_VALUE"""),258)</f>
        <v>258</v>
      </c>
      <c r="U325" s="1">
        <f ca="1">IFERROR(__xludf.DUMMYFUNCTION("""COMPUTED_VALUE"""),693)</f>
        <v>693</v>
      </c>
      <c r="V325" s="1">
        <f ca="1">IFERROR(__xludf.DUMMYFUNCTION("""COMPUTED_VALUE"""),0.372)</f>
        <v>0.372</v>
      </c>
      <c r="W325" s="1">
        <f ca="1">IFERROR(__xludf.DUMMYFUNCTION("""COMPUTED_VALUE"""),396)</f>
        <v>396</v>
      </c>
      <c r="X325" s="1">
        <f ca="1">IFERROR(__xludf.DUMMYFUNCTION("""COMPUTED_VALUE"""),562)</f>
        <v>562</v>
      </c>
      <c r="Y325" s="1">
        <f ca="1">IFERROR(__xludf.DUMMYFUNCTION("""COMPUTED_VALUE"""),0.705)</f>
        <v>0.70499999999999996</v>
      </c>
      <c r="Z325" s="1">
        <f ca="1">IFERROR(__xludf.DUMMYFUNCTION("""COMPUTED_VALUE"""),392)</f>
        <v>392</v>
      </c>
      <c r="AA325" s="1">
        <f ca="1">IFERROR(__xludf.DUMMYFUNCTION("""COMPUTED_VALUE"""),1063)</f>
        <v>1063</v>
      </c>
      <c r="AB325" s="1">
        <f ca="1">IFERROR(__xludf.DUMMYFUNCTION("""COMPUTED_VALUE"""),397)</f>
        <v>397</v>
      </c>
      <c r="AC325" s="1">
        <f ca="1">IFERROR(__xludf.DUMMYFUNCTION("""COMPUTED_VALUE"""),254)</f>
        <v>254</v>
      </c>
      <c r="AD325" s="1">
        <f ca="1">IFERROR(__xludf.DUMMYFUNCTION("""COMPUTED_VALUE"""),76)</f>
        <v>76</v>
      </c>
      <c r="AE325" s="1">
        <f ca="1">IFERROR(__xludf.DUMMYFUNCTION("""COMPUTED_VALUE"""),511)</f>
        <v>511</v>
      </c>
      <c r="AF325" s="1">
        <f ca="1">IFERROR(__xludf.DUMMYFUNCTION("""COMPUTED_VALUE"""),631)</f>
        <v>631</v>
      </c>
    </row>
    <row r="326" spans="1:32" ht="12.5" x14ac:dyDescent="0.25">
      <c r="A326" s="1" t="str">
        <f ca="1">IFERROR(__xludf.DUMMYFUNCTION("""COMPUTED_VALUE"""),"Tennessee Tech")</f>
        <v>Tennessee Tech</v>
      </c>
      <c r="B326" s="1">
        <f ca="1">IFERROR(__xludf.DUMMYFUNCTION("""COMPUTED_VALUE"""),32)</f>
        <v>32</v>
      </c>
      <c r="C326" s="1">
        <f ca="1">IFERROR(__xludf.DUMMYFUNCTION("""COMPUTED_VALUE"""),15)</f>
        <v>15</v>
      </c>
      <c r="D326" s="1">
        <f ca="1">IFERROR(__xludf.DUMMYFUNCTION("""COMPUTED_VALUE"""),17)</f>
        <v>17</v>
      </c>
      <c r="E326" s="1">
        <f ca="1">IFERROR(__xludf.DUMMYFUNCTION("""COMPUTED_VALUE"""),0.469)</f>
        <v>0.46899999999999997</v>
      </c>
      <c r="F326" s="1">
        <f ca="1">IFERROR(__xludf.DUMMYFUNCTION("""COMPUTED_VALUE"""),-9.58)</f>
        <v>-9.58</v>
      </c>
      <c r="G326" s="1">
        <f ca="1">IFERROR(__xludf.DUMMYFUNCTION("""COMPUTED_VALUE"""),-2.51)</f>
        <v>-2.5099999999999998</v>
      </c>
      <c r="H326" s="1">
        <f ca="1">IFERROR(__xludf.DUMMYFUNCTION("""COMPUTED_VALUE"""),8)</f>
        <v>8</v>
      </c>
      <c r="I326" s="1">
        <f ca="1">IFERROR(__xludf.DUMMYFUNCTION("""COMPUTED_VALUE"""),10)</f>
        <v>10</v>
      </c>
      <c r="J326" s="1">
        <f ca="1">IFERROR(__xludf.DUMMYFUNCTION("""COMPUTED_VALUE"""),9)</f>
        <v>9</v>
      </c>
      <c r="K326" s="1">
        <f ca="1">IFERROR(__xludf.DUMMYFUNCTION("""COMPUTED_VALUE"""),5)</f>
        <v>5</v>
      </c>
      <c r="L326" s="1">
        <f ca="1">IFERROR(__xludf.DUMMYFUNCTION("""COMPUTED_VALUE"""),6)</f>
        <v>6</v>
      </c>
      <c r="M326" s="1">
        <f ca="1">IFERROR(__xludf.DUMMYFUNCTION("""COMPUTED_VALUE"""),11)</f>
        <v>11</v>
      </c>
      <c r="N326" s="1">
        <f ca="1">IFERROR(__xludf.DUMMYFUNCTION("""COMPUTED_VALUE"""),2375)</f>
        <v>2375</v>
      </c>
      <c r="O326" s="1">
        <f ca="1">IFERROR(__xludf.DUMMYFUNCTION("""COMPUTED_VALUE"""),2474)</f>
        <v>2474</v>
      </c>
      <c r="P326" s="1">
        <f ca="1">IFERROR(__xludf.DUMMYFUNCTION("""COMPUTED_VALUE"""),1315)</f>
        <v>1315</v>
      </c>
      <c r="Q326" s="1">
        <f ca="1">IFERROR(__xludf.DUMMYFUNCTION("""COMPUTED_VALUE"""),845)</f>
        <v>845</v>
      </c>
      <c r="R326" s="1">
        <f ca="1">IFERROR(__xludf.DUMMYFUNCTION("""COMPUTED_VALUE"""),1801)</f>
        <v>1801</v>
      </c>
      <c r="S326" s="1">
        <f ca="1">IFERROR(__xludf.DUMMYFUNCTION("""COMPUTED_VALUE"""),0.469)</f>
        <v>0.46899999999999997</v>
      </c>
      <c r="T326" s="1">
        <f ca="1">IFERROR(__xludf.DUMMYFUNCTION("""COMPUTED_VALUE"""),186)</f>
        <v>186</v>
      </c>
      <c r="U326" s="1">
        <f ca="1">IFERROR(__xludf.DUMMYFUNCTION("""COMPUTED_VALUE"""),486)</f>
        <v>486</v>
      </c>
      <c r="V326" s="1">
        <f ca="1">IFERROR(__xludf.DUMMYFUNCTION("""COMPUTED_VALUE"""),0.383)</f>
        <v>0.38300000000000001</v>
      </c>
      <c r="W326" s="1">
        <f ca="1">IFERROR(__xludf.DUMMYFUNCTION("""COMPUTED_VALUE"""),499)</f>
        <v>499</v>
      </c>
      <c r="X326" s="1">
        <f ca="1">IFERROR(__xludf.DUMMYFUNCTION("""COMPUTED_VALUE"""),720)</f>
        <v>720</v>
      </c>
      <c r="Y326" s="1">
        <f ca="1">IFERROR(__xludf.DUMMYFUNCTION("""COMPUTED_VALUE"""),0.693)</f>
        <v>0.69299999999999995</v>
      </c>
      <c r="Z326" s="1">
        <f ca="1">IFERROR(__xludf.DUMMYFUNCTION("""COMPUTED_VALUE"""),383)</f>
        <v>383</v>
      </c>
      <c r="AA326" s="1">
        <f ca="1">IFERROR(__xludf.DUMMYFUNCTION("""COMPUTED_VALUE"""),1105)</f>
        <v>1105</v>
      </c>
      <c r="AB326" s="1">
        <f ca="1">IFERROR(__xludf.DUMMYFUNCTION("""COMPUTED_VALUE"""),423)</f>
        <v>423</v>
      </c>
      <c r="AC326" s="1">
        <f ca="1">IFERROR(__xludf.DUMMYFUNCTION("""COMPUTED_VALUE"""),201)</f>
        <v>201</v>
      </c>
      <c r="AD326" s="1">
        <f ca="1">IFERROR(__xludf.DUMMYFUNCTION("""COMPUTED_VALUE"""),75)</f>
        <v>75</v>
      </c>
      <c r="AE326" s="1">
        <f ca="1">IFERROR(__xludf.DUMMYFUNCTION("""COMPUTED_VALUE"""),481)</f>
        <v>481</v>
      </c>
      <c r="AF326" s="1">
        <f ca="1">IFERROR(__xludf.DUMMYFUNCTION("""COMPUTED_VALUE"""),696)</f>
        <v>696</v>
      </c>
    </row>
    <row r="327" spans="1:32" ht="12.5" x14ac:dyDescent="0.25">
      <c r="A327" s="1" t="str">
        <f ca="1">IFERROR(__xludf.DUMMYFUNCTION("""COMPUTED_VALUE"""),"TennesseeNCAA")</f>
        <v>TennesseeNCAA</v>
      </c>
      <c r="B327" s="1">
        <f ca="1">IFERROR(__xludf.DUMMYFUNCTION("""COMPUTED_VALUE"""),37)</f>
        <v>37</v>
      </c>
      <c r="C327" s="1">
        <f ca="1">IFERROR(__xludf.DUMMYFUNCTION("""COMPUTED_VALUE"""),28)</f>
        <v>28</v>
      </c>
      <c r="D327" s="1">
        <f ca="1">IFERROR(__xludf.DUMMYFUNCTION("""COMPUTED_VALUE"""),9)</f>
        <v>9</v>
      </c>
      <c r="E327" s="1">
        <f ca="1">IFERROR(__xludf.DUMMYFUNCTION("""COMPUTED_VALUE"""),0.757)</f>
        <v>0.75700000000000001</v>
      </c>
      <c r="F327" s="1">
        <f ca="1">IFERROR(__xludf.DUMMYFUNCTION("""COMPUTED_VALUE"""),16.05)</f>
        <v>16.05</v>
      </c>
      <c r="G327" s="1">
        <f ca="1">IFERROR(__xludf.DUMMYFUNCTION("""COMPUTED_VALUE"""),7.75)</f>
        <v>7.75</v>
      </c>
      <c r="H327" s="1">
        <f ca="1">IFERROR(__xludf.DUMMYFUNCTION("""COMPUTED_VALUE"""),11)</f>
        <v>11</v>
      </c>
      <c r="I327" s="1">
        <f ca="1">IFERROR(__xludf.DUMMYFUNCTION("""COMPUTED_VALUE"""),5)</f>
        <v>5</v>
      </c>
      <c r="J327" s="1">
        <f ca="1">IFERROR(__xludf.DUMMYFUNCTION("""COMPUTED_VALUE"""),15)</f>
        <v>15</v>
      </c>
      <c r="K327" s="1">
        <f ca="1">IFERROR(__xludf.DUMMYFUNCTION("""COMPUTED_VALUE"""),1)</f>
        <v>1</v>
      </c>
      <c r="L327" s="1">
        <f ca="1">IFERROR(__xludf.DUMMYFUNCTION("""COMPUTED_VALUE"""),5)</f>
        <v>5</v>
      </c>
      <c r="M327" s="1">
        <f ca="1">IFERROR(__xludf.DUMMYFUNCTION("""COMPUTED_VALUE"""),5)</f>
        <v>5</v>
      </c>
      <c r="N327" s="1">
        <f ca="1">IFERROR(__xludf.DUMMYFUNCTION("""COMPUTED_VALUE"""),2720)</f>
        <v>2720</v>
      </c>
      <c r="O327" s="1">
        <f ca="1">IFERROR(__xludf.DUMMYFUNCTION("""COMPUTED_VALUE"""),2413)</f>
        <v>2413</v>
      </c>
      <c r="P327" s="1">
        <f ca="1">IFERROR(__xludf.DUMMYFUNCTION("""COMPUTED_VALUE"""),1485)</f>
        <v>1485</v>
      </c>
      <c r="Q327" s="1">
        <f ca="1">IFERROR(__xludf.DUMMYFUNCTION("""COMPUTED_VALUE"""),991)</f>
        <v>991</v>
      </c>
      <c r="R327" s="1">
        <f ca="1">IFERROR(__xludf.DUMMYFUNCTION("""COMPUTED_VALUE"""),2174)</f>
        <v>2174</v>
      </c>
      <c r="S327" s="1">
        <f ca="1">IFERROR(__xludf.DUMMYFUNCTION("""COMPUTED_VALUE"""),0.456)</f>
        <v>0.45600000000000002</v>
      </c>
      <c r="T327" s="1">
        <f ca="1">IFERROR(__xludf.DUMMYFUNCTION("""COMPUTED_VALUE"""),218)</f>
        <v>218</v>
      </c>
      <c r="U327" s="1">
        <f ca="1">IFERROR(__xludf.DUMMYFUNCTION("""COMPUTED_VALUE"""),681)</f>
        <v>681</v>
      </c>
      <c r="V327" s="1">
        <f ca="1">IFERROR(__xludf.DUMMYFUNCTION("""COMPUTED_VALUE"""),0.32)</f>
        <v>0.32</v>
      </c>
      <c r="W327" s="1">
        <f ca="1">IFERROR(__xludf.DUMMYFUNCTION("""COMPUTED_VALUE"""),520)</f>
        <v>520</v>
      </c>
      <c r="X327" s="1">
        <f ca="1">IFERROR(__xludf.DUMMYFUNCTION("""COMPUTED_VALUE"""),775)</f>
        <v>775</v>
      </c>
      <c r="Y327" s="1">
        <f ca="1">IFERROR(__xludf.DUMMYFUNCTION("""COMPUTED_VALUE"""),0.671)</f>
        <v>0.67100000000000004</v>
      </c>
      <c r="Z327" s="1">
        <f ca="1">IFERROR(__xludf.DUMMYFUNCTION("""COMPUTED_VALUE"""),441)</f>
        <v>441</v>
      </c>
      <c r="AA327" s="1">
        <f ca="1">IFERROR(__xludf.DUMMYFUNCTION("""COMPUTED_VALUE"""),1353)</f>
        <v>1353</v>
      </c>
      <c r="AB327" s="1">
        <f ca="1">IFERROR(__xludf.DUMMYFUNCTION("""COMPUTED_VALUE"""),530)</f>
        <v>530</v>
      </c>
      <c r="AC327" s="1">
        <f ca="1">IFERROR(__xludf.DUMMYFUNCTION("""COMPUTED_VALUE"""),290)</f>
        <v>290</v>
      </c>
      <c r="AD327" s="1">
        <f ca="1">IFERROR(__xludf.DUMMYFUNCTION("""COMPUTED_VALUE"""),136)</f>
        <v>136</v>
      </c>
      <c r="AE327" s="1">
        <f ca="1">IFERROR(__xludf.DUMMYFUNCTION("""COMPUTED_VALUE"""),490)</f>
        <v>490</v>
      </c>
      <c r="AF327" s="1">
        <f ca="1">IFERROR(__xludf.DUMMYFUNCTION("""COMPUTED_VALUE"""),733)</f>
        <v>733</v>
      </c>
    </row>
    <row r="328" spans="1:32" ht="12.5" x14ac:dyDescent="0.25">
      <c r="A328" s="1" t="str">
        <f ca="1">IFERROR(__xludf.DUMMYFUNCTION("""COMPUTED_VALUE"""),"Texas A&amp;M-Corpus Christi")</f>
        <v>Texas A&amp;M-Corpus Christi</v>
      </c>
      <c r="B328" s="1">
        <f ca="1">IFERROR(__xludf.DUMMYFUNCTION("""COMPUTED_VALUE"""),32)</f>
        <v>32</v>
      </c>
      <c r="C328" s="1">
        <f ca="1">IFERROR(__xludf.DUMMYFUNCTION("""COMPUTED_VALUE"""),17)</f>
        <v>17</v>
      </c>
      <c r="D328" s="1">
        <f ca="1">IFERROR(__xludf.DUMMYFUNCTION("""COMPUTED_VALUE"""),15)</f>
        <v>15</v>
      </c>
      <c r="E328" s="1">
        <f ca="1">IFERROR(__xludf.DUMMYFUNCTION("""COMPUTED_VALUE"""),0.531)</f>
        <v>0.53100000000000003</v>
      </c>
      <c r="F328" s="1">
        <f ca="1">IFERROR(__xludf.DUMMYFUNCTION("""COMPUTED_VALUE"""),-2.05)</f>
        <v>-2.0499999999999998</v>
      </c>
      <c r="G328" s="1">
        <f ca="1">IFERROR(__xludf.DUMMYFUNCTION("""COMPUTED_VALUE"""),-2.83)</f>
        <v>-2.83</v>
      </c>
      <c r="H328" s="1">
        <f ca="1">IFERROR(__xludf.DUMMYFUNCTION("""COMPUTED_VALUE"""),10)</f>
        <v>10</v>
      </c>
      <c r="I328" s="1">
        <f ca="1">IFERROR(__xludf.DUMMYFUNCTION("""COMPUTED_VALUE"""),6)</f>
        <v>6</v>
      </c>
      <c r="J328" s="1">
        <f ca="1">IFERROR(__xludf.DUMMYFUNCTION("""COMPUTED_VALUE"""),10)</f>
        <v>10</v>
      </c>
      <c r="K328" s="1">
        <f ca="1">IFERROR(__xludf.DUMMYFUNCTION("""COMPUTED_VALUE"""),2)</f>
        <v>2</v>
      </c>
      <c r="L328" s="1">
        <f ca="1">IFERROR(__xludf.DUMMYFUNCTION("""COMPUTED_VALUE"""),5)</f>
        <v>5</v>
      </c>
      <c r="M328" s="1">
        <f ca="1">IFERROR(__xludf.DUMMYFUNCTION("""COMPUTED_VALUE"""),11)</f>
        <v>11</v>
      </c>
      <c r="N328" s="1">
        <f ca="1">IFERROR(__xludf.DUMMYFUNCTION("""COMPUTED_VALUE"""),2184)</f>
        <v>2184</v>
      </c>
      <c r="O328" s="1">
        <f ca="1">IFERROR(__xludf.DUMMYFUNCTION("""COMPUTED_VALUE"""),2119)</f>
        <v>2119</v>
      </c>
      <c r="P328" s="1">
        <f ca="1">IFERROR(__xludf.DUMMYFUNCTION("""COMPUTED_VALUE"""),1290)</f>
        <v>1290</v>
      </c>
      <c r="Q328" s="1">
        <f ca="1">IFERROR(__xludf.DUMMYFUNCTION("""COMPUTED_VALUE"""),770)</f>
        <v>770</v>
      </c>
      <c r="R328" s="1">
        <f ca="1">IFERROR(__xludf.DUMMYFUNCTION("""COMPUTED_VALUE"""),1681)</f>
        <v>1681</v>
      </c>
      <c r="S328" s="1">
        <f ca="1">IFERROR(__xludf.DUMMYFUNCTION("""COMPUTED_VALUE"""),0.458)</f>
        <v>0.45800000000000002</v>
      </c>
      <c r="T328" s="1">
        <f ca="1">IFERROR(__xludf.DUMMYFUNCTION("""COMPUTED_VALUE"""),164)</f>
        <v>164</v>
      </c>
      <c r="U328" s="1">
        <f ca="1">IFERROR(__xludf.DUMMYFUNCTION("""COMPUTED_VALUE"""),533)</f>
        <v>533</v>
      </c>
      <c r="V328" s="1">
        <f ca="1">IFERROR(__xludf.DUMMYFUNCTION("""COMPUTED_VALUE"""),0.308)</f>
        <v>0.308</v>
      </c>
      <c r="W328" s="1">
        <f ca="1">IFERROR(__xludf.DUMMYFUNCTION("""COMPUTED_VALUE"""),480)</f>
        <v>480</v>
      </c>
      <c r="X328" s="1">
        <f ca="1">IFERROR(__xludf.DUMMYFUNCTION("""COMPUTED_VALUE"""),723)</f>
        <v>723</v>
      </c>
      <c r="Y328" s="1">
        <f ca="1">IFERROR(__xludf.DUMMYFUNCTION("""COMPUTED_VALUE"""),0.664)</f>
        <v>0.66400000000000003</v>
      </c>
      <c r="Z328" s="1">
        <f ca="1">IFERROR(__xludf.DUMMYFUNCTION("""COMPUTED_VALUE"""),389)</f>
        <v>389</v>
      </c>
      <c r="AA328" s="1">
        <f ca="1">IFERROR(__xludf.DUMMYFUNCTION("""COMPUTED_VALUE"""),1161)</f>
        <v>1161</v>
      </c>
      <c r="AB328" s="1">
        <f ca="1">IFERROR(__xludf.DUMMYFUNCTION("""COMPUTED_VALUE"""),422)</f>
        <v>422</v>
      </c>
      <c r="AC328" s="1">
        <f ca="1">IFERROR(__xludf.DUMMYFUNCTION("""COMPUTED_VALUE"""),250)</f>
        <v>250</v>
      </c>
      <c r="AD328" s="1">
        <f ca="1">IFERROR(__xludf.DUMMYFUNCTION("""COMPUTED_VALUE"""),122)</f>
        <v>122</v>
      </c>
      <c r="AE328" s="1">
        <f ca="1">IFERROR(__xludf.DUMMYFUNCTION("""COMPUTED_VALUE"""),556)</f>
        <v>556</v>
      </c>
      <c r="AF328" s="1">
        <f ca="1">IFERROR(__xludf.DUMMYFUNCTION("""COMPUTED_VALUE"""),584)</f>
        <v>584</v>
      </c>
    </row>
    <row r="329" spans="1:32" ht="12.5" x14ac:dyDescent="0.25">
      <c r="A329" s="1" t="str">
        <f ca="1">IFERROR(__xludf.DUMMYFUNCTION("""COMPUTED_VALUE"""),"Texas A&amp;MNCAA")</f>
        <v>Texas A&amp;MNCAA</v>
      </c>
      <c r="B329" s="1">
        <f ca="1">IFERROR(__xludf.DUMMYFUNCTION("""COMPUTED_VALUE"""),34)</f>
        <v>34</v>
      </c>
      <c r="C329" s="1">
        <f ca="1">IFERROR(__xludf.DUMMYFUNCTION("""COMPUTED_VALUE"""),24)</f>
        <v>24</v>
      </c>
      <c r="D329" s="1">
        <f ca="1">IFERROR(__xludf.DUMMYFUNCTION("""COMPUTED_VALUE"""),10)</f>
        <v>10</v>
      </c>
      <c r="E329" s="1">
        <f ca="1">IFERROR(__xludf.DUMMYFUNCTION("""COMPUTED_VALUE"""),0.706)</f>
        <v>0.70599999999999996</v>
      </c>
      <c r="F329" s="1">
        <f ca="1">IFERROR(__xludf.DUMMYFUNCTION("""COMPUTED_VALUE"""),15.24)</f>
        <v>15.24</v>
      </c>
      <c r="G329" s="1">
        <f ca="1">IFERROR(__xludf.DUMMYFUNCTION("""COMPUTED_VALUE"""),9.8)</f>
        <v>9.8000000000000007</v>
      </c>
      <c r="H329" s="1">
        <f ca="1">IFERROR(__xludf.DUMMYFUNCTION("""COMPUTED_VALUE"""),11)</f>
        <v>11</v>
      </c>
      <c r="I329" s="1">
        <f ca="1">IFERROR(__xludf.DUMMYFUNCTION("""COMPUTED_VALUE"""),5)</f>
        <v>5</v>
      </c>
      <c r="J329" s="1">
        <f ca="1">IFERROR(__xludf.DUMMYFUNCTION("""COMPUTED_VALUE"""),15)</f>
        <v>15</v>
      </c>
      <c r="K329" s="1">
        <f ca="1">IFERROR(__xludf.DUMMYFUNCTION("""COMPUTED_VALUE"""),1)</f>
        <v>1</v>
      </c>
      <c r="L329" s="1">
        <f ca="1">IFERROR(__xludf.DUMMYFUNCTION("""COMPUTED_VALUE"""),5)</f>
        <v>5</v>
      </c>
      <c r="M329" s="1">
        <f ca="1">IFERROR(__xludf.DUMMYFUNCTION("""COMPUTED_VALUE"""),5)</f>
        <v>5</v>
      </c>
      <c r="N329" s="1">
        <f ca="1">IFERROR(__xludf.DUMMYFUNCTION("""COMPUTED_VALUE"""),2426)</f>
        <v>2426</v>
      </c>
      <c r="O329" s="1">
        <f ca="1">IFERROR(__xludf.DUMMYFUNCTION("""COMPUTED_VALUE"""),2192)</f>
        <v>2192</v>
      </c>
      <c r="P329" s="1">
        <f ca="1">IFERROR(__xludf.DUMMYFUNCTION("""COMPUTED_VALUE"""),1370)</f>
        <v>1370</v>
      </c>
      <c r="Q329" s="1">
        <f ca="1">IFERROR(__xludf.DUMMYFUNCTION("""COMPUTED_VALUE"""),813)</f>
        <v>813</v>
      </c>
      <c r="R329" s="1">
        <f ca="1">IFERROR(__xludf.DUMMYFUNCTION("""COMPUTED_VALUE"""),1846)</f>
        <v>1846</v>
      </c>
      <c r="S329" s="1">
        <f ca="1">IFERROR(__xludf.DUMMYFUNCTION("""COMPUTED_VALUE"""),0.44)</f>
        <v>0.44</v>
      </c>
      <c r="T329" s="1">
        <f ca="1">IFERROR(__xludf.DUMMYFUNCTION("""COMPUTED_VALUE"""),210)</f>
        <v>210</v>
      </c>
      <c r="U329" s="1">
        <f ca="1">IFERROR(__xludf.DUMMYFUNCTION("""COMPUTED_VALUE"""),626)</f>
        <v>626</v>
      </c>
      <c r="V329" s="1">
        <f ca="1">IFERROR(__xludf.DUMMYFUNCTION("""COMPUTED_VALUE"""),0.335)</f>
        <v>0.33500000000000002</v>
      </c>
      <c r="W329" s="1">
        <f ca="1">IFERROR(__xludf.DUMMYFUNCTION("""COMPUTED_VALUE"""),590)</f>
        <v>590</v>
      </c>
      <c r="X329" s="1">
        <f ca="1">IFERROR(__xludf.DUMMYFUNCTION("""COMPUTED_VALUE"""),892)</f>
        <v>892</v>
      </c>
      <c r="Y329" s="1">
        <f ca="1">IFERROR(__xludf.DUMMYFUNCTION("""COMPUTED_VALUE"""),0.661)</f>
        <v>0.66100000000000003</v>
      </c>
      <c r="Z329" s="1">
        <f ca="1">IFERROR(__xludf.DUMMYFUNCTION("""COMPUTED_VALUE"""),400)</f>
        <v>400</v>
      </c>
      <c r="AA329" s="1">
        <f ca="1">IFERROR(__xludf.DUMMYFUNCTION("""COMPUTED_VALUE"""),1252)</f>
        <v>1252</v>
      </c>
      <c r="AB329" s="1">
        <f ca="1">IFERROR(__xludf.DUMMYFUNCTION("""COMPUTED_VALUE"""),417)</f>
        <v>417</v>
      </c>
      <c r="AC329" s="1">
        <f ca="1">IFERROR(__xludf.DUMMYFUNCTION("""COMPUTED_VALUE"""),223)</f>
        <v>223</v>
      </c>
      <c r="AD329" s="1">
        <f ca="1">IFERROR(__xludf.DUMMYFUNCTION("""COMPUTED_VALUE"""),113)</f>
        <v>113</v>
      </c>
      <c r="AE329" s="1">
        <f ca="1">IFERROR(__xludf.DUMMYFUNCTION("""COMPUTED_VALUE"""),417)</f>
        <v>417</v>
      </c>
      <c r="AF329" s="1">
        <f ca="1">IFERROR(__xludf.DUMMYFUNCTION("""COMPUTED_VALUE"""),619)</f>
        <v>619</v>
      </c>
    </row>
    <row r="330" spans="1:32" ht="12.5" x14ac:dyDescent="0.25">
      <c r="A330" s="1" t="str">
        <f ca="1">IFERROR(__xludf.DUMMYFUNCTION("""COMPUTED_VALUE"""),"Overall")</f>
        <v>Overall</v>
      </c>
      <c r="B330" s="1" t="str">
        <f ca="1">IFERROR(__xludf.DUMMYFUNCTION("""COMPUTED_VALUE"""),"Conf.")</f>
        <v>Conf.</v>
      </c>
      <c r="C330" s="1" t="str">
        <f ca="1">IFERROR(__xludf.DUMMYFUNCTION("""COMPUTED_VALUE"""),"Home")</f>
        <v>Home</v>
      </c>
      <c r="D330" s="1" t="str">
        <f ca="1">IFERROR(__xludf.DUMMYFUNCTION("""COMPUTED_VALUE"""),"Away")</f>
        <v>Away</v>
      </c>
      <c r="E330" s="1" t="str">
        <f ca="1">IFERROR(__xludf.DUMMYFUNCTION("""COMPUTED_VALUE"""),"Points")</f>
        <v>Points</v>
      </c>
      <c r="F330" s="1" t="str">
        <f ca="1">IFERROR(__xludf.DUMMYFUNCTION("""COMPUTED_VALUE"""),"")</f>
        <v/>
      </c>
      <c r="G330" s="1" t="str">
        <f ca="1">IFERROR(__xludf.DUMMYFUNCTION("""COMPUTED_VALUE"""),"School Totals")</f>
        <v>School Totals</v>
      </c>
      <c r="H330" s="1" t="str">
        <f ca="1">IFERROR(__xludf.DUMMYFUNCTION("""COMPUTED_VALUE"""),"")</f>
        <v/>
      </c>
      <c r="I330" s="1" t="str">
        <f ca="1">IFERROR(__xludf.DUMMYFUNCTION("""COMPUTED_VALUE"""),"")</f>
        <v/>
      </c>
      <c r="J330" s="1" t="str">
        <f ca="1">IFERROR(__xludf.DUMMYFUNCTION("""COMPUTED_VALUE"""),"")</f>
        <v/>
      </c>
      <c r="K330" s="1" t="str">
        <f ca="1">IFERROR(__xludf.DUMMYFUNCTION("""COMPUTED_VALUE"""),"")</f>
        <v/>
      </c>
      <c r="L330" s="1" t="str">
        <f ca="1">IFERROR(__xludf.DUMMYFUNCTION("""COMPUTED_VALUE"""),"")</f>
        <v/>
      </c>
      <c r="M330" s="1" t="str">
        <f ca="1">IFERROR(__xludf.DUMMYFUNCTION("""COMPUTED_VALUE"""),"")</f>
        <v/>
      </c>
      <c r="N330" s="1" t="str">
        <f ca="1">IFERROR(__xludf.DUMMYFUNCTION("""COMPUTED_VALUE"""),"")</f>
        <v/>
      </c>
      <c r="O330" s="1" t="str">
        <f ca="1">IFERROR(__xludf.DUMMYFUNCTION("""COMPUTED_VALUE"""),"")</f>
        <v/>
      </c>
      <c r="P330" s="1" t="str">
        <f ca="1">IFERROR(__xludf.DUMMYFUNCTION("""COMPUTED_VALUE"""),"")</f>
        <v/>
      </c>
      <c r="Q330" s="1" t="str">
        <f ca="1">IFERROR(__xludf.DUMMYFUNCTION("""COMPUTED_VALUE"""),"")</f>
        <v/>
      </c>
      <c r="R330" s="1" t="str">
        <f ca="1">IFERROR(__xludf.DUMMYFUNCTION("""COMPUTED_VALUE"""),"")</f>
        <v/>
      </c>
      <c r="S330" s="1" t="str">
        <f ca="1">IFERROR(__xludf.DUMMYFUNCTION("""COMPUTED_VALUE"""),"")</f>
        <v/>
      </c>
      <c r="T330" s="1" t="str">
        <f ca="1">IFERROR(__xludf.DUMMYFUNCTION("""COMPUTED_VALUE"""),"")</f>
        <v/>
      </c>
      <c r="U330" s="1" t="str">
        <f ca="1">IFERROR(__xludf.DUMMYFUNCTION("""COMPUTED_VALUE"""),"")</f>
        <v/>
      </c>
      <c r="V330" s="1" t="str">
        <f ca="1">IFERROR(__xludf.DUMMYFUNCTION("""COMPUTED_VALUE"""),"")</f>
        <v/>
      </c>
      <c r="W330" s="1" t="str">
        <f ca="1">IFERROR(__xludf.DUMMYFUNCTION("""COMPUTED_VALUE"""),"")</f>
        <v/>
      </c>
      <c r="X330" s="1" t="str">
        <f ca="1">IFERROR(__xludf.DUMMYFUNCTION("""COMPUTED_VALUE"""),"")</f>
        <v/>
      </c>
      <c r="Y330" s="1" t="str">
        <f ca="1">IFERROR(__xludf.DUMMYFUNCTION("""COMPUTED_VALUE"""),"")</f>
        <v/>
      </c>
      <c r="Z330" s="1" t="str">
        <f ca="1">IFERROR(__xludf.DUMMYFUNCTION("""COMPUTED_VALUE"""),"")</f>
        <v/>
      </c>
      <c r="AA330" s="1" t="str">
        <f ca="1">IFERROR(__xludf.DUMMYFUNCTION("""COMPUTED_VALUE"""),"")</f>
        <v/>
      </c>
      <c r="AB330" s="1" t="str">
        <f ca="1">IFERROR(__xludf.DUMMYFUNCTION("""COMPUTED_VALUE"""),"")</f>
        <v/>
      </c>
      <c r="AC330" s="1" t="str">
        <f ca="1">IFERROR(__xludf.DUMMYFUNCTION("""COMPUTED_VALUE"""),"")</f>
        <v/>
      </c>
      <c r="AD330" s="1" t="str">
        <f ca="1">IFERROR(__xludf.DUMMYFUNCTION("""COMPUTED_VALUE"""),"")</f>
        <v/>
      </c>
      <c r="AE330" s="1" t="str">
        <f ca="1">IFERROR(__xludf.DUMMYFUNCTION("""COMPUTED_VALUE"""),"")</f>
        <v/>
      </c>
      <c r="AF330" s="1" t="str">
        <f ca="1">IFERROR(__xludf.DUMMYFUNCTION("""COMPUTED_VALUE"""),"")</f>
        <v/>
      </c>
    </row>
    <row r="331" spans="1:32" ht="12.5" x14ac:dyDescent="0.25">
      <c r="A331" s="1" t="str">
        <f ca="1">IFERROR(__xludf.DUMMYFUNCTION("""COMPUTED_VALUE"""),"School")</f>
        <v>School</v>
      </c>
      <c r="B331" s="1" t="str">
        <f ca="1">IFERROR(__xludf.DUMMYFUNCTION("""COMPUTED_VALUE"""),"G")</f>
        <v>G</v>
      </c>
      <c r="C331" s="1" t="str">
        <f ca="1">IFERROR(__xludf.DUMMYFUNCTION("""COMPUTED_VALUE"""),"W")</f>
        <v>W</v>
      </c>
      <c r="D331" s="1" t="str">
        <f ca="1">IFERROR(__xludf.DUMMYFUNCTION("""COMPUTED_VALUE"""),"L")</f>
        <v>L</v>
      </c>
      <c r="E331" s="1" t="str">
        <f ca="1">IFERROR(__xludf.DUMMYFUNCTION("""COMPUTED_VALUE"""),"W-L%")</f>
        <v>W-L%</v>
      </c>
      <c r="F331" s="1" t="str">
        <f ca="1">IFERROR(__xludf.DUMMYFUNCTION("""COMPUTED_VALUE"""),"SRS")</f>
        <v>SRS</v>
      </c>
      <c r="G331" s="1" t="str">
        <f ca="1">IFERROR(__xludf.DUMMYFUNCTION("""COMPUTED_VALUE"""),"SOS")</f>
        <v>SOS</v>
      </c>
      <c r="H331" s="1" t="str">
        <f ca="1">IFERROR(__xludf.DUMMYFUNCTION("""COMPUTED_VALUE"""),"W")</f>
        <v>W</v>
      </c>
      <c r="I331" s="1" t="str">
        <f ca="1">IFERROR(__xludf.DUMMYFUNCTION("""COMPUTED_VALUE"""),"L")</f>
        <v>L</v>
      </c>
      <c r="J331" s="1" t="str">
        <f ca="1">IFERROR(__xludf.DUMMYFUNCTION("""COMPUTED_VALUE"""),"W")</f>
        <v>W</v>
      </c>
      <c r="K331" s="1" t="str">
        <f ca="1">IFERROR(__xludf.DUMMYFUNCTION("""COMPUTED_VALUE"""),"L")</f>
        <v>L</v>
      </c>
      <c r="L331" s="1" t="str">
        <f ca="1">IFERROR(__xludf.DUMMYFUNCTION("""COMPUTED_VALUE"""),"W")</f>
        <v>W</v>
      </c>
      <c r="M331" s="1" t="str">
        <f ca="1">IFERROR(__xludf.DUMMYFUNCTION("""COMPUTED_VALUE"""),"L")</f>
        <v>L</v>
      </c>
      <c r="N331" s="1" t="str">
        <f ca="1">IFERROR(__xludf.DUMMYFUNCTION("""COMPUTED_VALUE"""),"Tm.")</f>
        <v>Tm.</v>
      </c>
      <c r="O331" s="1" t="str">
        <f ca="1">IFERROR(__xludf.DUMMYFUNCTION("""COMPUTED_VALUE"""),"Opp.")</f>
        <v>Opp.</v>
      </c>
      <c r="P331" s="1" t="str">
        <f ca="1">IFERROR(__xludf.DUMMYFUNCTION("""COMPUTED_VALUE"""),"MP")</f>
        <v>MP</v>
      </c>
      <c r="Q331" s="1" t="str">
        <f ca="1">IFERROR(__xludf.DUMMYFUNCTION("""COMPUTED_VALUE"""),"FG")</f>
        <v>FG</v>
      </c>
      <c r="R331" s="1" t="str">
        <f ca="1">IFERROR(__xludf.DUMMYFUNCTION("""COMPUTED_VALUE"""),"FGA")</f>
        <v>FGA</v>
      </c>
      <c r="S331" s="1" t="str">
        <f ca="1">IFERROR(__xludf.DUMMYFUNCTION("""COMPUTED_VALUE"""),"FG%")</f>
        <v>FG%</v>
      </c>
      <c r="T331" s="1" t="str">
        <f ca="1">IFERROR(__xludf.DUMMYFUNCTION("""COMPUTED_VALUE"""),"3P")</f>
        <v>3P</v>
      </c>
      <c r="U331" s="1" t="str">
        <f ca="1">IFERROR(__xludf.DUMMYFUNCTION("""COMPUTED_VALUE"""),"3PA")</f>
        <v>3PA</v>
      </c>
      <c r="V331" s="1" t="str">
        <f ca="1">IFERROR(__xludf.DUMMYFUNCTION("""COMPUTED_VALUE"""),"3P%")</f>
        <v>3P%</v>
      </c>
      <c r="W331" s="1" t="str">
        <f ca="1">IFERROR(__xludf.DUMMYFUNCTION("""COMPUTED_VALUE"""),"FT")</f>
        <v>FT</v>
      </c>
      <c r="X331" s="1" t="str">
        <f ca="1">IFERROR(__xludf.DUMMYFUNCTION("""COMPUTED_VALUE"""),"FTA")</f>
        <v>FTA</v>
      </c>
      <c r="Y331" s="1" t="str">
        <f ca="1">IFERROR(__xludf.DUMMYFUNCTION("""COMPUTED_VALUE"""),"FT%")</f>
        <v>FT%</v>
      </c>
      <c r="Z331" s="1" t="str">
        <f ca="1">IFERROR(__xludf.DUMMYFUNCTION("""COMPUTED_VALUE"""),"ORB")</f>
        <v>ORB</v>
      </c>
      <c r="AA331" s="1" t="str">
        <f ca="1">IFERROR(__xludf.DUMMYFUNCTION("""COMPUTED_VALUE"""),"TRB")</f>
        <v>TRB</v>
      </c>
      <c r="AB331" s="1" t="str">
        <f ca="1">IFERROR(__xludf.DUMMYFUNCTION("""COMPUTED_VALUE"""),"AST")</f>
        <v>AST</v>
      </c>
      <c r="AC331" s="1" t="str">
        <f ca="1">IFERROR(__xludf.DUMMYFUNCTION("""COMPUTED_VALUE"""),"STL")</f>
        <v>STL</v>
      </c>
      <c r="AD331" s="1" t="str">
        <f ca="1">IFERROR(__xludf.DUMMYFUNCTION("""COMPUTED_VALUE"""),"BLK")</f>
        <v>BLK</v>
      </c>
      <c r="AE331" s="1" t="str">
        <f ca="1">IFERROR(__xludf.DUMMYFUNCTION("""COMPUTED_VALUE"""),"TOV")</f>
        <v>TOV</v>
      </c>
      <c r="AF331" s="1" t="str">
        <f ca="1">IFERROR(__xludf.DUMMYFUNCTION("""COMPUTED_VALUE"""),"PF")</f>
        <v>PF</v>
      </c>
    </row>
    <row r="332" spans="1:32" ht="12.5" x14ac:dyDescent="0.25">
      <c r="A332" s="1" t="str">
        <f ca="1">IFERROR(__xludf.DUMMYFUNCTION("""COMPUTED_VALUE"""),"Texas-Arlington")</f>
        <v>Texas-Arlington</v>
      </c>
      <c r="B332" s="1">
        <f ca="1">IFERROR(__xludf.DUMMYFUNCTION("""COMPUTED_VALUE"""),30)</f>
        <v>30</v>
      </c>
      <c r="C332" s="1">
        <f ca="1">IFERROR(__xludf.DUMMYFUNCTION("""COMPUTED_VALUE"""),16)</f>
        <v>16</v>
      </c>
      <c r="D332" s="1">
        <f ca="1">IFERROR(__xludf.DUMMYFUNCTION("""COMPUTED_VALUE"""),14)</f>
        <v>14</v>
      </c>
      <c r="E332" s="1">
        <f ca="1">IFERROR(__xludf.DUMMYFUNCTION("""COMPUTED_VALUE"""),0.533)</f>
        <v>0.53300000000000003</v>
      </c>
      <c r="F332" s="1">
        <f ca="1">IFERROR(__xludf.DUMMYFUNCTION("""COMPUTED_VALUE"""),-8.06)</f>
        <v>-8.06</v>
      </c>
      <c r="G332" s="1">
        <f ca="1">IFERROR(__xludf.DUMMYFUNCTION("""COMPUTED_VALUE"""),-3.97)</f>
        <v>-3.97</v>
      </c>
      <c r="H332" s="1">
        <f ca="1">IFERROR(__xludf.DUMMYFUNCTION("""COMPUTED_VALUE"""),8)</f>
        <v>8</v>
      </c>
      <c r="I332" s="1">
        <f ca="1">IFERROR(__xludf.DUMMYFUNCTION("""COMPUTED_VALUE"""),8)</f>
        <v>8</v>
      </c>
      <c r="J332" s="1">
        <f ca="1">IFERROR(__xludf.DUMMYFUNCTION("""COMPUTED_VALUE"""),11)</f>
        <v>11</v>
      </c>
      <c r="K332" s="1">
        <f ca="1">IFERROR(__xludf.DUMMYFUNCTION("""COMPUTED_VALUE"""),5)</f>
        <v>5</v>
      </c>
      <c r="L332" s="1">
        <f ca="1">IFERROR(__xludf.DUMMYFUNCTION("""COMPUTED_VALUE"""),4)</f>
        <v>4</v>
      </c>
      <c r="M332" s="1">
        <f ca="1">IFERROR(__xludf.DUMMYFUNCTION("""COMPUTED_VALUE"""),7)</f>
        <v>7</v>
      </c>
      <c r="N332" s="1">
        <f ca="1">IFERROR(__xludf.DUMMYFUNCTION("""COMPUTED_VALUE"""),2216)</f>
        <v>2216</v>
      </c>
      <c r="O332" s="1">
        <f ca="1">IFERROR(__xludf.DUMMYFUNCTION("""COMPUTED_VALUE"""),2205)</f>
        <v>2205</v>
      </c>
      <c r="P332" s="1">
        <f ca="1">IFERROR(__xludf.DUMMYFUNCTION("""COMPUTED_VALUE"""),1220)</f>
        <v>1220</v>
      </c>
      <c r="Q332" s="1">
        <f ca="1">IFERROR(__xludf.DUMMYFUNCTION("""COMPUTED_VALUE"""),745)</f>
        <v>745</v>
      </c>
      <c r="R332" s="1">
        <f ca="1">IFERROR(__xludf.DUMMYFUNCTION("""COMPUTED_VALUE"""),1739)</f>
        <v>1739</v>
      </c>
      <c r="S332" s="1">
        <f ca="1">IFERROR(__xludf.DUMMYFUNCTION("""COMPUTED_VALUE"""),0.428)</f>
        <v>0.42799999999999999</v>
      </c>
      <c r="T332" s="1">
        <f ca="1">IFERROR(__xludf.DUMMYFUNCTION("""COMPUTED_VALUE"""),196)</f>
        <v>196</v>
      </c>
      <c r="U332" s="1">
        <f ca="1">IFERROR(__xludf.DUMMYFUNCTION("""COMPUTED_VALUE"""),591)</f>
        <v>591</v>
      </c>
      <c r="V332" s="1">
        <f ca="1">IFERROR(__xludf.DUMMYFUNCTION("""COMPUTED_VALUE"""),0.332)</f>
        <v>0.33200000000000002</v>
      </c>
      <c r="W332" s="1">
        <f ca="1">IFERROR(__xludf.DUMMYFUNCTION("""COMPUTED_VALUE"""),530)</f>
        <v>530</v>
      </c>
      <c r="X332" s="1">
        <f ca="1">IFERROR(__xludf.DUMMYFUNCTION("""COMPUTED_VALUE"""),770)</f>
        <v>770</v>
      </c>
      <c r="Y332" s="1">
        <f ca="1">IFERROR(__xludf.DUMMYFUNCTION("""COMPUTED_VALUE"""),0.688)</f>
        <v>0.68799999999999994</v>
      </c>
      <c r="Z332" s="1">
        <f ca="1">IFERROR(__xludf.DUMMYFUNCTION("""COMPUTED_VALUE"""),367)</f>
        <v>367</v>
      </c>
      <c r="AA332" s="1">
        <f ca="1">IFERROR(__xludf.DUMMYFUNCTION("""COMPUTED_VALUE"""),1082)</f>
        <v>1082</v>
      </c>
      <c r="AB332" s="1">
        <f ca="1">IFERROR(__xludf.DUMMYFUNCTION("""COMPUTED_VALUE"""),364)</f>
        <v>364</v>
      </c>
      <c r="AC332" s="1">
        <f ca="1">IFERROR(__xludf.DUMMYFUNCTION("""COMPUTED_VALUE"""),208)</f>
        <v>208</v>
      </c>
      <c r="AD332" s="1">
        <f ca="1">IFERROR(__xludf.DUMMYFUNCTION("""COMPUTED_VALUE"""),108)</f>
        <v>108</v>
      </c>
      <c r="AE332" s="1">
        <f ca="1">IFERROR(__xludf.DUMMYFUNCTION("""COMPUTED_VALUE"""),452)</f>
        <v>452</v>
      </c>
      <c r="AF332" s="1">
        <f ca="1">IFERROR(__xludf.DUMMYFUNCTION("""COMPUTED_VALUE"""),705)</f>
        <v>705</v>
      </c>
    </row>
    <row r="333" spans="1:32" ht="12.5" x14ac:dyDescent="0.25">
      <c r="A333" s="1" t="str">
        <f ca="1">IFERROR(__xludf.DUMMYFUNCTION("""COMPUTED_VALUE"""),"Texas Christian")</f>
        <v>Texas Christian</v>
      </c>
      <c r="B333" s="1">
        <f ca="1">IFERROR(__xludf.DUMMYFUNCTION("""COMPUTED_VALUE"""),32)</f>
        <v>32</v>
      </c>
      <c r="C333" s="1">
        <f ca="1">IFERROR(__xludf.DUMMYFUNCTION("""COMPUTED_VALUE"""),13)</f>
        <v>13</v>
      </c>
      <c r="D333" s="1">
        <f ca="1">IFERROR(__xludf.DUMMYFUNCTION("""COMPUTED_VALUE"""),19)</f>
        <v>19</v>
      </c>
      <c r="E333" s="1">
        <f ca="1">IFERROR(__xludf.DUMMYFUNCTION("""COMPUTED_VALUE"""),0.406)</f>
        <v>0.40600000000000003</v>
      </c>
      <c r="F333" s="1">
        <f ca="1">IFERROR(__xludf.DUMMYFUNCTION("""COMPUTED_VALUE"""),-0.25)</f>
        <v>-0.25</v>
      </c>
      <c r="G333" s="1">
        <f ca="1">IFERROR(__xludf.DUMMYFUNCTION("""COMPUTED_VALUE"""),4.15)</f>
        <v>4.1500000000000004</v>
      </c>
      <c r="H333" s="1">
        <f ca="1">IFERROR(__xludf.DUMMYFUNCTION("""COMPUTED_VALUE"""),5)</f>
        <v>5</v>
      </c>
      <c r="I333" s="1">
        <f ca="1">IFERROR(__xludf.DUMMYFUNCTION("""COMPUTED_VALUE"""),11)</f>
        <v>11</v>
      </c>
      <c r="J333" s="1">
        <f ca="1">IFERROR(__xludf.DUMMYFUNCTION("""COMPUTED_VALUE"""),9)</f>
        <v>9</v>
      </c>
      <c r="K333" s="1">
        <f ca="1">IFERROR(__xludf.DUMMYFUNCTION("""COMPUTED_VALUE"""),8)</f>
        <v>8</v>
      </c>
      <c r="L333" s="1">
        <f ca="1">IFERROR(__xludf.DUMMYFUNCTION("""COMPUTED_VALUE"""),3)</f>
        <v>3</v>
      </c>
      <c r="M333" s="1">
        <f ca="1">IFERROR(__xludf.DUMMYFUNCTION("""COMPUTED_VALUE"""),10)</f>
        <v>10</v>
      </c>
      <c r="N333" s="1">
        <f ca="1">IFERROR(__xludf.DUMMYFUNCTION("""COMPUTED_VALUE"""),2169)</f>
        <v>2169</v>
      </c>
      <c r="O333" s="1">
        <f ca="1">IFERROR(__xludf.DUMMYFUNCTION("""COMPUTED_VALUE"""),2269)</f>
        <v>2269</v>
      </c>
      <c r="P333" s="1">
        <f ca="1">IFERROR(__xludf.DUMMYFUNCTION("""COMPUTED_VALUE"""),1295)</f>
        <v>1295</v>
      </c>
      <c r="Q333" s="1">
        <f ca="1">IFERROR(__xludf.DUMMYFUNCTION("""COMPUTED_VALUE"""),759)</f>
        <v>759</v>
      </c>
      <c r="R333" s="1">
        <f ca="1">IFERROR(__xludf.DUMMYFUNCTION("""COMPUTED_VALUE"""),1707)</f>
        <v>1707</v>
      </c>
      <c r="S333" s="1">
        <f ca="1">IFERROR(__xludf.DUMMYFUNCTION("""COMPUTED_VALUE"""),0.445)</f>
        <v>0.44500000000000001</v>
      </c>
      <c r="T333" s="1">
        <f ca="1">IFERROR(__xludf.DUMMYFUNCTION("""COMPUTED_VALUE"""),248)</f>
        <v>248</v>
      </c>
      <c r="U333" s="1">
        <f ca="1">IFERROR(__xludf.DUMMYFUNCTION("""COMPUTED_VALUE"""),704)</f>
        <v>704</v>
      </c>
      <c r="V333" s="1">
        <f ca="1">IFERROR(__xludf.DUMMYFUNCTION("""COMPUTED_VALUE"""),0.352)</f>
        <v>0.35199999999999998</v>
      </c>
      <c r="W333" s="1">
        <f ca="1">IFERROR(__xludf.DUMMYFUNCTION("""COMPUTED_VALUE"""),403)</f>
        <v>403</v>
      </c>
      <c r="X333" s="1">
        <f ca="1">IFERROR(__xludf.DUMMYFUNCTION("""COMPUTED_VALUE"""),576)</f>
        <v>576</v>
      </c>
      <c r="Y333" s="1">
        <f ca="1">IFERROR(__xludf.DUMMYFUNCTION("""COMPUTED_VALUE"""),0.7)</f>
        <v>0.7</v>
      </c>
      <c r="Z333" s="1">
        <f ca="1">IFERROR(__xludf.DUMMYFUNCTION("""COMPUTED_VALUE"""),297)</f>
        <v>297</v>
      </c>
      <c r="AA333" s="1">
        <f ca="1">IFERROR(__xludf.DUMMYFUNCTION("""COMPUTED_VALUE"""),1021)</f>
        <v>1021</v>
      </c>
      <c r="AB333" s="1">
        <f ca="1">IFERROR(__xludf.DUMMYFUNCTION("""COMPUTED_VALUE"""),441)</f>
        <v>441</v>
      </c>
      <c r="AC333" s="1">
        <f ca="1">IFERROR(__xludf.DUMMYFUNCTION("""COMPUTED_VALUE"""),169)</f>
        <v>169</v>
      </c>
      <c r="AD333" s="1">
        <f ca="1">IFERROR(__xludf.DUMMYFUNCTION("""COMPUTED_VALUE"""),61)</f>
        <v>61</v>
      </c>
      <c r="AE333" s="1">
        <f ca="1">IFERROR(__xludf.DUMMYFUNCTION("""COMPUTED_VALUE"""),449)</f>
        <v>449</v>
      </c>
      <c r="AF333" s="1">
        <f ca="1">IFERROR(__xludf.DUMMYFUNCTION("""COMPUTED_VALUE"""),612)</f>
        <v>612</v>
      </c>
    </row>
    <row r="334" spans="1:32" ht="12.5" x14ac:dyDescent="0.25">
      <c r="A334" s="1" t="str">
        <f ca="1">IFERROR(__xludf.DUMMYFUNCTION("""COMPUTED_VALUE"""),"Texas-El PasoNCAA")</f>
        <v>Texas-El PasoNCAA</v>
      </c>
      <c r="B334" s="1">
        <f ca="1">IFERROR(__xludf.DUMMYFUNCTION("""COMPUTED_VALUE"""),33)</f>
        <v>33</v>
      </c>
      <c r="C334" s="1">
        <f ca="1">IFERROR(__xludf.DUMMYFUNCTION("""COMPUTED_VALUE"""),26)</f>
        <v>26</v>
      </c>
      <c r="D334" s="1">
        <f ca="1">IFERROR(__xludf.DUMMYFUNCTION("""COMPUTED_VALUE"""),7)</f>
        <v>7</v>
      </c>
      <c r="E334" s="1">
        <f ca="1">IFERROR(__xludf.DUMMYFUNCTION("""COMPUTED_VALUE"""),0.788)</f>
        <v>0.78800000000000003</v>
      </c>
      <c r="F334" s="1">
        <f ca="1">IFERROR(__xludf.DUMMYFUNCTION("""COMPUTED_VALUE"""),12.66)</f>
        <v>12.66</v>
      </c>
      <c r="G334" s="1">
        <f ca="1">IFERROR(__xludf.DUMMYFUNCTION("""COMPUTED_VALUE"""),1.96)</f>
        <v>1.96</v>
      </c>
      <c r="H334" s="1">
        <f ca="1">IFERROR(__xludf.DUMMYFUNCTION("""COMPUTED_VALUE"""),15)</f>
        <v>15</v>
      </c>
      <c r="I334" s="1">
        <f ca="1">IFERROR(__xludf.DUMMYFUNCTION("""COMPUTED_VALUE"""),1)</f>
        <v>1</v>
      </c>
      <c r="J334" s="1">
        <f ca="1">IFERROR(__xludf.DUMMYFUNCTION("""COMPUTED_VALUE"""),15)</f>
        <v>15</v>
      </c>
      <c r="K334" s="1">
        <f ca="1">IFERROR(__xludf.DUMMYFUNCTION("""COMPUTED_VALUE"""),2)</f>
        <v>2</v>
      </c>
      <c r="L334" s="1">
        <f ca="1">IFERROR(__xludf.DUMMYFUNCTION("""COMPUTED_VALUE"""),8)</f>
        <v>8</v>
      </c>
      <c r="M334" s="1">
        <f ca="1">IFERROR(__xludf.DUMMYFUNCTION("""COMPUTED_VALUE"""),2)</f>
        <v>2</v>
      </c>
      <c r="N334" s="1">
        <f ca="1">IFERROR(__xludf.DUMMYFUNCTION("""COMPUTED_VALUE"""),2484)</f>
        <v>2484</v>
      </c>
      <c r="O334" s="1">
        <f ca="1">IFERROR(__xludf.DUMMYFUNCTION("""COMPUTED_VALUE"""),2131)</f>
        <v>2131</v>
      </c>
      <c r="P334" s="1">
        <f ca="1">IFERROR(__xludf.DUMMYFUNCTION("""COMPUTED_VALUE"""),1335)</f>
        <v>1335</v>
      </c>
      <c r="Q334" s="1">
        <f ca="1">IFERROR(__xludf.DUMMYFUNCTION("""COMPUTED_VALUE"""),891)</f>
        <v>891</v>
      </c>
      <c r="R334" s="1">
        <f ca="1">IFERROR(__xludf.DUMMYFUNCTION("""COMPUTED_VALUE"""),1879)</f>
        <v>1879</v>
      </c>
      <c r="S334" s="1">
        <f ca="1">IFERROR(__xludf.DUMMYFUNCTION("""COMPUTED_VALUE"""),0.474)</f>
        <v>0.47399999999999998</v>
      </c>
      <c r="T334" s="1">
        <f ca="1">IFERROR(__xludf.DUMMYFUNCTION("""COMPUTED_VALUE"""),201)</f>
        <v>201</v>
      </c>
      <c r="U334" s="1">
        <f ca="1">IFERROR(__xludf.DUMMYFUNCTION("""COMPUTED_VALUE"""),586)</f>
        <v>586</v>
      </c>
      <c r="V334" s="1">
        <f ca="1">IFERROR(__xludf.DUMMYFUNCTION("""COMPUTED_VALUE"""),0.343)</f>
        <v>0.34300000000000003</v>
      </c>
      <c r="W334" s="1">
        <f ca="1">IFERROR(__xludf.DUMMYFUNCTION("""COMPUTED_VALUE"""),501)</f>
        <v>501</v>
      </c>
      <c r="X334" s="1">
        <f ca="1">IFERROR(__xludf.DUMMYFUNCTION("""COMPUTED_VALUE"""),744)</f>
        <v>744</v>
      </c>
      <c r="Y334" s="1">
        <f ca="1">IFERROR(__xludf.DUMMYFUNCTION("""COMPUTED_VALUE"""),0.673)</f>
        <v>0.67300000000000004</v>
      </c>
      <c r="Z334" s="1">
        <f ca="1">IFERROR(__xludf.DUMMYFUNCTION("""COMPUTED_VALUE"""),323)</f>
        <v>323</v>
      </c>
      <c r="AA334" s="1">
        <f ca="1">IFERROR(__xludf.DUMMYFUNCTION("""COMPUTED_VALUE"""),1193)</f>
        <v>1193</v>
      </c>
      <c r="AB334" s="1">
        <f ca="1">IFERROR(__xludf.DUMMYFUNCTION("""COMPUTED_VALUE"""),488)</f>
        <v>488</v>
      </c>
      <c r="AC334" s="1">
        <f ca="1">IFERROR(__xludf.DUMMYFUNCTION("""COMPUTED_VALUE"""),288)</f>
        <v>288</v>
      </c>
      <c r="AD334" s="1">
        <f ca="1">IFERROR(__xludf.DUMMYFUNCTION("""COMPUTED_VALUE"""),120)</f>
        <v>120</v>
      </c>
      <c r="AE334" s="1">
        <f ca="1">IFERROR(__xludf.DUMMYFUNCTION("""COMPUTED_VALUE"""),435)</f>
        <v>435</v>
      </c>
      <c r="AF334" s="1">
        <f ca="1">IFERROR(__xludf.DUMMYFUNCTION("""COMPUTED_VALUE"""),643)</f>
        <v>643</v>
      </c>
    </row>
    <row r="335" spans="1:32" ht="12.5" x14ac:dyDescent="0.25">
      <c r="A335" s="1" t="str">
        <f ca="1">IFERROR(__xludf.DUMMYFUNCTION("""COMPUTED_VALUE"""),"Texas-Rio Grande Valley")</f>
        <v>Texas-Rio Grande Valley</v>
      </c>
      <c r="B335" s="1">
        <f ca="1">IFERROR(__xludf.DUMMYFUNCTION("""COMPUTED_VALUE"""),33)</f>
        <v>33</v>
      </c>
      <c r="C335" s="1">
        <f ca="1">IFERROR(__xludf.DUMMYFUNCTION("""COMPUTED_VALUE"""),6)</f>
        <v>6</v>
      </c>
      <c r="D335" s="1">
        <f ca="1">IFERROR(__xludf.DUMMYFUNCTION("""COMPUTED_VALUE"""),27)</f>
        <v>27</v>
      </c>
      <c r="E335" s="1">
        <f ca="1">IFERROR(__xludf.DUMMYFUNCTION("""COMPUTED_VALUE"""),0.182)</f>
        <v>0.182</v>
      </c>
      <c r="F335" s="1">
        <f ca="1">IFERROR(__xludf.DUMMYFUNCTION("""COMPUTED_VALUE"""),-17.31)</f>
        <v>-17.309999999999999</v>
      </c>
      <c r="G335" s="1">
        <f ca="1">IFERROR(__xludf.DUMMYFUNCTION("""COMPUTED_VALUE"""),-4.47)</f>
        <v>-4.47</v>
      </c>
      <c r="H335" s="1">
        <f ca="1">IFERROR(__xludf.DUMMYFUNCTION("""COMPUTED_VALUE"""),4)</f>
        <v>4</v>
      </c>
      <c r="I335" s="1">
        <f ca="1">IFERROR(__xludf.DUMMYFUNCTION("""COMPUTED_VALUE"""),8)</f>
        <v>8</v>
      </c>
      <c r="J335" s="1">
        <f ca="1">IFERROR(__xludf.DUMMYFUNCTION("""COMPUTED_VALUE"""),3)</f>
        <v>3</v>
      </c>
      <c r="K335" s="1">
        <f ca="1">IFERROR(__xludf.DUMMYFUNCTION("""COMPUTED_VALUE"""),7)</f>
        <v>7</v>
      </c>
      <c r="L335" s="1">
        <f ca="1">IFERROR(__xludf.DUMMYFUNCTION("""COMPUTED_VALUE"""),2)</f>
        <v>2</v>
      </c>
      <c r="M335" s="1">
        <f ca="1">IFERROR(__xludf.DUMMYFUNCTION("""COMPUTED_VALUE"""),18)</f>
        <v>18</v>
      </c>
      <c r="N335" s="1">
        <f ca="1">IFERROR(__xludf.DUMMYFUNCTION("""COMPUTED_VALUE"""),2019)</f>
        <v>2019</v>
      </c>
      <c r="O335" s="1">
        <f ca="1">IFERROR(__xludf.DUMMYFUNCTION("""COMPUTED_VALUE"""),2382)</f>
        <v>2382</v>
      </c>
      <c r="P335" s="1">
        <f ca="1">IFERROR(__xludf.DUMMYFUNCTION("""COMPUTED_VALUE"""),1340)</f>
        <v>1340</v>
      </c>
      <c r="Q335" s="1">
        <f ca="1">IFERROR(__xludf.DUMMYFUNCTION("""COMPUTED_VALUE"""),693)</f>
        <v>693</v>
      </c>
      <c r="R335" s="1">
        <f ca="1">IFERROR(__xludf.DUMMYFUNCTION("""COMPUTED_VALUE"""),1781)</f>
        <v>1781</v>
      </c>
      <c r="S335" s="1">
        <f ca="1">IFERROR(__xludf.DUMMYFUNCTION("""COMPUTED_VALUE"""),0.389)</f>
        <v>0.38900000000000001</v>
      </c>
      <c r="T335" s="1">
        <f ca="1">IFERROR(__xludf.DUMMYFUNCTION("""COMPUTED_VALUE"""),211)</f>
        <v>211</v>
      </c>
      <c r="U335" s="1">
        <f ca="1">IFERROR(__xludf.DUMMYFUNCTION("""COMPUTED_VALUE"""),669)</f>
        <v>669</v>
      </c>
      <c r="V335" s="1">
        <f ca="1">IFERROR(__xludf.DUMMYFUNCTION("""COMPUTED_VALUE"""),0.315)</f>
        <v>0.315</v>
      </c>
      <c r="W335" s="1">
        <f ca="1">IFERROR(__xludf.DUMMYFUNCTION("""COMPUTED_VALUE"""),422)</f>
        <v>422</v>
      </c>
      <c r="X335" s="1">
        <f ca="1">IFERROR(__xludf.DUMMYFUNCTION("""COMPUTED_VALUE"""),655)</f>
        <v>655</v>
      </c>
      <c r="Y335" s="1">
        <f ca="1">IFERROR(__xludf.DUMMYFUNCTION("""COMPUTED_VALUE"""),0.644)</f>
        <v>0.64400000000000002</v>
      </c>
      <c r="Z335" s="1">
        <f ca="1">IFERROR(__xludf.DUMMYFUNCTION("""COMPUTED_VALUE"""),292)</f>
        <v>292</v>
      </c>
      <c r="AA335" s="1">
        <f ca="1">IFERROR(__xludf.DUMMYFUNCTION("""COMPUTED_VALUE"""),1005)</f>
        <v>1005</v>
      </c>
      <c r="AB335" s="1">
        <f ca="1">IFERROR(__xludf.DUMMYFUNCTION("""COMPUTED_VALUE"""),379)</f>
        <v>379</v>
      </c>
      <c r="AC335" s="1">
        <f ca="1">IFERROR(__xludf.DUMMYFUNCTION("""COMPUTED_VALUE"""),218)</f>
        <v>218</v>
      </c>
      <c r="AD335" s="1">
        <f ca="1">IFERROR(__xludf.DUMMYFUNCTION("""COMPUTED_VALUE"""),48)</f>
        <v>48</v>
      </c>
      <c r="AE335" s="1">
        <f ca="1">IFERROR(__xludf.DUMMYFUNCTION("""COMPUTED_VALUE"""),473)</f>
        <v>473</v>
      </c>
      <c r="AF335" s="1">
        <f ca="1">IFERROR(__xludf.DUMMYFUNCTION("""COMPUTED_VALUE"""),668)</f>
        <v>668</v>
      </c>
    </row>
    <row r="336" spans="1:32" ht="12.5" x14ac:dyDescent="0.25">
      <c r="A336" s="1" t="str">
        <f ca="1">IFERROR(__xludf.DUMMYFUNCTION("""COMPUTED_VALUE"""),"Texas-San Antonio")</f>
        <v>Texas-San Antonio</v>
      </c>
      <c r="B336" s="1">
        <f ca="1">IFERROR(__xludf.DUMMYFUNCTION("""COMPUTED_VALUE"""),30)</f>
        <v>30</v>
      </c>
      <c r="C336" s="1">
        <f ca="1">IFERROR(__xludf.DUMMYFUNCTION("""COMPUTED_VALUE"""),19)</f>
        <v>19</v>
      </c>
      <c r="D336" s="1">
        <f ca="1">IFERROR(__xludf.DUMMYFUNCTION("""COMPUTED_VALUE"""),11)</f>
        <v>11</v>
      </c>
      <c r="E336" s="1">
        <f ca="1">IFERROR(__xludf.DUMMYFUNCTION("""COMPUTED_VALUE"""),0.633)</f>
        <v>0.63300000000000001</v>
      </c>
      <c r="F336" s="1">
        <f ca="1">IFERROR(__xludf.DUMMYFUNCTION("""COMPUTED_VALUE"""),-2.9)</f>
        <v>-2.9</v>
      </c>
      <c r="G336" s="1">
        <f ca="1">IFERROR(__xludf.DUMMYFUNCTION("""COMPUTED_VALUE"""),-5.44)</f>
        <v>-5.44</v>
      </c>
      <c r="H336" s="1">
        <f ca="1">IFERROR(__xludf.DUMMYFUNCTION("""COMPUTED_VALUE"""),9)</f>
        <v>9</v>
      </c>
      <c r="I336" s="1">
        <f ca="1">IFERROR(__xludf.DUMMYFUNCTION("""COMPUTED_VALUE"""),7)</f>
        <v>7</v>
      </c>
      <c r="J336" s="1">
        <f ca="1">IFERROR(__xludf.DUMMYFUNCTION("""COMPUTED_VALUE"""),11)</f>
        <v>11</v>
      </c>
      <c r="K336" s="1">
        <f ca="1">IFERROR(__xludf.DUMMYFUNCTION("""COMPUTED_VALUE"""),3)</f>
        <v>3</v>
      </c>
      <c r="L336" s="1">
        <f ca="1">IFERROR(__xludf.DUMMYFUNCTION("""COMPUTED_VALUE"""),6)</f>
        <v>6</v>
      </c>
      <c r="M336" s="1">
        <f ca="1">IFERROR(__xludf.DUMMYFUNCTION("""COMPUTED_VALUE"""),7)</f>
        <v>7</v>
      </c>
      <c r="N336" s="1">
        <f ca="1">IFERROR(__xludf.DUMMYFUNCTION("""COMPUTED_VALUE"""),2121)</f>
        <v>2121</v>
      </c>
      <c r="O336" s="1">
        <f ca="1">IFERROR(__xludf.DUMMYFUNCTION("""COMPUTED_VALUE"""),1983)</f>
        <v>1983</v>
      </c>
      <c r="P336" s="1">
        <f ca="1">IFERROR(__xludf.DUMMYFUNCTION("""COMPUTED_VALUE"""),1210)</f>
        <v>1210</v>
      </c>
      <c r="Q336" s="1">
        <f ca="1">IFERROR(__xludf.DUMMYFUNCTION("""COMPUTED_VALUE"""),740)</f>
        <v>740</v>
      </c>
      <c r="R336" s="1">
        <f ca="1">IFERROR(__xludf.DUMMYFUNCTION("""COMPUTED_VALUE"""),1683)</f>
        <v>1683</v>
      </c>
      <c r="S336" s="1">
        <f ca="1">IFERROR(__xludf.DUMMYFUNCTION("""COMPUTED_VALUE"""),0.44)</f>
        <v>0.44</v>
      </c>
      <c r="T336" s="1">
        <f ca="1">IFERROR(__xludf.DUMMYFUNCTION("""COMPUTED_VALUE"""),190)</f>
        <v>190</v>
      </c>
      <c r="U336" s="1">
        <f ca="1">IFERROR(__xludf.DUMMYFUNCTION("""COMPUTED_VALUE"""),523)</f>
        <v>523</v>
      </c>
      <c r="V336" s="1">
        <f ca="1">IFERROR(__xludf.DUMMYFUNCTION("""COMPUTED_VALUE"""),0.363)</f>
        <v>0.36299999999999999</v>
      </c>
      <c r="W336" s="1">
        <f ca="1">IFERROR(__xludf.DUMMYFUNCTION("""COMPUTED_VALUE"""),451)</f>
        <v>451</v>
      </c>
      <c r="X336" s="1">
        <f ca="1">IFERROR(__xludf.DUMMYFUNCTION("""COMPUTED_VALUE"""),593)</f>
        <v>593</v>
      </c>
      <c r="Y336" s="1">
        <f ca="1">IFERROR(__xludf.DUMMYFUNCTION("""COMPUTED_VALUE"""),0.761)</f>
        <v>0.76100000000000001</v>
      </c>
      <c r="Z336" s="1">
        <f ca="1">IFERROR(__xludf.DUMMYFUNCTION("""COMPUTED_VALUE"""),342)</f>
        <v>342</v>
      </c>
      <c r="AA336" s="1">
        <f ca="1">IFERROR(__xludf.DUMMYFUNCTION("""COMPUTED_VALUE"""),1029)</f>
        <v>1029</v>
      </c>
      <c r="AB336" s="1">
        <f ca="1">IFERROR(__xludf.DUMMYFUNCTION("""COMPUTED_VALUE"""),352)</f>
        <v>352</v>
      </c>
      <c r="AC336" s="1">
        <f ca="1">IFERROR(__xludf.DUMMYFUNCTION("""COMPUTED_VALUE"""),199)</f>
        <v>199</v>
      </c>
      <c r="AD336" s="1">
        <f ca="1">IFERROR(__xludf.DUMMYFUNCTION("""COMPUTED_VALUE"""),50)</f>
        <v>50</v>
      </c>
      <c r="AE336" s="1">
        <f ca="1">IFERROR(__xludf.DUMMYFUNCTION("""COMPUTED_VALUE"""),347)</f>
        <v>347</v>
      </c>
      <c r="AF336" s="1">
        <f ca="1">IFERROR(__xludf.DUMMYFUNCTION("""COMPUTED_VALUE"""),499)</f>
        <v>499</v>
      </c>
    </row>
    <row r="337" spans="1:32" ht="12.5" x14ac:dyDescent="0.25">
      <c r="A337" s="1" t="str">
        <f ca="1">IFERROR(__xludf.DUMMYFUNCTION("""COMPUTED_VALUE"""),"Texas Southern")</f>
        <v>Texas Southern</v>
      </c>
      <c r="B337" s="1">
        <f ca="1">IFERROR(__xludf.DUMMYFUNCTION("""COMPUTED_VALUE"""),33)</f>
        <v>33</v>
      </c>
      <c r="C337" s="1">
        <f ca="1">IFERROR(__xludf.DUMMYFUNCTION("""COMPUTED_VALUE"""),17)</f>
        <v>17</v>
      </c>
      <c r="D337" s="1">
        <f ca="1">IFERROR(__xludf.DUMMYFUNCTION("""COMPUTED_VALUE"""),16)</f>
        <v>16</v>
      </c>
      <c r="E337" s="1">
        <f ca="1">IFERROR(__xludf.DUMMYFUNCTION("""COMPUTED_VALUE"""),0.515)</f>
        <v>0.51500000000000001</v>
      </c>
      <c r="F337" s="1">
        <f ca="1">IFERROR(__xludf.DUMMYFUNCTION("""COMPUTED_VALUE"""),-11.12)</f>
        <v>-11.12</v>
      </c>
      <c r="G337" s="1">
        <f ca="1">IFERROR(__xludf.DUMMYFUNCTION("""COMPUTED_VALUE"""),-11.38)</f>
        <v>-11.38</v>
      </c>
      <c r="H337" s="1">
        <f ca="1">IFERROR(__xludf.DUMMYFUNCTION("""COMPUTED_VALUE"""),11)</f>
        <v>11</v>
      </c>
      <c r="I337" s="1">
        <f ca="1">IFERROR(__xludf.DUMMYFUNCTION("""COMPUTED_VALUE"""),7)</f>
        <v>7</v>
      </c>
      <c r="J337" s="1">
        <f ca="1">IFERROR(__xludf.DUMMYFUNCTION("""COMPUTED_VALUE"""),8)</f>
        <v>8</v>
      </c>
      <c r="K337" s="1">
        <f ca="1">IFERROR(__xludf.DUMMYFUNCTION("""COMPUTED_VALUE"""),3)</f>
        <v>3</v>
      </c>
      <c r="L337" s="1">
        <f ca="1">IFERROR(__xludf.DUMMYFUNCTION("""COMPUTED_VALUE"""),5)</f>
        <v>5</v>
      </c>
      <c r="M337" s="1">
        <f ca="1">IFERROR(__xludf.DUMMYFUNCTION("""COMPUTED_VALUE"""),11)</f>
        <v>11</v>
      </c>
      <c r="N337" s="1">
        <f ca="1">IFERROR(__xludf.DUMMYFUNCTION("""COMPUTED_VALUE"""),2241)</f>
        <v>2241</v>
      </c>
      <c r="O337" s="1">
        <f ca="1">IFERROR(__xludf.DUMMYFUNCTION("""COMPUTED_VALUE"""),2167)</f>
        <v>2167</v>
      </c>
      <c r="P337" s="1">
        <f ca="1">IFERROR(__xludf.DUMMYFUNCTION("""COMPUTED_VALUE"""),1330)</f>
        <v>1330</v>
      </c>
      <c r="Q337" s="1">
        <f ca="1">IFERROR(__xludf.DUMMYFUNCTION("""COMPUTED_VALUE"""),822)</f>
        <v>822</v>
      </c>
      <c r="R337" s="1">
        <f ca="1">IFERROR(__xludf.DUMMYFUNCTION("""COMPUTED_VALUE"""),1765)</f>
        <v>1765</v>
      </c>
      <c r="S337" s="1">
        <f ca="1">IFERROR(__xludf.DUMMYFUNCTION("""COMPUTED_VALUE"""),0.466)</f>
        <v>0.46600000000000003</v>
      </c>
      <c r="T337" s="1">
        <f ca="1">IFERROR(__xludf.DUMMYFUNCTION("""COMPUTED_VALUE"""),140)</f>
        <v>140</v>
      </c>
      <c r="U337" s="1">
        <f ca="1">IFERROR(__xludf.DUMMYFUNCTION("""COMPUTED_VALUE"""),461)</f>
        <v>461</v>
      </c>
      <c r="V337" s="1">
        <f ca="1">IFERROR(__xludf.DUMMYFUNCTION("""COMPUTED_VALUE"""),0.304)</f>
        <v>0.30399999999999999</v>
      </c>
      <c r="W337" s="1">
        <f ca="1">IFERROR(__xludf.DUMMYFUNCTION("""COMPUTED_VALUE"""),457)</f>
        <v>457</v>
      </c>
      <c r="X337" s="1">
        <f ca="1">IFERROR(__xludf.DUMMYFUNCTION("""COMPUTED_VALUE"""),722)</f>
        <v>722</v>
      </c>
      <c r="Y337" s="1">
        <f ca="1">IFERROR(__xludf.DUMMYFUNCTION("""COMPUTED_VALUE"""),0.633)</f>
        <v>0.63300000000000001</v>
      </c>
      <c r="Z337" s="1">
        <f ca="1">IFERROR(__xludf.DUMMYFUNCTION("""COMPUTED_VALUE"""),362)</f>
        <v>362</v>
      </c>
      <c r="AA337" s="1">
        <f ca="1">IFERROR(__xludf.DUMMYFUNCTION("""COMPUTED_VALUE"""),1104)</f>
        <v>1104</v>
      </c>
      <c r="AB337" s="1">
        <f ca="1">IFERROR(__xludf.DUMMYFUNCTION("""COMPUTED_VALUE"""),402)</f>
        <v>402</v>
      </c>
      <c r="AC337" s="1">
        <f ca="1">IFERROR(__xludf.DUMMYFUNCTION("""COMPUTED_VALUE"""),341)</f>
        <v>341</v>
      </c>
      <c r="AD337" s="1">
        <f ca="1">IFERROR(__xludf.DUMMYFUNCTION("""COMPUTED_VALUE"""),122)</f>
        <v>122</v>
      </c>
      <c r="AE337" s="1">
        <f ca="1">IFERROR(__xludf.DUMMYFUNCTION("""COMPUTED_VALUE"""),574)</f>
        <v>574</v>
      </c>
      <c r="AF337" s="1">
        <f ca="1">IFERROR(__xludf.DUMMYFUNCTION("""COMPUTED_VALUE"""),690)</f>
        <v>690</v>
      </c>
    </row>
    <row r="338" spans="1:32" ht="12.5" x14ac:dyDescent="0.25">
      <c r="A338" s="1" t="str">
        <f ca="1">IFERROR(__xludf.DUMMYFUNCTION("""COMPUTED_VALUE"""),"Texas State")</f>
        <v>Texas State</v>
      </c>
      <c r="B338" s="1">
        <f ca="1">IFERROR(__xludf.DUMMYFUNCTION("""COMPUTED_VALUE"""),31)</f>
        <v>31</v>
      </c>
      <c r="C338" s="1">
        <f ca="1">IFERROR(__xludf.DUMMYFUNCTION("""COMPUTED_VALUE"""),15)</f>
        <v>15</v>
      </c>
      <c r="D338" s="1">
        <f ca="1">IFERROR(__xludf.DUMMYFUNCTION("""COMPUTED_VALUE"""),16)</f>
        <v>16</v>
      </c>
      <c r="E338" s="1">
        <f ca="1">IFERROR(__xludf.DUMMYFUNCTION("""COMPUTED_VALUE"""),0.484)</f>
        <v>0.48399999999999999</v>
      </c>
      <c r="F338" s="1">
        <f ca="1">IFERROR(__xludf.DUMMYFUNCTION("""COMPUTED_VALUE"""),-7.38)</f>
        <v>-7.38</v>
      </c>
      <c r="G338" s="1">
        <f ca="1">IFERROR(__xludf.DUMMYFUNCTION("""COMPUTED_VALUE"""),-3.3)</f>
        <v>-3.3</v>
      </c>
      <c r="H338" s="1">
        <f ca="1">IFERROR(__xludf.DUMMYFUNCTION("""COMPUTED_VALUE"""),9)</f>
        <v>9</v>
      </c>
      <c r="I338" s="1">
        <f ca="1">IFERROR(__xludf.DUMMYFUNCTION("""COMPUTED_VALUE"""),7)</f>
        <v>7</v>
      </c>
      <c r="J338" s="1">
        <f ca="1">IFERROR(__xludf.DUMMYFUNCTION("""COMPUTED_VALUE"""),11)</f>
        <v>11</v>
      </c>
      <c r="K338" s="1">
        <f ca="1">IFERROR(__xludf.DUMMYFUNCTION("""COMPUTED_VALUE"""),3)</f>
        <v>3</v>
      </c>
      <c r="L338" s="1">
        <f ca="1">IFERROR(__xludf.DUMMYFUNCTION("""COMPUTED_VALUE"""),4)</f>
        <v>4</v>
      </c>
      <c r="M338" s="1">
        <f ca="1">IFERROR(__xludf.DUMMYFUNCTION("""COMPUTED_VALUE"""),10)</f>
        <v>10</v>
      </c>
      <c r="N338" s="1">
        <f ca="1">IFERROR(__xludf.DUMMYFUNCTION("""COMPUTED_VALUE"""),2392)</f>
        <v>2392</v>
      </c>
      <c r="O338" s="1">
        <f ca="1">IFERROR(__xludf.DUMMYFUNCTION("""COMPUTED_VALUE"""),2413)</f>
        <v>2413</v>
      </c>
      <c r="P338" s="1">
        <f ca="1">IFERROR(__xludf.DUMMYFUNCTION("""COMPUTED_VALUE"""),1270)</f>
        <v>1270</v>
      </c>
      <c r="Q338" s="1">
        <f ca="1">IFERROR(__xludf.DUMMYFUNCTION("""COMPUTED_VALUE"""),793)</f>
        <v>793</v>
      </c>
      <c r="R338" s="1">
        <f ca="1">IFERROR(__xludf.DUMMYFUNCTION("""COMPUTED_VALUE"""),1902)</f>
        <v>1902</v>
      </c>
      <c r="S338" s="1">
        <f ca="1">IFERROR(__xludf.DUMMYFUNCTION("""COMPUTED_VALUE"""),0.417)</f>
        <v>0.41699999999999998</v>
      </c>
      <c r="T338" s="1">
        <f ca="1">IFERROR(__xludf.DUMMYFUNCTION("""COMPUTED_VALUE"""),214)</f>
        <v>214</v>
      </c>
      <c r="U338" s="1">
        <f ca="1">IFERROR(__xludf.DUMMYFUNCTION("""COMPUTED_VALUE"""),644)</f>
        <v>644</v>
      </c>
      <c r="V338" s="1">
        <f ca="1">IFERROR(__xludf.DUMMYFUNCTION("""COMPUTED_VALUE"""),0.332)</f>
        <v>0.33200000000000002</v>
      </c>
      <c r="W338" s="1">
        <f ca="1">IFERROR(__xludf.DUMMYFUNCTION("""COMPUTED_VALUE"""),592)</f>
        <v>592</v>
      </c>
      <c r="X338" s="1">
        <f ca="1">IFERROR(__xludf.DUMMYFUNCTION("""COMPUTED_VALUE"""),886)</f>
        <v>886</v>
      </c>
      <c r="Y338" s="1">
        <f ca="1">IFERROR(__xludf.DUMMYFUNCTION("""COMPUTED_VALUE"""),0.668)</f>
        <v>0.66800000000000004</v>
      </c>
      <c r="Z338" s="1">
        <f ca="1">IFERROR(__xludf.DUMMYFUNCTION("""COMPUTED_VALUE"""),466)</f>
        <v>466</v>
      </c>
      <c r="AA338" s="1">
        <f ca="1">IFERROR(__xludf.DUMMYFUNCTION("""COMPUTED_VALUE"""),1226)</f>
        <v>1226</v>
      </c>
      <c r="AB338" s="1">
        <f ca="1">IFERROR(__xludf.DUMMYFUNCTION("""COMPUTED_VALUE"""),449)</f>
        <v>449</v>
      </c>
      <c r="AC338" s="1">
        <f ca="1">IFERROR(__xludf.DUMMYFUNCTION("""COMPUTED_VALUE"""),285)</f>
        <v>285</v>
      </c>
      <c r="AD338" s="1">
        <f ca="1">IFERROR(__xludf.DUMMYFUNCTION("""COMPUTED_VALUE"""),96)</f>
        <v>96</v>
      </c>
      <c r="AE338" s="1">
        <f ca="1">IFERROR(__xludf.DUMMYFUNCTION("""COMPUTED_VALUE"""),556)</f>
        <v>556</v>
      </c>
      <c r="AF338" s="1">
        <f ca="1">IFERROR(__xludf.DUMMYFUNCTION("""COMPUTED_VALUE"""),773)</f>
        <v>773</v>
      </c>
    </row>
    <row r="339" spans="1:32" ht="12.5" x14ac:dyDescent="0.25">
      <c r="A339" s="1" t="str">
        <f ca="1">IFERROR(__xludf.DUMMYFUNCTION("""COMPUTED_VALUE"""),"Texas Tech")</f>
        <v>Texas Tech</v>
      </c>
      <c r="B339" s="1">
        <f ca="1">IFERROR(__xludf.DUMMYFUNCTION("""COMPUTED_VALUE"""),35)</f>
        <v>35</v>
      </c>
      <c r="C339" s="1">
        <f ca="1">IFERROR(__xludf.DUMMYFUNCTION("""COMPUTED_VALUE"""),19)</f>
        <v>19</v>
      </c>
      <c r="D339" s="1">
        <f ca="1">IFERROR(__xludf.DUMMYFUNCTION("""COMPUTED_VALUE"""),16)</f>
        <v>16</v>
      </c>
      <c r="E339" s="1">
        <f ca="1">IFERROR(__xludf.DUMMYFUNCTION("""COMPUTED_VALUE"""),0.543)</f>
        <v>0.54300000000000004</v>
      </c>
      <c r="F339" s="1">
        <f ca="1">IFERROR(__xludf.DUMMYFUNCTION("""COMPUTED_VALUE"""),7.97)</f>
        <v>7.97</v>
      </c>
      <c r="G339" s="1">
        <f ca="1">IFERROR(__xludf.DUMMYFUNCTION("""COMPUTED_VALUE"""),8.47)</f>
        <v>8.4700000000000006</v>
      </c>
      <c r="H339" s="1">
        <f ca="1">IFERROR(__xludf.DUMMYFUNCTION("""COMPUTED_VALUE"""),4)</f>
        <v>4</v>
      </c>
      <c r="I339" s="1">
        <f ca="1">IFERROR(__xludf.DUMMYFUNCTION("""COMPUTED_VALUE"""),12)</f>
        <v>12</v>
      </c>
      <c r="J339" s="1">
        <f ca="1">IFERROR(__xludf.DUMMYFUNCTION("""COMPUTED_VALUE"""),14)</f>
        <v>14</v>
      </c>
      <c r="K339" s="1">
        <f ca="1">IFERROR(__xludf.DUMMYFUNCTION("""COMPUTED_VALUE"""),5)</f>
        <v>5</v>
      </c>
      <c r="L339" s="1">
        <f ca="1">IFERROR(__xludf.DUMMYFUNCTION("""COMPUTED_VALUE"""),4)</f>
        <v>4</v>
      </c>
      <c r="M339" s="1">
        <f ca="1">IFERROR(__xludf.DUMMYFUNCTION("""COMPUTED_VALUE"""),10)</f>
        <v>10</v>
      </c>
      <c r="N339" s="1">
        <f ca="1">IFERROR(__xludf.DUMMYFUNCTION("""COMPUTED_VALUE"""),2684)</f>
        <v>2684</v>
      </c>
      <c r="O339" s="1">
        <f ca="1">IFERROR(__xludf.DUMMYFUNCTION("""COMPUTED_VALUE"""),2662)</f>
        <v>2662</v>
      </c>
      <c r="P339" s="1">
        <f ca="1">IFERROR(__xludf.DUMMYFUNCTION("""COMPUTED_VALUE"""),1430)</f>
        <v>1430</v>
      </c>
      <c r="Q339" s="1">
        <f ca="1">IFERROR(__xludf.DUMMYFUNCTION("""COMPUTED_VALUE"""),922)</f>
        <v>922</v>
      </c>
      <c r="R339" s="1">
        <f ca="1">IFERROR(__xludf.DUMMYFUNCTION("""COMPUTED_VALUE"""),2103)</f>
        <v>2103</v>
      </c>
      <c r="S339" s="1">
        <f ca="1">IFERROR(__xludf.DUMMYFUNCTION("""COMPUTED_VALUE"""),0.438)</f>
        <v>0.438</v>
      </c>
      <c r="T339" s="1">
        <f ca="1">IFERROR(__xludf.DUMMYFUNCTION("""COMPUTED_VALUE"""),196)</f>
        <v>196</v>
      </c>
      <c r="U339" s="1">
        <f ca="1">IFERROR(__xludf.DUMMYFUNCTION("""COMPUTED_VALUE"""),528)</f>
        <v>528</v>
      </c>
      <c r="V339" s="1">
        <f ca="1">IFERROR(__xludf.DUMMYFUNCTION("""COMPUTED_VALUE"""),0.371)</f>
        <v>0.371</v>
      </c>
      <c r="W339" s="1">
        <f ca="1">IFERROR(__xludf.DUMMYFUNCTION("""COMPUTED_VALUE"""),644)</f>
        <v>644</v>
      </c>
      <c r="X339" s="1">
        <f ca="1">IFERROR(__xludf.DUMMYFUNCTION("""COMPUTED_VALUE"""),901)</f>
        <v>901</v>
      </c>
      <c r="Y339" s="1">
        <f ca="1">IFERROR(__xludf.DUMMYFUNCTION("""COMPUTED_VALUE"""),0.715)</f>
        <v>0.71499999999999997</v>
      </c>
      <c r="Z339" s="1">
        <f ca="1">IFERROR(__xludf.DUMMYFUNCTION("""COMPUTED_VALUE"""),422)</f>
        <v>422</v>
      </c>
      <c r="AA339" s="1">
        <f ca="1">IFERROR(__xludf.DUMMYFUNCTION("""COMPUTED_VALUE"""),1298)</f>
        <v>1298</v>
      </c>
      <c r="AB339" s="1">
        <f ca="1">IFERROR(__xludf.DUMMYFUNCTION("""COMPUTED_VALUE"""),502)</f>
        <v>502</v>
      </c>
      <c r="AC339" s="1">
        <f ca="1">IFERROR(__xludf.DUMMYFUNCTION("""COMPUTED_VALUE"""),239)</f>
        <v>239</v>
      </c>
      <c r="AD339" s="1">
        <f ca="1">IFERROR(__xludf.DUMMYFUNCTION("""COMPUTED_VALUE"""),153)</f>
        <v>153</v>
      </c>
      <c r="AE339" s="1">
        <f ca="1">IFERROR(__xludf.DUMMYFUNCTION("""COMPUTED_VALUE"""),481)</f>
        <v>481</v>
      </c>
      <c r="AF339" s="1">
        <f ca="1">IFERROR(__xludf.DUMMYFUNCTION("""COMPUTED_VALUE"""),748)</f>
        <v>748</v>
      </c>
    </row>
    <row r="340" spans="1:32" ht="12.5" x14ac:dyDescent="0.25">
      <c r="A340" s="1" t="str">
        <f ca="1">IFERROR(__xludf.DUMMYFUNCTION("""COMPUTED_VALUE"""),"TexasNCAA")</f>
        <v>TexasNCAA</v>
      </c>
      <c r="B340" s="1">
        <f ca="1">IFERROR(__xludf.DUMMYFUNCTION("""COMPUTED_VALUE"""),34)</f>
        <v>34</v>
      </c>
      <c r="C340" s="1">
        <f ca="1">IFERROR(__xludf.DUMMYFUNCTION("""COMPUTED_VALUE"""),24)</f>
        <v>24</v>
      </c>
      <c r="D340" s="1">
        <f ca="1">IFERROR(__xludf.DUMMYFUNCTION("""COMPUTED_VALUE"""),10)</f>
        <v>10</v>
      </c>
      <c r="E340" s="1">
        <f ca="1">IFERROR(__xludf.DUMMYFUNCTION("""COMPUTED_VALUE"""),0.706)</f>
        <v>0.70599999999999996</v>
      </c>
      <c r="F340" s="1">
        <f ca="1">IFERROR(__xludf.DUMMYFUNCTION("""COMPUTED_VALUE"""),18.56)</f>
        <v>18.559999999999999</v>
      </c>
      <c r="G340" s="1">
        <f ca="1">IFERROR(__xludf.DUMMYFUNCTION("""COMPUTED_VALUE"""),7.38)</f>
        <v>7.38</v>
      </c>
      <c r="H340" s="1">
        <f ca="1">IFERROR(__xludf.DUMMYFUNCTION("""COMPUTED_VALUE"""),9)</f>
        <v>9</v>
      </c>
      <c r="I340" s="1">
        <f ca="1">IFERROR(__xludf.DUMMYFUNCTION("""COMPUTED_VALUE"""),7)</f>
        <v>7</v>
      </c>
      <c r="J340" s="1">
        <f ca="1">IFERROR(__xludf.DUMMYFUNCTION("""COMPUTED_VALUE"""),15)</f>
        <v>15</v>
      </c>
      <c r="K340" s="1">
        <f ca="1">IFERROR(__xludf.DUMMYFUNCTION("""COMPUTED_VALUE"""),2)</f>
        <v>2</v>
      </c>
      <c r="L340" s="1">
        <f ca="1">IFERROR(__xludf.DUMMYFUNCTION("""COMPUTED_VALUE"""),5)</f>
        <v>5</v>
      </c>
      <c r="M340" s="1">
        <f ca="1">IFERROR(__xludf.DUMMYFUNCTION("""COMPUTED_VALUE"""),6)</f>
        <v>6</v>
      </c>
      <c r="N340" s="1">
        <f ca="1">IFERROR(__xludf.DUMMYFUNCTION("""COMPUTED_VALUE"""),2761)</f>
        <v>2761</v>
      </c>
      <c r="O340" s="1">
        <f ca="1">IFERROR(__xludf.DUMMYFUNCTION("""COMPUTED_VALUE"""),2381)</f>
        <v>2381</v>
      </c>
      <c r="P340" s="1">
        <f ca="1">IFERROR(__xludf.DUMMYFUNCTION("""COMPUTED_VALUE"""),1375)</f>
        <v>1375</v>
      </c>
      <c r="Q340" s="1">
        <f ca="1">IFERROR(__xludf.DUMMYFUNCTION("""COMPUTED_VALUE"""),1005)</f>
        <v>1005</v>
      </c>
      <c r="R340" s="1">
        <f ca="1">IFERROR(__xludf.DUMMYFUNCTION("""COMPUTED_VALUE"""),2158)</f>
        <v>2158</v>
      </c>
      <c r="S340" s="1">
        <f ca="1">IFERROR(__xludf.DUMMYFUNCTION("""COMPUTED_VALUE"""),0.466)</f>
        <v>0.46600000000000003</v>
      </c>
      <c r="T340" s="1">
        <f ca="1">IFERROR(__xludf.DUMMYFUNCTION("""COMPUTED_VALUE"""),195)</f>
        <v>195</v>
      </c>
      <c r="U340" s="1">
        <f ca="1">IFERROR(__xludf.DUMMYFUNCTION("""COMPUTED_VALUE"""),566)</f>
        <v>566</v>
      </c>
      <c r="V340" s="1">
        <f ca="1">IFERROR(__xludf.DUMMYFUNCTION("""COMPUTED_VALUE"""),0.345)</f>
        <v>0.34499999999999997</v>
      </c>
      <c r="W340" s="1">
        <f ca="1">IFERROR(__xludf.DUMMYFUNCTION("""COMPUTED_VALUE"""),556)</f>
        <v>556</v>
      </c>
      <c r="X340" s="1">
        <f ca="1">IFERROR(__xludf.DUMMYFUNCTION("""COMPUTED_VALUE"""),878)</f>
        <v>878</v>
      </c>
      <c r="Y340" s="1">
        <f ca="1">IFERROR(__xludf.DUMMYFUNCTION("""COMPUTED_VALUE"""),0.633)</f>
        <v>0.63300000000000001</v>
      </c>
      <c r="Z340" s="1">
        <f ca="1">IFERROR(__xludf.DUMMYFUNCTION("""COMPUTED_VALUE"""),503)</f>
        <v>503</v>
      </c>
      <c r="AA340" s="1">
        <f ca="1">IFERROR(__xludf.DUMMYFUNCTION("""COMPUTED_VALUE"""),1425)</f>
        <v>1425</v>
      </c>
      <c r="AB340" s="1">
        <f ca="1">IFERROR(__xludf.DUMMYFUNCTION("""COMPUTED_VALUE"""),489)</f>
        <v>489</v>
      </c>
      <c r="AC340" s="1">
        <f ca="1">IFERROR(__xludf.DUMMYFUNCTION("""COMPUTED_VALUE"""),269)</f>
        <v>269</v>
      </c>
      <c r="AD340" s="1">
        <f ca="1">IFERROR(__xludf.DUMMYFUNCTION("""COMPUTED_VALUE"""),194)</f>
        <v>194</v>
      </c>
      <c r="AE340" s="1">
        <f ca="1">IFERROR(__xludf.DUMMYFUNCTION("""COMPUTED_VALUE"""),464)</f>
        <v>464</v>
      </c>
      <c r="AF340" s="1">
        <f ca="1">IFERROR(__xludf.DUMMYFUNCTION("""COMPUTED_VALUE"""),670)</f>
        <v>670</v>
      </c>
    </row>
    <row r="341" spans="1:32" ht="12.5" x14ac:dyDescent="0.25">
      <c r="A341" s="1" t="str">
        <f ca="1">IFERROR(__xludf.DUMMYFUNCTION("""COMPUTED_VALUE"""),"Toledo")</f>
        <v>Toledo</v>
      </c>
      <c r="B341" s="1">
        <f ca="1">IFERROR(__xludf.DUMMYFUNCTION("""COMPUTED_VALUE"""),32)</f>
        <v>32</v>
      </c>
      <c r="C341" s="1">
        <f ca="1">IFERROR(__xludf.DUMMYFUNCTION("""COMPUTED_VALUE"""),4)</f>
        <v>4</v>
      </c>
      <c r="D341" s="1">
        <f ca="1">IFERROR(__xludf.DUMMYFUNCTION("""COMPUTED_VALUE"""),28)</f>
        <v>28</v>
      </c>
      <c r="E341" s="1">
        <f ca="1">IFERROR(__xludf.DUMMYFUNCTION("""COMPUTED_VALUE"""),0.125)</f>
        <v>0.125</v>
      </c>
      <c r="F341" s="1">
        <f ca="1">IFERROR(__xludf.DUMMYFUNCTION("""COMPUTED_VALUE"""),-14.39)</f>
        <v>-14.39</v>
      </c>
      <c r="G341" s="1">
        <f ca="1">IFERROR(__xludf.DUMMYFUNCTION("""COMPUTED_VALUE"""),-0.77)</f>
        <v>-0.77</v>
      </c>
      <c r="H341" s="1">
        <f ca="1">IFERROR(__xludf.DUMMYFUNCTION("""COMPUTED_VALUE"""),1)</f>
        <v>1</v>
      </c>
      <c r="I341" s="1">
        <f ca="1">IFERROR(__xludf.DUMMYFUNCTION("""COMPUTED_VALUE"""),15)</f>
        <v>15</v>
      </c>
      <c r="J341" s="1">
        <f ca="1">IFERROR(__xludf.DUMMYFUNCTION("""COMPUTED_VALUE"""),4)</f>
        <v>4</v>
      </c>
      <c r="K341" s="1">
        <f ca="1">IFERROR(__xludf.DUMMYFUNCTION("""COMPUTED_VALUE"""),11)</f>
        <v>11</v>
      </c>
      <c r="L341" s="1">
        <f ca="1">IFERROR(__xludf.DUMMYFUNCTION("""COMPUTED_VALUE"""),0)</f>
        <v>0</v>
      </c>
      <c r="M341" s="1">
        <f ca="1">IFERROR(__xludf.DUMMYFUNCTION("""COMPUTED_VALUE"""),15)</f>
        <v>15</v>
      </c>
      <c r="N341" s="1">
        <f ca="1">IFERROR(__xludf.DUMMYFUNCTION("""COMPUTED_VALUE"""),1734)</f>
        <v>1734</v>
      </c>
      <c r="O341" s="1">
        <f ca="1">IFERROR(__xludf.DUMMYFUNCTION("""COMPUTED_VALUE"""),2137)</f>
        <v>2137</v>
      </c>
      <c r="P341" s="1">
        <f ca="1">IFERROR(__xludf.DUMMYFUNCTION("""COMPUTED_VALUE"""),1285)</f>
        <v>1285</v>
      </c>
      <c r="Q341" s="1">
        <f ca="1">IFERROR(__xludf.DUMMYFUNCTION("""COMPUTED_VALUE"""),645)</f>
        <v>645</v>
      </c>
      <c r="R341" s="1">
        <f ca="1">IFERROR(__xludf.DUMMYFUNCTION("""COMPUTED_VALUE"""),1572)</f>
        <v>1572</v>
      </c>
      <c r="S341" s="1">
        <f ca="1">IFERROR(__xludf.DUMMYFUNCTION("""COMPUTED_VALUE"""),0.41)</f>
        <v>0.41</v>
      </c>
      <c r="T341" s="1">
        <f ca="1">IFERROR(__xludf.DUMMYFUNCTION("""COMPUTED_VALUE"""),168)</f>
        <v>168</v>
      </c>
      <c r="U341" s="1">
        <f ca="1">IFERROR(__xludf.DUMMYFUNCTION("""COMPUTED_VALUE"""),503)</f>
        <v>503</v>
      </c>
      <c r="V341" s="1">
        <f ca="1">IFERROR(__xludf.DUMMYFUNCTION("""COMPUTED_VALUE"""),0.334)</f>
        <v>0.33400000000000002</v>
      </c>
      <c r="W341" s="1">
        <f ca="1">IFERROR(__xludf.DUMMYFUNCTION("""COMPUTED_VALUE"""),276)</f>
        <v>276</v>
      </c>
      <c r="X341" s="1">
        <f ca="1">IFERROR(__xludf.DUMMYFUNCTION("""COMPUTED_VALUE"""),440)</f>
        <v>440</v>
      </c>
      <c r="Y341" s="1">
        <f ca="1">IFERROR(__xludf.DUMMYFUNCTION("""COMPUTED_VALUE"""),0.627)</f>
        <v>0.627</v>
      </c>
      <c r="Z341" s="1">
        <f ca="1">IFERROR(__xludf.DUMMYFUNCTION("""COMPUTED_VALUE"""),278)</f>
        <v>278</v>
      </c>
      <c r="AA341" s="1">
        <f ca="1">IFERROR(__xludf.DUMMYFUNCTION("""COMPUTED_VALUE"""),984)</f>
        <v>984</v>
      </c>
      <c r="AB341" s="1">
        <f ca="1">IFERROR(__xludf.DUMMYFUNCTION("""COMPUTED_VALUE"""),346)</f>
        <v>346</v>
      </c>
      <c r="AC341" s="1">
        <f ca="1">IFERROR(__xludf.DUMMYFUNCTION("""COMPUTED_VALUE"""),137)</f>
        <v>137</v>
      </c>
      <c r="AD341" s="1">
        <f ca="1">IFERROR(__xludf.DUMMYFUNCTION("""COMPUTED_VALUE"""),59)</f>
        <v>59</v>
      </c>
      <c r="AE341" s="1">
        <f ca="1">IFERROR(__xludf.DUMMYFUNCTION("""COMPUTED_VALUE"""),464)</f>
        <v>464</v>
      </c>
      <c r="AF341" s="1">
        <f ca="1">IFERROR(__xludf.DUMMYFUNCTION("""COMPUTED_VALUE"""),562)</f>
        <v>562</v>
      </c>
    </row>
    <row r="342" spans="1:32" ht="12.5" x14ac:dyDescent="0.25">
      <c r="A342" s="1" t="str">
        <f ca="1">IFERROR(__xludf.DUMMYFUNCTION("""COMPUTED_VALUE"""),"Towson")</f>
        <v>Towson</v>
      </c>
      <c r="B342" s="1">
        <f ca="1">IFERROR(__xludf.DUMMYFUNCTION("""COMPUTED_VALUE"""),31)</f>
        <v>31</v>
      </c>
      <c r="C342" s="1">
        <f ca="1">IFERROR(__xludf.DUMMYFUNCTION("""COMPUTED_VALUE"""),10)</f>
        <v>10</v>
      </c>
      <c r="D342" s="1">
        <f ca="1">IFERROR(__xludf.DUMMYFUNCTION("""COMPUTED_VALUE"""),21)</f>
        <v>21</v>
      </c>
      <c r="E342" s="1">
        <f ca="1">IFERROR(__xludf.DUMMYFUNCTION("""COMPUTED_VALUE"""),0.323)</f>
        <v>0.32300000000000001</v>
      </c>
      <c r="F342" s="1">
        <f ca="1">IFERROR(__xludf.DUMMYFUNCTION("""COMPUTED_VALUE"""),-8.46)</f>
        <v>-8.4600000000000009</v>
      </c>
      <c r="G342" s="1">
        <f ca="1">IFERROR(__xludf.DUMMYFUNCTION("""COMPUTED_VALUE"""),-0.75)</f>
        <v>-0.75</v>
      </c>
      <c r="H342" s="1">
        <f ca="1">IFERROR(__xludf.DUMMYFUNCTION("""COMPUTED_VALUE"""),6)</f>
        <v>6</v>
      </c>
      <c r="I342" s="1">
        <f ca="1">IFERROR(__xludf.DUMMYFUNCTION("""COMPUTED_VALUE"""),12)</f>
        <v>12</v>
      </c>
      <c r="J342" s="1">
        <f ca="1">IFERROR(__xludf.DUMMYFUNCTION("""COMPUTED_VALUE"""),6)</f>
        <v>6</v>
      </c>
      <c r="K342" s="1">
        <f ca="1">IFERROR(__xludf.DUMMYFUNCTION("""COMPUTED_VALUE"""),9)</f>
        <v>9</v>
      </c>
      <c r="L342" s="1">
        <f ca="1">IFERROR(__xludf.DUMMYFUNCTION("""COMPUTED_VALUE"""),3)</f>
        <v>3</v>
      </c>
      <c r="M342" s="1">
        <f ca="1">IFERROR(__xludf.DUMMYFUNCTION("""COMPUTED_VALUE"""),11)</f>
        <v>11</v>
      </c>
      <c r="N342" s="1">
        <f ca="1">IFERROR(__xludf.DUMMYFUNCTION("""COMPUTED_VALUE"""),2124)</f>
        <v>2124</v>
      </c>
      <c r="O342" s="1">
        <f ca="1">IFERROR(__xludf.DUMMYFUNCTION("""COMPUTED_VALUE"""),2363)</f>
        <v>2363</v>
      </c>
      <c r="P342" s="1">
        <f ca="1">IFERROR(__xludf.DUMMYFUNCTION("""COMPUTED_VALUE"""),1250)</f>
        <v>1250</v>
      </c>
      <c r="Q342" s="1">
        <f ca="1">IFERROR(__xludf.DUMMYFUNCTION("""COMPUTED_VALUE"""),751)</f>
        <v>751</v>
      </c>
      <c r="R342" s="1">
        <f ca="1">IFERROR(__xludf.DUMMYFUNCTION("""COMPUTED_VALUE"""),1796)</f>
        <v>1796</v>
      </c>
      <c r="S342" s="1">
        <f ca="1">IFERROR(__xludf.DUMMYFUNCTION("""COMPUTED_VALUE"""),0.418)</f>
        <v>0.41799999999999998</v>
      </c>
      <c r="T342" s="1">
        <f ca="1">IFERROR(__xludf.DUMMYFUNCTION("""COMPUTED_VALUE"""),196)</f>
        <v>196</v>
      </c>
      <c r="U342" s="1">
        <f ca="1">IFERROR(__xludf.DUMMYFUNCTION("""COMPUTED_VALUE"""),565)</f>
        <v>565</v>
      </c>
      <c r="V342" s="1">
        <f ca="1">IFERROR(__xludf.DUMMYFUNCTION("""COMPUTED_VALUE"""),0.347)</f>
        <v>0.34699999999999998</v>
      </c>
      <c r="W342" s="1">
        <f ca="1">IFERROR(__xludf.DUMMYFUNCTION("""COMPUTED_VALUE"""),426)</f>
        <v>426</v>
      </c>
      <c r="X342" s="1">
        <f ca="1">IFERROR(__xludf.DUMMYFUNCTION("""COMPUTED_VALUE"""),638)</f>
        <v>638</v>
      </c>
      <c r="Y342" s="1">
        <f ca="1">IFERROR(__xludf.DUMMYFUNCTION("""COMPUTED_VALUE"""),0.668)</f>
        <v>0.66800000000000004</v>
      </c>
      <c r="Z342" s="1">
        <f ca="1">IFERROR(__xludf.DUMMYFUNCTION("""COMPUTED_VALUE"""),370)</f>
        <v>370</v>
      </c>
      <c r="AA342" s="1">
        <f ca="1">IFERROR(__xludf.DUMMYFUNCTION("""COMPUTED_VALUE"""),1063)</f>
        <v>1063</v>
      </c>
      <c r="AB342" s="1">
        <f ca="1">IFERROR(__xludf.DUMMYFUNCTION("""COMPUTED_VALUE"""),391)</f>
        <v>391</v>
      </c>
      <c r="AC342" s="1">
        <f ca="1">IFERROR(__xludf.DUMMYFUNCTION("""COMPUTED_VALUE"""),195)</f>
        <v>195</v>
      </c>
      <c r="AD342" s="1">
        <f ca="1">IFERROR(__xludf.DUMMYFUNCTION("""COMPUTED_VALUE"""),151)</f>
        <v>151</v>
      </c>
      <c r="AE342" s="1">
        <f ca="1">IFERROR(__xludf.DUMMYFUNCTION("""COMPUTED_VALUE"""),396)</f>
        <v>396</v>
      </c>
      <c r="AF342" s="1">
        <f ca="1">IFERROR(__xludf.DUMMYFUNCTION("""COMPUTED_VALUE"""),524)</f>
        <v>524</v>
      </c>
    </row>
    <row r="343" spans="1:32" ht="12.5" x14ac:dyDescent="0.25">
      <c r="A343" s="1" t="str">
        <f ca="1">IFERROR(__xludf.DUMMYFUNCTION("""COMPUTED_VALUE"""),"Troy")</f>
        <v>Troy</v>
      </c>
      <c r="B343" s="1">
        <f ca="1">IFERROR(__xludf.DUMMYFUNCTION("""COMPUTED_VALUE"""),33)</f>
        <v>33</v>
      </c>
      <c r="C343" s="1">
        <f ca="1">IFERROR(__xludf.DUMMYFUNCTION("""COMPUTED_VALUE"""),20)</f>
        <v>20</v>
      </c>
      <c r="D343" s="1">
        <f ca="1">IFERROR(__xludf.DUMMYFUNCTION("""COMPUTED_VALUE"""),13)</f>
        <v>13</v>
      </c>
      <c r="E343" s="1">
        <f ca="1">IFERROR(__xludf.DUMMYFUNCTION("""COMPUTED_VALUE"""),0.606)</f>
        <v>0.60599999999999998</v>
      </c>
      <c r="F343" s="1">
        <f ca="1">IFERROR(__xludf.DUMMYFUNCTION("""COMPUTED_VALUE"""),-3.04)</f>
        <v>-3.04</v>
      </c>
      <c r="G343" s="1">
        <f ca="1">IFERROR(__xludf.DUMMYFUNCTION("""COMPUTED_VALUE"""),-2.31)</f>
        <v>-2.31</v>
      </c>
      <c r="H343" s="1">
        <f ca="1">IFERROR(__xludf.DUMMYFUNCTION("""COMPUTED_VALUE"""),13)</f>
        <v>13</v>
      </c>
      <c r="I343" s="1">
        <f ca="1">IFERROR(__xludf.DUMMYFUNCTION("""COMPUTED_VALUE"""),5)</f>
        <v>5</v>
      </c>
      <c r="J343" s="1">
        <f ca="1">IFERROR(__xludf.DUMMYFUNCTION("""COMPUTED_VALUE"""),10)</f>
        <v>10</v>
      </c>
      <c r="K343" s="1">
        <f ca="1">IFERROR(__xludf.DUMMYFUNCTION("""COMPUTED_VALUE"""),2)</f>
        <v>2</v>
      </c>
      <c r="L343" s="1">
        <f ca="1">IFERROR(__xludf.DUMMYFUNCTION("""COMPUTED_VALUE"""),6)</f>
        <v>6</v>
      </c>
      <c r="M343" s="1">
        <f ca="1">IFERROR(__xludf.DUMMYFUNCTION("""COMPUTED_VALUE"""),10)</f>
        <v>10</v>
      </c>
      <c r="N343" s="1">
        <f ca="1">IFERROR(__xludf.DUMMYFUNCTION("""COMPUTED_VALUE"""),2467)</f>
        <v>2467</v>
      </c>
      <c r="O343" s="1">
        <f ca="1">IFERROR(__xludf.DUMMYFUNCTION("""COMPUTED_VALUE"""),2378)</f>
        <v>2378</v>
      </c>
      <c r="P343" s="1">
        <f ca="1">IFERROR(__xludf.DUMMYFUNCTION("""COMPUTED_VALUE"""),1325)</f>
        <v>1325</v>
      </c>
      <c r="Q343" s="1">
        <f ca="1">IFERROR(__xludf.DUMMYFUNCTION("""COMPUTED_VALUE"""),932)</f>
        <v>932</v>
      </c>
      <c r="R343" s="1">
        <f ca="1">IFERROR(__xludf.DUMMYFUNCTION("""COMPUTED_VALUE"""),1977)</f>
        <v>1977</v>
      </c>
      <c r="S343" s="1">
        <f ca="1">IFERROR(__xludf.DUMMYFUNCTION("""COMPUTED_VALUE"""),0.471)</f>
        <v>0.47099999999999997</v>
      </c>
      <c r="T343" s="1">
        <f ca="1">IFERROR(__xludf.DUMMYFUNCTION("""COMPUTED_VALUE"""),240)</f>
        <v>240</v>
      </c>
      <c r="U343" s="1">
        <f ca="1">IFERROR(__xludf.DUMMYFUNCTION("""COMPUTED_VALUE"""),655)</f>
        <v>655</v>
      </c>
      <c r="V343" s="1">
        <f ca="1">IFERROR(__xludf.DUMMYFUNCTION("""COMPUTED_VALUE"""),0.366)</f>
        <v>0.36599999999999999</v>
      </c>
      <c r="W343" s="1">
        <f ca="1">IFERROR(__xludf.DUMMYFUNCTION("""COMPUTED_VALUE"""),363)</f>
        <v>363</v>
      </c>
      <c r="X343" s="1">
        <f ca="1">IFERROR(__xludf.DUMMYFUNCTION("""COMPUTED_VALUE"""),558)</f>
        <v>558</v>
      </c>
      <c r="Y343" s="1">
        <f ca="1">IFERROR(__xludf.DUMMYFUNCTION("""COMPUTED_VALUE"""),0.651)</f>
        <v>0.65100000000000002</v>
      </c>
      <c r="Z343" s="1">
        <f ca="1">IFERROR(__xludf.DUMMYFUNCTION("""COMPUTED_VALUE"""),374)</f>
        <v>374</v>
      </c>
      <c r="AA343" s="1">
        <f ca="1">IFERROR(__xludf.DUMMYFUNCTION("""COMPUTED_VALUE"""),1192)</f>
        <v>1192</v>
      </c>
      <c r="AB343" s="1">
        <f ca="1">IFERROR(__xludf.DUMMYFUNCTION("""COMPUTED_VALUE"""),421)</f>
        <v>421</v>
      </c>
      <c r="AC343" s="1">
        <f ca="1">IFERROR(__xludf.DUMMYFUNCTION("""COMPUTED_VALUE"""),229)</f>
        <v>229</v>
      </c>
      <c r="AD343" s="1">
        <f ca="1">IFERROR(__xludf.DUMMYFUNCTION("""COMPUTED_VALUE"""),115)</f>
        <v>115</v>
      </c>
      <c r="AE343" s="1">
        <f ca="1">IFERROR(__xludf.DUMMYFUNCTION("""COMPUTED_VALUE"""),402)</f>
        <v>402</v>
      </c>
      <c r="AF343" s="1">
        <f ca="1">IFERROR(__xludf.DUMMYFUNCTION("""COMPUTED_VALUE"""),531)</f>
        <v>531</v>
      </c>
    </row>
    <row r="344" spans="1:32" ht="12.5" x14ac:dyDescent="0.25">
      <c r="A344" s="1" t="str">
        <f ca="1">IFERROR(__xludf.DUMMYFUNCTION("""COMPUTED_VALUE"""),"Tulane")</f>
        <v>Tulane</v>
      </c>
      <c r="B344" s="1">
        <f ca="1">IFERROR(__xludf.DUMMYFUNCTION("""COMPUTED_VALUE"""),30)</f>
        <v>30</v>
      </c>
      <c r="C344" s="1">
        <f ca="1">IFERROR(__xludf.DUMMYFUNCTION("""COMPUTED_VALUE"""),8)</f>
        <v>8</v>
      </c>
      <c r="D344" s="1">
        <f ca="1">IFERROR(__xludf.DUMMYFUNCTION("""COMPUTED_VALUE"""),22)</f>
        <v>22</v>
      </c>
      <c r="E344" s="1">
        <f ca="1">IFERROR(__xludf.DUMMYFUNCTION("""COMPUTED_VALUE"""),0.267)</f>
        <v>0.26700000000000002</v>
      </c>
      <c r="F344" s="1">
        <f ca="1">IFERROR(__xludf.DUMMYFUNCTION("""COMPUTED_VALUE"""),-3.2)</f>
        <v>-3.2</v>
      </c>
      <c r="G344" s="1">
        <f ca="1">IFERROR(__xludf.DUMMYFUNCTION("""COMPUTED_VALUE"""),1.5)</f>
        <v>1.5</v>
      </c>
      <c r="H344" s="1">
        <f ca="1">IFERROR(__xludf.DUMMYFUNCTION("""COMPUTED_VALUE"""),3)</f>
        <v>3</v>
      </c>
      <c r="I344" s="1">
        <f ca="1">IFERROR(__xludf.DUMMYFUNCTION("""COMPUTED_VALUE"""),13)</f>
        <v>13</v>
      </c>
      <c r="J344" s="1">
        <f ca="1">IFERROR(__xludf.DUMMYFUNCTION("""COMPUTED_VALUE"""),5)</f>
        <v>5</v>
      </c>
      <c r="K344" s="1">
        <f ca="1">IFERROR(__xludf.DUMMYFUNCTION("""COMPUTED_VALUE"""),10)</f>
        <v>10</v>
      </c>
      <c r="L344" s="1">
        <f ca="1">IFERROR(__xludf.DUMMYFUNCTION("""COMPUTED_VALUE"""),2)</f>
        <v>2</v>
      </c>
      <c r="M344" s="1">
        <f ca="1">IFERROR(__xludf.DUMMYFUNCTION("""COMPUTED_VALUE"""),9)</f>
        <v>9</v>
      </c>
      <c r="N344" s="1">
        <f ca="1">IFERROR(__xludf.DUMMYFUNCTION("""COMPUTED_VALUE"""),1864)</f>
        <v>1864</v>
      </c>
      <c r="O344" s="1">
        <f ca="1">IFERROR(__xludf.DUMMYFUNCTION("""COMPUTED_VALUE"""),2005)</f>
        <v>2005</v>
      </c>
      <c r="P344" s="1">
        <f ca="1">IFERROR(__xludf.DUMMYFUNCTION("""COMPUTED_VALUE"""),1205)</f>
        <v>1205</v>
      </c>
      <c r="Q344" s="1">
        <f ca="1">IFERROR(__xludf.DUMMYFUNCTION("""COMPUTED_VALUE"""),636)</f>
        <v>636</v>
      </c>
      <c r="R344" s="1">
        <f ca="1">IFERROR(__xludf.DUMMYFUNCTION("""COMPUTED_VALUE"""),1603)</f>
        <v>1603</v>
      </c>
      <c r="S344" s="1">
        <f ca="1">IFERROR(__xludf.DUMMYFUNCTION("""COMPUTED_VALUE"""),0.397)</f>
        <v>0.39700000000000002</v>
      </c>
      <c r="T344" s="1">
        <f ca="1">IFERROR(__xludf.DUMMYFUNCTION("""COMPUTED_VALUE"""),168)</f>
        <v>168</v>
      </c>
      <c r="U344" s="1">
        <f ca="1">IFERROR(__xludf.DUMMYFUNCTION("""COMPUTED_VALUE"""),518)</f>
        <v>518</v>
      </c>
      <c r="V344" s="1">
        <f ca="1">IFERROR(__xludf.DUMMYFUNCTION("""COMPUTED_VALUE"""),0.324)</f>
        <v>0.32400000000000001</v>
      </c>
      <c r="W344" s="1">
        <f ca="1">IFERROR(__xludf.DUMMYFUNCTION("""COMPUTED_VALUE"""),424)</f>
        <v>424</v>
      </c>
      <c r="X344" s="1">
        <f ca="1">IFERROR(__xludf.DUMMYFUNCTION("""COMPUTED_VALUE"""),612)</f>
        <v>612</v>
      </c>
      <c r="Y344" s="1">
        <f ca="1">IFERROR(__xludf.DUMMYFUNCTION("""COMPUTED_VALUE"""),0.693)</f>
        <v>0.69299999999999995</v>
      </c>
      <c r="Z344" s="1">
        <f ca="1">IFERROR(__xludf.DUMMYFUNCTION("""COMPUTED_VALUE"""),316)</f>
        <v>316</v>
      </c>
      <c r="AA344" s="1">
        <f ca="1">IFERROR(__xludf.DUMMYFUNCTION("""COMPUTED_VALUE"""),925)</f>
        <v>925</v>
      </c>
      <c r="AB344" s="1">
        <f ca="1">IFERROR(__xludf.DUMMYFUNCTION("""COMPUTED_VALUE"""),328)</f>
        <v>328</v>
      </c>
      <c r="AC344" s="1">
        <f ca="1">IFERROR(__xludf.DUMMYFUNCTION("""COMPUTED_VALUE"""),231)</f>
        <v>231</v>
      </c>
      <c r="AD344" s="1">
        <f ca="1">IFERROR(__xludf.DUMMYFUNCTION("""COMPUTED_VALUE"""),84)</f>
        <v>84</v>
      </c>
      <c r="AE344" s="1">
        <f ca="1">IFERROR(__xludf.DUMMYFUNCTION("""COMPUTED_VALUE"""),412)</f>
        <v>412</v>
      </c>
      <c r="AF344" s="1">
        <f ca="1">IFERROR(__xludf.DUMMYFUNCTION("""COMPUTED_VALUE"""),610)</f>
        <v>610</v>
      </c>
    </row>
    <row r="345" spans="1:32" ht="12.5" x14ac:dyDescent="0.25">
      <c r="A345" s="1" t="str">
        <f ca="1">IFERROR(__xludf.DUMMYFUNCTION("""COMPUTED_VALUE"""),"Tulsa")</f>
        <v>Tulsa</v>
      </c>
      <c r="B345" s="1">
        <f ca="1">IFERROR(__xludf.DUMMYFUNCTION("""COMPUTED_VALUE"""),35)</f>
        <v>35</v>
      </c>
      <c r="C345" s="1">
        <f ca="1">IFERROR(__xludf.DUMMYFUNCTION("""COMPUTED_VALUE"""),23)</f>
        <v>23</v>
      </c>
      <c r="D345" s="1">
        <f ca="1">IFERROR(__xludf.DUMMYFUNCTION("""COMPUTED_VALUE"""),12)</f>
        <v>12</v>
      </c>
      <c r="E345" s="1">
        <f ca="1">IFERROR(__xludf.DUMMYFUNCTION("""COMPUTED_VALUE"""),0.657)</f>
        <v>0.65700000000000003</v>
      </c>
      <c r="F345" s="1">
        <f ca="1">IFERROR(__xludf.DUMMYFUNCTION("""COMPUTED_VALUE"""),8.46)</f>
        <v>8.4600000000000009</v>
      </c>
      <c r="G345" s="1">
        <f ca="1">IFERROR(__xludf.DUMMYFUNCTION("""COMPUTED_VALUE"""),2.84)</f>
        <v>2.84</v>
      </c>
      <c r="H345" s="1">
        <f ca="1">IFERROR(__xludf.DUMMYFUNCTION("""COMPUTED_VALUE"""),10)</f>
        <v>10</v>
      </c>
      <c r="I345" s="1">
        <f ca="1">IFERROR(__xludf.DUMMYFUNCTION("""COMPUTED_VALUE"""),6)</f>
        <v>6</v>
      </c>
      <c r="J345" s="1">
        <f ca="1">IFERROR(__xludf.DUMMYFUNCTION("""COMPUTED_VALUE"""),18)</f>
        <v>18</v>
      </c>
      <c r="K345" s="1">
        <f ca="1">IFERROR(__xludf.DUMMYFUNCTION("""COMPUTED_VALUE"""),2)</f>
        <v>2</v>
      </c>
      <c r="L345" s="1">
        <f ca="1">IFERROR(__xludf.DUMMYFUNCTION("""COMPUTED_VALUE"""),5)</f>
        <v>5</v>
      </c>
      <c r="M345" s="1">
        <f ca="1">IFERROR(__xludf.DUMMYFUNCTION("""COMPUTED_VALUE"""),7)</f>
        <v>7</v>
      </c>
      <c r="N345" s="1">
        <f ca="1">IFERROR(__xludf.DUMMYFUNCTION("""COMPUTED_VALUE"""),2500)</f>
        <v>2500</v>
      </c>
      <c r="O345" s="1">
        <f ca="1">IFERROR(__xludf.DUMMYFUNCTION("""COMPUTED_VALUE"""),2284)</f>
        <v>2284</v>
      </c>
      <c r="P345" s="1">
        <f ca="1">IFERROR(__xludf.DUMMYFUNCTION("""COMPUTED_VALUE"""),1400)</f>
        <v>1400</v>
      </c>
      <c r="Q345" s="1">
        <f ca="1">IFERROR(__xludf.DUMMYFUNCTION("""COMPUTED_VALUE"""),852)</f>
        <v>852</v>
      </c>
      <c r="R345" s="1">
        <f ca="1">IFERROR(__xludf.DUMMYFUNCTION("""COMPUTED_VALUE"""),1871)</f>
        <v>1871</v>
      </c>
      <c r="S345" s="1">
        <f ca="1">IFERROR(__xludf.DUMMYFUNCTION("""COMPUTED_VALUE"""),0.455)</f>
        <v>0.45500000000000002</v>
      </c>
      <c r="T345" s="1">
        <f ca="1">IFERROR(__xludf.DUMMYFUNCTION("""COMPUTED_VALUE"""),173)</f>
        <v>173</v>
      </c>
      <c r="U345" s="1">
        <f ca="1">IFERROR(__xludf.DUMMYFUNCTION("""COMPUTED_VALUE"""),489)</f>
        <v>489</v>
      </c>
      <c r="V345" s="1">
        <f ca="1">IFERROR(__xludf.DUMMYFUNCTION("""COMPUTED_VALUE"""),0.354)</f>
        <v>0.35399999999999998</v>
      </c>
      <c r="W345" s="1">
        <f ca="1">IFERROR(__xludf.DUMMYFUNCTION("""COMPUTED_VALUE"""),623)</f>
        <v>623</v>
      </c>
      <c r="X345" s="1">
        <f ca="1">IFERROR(__xludf.DUMMYFUNCTION("""COMPUTED_VALUE"""),881)</f>
        <v>881</v>
      </c>
      <c r="Y345" s="1">
        <f ca="1">IFERROR(__xludf.DUMMYFUNCTION("""COMPUTED_VALUE"""),0.707)</f>
        <v>0.70699999999999996</v>
      </c>
      <c r="Z345" s="1">
        <f ca="1">IFERROR(__xludf.DUMMYFUNCTION("""COMPUTED_VALUE"""),396)</f>
        <v>396</v>
      </c>
      <c r="AA345" s="1">
        <f ca="1">IFERROR(__xludf.DUMMYFUNCTION("""COMPUTED_VALUE"""),1336)</f>
        <v>1336</v>
      </c>
      <c r="AB345" s="1">
        <f ca="1">IFERROR(__xludf.DUMMYFUNCTION("""COMPUTED_VALUE"""),438)</f>
        <v>438</v>
      </c>
      <c r="AC345" s="1">
        <f ca="1">IFERROR(__xludf.DUMMYFUNCTION("""COMPUTED_VALUE"""),156)</f>
        <v>156</v>
      </c>
      <c r="AD345" s="1">
        <f ca="1">IFERROR(__xludf.DUMMYFUNCTION("""COMPUTED_VALUE"""),195)</f>
        <v>195</v>
      </c>
      <c r="AE345" s="1">
        <f ca="1">IFERROR(__xludf.DUMMYFUNCTION("""COMPUTED_VALUE"""),461)</f>
        <v>461</v>
      </c>
      <c r="AF345" s="1">
        <f ca="1">IFERROR(__xludf.DUMMYFUNCTION("""COMPUTED_VALUE"""),617)</f>
        <v>617</v>
      </c>
    </row>
    <row r="346" spans="1:32" ht="12.5" x14ac:dyDescent="0.25">
      <c r="A346" s="1" t="str">
        <f ca="1">IFERROR(__xludf.DUMMYFUNCTION("""COMPUTED_VALUE"""),"UCLA")</f>
        <v>UCLA</v>
      </c>
      <c r="B346" s="1">
        <f ca="1">IFERROR(__xludf.DUMMYFUNCTION("""COMPUTED_VALUE"""),32)</f>
        <v>32</v>
      </c>
      <c r="C346" s="1">
        <f ca="1">IFERROR(__xludf.DUMMYFUNCTION("""COMPUTED_VALUE"""),14)</f>
        <v>14</v>
      </c>
      <c r="D346" s="1">
        <f ca="1">IFERROR(__xludf.DUMMYFUNCTION("""COMPUTED_VALUE"""),18)</f>
        <v>18</v>
      </c>
      <c r="E346" s="1">
        <f ca="1">IFERROR(__xludf.DUMMYFUNCTION("""COMPUTED_VALUE"""),0.438)</f>
        <v>0.438</v>
      </c>
      <c r="F346" s="1">
        <f ca="1">IFERROR(__xludf.DUMMYFUNCTION("""COMPUTED_VALUE"""),5.7)</f>
        <v>5.7</v>
      </c>
      <c r="G346" s="1">
        <f ca="1">IFERROR(__xludf.DUMMYFUNCTION("""COMPUTED_VALUE"""),7.86)</f>
        <v>7.86</v>
      </c>
      <c r="H346" s="1">
        <f ca="1">IFERROR(__xludf.DUMMYFUNCTION("""COMPUTED_VALUE"""),8)</f>
        <v>8</v>
      </c>
      <c r="I346" s="1">
        <f ca="1">IFERROR(__xludf.DUMMYFUNCTION("""COMPUTED_VALUE"""),10)</f>
        <v>10</v>
      </c>
      <c r="J346" s="1">
        <f ca="1">IFERROR(__xludf.DUMMYFUNCTION("""COMPUTED_VALUE"""),10)</f>
        <v>10</v>
      </c>
      <c r="K346" s="1">
        <f ca="1">IFERROR(__xludf.DUMMYFUNCTION("""COMPUTED_VALUE"""),6)</f>
        <v>6</v>
      </c>
      <c r="L346" s="1">
        <f ca="1">IFERROR(__xludf.DUMMYFUNCTION("""COMPUTED_VALUE"""),3)</f>
        <v>3</v>
      </c>
      <c r="M346" s="1">
        <f ca="1">IFERROR(__xludf.DUMMYFUNCTION("""COMPUTED_VALUE"""),7)</f>
        <v>7</v>
      </c>
      <c r="N346" s="1">
        <f ca="1">IFERROR(__xludf.DUMMYFUNCTION("""COMPUTED_VALUE"""),2139)</f>
        <v>2139</v>
      </c>
      <c r="O346" s="1">
        <f ca="1">IFERROR(__xludf.DUMMYFUNCTION("""COMPUTED_VALUE"""),2195)</f>
        <v>2195</v>
      </c>
      <c r="P346" s="1">
        <f ca="1">IFERROR(__xludf.DUMMYFUNCTION("""COMPUTED_VALUE"""),1300)</f>
        <v>1300</v>
      </c>
      <c r="Q346" s="1">
        <f ca="1">IFERROR(__xludf.DUMMYFUNCTION("""COMPUTED_VALUE"""),784)</f>
        <v>784</v>
      </c>
      <c r="R346" s="1">
        <f ca="1">IFERROR(__xludf.DUMMYFUNCTION("""COMPUTED_VALUE"""),1666)</f>
        <v>1666</v>
      </c>
      <c r="S346" s="1">
        <f ca="1">IFERROR(__xludf.DUMMYFUNCTION("""COMPUTED_VALUE"""),0.471)</f>
        <v>0.47099999999999997</v>
      </c>
      <c r="T346" s="1">
        <f ca="1">IFERROR(__xludf.DUMMYFUNCTION("""COMPUTED_VALUE"""),186)</f>
        <v>186</v>
      </c>
      <c r="U346" s="1">
        <f ca="1">IFERROR(__xludf.DUMMYFUNCTION("""COMPUTED_VALUE"""),573)</f>
        <v>573</v>
      </c>
      <c r="V346" s="1">
        <f ca="1">IFERROR(__xludf.DUMMYFUNCTION("""COMPUTED_VALUE"""),0.325)</f>
        <v>0.32500000000000001</v>
      </c>
      <c r="W346" s="1">
        <f ca="1">IFERROR(__xludf.DUMMYFUNCTION("""COMPUTED_VALUE"""),385)</f>
        <v>385</v>
      </c>
      <c r="X346" s="1">
        <f ca="1">IFERROR(__xludf.DUMMYFUNCTION("""COMPUTED_VALUE"""),609)</f>
        <v>609</v>
      </c>
      <c r="Y346" s="1">
        <f ca="1">IFERROR(__xludf.DUMMYFUNCTION("""COMPUTED_VALUE"""),0.632)</f>
        <v>0.63200000000000001</v>
      </c>
      <c r="Z346" s="1">
        <f ca="1">IFERROR(__xludf.DUMMYFUNCTION("""COMPUTED_VALUE"""),305)</f>
        <v>305</v>
      </c>
      <c r="AA346" s="1">
        <f ca="1">IFERROR(__xludf.DUMMYFUNCTION("""COMPUTED_VALUE"""),1018)</f>
        <v>1018</v>
      </c>
      <c r="AB346" s="1">
        <f ca="1">IFERROR(__xludf.DUMMYFUNCTION("""COMPUTED_VALUE"""),489)</f>
        <v>489</v>
      </c>
      <c r="AC346" s="1">
        <f ca="1">IFERROR(__xludf.DUMMYFUNCTION("""COMPUTED_VALUE"""),206)</f>
        <v>206</v>
      </c>
      <c r="AD346" s="1">
        <f ca="1">IFERROR(__xludf.DUMMYFUNCTION("""COMPUTED_VALUE"""),135)</f>
        <v>135</v>
      </c>
      <c r="AE346" s="1">
        <f ca="1">IFERROR(__xludf.DUMMYFUNCTION("""COMPUTED_VALUE"""),460)</f>
        <v>460</v>
      </c>
      <c r="AF346" s="1">
        <f ca="1">IFERROR(__xludf.DUMMYFUNCTION("""COMPUTED_VALUE"""),512)</f>
        <v>512</v>
      </c>
    </row>
    <row r="347" spans="1:32" ht="12.5" x14ac:dyDescent="0.25">
      <c r="A347" s="1" t="str">
        <f ca="1">IFERROR(__xludf.DUMMYFUNCTION("""COMPUTED_VALUE"""),"Utah StateNCAA")</f>
        <v>Utah StateNCAA</v>
      </c>
      <c r="B347" s="1">
        <f ca="1">IFERROR(__xludf.DUMMYFUNCTION("""COMPUTED_VALUE"""),35)</f>
        <v>35</v>
      </c>
      <c r="C347" s="1">
        <f ca="1">IFERROR(__xludf.DUMMYFUNCTION("""COMPUTED_VALUE"""),27)</f>
        <v>27</v>
      </c>
      <c r="D347" s="1">
        <f ca="1">IFERROR(__xludf.DUMMYFUNCTION("""COMPUTED_VALUE"""),8)</f>
        <v>8</v>
      </c>
      <c r="E347" s="1">
        <f ca="1">IFERROR(__xludf.DUMMYFUNCTION("""COMPUTED_VALUE"""),0.771)</f>
        <v>0.77100000000000002</v>
      </c>
      <c r="F347" s="1">
        <f ca="1">IFERROR(__xludf.DUMMYFUNCTION("""COMPUTED_VALUE"""),13.62)</f>
        <v>13.62</v>
      </c>
      <c r="G347" s="1">
        <f ca="1">IFERROR(__xludf.DUMMYFUNCTION("""COMPUTED_VALUE"""),1.23)</f>
        <v>1.23</v>
      </c>
      <c r="H347" s="1">
        <f ca="1">IFERROR(__xludf.DUMMYFUNCTION("""COMPUTED_VALUE"""),14)</f>
        <v>14</v>
      </c>
      <c r="I347" s="1">
        <f ca="1">IFERROR(__xludf.DUMMYFUNCTION("""COMPUTED_VALUE"""),2)</f>
        <v>2</v>
      </c>
      <c r="J347" s="1">
        <f ca="1">IFERROR(__xludf.DUMMYFUNCTION("""COMPUTED_VALUE"""),17)</f>
        <v>17</v>
      </c>
      <c r="K347" s="1">
        <f ca="1">IFERROR(__xludf.DUMMYFUNCTION("""COMPUTED_VALUE"""),1)</f>
        <v>1</v>
      </c>
      <c r="L347" s="1">
        <f ca="1">IFERROR(__xludf.DUMMYFUNCTION("""COMPUTED_VALUE"""),8)</f>
        <v>8</v>
      </c>
      <c r="M347" s="1">
        <f ca="1">IFERROR(__xludf.DUMMYFUNCTION("""COMPUTED_VALUE"""),5)</f>
        <v>5</v>
      </c>
      <c r="N347" s="1">
        <f ca="1">IFERROR(__xludf.DUMMYFUNCTION("""COMPUTED_VALUE"""),2559)</f>
        <v>2559</v>
      </c>
      <c r="O347" s="1">
        <f ca="1">IFERROR(__xludf.DUMMYFUNCTION("""COMPUTED_VALUE"""),2097)</f>
        <v>2097</v>
      </c>
      <c r="P347" s="1">
        <f ca="1">IFERROR(__xludf.DUMMYFUNCTION("""COMPUTED_VALUE"""),1405)</f>
        <v>1405</v>
      </c>
      <c r="Q347" s="1">
        <f ca="1">IFERROR(__xludf.DUMMYFUNCTION("""COMPUTED_VALUE"""),941)</f>
        <v>941</v>
      </c>
      <c r="R347" s="1">
        <f ca="1">IFERROR(__xludf.DUMMYFUNCTION("""COMPUTED_VALUE"""),1928)</f>
        <v>1928</v>
      </c>
      <c r="S347" s="1">
        <f ca="1">IFERROR(__xludf.DUMMYFUNCTION("""COMPUTED_VALUE"""),0.488)</f>
        <v>0.48799999999999999</v>
      </c>
      <c r="T347" s="1">
        <f ca="1">IFERROR(__xludf.DUMMYFUNCTION("""COMPUTED_VALUE"""),242)</f>
        <v>242</v>
      </c>
      <c r="U347" s="1">
        <f ca="1">IFERROR(__xludf.DUMMYFUNCTION("""COMPUTED_VALUE"""),585)</f>
        <v>585</v>
      </c>
      <c r="V347" s="1">
        <f ca="1">IFERROR(__xludf.DUMMYFUNCTION("""COMPUTED_VALUE"""),0.414)</f>
        <v>0.41399999999999998</v>
      </c>
      <c r="W347" s="1">
        <f ca="1">IFERROR(__xludf.DUMMYFUNCTION("""COMPUTED_VALUE"""),435)</f>
        <v>435</v>
      </c>
      <c r="X347" s="1">
        <f ca="1">IFERROR(__xludf.DUMMYFUNCTION("""COMPUTED_VALUE"""),574)</f>
        <v>574</v>
      </c>
      <c r="Y347" s="1">
        <f ca="1">IFERROR(__xludf.DUMMYFUNCTION("""COMPUTED_VALUE"""),0.758)</f>
        <v>0.75800000000000001</v>
      </c>
      <c r="Z347" s="1">
        <f ca="1">IFERROR(__xludf.DUMMYFUNCTION("""COMPUTED_VALUE"""),362)</f>
        <v>362</v>
      </c>
      <c r="AA347" s="1">
        <f ca="1">IFERROR(__xludf.DUMMYFUNCTION("""COMPUTED_VALUE"""),1238)</f>
        <v>1238</v>
      </c>
      <c r="AB347" s="1">
        <f ca="1">IFERROR(__xludf.DUMMYFUNCTION("""COMPUTED_VALUE"""),584)</f>
        <v>584</v>
      </c>
      <c r="AC347" s="1">
        <f ca="1">IFERROR(__xludf.DUMMYFUNCTION("""COMPUTED_VALUE"""),162)</f>
        <v>162</v>
      </c>
      <c r="AD347" s="1">
        <f ca="1">IFERROR(__xludf.DUMMYFUNCTION("""COMPUTED_VALUE"""),123)</f>
        <v>123</v>
      </c>
      <c r="AE347" s="1">
        <f ca="1">IFERROR(__xludf.DUMMYFUNCTION("""COMPUTED_VALUE"""),358)</f>
        <v>358</v>
      </c>
      <c r="AF347" s="1">
        <f ca="1">IFERROR(__xludf.DUMMYFUNCTION("""COMPUTED_VALUE"""),562)</f>
        <v>562</v>
      </c>
    </row>
    <row r="348" spans="1:32" ht="12.5" x14ac:dyDescent="0.25">
      <c r="A348" s="1" t="str">
        <f ca="1">IFERROR(__xludf.DUMMYFUNCTION("""COMPUTED_VALUE"""),"Utah Valley")</f>
        <v>Utah Valley</v>
      </c>
      <c r="B348" s="1">
        <f ca="1">IFERROR(__xludf.DUMMYFUNCTION("""COMPUTED_VALUE"""),30)</f>
        <v>30</v>
      </c>
      <c r="C348" s="1">
        <f ca="1">IFERROR(__xludf.DUMMYFUNCTION("""COMPUTED_VALUE"""),12)</f>
        <v>12</v>
      </c>
      <c r="D348" s="1">
        <f ca="1">IFERROR(__xludf.DUMMYFUNCTION("""COMPUTED_VALUE"""),18)</f>
        <v>18</v>
      </c>
      <c r="E348" s="1">
        <f ca="1">IFERROR(__xludf.DUMMYFUNCTION("""COMPUTED_VALUE"""),0.4)</f>
        <v>0.4</v>
      </c>
      <c r="F348" s="1">
        <f ca="1">IFERROR(__xludf.DUMMYFUNCTION("""COMPUTED_VALUE"""),-16.18)</f>
        <v>-16.18</v>
      </c>
      <c r="G348" s="1">
        <f ca="1">IFERROR(__xludf.DUMMYFUNCTION("""COMPUTED_VALUE"""),-9.25)</f>
        <v>-9.25</v>
      </c>
      <c r="H348" s="1">
        <f ca="1">IFERROR(__xludf.DUMMYFUNCTION("""COMPUTED_VALUE"""),5)</f>
        <v>5</v>
      </c>
      <c r="I348" s="1">
        <f ca="1">IFERROR(__xludf.DUMMYFUNCTION("""COMPUTED_VALUE"""),7)</f>
        <v>7</v>
      </c>
      <c r="J348" s="1">
        <f ca="1">IFERROR(__xludf.DUMMYFUNCTION("""COMPUTED_VALUE"""),11)</f>
        <v>11</v>
      </c>
      <c r="K348" s="1">
        <f ca="1">IFERROR(__xludf.DUMMYFUNCTION("""COMPUTED_VALUE"""),4)</f>
        <v>4</v>
      </c>
      <c r="L348" s="1">
        <f ca="1">IFERROR(__xludf.DUMMYFUNCTION("""COMPUTED_VALUE"""),0)</f>
        <v>0</v>
      </c>
      <c r="M348" s="1">
        <f ca="1">IFERROR(__xludf.DUMMYFUNCTION("""COMPUTED_VALUE"""),12)</f>
        <v>12</v>
      </c>
      <c r="N348" s="1">
        <f ca="1">IFERROR(__xludf.DUMMYFUNCTION("""COMPUTED_VALUE"""),1906)</f>
        <v>1906</v>
      </c>
      <c r="O348" s="1">
        <f ca="1">IFERROR(__xludf.DUMMYFUNCTION("""COMPUTED_VALUE"""),1954)</f>
        <v>1954</v>
      </c>
      <c r="P348" s="1">
        <f ca="1">IFERROR(__xludf.DUMMYFUNCTION("""COMPUTED_VALUE"""),1206)</f>
        <v>1206</v>
      </c>
      <c r="Q348" s="1">
        <f ca="1">IFERROR(__xludf.DUMMYFUNCTION("""COMPUTED_VALUE"""),650)</f>
        <v>650</v>
      </c>
      <c r="R348" s="1">
        <f ca="1">IFERROR(__xludf.DUMMYFUNCTION("""COMPUTED_VALUE"""),1575)</f>
        <v>1575</v>
      </c>
      <c r="S348" s="1">
        <f ca="1">IFERROR(__xludf.DUMMYFUNCTION("""COMPUTED_VALUE"""),0.413)</f>
        <v>0.41299999999999998</v>
      </c>
      <c r="T348" s="1">
        <f ca="1">IFERROR(__xludf.DUMMYFUNCTION("""COMPUTED_VALUE"""),178)</f>
        <v>178</v>
      </c>
      <c r="U348" s="1">
        <f ca="1">IFERROR(__xludf.DUMMYFUNCTION("""COMPUTED_VALUE"""),502)</f>
        <v>502</v>
      </c>
      <c r="V348" s="1">
        <f ca="1">IFERROR(__xludf.DUMMYFUNCTION("""COMPUTED_VALUE"""),0.355)</f>
        <v>0.35499999999999998</v>
      </c>
      <c r="W348" s="1">
        <f ca="1">IFERROR(__xludf.DUMMYFUNCTION("""COMPUTED_VALUE"""),428)</f>
        <v>428</v>
      </c>
      <c r="X348" s="1">
        <f ca="1">IFERROR(__xludf.DUMMYFUNCTION("""COMPUTED_VALUE"""),572)</f>
        <v>572</v>
      </c>
      <c r="Y348" s="1">
        <f ca="1">IFERROR(__xludf.DUMMYFUNCTION("""COMPUTED_VALUE"""),0.748)</f>
        <v>0.748</v>
      </c>
      <c r="Z348" s="1">
        <f ca="1">IFERROR(__xludf.DUMMYFUNCTION("""COMPUTED_VALUE"""),288)</f>
        <v>288</v>
      </c>
      <c r="AA348" s="1">
        <f ca="1">IFERROR(__xludf.DUMMYFUNCTION("""COMPUTED_VALUE"""),994)</f>
        <v>994</v>
      </c>
      <c r="AB348" s="1">
        <f ca="1">IFERROR(__xludf.DUMMYFUNCTION("""COMPUTED_VALUE"""),362)</f>
        <v>362</v>
      </c>
      <c r="AC348" s="1">
        <f ca="1">IFERROR(__xludf.DUMMYFUNCTION("""COMPUTED_VALUE"""),184)</f>
        <v>184</v>
      </c>
      <c r="AD348" s="1">
        <f ca="1">IFERROR(__xludf.DUMMYFUNCTION("""COMPUTED_VALUE"""),64)</f>
        <v>64</v>
      </c>
      <c r="AE348" s="1">
        <f ca="1">IFERROR(__xludf.DUMMYFUNCTION("""COMPUTED_VALUE"""),403)</f>
        <v>403</v>
      </c>
      <c r="AF348" s="1">
        <f ca="1">IFERROR(__xludf.DUMMYFUNCTION("""COMPUTED_VALUE"""),531)</f>
        <v>531</v>
      </c>
    </row>
    <row r="349" spans="1:32" ht="12.5" x14ac:dyDescent="0.25">
      <c r="A349" s="1" t="str">
        <f ca="1">IFERROR(__xludf.DUMMYFUNCTION("""COMPUTED_VALUE"""),"Utah")</f>
        <v>Utah</v>
      </c>
      <c r="B349" s="1">
        <f ca="1">IFERROR(__xludf.DUMMYFUNCTION("""COMPUTED_VALUE"""),31)</f>
        <v>31</v>
      </c>
      <c r="C349" s="1">
        <f ca="1">IFERROR(__xludf.DUMMYFUNCTION("""COMPUTED_VALUE"""),14)</f>
        <v>14</v>
      </c>
      <c r="D349" s="1">
        <f ca="1">IFERROR(__xludf.DUMMYFUNCTION("""COMPUTED_VALUE"""),17)</f>
        <v>17</v>
      </c>
      <c r="E349" s="1">
        <f ca="1">IFERROR(__xludf.DUMMYFUNCTION("""COMPUTED_VALUE"""),0.452)</f>
        <v>0.45200000000000001</v>
      </c>
      <c r="F349" s="1">
        <f ca="1">IFERROR(__xludf.DUMMYFUNCTION("""COMPUTED_VALUE"""),4.29)</f>
        <v>4.29</v>
      </c>
      <c r="G349" s="1">
        <f ca="1">IFERROR(__xludf.DUMMYFUNCTION("""COMPUTED_VALUE"""),4.16)</f>
        <v>4.16</v>
      </c>
      <c r="H349" s="1">
        <f ca="1">IFERROR(__xludf.DUMMYFUNCTION("""COMPUTED_VALUE"""),7)</f>
        <v>7</v>
      </c>
      <c r="I349" s="1">
        <f ca="1">IFERROR(__xludf.DUMMYFUNCTION("""COMPUTED_VALUE"""),9)</f>
        <v>9</v>
      </c>
      <c r="J349" s="1">
        <f ca="1">IFERROR(__xludf.DUMMYFUNCTION("""COMPUTED_VALUE"""),9)</f>
        <v>9</v>
      </c>
      <c r="K349" s="1">
        <f ca="1">IFERROR(__xludf.DUMMYFUNCTION("""COMPUTED_VALUE"""),8)</f>
        <v>8</v>
      </c>
      <c r="L349" s="1">
        <f ca="1">IFERROR(__xludf.DUMMYFUNCTION("""COMPUTED_VALUE"""),4)</f>
        <v>4</v>
      </c>
      <c r="M349" s="1">
        <f ca="1">IFERROR(__xludf.DUMMYFUNCTION("""COMPUTED_VALUE"""),8)</f>
        <v>8</v>
      </c>
      <c r="N349" s="1">
        <f ca="1">IFERROR(__xludf.DUMMYFUNCTION("""COMPUTED_VALUE"""),2059)</f>
        <v>2059</v>
      </c>
      <c r="O349" s="1">
        <f ca="1">IFERROR(__xludf.DUMMYFUNCTION("""COMPUTED_VALUE"""),2058)</f>
        <v>2058</v>
      </c>
      <c r="P349" s="1">
        <f ca="1">IFERROR(__xludf.DUMMYFUNCTION("""COMPUTED_VALUE"""),1250)</f>
        <v>1250</v>
      </c>
      <c r="Q349" s="1">
        <f ca="1">IFERROR(__xludf.DUMMYFUNCTION("""COMPUTED_VALUE"""),692)</f>
        <v>692</v>
      </c>
      <c r="R349" s="1">
        <f ca="1">IFERROR(__xludf.DUMMYFUNCTION("""COMPUTED_VALUE"""),1618)</f>
        <v>1618</v>
      </c>
      <c r="S349" s="1">
        <f ca="1">IFERROR(__xludf.DUMMYFUNCTION("""COMPUTED_VALUE"""),0.428)</f>
        <v>0.42799999999999999</v>
      </c>
      <c r="T349" s="1">
        <f ca="1">IFERROR(__xludf.DUMMYFUNCTION("""COMPUTED_VALUE"""),185)</f>
        <v>185</v>
      </c>
      <c r="U349" s="1">
        <f ca="1">IFERROR(__xludf.DUMMYFUNCTION("""COMPUTED_VALUE"""),580)</f>
        <v>580</v>
      </c>
      <c r="V349" s="1">
        <f ca="1">IFERROR(__xludf.DUMMYFUNCTION("""COMPUTED_VALUE"""),0.319)</f>
        <v>0.31900000000000001</v>
      </c>
      <c r="W349" s="1">
        <f ca="1">IFERROR(__xludf.DUMMYFUNCTION("""COMPUTED_VALUE"""),490)</f>
        <v>490</v>
      </c>
      <c r="X349" s="1">
        <f ca="1">IFERROR(__xludf.DUMMYFUNCTION("""COMPUTED_VALUE"""),655)</f>
        <v>655</v>
      </c>
      <c r="Y349" s="1">
        <f ca="1">IFERROR(__xludf.DUMMYFUNCTION("""COMPUTED_VALUE"""),0.748)</f>
        <v>0.748</v>
      </c>
      <c r="Z349" s="1">
        <f ca="1">IFERROR(__xludf.DUMMYFUNCTION("""COMPUTED_VALUE"""),284)</f>
        <v>284</v>
      </c>
      <c r="AA349" s="1">
        <f ca="1">IFERROR(__xludf.DUMMYFUNCTION("""COMPUTED_VALUE"""),1052)</f>
        <v>1052</v>
      </c>
      <c r="AB349" s="1">
        <f ca="1">IFERROR(__xludf.DUMMYFUNCTION("""COMPUTED_VALUE"""),361)</f>
        <v>361</v>
      </c>
      <c r="AC349" s="1">
        <f ca="1">IFERROR(__xludf.DUMMYFUNCTION("""COMPUTED_VALUE"""),172)</f>
        <v>172</v>
      </c>
      <c r="AD349" s="1">
        <f ca="1">IFERROR(__xludf.DUMMYFUNCTION("""COMPUTED_VALUE"""),186)</f>
        <v>186</v>
      </c>
      <c r="AE349" s="1">
        <f ca="1">IFERROR(__xludf.DUMMYFUNCTION("""COMPUTED_VALUE"""),423)</f>
        <v>423</v>
      </c>
      <c r="AF349" s="1">
        <f ca="1">IFERROR(__xludf.DUMMYFUNCTION("""COMPUTED_VALUE"""),639)</f>
        <v>639</v>
      </c>
    </row>
    <row r="350" spans="1:32" ht="12.5" x14ac:dyDescent="0.25">
      <c r="A350" s="1" t="str">
        <f ca="1">IFERROR(__xludf.DUMMYFUNCTION("""COMPUTED_VALUE"""),"Valparaiso")</f>
        <v>Valparaiso</v>
      </c>
      <c r="B350" s="1">
        <f ca="1">IFERROR(__xludf.DUMMYFUNCTION("""COMPUTED_VALUE"""),32)</f>
        <v>32</v>
      </c>
      <c r="C350" s="1">
        <f ca="1">IFERROR(__xludf.DUMMYFUNCTION("""COMPUTED_VALUE"""),15)</f>
        <v>15</v>
      </c>
      <c r="D350" s="1">
        <f ca="1">IFERROR(__xludf.DUMMYFUNCTION("""COMPUTED_VALUE"""),17)</f>
        <v>17</v>
      </c>
      <c r="E350" s="1">
        <f ca="1">IFERROR(__xludf.DUMMYFUNCTION("""COMPUTED_VALUE"""),0.469)</f>
        <v>0.46899999999999997</v>
      </c>
      <c r="F350" s="1">
        <f ca="1">IFERROR(__xludf.DUMMYFUNCTION("""COMPUTED_VALUE"""),-2.9)</f>
        <v>-2.9</v>
      </c>
      <c r="G350" s="1">
        <f ca="1">IFERROR(__xludf.DUMMYFUNCTION("""COMPUTED_VALUE"""),0.34)</f>
        <v>0.34</v>
      </c>
      <c r="H350" s="1">
        <f ca="1">IFERROR(__xludf.DUMMYFUNCTION("""COMPUTED_VALUE"""),10)</f>
        <v>10</v>
      </c>
      <c r="I350" s="1">
        <f ca="1">IFERROR(__xludf.DUMMYFUNCTION("""COMPUTED_VALUE"""),8)</f>
        <v>8</v>
      </c>
      <c r="J350" s="1">
        <f ca="1">IFERROR(__xludf.DUMMYFUNCTION("""COMPUTED_VALUE"""),9)</f>
        <v>9</v>
      </c>
      <c r="K350" s="1">
        <f ca="1">IFERROR(__xludf.DUMMYFUNCTION("""COMPUTED_VALUE"""),4)</f>
        <v>4</v>
      </c>
      <c r="L350" s="1">
        <f ca="1">IFERROR(__xludf.DUMMYFUNCTION("""COMPUTED_VALUE"""),5)</f>
        <v>5</v>
      </c>
      <c r="M350" s="1">
        <f ca="1">IFERROR(__xludf.DUMMYFUNCTION("""COMPUTED_VALUE"""),12)</f>
        <v>12</v>
      </c>
      <c r="N350" s="1">
        <f ca="1">IFERROR(__xludf.DUMMYFUNCTION("""COMPUTED_VALUE"""),2344)</f>
        <v>2344</v>
      </c>
      <c r="O350" s="1">
        <f ca="1">IFERROR(__xludf.DUMMYFUNCTION("""COMPUTED_VALUE"""),2378)</f>
        <v>2378</v>
      </c>
      <c r="P350" s="1">
        <f ca="1">IFERROR(__xludf.DUMMYFUNCTION("""COMPUTED_VALUE"""),1280)</f>
        <v>1280</v>
      </c>
      <c r="Q350" s="1">
        <f ca="1">IFERROR(__xludf.DUMMYFUNCTION("""COMPUTED_VALUE"""),823)</f>
        <v>823</v>
      </c>
      <c r="R350" s="1">
        <f ca="1">IFERROR(__xludf.DUMMYFUNCTION("""COMPUTED_VALUE"""),1764)</f>
        <v>1764</v>
      </c>
      <c r="S350" s="1">
        <f ca="1">IFERROR(__xludf.DUMMYFUNCTION("""COMPUTED_VALUE"""),0.467)</f>
        <v>0.46700000000000003</v>
      </c>
      <c r="T350" s="1">
        <f ca="1">IFERROR(__xludf.DUMMYFUNCTION("""COMPUTED_VALUE"""),245)</f>
        <v>245</v>
      </c>
      <c r="U350" s="1">
        <f ca="1">IFERROR(__xludf.DUMMYFUNCTION("""COMPUTED_VALUE"""),665)</f>
        <v>665</v>
      </c>
      <c r="V350" s="1">
        <f ca="1">IFERROR(__xludf.DUMMYFUNCTION("""COMPUTED_VALUE"""),0.368)</f>
        <v>0.36799999999999999</v>
      </c>
      <c r="W350" s="1">
        <f ca="1">IFERROR(__xludf.DUMMYFUNCTION("""COMPUTED_VALUE"""),453)</f>
        <v>453</v>
      </c>
      <c r="X350" s="1">
        <f ca="1">IFERROR(__xludf.DUMMYFUNCTION("""COMPUTED_VALUE"""),636)</f>
        <v>636</v>
      </c>
      <c r="Y350" s="1">
        <f ca="1">IFERROR(__xludf.DUMMYFUNCTION("""COMPUTED_VALUE"""),0.712)</f>
        <v>0.71199999999999997</v>
      </c>
      <c r="Z350" s="1">
        <f ca="1">IFERROR(__xludf.DUMMYFUNCTION("""COMPUTED_VALUE"""),328)</f>
        <v>328</v>
      </c>
      <c r="AA350" s="1">
        <f ca="1">IFERROR(__xludf.DUMMYFUNCTION("""COMPUTED_VALUE"""),1037)</f>
        <v>1037</v>
      </c>
      <c r="AB350" s="1">
        <f ca="1">IFERROR(__xludf.DUMMYFUNCTION("""COMPUTED_VALUE"""),479)</f>
        <v>479</v>
      </c>
      <c r="AC350" s="1">
        <f ca="1">IFERROR(__xludf.DUMMYFUNCTION("""COMPUTED_VALUE"""),227)</f>
        <v>227</v>
      </c>
      <c r="AD350" s="1">
        <f ca="1">IFERROR(__xludf.DUMMYFUNCTION("""COMPUTED_VALUE"""),71)</f>
        <v>71</v>
      </c>
      <c r="AE350" s="1">
        <f ca="1">IFERROR(__xludf.DUMMYFUNCTION("""COMPUTED_VALUE"""),439)</f>
        <v>439</v>
      </c>
      <c r="AF350" s="1">
        <f ca="1">IFERROR(__xludf.DUMMYFUNCTION("""COMPUTED_VALUE"""),644)</f>
        <v>644</v>
      </c>
    </row>
    <row r="351" spans="1:32" ht="12.5" x14ac:dyDescent="0.25">
      <c r="A351" s="1" t="str">
        <f ca="1">IFERROR(__xludf.DUMMYFUNCTION("""COMPUTED_VALUE"""),"VanderbiltNCAA")</f>
        <v>VanderbiltNCAA</v>
      </c>
      <c r="B351" s="1">
        <f ca="1">IFERROR(__xludf.DUMMYFUNCTION("""COMPUTED_VALUE"""),33)</f>
        <v>33</v>
      </c>
      <c r="C351" s="1">
        <f ca="1">IFERROR(__xludf.DUMMYFUNCTION("""COMPUTED_VALUE"""),24)</f>
        <v>24</v>
      </c>
      <c r="D351" s="1">
        <f ca="1">IFERROR(__xludf.DUMMYFUNCTION("""COMPUTED_VALUE"""),9)</f>
        <v>9</v>
      </c>
      <c r="E351" s="1">
        <f ca="1">IFERROR(__xludf.DUMMYFUNCTION("""COMPUTED_VALUE"""),0.727)</f>
        <v>0.72699999999999998</v>
      </c>
      <c r="F351" s="1">
        <f ca="1">IFERROR(__xludf.DUMMYFUNCTION("""COMPUTED_VALUE"""),15.24)</f>
        <v>15.24</v>
      </c>
      <c r="G351" s="1">
        <f ca="1">IFERROR(__xludf.DUMMYFUNCTION("""COMPUTED_VALUE"""),7.86)</f>
        <v>7.86</v>
      </c>
      <c r="H351" s="1">
        <f ca="1">IFERROR(__xludf.DUMMYFUNCTION("""COMPUTED_VALUE"""),12)</f>
        <v>12</v>
      </c>
      <c r="I351" s="1">
        <f ca="1">IFERROR(__xludf.DUMMYFUNCTION("""COMPUTED_VALUE"""),4)</f>
        <v>4</v>
      </c>
      <c r="J351" s="1">
        <f ca="1">IFERROR(__xludf.DUMMYFUNCTION("""COMPUTED_VALUE"""),14)</f>
        <v>14</v>
      </c>
      <c r="K351" s="1">
        <f ca="1">IFERROR(__xludf.DUMMYFUNCTION("""COMPUTED_VALUE"""),2)</f>
        <v>2</v>
      </c>
      <c r="L351" s="1">
        <f ca="1">IFERROR(__xludf.DUMMYFUNCTION("""COMPUTED_VALUE"""),7)</f>
        <v>7</v>
      </c>
      <c r="M351" s="1">
        <f ca="1">IFERROR(__xludf.DUMMYFUNCTION("""COMPUTED_VALUE"""),3)</f>
        <v>3</v>
      </c>
      <c r="N351" s="1">
        <f ca="1">IFERROR(__xludf.DUMMYFUNCTION("""COMPUTED_VALUE"""),2537)</f>
        <v>2537</v>
      </c>
      <c r="O351" s="1">
        <f ca="1">IFERROR(__xludf.DUMMYFUNCTION("""COMPUTED_VALUE"""),2274)</f>
        <v>2274</v>
      </c>
      <c r="P351" s="1">
        <f ca="1">IFERROR(__xludf.DUMMYFUNCTION("""COMPUTED_VALUE"""),1325)</f>
        <v>1325</v>
      </c>
      <c r="Q351" s="1">
        <f ca="1">IFERROR(__xludf.DUMMYFUNCTION("""COMPUTED_VALUE"""),859)</f>
        <v>859</v>
      </c>
      <c r="R351" s="1">
        <f ca="1">IFERROR(__xludf.DUMMYFUNCTION("""COMPUTED_VALUE"""),1829)</f>
        <v>1829</v>
      </c>
      <c r="S351" s="1">
        <f ca="1">IFERROR(__xludf.DUMMYFUNCTION("""COMPUTED_VALUE"""),0.47)</f>
        <v>0.47</v>
      </c>
      <c r="T351" s="1">
        <f ca="1">IFERROR(__xludf.DUMMYFUNCTION("""COMPUTED_VALUE"""),203)</f>
        <v>203</v>
      </c>
      <c r="U351" s="1">
        <f ca="1">IFERROR(__xludf.DUMMYFUNCTION("""COMPUTED_VALUE"""),552)</f>
        <v>552</v>
      </c>
      <c r="V351" s="1">
        <f ca="1">IFERROR(__xludf.DUMMYFUNCTION("""COMPUTED_VALUE"""),0.368)</f>
        <v>0.36799999999999999</v>
      </c>
      <c r="W351" s="1">
        <f ca="1">IFERROR(__xludf.DUMMYFUNCTION("""COMPUTED_VALUE"""),616)</f>
        <v>616</v>
      </c>
      <c r="X351" s="1">
        <f ca="1">IFERROR(__xludf.DUMMYFUNCTION("""COMPUTED_VALUE"""),854)</f>
        <v>854</v>
      </c>
      <c r="Y351" s="1">
        <f ca="1">IFERROR(__xludf.DUMMYFUNCTION("""COMPUTED_VALUE"""),0.721)</f>
        <v>0.72099999999999997</v>
      </c>
      <c r="Z351" s="1">
        <f ca="1">IFERROR(__xludf.DUMMYFUNCTION("""COMPUTED_VALUE"""),361)</f>
        <v>361</v>
      </c>
      <c r="AA351" s="1">
        <f ca="1">IFERROR(__xludf.DUMMYFUNCTION("""COMPUTED_VALUE"""),1197)</f>
        <v>1197</v>
      </c>
      <c r="AB351" s="1">
        <f ca="1">IFERROR(__xludf.DUMMYFUNCTION("""COMPUTED_VALUE"""),436)</f>
        <v>436</v>
      </c>
      <c r="AC351" s="1">
        <f ca="1">IFERROR(__xludf.DUMMYFUNCTION("""COMPUTED_VALUE"""),188)</f>
        <v>188</v>
      </c>
      <c r="AD351" s="1">
        <f ca="1">IFERROR(__xludf.DUMMYFUNCTION("""COMPUTED_VALUE"""),171)</f>
        <v>171</v>
      </c>
      <c r="AE351" s="1">
        <f ca="1">IFERROR(__xludf.DUMMYFUNCTION("""COMPUTED_VALUE"""),448)</f>
        <v>448</v>
      </c>
      <c r="AF351" s="1">
        <f ca="1">IFERROR(__xludf.DUMMYFUNCTION("""COMPUTED_VALUE"""),632)</f>
        <v>632</v>
      </c>
    </row>
    <row r="352" spans="1:32" ht="12.5" x14ac:dyDescent="0.25">
      <c r="A352" s="1" t="str">
        <f ca="1">IFERROR(__xludf.DUMMYFUNCTION("""COMPUTED_VALUE"""),"Overall")</f>
        <v>Overall</v>
      </c>
      <c r="B352" s="1" t="str">
        <f ca="1">IFERROR(__xludf.DUMMYFUNCTION("""COMPUTED_VALUE"""),"Conf.")</f>
        <v>Conf.</v>
      </c>
      <c r="C352" s="1" t="str">
        <f ca="1">IFERROR(__xludf.DUMMYFUNCTION("""COMPUTED_VALUE"""),"Home")</f>
        <v>Home</v>
      </c>
      <c r="D352" s="1" t="str">
        <f ca="1">IFERROR(__xludf.DUMMYFUNCTION("""COMPUTED_VALUE"""),"Away")</f>
        <v>Away</v>
      </c>
      <c r="E352" s="1" t="str">
        <f ca="1">IFERROR(__xludf.DUMMYFUNCTION("""COMPUTED_VALUE"""),"Points")</f>
        <v>Points</v>
      </c>
      <c r="F352" s="1" t="str">
        <f ca="1">IFERROR(__xludf.DUMMYFUNCTION("""COMPUTED_VALUE"""),"")</f>
        <v/>
      </c>
      <c r="G352" s="1" t="str">
        <f ca="1">IFERROR(__xludf.DUMMYFUNCTION("""COMPUTED_VALUE"""),"School Totals")</f>
        <v>School Totals</v>
      </c>
      <c r="H352" s="1" t="str">
        <f ca="1">IFERROR(__xludf.DUMMYFUNCTION("""COMPUTED_VALUE"""),"")</f>
        <v/>
      </c>
      <c r="I352" s="1" t="str">
        <f ca="1">IFERROR(__xludf.DUMMYFUNCTION("""COMPUTED_VALUE"""),"")</f>
        <v/>
      </c>
      <c r="J352" s="1" t="str">
        <f ca="1">IFERROR(__xludf.DUMMYFUNCTION("""COMPUTED_VALUE"""),"")</f>
        <v/>
      </c>
      <c r="K352" s="1" t="str">
        <f ca="1">IFERROR(__xludf.DUMMYFUNCTION("""COMPUTED_VALUE"""),"")</f>
        <v/>
      </c>
      <c r="L352" s="1" t="str">
        <f ca="1">IFERROR(__xludf.DUMMYFUNCTION("""COMPUTED_VALUE"""),"")</f>
        <v/>
      </c>
      <c r="M352" s="1" t="str">
        <f ca="1">IFERROR(__xludf.DUMMYFUNCTION("""COMPUTED_VALUE"""),"")</f>
        <v/>
      </c>
      <c r="N352" s="1" t="str">
        <f ca="1">IFERROR(__xludf.DUMMYFUNCTION("""COMPUTED_VALUE"""),"")</f>
        <v/>
      </c>
      <c r="O352" s="1" t="str">
        <f ca="1">IFERROR(__xludf.DUMMYFUNCTION("""COMPUTED_VALUE"""),"")</f>
        <v/>
      </c>
      <c r="P352" s="1" t="str">
        <f ca="1">IFERROR(__xludf.DUMMYFUNCTION("""COMPUTED_VALUE"""),"")</f>
        <v/>
      </c>
      <c r="Q352" s="1" t="str">
        <f ca="1">IFERROR(__xludf.DUMMYFUNCTION("""COMPUTED_VALUE"""),"")</f>
        <v/>
      </c>
      <c r="R352" s="1" t="str">
        <f ca="1">IFERROR(__xludf.DUMMYFUNCTION("""COMPUTED_VALUE"""),"")</f>
        <v/>
      </c>
      <c r="S352" s="1" t="str">
        <f ca="1">IFERROR(__xludf.DUMMYFUNCTION("""COMPUTED_VALUE"""),"")</f>
        <v/>
      </c>
      <c r="T352" s="1" t="str">
        <f ca="1">IFERROR(__xludf.DUMMYFUNCTION("""COMPUTED_VALUE"""),"")</f>
        <v/>
      </c>
      <c r="U352" s="1" t="str">
        <f ca="1">IFERROR(__xludf.DUMMYFUNCTION("""COMPUTED_VALUE"""),"")</f>
        <v/>
      </c>
      <c r="V352" s="1" t="str">
        <f ca="1">IFERROR(__xludf.DUMMYFUNCTION("""COMPUTED_VALUE"""),"")</f>
        <v/>
      </c>
      <c r="W352" s="1" t="str">
        <f ca="1">IFERROR(__xludf.DUMMYFUNCTION("""COMPUTED_VALUE"""),"")</f>
        <v/>
      </c>
      <c r="X352" s="1" t="str">
        <f ca="1">IFERROR(__xludf.DUMMYFUNCTION("""COMPUTED_VALUE"""),"")</f>
        <v/>
      </c>
      <c r="Y352" s="1" t="str">
        <f ca="1">IFERROR(__xludf.DUMMYFUNCTION("""COMPUTED_VALUE"""),"")</f>
        <v/>
      </c>
      <c r="Z352" s="1" t="str">
        <f ca="1">IFERROR(__xludf.DUMMYFUNCTION("""COMPUTED_VALUE"""),"")</f>
        <v/>
      </c>
      <c r="AA352" s="1" t="str">
        <f ca="1">IFERROR(__xludf.DUMMYFUNCTION("""COMPUTED_VALUE"""),"")</f>
        <v/>
      </c>
      <c r="AB352" s="1" t="str">
        <f ca="1">IFERROR(__xludf.DUMMYFUNCTION("""COMPUTED_VALUE"""),"")</f>
        <v/>
      </c>
      <c r="AC352" s="1" t="str">
        <f ca="1">IFERROR(__xludf.DUMMYFUNCTION("""COMPUTED_VALUE"""),"")</f>
        <v/>
      </c>
      <c r="AD352" s="1" t="str">
        <f ca="1">IFERROR(__xludf.DUMMYFUNCTION("""COMPUTED_VALUE"""),"")</f>
        <v/>
      </c>
      <c r="AE352" s="1" t="str">
        <f ca="1">IFERROR(__xludf.DUMMYFUNCTION("""COMPUTED_VALUE"""),"")</f>
        <v/>
      </c>
      <c r="AF352" s="1" t="str">
        <f ca="1">IFERROR(__xludf.DUMMYFUNCTION("""COMPUTED_VALUE"""),"")</f>
        <v/>
      </c>
    </row>
    <row r="353" spans="1:32" ht="12.5" x14ac:dyDescent="0.25">
      <c r="A353" s="1" t="str">
        <f ca="1">IFERROR(__xludf.DUMMYFUNCTION("""COMPUTED_VALUE"""),"School")</f>
        <v>School</v>
      </c>
      <c r="B353" s="1" t="str">
        <f ca="1">IFERROR(__xludf.DUMMYFUNCTION("""COMPUTED_VALUE"""),"G")</f>
        <v>G</v>
      </c>
      <c r="C353" s="1" t="str">
        <f ca="1">IFERROR(__xludf.DUMMYFUNCTION("""COMPUTED_VALUE"""),"W")</f>
        <v>W</v>
      </c>
      <c r="D353" s="1" t="str">
        <f ca="1">IFERROR(__xludf.DUMMYFUNCTION("""COMPUTED_VALUE"""),"L")</f>
        <v>L</v>
      </c>
      <c r="E353" s="1" t="str">
        <f ca="1">IFERROR(__xludf.DUMMYFUNCTION("""COMPUTED_VALUE"""),"W-L%")</f>
        <v>W-L%</v>
      </c>
      <c r="F353" s="1" t="str">
        <f ca="1">IFERROR(__xludf.DUMMYFUNCTION("""COMPUTED_VALUE"""),"SRS")</f>
        <v>SRS</v>
      </c>
      <c r="G353" s="1" t="str">
        <f ca="1">IFERROR(__xludf.DUMMYFUNCTION("""COMPUTED_VALUE"""),"SOS")</f>
        <v>SOS</v>
      </c>
      <c r="H353" s="1" t="str">
        <f ca="1">IFERROR(__xludf.DUMMYFUNCTION("""COMPUTED_VALUE"""),"W")</f>
        <v>W</v>
      </c>
      <c r="I353" s="1" t="str">
        <f ca="1">IFERROR(__xludf.DUMMYFUNCTION("""COMPUTED_VALUE"""),"L")</f>
        <v>L</v>
      </c>
      <c r="J353" s="1" t="str">
        <f ca="1">IFERROR(__xludf.DUMMYFUNCTION("""COMPUTED_VALUE"""),"W")</f>
        <v>W</v>
      </c>
      <c r="K353" s="1" t="str">
        <f ca="1">IFERROR(__xludf.DUMMYFUNCTION("""COMPUTED_VALUE"""),"L")</f>
        <v>L</v>
      </c>
      <c r="L353" s="1" t="str">
        <f ca="1">IFERROR(__xludf.DUMMYFUNCTION("""COMPUTED_VALUE"""),"W")</f>
        <v>W</v>
      </c>
      <c r="M353" s="1" t="str">
        <f ca="1">IFERROR(__xludf.DUMMYFUNCTION("""COMPUTED_VALUE"""),"L")</f>
        <v>L</v>
      </c>
      <c r="N353" s="1" t="str">
        <f ca="1">IFERROR(__xludf.DUMMYFUNCTION("""COMPUTED_VALUE"""),"Tm.")</f>
        <v>Tm.</v>
      </c>
      <c r="O353" s="1" t="str">
        <f ca="1">IFERROR(__xludf.DUMMYFUNCTION("""COMPUTED_VALUE"""),"Opp.")</f>
        <v>Opp.</v>
      </c>
      <c r="P353" s="1" t="str">
        <f ca="1">IFERROR(__xludf.DUMMYFUNCTION("""COMPUTED_VALUE"""),"MP")</f>
        <v>MP</v>
      </c>
      <c r="Q353" s="1" t="str">
        <f ca="1">IFERROR(__xludf.DUMMYFUNCTION("""COMPUTED_VALUE"""),"FG")</f>
        <v>FG</v>
      </c>
      <c r="R353" s="1" t="str">
        <f ca="1">IFERROR(__xludf.DUMMYFUNCTION("""COMPUTED_VALUE"""),"FGA")</f>
        <v>FGA</v>
      </c>
      <c r="S353" s="1" t="str">
        <f ca="1">IFERROR(__xludf.DUMMYFUNCTION("""COMPUTED_VALUE"""),"FG%")</f>
        <v>FG%</v>
      </c>
      <c r="T353" s="1" t="str">
        <f ca="1">IFERROR(__xludf.DUMMYFUNCTION("""COMPUTED_VALUE"""),"3P")</f>
        <v>3P</v>
      </c>
      <c r="U353" s="1" t="str">
        <f ca="1">IFERROR(__xludf.DUMMYFUNCTION("""COMPUTED_VALUE"""),"3PA")</f>
        <v>3PA</v>
      </c>
      <c r="V353" s="1" t="str">
        <f ca="1">IFERROR(__xludf.DUMMYFUNCTION("""COMPUTED_VALUE"""),"3P%")</f>
        <v>3P%</v>
      </c>
      <c r="W353" s="1" t="str">
        <f ca="1">IFERROR(__xludf.DUMMYFUNCTION("""COMPUTED_VALUE"""),"FT")</f>
        <v>FT</v>
      </c>
      <c r="X353" s="1" t="str">
        <f ca="1">IFERROR(__xludf.DUMMYFUNCTION("""COMPUTED_VALUE"""),"FTA")</f>
        <v>FTA</v>
      </c>
      <c r="Y353" s="1" t="str">
        <f ca="1">IFERROR(__xludf.DUMMYFUNCTION("""COMPUTED_VALUE"""),"FT%")</f>
        <v>FT%</v>
      </c>
      <c r="Z353" s="1" t="str">
        <f ca="1">IFERROR(__xludf.DUMMYFUNCTION("""COMPUTED_VALUE"""),"ORB")</f>
        <v>ORB</v>
      </c>
      <c r="AA353" s="1" t="str">
        <f ca="1">IFERROR(__xludf.DUMMYFUNCTION("""COMPUTED_VALUE"""),"TRB")</f>
        <v>TRB</v>
      </c>
      <c r="AB353" s="1" t="str">
        <f ca="1">IFERROR(__xludf.DUMMYFUNCTION("""COMPUTED_VALUE"""),"AST")</f>
        <v>AST</v>
      </c>
      <c r="AC353" s="1" t="str">
        <f ca="1">IFERROR(__xludf.DUMMYFUNCTION("""COMPUTED_VALUE"""),"STL")</f>
        <v>STL</v>
      </c>
      <c r="AD353" s="1" t="str">
        <f ca="1">IFERROR(__xludf.DUMMYFUNCTION("""COMPUTED_VALUE"""),"BLK")</f>
        <v>BLK</v>
      </c>
      <c r="AE353" s="1" t="str">
        <f ca="1">IFERROR(__xludf.DUMMYFUNCTION("""COMPUTED_VALUE"""),"TOV")</f>
        <v>TOV</v>
      </c>
      <c r="AF353" s="1" t="str">
        <f ca="1">IFERROR(__xludf.DUMMYFUNCTION("""COMPUTED_VALUE"""),"PF")</f>
        <v>PF</v>
      </c>
    </row>
    <row r="354" spans="1:32" ht="12.5" x14ac:dyDescent="0.25">
      <c r="A354" s="1" t="str">
        <f ca="1">IFERROR(__xludf.DUMMYFUNCTION("""COMPUTED_VALUE"""),"VermontNCAA")</f>
        <v>VermontNCAA</v>
      </c>
      <c r="B354" s="1">
        <f ca="1">IFERROR(__xludf.DUMMYFUNCTION("""COMPUTED_VALUE"""),35)</f>
        <v>35</v>
      </c>
      <c r="C354" s="1">
        <f ca="1">IFERROR(__xludf.DUMMYFUNCTION("""COMPUTED_VALUE"""),25)</f>
        <v>25</v>
      </c>
      <c r="D354" s="1">
        <f ca="1">IFERROR(__xludf.DUMMYFUNCTION("""COMPUTED_VALUE"""),10)</f>
        <v>10</v>
      </c>
      <c r="E354" s="1">
        <f ca="1">IFERROR(__xludf.DUMMYFUNCTION("""COMPUTED_VALUE"""),0.714)</f>
        <v>0.71399999999999997</v>
      </c>
      <c r="F354" s="1">
        <f ca="1">IFERROR(__xludf.DUMMYFUNCTION("""COMPUTED_VALUE"""),-1.26)</f>
        <v>-1.26</v>
      </c>
      <c r="G354" s="1">
        <f ca="1">IFERROR(__xludf.DUMMYFUNCTION("""COMPUTED_VALUE"""),-6.69)</f>
        <v>-6.69</v>
      </c>
      <c r="H354" s="1">
        <f ca="1">IFERROR(__xludf.DUMMYFUNCTION("""COMPUTED_VALUE"""),12)</f>
        <v>12</v>
      </c>
      <c r="I354" s="1">
        <f ca="1">IFERROR(__xludf.DUMMYFUNCTION("""COMPUTED_VALUE"""),4)</f>
        <v>4</v>
      </c>
      <c r="J354" s="1">
        <f ca="1">IFERROR(__xludf.DUMMYFUNCTION("""COMPUTED_VALUE"""),10)</f>
        <v>10</v>
      </c>
      <c r="K354" s="1">
        <f ca="1">IFERROR(__xludf.DUMMYFUNCTION("""COMPUTED_VALUE"""),2)</f>
        <v>2</v>
      </c>
      <c r="L354" s="1">
        <f ca="1">IFERROR(__xludf.DUMMYFUNCTION("""COMPUTED_VALUE"""),12)</f>
        <v>12</v>
      </c>
      <c r="M354" s="1">
        <f ca="1">IFERROR(__xludf.DUMMYFUNCTION("""COMPUTED_VALUE"""),6)</f>
        <v>6</v>
      </c>
      <c r="N354" s="1">
        <f ca="1">IFERROR(__xludf.DUMMYFUNCTION("""COMPUTED_VALUE"""),2457)</f>
        <v>2457</v>
      </c>
      <c r="O354" s="1">
        <f ca="1">IFERROR(__xludf.DUMMYFUNCTION("""COMPUTED_VALUE"""),2267)</f>
        <v>2267</v>
      </c>
      <c r="P354" s="1">
        <f ca="1">IFERROR(__xludf.DUMMYFUNCTION("""COMPUTED_VALUE"""),1405)</f>
        <v>1405</v>
      </c>
      <c r="Q354" s="1">
        <f ca="1">IFERROR(__xludf.DUMMYFUNCTION("""COMPUTED_VALUE"""),826)</f>
        <v>826</v>
      </c>
      <c r="R354" s="1">
        <f ca="1">IFERROR(__xludf.DUMMYFUNCTION("""COMPUTED_VALUE"""),1884)</f>
        <v>1884</v>
      </c>
      <c r="S354" s="1">
        <f ca="1">IFERROR(__xludf.DUMMYFUNCTION("""COMPUTED_VALUE"""),0.438)</f>
        <v>0.438</v>
      </c>
      <c r="T354" s="1">
        <f ca="1">IFERROR(__xludf.DUMMYFUNCTION("""COMPUTED_VALUE"""),166)</f>
        <v>166</v>
      </c>
      <c r="U354" s="1">
        <f ca="1">IFERROR(__xludf.DUMMYFUNCTION("""COMPUTED_VALUE"""),524)</f>
        <v>524</v>
      </c>
      <c r="V354" s="1">
        <f ca="1">IFERROR(__xludf.DUMMYFUNCTION("""COMPUTED_VALUE"""),0.317)</f>
        <v>0.317</v>
      </c>
      <c r="W354" s="1">
        <f ca="1">IFERROR(__xludf.DUMMYFUNCTION("""COMPUTED_VALUE"""),639)</f>
        <v>639</v>
      </c>
      <c r="X354" s="1">
        <f ca="1">IFERROR(__xludf.DUMMYFUNCTION("""COMPUTED_VALUE"""),930)</f>
        <v>930</v>
      </c>
      <c r="Y354" s="1">
        <f ca="1">IFERROR(__xludf.DUMMYFUNCTION("""COMPUTED_VALUE"""),0.687)</f>
        <v>0.68700000000000006</v>
      </c>
      <c r="Z354" s="1">
        <f ca="1">IFERROR(__xludf.DUMMYFUNCTION("""COMPUTED_VALUE"""),433)</f>
        <v>433</v>
      </c>
      <c r="AA354" s="1">
        <f ca="1">IFERROR(__xludf.DUMMYFUNCTION("""COMPUTED_VALUE"""),1291)</f>
        <v>1291</v>
      </c>
      <c r="AB354" s="1">
        <f ca="1">IFERROR(__xludf.DUMMYFUNCTION("""COMPUTED_VALUE"""),423)</f>
        <v>423</v>
      </c>
      <c r="AC354" s="1">
        <f ca="1">IFERROR(__xludf.DUMMYFUNCTION("""COMPUTED_VALUE"""),239)</f>
        <v>239</v>
      </c>
      <c r="AD354" s="1">
        <f ca="1">IFERROR(__xludf.DUMMYFUNCTION("""COMPUTED_VALUE"""),141)</f>
        <v>141</v>
      </c>
      <c r="AE354" s="1">
        <f ca="1">IFERROR(__xludf.DUMMYFUNCTION("""COMPUTED_VALUE"""),487)</f>
        <v>487</v>
      </c>
      <c r="AF354" s="1">
        <f ca="1">IFERROR(__xludf.DUMMYFUNCTION("""COMPUTED_VALUE"""),635)</f>
        <v>635</v>
      </c>
    </row>
    <row r="355" spans="1:32" ht="12.5" x14ac:dyDescent="0.25">
      <c r="A355" s="1" t="str">
        <f ca="1">IFERROR(__xludf.DUMMYFUNCTION("""COMPUTED_VALUE"""),"VillanovaNCAA")</f>
        <v>VillanovaNCAA</v>
      </c>
      <c r="B355" s="1">
        <f ca="1">IFERROR(__xludf.DUMMYFUNCTION("""COMPUTED_VALUE"""),33)</f>
        <v>33</v>
      </c>
      <c r="C355" s="1">
        <f ca="1">IFERROR(__xludf.DUMMYFUNCTION("""COMPUTED_VALUE"""),25)</f>
        <v>25</v>
      </c>
      <c r="D355" s="1">
        <f ca="1">IFERROR(__xludf.DUMMYFUNCTION("""COMPUTED_VALUE"""),8)</f>
        <v>8</v>
      </c>
      <c r="E355" s="1">
        <f ca="1">IFERROR(__xludf.DUMMYFUNCTION("""COMPUTED_VALUE"""),0.758)</f>
        <v>0.75800000000000001</v>
      </c>
      <c r="F355" s="1">
        <f ca="1">IFERROR(__xludf.DUMMYFUNCTION("""COMPUTED_VALUE"""),16.72)</f>
        <v>16.72</v>
      </c>
      <c r="G355" s="1">
        <f ca="1">IFERROR(__xludf.DUMMYFUNCTION("""COMPUTED_VALUE"""),7.75)</f>
        <v>7.75</v>
      </c>
      <c r="H355" s="1">
        <f ca="1">IFERROR(__xludf.DUMMYFUNCTION("""COMPUTED_VALUE"""),13)</f>
        <v>13</v>
      </c>
      <c r="I355" s="1">
        <f ca="1">IFERROR(__xludf.DUMMYFUNCTION("""COMPUTED_VALUE"""),5)</f>
        <v>5</v>
      </c>
      <c r="J355" s="1">
        <f ca="1">IFERROR(__xludf.DUMMYFUNCTION("""COMPUTED_VALUE"""),12)</f>
        <v>12</v>
      </c>
      <c r="K355" s="1">
        <f ca="1">IFERROR(__xludf.DUMMYFUNCTION("""COMPUTED_VALUE"""),2)</f>
        <v>2</v>
      </c>
      <c r="L355" s="1">
        <f ca="1">IFERROR(__xludf.DUMMYFUNCTION("""COMPUTED_VALUE"""),6)</f>
        <v>6</v>
      </c>
      <c r="M355" s="1">
        <f ca="1">IFERROR(__xludf.DUMMYFUNCTION("""COMPUTED_VALUE"""),4)</f>
        <v>4</v>
      </c>
      <c r="N355" s="1">
        <f ca="1">IFERROR(__xludf.DUMMYFUNCTION("""COMPUTED_VALUE"""),2700)</f>
        <v>2700</v>
      </c>
      <c r="O355" s="1">
        <f ca="1">IFERROR(__xludf.DUMMYFUNCTION("""COMPUTED_VALUE"""),2404)</f>
        <v>2404</v>
      </c>
      <c r="P355" s="1">
        <f ca="1">IFERROR(__xludf.DUMMYFUNCTION("""COMPUTED_VALUE"""),1330)</f>
        <v>1330</v>
      </c>
      <c r="Q355" s="1">
        <f ca="1">IFERROR(__xludf.DUMMYFUNCTION("""COMPUTED_VALUE"""),899)</f>
        <v>899</v>
      </c>
      <c r="R355" s="1">
        <f ca="1">IFERROR(__xludf.DUMMYFUNCTION("""COMPUTED_VALUE"""),1962)</f>
        <v>1962</v>
      </c>
      <c r="S355" s="1">
        <f ca="1">IFERROR(__xludf.DUMMYFUNCTION("""COMPUTED_VALUE"""),0.458)</f>
        <v>0.45800000000000002</v>
      </c>
      <c r="T355" s="1">
        <f ca="1">IFERROR(__xludf.DUMMYFUNCTION("""COMPUTED_VALUE"""),252)</f>
        <v>252</v>
      </c>
      <c r="U355" s="1">
        <f ca="1">IFERROR(__xludf.DUMMYFUNCTION("""COMPUTED_VALUE"""),676)</f>
        <v>676</v>
      </c>
      <c r="V355" s="1">
        <f ca="1">IFERROR(__xludf.DUMMYFUNCTION("""COMPUTED_VALUE"""),0.373)</f>
        <v>0.373</v>
      </c>
      <c r="W355" s="1">
        <f ca="1">IFERROR(__xludf.DUMMYFUNCTION("""COMPUTED_VALUE"""),650)</f>
        <v>650</v>
      </c>
      <c r="X355" s="1">
        <f ca="1">IFERROR(__xludf.DUMMYFUNCTION("""COMPUTED_VALUE"""),861)</f>
        <v>861</v>
      </c>
      <c r="Y355" s="1">
        <f ca="1">IFERROR(__xludf.DUMMYFUNCTION("""COMPUTED_VALUE"""),0.755)</f>
        <v>0.755</v>
      </c>
      <c r="Z355" s="1">
        <f ca="1">IFERROR(__xludf.DUMMYFUNCTION("""COMPUTED_VALUE"""),441)</f>
        <v>441</v>
      </c>
      <c r="AA355" s="1">
        <f ca="1">IFERROR(__xludf.DUMMYFUNCTION("""COMPUTED_VALUE"""),1272)</f>
        <v>1272</v>
      </c>
      <c r="AB355" s="1">
        <f ca="1">IFERROR(__xludf.DUMMYFUNCTION("""COMPUTED_VALUE"""),448)</f>
        <v>448</v>
      </c>
      <c r="AC355" s="1">
        <f ca="1">IFERROR(__xludf.DUMMYFUNCTION("""COMPUTED_VALUE"""),259)</f>
        <v>259</v>
      </c>
      <c r="AD355" s="1">
        <f ca="1">IFERROR(__xludf.DUMMYFUNCTION("""COMPUTED_VALUE"""),133)</f>
        <v>133</v>
      </c>
      <c r="AE355" s="1">
        <f ca="1">IFERROR(__xludf.DUMMYFUNCTION("""COMPUTED_VALUE"""),452)</f>
        <v>452</v>
      </c>
      <c r="AF355" s="1">
        <f ca="1">IFERROR(__xludf.DUMMYFUNCTION("""COMPUTED_VALUE"""),731)</f>
        <v>731</v>
      </c>
    </row>
    <row r="356" spans="1:32" ht="12.5" x14ac:dyDescent="0.25">
      <c r="A356" s="1" t="str">
        <f ca="1">IFERROR(__xludf.DUMMYFUNCTION("""COMPUTED_VALUE"""),"Virginia Commonwealth")</f>
        <v>Virginia Commonwealth</v>
      </c>
      <c r="B356" s="1">
        <f ca="1">IFERROR(__xludf.DUMMYFUNCTION("""COMPUTED_VALUE"""),36)</f>
        <v>36</v>
      </c>
      <c r="C356" s="1">
        <f ca="1">IFERROR(__xludf.DUMMYFUNCTION("""COMPUTED_VALUE"""),27)</f>
        <v>27</v>
      </c>
      <c r="D356" s="1">
        <f ca="1">IFERROR(__xludf.DUMMYFUNCTION("""COMPUTED_VALUE"""),9)</f>
        <v>9</v>
      </c>
      <c r="E356" s="1">
        <f ca="1">IFERROR(__xludf.DUMMYFUNCTION("""COMPUTED_VALUE"""),0.75)</f>
        <v>0.75</v>
      </c>
      <c r="F356" s="1">
        <f ca="1">IFERROR(__xludf.DUMMYFUNCTION("""COMPUTED_VALUE"""),10.23)</f>
        <v>10.23</v>
      </c>
      <c r="G356" s="1">
        <f ca="1">IFERROR(__xludf.DUMMYFUNCTION("""COMPUTED_VALUE"""),0.64)</f>
        <v>0.64</v>
      </c>
      <c r="H356" s="1">
        <f ca="1">IFERROR(__xludf.DUMMYFUNCTION("""COMPUTED_VALUE"""),11)</f>
        <v>11</v>
      </c>
      <c r="I356" s="1">
        <f ca="1">IFERROR(__xludf.DUMMYFUNCTION("""COMPUTED_VALUE"""),7)</f>
        <v>7</v>
      </c>
      <c r="J356" s="1">
        <f ca="1">IFERROR(__xludf.DUMMYFUNCTION("""COMPUTED_VALUE"""),20)</f>
        <v>20</v>
      </c>
      <c r="K356" s="1">
        <f ca="1">IFERROR(__xludf.DUMMYFUNCTION("""COMPUTED_VALUE"""),2)</f>
        <v>2</v>
      </c>
      <c r="L356" s="1">
        <f ca="1">IFERROR(__xludf.DUMMYFUNCTION("""COMPUTED_VALUE"""),7)</f>
        <v>7</v>
      </c>
      <c r="M356" s="1">
        <f ca="1">IFERROR(__xludf.DUMMYFUNCTION("""COMPUTED_VALUE"""),7)</f>
        <v>7</v>
      </c>
      <c r="N356" s="1">
        <f ca="1">IFERROR(__xludf.DUMMYFUNCTION("""COMPUTED_VALUE"""),2737)</f>
        <v>2737</v>
      </c>
      <c r="O356" s="1">
        <f ca="1">IFERROR(__xludf.DUMMYFUNCTION("""COMPUTED_VALUE"""),2392)</f>
        <v>2392</v>
      </c>
      <c r="P356" s="1">
        <f ca="1">IFERROR(__xludf.DUMMYFUNCTION("""COMPUTED_VALUE"""),1450)</f>
        <v>1450</v>
      </c>
      <c r="Q356" s="1">
        <f ca="1">IFERROR(__xludf.DUMMYFUNCTION("""COMPUTED_VALUE"""),979)</f>
        <v>979</v>
      </c>
      <c r="R356" s="1">
        <f ca="1">IFERROR(__xludf.DUMMYFUNCTION("""COMPUTED_VALUE"""),2117)</f>
        <v>2117</v>
      </c>
      <c r="S356" s="1">
        <f ca="1">IFERROR(__xludf.DUMMYFUNCTION("""COMPUTED_VALUE"""),0.462)</f>
        <v>0.46200000000000002</v>
      </c>
      <c r="T356" s="1">
        <f ca="1">IFERROR(__xludf.DUMMYFUNCTION("""COMPUTED_VALUE"""),253)</f>
        <v>253</v>
      </c>
      <c r="U356" s="1">
        <f ca="1">IFERROR(__xludf.DUMMYFUNCTION("""COMPUTED_VALUE"""),691)</f>
        <v>691</v>
      </c>
      <c r="V356" s="1">
        <f ca="1">IFERROR(__xludf.DUMMYFUNCTION("""COMPUTED_VALUE"""),0.366)</f>
        <v>0.36599999999999999</v>
      </c>
      <c r="W356" s="1">
        <f ca="1">IFERROR(__xludf.DUMMYFUNCTION("""COMPUTED_VALUE"""),526)</f>
        <v>526</v>
      </c>
      <c r="X356" s="1">
        <f ca="1">IFERROR(__xludf.DUMMYFUNCTION("""COMPUTED_VALUE"""),747)</f>
        <v>747</v>
      </c>
      <c r="Y356" s="1">
        <f ca="1">IFERROR(__xludf.DUMMYFUNCTION("""COMPUTED_VALUE"""),0.704)</f>
        <v>0.70399999999999996</v>
      </c>
      <c r="Z356" s="1">
        <f ca="1">IFERROR(__xludf.DUMMYFUNCTION("""COMPUTED_VALUE"""),462)</f>
        <v>462</v>
      </c>
      <c r="AA356" s="1">
        <f ca="1">IFERROR(__xludf.DUMMYFUNCTION("""COMPUTED_VALUE"""),1331)</f>
        <v>1331</v>
      </c>
      <c r="AB356" s="1">
        <f ca="1">IFERROR(__xludf.DUMMYFUNCTION("""COMPUTED_VALUE"""),536)</f>
        <v>536</v>
      </c>
      <c r="AC356" s="1">
        <f ca="1">IFERROR(__xludf.DUMMYFUNCTION("""COMPUTED_VALUE"""),318)</f>
        <v>318</v>
      </c>
      <c r="AD356" s="1">
        <f ca="1">IFERROR(__xludf.DUMMYFUNCTION("""COMPUTED_VALUE"""),148)</f>
        <v>148</v>
      </c>
      <c r="AE356" s="1">
        <f ca="1">IFERROR(__xludf.DUMMYFUNCTION("""COMPUTED_VALUE"""),443)</f>
        <v>443</v>
      </c>
      <c r="AF356" s="1">
        <f ca="1">IFERROR(__xludf.DUMMYFUNCTION("""COMPUTED_VALUE"""),626)</f>
        <v>626</v>
      </c>
    </row>
    <row r="357" spans="1:32" ht="12.5" x14ac:dyDescent="0.25">
      <c r="A357" s="1" t="str">
        <f ca="1">IFERROR(__xludf.DUMMYFUNCTION("""COMPUTED_VALUE"""),"VMI")</f>
        <v>VMI</v>
      </c>
      <c r="B357" s="1">
        <f ca="1">IFERROR(__xludf.DUMMYFUNCTION("""COMPUTED_VALUE"""),29)</f>
        <v>29</v>
      </c>
      <c r="C357" s="1">
        <f ca="1">IFERROR(__xludf.DUMMYFUNCTION("""COMPUTED_VALUE"""),10)</f>
        <v>10</v>
      </c>
      <c r="D357" s="1">
        <f ca="1">IFERROR(__xludf.DUMMYFUNCTION("""COMPUTED_VALUE"""),19)</f>
        <v>19</v>
      </c>
      <c r="E357" s="1">
        <f ca="1">IFERROR(__xludf.DUMMYFUNCTION("""COMPUTED_VALUE"""),0.345)</f>
        <v>0.34499999999999997</v>
      </c>
      <c r="F357" s="1">
        <f ca="1">IFERROR(__xludf.DUMMYFUNCTION("""COMPUTED_VALUE"""),-19.91)</f>
        <v>-19.91</v>
      </c>
      <c r="G357" s="1">
        <f ca="1">IFERROR(__xludf.DUMMYFUNCTION("""COMPUTED_VALUE"""),-7.21)</f>
        <v>-7.21</v>
      </c>
      <c r="H357" s="1">
        <f ca="1">IFERROR(__xludf.DUMMYFUNCTION("""COMPUTED_VALUE"""),5)</f>
        <v>5</v>
      </c>
      <c r="I357" s="1">
        <f ca="1">IFERROR(__xludf.DUMMYFUNCTION("""COMPUTED_VALUE"""),13)</f>
        <v>13</v>
      </c>
      <c r="J357" s="1">
        <f ca="1">IFERROR(__xludf.DUMMYFUNCTION("""COMPUTED_VALUE"""),8)</f>
        <v>8</v>
      </c>
      <c r="K357" s="1">
        <f ca="1">IFERROR(__xludf.DUMMYFUNCTION("""COMPUTED_VALUE"""),6)</f>
        <v>6</v>
      </c>
      <c r="L357" s="1">
        <f ca="1">IFERROR(__xludf.DUMMYFUNCTION("""COMPUTED_VALUE"""),2)</f>
        <v>2</v>
      </c>
      <c r="M357" s="1">
        <f ca="1">IFERROR(__xludf.DUMMYFUNCTION("""COMPUTED_VALUE"""),13)</f>
        <v>13</v>
      </c>
      <c r="N357" s="1">
        <f ca="1">IFERROR(__xludf.DUMMYFUNCTION("""COMPUTED_VALUE"""),2569)</f>
        <v>2569</v>
      </c>
      <c r="O357" s="1">
        <f ca="1">IFERROR(__xludf.DUMMYFUNCTION("""COMPUTED_VALUE"""),2799)</f>
        <v>2799</v>
      </c>
      <c r="P357" s="1">
        <f ca="1">IFERROR(__xludf.DUMMYFUNCTION("""COMPUTED_VALUE"""),1165)</f>
        <v>1165</v>
      </c>
      <c r="Q357" s="1">
        <f ca="1">IFERROR(__xludf.DUMMYFUNCTION("""COMPUTED_VALUE"""),883)</f>
        <v>883</v>
      </c>
      <c r="R357" s="1">
        <f ca="1">IFERROR(__xludf.DUMMYFUNCTION("""COMPUTED_VALUE"""),2120)</f>
        <v>2120</v>
      </c>
      <c r="S357" s="1">
        <f ca="1">IFERROR(__xludf.DUMMYFUNCTION("""COMPUTED_VALUE"""),0.417)</f>
        <v>0.41699999999999998</v>
      </c>
      <c r="T357" s="1">
        <f ca="1">IFERROR(__xludf.DUMMYFUNCTION("""COMPUTED_VALUE"""),335)</f>
        <v>335</v>
      </c>
      <c r="U357" s="1">
        <f ca="1">IFERROR(__xludf.DUMMYFUNCTION("""COMPUTED_VALUE"""),1026)</f>
        <v>1026</v>
      </c>
      <c r="V357" s="1">
        <f ca="1">IFERROR(__xludf.DUMMYFUNCTION("""COMPUTED_VALUE"""),0.327)</f>
        <v>0.32700000000000001</v>
      </c>
      <c r="W357" s="1">
        <f ca="1">IFERROR(__xludf.DUMMYFUNCTION("""COMPUTED_VALUE"""),468)</f>
        <v>468</v>
      </c>
      <c r="X357" s="1">
        <f ca="1">IFERROR(__xludf.DUMMYFUNCTION("""COMPUTED_VALUE"""),687)</f>
        <v>687</v>
      </c>
      <c r="Y357" s="1">
        <f ca="1">IFERROR(__xludf.DUMMYFUNCTION("""COMPUTED_VALUE"""),0.681)</f>
        <v>0.68100000000000005</v>
      </c>
      <c r="Z357" s="1">
        <f ca="1">IFERROR(__xludf.DUMMYFUNCTION("""COMPUTED_VALUE"""),384)</f>
        <v>384</v>
      </c>
      <c r="AA357" s="1">
        <f ca="1">IFERROR(__xludf.DUMMYFUNCTION("""COMPUTED_VALUE"""),1075)</f>
        <v>1075</v>
      </c>
      <c r="AB357" s="1">
        <f ca="1">IFERROR(__xludf.DUMMYFUNCTION("""COMPUTED_VALUE"""),422)</f>
        <v>422</v>
      </c>
      <c r="AC357" s="1">
        <f ca="1">IFERROR(__xludf.DUMMYFUNCTION("""COMPUTED_VALUE"""),301)</f>
        <v>301</v>
      </c>
      <c r="AD357" s="1">
        <f ca="1">IFERROR(__xludf.DUMMYFUNCTION("""COMPUTED_VALUE"""),144)</f>
        <v>144</v>
      </c>
      <c r="AE357" s="1">
        <f ca="1">IFERROR(__xludf.DUMMYFUNCTION("""COMPUTED_VALUE"""),426)</f>
        <v>426</v>
      </c>
      <c r="AF357" s="1">
        <f ca="1">IFERROR(__xludf.DUMMYFUNCTION("""COMPUTED_VALUE"""),594)</f>
        <v>594</v>
      </c>
    </row>
    <row r="358" spans="1:32" ht="12.5" x14ac:dyDescent="0.25">
      <c r="A358" s="1" t="str">
        <f ca="1">IFERROR(__xludf.DUMMYFUNCTION("""COMPUTED_VALUE"""),"Virginia Tech")</f>
        <v>Virginia Tech</v>
      </c>
      <c r="B358" s="1">
        <f ca="1">IFERROR(__xludf.DUMMYFUNCTION("""COMPUTED_VALUE"""),34)</f>
        <v>34</v>
      </c>
      <c r="C358" s="1">
        <f ca="1">IFERROR(__xludf.DUMMYFUNCTION("""COMPUTED_VALUE"""),25)</f>
        <v>25</v>
      </c>
      <c r="D358" s="1">
        <f ca="1">IFERROR(__xludf.DUMMYFUNCTION("""COMPUTED_VALUE"""),9)</f>
        <v>9</v>
      </c>
      <c r="E358" s="1">
        <f ca="1">IFERROR(__xludf.DUMMYFUNCTION("""COMPUTED_VALUE"""),0.735)</f>
        <v>0.73499999999999999</v>
      </c>
      <c r="F358" s="1">
        <f ca="1">IFERROR(__xludf.DUMMYFUNCTION("""COMPUTED_VALUE"""),11.65)</f>
        <v>11.65</v>
      </c>
      <c r="G358" s="1">
        <f ca="1">IFERROR(__xludf.DUMMYFUNCTION("""COMPUTED_VALUE"""),5.13)</f>
        <v>5.13</v>
      </c>
      <c r="H358" s="1">
        <f ca="1">IFERROR(__xludf.DUMMYFUNCTION("""COMPUTED_VALUE"""),10)</f>
        <v>10</v>
      </c>
      <c r="I358" s="1">
        <f ca="1">IFERROR(__xludf.DUMMYFUNCTION("""COMPUTED_VALUE"""),6)</f>
        <v>6</v>
      </c>
      <c r="J358" s="1">
        <f ca="1">IFERROR(__xludf.DUMMYFUNCTION("""COMPUTED_VALUE"""),17)</f>
        <v>17</v>
      </c>
      <c r="K358" s="1">
        <f ca="1">IFERROR(__xludf.DUMMYFUNCTION("""COMPUTED_VALUE"""),2)</f>
        <v>2</v>
      </c>
      <c r="L358" s="1">
        <f ca="1">IFERROR(__xludf.DUMMYFUNCTION("""COMPUTED_VALUE"""),6)</f>
        <v>6</v>
      </c>
      <c r="M358" s="1">
        <f ca="1">IFERROR(__xludf.DUMMYFUNCTION("""COMPUTED_VALUE"""),6)</f>
        <v>6</v>
      </c>
      <c r="N358" s="1">
        <f ca="1">IFERROR(__xludf.DUMMYFUNCTION("""COMPUTED_VALUE"""),2473)</f>
        <v>2473</v>
      </c>
      <c r="O358" s="1">
        <f ca="1">IFERROR(__xludf.DUMMYFUNCTION("""COMPUTED_VALUE"""),2215)</f>
        <v>2215</v>
      </c>
      <c r="P358" s="1">
        <f ca="1">IFERROR(__xludf.DUMMYFUNCTION("""COMPUTED_VALUE"""),1385)</f>
        <v>1385</v>
      </c>
      <c r="Q358" s="1">
        <f ca="1">IFERROR(__xludf.DUMMYFUNCTION("""COMPUTED_VALUE"""),851)</f>
        <v>851</v>
      </c>
      <c r="R358" s="1">
        <f ca="1">IFERROR(__xludf.DUMMYFUNCTION("""COMPUTED_VALUE"""),1994)</f>
        <v>1994</v>
      </c>
      <c r="S358" s="1">
        <f ca="1">IFERROR(__xludf.DUMMYFUNCTION("""COMPUTED_VALUE"""),0.427)</f>
        <v>0.42699999999999999</v>
      </c>
      <c r="T358" s="1">
        <f ca="1">IFERROR(__xludf.DUMMYFUNCTION("""COMPUTED_VALUE"""),157)</f>
        <v>157</v>
      </c>
      <c r="U358" s="1">
        <f ca="1">IFERROR(__xludf.DUMMYFUNCTION("""COMPUTED_VALUE"""),511)</f>
        <v>511</v>
      </c>
      <c r="V358" s="1">
        <f ca="1">IFERROR(__xludf.DUMMYFUNCTION("""COMPUTED_VALUE"""),0.307)</f>
        <v>0.307</v>
      </c>
      <c r="W358" s="1">
        <f ca="1">IFERROR(__xludf.DUMMYFUNCTION("""COMPUTED_VALUE"""),614)</f>
        <v>614</v>
      </c>
      <c r="X358" s="1">
        <f ca="1">IFERROR(__xludf.DUMMYFUNCTION("""COMPUTED_VALUE"""),856)</f>
        <v>856</v>
      </c>
      <c r="Y358" s="1">
        <f ca="1">IFERROR(__xludf.DUMMYFUNCTION("""COMPUTED_VALUE"""),0.717)</f>
        <v>0.71699999999999997</v>
      </c>
      <c r="Z358" s="1">
        <f ca="1">IFERROR(__xludf.DUMMYFUNCTION("""COMPUTED_VALUE"""),443)</f>
        <v>443</v>
      </c>
      <c r="AA358" s="1">
        <f ca="1">IFERROR(__xludf.DUMMYFUNCTION("""COMPUTED_VALUE"""),1278)</f>
        <v>1278</v>
      </c>
      <c r="AB358" s="1">
        <f ca="1">IFERROR(__xludf.DUMMYFUNCTION("""COMPUTED_VALUE"""),414)</f>
        <v>414</v>
      </c>
      <c r="AC358" s="1">
        <f ca="1">IFERROR(__xludf.DUMMYFUNCTION("""COMPUTED_VALUE"""),237)</f>
        <v>237</v>
      </c>
      <c r="AD358" s="1">
        <f ca="1">IFERROR(__xludf.DUMMYFUNCTION("""COMPUTED_VALUE"""),158)</f>
        <v>158</v>
      </c>
      <c r="AE358" s="1">
        <f ca="1">IFERROR(__xludf.DUMMYFUNCTION("""COMPUTED_VALUE"""),419)</f>
        <v>419</v>
      </c>
      <c r="AF358" s="1">
        <f ca="1">IFERROR(__xludf.DUMMYFUNCTION("""COMPUTED_VALUE"""),637)</f>
        <v>637</v>
      </c>
    </row>
    <row r="359" spans="1:32" ht="12.5" x14ac:dyDescent="0.25">
      <c r="A359" s="1" t="str">
        <f ca="1">IFERROR(__xludf.DUMMYFUNCTION("""COMPUTED_VALUE"""),"Virginia")</f>
        <v>Virginia</v>
      </c>
      <c r="B359" s="1">
        <f ca="1">IFERROR(__xludf.DUMMYFUNCTION("""COMPUTED_VALUE"""),31)</f>
        <v>31</v>
      </c>
      <c r="C359" s="1">
        <f ca="1">IFERROR(__xludf.DUMMYFUNCTION("""COMPUTED_VALUE"""),15)</f>
        <v>15</v>
      </c>
      <c r="D359" s="1">
        <f ca="1">IFERROR(__xludf.DUMMYFUNCTION("""COMPUTED_VALUE"""),16)</f>
        <v>16</v>
      </c>
      <c r="E359" s="1">
        <f ca="1">IFERROR(__xludf.DUMMYFUNCTION("""COMPUTED_VALUE"""),0.484)</f>
        <v>0.48399999999999999</v>
      </c>
      <c r="F359" s="1">
        <f ca="1">IFERROR(__xludf.DUMMYFUNCTION("""COMPUTED_VALUE"""),8.8)</f>
        <v>8.8000000000000007</v>
      </c>
      <c r="G359" s="1">
        <f ca="1">IFERROR(__xludf.DUMMYFUNCTION("""COMPUTED_VALUE"""),6.93)</f>
        <v>6.93</v>
      </c>
      <c r="H359" s="1">
        <f ca="1">IFERROR(__xludf.DUMMYFUNCTION("""COMPUTED_VALUE"""),5)</f>
        <v>5</v>
      </c>
      <c r="I359" s="1">
        <f ca="1">IFERROR(__xludf.DUMMYFUNCTION("""COMPUTED_VALUE"""),11)</f>
        <v>11</v>
      </c>
      <c r="J359" s="1">
        <f ca="1">IFERROR(__xludf.DUMMYFUNCTION("""COMPUTED_VALUE"""),11)</f>
        <v>11</v>
      </c>
      <c r="K359" s="1">
        <f ca="1">IFERROR(__xludf.DUMMYFUNCTION("""COMPUTED_VALUE"""),6)</f>
        <v>6</v>
      </c>
      <c r="L359" s="1">
        <f ca="1">IFERROR(__xludf.DUMMYFUNCTION("""COMPUTED_VALUE"""),2)</f>
        <v>2</v>
      </c>
      <c r="M359" s="1">
        <f ca="1">IFERROR(__xludf.DUMMYFUNCTION("""COMPUTED_VALUE"""),8)</f>
        <v>8</v>
      </c>
      <c r="N359" s="1">
        <f ca="1">IFERROR(__xludf.DUMMYFUNCTION("""COMPUTED_VALUE"""),2029)</f>
        <v>2029</v>
      </c>
      <c r="O359" s="1">
        <f ca="1">IFERROR(__xludf.DUMMYFUNCTION("""COMPUTED_VALUE"""),1971)</f>
        <v>1971</v>
      </c>
      <c r="P359" s="1">
        <f ca="1">IFERROR(__xludf.DUMMYFUNCTION("""COMPUTED_VALUE"""),1250)</f>
        <v>1250</v>
      </c>
      <c r="Q359" s="1">
        <f ca="1">IFERROR(__xludf.DUMMYFUNCTION("""COMPUTED_VALUE"""),733)</f>
        <v>733</v>
      </c>
      <c r="R359" s="1">
        <f ca="1">IFERROR(__xludf.DUMMYFUNCTION("""COMPUTED_VALUE"""),1720)</f>
        <v>1720</v>
      </c>
      <c r="S359" s="1">
        <f ca="1">IFERROR(__xludf.DUMMYFUNCTION("""COMPUTED_VALUE"""),0.426)</f>
        <v>0.42599999999999999</v>
      </c>
      <c r="T359" s="1">
        <f ca="1">IFERROR(__xludf.DUMMYFUNCTION("""COMPUTED_VALUE"""),177)</f>
        <v>177</v>
      </c>
      <c r="U359" s="1">
        <f ca="1">IFERROR(__xludf.DUMMYFUNCTION("""COMPUTED_VALUE"""),507)</f>
        <v>507</v>
      </c>
      <c r="V359" s="1">
        <f ca="1">IFERROR(__xludf.DUMMYFUNCTION("""COMPUTED_VALUE"""),0.349)</f>
        <v>0.34899999999999998</v>
      </c>
      <c r="W359" s="1">
        <f ca="1">IFERROR(__xludf.DUMMYFUNCTION("""COMPUTED_VALUE"""),386)</f>
        <v>386</v>
      </c>
      <c r="X359" s="1">
        <f ca="1">IFERROR(__xludf.DUMMYFUNCTION("""COMPUTED_VALUE"""),516)</f>
        <v>516</v>
      </c>
      <c r="Y359" s="1">
        <f ca="1">IFERROR(__xludf.DUMMYFUNCTION("""COMPUTED_VALUE"""),0.748)</f>
        <v>0.748</v>
      </c>
      <c r="Z359" s="1">
        <f ca="1">IFERROR(__xludf.DUMMYFUNCTION("""COMPUTED_VALUE"""),318)</f>
        <v>318</v>
      </c>
      <c r="AA359" s="1">
        <f ca="1">IFERROR(__xludf.DUMMYFUNCTION("""COMPUTED_VALUE"""),1053)</f>
        <v>1053</v>
      </c>
      <c r="AB359" s="1">
        <f ca="1">IFERROR(__xludf.DUMMYFUNCTION("""COMPUTED_VALUE"""),403)</f>
        <v>403</v>
      </c>
      <c r="AC359" s="1">
        <f ca="1">IFERROR(__xludf.DUMMYFUNCTION("""COMPUTED_VALUE"""),190)</f>
        <v>190</v>
      </c>
      <c r="AD359" s="1">
        <f ca="1">IFERROR(__xludf.DUMMYFUNCTION("""COMPUTED_VALUE"""),81)</f>
        <v>81</v>
      </c>
      <c r="AE359" s="1">
        <f ca="1">IFERROR(__xludf.DUMMYFUNCTION("""COMPUTED_VALUE"""),333)</f>
        <v>333</v>
      </c>
      <c r="AF359" s="1">
        <f ca="1">IFERROR(__xludf.DUMMYFUNCTION("""COMPUTED_VALUE"""),510)</f>
        <v>510</v>
      </c>
    </row>
    <row r="360" spans="1:32" ht="12.5" x14ac:dyDescent="0.25">
      <c r="A360" s="1" t="str">
        <f ca="1">IFERROR(__xludf.DUMMYFUNCTION("""COMPUTED_VALUE"""),"Wagner")</f>
        <v>Wagner</v>
      </c>
      <c r="B360" s="1">
        <f ca="1">IFERROR(__xludf.DUMMYFUNCTION("""COMPUTED_VALUE"""),31)</f>
        <v>31</v>
      </c>
      <c r="C360" s="1">
        <f ca="1">IFERROR(__xludf.DUMMYFUNCTION("""COMPUTED_VALUE"""),5)</f>
        <v>5</v>
      </c>
      <c r="D360" s="1">
        <f ca="1">IFERROR(__xludf.DUMMYFUNCTION("""COMPUTED_VALUE"""),26)</f>
        <v>26</v>
      </c>
      <c r="E360" s="1">
        <f ca="1">IFERROR(__xludf.DUMMYFUNCTION("""COMPUTED_VALUE"""),0.161)</f>
        <v>0.161</v>
      </c>
      <c r="F360" s="1">
        <f ca="1">IFERROR(__xludf.DUMMYFUNCTION("""COMPUTED_VALUE"""),-18.05)</f>
        <v>-18.05</v>
      </c>
      <c r="G360" s="1">
        <f ca="1">IFERROR(__xludf.DUMMYFUNCTION("""COMPUTED_VALUE"""),-8.78)</f>
        <v>-8.7799999999999994</v>
      </c>
      <c r="H360" s="1">
        <f ca="1">IFERROR(__xludf.DUMMYFUNCTION("""COMPUTED_VALUE"""),3)</f>
        <v>3</v>
      </c>
      <c r="I360" s="1">
        <f ca="1">IFERROR(__xludf.DUMMYFUNCTION("""COMPUTED_VALUE"""),15)</f>
        <v>15</v>
      </c>
      <c r="J360" s="1">
        <f ca="1">IFERROR(__xludf.DUMMYFUNCTION("""COMPUTED_VALUE"""),2)</f>
        <v>2</v>
      </c>
      <c r="K360" s="1">
        <f ca="1">IFERROR(__xludf.DUMMYFUNCTION("""COMPUTED_VALUE"""),11)</f>
        <v>11</v>
      </c>
      <c r="L360" s="1">
        <f ca="1">IFERROR(__xludf.DUMMYFUNCTION("""COMPUTED_VALUE"""),2)</f>
        <v>2</v>
      </c>
      <c r="M360" s="1">
        <f ca="1">IFERROR(__xludf.DUMMYFUNCTION("""COMPUTED_VALUE"""),14)</f>
        <v>14</v>
      </c>
      <c r="N360" s="1">
        <f ca="1">IFERROR(__xludf.DUMMYFUNCTION("""COMPUTED_VALUE"""),1833)</f>
        <v>1833</v>
      </c>
      <c r="O360" s="1">
        <f ca="1">IFERROR(__xludf.DUMMYFUNCTION("""COMPUTED_VALUE"""),2111)</f>
        <v>2111</v>
      </c>
      <c r="P360" s="1">
        <f ca="1">IFERROR(__xludf.DUMMYFUNCTION("""COMPUTED_VALUE"""),1210)</f>
        <v>1210</v>
      </c>
      <c r="Q360" s="1">
        <f ca="1">IFERROR(__xludf.DUMMYFUNCTION("""COMPUTED_VALUE"""),659)</f>
        <v>659</v>
      </c>
      <c r="R360" s="1">
        <f ca="1">IFERROR(__xludf.DUMMYFUNCTION("""COMPUTED_VALUE"""),1635)</f>
        <v>1635</v>
      </c>
      <c r="S360" s="1">
        <f ca="1">IFERROR(__xludf.DUMMYFUNCTION("""COMPUTED_VALUE"""),0.403)</f>
        <v>0.40300000000000002</v>
      </c>
      <c r="T360" s="1">
        <f ca="1">IFERROR(__xludf.DUMMYFUNCTION("""COMPUTED_VALUE"""),228)</f>
        <v>228</v>
      </c>
      <c r="U360" s="1">
        <f ca="1">IFERROR(__xludf.DUMMYFUNCTION("""COMPUTED_VALUE"""),663)</f>
        <v>663</v>
      </c>
      <c r="V360" s="1">
        <f ca="1">IFERROR(__xludf.DUMMYFUNCTION("""COMPUTED_VALUE"""),0.344)</f>
        <v>0.34399999999999997</v>
      </c>
      <c r="W360" s="1">
        <f ca="1">IFERROR(__xludf.DUMMYFUNCTION("""COMPUTED_VALUE"""),287)</f>
        <v>287</v>
      </c>
      <c r="X360" s="1">
        <f ca="1">IFERROR(__xludf.DUMMYFUNCTION("""COMPUTED_VALUE"""),463)</f>
        <v>463</v>
      </c>
      <c r="Y360" s="1">
        <f ca="1">IFERROR(__xludf.DUMMYFUNCTION("""COMPUTED_VALUE"""),0.62)</f>
        <v>0.62</v>
      </c>
      <c r="Z360" s="1">
        <f ca="1">IFERROR(__xludf.DUMMYFUNCTION("""COMPUTED_VALUE"""),328)</f>
        <v>328</v>
      </c>
      <c r="AA360" s="1">
        <f ca="1">IFERROR(__xludf.DUMMYFUNCTION("""COMPUTED_VALUE"""),1002)</f>
        <v>1002</v>
      </c>
      <c r="AB360" s="1">
        <f ca="1">IFERROR(__xludf.DUMMYFUNCTION("""COMPUTED_VALUE"""),369)</f>
        <v>369</v>
      </c>
      <c r="AC360" s="1">
        <f ca="1">IFERROR(__xludf.DUMMYFUNCTION("""COMPUTED_VALUE"""),194)</f>
        <v>194</v>
      </c>
      <c r="AD360" s="1">
        <f ca="1">IFERROR(__xludf.DUMMYFUNCTION("""COMPUTED_VALUE"""),105)</f>
        <v>105</v>
      </c>
      <c r="AE360" s="1">
        <f ca="1">IFERROR(__xludf.DUMMYFUNCTION("""COMPUTED_VALUE"""),518)</f>
        <v>518</v>
      </c>
      <c r="AF360" s="1">
        <f ca="1">IFERROR(__xludf.DUMMYFUNCTION("""COMPUTED_VALUE"""),571)</f>
        <v>571</v>
      </c>
    </row>
    <row r="361" spans="1:32" ht="12.5" x14ac:dyDescent="0.25">
      <c r="A361" s="1" t="str">
        <f ca="1">IFERROR(__xludf.DUMMYFUNCTION("""COMPUTED_VALUE"""),"Wake ForestNCAA")</f>
        <v>Wake ForestNCAA</v>
      </c>
      <c r="B361" s="1">
        <f ca="1">IFERROR(__xludf.DUMMYFUNCTION("""COMPUTED_VALUE"""),31)</f>
        <v>31</v>
      </c>
      <c r="C361" s="1">
        <f ca="1">IFERROR(__xludf.DUMMYFUNCTION("""COMPUTED_VALUE"""),20)</f>
        <v>20</v>
      </c>
      <c r="D361" s="1">
        <f ca="1">IFERROR(__xludf.DUMMYFUNCTION("""COMPUTED_VALUE"""),11)</f>
        <v>11</v>
      </c>
      <c r="E361" s="1">
        <f ca="1">IFERROR(__xludf.DUMMYFUNCTION("""COMPUTED_VALUE"""),0.645)</f>
        <v>0.64500000000000002</v>
      </c>
      <c r="F361" s="1">
        <f ca="1">IFERROR(__xludf.DUMMYFUNCTION("""COMPUTED_VALUE"""),11.45)</f>
        <v>11.45</v>
      </c>
      <c r="G361" s="1">
        <f ca="1">IFERROR(__xludf.DUMMYFUNCTION("""COMPUTED_VALUE"""),8.85)</f>
        <v>8.85</v>
      </c>
      <c r="H361" s="1">
        <f ca="1">IFERROR(__xludf.DUMMYFUNCTION("""COMPUTED_VALUE"""),9)</f>
        <v>9</v>
      </c>
      <c r="I361" s="1">
        <f ca="1">IFERROR(__xludf.DUMMYFUNCTION("""COMPUTED_VALUE"""),7)</f>
        <v>7</v>
      </c>
      <c r="J361" s="1">
        <f ca="1">IFERROR(__xludf.DUMMYFUNCTION("""COMPUTED_VALUE"""),13)</f>
        <v>13</v>
      </c>
      <c r="K361" s="1">
        <f ca="1">IFERROR(__xludf.DUMMYFUNCTION("""COMPUTED_VALUE"""),2)</f>
        <v>2</v>
      </c>
      <c r="L361" s="1">
        <f ca="1">IFERROR(__xludf.DUMMYFUNCTION("""COMPUTED_VALUE"""),5)</f>
        <v>5</v>
      </c>
      <c r="M361" s="1">
        <f ca="1">IFERROR(__xludf.DUMMYFUNCTION("""COMPUTED_VALUE"""),7)</f>
        <v>7</v>
      </c>
      <c r="N361" s="1">
        <f ca="1">IFERROR(__xludf.DUMMYFUNCTION("""COMPUTED_VALUE"""),2257)</f>
        <v>2257</v>
      </c>
      <c r="O361" s="1">
        <f ca="1">IFERROR(__xludf.DUMMYFUNCTION("""COMPUTED_VALUE"""),2155)</f>
        <v>2155</v>
      </c>
      <c r="P361" s="1">
        <f ca="1">IFERROR(__xludf.DUMMYFUNCTION("""COMPUTED_VALUE"""),1270)</f>
        <v>1270</v>
      </c>
      <c r="Q361" s="1">
        <f ca="1">IFERROR(__xludf.DUMMYFUNCTION("""COMPUTED_VALUE"""),811)</f>
        <v>811</v>
      </c>
      <c r="R361" s="1">
        <f ca="1">IFERROR(__xludf.DUMMYFUNCTION("""COMPUTED_VALUE"""),1869)</f>
        <v>1869</v>
      </c>
      <c r="S361" s="1">
        <f ca="1">IFERROR(__xludf.DUMMYFUNCTION("""COMPUTED_VALUE"""),0.434)</f>
        <v>0.434</v>
      </c>
      <c r="T361" s="1">
        <f ca="1">IFERROR(__xludf.DUMMYFUNCTION("""COMPUTED_VALUE"""),134)</f>
        <v>134</v>
      </c>
      <c r="U361" s="1">
        <f ca="1">IFERROR(__xludf.DUMMYFUNCTION("""COMPUTED_VALUE"""),435)</f>
        <v>435</v>
      </c>
      <c r="V361" s="1">
        <f ca="1">IFERROR(__xludf.DUMMYFUNCTION("""COMPUTED_VALUE"""),0.308)</f>
        <v>0.308</v>
      </c>
      <c r="W361" s="1">
        <f ca="1">IFERROR(__xludf.DUMMYFUNCTION("""COMPUTED_VALUE"""),501)</f>
        <v>501</v>
      </c>
      <c r="X361" s="1">
        <f ca="1">IFERROR(__xludf.DUMMYFUNCTION("""COMPUTED_VALUE"""),762)</f>
        <v>762</v>
      </c>
      <c r="Y361" s="1">
        <f ca="1">IFERROR(__xludf.DUMMYFUNCTION("""COMPUTED_VALUE"""),0.657)</f>
        <v>0.65700000000000003</v>
      </c>
      <c r="Z361" s="1">
        <f ca="1">IFERROR(__xludf.DUMMYFUNCTION("""COMPUTED_VALUE"""),463)</f>
        <v>463</v>
      </c>
      <c r="AA361" s="1">
        <f ca="1">IFERROR(__xludf.DUMMYFUNCTION("""COMPUTED_VALUE"""),1306)</f>
        <v>1306</v>
      </c>
      <c r="AB361" s="1">
        <f ca="1">IFERROR(__xludf.DUMMYFUNCTION("""COMPUTED_VALUE"""),369)</f>
        <v>369</v>
      </c>
      <c r="AC361" s="1">
        <f ca="1">IFERROR(__xludf.DUMMYFUNCTION("""COMPUTED_VALUE"""),221)</f>
        <v>221</v>
      </c>
      <c r="AD361" s="1">
        <f ca="1">IFERROR(__xludf.DUMMYFUNCTION("""COMPUTED_VALUE"""),162)</f>
        <v>162</v>
      </c>
      <c r="AE361" s="1">
        <f ca="1">IFERROR(__xludf.DUMMYFUNCTION("""COMPUTED_VALUE"""),471)</f>
        <v>471</v>
      </c>
      <c r="AF361" s="1">
        <f ca="1">IFERROR(__xludf.DUMMYFUNCTION("""COMPUTED_VALUE"""),624)</f>
        <v>624</v>
      </c>
    </row>
    <row r="362" spans="1:32" ht="12.5" x14ac:dyDescent="0.25">
      <c r="A362" s="1" t="str">
        <f ca="1">IFERROR(__xludf.DUMMYFUNCTION("""COMPUTED_VALUE"""),"Washington State")</f>
        <v>Washington State</v>
      </c>
      <c r="B362" s="1">
        <f ca="1">IFERROR(__xludf.DUMMYFUNCTION("""COMPUTED_VALUE"""),31)</f>
        <v>31</v>
      </c>
      <c r="C362" s="1">
        <f ca="1">IFERROR(__xludf.DUMMYFUNCTION("""COMPUTED_VALUE"""),16)</f>
        <v>16</v>
      </c>
      <c r="D362" s="1">
        <f ca="1">IFERROR(__xludf.DUMMYFUNCTION("""COMPUTED_VALUE"""),15)</f>
        <v>15</v>
      </c>
      <c r="E362" s="1">
        <f ca="1">IFERROR(__xludf.DUMMYFUNCTION("""COMPUTED_VALUE"""),0.516)</f>
        <v>0.51600000000000001</v>
      </c>
      <c r="F362" s="1">
        <f ca="1">IFERROR(__xludf.DUMMYFUNCTION("""COMPUTED_VALUE"""),5.31)</f>
        <v>5.31</v>
      </c>
      <c r="G362" s="1">
        <f ca="1">IFERROR(__xludf.DUMMYFUNCTION("""COMPUTED_VALUE"""),4.65)</f>
        <v>4.6500000000000004</v>
      </c>
      <c r="H362" s="1">
        <f ca="1">IFERROR(__xludf.DUMMYFUNCTION("""COMPUTED_VALUE"""),6)</f>
        <v>6</v>
      </c>
      <c r="I362" s="1">
        <f ca="1">IFERROR(__xludf.DUMMYFUNCTION("""COMPUTED_VALUE"""),12)</f>
        <v>12</v>
      </c>
      <c r="J362" s="1">
        <f ca="1">IFERROR(__xludf.DUMMYFUNCTION("""COMPUTED_VALUE"""),8)</f>
        <v>8</v>
      </c>
      <c r="K362" s="1">
        <f ca="1">IFERROR(__xludf.DUMMYFUNCTION("""COMPUTED_VALUE"""),5)</f>
        <v>5</v>
      </c>
      <c r="L362" s="1">
        <f ca="1">IFERROR(__xludf.DUMMYFUNCTION("""COMPUTED_VALUE"""),4)</f>
        <v>4</v>
      </c>
      <c r="M362" s="1">
        <f ca="1">IFERROR(__xludf.DUMMYFUNCTION("""COMPUTED_VALUE"""),9)</f>
        <v>9</v>
      </c>
      <c r="N362" s="1">
        <f ca="1">IFERROR(__xludf.DUMMYFUNCTION("""COMPUTED_VALUE"""),2229)</f>
        <v>2229</v>
      </c>
      <c r="O362" s="1">
        <f ca="1">IFERROR(__xludf.DUMMYFUNCTION("""COMPUTED_VALUE"""),2190)</f>
        <v>2190</v>
      </c>
      <c r="P362" s="1">
        <f ca="1">IFERROR(__xludf.DUMMYFUNCTION("""COMPUTED_VALUE"""),1260)</f>
        <v>1260</v>
      </c>
      <c r="Q362" s="1">
        <f ca="1">IFERROR(__xludf.DUMMYFUNCTION("""COMPUTED_VALUE"""),753)</f>
        <v>753</v>
      </c>
      <c r="R362" s="1">
        <f ca="1">IFERROR(__xludf.DUMMYFUNCTION("""COMPUTED_VALUE"""),1677)</f>
        <v>1677</v>
      </c>
      <c r="S362" s="1">
        <f ca="1">IFERROR(__xludf.DUMMYFUNCTION("""COMPUTED_VALUE"""),0.449)</f>
        <v>0.44900000000000001</v>
      </c>
      <c r="T362" s="1">
        <f ca="1">IFERROR(__xludf.DUMMYFUNCTION("""COMPUTED_VALUE"""),175)</f>
        <v>175</v>
      </c>
      <c r="U362" s="1">
        <f ca="1">IFERROR(__xludf.DUMMYFUNCTION("""COMPUTED_VALUE"""),502)</f>
        <v>502</v>
      </c>
      <c r="V362" s="1">
        <f ca="1">IFERROR(__xludf.DUMMYFUNCTION("""COMPUTED_VALUE"""),0.349)</f>
        <v>0.34899999999999998</v>
      </c>
      <c r="W362" s="1">
        <f ca="1">IFERROR(__xludf.DUMMYFUNCTION("""COMPUTED_VALUE"""),548)</f>
        <v>548</v>
      </c>
      <c r="X362" s="1">
        <f ca="1">IFERROR(__xludf.DUMMYFUNCTION("""COMPUTED_VALUE"""),777)</f>
        <v>777</v>
      </c>
      <c r="Y362" s="1">
        <f ca="1">IFERROR(__xludf.DUMMYFUNCTION("""COMPUTED_VALUE"""),0.705)</f>
        <v>0.70499999999999996</v>
      </c>
      <c r="Z362" s="1">
        <f ca="1">IFERROR(__xludf.DUMMYFUNCTION("""COMPUTED_VALUE"""),371)</f>
        <v>371</v>
      </c>
      <c r="AA362" s="1">
        <f ca="1">IFERROR(__xludf.DUMMYFUNCTION("""COMPUTED_VALUE"""),1073)</f>
        <v>1073</v>
      </c>
      <c r="AB362" s="1">
        <f ca="1">IFERROR(__xludf.DUMMYFUNCTION("""COMPUTED_VALUE"""),397)</f>
        <v>397</v>
      </c>
      <c r="AC362" s="1">
        <f ca="1">IFERROR(__xludf.DUMMYFUNCTION("""COMPUTED_VALUE"""),190)</f>
        <v>190</v>
      </c>
      <c r="AD362" s="1">
        <f ca="1">IFERROR(__xludf.DUMMYFUNCTION("""COMPUTED_VALUE"""),140)</f>
        <v>140</v>
      </c>
      <c r="AE362" s="1">
        <f ca="1">IFERROR(__xludf.DUMMYFUNCTION("""COMPUTED_VALUE"""),431)</f>
        <v>431</v>
      </c>
      <c r="AF362" s="1">
        <f ca="1">IFERROR(__xludf.DUMMYFUNCTION("""COMPUTED_VALUE"""),540)</f>
        <v>540</v>
      </c>
    </row>
    <row r="363" spans="1:32" ht="12.5" x14ac:dyDescent="0.25">
      <c r="A363" s="1" t="str">
        <f ca="1">IFERROR(__xludf.DUMMYFUNCTION("""COMPUTED_VALUE"""),"WashingtonNCAA")</f>
        <v>WashingtonNCAA</v>
      </c>
      <c r="B363" s="1">
        <f ca="1">IFERROR(__xludf.DUMMYFUNCTION("""COMPUTED_VALUE"""),36)</f>
        <v>36</v>
      </c>
      <c r="C363" s="1">
        <f ca="1">IFERROR(__xludf.DUMMYFUNCTION("""COMPUTED_VALUE"""),26)</f>
        <v>26</v>
      </c>
      <c r="D363" s="1">
        <f ca="1">IFERROR(__xludf.DUMMYFUNCTION("""COMPUTED_VALUE"""),10)</f>
        <v>10</v>
      </c>
      <c r="E363" s="1">
        <f ca="1">IFERROR(__xludf.DUMMYFUNCTION("""COMPUTED_VALUE"""),0.722)</f>
        <v>0.72199999999999998</v>
      </c>
      <c r="F363" s="1">
        <f ca="1">IFERROR(__xludf.DUMMYFUNCTION("""COMPUTED_VALUE"""),15.64)</f>
        <v>15.64</v>
      </c>
      <c r="G363" s="1">
        <f ca="1">IFERROR(__xludf.DUMMYFUNCTION("""COMPUTED_VALUE"""),7.49)</f>
        <v>7.49</v>
      </c>
      <c r="H363" s="1">
        <f ca="1">IFERROR(__xludf.DUMMYFUNCTION("""COMPUTED_VALUE"""),11)</f>
        <v>11</v>
      </c>
      <c r="I363" s="1">
        <f ca="1">IFERROR(__xludf.DUMMYFUNCTION("""COMPUTED_VALUE"""),7)</f>
        <v>7</v>
      </c>
      <c r="J363" s="1">
        <f ca="1">IFERROR(__xludf.DUMMYFUNCTION("""COMPUTED_VALUE"""),17)</f>
        <v>17</v>
      </c>
      <c r="K363" s="1">
        <f ca="1">IFERROR(__xludf.DUMMYFUNCTION("""COMPUTED_VALUE"""),2)</f>
        <v>2</v>
      </c>
      <c r="L363" s="1">
        <f ca="1">IFERROR(__xludf.DUMMYFUNCTION("""COMPUTED_VALUE"""),4)</f>
        <v>4</v>
      </c>
      <c r="M363" s="1">
        <f ca="1">IFERROR(__xludf.DUMMYFUNCTION("""COMPUTED_VALUE"""),6)</f>
        <v>6</v>
      </c>
      <c r="N363" s="1">
        <f ca="1">IFERROR(__xludf.DUMMYFUNCTION("""COMPUTED_VALUE"""),2851)</f>
        <v>2851</v>
      </c>
      <c r="O363" s="1">
        <f ca="1">IFERROR(__xludf.DUMMYFUNCTION("""COMPUTED_VALUE"""),2519)</f>
        <v>2519</v>
      </c>
      <c r="P363" s="1">
        <f ca="1">IFERROR(__xludf.DUMMYFUNCTION("""COMPUTED_VALUE"""),1445)</f>
        <v>1445</v>
      </c>
      <c r="Q363" s="1">
        <f ca="1">IFERROR(__xludf.DUMMYFUNCTION("""COMPUTED_VALUE"""),1004)</f>
        <v>1004</v>
      </c>
      <c r="R363" s="1">
        <f ca="1">IFERROR(__xludf.DUMMYFUNCTION("""COMPUTED_VALUE"""),2212)</f>
        <v>2212</v>
      </c>
      <c r="S363" s="1">
        <f ca="1">IFERROR(__xludf.DUMMYFUNCTION("""COMPUTED_VALUE"""),0.454)</f>
        <v>0.45400000000000001</v>
      </c>
      <c r="T363" s="1">
        <f ca="1">IFERROR(__xludf.DUMMYFUNCTION("""COMPUTED_VALUE"""),191)</f>
        <v>191</v>
      </c>
      <c r="U363" s="1">
        <f ca="1">IFERROR(__xludf.DUMMYFUNCTION("""COMPUTED_VALUE"""),568)</f>
        <v>568</v>
      </c>
      <c r="V363" s="1">
        <f ca="1">IFERROR(__xludf.DUMMYFUNCTION("""COMPUTED_VALUE"""),0.336)</f>
        <v>0.33600000000000002</v>
      </c>
      <c r="W363" s="1">
        <f ca="1">IFERROR(__xludf.DUMMYFUNCTION("""COMPUTED_VALUE"""),652)</f>
        <v>652</v>
      </c>
      <c r="X363" s="1">
        <f ca="1">IFERROR(__xludf.DUMMYFUNCTION("""COMPUTED_VALUE"""),905)</f>
        <v>905</v>
      </c>
      <c r="Y363" s="1">
        <f ca="1">IFERROR(__xludf.DUMMYFUNCTION("""COMPUTED_VALUE"""),0.72)</f>
        <v>0.72</v>
      </c>
      <c r="Z363" s="1">
        <f ca="1">IFERROR(__xludf.DUMMYFUNCTION("""COMPUTED_VALUE"""),476)</f>
        <v>476</v>
      </c>
      <c r="AA363" s="1">
        <f ca="1">IFERROR(__xludf.DUMMYFUNCTION("""COMPUTED_VALUE"""),1364)</f>
        <v>1364</v>
      </c>
      <c r="AB363" s="1">
        <f ca="1">IFERROR(__xludf.DUMMYFUNCTION("""COMPUTED_VALUE"""),515)</f>
        <v>515</v>
      </c>
      <c r="AC363" s="1">
        <f ca="1">IFERROR(__xludf.DUMMYFUNCTION("""COMPUTED_VALUE"""),264)</f>
        <v>264</v>
      </c>
      <c r="AD363" s="1">
        <f ca="1">IFERROR(__xludf.DUMMYFUNCTION("""COMPUTED_VALUE"""),151)</f>
        <v>151</v>
      </c>
      <c r="AE363" s="1">
        <f ca="1">IFERROR(__xludf.DUMMYFUNCTION("""COMPUTED_VALUE"""),460)</f>
        <v>460</v>
      </c>
      <c r="AF363" s="1">
        <f ca="1">IFERROR(__xludf.DUMMYFUNCTION("""COMPUTED_VALUE"""),766)</f>
        <v>766</v>
      </c>
    </row>
    <row r="364" spans="1:32" ht="12.5" x14ac:dyDescent="0.25">
      <c r="A364" s="1" t="str">
        <f ca="1">IFERROR(__xludf.DUMMYFUNCTION("""COMPUTED_VALUE"""),"Weber State")</f>
        <v>Weber State</v>
      </c>
      <c r="B364" s="1">
        <f ca="1">IFERROR(__xludf.DUMMYFUNCTION("""COMPUTED_VALUE"""),31)</f>
        <v>31</v>
      </c>
      <c r="C364" s="1">
        <f ca="1">IFERROR(__xludf.DUMMYFUNCTION("""COMPUTED_VALUE"""),20)</f>
        <v>20</v>
      </c>
      <c r="D364" s="1">
        <f ca="1">IFERROR(__xludf.DUMMYFUNCTION("""COMPUTED_VALUE"""),11)</f>
        <v>11</v>
      </c>
      <c r="E364" s="1">
        <f ca="1">IFERROR(__xludf.DUMMYFUNCTION("""COMPUTED_VALUE"""),0.645)</f>
        <v>0.64500000000000002</v>
      </c>
      <c r="F364" s="1">
        <f ca="1">IFERROR(__xludf.DUMMYFUNCTION("""COMPUTED_VALUE"""),3.71)</f>
        <v>3.71</v>
      </c>
      <c r="G364" s="1">
        <f ca="1">IFERROR(__xludf.DUMMYFUNCTION("""COMPUTED_VALUE"""),-1.04)</f>
        <v>-1.04</v>
      </c>
      <c r="H364" s="1">
        <f ca="1">IFERROR(__xludf.DUMMYFUNCTION("""COMPUTED_VALUE"""),13)</f>
        <v>13</v>
      </c>
      <c r="I364" s="1">
        <f ca="1">IFERROR(__xludf.DUMMYFUNCTION("""COMPUTED_VALUE"""),3)</f>
        <v>3</v>
      </c>
      <c r="J364" s="1">
        <f ca="1">IFERROR(__xludf.DUMMYFUNCTION("""COMPUTED_VALUE"""),13)</f>
        <v>13</v>
      </c>
      <c r="K364" s="1">
        <f ca="1">IFERROR(__xludf.DUMMYFUNCTION("""COMPUTED_VALUE"""),2)</f>
        <v>2</v>
      </c>
      <c r="L364" s="1">
        <f ca="1">IFERROR(__xludf.DUMMYFUNCTION("""COMPUTED_VALUE"""),5)</f>
        <v>5</v>
      </c>
      <c r="M364" s="1">
        <f ca="1">IFERROR(__xludf.DUMMYFUNCTION("""COMPUTED_VALUE"""),9)</f>
        <v>9</v>
      </c>
      <c r="N364" s="1">
        <f ca="1">IFERROR(__xludf.DUMMYFUNCTION("""COMPUTED_VALUE"""),2361)</f>
        <v>2361</v>
      </c>
      <c r="O364" s="1">
        <f ca="1">IFERROR(__xludf.DUMMYFUNCTION("""COMPUTED_VALUE"""),2202)</f>
        <v>2202</v>
      </c>
      <c r="P364" s="1">
        <f ca="1">IFERROR(__xludf.DUMMYFUNCTION("""COMPUTED_VALUE"""),1255)</f>
        <v>1255</v>
      </c>
      <c r="Q364" s="1">
        <f ca="1">IFERROR(__xludf.DUMMYFUNCTION("""COMPUTED_VALUE"""),787)</f>
        <v>787</v>
      </c>
      <c r="R364" s="1">
        <f ca="1">IFERROR(__xludf.DUMMYFUNCTION("""COMPUTED_VALUE"""),1768)</f>
        <v>1768</v>
      </c>
      <c r="S364" s="1">
        <f ca="1">IFERROR(__xludf.DUMMYFUNCTION("""COMPUTED_VALUE"""),0.445)</f>
        <v>0.44500000000000001</v>
      </c>
      <c r="T364" s="1">
        <f ca="1">IFERROR(__xludf.DUMMYFUNCTION("""COMPUTED_VALUE"""),250)</f>
        <v>250</v>
      </c>
      <c r="U364" s="1">
        <f ca="1">IFERROR(__xludf.DUMMYFUNCTION("""COMPUTED_VALUE"""),703)</f>
        <v>703</v>
      </c>
      <c r="V364" s="1">
        <f ca="1">IFERROR(__xludf.DUMMYFUNCTION("""COMPUTED_VALUE"""),0.356)</f>
        <v>0.35599999999999998</v>
      </c>
      <c r="W364" s="1">
        <f ca="1">IFERROR(__xludf.DUMMYFUNCTION("""COMPUTED_VALUE"""),537)</f>
        <v>537</v>
      </c>
      <c r="X364" s="1">
        <f ca="1">IFERROR(__xludf.DUMMYFUNCTION("""COMPUTED_VALUE"""),737)</f>
        <v>737</v>
      </c>
      <c r="Y364" s="1">
        <f ca="1">IFERROR(__xludf.DUMMYFUNCTION("""COMPUTED_VALUE"""),0.729)</f>
        <v>0.72899999999999998</v>
      </c>
      <c r="Z364" s="1">
        <f ca="1">IFERROR(__xludf.DUMMYFUNCTION("""COMPUTED_VALUE"""),362)</f>
        <v>362</v>
      </c>
      <c r="AA364" s="1">
        <f ca="1">IFERROR(__xludf.DUMMYFUNCTION("""COMPUTED_VALUE"""),1116)</f>
        <v>1116</v>
      </c>
      <c r="AB364" s="1">
        <f ca="1">IFERROR(__xludf.DUMMYFUNCTION("""COMPUTED_VALUE"""),401)</f>
        <v>401</v>
      </c>
      <c r="AC364" s="1">
        <f ca="1">IFERROR(__xludf.DUMMYFUNCTION("""COMPUTED_VALUE"""),200)</f>
        <v>200</v>
      </c>
      <c r="AD364" s="1">
        <f ca="1">IFERROR(__xludf.DUMMYFUNCTION("""COMPUTED_VALUE"""),93)</f>
        <v>93</v>
      </c>
      <c r="AE364" s="1">
        <f ca="1">IFERROR(__xludf.DUMMYFUNCTION("""COMPUTED_VALUE"""),387)</f>
        <v>387</v>
      </c>
      <c r="AF364" s="1">
        <f ca="1">IFERROR(__xludf.DUMMYFUNCTION("""COMPUTED_VALUE"""),607)</f>
        <v>607</v>
      </c>
    </row>
    <row r="365" spans="1:32" ht="12.5" x14ac:dyDescent="0.25">
      <c r="A365" s="1" t="str">
        <f ca="1">IFERROR(__xludf.DUMMYFUNCTION("""COMPUTED_VALUE"""),"West VirginiaNCAA")</f>
        <v>West VirginiaNCAA</v>
      </c>
      <c r="B365" s="1">
        <f ca="1">IFERROR(__xludf.DUMMYFUNCTION("""COMPUTED_VALUE"""),38)</f>
        <v>38</v>
      </c>
      <c r="C365" s="1">
        <f ca="1">IFERROR(__xludf.DUMMYFUNCTION("""COMPUTED_VALUE"""),31)</f>
        <v>31</v>
      </c>
      <c r="D365" s="1">
        <f ca="1">IFERROR(__xludf.DUMMYFUNCTION("""COMPUTED_VALUE"""),7)</f>
        <v>7</v>
      </c>
      <c r="E365" s="1">
        <f ca="1">IFERROR(__xludf.DUMMYFUNCTION("""COMPUTED_VALUE"""),0.816)</f>
        <v>0.81599999999999995</v>
      </c>
      <c r="F365" s="1">
        <f ca="1">IFERROR(__xludf.DUMMYFUNCTION("""COMPUTED_VALUE"""),19.16)</f>
        <v>19.16</v>
      </c>
      <c r="G365" s="1">
        <f ca="1">IFERROR(__xludf.DUMMYFUNCTION("""COMPUTED_VALUE"""),10.26)</f>
        <v>10.26</v>
      </c>
      <c r="H365" s="1">
        <f ca="1">IFERROR(__xludf.DUMMYFUNCTION("""COMPUTED_VALUE"""),13)</f>
        <v>13</v>
      </c>
      <c r="I365" s="1">
        <f ca="1">IFERROR(__xludf.DUMMYFUNCTION("""COMPUTED_VALUE"""),5)</f>
        <v>5</v>
      </c>
      <c r="J365" s="1">
        <f ca="1">IFERROR(__xludf.DUMMYFUNCTION("""COMPUTED_VALUE"""),12)</f>
        <v>12</v>
      </c>
      <c r="K365" s="1">
        <f ca="1">IFERROR(__xludf.DUMMYFUNCTION("""COMPUTED_VALUE"""),2)</f>
        <v>2</v>
      </c>
      <c r="L365" s="1">
        <f ca="1">IFERROR(__xludf.DUMMYFUNCTION("""COMPUTED_VALUE"""),7)</f>
        <v>7</v>
      </c>
      <c r="M365" s="1">
        <f ca="1">IFERROR(__xludf.DUMMYFUNCTION("""COMPUTED_VALUE"""),4)</f>
        <v>4</v>
      </c>
      <c r="N365" s="1">
        <f ca="1">IFERROR(__xludf.DUMMYFUNCTION("""COMPUTED_VALUE"""),2752)</f>
        <v>2752</v>
      </c>
      <c r="O365" s="1">
        <f ca="1">IFERROR(__xludf.DUMMYFUNCTION("""COMPUTED_VALUE"""),2414)</f>
        <v>2414</v>
      </c>
      <c r="P365" s="1">
        <f ca="1">IFERROR(__xludf.DUMMYFUNCTION("""COMPUTED_VALUE"""),1545)</f>
        <v>1545</v>
      </c>
      <c r="Q365" s="1">
        <f ca="1">IFERROR(__xludf.DUMMYFUNCTION("""COMPUTED_VALUE"""),942)</f>
        <v>942</v>
      </c>
      <c r="R365" s="1">
        <f ca="1">IFERROR(__xludf.DUMMYFUNCTION("""COMPUTED_VALUE"""),2190)</f>
        <v>2190</v>
      </c>
      <c r="S365" s="1">
        <f ca="1">IFERROR(__xludf.DUMMYFUNCTION("""COMPUTED_VALUE"""),0.43)</f>
        <v>0.43</v>
      </c>
      <c r="T365" s="1">
        <f ca="1">IFERROR(__xludf.DUMMYFUNCTION("""COMPUTED_VALUE"""),257)</f>
        <v>257</v>
      </c>
      <c r="U365" s="1">
        <f ca="1">IFERROR(__xludf.DUMMYFUNCTION("""COMPUTED_VALUE"""),762)</f>
        <v>762</v>
      </c>
      <c r="V365" s="1">
        <f ca="1">IFERROR(__xludf.DUMMYFUNCTION("""COMPUTED_VALUE"""),0.337)</f>
        <v>0.33700000000000002</v>
      </c>
      <c r="W365" s="1">
        <f ca="1">IFERROR(__xludf.DUMMYFUNCTION("""COMPUTED_VALUE"""),611)</f>
        <v>611</v>
      </c>
      <c r="X365" s="1">
        <f ca="1">IFERROR(__xludf.DUMMYFUNCTION("""COMPUTED_VALUE"""),868)</f>
        <v>868</v>
      </c>
      <c r="Y365" s="1">
        <f ca="1">IFERROR(__xludf.DUMMYFUNCTION("""COMPUTED_VALUE"""),0.704)</f>
        <v>0.70399999999999996</v>
      </c>
      <c r="Z365" s="1">
        <f ca="1">IFERROR(__xludf.DUMMYFUNCTION("""COMPUTED_VALUE"""),585)</f>
        <v>585</v>
      </c>
      <c r="AA365" s="1">
        <f ca="1">IFERROR(__xludf.DUMMYFUNCTION("""COMPUTED_VALUE"""),1467)</f>
        <v>1467</v>
      </c>
      <c r="AB365" s="1">
        <f ca="1">IFERROR(__xludf.DUMMYFUNCTION("""COMPUTED_VALUE"""),589)</f>
        <v>589</v>
      </c>
      <c r="AC365" s="1">
        <f ca="1">IFERROR(__xludf.DUMMYFUNCTION("""COMPUTED_VALUE"""),213)</f>
        <v>213</v>
      </c>
      <c r="AD365" s="1">
        <f ca="1">IFERROR(__xludf.DUMMYFUNCTION("""COMPUTED_VALUE"""),155)</f>
        <v>155</v>
      </c>
      <c r="AE365" s="1">
        <f ca="1">IFERROR(__xludf.DUMMYFUNCTION("""COMPUTED_VALUE"""),451)</f>
        <v>451</v>
      </c>
      <c r="AF365" s="1">
        <f ca="1">IFERROR(__xludf.DUMMYFUNCTION("""COMPUTED_VALUE"""),686)</f>
        <v>686</v>
      </c>
    </row>
    <row r="366" spans="1:32" ht="12.5" x14ac:dyDescent="0.25">
      <c r="A366" s="1" t="str">
        <f ca="1">IFERROR(__xludf.DUMMYFUNCTION("""COMPUTED_VALUE"""),"Western Carolina")</f>
        <v>Western Carolina</v>
      </c>
      <c r="B366" s="1">
        <f ca="1">IFERROR(__xludf.DUMMYFUNCTION("""COMPUTED_VALUE"""),34)</f>
        <v>34</v>
      </c>
      <c r="C366" s="1">
        <f ca="1">IFERROR(__xludf.DUMMYFUNCTION("""COMPUTED_VALUE"""),22)</f>
        <v>22</v>
      </c>
      <c r="D366" s="1">
        <f ca="1">IFERROR(__xludf.DUMMYFUNCTION("""COMPUTED_VALUE"""),12)</f>
        <v>12</v>
      </c>
      <c r="E366" s="1">
        <f ca="1">IFERROR(__xludf.DUMMYFUNCTION("""COMPUTED_VALUE"""),0.647)</f>
        <v>0.64700000000000002</v>
      </c>
      <c r="F366" s="1">
        <f ca="1">IFERROR(__xludf.DUMMYFUNCTION("""COMPUTED_VALUE"""),-1.24)</f>
        <v>-1.24</v>
      </c>
      <c r="G366" s="1">
        <f ca="1">IFERROR(__xludf.DUMMYFUNCTION("""COMPUTED_VALUE"""),-2.91)</f>
        <v>-2.91</v>
      </c>
      <c r="H366" s="1">
        <f ca="1">IFERROR(__xludf.DUMMYFUNCTION("""COMPUTED_VALUE"""),11)</f>
        <v>11</v>
      </c>
      <c r="I366" s="1">
        <f ca="1">IFERROR(__xludf.DUMMYFUNCTION("""COMPUTED_VALUE"""),7)</f>
        <v>7</v>
      </c>
      <c r="J366" s="1">
        <f ca="1">IFERROR(__xludf.DUMMYFUNCTION("""COMPUTED_VALUE"""),14)</f>
        <v>14</v>
      </c>
      <c r="K366" s="1">
        <f ca="1">IFERROR(__xludf.DUMMYFUNCTION("""COMPUTED_VALUE"""),2)</f>
        <v>2</v>
      </c>
      <c r="L366" s="1">
        <f ca="1">IFERROR(__xludf.DUMMYFUNCTION("""COMPUTED_VALUE"""),7)</f>
        <v>7</v>
      </c>
      <c r="M366" s="1">
        <f ca="1">IFERROR(__xludf.DUMMYFUNCTION("""COMPUTED_VALUE"""),9)</f>
        <v>9</v>
      </c>
      <c r="N366" s="1">
        <f ca="1">IFERROR(__xludf.DUMMYFUNCTION("""COMPUTED_VALUE"""),2525)</f>
        <v>2525</v>
      </c>
      <c r="O366" s="1">
        <f ca="1">IFERROR(__xludf.DUMMYFUNCTION("""COMPUTED_VALUE"""),2352)</f>
        <v>2352</v>
      </c>
      <c r="P366" s="1">
        <f ca="1">IFERROR(__xludf.DUMMYFUNCTION("""COMPUTED_VALUE"""),1360)</f>
        <v>1360</v>
      </c>
      <c r="Q366" s="1">
        <f ca="1">IFERROR(__xludf.DUMMYFUNCTION("""COMPUTED_VALUE"""),907)</f>
        <v>907</v>
      </c>
      <c r="R366" s="1">
        <f ca="1">IFERROR(__xludf.DUMMYFUNCTION("""COMPUTED_VALUE"""),2022)</f>
        <v>2022</v>
      </c>
      <c r="S366" s="1">
        <f ca="1">IFERROR(__xludf.DUMMYFUNCTION("""COMPUTED_VALUE"""),0.449)</f>
        <v>0.44900000000000001</v>
      </c>
      <c r="T366" s="1">
        <f ca="1">IFERROR(__xludf.DUMMYFUNCTION("""COMPUTED_VALUE"""),274)</f>
        <v>274</v>
      </c>
      <c r="U366" s="1">
        <f ca="1">IFERROR(__xludf.DUMMYFUNCTION("""COMPUTED_VALUE"""),753)</f>
        <v>753</v>
      </c>
      <c r="V366" s="1">
        <f ca="1">IFERROR(__xludf.DUMMYFUNCTION("""COMPUTED_VALUE"""),0.364)</f>
        <v>0.36399999999999999</v>
      </c>
      <c r="W366" s="1">
        <f ca="1">IFERROR(__xludf.DUMMYFUNCTION("""COMPUTED_VALUE"""),437)</f>
        <v>437</v>
      </c>
      <c r="X366" s="1">
        <f ca="1">IFERROR(__xludf.DUMMYFUNCTION("""COMPUTED_VALUE"""),682)</f>
        <v>682</v>
      </c>
      <c r="Y366" s="1">
        <f ca="1">IFERROR(__xludf.DUMMYFUNCTION("""COMPUTED_VALUE"""),0.641)</f>
        <v>0.64100000000000001</v>
      </c>
      <c r="Z366" s="1">
        <f ca="1">IFERROR(__xludf.DUMMYFUNCTION("""COMPUTED_VALUE"""),441)</f>
        <v>441</v>
      </c>
      <c r="AA366" s="1">
        <f ca="1">IFERROR(__xludf.DUMMYFUNCTION("""COMPUTED_VALUE"""),1197)</f>
        <v>1197</v>
      </c>
      <c r="AB366" s="1">
        <f ca="1">IFERROR(__xludf.DUMMYFUNCTION("""COMPUTED_VALUE"""),459)</f>
        <v>459</v>
      </c>
      <c r="AC366" s="1">
        <f ca="1">IFERROR(__xludf.DUMMYFUNCTION("""COMPUTED_VALUE"""),321)</f>
        <v>321</v>
      </c>
      <c r="AD366" s="1">
        <f ca="1">IFERROR(__xludf.DUMMYFUNCTION("""COMPUTED_VALUE"""),99)</f>
        <v>99</v>
      </c>
      <c r="AE366" s="1">
        <f ca="1">IFERROR(__xludf.DUMMYFUNCTION("""COMPUTED_VALUE"""),472)</f>
        <v>472</v>
      </c>
      <c r="AF366" s="1">
        <f ca="1">IFERROR(__xludf.DUMMYFUNCTION("""COMPUTED_VALUE"""),757)</f>
        <v>757</v>
      </c>
    </row>
    <row r="367" spans="1:32" ht="12.5" x14ac:dyDescent="0.25">
      <c r="A367" s="1" t="str">
        <f ca="1">IFERROR(__xludf.DUMMYFUNCTION("""COMPUTED_VALUE"""),"Western Illinois")</f>
        <v>Western Illinois</v>
      </c>
      <c r="B367" s="1">
        <f ca="1">IFERROR(__xludf.DUMMYFUNCTION("""COMPUTED_VALUE"""),30)</f>
        <v>30</v>
      </c>
      <c r="C367" s="1">
        <f ca="1">IFERROR(__xludf.DUMMYFUNCTION("""COMPUTED_VALUE"""),13)</f>
        <v>13</v>
      </c>
      <c r="D367" s="1">
        <f ca="1">IFERROR(__xludf.DUMMYFUNCTION("""COMPUTED_VALUE"""),17)</f>
        <v>17</v>
      </c>
      <c r="E367" s="1">
        <f ca="1">IFERROR(__xludf.DUMMYFUNCTION("""COMPUTED_VALUE"""),0.433)</f>
        <v>0.433</v>
      </c>
      <c r="F367" s="1">
        <f ca="1">IFERROR(__xludf.DUMMYFUNCTION("""COMPUTED_VALUE"""),-11.84)</f>
        <v>-11.84</v>
      </c>
      <c r="G367" s="1">
        <f ca="1">IFERROR(__xludf.DUMMYFUNCTION("""COMPUTED_VALUE"""),-5.84)</f>
        <v>-5.84</v>
      </c>
      <c r="H367" s="1">
        <f ca="1">IFERROR(__xludf.DUMMYFUNCTION("""COMPUTED_VALUE"""),6)</f>
        <v>6</v>
      </c>
      <c r="I367" s="1">
        <f ca="1">IFERROR(__xludf.DUMMYFUNCTION("""COMPUTED_VALUE"""),12)</f>
        <v>12</v>
      </c>
      <c r="J367" s="1">
        <f ca="1">IFERROR(__xludf.DUMMYFUNCTION("""COMPUTED_VALUE"""),8)</f>
        <v>8</v>
      </c>
      <c r="K367" s="1">
        <f ca="1">IFERROR(__xludf.DUMMYFUNCTION("""COMPUTED_VALUE"""),7)</f>
        <v>7</v>
      </c>
      <c r="L367" s="1">
        <f ca="1">IFERROR(__xludf.DUMMYFUNCTION("""COMPUTED_VALUE"""),5)</f>
        <v>5</v>
      </c>
      <c r="M367" s="1">
        <f ca="1">IFERROR(__xludf.DUMMYFUNCTION("""COMPUTED_VALUE"""),9)</f>
        <v>9</v>
      </c>
      <c r="N367" s="1">
        <f ca="1">IFERROR(__xludf.DUMMYFUNCTION("""COMPUTED_VALUE"""),1771)</f>
        <v>1771</v>
      </c>
      <c r="O367" s="1">
        <f ca="1">IFERROR(__xludf.DUMMYFUNCTION("""COMPUTED_VALUE"""),1804)</f>
        <v>1804</v>
      </c>
      <c r="P367" s="1">
        <f ca="1">IFERROR(__xludf.DUMMYFUNCTION("""COMPUTED_VALUE"""),1205)</f>
        <v>1205</v>
      </c>
      <c r="Q367" s="1">
        <f ca="1">IFERROR(__xludf.DUMMYFUNCTION("""COMPUTED_VALUE"""),609)</f>
        <v>609</v>
      </c>
      <c r="R367" s="1">
        <f ca="1">IFERROR(__xludf.DUMMYFUNCTION("""COMPUTED_VALUE"""),1489)</f>
        <v>1489</v>
      </c>
      <c r="S367" s="1">
        <f ca="1">IFERROR(__xludf.DUMMYFUNCTION("""COMPUTED_VALUE"""),0.409)</f>
        <v>0.40899999999999997</v>
      </c>
      <c r="T367" s="1">
        <f ca="1">IFERROR(__xludf.DUMMYFUNCTION("""COMPUTED_VALUE"""),153)</f>
        <v>153</v>
      </c>
      <c r="U367" s="1">
        <f ca="1">IFERROR(__xludf.DUMMYFUNCTION("""COMPUTED_VALUE"""),437)</f>
        <v>437</v>
      </c>
      <c r="V367" s="1">
        <f ca="1">IFERROR(__xludf.DUMMYFUNCTION("""COMPUTED_VALUE"""),0.35)</f>
        <v>0.35</v>
      </c>
      <c r="W367" s="1">
        <f ca="1">IFERROR(__xludf.DUMMYFUNCTION("""COMPUTED_VALUE"""),400)</f>
        <v>400</v>
      </c>
      <c r="X367" s="1">
        <f ca="1">IFERROR(__xludf.DUMMYFUNCTION("""COMPUTED_VALUE"""),588)</f>
        <v>588</v>
      </c>
      <c r="Y367" s="1">
        <f ca="1">IFERROR(__xludf.DUMMYFUNCTION("""COMPUTED_VALUE"""),0.68)</f>
        <v>0.68</v>
      </c>
      <c r="Z367" s="1">
        <f ca="1">IFERROR(__xludf.DUMMYFUNCTION("""COMPUTED_VALUE"""),274)</f>
        <v>274</v>
      </c>
      <c r="AA367" s="1">
        <f ca="1">IFERROR(__xludf.DUMMYFUNCTION("""COMPUTED_VALUE"""),968)</f>
        <v>968</v>
      </c>
      <c r="AB367" s="1">
        <f ca="1">IFERROR(__xludf.DUMMYFUNCTION("""COMPUTED_VALUE"""),317)</f>
        <v>317</v>
      </c>
      <c r="AC367" s="1">
        <f ca="1">IFERROR(__xludf.DUMMYFUNCTION("""COMPUTED_VALUE"""),198)</f>
        <v>198</v>
      </c>
      <c r="AD367" s="1">
        <f ca="1">IFERROR(__xludf.DUMMYFUNCTION("""COMPUTED_VALUE"""),128)</f>
        <v>128</v>
      </c>
      <c r="AE367" s="1">
        <f ca="1">IFERROR(__xludf.DUMMYFUNCTION("""COMPUTED_VALUE"""),383)</f>
        <v>383</v>
      </c>
      <c r="AF367" s="1">
        <f ca="1">IFERROR(__xludf.DUMMYFUNCTION("""COMPUTED_VALUE"""),555)</f>
        <v>555</v>
      </c>
    </row>
    <row r="368" spans="1:32" ht="12.5" x14ac:dyDescent="0.25">
      <c r="A368" s="1" t="str">
        <f ca="1">IFERROR(__xludf.DUMMYFUNCTION("""COMPUTED_VALUE"""),"Western Kentucky")</f>
        <v>Western Kentucky</v>
      </c>
      <c r="B368" s="1">
        <f ca="1">IFERROR(__xludf.DUMMYFUNCTION("""COMPUTED_VALUE"""),34)</f>
        <v>34</v>
      </c>
      <c r="C368" s="1">
        <f ca="1">IFERROR(__xludf.DUMMYFUNCTION("""COMPUTED_VALUE"""),21)</f>
        <v>21</v>
      </c>
      <c r="D368" s="1">
        <f ca="1">IFERROR(__xludf.DUMMYFUNCTION("""COMPUTED_VALUE"""),13)</f>
        <v>13</v>
      </c>
      <c r="E368" s="1">
        <f ca="1">IFERROR(__xludf.DUMMYFUNCTION("""COMPUTED_VALUE"""),0.618)</f>
        <v>0.61799999999999999</v>
      </c>
      <c r="F368" s="1">
        <f ca="1">IFERROR(__xludf.DUMMYFUNCTION("""COMPUTED_VALUE"""),2.32)</f>
        <v>2.3199999999999998</v>
      </c>
      <c r="G368" s="1">
        <f ca="1">IFERROR(__xludf.DUMMYFUNCTION("""COMPUTED_VALUE"""),-2.18)</f>
        <v>-2.1800000000000002</v>
      </c>
      <c r="H368" s="1">
        <f ca="1">IFERROR(__xludf.DUMMYFUNCTION("""COMPUTED_VALUE"""),12)</f>
        <v>12</v>
      </c>
      <c r="I368" s="1">
        <f ca="1">IFERROR(__xludf.DUMMYFUNCTION("""COMPUTED_VALUE"""),6)</f>
        <v>6</v>
      </c>
      <c r="J368" s="1">
        <f ca="1">IFERROR(__xludf.DUMMYFUNCTION("""COMPUTED_VALUE"""),12)</f>
        <v>12</v>
      </c>
      <c r="K368" s="1">
        <f ca="1">IFERROR(__xludf.DUMMYFUNCTION("""COMPUTED_VALUE"""),4)</f>
        <v>4</v>
      </c>
      <c r="L368" s="1">
        <f ca="1">IFERROR(__xludf.DUMMYFUNCTION("""COMPUTED_VALUE"""),5)</f>
        <v>5</v>
      </c>
      <c r="M368" s="1">
        <f ca="1">IFERROR(__xludf.DUMMYFUNCTION("""COMPUTED_VALUE"""),8)</f>
        <v>8</v>
      </c>
      <c r="N368" s="1">
        <f ca="1">IFERROR(__xludf.DUMMYFUNCTION("""COMPUTED_VALUE"""),2422)</f>
        <v>2422</v>
      </c>
      <c r="O368" s="1">
        <f ca="1">IFERROR(__xludf.DUMMYFUNCTION("""COMPUTED_VALUE"""),2269)</f>
        <v>2269</v>
      </c>
      <c r="P368" s="1">
        <f ca="1">IFERROR(__xludf.DUMMYFUNCTION("""COMPUTED_VALUE"""),1380)</f>
        <v>1380</v>
      </c>
      <c r="Q368" s="1">
        <f ca="1">IFERROR(__xludf.DUMMYFUNCTION("""COMPUTED_VALUE"""),862)</f>
        <v>862</v>
      </c>
      <c r="R368" s="1">
        <f ca="1">IFERROR(__xludf.DUMMYFUNCTION("""COMPUTED_VALUE"""),1900)</f>
        <v>1900</v>
      </c>
      <c r="S368" s="1">
        <f ca="1">IFERROR(__xludf.DUMMYFUNCTION("""COMPUTED_VALUE"""),0.454)</f>
        <v>0.45400000000000001</v>
      </c>
      <c r="T368" s="1">
        <f ca="1">IFERROR(__xludf.DUMMYFUNCTION("""COMPUTED_VALUE"""),225)</f>
        <v>225</v>
      </c>
      <c r="U368" s="1">
        <f ca="1">IFERROR(__xludf.DUMMYFUNCTION("""COMPUTED_VALUE"""),663)</f>
        <v>663</v>
      </c>
      <c r="V368" s="1">
        <f ca="1">IFERROR(__xludf.DUMMYFUNCTION("""COMPUTED_VALUE"""),0.339)</f>
        <v>0.33900000000000002</v>
      </c>
      <c r="W368" s="1">
        <f ca="1">IFERROR(__xludf.DUMMYFUNCTION("""COMPUTED_VALUE"""),473)</f>
        <v>473</v>
      </c>
      <c r="X368" s="1">
        <f ca="1">IFERROR(__xludf.DUMMYFUNCTION("""COMPUTED_VALUE"""),672)</f>
        <v>672</v>
      </c>
      <c r="Y368" s="1">
        <f ca="1">IFERROR(__xludf.DUMMYFUNCTION("""COMPUTED_VALUE"""),0.704)</f>
        <v>0.70399999999999996</v>
      </c>
      <c r="Z368" s="1">
        <f ca="1">IFERROR(__xludf.DUMMYFUNCTION("""COMPUTED_VALUE"""),393)</f>
        <v>393</v>
      </c>
      <c r="AA368" s="1">
        <f ca="1">IFERROR(__xludf.DUMMYFUNCTION("""COMPUTED_VALUE"""),1192)</f>
        <v>1192</v>
      </c>
      <c r="AB368" s="1">
        <f ca="1">IFERROR(__xludf.DUMMYFUNCTION("""COMPUTED_VALUE"""),432)</f>
        <v>432</v>
      </c>
      <c r="AC368" s="1">
        <f ca="1">IFERROR(__xludf.DUMMYFUNCTION("""COMPUTED_VALUE"""),218)</f>
        <v>218</v>
      </c>
      <c r="AD368" s="1">
        <f ca="1">IFERROR(__xludf.DUMMYFUNCTION("""COMPUTED_VALUE"""),100)</f>
        <v>100</v>
      </c>
      <c r="AE368" s="1">
        <f ca="1">IFERROR(__xludf.DUMMYFUNCTION("""COMPUTED_VALUE"""),441)</f>
        <v>441</v>
      </c>
      <c r="AF368" s="1">
        <f ca="1">IFERROR(__xludf.DUMMYFUNCTION("""COMPUTED_VALUE"""),580)</f>
        <v>580</v>
      </c>
    </row>
    <row r="369" spans="1:32" ht="12.5" x14ac:dyDescent="0.25">
      <c r="A369" s="1" t="str">
        <f ca="1">IFERROR(__xludf.DUMMYFUNCTION("""COMPUTED_VALUE"""),"Western Michigan")</f>
        <v>Western Michigan</v>
      </c>
      <c r="B369" s="1">
        <f ca="1">IFERROR(__xludf.DUMMYFUNCTION("""COMPUTED_VALUE"""),33)</f>
        <v>33</v>
      </c>
      <c r="C369" s="1">
        <f ca="1">IFERROR(__xludf.DUMMYFUNCTION("""COMPUTED_VALUE"""),18)</f>
        <v>18</v>
      </c>
      <c r="D369" s="1">
        <f ca="1">IFERROR(__xludf.DUMMYFUNCTION("""COMPUTED_VALUE"""),15)</f>
        <v>15</v>
      </c>
      <c r="E369" s="1">
        <f ca="1">IFERROR(__xludf.DUMMYFUNCTION("""COMPUTED_VALUE"""),0.545)</f>
        <v>0.54500000000000004</v>
      </c>
      <c r="F369" s="1">
        <f ca="1">IFERROR(__xludf.DUMMYFUNCTION("""COMPUTED_VALUE"""),0.43)</f>
        <v>0.43</v>
      </c>
      <c r="G369" s="1">
        <f ca="1">IFERROR(__xludf.DUMMYFUNCTION("""COMPUTED_VALUE"""),-1.17)</f>
        <v>-1.17</v>
      </c>
      <c r="H369" s="1">
        <f ca="1">IFERROR(__xludf.DUMMYFUNCTION("""COMPUTED_VALUE"""),8)</f>
        <v>8</v>
      </c>
      <c r="I369" s="1">
        <f ca="1">IFERROR(__xludf.DUMMYFUNCTION("""COMPUTED_VALUE"""),8)</f>
        <v>8</v>
      </c>
      <c r="J369" s="1">
        <f ca="1">IFERROR(__xludf.DUMMYFUNCTION("""COMPUTED_VALUE"""),12)</f>
        <v>12</v>
      </c>
      <c r="K369" s="1">
        <f ca="1">IFERROR(__xludf.DUMMYFUNCTION("""COMPUTED_VALUE"""),3)</f>
        <v>3</v>
      </c>
      <c r="L369" s="1">
        <f ca="1">IFERROR(__xludf.DUMMYFUNCTION("""COMPUTED_VALUE"""),3)</f>
        <v>3</v>
      </c>
      <c r="M369" s="1">
        <f ca="1">IFERROR(__xludf.DUMMYFUNCTION("""COMPUTED_VALUE"""),10)</f>
        <v>10</v>
      </c>
      <c r="N369" s="1">
        <f ca="1">IFERROR(__xludf.DUMMYFUNCTION("""COMPUTED_VALUE"""),2287)</f>
        <v>2287</v>
      </c>
      <c r="O369" s="1">
        <f ca="1">IFERROR(__xludf.DUMMYFUNCTION("""COMPUTED_VALUE"""),2195)</f>
        <v>2195</v>
      </c>
      <c r="P369" s="1">
        <f ca="1">IFERROR(__xludf.DUMMYFUNCTION("""COMPUTED_VALUE"""),1320)</f>
        <v>1320</v>
      </c>
      <c r="Q369" s="1">
        <f ca="1">IFERROR(__xludf.DUMMYFUNCTION("""COMPUTED_VALUE"""),778)</f>
        <v>778</v>
      </c>
      <c r="R369" s="1">
        <f ca="1">IFERROR(__xludf.DUMMYFUNCTION("""COMPUTED_VALUE"""),1813)</f>
        <v>1813</v>
      </c>
      <c r="S369" s="1">
        <f ca="1">IFERROR(__xludf.DUMMYFUNCTION("""COMPUTED_VALUE"""),0.429)</f>
        <v>0.42899999999999999</v>
      </c>
      <c r="T369" s="1">
        <f ca="1">IFERROR(__xludf.DUMMYFUNCTION("""COMPUTED_VALUE"""),190)</f>
        <v>190</v>
      </c>
      <c r="U369" s="1">
        <f ca="1">IFERROR(__xludf.DUMMYFUNCTION("""COMPUTED_VALUE"""),590)</f>
        <v>590</v>
      </c>
      <c r="V369" s="1">
        <f ca="1">IFERROR(__xludf.DUMMYFUNCTION("""COMPUTED_VALUE"""),0.322)</f>
        <v>0.32200000000000001</v>
      </c>
      <c r="W369" s="1">
        <f ca="1">IFERROR(__xludf.DUMMYFUNCTION("""COMPUTED_VALUE"""),541)</f>
        <v>541</v>
      </c>
      <c r="X369" s="1">
        <f ca="1">IFERROR(__xludf.DUMMYFUNCTION("""COMPUTED_VALUE"""),739)</f>
        <v>739</v>
      </c>
      <c r="Y369" s="1">
        <f ca="1">IFERROR(__xludf.DUMMYFUNCTION("""COMPUTED_VALUE"""),0.732)</f>
        <v>0.73199999999999998</v>
      </c>
      <c r="Z369" s="1">
        <f ca="1">IFERROR(__xludf.DUMMYFUNCTION("""COMPUTED_VALUE"""),423)</f>
        <v>423</v>
      </c>
      <c r="AA369" s="1">
        <f ca="1">IFERROR(__xludf.DUMMYFUNCTION("""COMPUTED_VALUE"""),1214)</f>
        <v>1214</v>
      </c>
      <c r="AB369" s="1">
        <f ca="1">IFERROR(__xludf.DUMMYFUNCTION("""COMPUTED_VALUE"""),413)</f>
        <v>413</v>
      </c>
      <c r="AC369" s="1">
        <f ca="1">IFERROR(__xludf.DUMMYFUNCTION("""COMPUTED_VALUE"""),231)</f>
        <v>231</v>
      </c>
      <c r="AD369" s="1">
        <f ca="1">IFERROR(__xludf.DUMMYFUNCTION("""COMPUTED_VALUE"""),89)</f>
        <v>89</v>
      </c>
      <c r="AE369" s="1">
        <f ca="1">IFERROR(__xludf.DUMMYFUNCTION("""COMPUTED_VALUE"""),449)</f>
        <v>449</v>
      </c>
      <c r="AF369" s="1">
        <f ca="1">IFERROR(__xludf.DUMMYFUNCTION("""COMPUTED_VALUE"""),623)</f>
        <v>623</v>
      </c>
    </row>
    <row r="370" spans="1:32" ht="12.5" x14ac:dyDescent="0.25">
      <c r="A370" s="1" t="str">
        <f ca="1">IFERROR(__xludf.DUMMYFUNCTION("""COMPUTED_VALUE"""),"Wichita State")</f>
        <v>Wichita State</v>
      </c>
      <c r="B370" s="1">
        <f ca="1">IFERROR(__xludf.DUMMYFUNCTION("""COMPUTED_VALUE"""),35)</f>
        <v>35</v>
      </c>
      <c r="C370" s="1">
        <f ca="1">IFERROR(__xludf.DUMMYFUNCTION("""COMPUTED_VALUE"""),25)</f>
        <v>25</v>
      </c>
      <c r="D370" s="1">
        <f ca="1">IFERROR(__xludf.DUMMYFUNCTION("""COMPUTED_VALUE"""),10)</f>
        <v>10</v>
      </c>
      <c r="E370" s="1">
        <f ca="1">IFERROR(__xludf.DUMMYFUNCTION("""COMPUTED_VALUE"""),0.714)</f>
        <v>0.71399999999999997</v>
      </c>
      <c r="F370" s="1">
        <f ca="1">IFERROR(__xludf.DUMMYFUNCTION("""COMPUTED_VALUE"""),8.06)</f>
        <v>8.06</v>
      </c>
      <c r="G370" s="1">
        <f ca="1">IFERROR(__xludf.DUMMYFUNCTION("""COMPUTED_VALUE"""),1.73)</f>
        <v>1.73</v>
      </c>
      <c r="H370" s="1">
        <f ca="1">IFERROR(__xludf.DUMMYFUNCTION("""COMPUTED_VALUE"""),12)</f>
        <v>12</v>
      </c>
      <c r="I370" s="1">
        <f ca="1">IFERROR(__xludf.DUMMYFUNCTION("""COMPUTED_VALUE"""),6)</f>
        <v>6</v>
      </c>
      <c r="J370" s="1">
        <f ca="1">IFERROR(__xludf.DUMMYFUNCTION("""COMPUTED_VALUE"""),17)</f>
        <v>17</v>
      </c>
      <c r="K370" s="1">
        <f ca="1">IFERROR(__xludf.DUMMYFUNCTION("""COMPUTED_VALUE"""),1)</f>
        <v>1</v>
      </c>
      <c r="L370" s="1">
        <f ca="1">IFERROR(__xludf.DUMMYFUNCTION("""COMPUTED_VALUE"""),5)</f>
        <v>5</v>
      </c>
      <c r="M370" s="1">
        <f ca="1">IFERROR(__xludf.DUMMYFUNCTION("""COMPUTED_VALUE"""),7)</f>
        <v>7</v>
      </c>
      <c r="N370" s="1">
        <f ca="1">IFERROR(__xludf.DUMMYFUNCTION("""COMPUTED_VALUE"""),2427)</f>
        <v>2427</v>
      </c>
      <c r="O370" s="1">
        <f ca="1">IFERROR(__xludf.DUMMYFUNCTION("""COMPUTED_VALUE"""),2162)</f>
        <v>2162</v>
      </c>
      <c r="P370" s="1">
        <f ca="1">IFERROR(__xludf.DUMMYFUNCTION("""COMPUTED_VALUE"""),1405)</f>
        <v>1405</v>
      </c>
      <c r="Q370" s="1">
        <f ca="1">IFERROR(__xludf.DUMMYFUNCTION("""COMPUTED_VALUE"""),837)</f>
        <v>837</v>
      </c>
      <c r="R370" s="1">
        <f ca="1">IFERROR(__xludf.DUMMYFUNCTION("""COMPUTED_VALUE"""),1873)</f>
        <v>1873</v>
      </c>
      <c r="S370" s="1">
        <f ca="1">IFERROR(__xludf.DUMMYFUNCTION("""COMPUTED_VALUE"""),0.447)</f>
        <v>0.44700000000000001</v>
      </c>
      <c r="T370" s="1">
        <f ca="1">IFERROR(__xludf.DUMMYFUNCTION("""COMPUTED_VALUE"""),228)</f>
        <v>228</v>
      </c>
      <c r="U370" s="1">
        <f ca="1">IFERROR(__xludf.DUMMYFUNCTION("""COMPUTED_VALUE"""),638)</f>
        <v>638</v>
      </c>
      <c r="V370" s="1">
        <f ca="1">IFERROR(__xludf.DUMMYFUNCTION("""COMPUTED_VALUE"""),0.357)</f>
        <v>0.35699999999999998</v>
      </c>
      <c r="W370" s="1">
        <f ca="1">IFERROR(__xludf.DUMMYFUNCTION("""COMPUTED_VALUE"""),525)</f>
        <v>525</v>
      </c>
      <c r="X370" s="1">
        <f ca="1">IFERROR(__xludf.DUMMYFUNCTION("""COMPUTED_VALUE"""),704)</f>
        <v>704</v>
      </c>
      <c r="Y370" s="1">
        <f ca="1">IFERROR(__xludf.DUMMYFUNCTION("""COMPUTED_VALUE"""),0.746)</f>
        <v>0.746</v>
      </c>
      <c r="Z370" s="1">
        <f ca="1">IFERROR(__xludf.DUMMYFUNCTION("""COMPUTED_VALUE"""),393)</f>
        <v>393</v>
      </c>
      <c r="AA370" s="1">
        <f ca="1">IFERROR(__xludf.DUMMYFUNCTION("""COMPUTED_VALUE"""),1208)</f>
        <v>1208</v>
      </c>
      <c r="AB370" s="1">
        <f ca="1">IFERROR(__xludf.DUMMYFUNCTION("""COMPUTED_VALUE"""),498)</f>
        <v>498</v>
      </c>
      <c r="AC370" s="1">
        <f ca="1">IFERROR(__xludf.DUMMYFUNCTION("""COMPUTED_VALUE"""),237)</f>
        <v>237</v>
      </c>
      <c r="AD370" s="1">
        <f ca="1">IFERROR(__xludf.DUMMYFUNCTION("""COMPUTED_VALUE"""),104)</f>
        <v>104</v>
      </c>
      <c r="AE370" s="1">
        <f ca="1">IFERROR(__xludf.DUMMYFUNCTION("""COMPUTED_VALUE"""),458)</f>
        <v>458</v>
      </c>
      <c r="AF370" s="1">
        <f ca="1">IFERROR(__xludf.DUMMYFUNCTION("""COMPUTED_VALUE"""),691)</f>
        <v>691</v>
      </c>
    </row>
    <row r="371" spans="1:32" ht="12.5" x14ac:dyDescent="0.25">
      <c r="A371" s="1" t="str">
        <f ca="1">IFERROR(__xludf.DUMMYFUNCTION("""COMPUTED_VALUE"""),"William &amp; Mary")</f>
        <v>William &amp; Mary</v>
      </c>
      <c r="B371" s="1">
        <f ca="1">IFERROR(__xludf.DUMMYFUNCTION("""COMPUTED_VALUE"""),33)</f>
        <v>33</v>
      </c>
      <c r="C371" s="1">
        <f ca="1">IFERROR(__xludf.DUMMYFUNCTION("""COMPUTED_VALUE"""),22)</f>
        <v>22</v>
      </c>
      <c r="D371" s="1">
        <f ca="1">IFERROR(__xludf.DUMMYFUNCTION("""COMPUTED_VALUE"""),11)</f>
        <v>11</v>
      </c>
      <c r="E371" s="1">
        <f ca="1">IFERROR(__xludf.DUMMYFUNCTION("""COMPUTED_VALUE"""),0.667)</f>
        <v>0.66700000000000004</v>
      </c>
      <c r="F371" s="1">
        <f ca="1">IFERROR(__xludf.DUMMYFUNCTION("""COMPUTED_VALUE"""),2.82)</f>
        <v>2.82</v>
      </c>
      <c r="G371" s="1">
        <f ca="1">IFERROR(__xludf.DUMMYFUNCTION("""COMPUTED_VALUE"""),1.63)</f>
        <v>1.63</v>
      </c>
      <c r="H371" s="1">
        <f ca="1">IFERROR(__xludf.DUMMYFUNCTION("""COMPUTED_VALUE"""),12)</f>
        <v>12</v>
      </c>
      <c r="I371" s="1">
        <f ca="1">IFERROR(__xludf.DUMMYFUNCTION("""COMPUTED_VALUE"""),6)</f>
        <v>6</v>
      </c>
      <c r="J371" s="1">
        <f ca="1">IFERROR(__xludf.DUMMYFUNCTION("""COMPUTED_VALUE"""),10)</f>
        <v>10</v>
      </c>
      <c r="K371" s="1">
        <f ca="1">IFERROR(__xludf.DUMMYFUNCTION("""COMPUTED_VALUE"""),3)</f>
        <v>3</v>
      </c>
      <c r="L371" s="1">
        <f ca="1">IFERROR(__xludf.DUMMYFUNCTION("""COMPUTED_VALUE"""),10)</f>
        <v>10</v>
      </c>
      <c r="M371" s="1">
        <f ca="1">IFERROR(__xludf.DUMMYFUNCTION("""COMPUTED_VALUE"""),7)</f>
        <v>7</v>
      </c>
      <c r="N371" s="1">
        <f ca="1">IFERROR(__xludf.DUMMYFUNCTION("""COMPUTED_VALUE"""),2213)</f>
        <v>2213</v>
      </c>
      <c r="O371" s="1">
        <f ca="1">IFERROR(__xludf.DUMMYFUNCTION("""COMPUTED_VALUE"""),2129)</f>
        <v>2129</v>
      </c>
      <c r="P371" s="1">
        <f ca="1">IFERROR(__xludf.DUMMYFUNCTION("""COMPUTED_VALUE"""),1340)</f>
        <v>1340</v>
      </c>
      <c r="Q371" s="1">
        <f ca="1">IFERROR(__xludf.DUMMYFUNCTION("""COMPUTED_VALUE"""),735)</f>
        <v>735</v>
      </c>
      <c r="R371" s="1">
        <f ca="1">IFERROR(__xludf.DUMMYFUNCTION("""COMPUTED_VALUE"""),1732)</f>
        <v>1732</v>
      </c>
      <c r="S371" s="1">
        <f ca="1">IFERROR(__xludf.DUMMYFUNCTION("""COMPUTED_VALUE"""),0.424)</f>
        <v>0.42399999999999999</v>
      </c>
      <c r="T371" s="1">
        <f ca="1">IFERROR(__xludf.DUMMYFUNCTION("""COMPUTED_VALUE"""),295)</f>
        <v>295</v>
      </c>
      <c r="U371" s="1">
        <f ca="1">IFERROR(__xludf.DUMMYFUNCTION("""COMPUTED_VALUE"""),841)</f>
        <v>841</v>
      </c>
      <c r="V371" s="1">
        <f ca="1">IFERROR(__xludf.DUMMYFUNCTION("""COMPUTED_VALUE"""),0.351)</f>
        <v>0.35099999999999998</v>
      </c>
      <c r="W371" s="1">
        <f ca="1">IFERROR(__xludf.DUMMYFUNCTION("""COMPUTED_VALUE"""),448)</f>
        <v>448</v>
      </c>
      <c r="X371" s="1">
        <f ca="1">IFERROR(__xludf.DUMMYFUNCTION("""COMPUTED_VALUE"""),640)</f>
        <v>640</v>
      </c>
      <c r="Y371" s="1">
        <f ca="1">IFERROR(__xludf.DUMMYFUNCTION("""COMPUTED_VALUE"""),0.7)</f>
        <v>0.7</v>
      </c>
      <c r="Z371" s="1">
        <f ca="1">IFERROR(__xludf.DUMMYFUNCTION("""COMPUTED_VALUE"""),335)</f>
        <v>335</v>
      </c>
      <c r="AA371" s="1">
        <f ca="1">IFERROR(__xludf.DUMMYFUNCTION("""COMPUTED_VALUE"""),1134)</f>
        <v>1134</v>
      </c>
      <c r="AB371" s="1">
        <f ca="1">IFERROR(__xludf.DUMMYFUNCTION("""COMPUTED_VALUE"""),463)</f>
        <v>463</v>
      </c>
      <c r="AC371" s="1">
        <f ca="1">IFERROR(__xludf.DUMMYFUNCTION("""COMPUTED_VALUE"""),177)</f>
        <v>177</v>
      </c>
      <c r="AD371" s="1">
        <f ca="1">IFERROR(__xludf.DUMMYFUNCTION("""COMPUTED_VALUE"""),84)</f>
        <v>84</v>
      </c>
      <c r="AE371" s="1">
        <f ca="1">IFERROR(__xludf.DUMMYFUNCTION("""COMPUTED_VALUE"""),357)</f>
        <v>357</v>
      </c>
      <c r="AF371" s="1">
        <f ca="1">IFERROR(__xludf.DUMMYFUNCTION("""COMPUTED_VALUE"""),536)</f>
        <v>536</v>
      </c>
    </row>
    <row r="372" spans="1:32" ht="12.5" x14ac:dyDescent="0.25">
      <c r="A372" s="1" t="str">
        <f ca="1">IFERROR(__xludf.DUMMYFUNCTION("""COMPUTED_VALUE"""),"Winston-Salem")</f>
        <v>Winston-Salem</v>
      </c>
      <c r="B372" s="1">
        <f ca="1">IFERROR(__xludf.DUMMYFUNCTION("""COMPUTED_VALUE"""),29)</f>
        <v>29</v>
      </c>
      <c r="C372" s="1">
        <f ca="1">IFERROR(__xludf.DUMMYFUNCTION("""COMPUTED_VALUE"""),12)</f>
        <v>12</v>
      </c>
      <c r="D372" s="1">
        <f ca="1">IFERROR(__xludf.DUMMYFUNCTION("""COMPUTED_VALUE"""),17)</f>
        <v>17</v>
      </c>
      <c r="E372" s="1">
        <f ca="1">IFERROR(__xludf.DUMMYFUNCTION("""COMPUTED_VALUE"""),0.414)</f>
        <v>0.41399999999999998</v>
      </c>
      <c r="F372" s="1" t="str">
        <f ca="1">IFERROR(__xludf.DUMMYFUNCTION("""COMPUTED_VALUE"""),"")</f>
        <v/>
      </c>
      <c r="G372" s="1" t="str">
        <f ca="1">IFERROR(__xludf.DUMMYFUNCTION("""COMPUTED_VALUE"""),"")</f>
        <v/>
      </c>
      <c r="H372" s="1" t="str">
        <f ca="1">IFERROR(__xludf.DUMMYFUNCTION("""COMPUTED_VALUE"""),"")</f>
        <v/>
      </c>
      <c r="I372" s="1" t="str">
        <f ca="1">IFERROR(__xludf.DUMMYFUNCTION("""COMPUTED_VALUE"""),"")</f>
        <v/>
      </c>
      <c r="J372" s="1">
        <f ca="1">IFERROR(__xludf.DUMMYFUNCTION("""COMPUTED_VALUE"""),8)</f>
        <v>8</v>
      </c>
      <c r="K372" s="1">
        <f ca="1">IFERROR(__xludf.DUMMYFUNCTION("""COMPUTED_VALUE"""),5)</f>
        <v>5</v>
      </c>
      <c r="L372" s="1">
        <f ca="1">IFERROR(__xludf.DUMMYFUNCTION("""COMPUTED_VALUE"""),4)</f>
        <v>4</v>
      </c>
      <c r="M372" s="1">
        <f ca="1">IFERROR(__xludf.DUMMYFUNCTION("""COMPUTED_VALUE"""),10)</f>
        <v>10</v>
      </c>
      <c r="N372" s="1">
        <f ca="1">IFERROR(__xludf.DUMMYFUNCTION("""COMPUTED_VALUE"""),1806)</f>
        <v>1806</v>
      </c>
      <c r="O372" s="1">
        <f ca="1">IFERROR(__xludf.DUMMYFUNCTION("""COMPUTED_VALUE"""),2005)</f>
        <v>2005</v>
      </c>
      <c r="P372" s="1">
        <f ca="1">IFERROR(__xludf.DUMMYFUNCTION("""COMPUTED_VALUE"""),1160)</f>
        <v>1160</v>
      </c>
      <c r="Q372" s="1">
        <f ca="1">IFERROR(__xludf.DUMMYFUNCTION("""COMPUTED_VALUE"""),648)</f>
        <v>648</v>
      </c>
      <c r="R372" s="1">
        <f ca="1">IFERROR(__xludf.DUMMYFUNCTION("""COMPUTED_VALUE"""),1624)</f>
        <v>1624</v>
      </c>
      <c r="S372" s="1">
        <f ca="1">IFERROR(__xludf.DUMMYFUNCTION("""COMPUTED_VALUE"""),0.399)</f>
        <v>0.39900000000000002</v>
      </c>
      <c r="T372" s="1">
        <f ca="1">IFERROR(__xludf.DUMMYFUNCTION("""COMPUTED_VALUE"""),149)</f>
        <v>149</v>
      </c>
      <c r="U372" s="1">
        <f ca="1">IFERROR(__xludf.DUMMYFUNCTION("""COMPUTED_VALUE"""),503)</f>
        <v>503</v>
      </c>
      <c r="V372" s="1">
        <f ca="1">IFERROR(__xludf.DUMMYFUNCTION("""COMPUTED_VALUE"""),0.296)</f>
        <v>0.29599999999999999</v>
      </c>
      <c r="W372" s="1">
        <f ca="1">IFERROR(__xludf.DUMMYFUNCTION("""COMPUTED_VALUE"""),361)</f>
        <v>361</v>
      </c>
      <c r="X372" s="1">
        <f ca="1">IFERROR(__xludf.DUMMYFUNCTION("""COMPUTED_VALUE"""),615)</f>
        <v>615</v>
      </c>
      <c r="Y372" s="1">
        <f ca="1">IFERROR(__xludf.DUMMYFUNCTION("""COMPUTED_VALUE"""),0.587)</f>
        <v>0.58699999999999997</v>
      </c>
      <c r="Z372" s="1">
        <f ca="1">IFERROR(__xludf.DUMMYFUNCTION("""COMPUTED_VALUE"""),393)</f>
        <v>393</v>
      </c>
      <c r="AA372" s="1">
        <f ca="1">IFERROR(__xludf.DUMMYFUNCTION("""COMPUTED_VALUE"""),1066)</f>
        <v>1066</v>
      </c>
      <c r="AB372" s="1">
        <f ca="1">IFERROR(__xludf.DUMMYFUNCTION("""COMPUTED_VALUE"""),330)</f>
        <v>330</v>
      </c>
      <c r="AC372" s="1">
        <f ca="1">IFERROR(__xludf.DUMMYFUNCTION("""COMPUTED_VALUE"""),195)</f>
        <v>195</v>
      </c>
      <c r="AD372" s="1">
        <f ca="1">IFERROR(__xludf.DUMMYFUNCTION("""COMPUTED_VALUE"""),97)</f>
        <v>97</v>
      </c>
      <c r="AE372" s="1">
        <f ca="1">IFERROR(__xludf.DUMMYFUNCTION("""COMPUTED_VALUE"""),503)</f>
        <v>503</v>
      </c>
      <c r="AF372" s="1">
        <f ca="1">IFERROR(__xludf.DUMMYFUNCTION("""COMPUTED_VALUE"""),546)</f>
        <v>546</v>
      </c>
    </row>
    <row r="373" spans="1:32" ht="12.5" x14ac:dyDescent="0.25">
      <c r="A373" s="1" t="str">
        <f ca="1">IFERROR(__xludf.DUMMYFUNCTION("""COMPUTED_VALUE"""),"WinthropNCAA")</f>
        <v>WinthropNCAA</v>
      </c>
      <c r="B373" s="1">
        <f ca="1">IFERROR(__xludf.DUMMYFUNCTION("""COMPUTED_VALUE"""),33)</f>
        <v>33</v>
      </c>
      <c r="C373" s="1">
        <f ca="1">IFERROR(__xludf.DUMMYFUNCTION("""COMPUTED_VALUE"""),19)</f>
        <v>19</v>
      </c>
      <c r="D373" s="1">
        <f ca="1">IFERROR(__xludf.DUMMYFUNCTION("""COMPUTED_VALUE"""),14)</f>
        <v>14</v>
      </c>
      <c r="E373" s="1">
        <f ca="1">IFERROR(__xludf.DUMMYFUNCTION("""COMPUTED_VALUE"""),0.576)</f>
        <v>0.57599999999999996</v>
      </c>
      <c r="F373" s="1">
        <f ca="1">IFERROR(__xludf.DUMMYFUNCTION("""COMPUTED_VALUE"""),-8.68)</f>
        <v>-8.68</v>
      </c>
      <c r="G373" s="1">
        <f ca="1">IFERROR(__xludf.DUMMYFUNCTION("""COMPUTED_VALUE"""),-7.31)</f>
        <v>-7.31</v>
      </c>
      <c r="H373" s="1">
        <f ca="1">IFERROR(__xludf.DUMMYFUNCTION("""COMPUTED_VALUE"""),12)</f>
        <v>12</v>
      </c>
      <c r="I373" s="1">
        <f ca="1">IFERROR(__xludf.DUMMYFUNCTION("""COMPUTED_VALUE"""),6)</f>
        <v>6</v>
      </c>
      <c r="J373" s="1">
        <f ca="1">IFERROR(__xludf.DUMMYFUNCTION("""COMPUTED_VALUE"""),12)</f>
        <v>12</v>
      </c>
      <c r="K373" s="1">
        <f ca="1">IFERROR(__xludf.DUMMYFUNCTION("""COMPUTED_VALUE"""),2)</f>
        <v>2</v>
      </c>
      <c r="L373" s="1">
        <f ca="1">IFERROR(__xludf.DUMMYFUNCTION("""COMPUTED_VALUE"""),6)</f>
        <v>6</v>
      </c>
      <c r="M373" s="1">
        <f ca="1">IFERROR(__xludf.DUMMYFUNCTION("""COMPUTED_VALUE"""),11)</f>
        <v>11</v>
      </c>
      <c r="N373" s="1">
        <f ca="1">IFERROR(__xludf.DUMMYFUNCTION("""COMPUTED_VALUE"""),2042)</f>
        <v>2042</v>
      </c>
      <c r="O373" s="1">
        <f ca="1">IFERROR(__xludf.DUMMYFUNCTION("""COMPUTED_VALUE"""),2025)</f>
        <v>2025</v>
      </c>
      <c r="P373" s="1">
        <f ca="1">IFERROR(__xludf.DUMMYFUNCTION("""COMPUTED_VALUE"""),1330)</f>
        <v>1330</v>
      </c>
      <c r="Q373" s="1">
        <f ca="1">IFERROR(__xludf.DUMMYFUNCTION("""COMPUTED_VALUE"""),735)</f>
        <v>735</v>
      </c>
      <c r="R373" s="1">
        <f ca="1">IFERROR(__xludf.DUMMYFUNCTION("""COMPUTED_VALUE"""),1934)</f>
        <v>1934</v>
      </c>
      <c r="S373" s="1">
        <f ca="1">IFERROR(__xludf.DUMMYFUNCTION("""COMPUTED_VALUE"""),0.38)</f>
        <v>0.38</v>
      </c>
      <c r="T373" s="1">
        <f ca="1">IFERROR(__xludf.DUMMYFUNCTION("""COMPUTED_VALUE"""),124)</f>
        <v>124</v>
      </c>
      <c r="U373" s="1">
        <f ca="1">IFERROR(__xludf.DUMMYFUNCTION("""COMPUTED_VALUE"""),500)</f>
        <v>500</v>
      </c>
      <c r="V373" s="1">
        <f ca="1">IFERROR(__xludf.DUMMYFUNCTION("""COMPUTED_VALUE"""),0.248)</f>
        <v>0.248</v>
      </c>
      <c r="W373" s="1">
        <f ca="1">IFERROR(__xludf.DUMMYFUNCTION("""COMPUTED_VALUE"""),448)</f>
        <v>448</v>
      </c>
      <c r="X373" s="1">
        <f ca="1">IFERROR(__xludf.DUMMYFUNCTION("""COMPUTED_VALUE"""),696)</f>
        <v>696</v>
      </c>
      <c r="Y373" s="1">
        <f ca="1">IFERROR(__xludf.DUMMYFUNCTION("""COMPUTED_VALUE"""),0.644)</f>
        <v>0.64400000000000002</v>
      </c>
      <c r="Z373" s="1">
        <f ca="1">IFERROR(__xludf.DUMMYFUNCTION("""COMPUTED_VALUE"""),450)</f>
        <v>450</v>
      </c>
      <c r="AA373" s="1">
        <f ca="1">IFERROR(__xludf.DUMMYFUNCTION("""COMPUTED_VALUE"""),1276)</f>
        <v>1276</v>
      </c>
      <c r="AB373" s="1">
        <f ca="1">IFERROR(__xludf.DUMMYFUNCTION("""COMPUTED_VALUE"""),346)</f>
        <v>346</v>
      </c>
      <c r="AC373" s="1">
        <f ca="1">IFERROR(__xludf.DUMMYFUNCTION("""COMPUTED_VALUE"""),283)</f>
        <v>283</v>
      </c>
      <c r="AD373" s="1">
        <f ca="1">IFERROR(__xludf.DUMMYFUNCTION("""COMPUTED_VALUE"""),135)</f>
        <v>135</v>
      </c>
      <c r="AE373" s="1">
        <f ca="1">IFERROR(__xludf.DUMMYFUNCTION("""COMPUTED_VALUE"""),402)</f>
        <v>402</v>
      </c>
      <c r="AF373" s="1">
        <f ca="1">IFERROR(__xludf.DUMMYFUNCTION("""COMPUTED_VALUE"""),622)</f>
        <v>622</v>
      </c>
    </row>
    <row r="374" spans="1:32" ht="12.5" x14ac:dyDescent="0.25">
      <c r="A374" s="1" t="str">
        <f ca="1">IFERROR(__xludf.DUMMYFUNCTION("""COMPUTED_VALUE"""),"Overall")</f>
        <v>Overall</v>
      </c>
      <c r="B374" s="1" t="str">
        <f ca="1">IFERROR(__xludf.DUMMYFUNCTION("""COMPUTED_VALUE"""),"Conf.")</f>
        <v>Conf.</v>
      </c>
      <c r="C374" s="1" t="str">
        <f ca="1">IFERROR(__xludf.DUMMYFUNCTION("""COMPUTED_VALUE"""),"Home")</f>
        <v>Home</v>
      </c>
      <c r="D374" s="1" t="str">
        <f ca="1">IFERROR(__xludf.DUMMYFUNCTION("""COMPUTED_VALUE"""),"Away")</f>
        <v>Away</v>
      </c>
      <c r="E374" s="1" t="str">
        <f ca="1">IFERROR(__xludf.DUMMYFUNCTION("""COMPUTED_VALUE"""),"Points")</f>
        <v>Points</v>
      </c>
      <c r="F374" s="1" t="str">
        <f ca="1">IFERROR(__xludf.DUMMYFUNCTION("""COMPUTED_VALUE"""),"")</f>
        <v/>
      </c>
      <c r="G374" s="1" t="str">
        <f ca="1">IFERROR(__xludf.DUMMYFUNCTION("""COMPUTED_VALUE"""),"School Totals")</f>
        <v>School Totals</v>
      </c>
      <c r="H374" s="1" t="str">
        <f ca="1">IFERROR(__xludf.DUMMYFUNCTION("""COMPUTED_VALUE"""),"")</f>
        <v/>
      </c>
      <c r="I374" s="1" t="str">
        <f ca="1">IFERROR(__xludf.DUMMYFUNCTION("""COMPUTED_VALUE"""),"")</f>
        <v/>
      </c>
      <c r="J374" s="1" t="str">
        <f ca="1">IFERROR(__xludf.DUMMYFUNCTION("""COMPUTED_VALUE"""),"")</f>
        <v/>
      </c>
      <c r="K374" s="1" t="str">
        <f ca="1">IFERROR(__xludf.DUMMYFUNCTION("""COMPUTED_VALUE"""),"")</f>
        <v/>
      </c>
      <c r="L374" s="1" t="str">
        <f ca="1">IFERROR(__xludf.DUMMYFUNCTION("""COMPUTED_VALUE"""),"")</f>
        <v/>
      </c>
      <c r="M374" s="1" t="str">
        <f ca="1">IFERROR(__xludf.DUMMYFUNCTION("""COMPUTED_VALUE"""),"")</f>
        <v/>
      </c>
      <c r="N374" s="1" t="str">
        <f ca="1">IFERROR(__xludf.DUMMYFUNCTION("""COMPUTED_VALUE"""),"")</f>
        <v/>
      </c>
      <c r="O374" s="1" t="str">
        <f ca="1">IFERROR(__xludf.DUMMYFUNCTION("""COMPUTED_VALUE"""),"")</f>
        <v/>
      </c>
      <c r="P374" s="1" t="str">
        <f ca="1">IFERROR(__xludf.DUMMYFUNCTION("""COMPUTED_VALUE"""),"")</f>
        <v/>
      </c>
      <c r="Q374" s="1" t="str">
        <f ca="1">IFERROR(__xludf.DUMMYFUNCTION("""COMPUTED_VALUE"""),"")</f>
        <v/>
      </c>
      <c r="R374" s="1" t="str">
        <f ca="1">IFERROR(__xludf.DUMMYFUNCTION("""COMPUTED_VALUE"""),"")</f>
        <v/>
      </c>
      <c r="S374" s="1" t="str">
        <f ca="1">IFERROR(__xludf.DUMMYFUNCTION("""COMPUTED_VALUE"""),"")</f>
        <v/>
      </c>
      <c r="T374" s="1" t="str">
        <f ca="1">IFERROR(__xludf.DUMMYFUNCTION("""COMPUTED_VALUE"""),"")</f>
        <v/>
      </c>
      <c r="U374" s="1" t="str">
        <f ca="1">IFERROR(__xludf.DUMMYFUNCTION("""COMPUTED_VALUE"""),"")</f>
        <v/>
      </c>
      <c r="V374" s="1" t="str">
        <f ca="1">IFERROR(__xludf.DUMMYFUNCTION("""COMPUTED_VALUE"""),"")</f>
        <v/>
      </c>
      <c r="W374" s="1" t="str">
        <f ca="1">IFERROR(__xludf.DUMMYFUNCTION("""COMPUTED_VALUE"""),"")</f>
        <v/>
      </c>
      <c r="X374" s="1" t="str">
        <f ca="1">IFERROR(__xludf.DUMMYFUNCTION("""COMPUTED_VALUE"""),"")</f>
        <v/>
      </c>
      <c r="Y374" s="1" t="str">
        <f ca="1">IFERROR(__xludf.DUMMYFUNCTION("""COMPUTED_VALUE"""),"")</f>
        <v/>
      </c>
      <c r="Z374" s="1" t="str">
        <f ca="1">IFERROR(__xludf.DUMMYFUNCTION("""COMPUTED_VALUE"""),"")</f>
        <v/>
      </c>
      <c r="AA374" s="1" t="str">
        <f ca="1">IFERROR(__xludf.DUMMYFUNCTION("""COMPUTED_VALUE"""),"")</f>
        <v/>
      </c>
      <c r="AB374" s="1" t="str">
        <f ca="1">IFERROR(__xludf.DUMMYFUNCTION("""COMPUTED_VALUE"""),"")</f>
        <v/>
      </c>
      <c r="AC374" s="1" t="str">
        <f ca="1">IFERROR(__xludf.DUMMYFUNCTION("""COMPUTED_VALUE"""),"")</f>
        <v/>
      </c>
      <c r="AD374" s="1" t="str">
        <f ca="1">IFERROR(__xludf.DUMMYFUNCTION("""COMPUTED_VALUE"""),"")</f>
        <v/>
      </c>
      <c r="AE374" s="1" t="str">
        <f ca="1">IFERROR(__xludf.DUMMYFUNCTION("""COMPUTED_VALUE"""),"")</f>
        <v/>
      </c>
      <c r="AF374" s="1" t="str">
        <f ca="1">IFERROR(__xludf.DUMMYFUNCTION("""COMPUTED_VALUE"""),"")</f>
        <v/>
      </c>
    </row>
    <row r="375" spans="1:32" ht="12.5" x14ac:dyDescent="0.25">
      <c r="A375" s="1" t="str">
        <f ca="1">IFERROR(__xludf.DUMMYFUNCTION("""COMPUTED_VALUE"""),"School")</f>
        <v>School</v>
      </c>
      <c r="B375" s="1" t="str">
        <f ca="1">IFERROR(__xludf.DUMMYFUNCTION("""COMPUTED_VALUE"""),"G")</f>
        <v>G</v>
      </c>
      <c r="C375" s="1" t="str">
        <f ca="1">IFERROR(__xludf.DUMMYFUNCTION("""COMPUTED_VALUE"""),"W")</f>
        <v>W</v>
      </c>
      <c r="D375" s="1" t="str">
        <f ca="1">IFERROR(__xludf.DUMMYFUNCTION("""COMPUTED_VALUE"""),"L")</f>
        <v>L</v>
      </c>
      <c r="E375" s="1" t="str">
        <f ca="1">IFERROR(__xludf.DUMMYFUNCTION("""COMPUTED_VALUE"""),"W-L%")</f>
        <v>W-L%</v>
      </c>
      <c r="F375" s="1" t="str">
        <f ca="1">IFERROR(__xludf.DUMMYFUNCTION("""COMPUTED_VALUE"""),"SRS")</f>
        <v>SRS</v>
      </c>
      <c r="G375" s="1" t="str">
        <f ca="1">IFERROR(__xludf.DUMMYFUNCTION("""COMPUTED_VALUE"""),"SOS")</f>
        <v>SOS</v>
      </c>
      <c r="H375" s="1" t="str">
        <f ca="1">IFERROR(__xludf.DUMMYFUNCTION("""COMPUTED_VALUE"""),"W")</f>
        <v>W</v>
      </c>
      <c r="I375" s="1" t="str">
        <f ca="1">IFERROR(__xludf.DUMMYFUNCTION("""COMPUTED_VALUE"""),"L")</f>
        <v>L</v>
      </c>
      <c r="J375" s="1" t="str">
        <f ca="1">IFERROR(__xludf.DUMMYFUNCTION("""COMPUTED_VALUE"""),"W")</f>
        <v>W</v>
      </c>
      <c r="K375" s="1" t="str">
        <f ca="1">IFERROR(__xludf.DUMMYFUNCTION("""COMPUTED_VALUE"""),"L")</f>
        <v>L</v>
      </c>
      <c r="L375" s="1" t="str">
        <f ca="1">IFERROR(__xludf.DUMMYFUNCTION("""COMPUTED_VALUE"""),"W")</f>
        <v>W</v>
      </c>
      <c r="M375" s="1" t="str">
        <f ca="1">IFERROR(__xludf.DUMMYFUNCTION("""COMPUTED_VALUE"""),"L")</f>
        <v>L</v>
      </c>
      <c r="N375" s="1" t="str">
        <f ca="1">IFERROR(__xludf.DUMMYFUNCTION("""COMPUTED_VALUE"""),"Tm.")</f>
        <v>Tm.</v>
      </c>
      <c r="O375" s="1" t="str">
        <f ca="1">IFERROR(__xludf.DUMMYFUNCTION("""COMPUTED_VALUE"""),"Opp.")</f>
        <v>Opp.</v>
      </c>
      <c r="P375" s="1" t="str">
        <f ca="1">IFERROR(__xludf.DUMMYFUNCTION("""COMPUTED_VALUE"""),"MP")</f>
        <v>MP</v>
      </c>
      <c r="Q375" s="1" t="str">
        <f ca="1">IFERROR(__xludf.DUMMYFUNCTION("""COMPUTED_VALUE"""),"FG")</f>
        <v>FG</v>
      </c>
      <c r="R375" s="1" t="str">
        <f ca="1">IFERROR(__xludf.DUMMYFUNCTION("""COMPUTED_VALUE"""),"FGA")</f>
        <v>FGA</v>
      </c>
      <c r="S375" s="1" t="str">
        <f ca="1">IFERROR(__xludf.DUMMYFUNCTION("""COMPUTED_VALUE"""),"FG%")</f>
        <v>FG%</v>
      </c>
      <c r="T375" s="1" t="str">
        <f ca="1">IFERROR(__xludf.DUMMYFUNCTION("""COMPUTED_VALUE"""),"3P")</f>
        <v>3P</v>
      </c>
      <c r="U375" s="1" t="str">
        <f ca="1">IFERROR(__xludf.DUMMYFUNCTION("""COMPUTED_VALUE"""),"3PA")</f>
        <v>3PA</v>
      </c>
      <c r="V375" s="1" t="str">
        <f ca="1">IFERROR(__xludf.DUMMYFUNCTION("""COMPUTED_VALUE"""),"3P%")</f>
        <v>3P%</v>
      </c>
      <c r="W375" s="1" t="str">
        <f ca="1">IFERROR(__xludf.DUMMYFUNCTION("""COMPUTED_VALUE"""),"FT")</f>
        <v>FT</v>
      </c>
      <c r="X375" s="1" t="str">
        <f ca="1">IFERROR(__xludf.DUMMYFUNCTION("""COMPUTED_VALUE"""),"FTA")</f>
        <v>FTA</v>
      </c>
      <c r="Y375" s="1" t="str">
        <f ca="1">IFERROR(__xludf.DUMMYFUNCTION("""COMPUTED_VALUE"""),"FT%")</f>
        <v>FT%</v>
      </c>
      <c r="Z375" s="1" t="str">
        <f ca="1">IFERROR(__xludf.DUMMYFUNCTION("""COMPUTED_VALUE"""),"ORB")</f>
        <v>ORB</v>
      </c>
      <c r="AA375" s="1" t="str">
        <f ca="1">IFERROR(__xludf.DUMMYFUNCTION("""COMPUTED_VALUE"""),"TRB")</f>
        <v>TRB</v>
      </c>
      <c r="AB375" s="1" t="str">
        <f ca="1">IFERROR(__xludf.DUMMYFUNCTION("""COMPUTED_VALUE"""),"AST")</f>
        <v>AST</v>
      </c>
      <c r="AC375" s="1" t="str">
        <f ca="1">IFERROR(__xludf.DUMMYFUNCTION("""COMPUTED_VALUE"""),"STL")</f>
        <v>STL</v>
      </c>
      <c r="AD375" s="1" t="str">
        <f ca="1">IFERROR(__xludf.DUMMYFUNCTION("""COMPUTED_VALUE"""),"BLK")</f>
        <v>BLK</v>
      </c>
      <c r="AE375" s="1" t="str">
        <f ca="1">IFERROR(__xludf.DUMMYFUNCTION("""COMPUTED_VALUE"""),"TOV")</f>
        <v>TOV</v>
      </c>
      <c r="AF375" s="1" t="str">
        <f ca="1">IFERROR(__xludf.DUMMYFUNCTION("""COMPUTED_VALUE"""),"PF")</f>
        <v>PF</v>
      </c>
    </row>
    <row r="376" spans="1:32" ht="12.5" x14ac:dyDescent="0.25">
      <c r="A376" s="1" t="str">
        <f ca="1">IFERROR(__xludf.DUMMYFUNCTION("""COMPUTED_VALUE"""),"WisconsinNCAA")</f>
        <v>WisconsinNCAA</v>
      </c>
      <c r="B376" s="1">
        <f ca="1">IFERROR(__xludf.DUMMYFUNCTION("""COMPUTED_VALUE"""),33)</f>
        <v>33</v>
      </c>
      <c r="C376" s="1">
        <f ca="1">IFERROR(__xludf.DUMMYFUNCTION("""COMPUTED_VALUE"""),24)</f>
        <v>24</v>
      </c>
      <c r="D376" s="1">
        <f ca="1">IFERROR(__xludf.DUMMYFUNCTION("""COMPUTED_VALUE"""),9)</f>
        <v>9</v>
      </c>
      <c r="E376" s="1">
        <f ca="1">IFERROR(__xludf.DUMMYFUNCTION("""COMPUTED_VALUE"""),0.727)</f>
        <v>0.72699999999999998</v>
      </c>
      <c r="F376" s="1">
        <f ca="1">IFERROR(__xludf.DUMMYFUNCTION("""COMPUTED_VALUE"""),17.84)</f>
        <v>17.84</v>
      </c>
      <c r="G376" s="1">
        <f ca="1">IFERROR(__xludf.DUMMYFUNCTION("""COMPUTED_VALUE"""),7.66)</f>
        <v>7.66</v>
      </c>
      <c r="H376" s="1">
        <f ca="1">IFERROR(__xludf.DUMMYFUNCTION("""COMPUTED_VALUE"""),13)</f>
        <v>13</v>
      </c>
      <c r="I376" s="1">
        <f ca="1">IFERROR(__xludf.DUMMYFUNCTION("""COMPUTED_VALUE"""),5)</f>
        <v>5</v>
      </c>
      <c r="J376" s="1">
        <f ca="1">IFERROR(__xludf.DUMMYFUNCTION("""COMPUTED_VALUE"""),16)</f>
        <v>16</v>
      </c>
      <c r="K376" s="1">
        <f ca="1">IFERROR(__xludf.DUMMYFUNCTION("""COMPUTED_VALUE"""),1)</f>
        <v>1</v>
      </c>
      <c r="L376" s="1">
        <f ca="1">IFERROR(__xludf.DUMMYFUNCTION("""COMPUTED_VALUE"""),5)</f>
        <v>5</v>
      </c>
      <c r="M376" s="1">
        <f ca="1">IFERROR(__xludf.DUMMYFUNCTION("""COMPUTED_VALUE"""),5)</f>
        <v>5</v>
      </c>
      <c r="N376" s="1">
        <f ca="1">IFERROR(__xludf.DUMMYFUNCTION("""COMPUTED_VALUE"""),2214)</f>
        <v>2214</v>
      </c>
      <c r="O376" s="1">
        <f ca="1">IFERROR(__xludf.DUMMYFUNCTION("""COMPUTED_VALUE"""),1878)</f>
        <v>1878</v>
      </c>
      <c r="P376" s="1">
        <f ca="1">IFERROR(__xludf.DUMMYFUNCTION("""COMPUTED_VALUE"""),1330)</f>
        <v>1330</v>
      </c>
      <c r="Q376" s="1">
        <f ca="1">IFERROR(__xludf.DUMMYFUNCTION("""COMPUTED_VALUE"""),776)</f>
        <v>776</v>
      </c>
      <c r="R376" s="1">
        <f ca="1">IFERROR(__xludf.DUMMYFUNCTION("""COMPUTED_VALUE"""),1750)</f>
        <v>1750</v>
      </c>
      <c r="S376" s="1">
        <f ca="1">IFERROR(__xludf.DUMMYFUNCTION("""COMPUTED_VALUE"""),0.443)</f>
        <v>0.443</v>
      </c>
      <c r="T376" s="1">
        <f ca="1">IFERROR(__xludf.DUMMYFUNCTION("""COMPUTED_VALUE"""),246)</f>
        <v>246</v>
      </c>
      <c r="U376" s="1">
        <f ca="1">IFERROR(__xludf.DUMMYFUNCTION("""COMPUTED_VALUE"""),690)</f>
        <v>690</v>
      </c>
      <c r="V376" s="1">
        <f ca="1">IFERROR(__xludf.DUMMYFUNCTION("""COMPUTED_VALUE"""),0.357)</f>
        <v>0.35699999999999998</v>
      </c>
      <c r="W376" s="1">
        <f ca="1">IFERROR(__xludf.DUMMYFUNCTION("""COMPUTED_VALUE"""),416)</f>
        <v>416</v>
      </c>
      <c r="X376" s="1">
        <f ca="1">IFERROR(__xludf.DUMMYFUNCTION("""COMPUTED_VALUE"""),568)</f>
        <v>568</v>
      </c>
      <c r="Y376" s="1">
        <f ca="1">IFERROR(__xludf.DUMMYFUNCTION("""COMPUTED_VALUE"""),0.732)</f>
        <v>0.73199999999999998</v>
      </c>
      <c r="Z376" s="1">
        <f ca="1">IFERROR(__xludf.DUMMYFUNCTION("""COMPUTED_VALUE"""),320)</f>
        <v>320</v>
      </c>
      <c r="AA376" s="1">
        <f ca="1">IFERROR(__xludf.DUMMYFUNCTION("""COMPUTED_VALUE"""),1056)</f>
        <v>1056</v>
      </c>
      <c r="AB376" s="1">
        <f ca="1">IFERROR(__xludf.DUMMYFUNCTION("""COMPUTED_VALUE"""),412)</f>
        <v>412</v>
      </c>
      <c r="AC376" s="1">
        <f ca="1">IFERROR(__xludf.DUMMYFUNCTION("""COMPUTED_VALUE"""),187)</f>
        <v>187</v>
      </c>
      <c r="AD376" s="1">
        <f ca="1">IFERROR(__xludf.DUMMYFUNCTION("""COMPUTED_VALUE"""),113)</f>
        <v>113</v>
      </c>
      <c r="AE376" s="1">
        <f ca="1">IFERROR(__xludf.DUMMYFUNCTION("""COMPUTED_VALUE"""),289)</f>
        <v>289</v>
      </c>
      <c r="AF376" s="1">
        <f ca="1">IFERROR(__xludf.DUMMYFUNCTION("""COMPUTED_VALUE"""),537)</f>
        <v>537</v>
      </c>
    </row>
    <row r="377" spans="1:32" ht="12.5" x14ac:dyDescent="0.25">
      <c r="A377" s="1" t="str">
        <f ca="1">IFERROR(__xludf.DUMMYFUNCTION("""COMPUTED_VALUE"""),"WoffordNCAA")</f>
        <v>WoffordNCAA</v>
      </c>
      <c r="B377" s="1">
        <f ca="1">IFERROR(__xludf.DUMMYFUNCTION("""COMPUTED_VALUE"""),35)</f>
        <v>35</v>
      </c>
      <c r="C377" s="1">
        <f ca="1">IFERROR(__xludf.DUMMYFUNCTION("""COMPUTED_VALUE"""),26)</f>
        <v>26</v>
      </c>
      <c r="D377" s="1">
        <f ca="1">IFERROR(__xludf.DUMMYFUNCTION("""COMPUTED_VALUE"""),9)</f>
        <v>9</v>
      </c>
      <c r="E377" s="1">
        <f ca="1">IFERROR(__xludf.DUMMYFUNCTION("""COMPUTED_VALUE"""),0.743)</f>
        <v>0.74299999999999999</v>
      </c>
      <c r="F377" s="1">
        <f ca="1">IFERROR(__xludf.DUMMYFUNCTION("""COMPUTED_VALUE"""),4.43)</f>
        <v>4.43</v>
      </c>
      <c r="G377" s="1">
        <f ca="1">IFERROR(__xludf.DUMMYFUNCTION("""COMPUTED_VALUE"""),-2.57)</f>
        <v>-2.57</v>
      </c>
      <c r="H377" s="1">
        <f ca="1">IFERROR(__xludf.DUMMYFUNCTION("""COMPUTED_VALUE"""),15)</f>
        <v>15</v>
      </c>
      <c r="I377" s="1">
        <f ca="1">IFERROR(__xludf.DUMMYFUNCTION("""COMPUTED_VALUE"""),3)</f>
        <v>3</v>
      </c>
      <c r="J377" s="1">
        <f ca="1">IFERROR(__xludf.DUMMYFUNCTION("""COMPUTED_VALUE"""),11)</f>
        <v>11</v>
      </c>
      <c r="K377" s="1">
        <f ca="1">IFERROR(__xludf.DUMMYFUNCTION("""COMPUTED_VALUE"""),1)</f>
        <v>1</v>
      </c>
      <c r="L377" s="1">
        <f ca="1">IFERROR(__xludf.DUMMYFUNCTION("""COMPUTED_VALUE"""),10)</f>
        <v>10</v>
      </c>
      <c r="M377" s="1">
        <f ca="1">IFERROR(__xludf.DUMMYFUNCTION("""COMPUTED_VALUE"""),6)</f>
        <v>6</v>
      </c>
      <c r="N377" s="1">
        <f ca="1">IFERROR(__xludf.DUMMYFUNCTION("""COMPUTED_VALUE"""),2408)</f>
        <v>2408</v>
      </c>
      <c r="O377" s="1">
        <f ca="1">IFERROR(__xludf.DUMMYFUNCTION("""COMPUTED_VALUE"""),2134)</f>
        <v>2134</v>
      </c>
      <c r="P377" s="1">
        <f ca="1">IFERROR(__xludf.DUMMYFUNCTION("""COMPUTED_VALUE"""),1405)</f>
        <v>1405</v>
      </c>
      <c r="Q377" s="1">
        <f ca="1">IFERROR(__xludf.DUMMYFUNCTION("""COMPUTED_VALUE"""),825)</f>
        <v>825</v>
      </c>
      <c r="R377" s="1">
        <f ca="1">IFERROR(__xludf.DUMMYFUNCTION("""COMPUTED_VALUE"""),1873)</f>
        <v>1873</v>
      </c>
      <c r="S377" s="1">
        <f ca="1">IFERROR(__xludf.DUMMYFUNCTION("""COMPUTED_VALUE"""),0.44)</f>
        <v>0.44</v>
      </c>
      <c r="T377" s="1">
        <f ca="1">IFERROR(__xludf.DUMMYFUNCTION("""COMPUTED_VALUE"""),203)</f>
        <v>203</v>
      </c>
      <c r="U377" s="1">
        <f ca="1">IFERROR(__xludf.DUMMYFUNCTION("""COMPUTED_VALUE"""),580)</f>
        <v>580</v>
      </c>
      <c r="V377" s="1">
        <f ca="1">IFERROR(__xludf.DUMMYFUNCTION("""COMPUTED_VALUE"""),0.35)</f>
        <v>0.35</v>
      </c>
      <c r="W377" s="1">
        <f ca="1">IFERROR(__xludf.DUMMYFUNCTION("""COMPUTED_VALUE"""),555)</f>
        <v>555</v>
      </c>
      <c r="X377" s="1">
        <f ca="1">IFERROR(__xludf.DUMMYFUNCTION("""COMPUTED_VALUE"""),830)</f>
        <v>830</v>
      </c>
      <c r="Y377" s="1">
        <f ca="1">IFERROR(__xludf.DUMMYFUNCTION("""COMPUTED_VALUE"""),0.669)</f>
        <v>0.66900000000000004</v>
      </c>
      <c r="Z377" s="1">
        <f ca="1">IFERROR(__xludf.DUMMYFUNCTION("""COMPUTED_VALUE"""),402)</f>
        <v>402</v>
      </c>
      <c r="AA377" s="1">
        <f ca="1">IFERROR(__xludf.DUMMYFUNCTION("""COMPUTED_VALUE"""),1243)</f>
        <v>1243</v>
      </c>
      <c r="AB377" s="1">
        <f ca="1">IFERROR(__xludf.DUMMYFUNCTION("""COMPUTED_VALUE"""),469)</f>
        <v>469</v>
      </c>
      <c r="AC377" s="1">
        <f ca="1">IFERROR(__xludf.DUMMYFUNCTION("""COMPUTED_VALUE"""),242)</f>
        <v>242</v>
      </c>
      <c r="AD377" s="1">
        <f ca="1">IFERROR(__xludf.DUMMYFUNCTION("""COMPUTED_VALUE"""),74)</f>
        <v>74</v>
      </c>
      <c r="AE377" s="1">
        <f ca="1">IFERROR(__xludf.DUMMYFUNCTION("""COMPUTED_VALUE"""),416)</f>
        <v>416</v>
      </c>
      <c r="AF377" s="1">
        <f ca="1">IFERROR(__xludf.DUMMYFUNCTION("""COMPUTED_VALUE"""),621)</f>
        <v>621</v>
      </c>
    </row>
    <row r="378" spans="1:32" ht="12.5" x14ac:dyDescent="0.25">
      <c r="A378" s="1" t="str">
        <f ca="1">IFERROR(__xludf.DUMMYFUNCTION("""COMPUTED_VALUE"""),"Wright State")</f>
        <v>Wright State</v>
      </c>
      <c r="B378" s="1">
        <f ca="1">IFERROR(__xludf.DUMMYFUNCTION("""COMPUTED_VALUE"""),32)</f>
        <v>32</v>
      </c>
      <c r="C378" s="1">
        <f ca="1">IFERROR(__xludf.DUMMYFUNCTION("""COMPUTED_VALUE"""),20)</f>
        <v>20</v>
      </c>
      <c r="D378" s="1">
        <f ca="1">IFERROR(__xludf.DUMMYFUNCTION("""COMPUTED_VALUE"""),12)</f>
        <v>12</v>
      </c>
      <c r="E378" s="1">
        <f ca="1">IFERROR(__xludf.DUMMYFUNCTION("""COMPUTED_VALUE"""),0.625)</f>
        <v>0.625</v>
      </c>
      <c r="F378" s="1">
        <f ca="1">IFERROR(__xludf.DUMMYFUNCTION("""COMPUTED_VALUE"""),6.81)</f>
        <v>6.81</v>
      </c>
      <c r="G378" s="1">
        <f ca="1">IFERROR(__xludf.DUMMYFUNCTION("""COMPUTED_VALUE"""),0.16)</f>
        <v>0.16</v>
      </c>
      <c r="H378" s="1">
        <f ca="1">IFERROR(__xludf.DUMMYFUNCTION("""COMPUTED_VALUE"""),12)</f>
        <v>12</v>
      </c>
      <c r="I378" s="1">
        <f ca="1">IFERROR(__xludf.DUMMYFUNCTION("""COMPUTED_VALUE"""),6)</f>
        <v>6</v>
      </c>
      <c r="J378" s="1">
        <f ca="1">IFERROR(__xludf.DUMMYFUNCTION("""COMPUTED_VALUE"""),12)</f>
        <v>12</v>
      </c>
      <c r="K378" s="1">
        <f ca="1">IFERROR(__xludf.DUMMYFUNCTION("""COMPUTED_VALUE"""),1)</f>
        <v>1</v>
      </c>
      <c r="L378" s="1">
        <f ca="1">IFERROR(__xludf.DUMMYFUNCTION("""COMPUTED_VALUE"""),5)</f>
        <v>5</v>
      </c>
      <c r="M378" s="1">
        <f ca="1">IFERROR(__xludf.DUMMYFUNCTION("""COMPUTED_VALUE"""),11)</f>
        <v>11</v>
      </c>
      <c r="N378" s="1">
        <f ca="1">IFERROR(__xludf.DUMMYFUNCTION("""COMPUTED_VALUE"""),2163)</f>
        <v>2163</v>
      </c>
      <c r="O378" s="1">
        <f ca="1">IFERROR(__xludf.DUMMYFUNCTION("""COMPUTED_VALUE"""),1950)</f>
        <v>1950</v>
      </c>
      <c r="P378" s="1">
        <f ca="1">IFERROR(__xludf.DUMMYFUNCTION("""COMPUTED_VALUE"""),1285)</f>
        <v>1285</v>
      </c>
      <c r="Q378" s="1">
        <f ca="1">IFERROR(__xludf.DUMMYFUNCTION("""COMPUTED_VALUE"""),750)</f>
        <v>750</v>
      </c>
      <c r="R378" s="1">
        <f ca="1">IFERROR(__xludf.DUMMYFUNCTION("""COMPUTED_VALUE"""),1692)</f>
        <v>1692</v>
      </c>
      <c r="S378" s="1">
        <f ca="1">IFERROR(__xludf.DUMMYFUNCTION("""COMPUTED_VALUE"""),0.443)</f>
        <v>0.443</v>
      </c>
      <c r="T378" s="1">
        <f ca="1">IFERROR(__xludf.DUMMYFUNCTION("""COMPUTED_VALUE"""),240)</f>
        <v>240</v>
      </c>
      <c r="U378" s="1">
        <f ca="1">IFERROR(__xludf.DUMMYFUNCTION("""COMPUTED_VALUE"""),656)</f>
        <v>656</v>
      </c>
      <c r="V378" s="1">
        <f ca="1">IFERROR(__xludf.DUMMYFUNCTION("""COMPUTED_VALUE"""),0.366)</f>
        <v>0.36599999999999999</v>
      </c>
      <c r="W378" s="1">
        <f ca="1">IFERROR(__xludf.DUMMYFUNCTION("""COMPUTED_VALUE"""),423)</f>
        <v>423</v>
      </c>
      <c r="X378" s="1">
        <f ca="1">IFERROR(__xludf.DUMMYFUNCTION("""COMPUTED_VALUE"""),577)</f>
        <v>577</v>
      </c>
      <c r="Y378" s="1">
        <f ca="1">IFERROR(__xludf.DUMMYFUNCTION("""COMPUTED_VALUE"""),0.733)</f>
        <v>0.73299999999999998</v>
      </c>
      <c r="Z378" s="1">
        <f ca="1">IFERROR(__xludf.DUMMYFUNCTION("""COMPUTED_VALUE"""),324)</f>
        <v>324</v>
      </c>
      <c r="AA378" s="1">
        <f ca="1">IFERROR(__xludf.DUMMYFUNCTION("""COMPUTED_VALUE"""),964)</f>
        <v>964</v>
      </c>
      <c r="AB378" s="1">
        <f ca="1">IFERROR(__xludf.DUMMYFUNCTION("""COMPUTED_VALUE"""),433)</f>
        <v>433</v>
      </c>
      <c r="AC378" s="1">
        <f ca="1">IFERROR(__xludf.DUMMYFUNCTION("""COMPUTED_VALUE"""),190)</f>
        <v>190</v>
      </c>
      <c r="AD378" s="1">
        <f ca="1">IFERROR(__xludf.DUMMYFUNCTION("""COMPUTED_VALUE"""),63)</f>
        <v>63</v>
      </c>
      <c r="AE378" s="1">
        <f ca="1">IFERROR(__xludf.DUMMYFUNCTION("""COMPUTED_VALUE"""),375)</f>
        <v>375</v>
      </c>
      <c r="AF378" s="1">
        <f ca="1">IFERROR(__xludf.DUMMYFUNCTION("""COMPUTED_VALUE"""),605)</f>
        <v>605</v>
      </c>
    </row>
    <row r="379" spans="1:32" ht="12.5" x14ac:dyDescent="0.25">
      <c r="A379" s="1" t="str">
        <f ca="1">IFERROR(__xludf.DUMMYFUNCTION("""COMPUTED_VALUE"""),"Wyoming")</f>
        <v>Wyoming</v>
      </c>
      <c r="B379" s="1">
        <f ca="1">IFERROR(__xludf.DUMMYFUNCTION("""COMPUTED_VALUE"""),31)</f>
        <v>31</v>
      </c>
      <c r="C379" s="1">
        <f ca="1">IFERROR(__xludf.DUMMYFUNCTION("""COMPUTED_VALUE"""),10)</f>
        <v>10</v>
      </c>
      <c r="D379" s="1">
        <f ca="1">IFERROR(__xludf.DUMMYFUNCTION("""COMPUTED_VALUE"""),21)</f>
        <v>21</v>
      </c>
      <c r="E379" s="1">
        <f ca="1">IFERROR(__xludf.DUMMYFUNCTION("""COMPUTED_VALUE"""),0.323)</f>
        <v>0.32300000000000001</v>
      </c>
      <c r="F379" s="1">
        <f ca="1">IFERROR(__xludf.DUMMYFUNCTION("""COMPUTED_VALUE"""),-4.58)</f>
        <v>-4.58</v>
      </c>
      <c r="G379" s="1">
        <f ca="1">IFERROR(__xludf.DUMMYFUNCTION("""COMPUTED_VALUE"""),3.63)</f>
        <v>3.63</v>
      </c>
      <c r="H379" s="1">
        <f ca="1">IFERROR(__xludf.DUMMYFUNCTION("""COMPUTED_VALUE"""),3)</f>
        <v>3</v>
      </c>
      <c r="I379" s="1">
        <f ca="1">IFERROR(__xludf.DUMMYFUNCTION("""COMPUTED_VALUE"""),13)</f>
        <v>13</v>
      </c>
      <c r="J379" s="1">
        <f ca="1">IFERROR(__xludf.DUMMYFUNCTION("""COMPUTED_VALUE"""),9)</f>
        <v>9</v>
      </c>
      <c r="K379" s="1">
        <f ca="1">IFERROR(__xludf.DUMMYFUNCTION("""COMPUTED_VALUE"""),9)</f>
        <v>9</v>
      </c>
      <c r="L379" s="1">
        <f ca="1">IFERROR(__xludf.DUMMYFUNCTION("""COMPUTED_VALUE"""),0)</f>
        <v>0</v>
      </c>
      <c r="M379" s="1">
        <f ca="1">IFERROR(__xludf.DUMMYFUNCTION("""COMPUTED_VALUE"""),11)</f>
        <v>11</v>
      </c>
      <c r="N379" s="1">
        <f ca="1">IFERROR(__xludf.DUMMYFUNCTION("""COMPUTED_VALUE"""),2190)</f>
        <v>2190</v>
      </c>
      <c r="O379" s="1">
        <f ca="1">IFERROR(__xludf.DUMMYFUNCTION("""COMPUTED_VALUE"""),2309)</f>
        <v>2309</v>
      </c>
      <c r="P379" s="1">
        <f ca="1">IFERROR(__xludf.DUMMYFUNCTION("""COMPUTED_VALUE"""),1245)</f>
        <v>1245</v>
      </c>
      <c r="Q379" s="1">
        <f ca="1">IFERROR(__xludf.DUMMYFUNCTION("""COMPUTED_VALUE"""),734)</f>
        <v>734</v>
      </c>
      <c r="R379" s="1">
        <f ca="1">IFERROR(__xludf.DUMMYFUNCTION("""COMPUTED_VALUE"""),1674)</f>
        <v>1674</v>
      </c>
      <c r="S379" s="1">
        <f ca="1">IFERROR(__xludf.DUMMYFUNCTION("""COMPUTED_VALUE"""),0.438)</f>
        <v>0.438</v>
      </c>
      <c r="T379" s="1">
        <f ca="1">IFERROR(__xludf.DUMMYFUNCTION("""COMPUTED_VALUE"""),140)</f>
        <v>140</v>
      </c>
      <c r="U379" s="1">
        <f ca="1">IFERROR(__xludf.DUMMYFUNCTION("""COMPUTED_VALUE"""),525)</f>
        <v>525</v>
      </c>
      <c r="V379" s="1">
        <f ca="1">IFERROR(__xludf.DUMMYFUNCTION("""COMPUTED_VALUE"""),0.267)</f>
        <v>0.26700000000000002</v>
      </c>
      <c r="W379" s="1">
        <f ca="1">IFERROR(__xludf.DUMMYFUNCTION("""COMPUTED_VALUE"""),582)</f>
        <v>582</v>
      </c>
      <c r="X379" s="1">
        <f ca="1">IFERROR(__xludf.DUMMYFUNCTION("""COMPUTED_VALUE"""),864)</f>
        <v>864</v>
      </c>
      <c r="Y379" s="1">
        <f ca="1">IFERROR(__xludf.DUMMYFUNCTION("""COMPUTED_VALUE"""),0.674)</f>
        <v>0.67400000000000004</v>
      </c>
      <c r="Z379" s="1">
        <f ca="1">IFERROR(__xludf.DUMMYFUNCTION("""COMPUTED_VALUE"""),313)</f>
        <v>313</v>
      </c>
      <c r="AA379" s="1">
        <f ca="1">IFERROR(__xludf.DUMMYFUNCTION("""COMPUTED_VALUE"""),1047)</f>
        <v>1047</v>
      </c>
      <c r="AB379" s="1">
        <f ca="1">IFERROR(__xludf.DUMMYFUNCTION("""COMPUTED_VALUE"""),346)</f>
        <v>346</v>
      </c>
      <c r="AC379" s="1">
        <f ca="1">IFERROR(__xludf.DUMMYFUNCTION("""COMPUTED_VALUE"""),241)</f>
        <v>241</v>
      </c>
      <c r="AD379" s="1">
        <f ca="1">IFERROR(__xludf.DUMMYFUNCTION("""COMPUTED_VALUE"""),132)</f>
        <v>132</v>
      </c>
      <c r="AE379" s="1">
        <f ca="1">IFERROR(__xludf.DUMMYFUNCTION("""COMPUTED_VALUE"""),479)</f>
        <v>479</v>
      </c>
      <c r="AF379" s="1">
        <f ca="1">IFERROR(__xludf.DUMMYFUNCTION("""COMPUTED_VALUE"""),634)</f>
        <v>634</v>
      </c>
    </row>
    <row r="380" spans="1:32" ht="12.5" x14ac:dyDescent="0.25">
      <c r="A380" s="1" t="str">
        <f ca="1">IFERROR(__xludf.DUMMYFUNCTION("""COMPUTED_VALUE"""),"XavierNCAA")</f>
        <v>XavierNCAA</v>
      </c>
      <c r="B380" s="1">
        <f ca="1">IFERROR(__xludf.DUMMYFUNCTION("""COMPUTED_VALUE"""),35)</f>
        <v>35</v>
      </c>
      <c r="C380" s="1">
        <f ca="1">IFERROR(__xludf.DUMMYFUNCTION("""COMPUTED_VALUE"""),26)</f>
        <v>26</v>
      </c>
      <c r="D380" s="1">
        <f ca="1">IFERROR(__xludf.DUMMYFUNCTION("""COMPUTED_VALUE"""),9)</f>
        <v>9</v>
      </c>
      <c r="E380" s="1">
        <f ca="1">IFERROR(__xludf.DUMMYFUNCTION("""COMPUTED_VALUE"""),0.743)</f>
        <v>0.74299999999999999</v>
      </c>
      <c r="F380" s="1">
        <f ca="1">IFERROR(__xludf.DUMMYFUNCTION("""COMPUTED_VALUE"""),16.23)</f>
        <v>16.23</v>
      </c>
      <c r="G380" s="1">
        <f ca="1">IFERROR(__xludf.DUMMYFUNCTION("""COMPUTED_VALUE"""),5.94)</f>
        <v>5.94</v>
      </c>
      <c r="H380" s="1">
        <f ca="1">IFERROR(__xludf.DUMMYFUNCTION("""COMPUTED_VALUE"""),14)</f>
        <v>14</v>
      </c>
      <c r="I380" s="1">
        <f ca="1">IFERROR(__xludf.DUMMYFUNCTION("""COMPUTED_VALUE"""),2)</f>
        <v>2</v>
      </c>
      <c r="J380" s="1">
        <f ca="1">IFERROR(__xludf.DUMMYFUNCTION("""COMPUTED_VALUE"""),15)</f>
        <v>15</v>
      </c>
      <c r="K380" s="1">
        <f ca="1">IFERROR(__xludf.DUMMYFUNCTION("""COMPUTED_VALUE"""),0)</f>
        <v>0</v>
      </c>
      <c r="L380" s="1">
        <f ca="1">IFERROR(__xludf.DUMMYFUNCTION("""COMPUTED_VALUE"""),7)</f>
        <v>7</v>
      </c>
      <c r="M380" s="1">
        <f ca="1">IFERROR(__xludf.DUMMYFUNCTION("""COMPUTED_VALUE"""),5)</f>
        <v>5</v>
      </c>
      <c r="N380" s="1">
        <f ca="1">IFERROR(__xludf.DUMMYFUNCTION("""COMPUTED_VALUE"""),2793)</f>
        <v>2793</v>
      </c>
      <c r="O380" s="1">
        <f ca="1">IFERROR(__xludf.DUMMYFUNCTION("""COMPUTED_VALUE"""),2433)</f>
        <v>2433</v>
      </c>
      <c r="P380" s="1">
        <f ca="1">IFERROR(__xludf.DUMMYFUNCTION("""COMPUTED_VALUE"""),1445)</f>
        <v>1445</v>
      </c>
      <c r="Q380" s="1">
        <f ca="1">IFERROR(__xludf.DUMMYFUNCTION("""COMPUTED_VALUE"""),961)</f>
        <v>961</v>
      </c>
      <c r="R380" s="1">
        <f ca="1">IFERROR(__xludf.DUMMYFUNCTION("""COMPUTED_VALUE"""),2082)</f>
        <v>2082</v>
      </c>
      <c r="S380" s="1">
        <f ca="1">IFERROR(__xludf.DUMMYFUNCTION("""COMPUTED_VALUE"""),0.462)</f>
        <v>0.46200000000000002</v>
      </c>
      <c r="T380" s="1">
        <f ca="1">IFERROR(__xludf.DUMMYFUNCTION("""COMPUTED_VALUE"""),250)</f>
        <v>250</v>
      </c>
      <c r="U380" s="1">
        <f ca="1">IFERROR(__xludf.DUMMYFUNCTION("""COMPUTED_VALUE"""),664)</f>
        <v>664</v>
      </c>
      <c r="V380" s="1">
        <f ca="1">IFERROR(__xludf.DUMMYFUNCTION("""COMPUTED_VALUE"""),0.377)</f>
        <v>0.377</v>
      </c>
      <c r="W380" s="1">
        <f ca="1">IFERROR(__xludf.DUMMYFUNCTION("""COMPUTED_VALUE"""),621)</f>
        <v>621</v>
      </c>
      <c r="X380" s="1">
        <f ca="1">IFERROR(__xludf.DUMMYFUNCTION("""COMPUTED_VALUE"""),873)</f>
        <v>873</v>
      </c>
      <c r="Y380" s="1">
        <f ca="1">IFERROR(__xludf.DUMMYFUNCTION("""COMPUTED_VALUE"""),0.711)</f>
        <v>0.71099999999999997</v>
      </c>
      <c r="Z380" s="1">
        <f ca="1">IFERROR(__xludf.DUMMYFUNCTION("""COMPUTED_VALUE"""),444)</f>
        <v>444</v>
      </c>
      <c r="AA380" s="1">
        <f ca="1">IFERROR(__xludf.DUMMYFUNCTION("""COMPUTED_VALUE"""),1415)</f>
        <v>1415</v>
      </c>
      <c r="AB380" s="1">
        <f ca="1">IFERROR(__xludf.DUMMYFUNCTION("""COMPUTED_VALUE"""),494)</f>
        <v>494</v>
      </c>
      <c r="AC380" s="1">
        <f ca="1">IFERROR(__xludf.DUMMYFUNCTION("""COMPUTED_VALUE"""),235)</f>
        <v>235</v>
      </c>
      <c r="AD380" s="1">
        <f ca="1">IFERROR(__xludf.DUMMYFUNCTION("""COMPUTED_VALUE"""),132)</f>
        <v>132</v>
      </c>
      <c r="AE380" s="1">
        <f ca="1">IFERROR(__xludf.DUMMYFUNCTION("""COMPUTED_VALUE"""),452)</f>
        <v>452</v>
      </c>
      <c r="AF380" s="1">
        <f ca="1">IFERROR(__xludf.DUMMYFUNCTION("""COMPUTED_VALUE"""),662)</f>
        <v>662</v>
      </c>
    </row>
    <row r="381" spans="1:32" ht="12.5" x14ac:dyDescent="0.25">
      <c r="A381" s="1" t="str">
        <f ca="1">IFERROR(__xludf.DUMMYFUNCTION("""COMPUTED_VALUE"""),"Yale")</f>
        <v>Yale</v>
      </c>
      <c r="B381" s="1">
        <f ca="1">IFERROR(__xludf.DUMMYFUNCTION("""COMPUTED_VALUE"""),31)</f>
        <v>31</v>
      </c>
      <c r="C381" s="1">
        <f ca="1">IFERROR(__xludf.DUMMYFUNCTION("""COMPUTED_VALUE"""),12)</f>
        <v>12</v>
      </c>
      <c r="D381" s="1">
        <f ca="1">IFERROR(__xludf.DUMMYFUNCTION("""COMPUTED_VALUE"""),19)</f>
        <v>19</v>
      </c>
      <c r="E381" s="1">
        <f ca="1">IFERROR(__xludf.DUMMYFUNCTION("""COMPUTED_VALUE"""),0.387)</f>
        <v>0.38700000000000001</v>
      </c>
      <c r="F381" s="1">
        <f ca="1">IFERROR(__xludf.DUMMYFUNCTION("""COMPUTED_VALUE"""),-9.94)</f>
        <v>-9.94</v>
      </c>
      <c r="G381" s="1">
        <f ca="1">IFERROR(__xludf.DUMMYFUNCTION("""COMPUTED_VALUE"""),-5.6)</f>
        <v>-5.6</v>
      </c>
      <c r="H381" s="1">
        <f ca="1">IFERROR(__xludf.DUMMYFUNCTION("""COMPUTED_VALUE"""),6)</f>
        <v>6</v>
      </c>
      <c r="I381" s="1">
        <f ca="1">IFERROR(__xludf.DUMMYFUNCTION("""COMPUTED_VALUE"""),8)</f>
        <v>8</v>
      </c>
      <c r="J381" s="1">
        <f ca="1">IFERROR(__xludf.DUMMYFUNCTION("""COMPUTED_VALUE"""),6)</f>
        <v>6</v>
      </c>
      <c r="K381" s="1">
        <f ca="1">IFERROR(__xludf.DUMMYFUNCTION("""COMPUTED_VALUE"""),6)</f>
        <v>6</v>
      </c>
      <c r="L381" s="1">
        <f ca="1">IFERROR(__xludf.DUMMYFUNCTION("""COMPUTED_VALUE"""),4)</f>
        <v>4</v>
      </c>
      <c r="M381" s="1">
        <f ca="1">IFERROR(__xludf.DUMMYFUNCTION("""COMPUTED_VALUE"""),10)</f>
        <v>10</v>
      </c>
      <c r="N381" s="1">
        <f ca="1">IFERROR(__xludf.DUMMYFUNCTION("""COMPUTED_VALUE"""),2067)</f>
        <v>2067</v>
      </c>
      <c r="O381" s="1">
        <f ca="1">IFERROR(__xludf.DUMMYFUNCTION("""COMPUTED_VALUE"""),2157)</f>
        <v>2157</v>
      </c>
      <c r="P381" s="1">
        <f ca="1">IFERROR(__xludf.DUMMYFUNCTION("""COMPUTED_VALUE"""),1245)</f>
        <v>1245</v>
      </c>
      <c r="Q381" s="1">
        <f ca="1">IFERROR(__xludf.DUMMYFUNCTION("""COMPUTED_VALUE"""),711)</f>
        <v>711</v>
      </c>
      <c r="R381" s="1">
        <f ca="1">IFERROR(__xludf.DUMMYFUNCTION("""COMPUTED_VALUE"""),1687)</f>
        <v>1687</v>
      </c>
      <c r="S381" s="1">
        <f ca="1">IFERROR(__xludf.DUMMYFUNCTION("""COMPUTED_VALUE"""),0.421)</f>
        <v>0.42099999999999999</v>
      </c>
      <c r="T381" s="1">
        <f ca="1">IFERROR(__xludf.DUMMYFUNCTION("""COMPUTED_VALUE"""),138)</f>
        <v>138</v>
      </c>
      <c r="U381" s="1">
        <f ca="1">IFERROR(__xludf.DUMMYFUNCTION("""COMPUTED_VALUE"""),466)</f>
        <v>466</v>
      </c>
      <c r="V381" s="1">
        <f ca="1">IFERROR(__xludf.DUMMYFUNCTION("""COMPUTED_VALUE"""),0.296)</f>
        <v>0.29599999999999999</v>
      </c>
      <c r="W381" s="1">
        <f ca="1">IFERROR(__xludf.DUMMYFUNCTION("""COMPUTED_VALUE"""),507)</f>
        <v>507</v>
      </c>
      <c r="X381" s="1">
        <f ca="1">IFERROR(__xludf.DUMMYFUNCTION("""COMPUTED_VALUE"""),700)</f>
        <v>700</v>
      </c>
      <c r="Y381" s="1">
        <f ca="1">IFERROR(__xludf.DUMMYFUNCTION("""COMPUTED_VALUE"""),0.724)</f>
        <v>0.72399999999999998</v>
      </c>
      <c r="Z381" s="1">
        <f ca="1">IFERROR(__xludf.DUMMYFUNCTION("""COMPUTED_VALUE"""),359)</f>
        <v>359</v>
      </c>
      <c r="AA381" s="1">
        <f ca="1">IFERROR(__xludf.DUMMYFUNCTION("""COMPUTED_VALUE"""),1086)</f>
        <v>1086</v>
      </c>
      <c r="AB381" s="1">
        <f ca="1">IFERROR(__xludf.DUMMYFUNCTION("""COMPUTED_VALUE"""),387)</f>
        <v>387</v>
      </c>
      <c r="AC381" s="1">
        <f ca="1">IFERROR(__xludf.DUMMYFUNCTION("""COMPUTED_VALUE"""),212)</f>
        <v>212</v>
      </c>
      <c r="AD381" s="1">
        <f ca="1">IFERROR(__xludf.DUMMYFUNCTION("""COMPUTED_VALUE"""),134)</f>
        <v>134</v>
      </c>
      <c r="AE381" s="1">
        <f ca="1">IFERROR(__xludf.DUMMYFUNCTION("""COMPUTED_VALUE"""),442)</f>
        <v>442</v>
      </c>
      <c r="AF381" s="1">
        <f ca="1">IFERROR(__xludf.DUMMYFUNCTION("""COMPUTED_VALUE"""),572)</f>
        <v>572</v>
      </c>
    </row>
    <row r="382" spans="1:32" ht="12.5" x14ac:dyDescent="0.25">
      <c r="A382" s="1" t="str">
        <f ca="1">IFERROR(__xludf.DUMMYFUNCTION("""COMPUTED_VALUE"""),"Youngstown State")</f>
        <v>Youngstown State</v>
      </c>
      <c r="B382" s="1">
        <f ca="1">IFERROR(__xludf.DUMMYFUNCTION("""COMPUTED_VALUE"""),30)</f>
        <v>30</v>
      </c>
      <c r="C382" s="1">
        <f ca="1">IFERROR(__xludf.DUMMYFUNCTION("""COMPUTED_VALUE"""),8)</f>
        <v>8</v>
      </c>
      <c r="D382" s="1">
        <f ca="1">IFERROR(__xludf.DUMMYFUNCTION("""COMPUTED_VALUE"""),22)</f>
        <v>22</v>
      </c>
      <c r="E382" s="1">
        <f ca="1">IFERROR(__xludf.DUMMYFUNCTION("""COMPUTED_VALUE"""),0.267)</f>
        <v>0.26700000000000002</v>
      </c>
      <c r="F382" s="1">
        <f ca="1">IFERROR(__xludf.DUMMYFUNCTION("""COMPUTED_VALUE"""),-6.41)</f>
        <v>-6.41</v>
      </c>
      <c r="G382" s="1">
        <f ca="1">IFERROR(__xludf.DUMMYFUNCTION("""COMPUTED_VALUE"""),0.4)</f>
        <v>0.4</v>
      </c>
      <c r="H382" s="1">
        <f ca="1">IFERROR(__xludf.DUMMYFUNCTION("""COMPUTED_VALUE"""),2)</f>
        <v>2</v>
      </c>
      <c r="I382" s="1">
        <f ca="1">IFERROR(__xludf.DUMMYFUNCTION("""COMPUTED_VALUE"""),16)</f>
        <v>16</v>
      </c>
      <c r="J382" s="1">
        <f ca="1">IFERROR(__xludf.DUMMYFUNCTION("""COMPUTED_VALUE"""),6)</f>
        <v>6</v>
      </c>
      <c r="K382" s="1">
        <f ca="1">IFERROR(__xludf.DUMMYFUNCTION("""COMPUTED_VALUE"""),9)</f>
        <v>9</v>
      </c>
      <c r="L382" s="1">
        <f ca="1">IFERROR(__xludf.DUMMYFUNCTION("""COMPUTED_VALUE"""),2)</f>
        <v>2</v>
      </c>
      <c r="M382" s="1">
        <f ca="1">IFERROR(__xludf.DUMMYFUNCTION("""COMPUTED_VALUE"""),13)</f>
        <v>13</v>
      </c>
      <c r="N382" s="1">
        <f ca="1">IFERROR(__xludf.DUMMYFUNCTION("""COMPUTED_VALUE"""),2002)</f>
        <v>2002</v>
      </c>
      <c r="O382" s="1">
        <f ca="1">IFERROR(__xludf.DUMMYFUNCTION("""COMPUTED_VALUE"""),2092)</f>
        <v>2092</v>
      </c>
      <c r="P382" s="1">
        <f ca="1">IFERROR(__xludf.DUMMYFUNCTION("""COMPUTED_VALUE"""),1205)</f>
        <v>1205</v>
      </c>
      <c r="Q382" s="1">
        <f ca="1">IFERROR(__xludf.DUMMYFUNCTION("""COMPUTED_VALUE"""),697)</f>
        <v>697</v>
      </c>
      <c r="R382" s="1">
        <f ca="1">IFERROR(__xludf.DUMMYFUNCTION("""COMPUTED_VALUE"""),1656)</f>
        <v>1656</v>
      </c>
      <c r="S382" s="1">
        <f ca="1">IFERROR(__xludf.DUMMYFUNCTION("""COMPUTED_VALUE"""),0.421)</f>
        <v>0.42099999999999999</v>
      </c>
      <c r="T382" s="1">
        <f ca="1">IFERROR(__xludf.DUMMYFUNCTION("""COMPUTED_VALUE"""),153)</f>
        <v>153</v>
      </c>
      <c r="U382" s="1">
        <f ca="1">IFERROR(__xludf.DUMMYFUNCTION("""COMPUTED_VALUE"""),479)</f>
        <v>479</v>
      </c>
      <c r="V382" s="1">
        <f ca="1">IFERROR(__xludf.DUMMYFUNCTION("""COMPUTED_VALUE"""),0.319)</f>
        <v>0.31900000000000001</v>
      </c>
      <c r="W382" s="1">
        <f ca="1">IFERROR(__xludf.DUMMYFUNCTION("""COMPUTED_VALUE"""),455)</f>
        <v>455</v>
      </c>
      <c r="X382" s="1">
        <f ca="1">IFERROR(__xludf.DUMMYFUNCTION("""COMPUTED_VALUE"""),665)</f>
        <v>665</v>
      </c>
      <c r="Y382" s="1">
        <f ca="1">IFERROR(__xludf.DUMMYFUNCTION("""COMPUTED_VALUE"""),0.684)</f>
        <v>0.68400000000000005</v>
      </c>
      <c r="Z382" s="1">
        <f ca="1">IFERROR(__xludf.DUMMYFUNCTION("""COMPUTED_VALUE"""),338)</f>
        <v>338</v>
      </c>
      <c r="AA382" s="1">
        <f ca="1">IFERROR(__xludf.DUMMYFUNCTION("""COMPUTED_VALUE"""),986)</f>
        <v>986</v>
      </c>
      <c r="AB382" s="1">
        <f ca="1">IFERROR(__xludf.DUMMYFUNCTION("""COMPUTED_VALUE"""),390)</f>
        <v>390</v>
      </c>
      <c r="AC382" s="1">
        <f ca="1">IFERROR(__xludf.DUMMYFUNCTION("""COMPUTED_VALUE"""),181)</f>
        <v>181</v>
      </c>
      <c r="AD382" s="1">
        <f ca="1">IFERROR(__xludf.DUMMYFUNCTION("""COMPUTED_VALUE"""),110)</f>
        <v>110</v>
      </c>
      <c r="AE382" s="1">
        <f ca="1">IFERROR(__xludf.DUMMYFUNCTION("""COMPUTED_VALUE"""),401)</f>
        <v>401</v>
      </c>
      <c r="AF382" s="1">
        <f ca="1">IFERROR(__xludf.DUMMYFUNCTION("""COMPUTED_VALUE"""),611)</f>
        <v>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sydne</cp:lastModifiedBy>
  <dcterms:modified xsi:type="dcterms:W3CDTF">2020-03-05T21:42:15Z</dcterms:modified>
</cp:coreProperties>
</file>